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4.xml" ContentType="application/vnd.openxmlformats-officedocument.drawingml.chartshapes+xml"/>
  <Override PartName="/xl/charts/chart44.xml" ContentType="application/vnd.openxmlformats-officedocument.drawingml.chart+xml"/>
  <Override PartName="/xl/drawings/drawing5.xml" ContentType="application/vnd.openxmlformats-officedocument.drawingml.chartshape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6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9.xml" ContentType="application/vnd.openxmlformats-officedocument.drawingml.chartshape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10.xml" ContentType="application/vnd.openxmlformats-officedocument.drawingml.chartshap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11.xml" ContentType="application/vnd.openxmlformats-officedocument.drawingml.chartshape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2.xml" ContentType="application/vnd.openxmlformats-officedocument.drawingml.chartshapes+xml"/>
  <Override PartName="/xl/charts/chart69.xml" ContentType="application/vnd.openxmlformats-officedocument.drawingml.chart+xml"/>
  <Override PartName="/xl/drawings/drawing13.xml" ContentType="application/vnd.openxmlformats-officedocument.drawingml.chartshapes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14.xml" ContentType="application/vnd.openxmlformats-officedocument.drawingml.chartshapes+xml"/>
  <Override PartName="/xl/charts/chart72.xml" ContentType="application/vnd.openxmlformats-officedocument.drawingml.chart+xml"/>
  <Override PartName="/xl/drawings/drawing15.xml" ContentType="application/vnd.openxmlformats-officedocument.drawingml.chartshapes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6.xml" ContentType="application/vnd.openxmlformats-officedocument.drawingml.chartshapes+xml"/>
  <Override PartName="/xl/charts/chart75.xml" ContentType="application/vnd.openxmlformats-officedocument.drawingml.chart+xml"/>
  <Override PartName="/xl/drawings/drawing17.xml" ContentType="application/vnd.openxmlformats-officedocument.drawingml.chartshapes+xml"/>
  <Override PartName="/xl/charts/chart76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20.xml" ContentType="application/vnd.openxmlformats-officedocument.drawingml.chartshapes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drawings/drawing21.xml" ContentType="application/vnd.openxmlformats-officedocument.drawingml.chartshapes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22.xml" ContentType="application/vnd.openxmlformats-officedocument.drawingml.chartshapes+xml"/>
  <Override PartName="/xl/charts/chart84.xml" ContentType="application/vnd.openxmlformats-officedocument.drawingml.chart+xml"/>
  <Override PartName="/xl/drawings/drawing23.xml" ContentType="application/vnd.openxmlformats-officedocument.drawingml.chartshapes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24.xml" ContentType="application/vnd.openxmlformats-officedocument.drawingml.chartshapes+xml"/>
  <Override PartName="/xl/charts/chart87.xml" ContentType="application/vnd.openxmlformats-officedocument.drawingml.chart+xml"/>
  <Override PartName="/xl/drawings/drawing25.xml" ContentType="application/vnd.openxmlformats-officedocument.drawingml.chartshapes+xml"/>
  <Override PartName="/xl/charts/chart88.xml" ContentType="application/vnd.openxmlformats-officedocument.drawingml.chart+xml"/>
  <Override PartName="/xl/drawings/drawing26.xml" ContentType="application/vnd.openxmlformats-officedocument.drawingml.chartshapes+xml"/>
  <Override PartName="/xl/charts/chart89.xml" ContentType="application/vnd.openxmlformats-officedocument.drawingml.chart+xml"/>
  <Override PartName="/xl/drawings/drawing27.xml" ContentType="application/vnd.openxmlformats-officedocument.drawingml.chartshapes+xml"/>
  <Override PartName="/xl/charts/chart90.xml" ContentType="application/vnd.openxmlformats-officedocument.drawingml.chart+xml"/>
  <Override PartName="/xl/drawings/drawing28.xml" ContentType="application/vnd.openxmlformats-officedocument.drawingml.chartshapes+xml"/>
  <Override PartName="/xl/charts/chart91.xml" ContentType="application/vnd.openxmlformats-officedocument.drawingml.chart+xml"/>
  <Override PartName="/xl/drawings/drawing29.xml" ContentType="application/vnd.openxmlformats-officedocument.drawingml.chartshapes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drawings/drawing30.xml" ContentType="application/vnd.openxmlformats-officedocument.drawingml.chartshapes+xml"/>
  <Override PartName="/xl/charts/chart94.xml" ContentType="application/vnd.openxmlformats-officedocument.drawingml.chart+xml"/>
  <Override PartName="/xl/drawings/drawing31.xml" ContentType="application/vnd.openxmlformats-officedocument.drawingml.chartshapes+xml"/>
  <Override PartName="/xl/charts/chart95.xml" ContentType="application/vnd.openxmlformats-officedocument.drawingml.chart+xml"/>
  <Override PartName="/xl/drawings/drawing32.xml" ContentType="application/vnd.openxmlformats-officedocument.drawingml.chartshapes+xml"/>
  <Override PartName="/xl/charts/chart96.xml" ContentType="application/vnd.openxmlformats-officedocument.drawingml.chart+xml"/>
  <Override PartName="/xl/drawings/drawing33.xml" ContentType="application/vnd.openxmlformats-officedocument.drawingml.chartshapes+xml"/>
  <Override PartName="/xl/charts/chart97.xml" ContentType="application/vnd.openxmlformats-officedocument.drawingml.chart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ang/Google Drive/SemSys/Projects/2020_FFG_OBARIS/1_WorkPackages/WP2 Requirement Elicitation/Showcase2/Modellbeschreibung_O6_2020/"/>
    </mc:Choice>
  </mc:AlternateContent>
  <xr:revisionPtr revIDLastSave="0" documentId="13_ncr:1_{823DAAA7-A0E1-3641-B9CD-E230AAD427A1}" xr6:coauthVersionLast="36" xr6:coauthVersionMax="36" xr10:uidLastSave="{00000000-0000-0000-0000-000000000000}"/>
  <bookViews>
    <workbookView xWindow="0" yWindow="460" windowWidth="25600" windowHeight="15540" xr2:uid="{00000000-000D-0000-FFFF-FFFF00000000}"/>
  </bookViews>
  <sheets>
    <sheet name="Parameters" sheetId="6" r:id="rId1"/>
    <sheet name="Basicinfo" sheetId="7" r:id="rId2"/>
    <sheet name="Intermediate" sheetId="9" r:id="rId3"/>
    <sheet name="Local emissions" sheetId="8" r:id="rId4"/>
    <sheet name="Summed emissions" sheetId="10" r:id="rId5"/>
    <sheet name="River loads" sheetId="11" r:id="rId6"/>
    <sheet name="Graphs" sheetId="18" r:id="rId7"/>
    <sheet name="Graphs de" sheetId="25" r:id="rId8"/>
    <sheet name="Graphs mz" sheetId="21" r:id="rId9"/>
    <sheet name="Graphs c eng" sheetId="22" r:id="rId10"/>
    <sheet name="Graphs c de" sheetId="24" r:id="rId11"/>
    <sheet name="TN" sheetId="12" r:id="rId12"/>
    <sheet name="DIN" sheetId="13" r:id="rId13"/>
    <sheet name="TP" sheetId="14" r:id="rId14"/>
    <sheet name="Übertrag P" sheetId="27" r:id="rId15"/>
    <sheet name="Übertrag N" sheetId="28" r:id="rId16"/>
    <sheet name="Tabelle2" sheetId="23" r:id="rId17"/>
    <sheet name="Tabelle1" sheetId="26" r:id="rId18"/>
  </sheets>
  <externalReferences>
    <externalReference r:id="rId19"/>
    <externalReference r:id="rId20"/>
    <externalReference r:id="rId21"/>
    <externalReference r:id="rId22"/>
  </externalReferences>
  <definedNames>
    <definedName name="_xlnm._FilterDatabase" localSheetId="1" hidden="1">Basicinfo!$CY$1:$CY$167</definedName>
    <definedName name="_xlnm._FilterDatabase" localSheetId="3" hidden="1">'Local emissions'!$FC$1:$FC$157</definedName>
    <definedName name="_xlnm._FilterDatabase" localSheetId="5" hidden="1">'River loads'!$BQ$1:$BQ$574</definedName>
    <definedName name="_xlnm._FilterDatabase" localSheetId="4" hidden="1">'Summed emissions'!$CQ$1:$CQ$195</definedName>
  </definedNames>
  <calcPr calcId="181029"/>
</workbook>
</file>

<file path=xl/calcChain.xml><?xml version="1.0" encoding="utf-8"?>
<calcChain xmlns="http://schemas.openxmlformats.org/spreadsheetml/2006/main">
  <c r="CS4" i="9" l="1"/>
  <c r="CT4" i="9" s="1"/>
  <c r="CU4" i="9" s="1"/>
  <c r="Y34" i="18" l="1"/>
  <c r="Y33" i="18"/>
  <c r="Y32" i="18"/>
  <c r="Y31" i="18"/>
  <c r="Y30" i="18"/>
  <c r="Y29" i="18"/>
  <c r="Y28" i="18"/>
  <c r="Y27" i="18"/>
  <c r="Y26" i="18"/>
  <c r="Y25" i="18"/>
  <c r="Y24" i="18"/>
  <c r="Y23" i="18"/>
  <c r="Y22" i="18"/>
  <c r="Y21" i="18"/>
  <c r="Y20" i="18"/>
  <c r="Y19" i="18"/>
  <c r="Y18" i="18"/>
  <c r="Y17" i="18"/>
  <c r="Y16" i="18"/>
  <c r="Y15" i="18"/>
  <c r="Y14" i="18"/>
  <c r="Y13" i="18"/>
  <c r="Y12" i="18"/>
  <c r="Y10" i="18"/>
  <c r="Y9" i="18"/>
  <c r="Y8" i="18"/>
  <c r="Y7" i="18"/>
  <c r="Y6" i="18"/>
  <c r="Y5" i="18"/>
  <c r="Y4" i="18"/>
  <c r="BY40" i="18"/>
  <c r="BX40" i="18"/>
  <c r="BY37" i="18"/>
  <c r="BX37" i="18"/>
  <c r="BY36" i="18"/>
  <c r="BX36" i="18"/>
  <c r="BY35" i="18"/>
  <c r="BX35" i="18"/>
  <c r="BY34" i="18"/>
  <c r="BX34" i="18"/>
  <c r="BY33" i="18"/>
  <c r="BX33" i="18"/>
  <c r="BY32" i="18"/>
  <c r="BX32" i="18"/>
  <c r="BY31" i="18"/>
  <c r="BX31" i="18"/>
  <c r="BY30" i="18"/>
  <c r="BX30" i="18"/>
  <c r="BY29" i="18"/>
  <c r="BX29" i="18"/>
  <c r="BY28" i="18"/>
  <c r="BX28" i="18"/>
  <c r="CC27" i="18"/>
  <c r="BX27" i="18"/>
  <c r="CC26" i="18"/>
  <c r="BX26" i="18"/>
  <c r="BZ25" i="18"/>
  <c r="BX25" i="18"/>
  <c r="BZ24" i="18"/>
  <c r="BX24" i="18"/>
  <c r="BY23" i="18"/>
  <c r="BX23" i="18"/>
  <c r="BY22" i="18"/>
  <c r="BX22" i="18"/>
  <c r="BY21" i="18"/>
  <c r="BX21" i="18"/>
  <c r="BY20" i="18"/>
  <c r="BX20" i="18"/>
  <c r="BY19" i="18"/>
  <c r="BX19" i="18"/>
  <c r="BY18" i="18"/>
  <c r="BX18" i="18"/>
  <c r="BY17" i="18"/>
  <c r="BX17" i="18"/>
  <c r="BY16" i="18"/>
  <c r="BX16" i="18"/>
  <c r="CA15" i="18"/>
  <c r="BX15" i="18"/>
  <c r="BY14" i="18"/>
  <c r="BX14" i="18"/>
  <c r="BY13" i="18"/>
  <c r="BX13" i="18"/>
  <c r="BY12" i="18"/>
  <c r="BX12" i="18"/>
  <c r="BY10" i="18"/>
  <c r="BX10" i="18"/>
  <c r="BY9" i="18"/>
  <c r="BX9" i="18"/>
  <c r="CA8" i="18"/>
  <c r="BX8" i="18"/>
  <c r="BY7" i="18"/>
  <c r="BX7" i="18"/>
  <c r="CA6" i="18"/>
  <c r="BX6" i="18"/>
  <c r="BY5" i="18"/>
  <c r="BX5" i="18"/>
  <c r="BQ40" i="18"/>
  <c r="BP40" i="18"/>
  <c r="BQ37" i="18"/>
  <c r="BP37" i="18"/>
  <c r="BQ36" i="18"/>
  <c r="BP36" i="18"/>
  <c r="BQ35" i="18"/>
  <c r="BP35" i="18"/>
  <c r="BQ34" i="18"/>
  <c r="BP34" i="18"/>
  <c r="BQ33" i="18"/>
  <c r="BP33" i="18"/>
  <c r="BQ32" i="18"/>
  <c r="BP32" i="18"/>
  <c r="BQ31" i="18"/>
  <c r="BP31" i="18"/>
  <c r="BQ30" i="18"/>
  <c r="BP30" i="18"/>
  <c r="BQ29" i="18"/>
  <c r="BP29" i="18"/>
  <c r="BQ28" i="18"/>
  <c r="BP28" i="18"/>
  <c r="BU27" i="18"/>
  <c r="BP27" i="18"/>
  <c r="BU26" i="18"/>
  <c r="BP26" i="18"/>
  <c r="BR25" i="18"/>
  <c r="BP25" i="18"/>
  <c r="BR24" i="18"/>
  <c r="BP24" i="18"/>
  <c r="BQ23" i="18"/>
  <c r="BP23" i="18"/>
  <c r="BQ22" i="18"/>
  <c r="BP22" i="18"/>
  <c r="BQ21" i="18"/>
  <c r="BP21" i="18"/>
  <c r="BQ20" i="18"/>
  <c r="BP20" i="18"/>
  <c r="BQ19" i="18"/>
  <c r="BP19" i="18"/>
  <c r="BQ18" i="18"/>
  <c r="BP18" i="18"/>
  <c r="BQ17" i="18"/>
  <c r="BP17" i="18"/>
  <c r="BQ16" i="18"/>
  <c r="BP16" i="18"/>
  <c r="BS15" i="18"/>
  <c r="BP15" i="18"/>
  <c r="BQ14" i="18"/>
  <c r="BP14" i="18"/>
  <c r="BQ13" i="18"/>
  <c r="BP13" i="18"/>
  <c r="BQ12" i="18"/>
  <c r="BP12" i="18"/>
  <c r="BQ10" i="18"/>
  <c r="BP10" i="18"/>
  <c r="BQ9" i="18"/>
  <c r="BP9" i="18"/>
  <c r="BS8" i="18"/>
  <c r="BP8" i="18"/>
  <c r="BQ7" i="18"/>
  <c r="BP7" i="18"/>
  <c r="BS6" i="18"/>
  <c r="BP6" i="18"/>
  <c r="BQ5" i="18"/>
  <c r="BP5" i="18"/>
  <c r="AB88" i="11" l="1"/>
  <c r="AB87" i="11"/>
  <c r="AB86" i="11"/>
  <c r="AB85" i="11"/>
  <c r="AB84" i="11"/>
  <c r="AB83" i="11"/>
  <c r="AB82" i="11"/>
  <c r="AB81" i="11"/>
  <c r="AB80" i="11"/>
  <c r="AB79" i="11"/>
  <c r="AB78" i="11"/>
  <c r="AB77" i="11"/>
  <c r="AB76" i="11"/>
  <c r="AB75" i="11"/>
  <c r="AB74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60" i="11"/>
  <c r="AB59" i="11"/>
  <c r="AB58" i="11"/>
  <c r="AB57" i="11"/>
  <c r="AB56" i="11"/>
  <c r="AB55" i="11"/>
  <c r="AB54" i="11"/>
  <c r="AB53" i="11"/>
  <c r="AB52" i="11"/>
  <c r="AB51" i="11"/>
  <c r="AB50" i="11"/>
  <c r="AB49" i="11"/>
  <c r="AB48" i="11"/>
  <c r="AB47" i="11"/>
  <c r="AB46" i="11"/>
  <c r="AB45" i="11"/>
  <c r="AB44" i="11"/>
  <c r="AB43" i="11"/>
  <c r="AB42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C88" i="11"/>
  <c r="AC87" i="11"/>
  <c r="AC86" i="11"/>
  <c r="AC85" i="11"/>
  <c r="AC84" i="11"/>
  <c r="AC83" i="11"/>
  <c r="AC82" i="11"/>
  <c r="AC81" i="11"/>
  <c r="AC80" i="11"/>
  <c r="AC79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5" i="11"/>
  <c r="AC64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50" i="11"/>
  <c r="AC49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C6" i="11"/>
  <c r="AC5" i="11"/>
  <c r="AD88" i="11"/>
  <c r="AD87" i="11"/>
  <c r="AD86" i="11"/>
  <c r="AD85" i="11"/>
  <c r="AD84" i="11"/>
  <c r="AD83" i="11"/>
  <c r="AD82" i="11"/>
  <c r="AD81" i="11"/>
  <c r="AD80" i="11"/>
  <c r="AD79" i="11"/>
  <c r="AD78" i="11"/>
  <c r="AD77" i="11"/>
  <c r="AD76" i="11"/>
  <c r="AD75" i="11"/>
  <c r="AD74" i="11"/>
  <c r="AD73" i="11"/>
  <c r="AD72" i="11"/>
  <c r="AD71" i="11"/>
  <c r="AD70" i="11"/>
  <c r="AD69" i="11"/>
  <c r="AD68" i="11"/>
  <c r="AD67" i="11"/>
  <c r="AD66" i="11"/>
  <c r="AD65" i="11"/>
  <c r="AD64" i="11"/>
  <c r="AD63" i="11"/>
  <c r="AD62" i="11"/>
  <c r="AD61" i="11"/>
  <c r="AD60" i="11"/>
  <c r="AD59" i="11"/>
  <c r="AD58" i="11"/>
  <c r="AD57" i="11"/>
  <c r="AD56" i="11"/>
  <c r="AD55" i="11"/>
  <c r="AD54" i="11"/>
  <c r="AD53" i="11"/>
  <c r="AD52" i="11"/>
  <c r="AD51" i="11"/>
  <c r="AD50" i="11"/>
  <c r="AD49" i="11"/>
  <c r="AD48" i="11"/>
  <c r="AD47" i="11"/>
  <c r="AD46" i="11"/>
  <c r="AD45" i="11"/>
  <c r="AD44" i="11"/>
  <c r="AD43" i="11"/>
  <c r="AD42" i="11"/>
  <c r="AD41" i="11"/>
  <c r="AD40" i="11"/>
  <c r="AD39" i="11"/>
  <c r="AD38" i="11"/>
  <c r="AD37" i="11"/>
  <c r="AD36" i="11"/>
  <c r="AD35" i="11"/>
  <c r="AD34" i="11"/>
  <c r="AD33" i="11"/>
  <c r="AD32" i="11"/>
  <c r="AD31" i="11"/>
  <c r="AD30" i="11"/>
  <c r="AD29" i="11"/>
  <c r="AD28" i="11"/>
  <c r="AD27" i="11"/>
  <c r="AD26" i="11"/>
  <c r="AD25" i="11"/>
  <c r="AD24" i="11"/>
  <c r="AD23" i="11"/>
  <c r="AD22" i="11"/>
  <c r="AD21" i="11"/>
  <c r="AD20" i="11"/>
  <c r="AD19" i="11"/>
  <c r="AD18" i="11"/>
  <c r="AD17" i="11"/>
  <c r="AD16" i="11"/>
  <c r="AD15" i="11"/>
  <c r="AD14" i="11"/>
  <c r="AD13" i="11"/>
  <c r="AD12" i="11"/>
  <c r="AD11" i="11"/>
  <c r="AD10" i="11"/>
  <c r="AD9" i="11"/>
  <c r="AD8" i="11"/>
  <c r="AD7" i="11"/>
  <c r="AD6" i="11"/>
  <c r="AD5" i="11"/>
  <c r="AD4" i="11"/>
  <c r="AC4" i="11"/>
  <c r="S23" i="21" l="1"/>
  <c r="S4" i="21"/>
  <c r="S5" i="2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4" i="21"/>
  <c r="S25" i="21"/>
  <c r="Q4" i="21"/>
  <c r="Q5" i="21"/>
  <c r="Q6" i="21"/>
  <c r="Q7" i="21"/>
  <c r="Q20" i="21"/>
  <c r="Q24" i="21"/>
  <c r="CL4" i="7"/>
  <c r="CM4" i="7"/>
  <c r="CN4" i="7"/>
  <c r="CO4" i="7"/>
  <c r="CU4" i="7"/>
  <c r="DQ4" i="7"/>
  <c r="CN52" i="9"/>
  <c r="AS53" i="9"/>
  <c r="AT53" i="9" s="1"/>
  <c r="H53" i="9"/>
  <c r="Q53" i="9" s="1"/>
  <c r="R53" i="9" s="1"/>
  <c r="AH53" i="9"/>
  <c r="K53" i="9"/>
  <c r="D53" i="9"/>
  <c r="E53" i="9"/>
  <c r="AV53" i="9"/>
  <c r="AX53" i="9"/>
  <c r="AY53" i="9" s="1"/>
  <c r="AZ53" i="9" s="1"/>
  <c r="AG53" i="9"/>
  <c r="AI53" i="9" s="1"/>
  <c r="J53" i="9"/>
  <c r="I53" i="9"/>
  <c r="G53" i="9"/>
  <c r="X53" i="9" s="1"/>
  <c r="CN53" i="9"/>
  <c r="AS43" i="9"/>
  <c r="AT43" i="9" s="1"/>
  <c r="H43" i="9"/>
  <c r="AH43" i="9"/>
  <c r="K43" i="9"/>
  <c r="AV43" i="9"/>
  <c r="AX43" i="9"/>
  <c r="AY43" i="9" s="1"/>
  <c r="AZ43" i="9" s="1"/>
  <c r="AG43" i="9"/>
  <c r="J43" i="9"/>
  <c r="I43" i="9"/>
  <c r="D43" i="9"/>
  <c r="E43" i="9"/>
  <c r="D42" i="9"/>
  <c r="E42" i="9"/>
  <c r="H42" i="9"/>
  <c r="AS42" i="9"/>
  <c r="AT42" i="9" s="1"/>
  <c r="AH42" i="9"/>
  <c r="K42" i="9"/>
  <c r="AV42" i="9"/>
  <c r="AX42" i="9"/>
  <c r="AY42" i="9" s="1"/>
  <c r="AZ42" i="9" s="1"/>
  <c r="AG42" i="9"/>
  <c r="AI42" i="9" s="1"/>
  <c r="J42" i="9"/>
  <c r="I42" i="9"/>
  <c r="AS41" i="9"/>
  <c r="AT41" i="9" s="1"/>
  <c r="H41" i="9"/>
  <c r="Q41" i="9" s="1"/>
  <c r="AB41" i="9" s="1"/>
  <c r="AH41" i="9"/>
  <c r="K41" i="9"/>
  <c r="D41" i="9"/>
  <c r="E41" i="9"/>
  <c r="AV41" i="9"/>
  <c r="AX41" i="9"/>
  <c r="AY41" i="9" s="1"/>
  <c r="AZ41" i="9" s="1"/>
  <c r="AG41" i="9"/>
  <c r="J41" i="9"/>
  <c r="I41" i="9"/>
  <c r="D40" i="9"/>
  <c r="E40" i="9"/>
  <c r="H40" i="9"/>
  <c r="Q40" i="9" s="1"/>
  <c r="S40" i="9" s="1"/>
  <c r="AS40" i="9"/>
  <c r="AT40" i="9" s="1"/>
  <c r="AH40" i="9"/>
  <c r="K40" i="9"/>
  <c r="AV40" i="9"/>
  <c r="AX40" i="9"/>
  <c r="AY40" i="9" s="1"/>
  <c r="AZ40" i="9" s="1"/>
  <c r="AG40" i="9"/>
  <c r="AI40" i="9" s="1"/>
  <c r="J40" i="9"/>
  <c r="I40" i="9"/>
  <c r="G43" i="9"/>
  <c r="X43" i="9" s="1"/>
  <c r="G42" i="9"/>
  <c r="X42" i="9" s="1"/>
  <c r="G41" i="9"/>
  <c r="X41" i="9" s="1"/>
  <c r="G40" i="9"/>
  <c r="X40" i="9" s="1"/>
  <c r="G52" i="9"/>
  <c r="X52" i="9" s="1"/>
  <c r="H52" i="9"/>
  <c r="Q52" i="9" s="1"/>
  <c r="D52" i="9"/>
  <c r="E52" i="9"/>
  <c r="G45" i="9"/>
  <c r="X45" i="9" s="1"/>
  <c r="H45" i="9"/>
  <c r="Q45" i="9" s="1"/>
  <c r="S45" i="9" s="1"/>
  <c r="D45" i="9"/>
  <c r="E45" i="9"/>
  <c r="AS45" i="9"/>
  <c r="AT45" i="9"/>
  <c r="AH45" i="9"/>
  <c r="K45" i="9"/>
  <c r="AV45" i="9"/>
  <c r="AX45" i="9"/>
  <c r="AY45" i="9" s="1"/>
  <c r="AZ45" i="9" s="1"/>
  <c r="AG45" i="9"/>
  <c r="J45" i="9"/>
  <c r="I45" i="9"/>
  <c r="CN45" i="9"/>
  <c r="G44" i="9"/>
  <c r="X44" i="9" s="1"/>
  <c r="H44" i="9"/>
  <c r="Q44" i="9" s="1"/>
  <c r="D44" i="9"/>
  <c r="E44" i="9"/>
  <c r="AS44" i="9"/>
  <c r="AT44" i="9" s="1"/>
  <c r="AH44" i="9"/>
  <c r="K44" i="9"/>
  <c r="AV44" i="9"/>
  <c r="AX44" i="9"/>
  <c r="AY44" i="9" s="1"/>
  <c r="AZ44" i="9" s="1"/>
  <c r="AG44" i="9"/>
  <c r="J44" i="9"/>
  <c r="I44" i="9"/>
  <c r="CN44" i="9"/>
  <c r="G3" i="28"/>
  <c r="G2" i="28"/>
  <c r="H3" i="28"/>
  <c r="H2" i="28"/>
  <c r="C88" i="28"/>
  <c r="C87" i="28"/>
  <c r="C86" i="28"/>
  <c r="C85" i="28"/>
  <c r="C2" i="28"/>
  <c r="F2" i="28"/>
  <c r="E3" i="28"/>
  <c r="E2" i="28"/>
  <c r="AH88" i="9"/>
  <c r="AG88" i="9"/>
  <c r="AV88" i="9"/>
  <c r="AX88" i="9"/>
  <c r="AY88" i="9" s="1"/>
  <c r="BQ88" i="7"/>
  <c r="AH87" i="9"/>
  <c r="AG87" i="9"/>
  <c r="AV87" i="9"/>
  <c r="AX87" i="9"/>
  <c r="AY87" i="9" s="1"/>
  <c r="AZ87" i="9" s="1"/>
  <c r="I87" i="8" s="1"/>
  <c r="AV87" i="8" s="1"/>
  <c r="BQ87" i="7"/>
  <c r="AH86" i="9"/>
  <c r="AG86" i="9"/>
  <c r="AV86" i="9"/>
  <c r="AX86" i="9"/>
  <c r="AY86" i="9" s="1"/>
  <c r="BQ86" i="7"/>
  <c r="AH85" i="9"/>
  <c r="AG85" i="9"/>
  <c r="AV85" i="9"/>
  <c r="AX85" i="9"/>
  <c r="AY85" i="9" s="1"/>
  <c r="BQ85" i="7"/>
  <c r="D3" i="28"/>
  <c r="D2" i="28"/>
  <c r="B88" i="28"/>
  <c r="A88" i="28"/>
  <c r="B87" i="28"/>
  <c r="A87" i="28"/>
  <c r="B86" i="28"/>
  <c r="A86" i="28"/>
  <c r="B85" i="28"/>
  <c r="A85" i="28"/>
  <c r="B84" i="28"/>
  <c r="A84" i="28"/>
  <c r="B83" i="28"/>
  <c r="A83" i="28"/>
  <c r="B82" i="28"/>
  <c r="A82" i="28"/>
  <c r="B81" i="28"/>
  <c r="A81" i="28"/>
  <c r="B80" i="28"/>
  <c r="A80" i="28"/>
  <c r="B79" i="28"/>
  <c r="A79" i="28"/>
  <c r="B78" i="28"/>
  <c r="A78" i="28"/>
  <c r="B77" i="28"/>
  <c r="A77" i="28"/>
  <c r="B76" i="28"/>
  <c r="A76" i="28"/>
  <c r="B75" i="28"/>
  <c r="A75" i="28"/>
  <c r="B74" i="28"/>
  <c r="A74" i="28"/>
  <c r="B73" i="28"/>
  <c r="A73" i="28"/>
  <c r="B72" i="28"/>
  <c r="A72" i="28"/>
  <c r="B71" i="28"/>
  <c r="A71" i="28"/>
  <c r="B70" i="28"/>
  <c r="A70" i="28"/>
  <c r="B69" i="28"/>
  <c r="A69" i="28"/>
  <c r="B68" i="28"/>
  <c r="A68" i="28"/>
  <c r="B67" i="28"/>
  <c r="A67" i="28"/>
  <c r="B66" i="28"/>
  <c r="A66" i="28"/>
  <c r="B65" i="28"/>
  <c r="A65" i="28"/>
  <c r="B64" i="28"/>
  <c r="A64" i="28"/>
  <c r="B63" i="28"/>
  <c r="A63" i="28"/>
  <c r="B62" i="28"/>
  <c r="A62" i="28"/>
  <c r="B61" i="28"/>
  <c r="A61" i="28"/>
  <c r="B60" i="28"/>
  <c r="A60" i="28"/>
  <c r="B59" i="28"/>
  <c r="A59" i="28"/>
  <c r="B58" i="28"/>
  <c r="A58" i="28"/>
  <c r="B57" i="28"/>
  <c r="A57" i="28"/>
  <c r="B56" i="28"/>
  <c r="A56" i="28"/>
  <c r="B55" i="28"/>
  <c r="A55" i="28"/>
  <c r="B54" i="28"/>
  <c r="A54" i="28"/>
  <c r="B53" i="28"/>
  <c r="A53" i="28"/>
  <c r="B52" i="28"/>
  <c r="A52" i="28"/>
  <c r="B51" i="28"/>
  <c r="A51" i="28"/>
  <c r="B50" i="28"/>
  <c r="A50" i="28"/>
  <c r="B49" i="28"/>
  <c r="A49" i="28"/>
  <c r="B48" i="28"/>
  <c r="A48" i="28"/>
  <c r="B47" i="28"/>
  <c r="A47" i="28"/>
  <c r="B46" i="28"/>
  <c r="A46" i="28"/>
  <c r="B45" i="28"/>
  <c r="A45" i="28"/>
  <c r="B44" i="28"/>
  <c r="A44" i="28"/>
  <c r="B43" i="28"/>
  <c r="A43" i="28"/>
  <c r="B42" i="28"/>
  <c r="A42" i="28"/>
  <c r="B41" i="28"/>
  <c r="A41" i="28"/>
  <c r="B40" i="28"/>
  <c r="A40" i="28"/>
  <c r="B39" i="28"/>
  <c r="A39" i="28"/>
  <c r="B38" i="28"/>
  <c r="A38" i="28"/>
  <c r="B37" i="28"/>
  <c r="A37" i="28"/>
  <c r="B36" i="28"/>
  <c r="A36" i="28"/>
  <c r="B35" i="28"/>
  <c r="A35" i="28"/>
  <c r="B34" i="28"/>
  <c r="A34" i="28"/>
  <c r="B33" i="28"/>
  <c r="A33" i="28"/>
  <c r="B32" i="28"/>
  <c r="A32" i="28"/>
  <c r="B31" i="28"/>
  <c r="A31" i="28"/>
  <c r="B30" i="28"/>
  <c r="A30" i="28"/>
  <c r="B29" i="28"/>
  <c r="A29" i="28"/>
  <c r="B28" i="28"/>
  <c r="A28" i="28"/>
  <c r="B27" i="28"/>
  <c r="A27" i="28"/>
  <c r="B26" i="28"/>
  <c r="A26" i="28"/>
  <c r="B25" i="28"/>
  <c r="A25" i="28"/>
  <c r="B24" i="28"/>
  <c r="A24" i="28"/>
  <c r="B23" i="28"/>
  <c r="A23" i="28"/>
  <c r="B22" i="28"/>
  <c r="A22" i="28"/>
  <c r="B21" i="28"/>
  <c r="A21" i="28"/>
  <c r="B20" i="28"/>
  <c r="A20" i="28"/>
  <c r="B19" i="28"/>
  <c r="A19" i="28"/>
  <c r="B18" i="28"/>
  <c r="A18" i="28"/>
  <c r="B17" i="28"/>
  <c r="A17" i="28"/>
  <c r="B16" i="28"/>
  <c r="A16" i="28"/>
  <c r="B15" i="28"/>
  <c r="A15" i="28"/>
  <c r="B14" i="28"/>
  <c r="A14" i="28"/>
  <c r="B13" i="28"/>
  <c r="A13" i="28"/>
  <c r="B12" i="28"/>
  <c r="A12" i="28"/>
  <c r="B11" i="28"/>
  <c r="A11" i="28"/>
  <c r="B10" i="28"/>
  <c r="A10" i="28"/>
  <c r="B9" i="28"/>
  <c r="A9" i="28"/>
  <c r="B8" i="28"/>
  <c r="A8" i="28"/>
  <c r="B7" i="28"/>
  <c r="A7" i="28"/>
  <c r="B6" i="28"/>
  <c r="A6" i="28"/>
  <c r="B5" i="28"/>
  <c r="A5" i="28"/>
  <c r="B4" i="28"/>
  <c r="A4" i="28"/>
  <c r="B3" i="28"/>
  <c r="A3" i="28"/>
  <c r="B2" i="28"/>
  <c r="A2" i="28"/>
  <c r="I88" i="27"/>
  <c r="H88" i="27"/>
  <c r="G88" i="27"/>
  <c r="F88" i="27"/>
  <c r="C88" i="27"/>
  <c r="B88" i="27"/>
  <c r="I87" i="27"/>
  <c r="H87" i="27"/>
  <c r="G87" i="27"/>
  <c r="F87" i="27"/>
  <c r="C87" i="27"/>
  <c r="B87" i="27"/>
  <c r="I86" i="27"/>
  <c r="H86" i="27"/>
  <c r="G86" i="27"/>
  <c r="F86" i="27"/>
  <c r="C86" i="27"/>
  <c r="B86" i="27"/>
  <c r="I85" i="27"/>
  <c r="H85" i="27"/>
  <c r="G85" i="27"/>
  <c r="F85" i="27"/>
  <c r="C85" i="27"/>
  <c r="B85" i="27"/>
  <c r="G84" i="27"/>
  <c r="F84" i="27"/>
  <c r="C84" i="27"/>
  <c r="B84" i="27"/>
  <c r="G83" i="27"/>
  <c r="F83" i="27"/>
  <c r="C83" i="27"/>
  <c r="B83" i="27"/>
  <c r="G82" i="27"/>
  <c r="F82" i="27"/>
  <c r="C82" i="27"/>
  <c r="B82" i="27"/>
  <c r="G81" i="27"/>
  <c r="F81" i="27"/>
  <c r="C81" i="27"/>
  <c r="B81" i="27"/>
  <c r="G80" i="27"/>
  <c r="F80" i="27"/>
  <c r="C80" i="27"/>
  <c r="B80" i="27"/>
  <c r="G79" i="27"/>
  <c r="F79" i="27"/>
  <c r="C79" i="27"/>
  <c r="B79" i="27"/>
  <c r="G78" i="27"/>
  <c r="F78" i="27"/>
  <c r="C78" i="27"/>
  <c r="B78" i="27"/>
  <c r="G77" i="27"/>
  <c r="F77" i="27"/>
  <c r="C77" i="27"/>
  <c r="B77" i="27"/>
  <c r="G76" i="27"/>
  <c r="F76" i="27"/>
  <c r="C76" i="27"/>
  <c r="B76" i="27"/>
  <c r="G75" i="27"/>
  <c r="F75" i="27"/>
  <c r="C75" i="27"/>
  <c r="B75" i="27"/>
  <c r="G74" i="27"/>
  <c r="F74" i="27"/>
  <c r="C74" i="27"/>
  <c r="B74" i="27"/>
  <c r="G73" i="27"/>
  <c r="F73" i="27"/>
  <c r="C73" i="27"/>
  <c r="B73" i="27"/>
  <c r="G72" i="27"/>
  <c r="F72" i="27"/>
  <c r="C72" i="27"/>
  <c r="B72" i="27"/>
  <c r="G71" i="27"/>
  <c r="F71" i="27"/>
  <c r="C71" i="27"/>
  <c r="B71" i="27"/>
  <c r="G70" i="27"/>
  <c r="F70" i="27"/>
  <c r="C70" i="27"/>
  <c r="B70" i="27"/>
  <c r="G69" i="27"/>
  <c r="F69" i="27"/>
  <c r="C69" i="27"/>
  <c r="B69" i="27"/>
  <c r="G68" i="27"/>
  <c r="F68" i="27"/>
  <c r="C68" i="27"/>
  <c r="B68" i="27"/>
  <c r="G67" i="27"/>
  <c r="F67" i="27"/>
  <c r="C67" i="27"/>
  <c r="B67" i="27"/>
  <c r="G66" i="27"/>
  <c r="F66" i="27"/>
  <c r="C66" i="27"/>
  <c r="B66" i="27"/>
  <c r="G65" i="27"/>
  <c r="F65" i="27"/>
  <c r="C65" i="27"/>
  <c r="B65" i="27"/>
  <c r="G64" i="27"/>
  <c r="F64" i="27"/>
  <c r="C64" i="27"/>
  <c r="B64" i="27"/>
  <c r="G63" i="27"/>
  <c r="F63" i="27"/>
  <c r="C63" i="27"/>
  <c r="B63" i="27"/>
  <c r="G62" i="27"/>
  <c r="F62" i="27"/>
  <c r="C62" i="27"/>
  <c r="B62" i="27"/>
  <c r="G61" i="27"/>
  <c r="F61" i="27"/>
  <c r="C61" i="27"/>
  <c r="B61" i="27"/>
  <c r="G60" i="27"/>
  <c r="F60" i="27"/>
  <c r="C60" i="27"/>
  <c r="B60" i="27"/>
  <c r="G59" i="27"/>
  <c r="F59" i="27"/>
  <c r="C59" i="27"/>
  <c r="B59" i="27"/>
  <c r="G58" i="27"/>
  <c r="F58" i="27"/>
  <c r="C58" i="27"/>
  <c r="B58" i="27"/>
  <c r="G57" i="27"/>
  <c r="F57" i="27"/>
  <c r="C57" i="27"/>
  <c r="B57" i="27"/>
  <c r="G56" i="27"/>
  <c r="F56" i="27"/>
  <c r="C56" i="27"/>
  <c r="B56" i="27"/>
  <c r="G55" i="27"/>
  <c r="F55" i="27"/>
  <c r="C55" i="27"/>
  <c r="B55" i="27"/>
  <c r="G54" i="27"/>
  <c r="F54" i="27"/>
  <c r="C54" i="27"/>
  <c r="B54" i="27"/>
  <c r="G53" i="27"/>
  <c r="F53" i="27"/>
  <c r="C53" i="27"/>
  <c r="B53" i="27"/>
  <c r="G52" i="27"/>
  <c r="F52" i="27"/>
  <c r="C52" i="27"/>
  <c r="B52" i="27"/>
  <c r="G51" i="27"/>
  <c r="F51" i="27"/>
  <c r="C51" i="27"/>
  <c r="B51" i="27"/>
  <c r="G50" i="27"/>
  <c r="F50" i="27"/>
  <c r="C50" i="27"/>
  <c r="B50" i="27"/>
  <c r="G49" i="27"/>
  <c r="F49" i="27"/>
  <c r="C49" i="27"/>
  <c r="B49" i="27"/>
  <c r="G48" i="27"/>
  <c r="F48" i="27"/>
  <c r="C48" i="27"/>
  <c r="B48" i="27"/>
  <c r="G47" i="27"/>
  <c r="F47" i="27"/>
  <c r="C47" i="27"/>
  <c r="B47" i="27"/>
  <c r="G46" i="27"/>
  <c r="F46" i="27"/>
  <c r="C46" i="27"/>
  <c r="B46" i="27"/>
  <c r="G45" i="27"/>
  <c r="F45" i="27"/>
  <c r="C45" i="27"/>
  <c r="B45" i="27"/>
  <c r="G44" i="27"/>
  <c r="F44" i="27"/>
  <c r="C44" i="27"/>
  <c r="B44" i="27"/>
  <c r="G43" i="27"/>
  <c r="F43" i="27"/>
  <c r="C43" i="27"/>
  <c r="B43" i="27"/>
  <c r="G42" i="27"/>
  <c r="F42" i="27"/>
  <c r="C42" i="27"/>
  <c r="B42" i="27"/>
  <c r="G41" i="27"/>
  <c r="F41" i="27"/>
  <c r="C41" i="27"/>
  <c r="B41" i="27"/>
  <c r="G40" i="27"/>
  <c r="F40" i="27"/>
  <c r="C40" i="27"/>
  <c r="B40" i="27"/>
  <c r="G39" i="27"/>
  <c r="F39" i="27"/>
  <c r="C39" i="27"/>
  <c r="B39" i="27"/>
  <c r="G38" i="27"/>
  <c r="F38" i="27"/>
  <c r="C38" i="27"/>
  <c r="B38" i="27"/>
  <c r="G37" i="27"/>
  <c r="F37" i="27"/>
  <c r="C37" i="27"/>
  <c r="B37" i="27"/>
  <c r="G36" i="27"/>
  <c r="F36" i="27"/>
  <c r="C36" i="27"/>
  <c r="B36" i="27"/>
  <c r="G35" i="27"/>
  <c r="F35" i="27"/>
  <c r="C35" i="27"/>
  <c r="B35" i="27"/>
  <c r="G34" i="27"/>
  <c r="F34" i="27"/>
  <c r="C34" i="27"/>
  <c r="B34" i="27"/>
  <c r="G33" i="27"/>
  <c r="F33" i="27"/>
  <c r="C33" i="27"/>
  <c r="B33" i="27"/>
  <c r="G32" i="27"/>
  <c r="F32" i="27"/>
  <c r="C32" i="27"/>
  <c r="B32" i="27"/>
  <c r="G31" i="27"/>
  <c r="F31" i="27"/>
  <c r="C31" i="27"/>
  <c r="B31" i="27"/>
  <c r="G30" i="27"/>
  <c r="F30" i="27"/>
  <c r="C30" i="27"/>
  <c r="B30" i="27"/>
  <c r="G29" i="27"/>
  <c r="F29" i="27"/>
  <c r="C29" i="27"/>
  <c r="B29" i="27"/>
  <c r="G28" i="27"/>
  <c r="F28" i="27"/>
  <c r="C28" i="27"/>
  <c r="B28" i="27"/>
  <c r="G27" i="27"/>
  <c r="F27" i="27"/>
  <c r="C27" i="27"/>
  <c r="B27" i="27"/>
  <c r="G26" i="27"/>
  <c r="F26" i="27"/>
  <c r="C26" i="27"/>
  <c r="B26" i="27"/>
  <c r="G25" i="27"/>
  <c r="F25" i="27"/>
  <c r="C25" i="27"/>
  <c r="B25" i="27"/>
  <c r="G24" i="27"/>
  <c r="F24" i="27"/>
  <c r="C24" i="27"/>
  <c r="B24" i="27"/>
  <c r="G23" i="27"/>
  <c r="F23" i="27"/>
  <c r="C23" i="27"/>
  <c r="B23" i="27"/>
  <c r="G22" i="27"/>
  <c r="F22" i="27"/>
  <c r="C22" i="27"/>
  <c r="B22" i="27"/>
  <c r="G21" i="27"/>
  <c r="F21" i="27"/>
  <c r="C21" i="27"/>
  <c r="B21" i="27"/>
  <c r="G20" i="27"/>
  <c r="F20" i="27"/>
  <c r="C20" i="27"/>
  <c r="B20" i="27"/>
  <c r="G19" i="27"/>
  <c r="F19" i="27"/>
  <c r="C19" i="27"/>
  <c r="B19" i="27"/>
  <c r="G18" i="27"/>
  <c r="F18" i="27"/>
  <c r="C18" i="27"/>
  <c r="B18" i="27"/>
  <c r="G17" i="27"/>
  <c r="F17" i="27"/>
  <c r="C17" i="27"/>
  <c r="B17" i="27"/>
  <c r="G16" i="27"/>
  <c r="F16" i="27"/>
  <c r="C16" i="27"/>
  <c r="B16" i="27"/>
  <c r="G15" i="27"/>
  <c r="F15" i="27"/>
  <c r="C15" i="27"/>
  <c r="B15" i="27"/>
  <c r="G14" i="27"/>
  <c r="F14" i="27"/>
  <c r="C14" i="27"/>
  <c r="B14" i="27"/>
  <c r="G13" i="27"/>
  <c r="F13" i="27"/>
  <c r="C13" i="27"/>
  <c r="B13" i="27"/>
  <c r="G12" i="27"/>
  <c r="F12" i="27"/>
  <c r="C12" i="27"/>
  <c r="B12" i="27"/>
  <c r="G11" i="27"/>
  <c r="F11" i="27"/>
  <c r="C11" i="27"/>
  <c r="B11" i="27"/>
  <c r="G10" i="27"/>
  <c r="F10" i="27"/>
  <c r="C10" i="27"/>
  <c r="B10" i="27"/>
  <c r="G9" i="27"/>
  <c r="F9" i="27"/>
  <c r="C9" i="27"/>
  <c r="B9" i="27"/>
  <c r="G8" i="27"/>
  <c r="F8" i="27"/>
  <c r="C8" i="27"/>
  <c r="B8" i="27"/>
  <c r="G7" i="27"/>
  <c r="F7" i="27"/>
  <c r="C7" i="27"/>
  <c r="B7" i="27"/>
  <c r="G6" i="27"/>
  <c r="F6" i="27"/>
  <c r="C6" i="27"/>
  <c r="B6" i="27"/>
  <c r="G5" i="27"/>
  <c r="F5" i="27"/>
  <c r="C5" i="27"/>
  <c r="B5" i="27"/>
  <c r="G4" i="27"/>
  <c r="F4" i="27"/>
  <c r="C4" i="27"/>
  <c r="B4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E3" i="27"/>
  <c r="C3" i="27"/>
  <c r="B3" i="27"/>
  <c r="A3" i="27"/>
  <c r="E2" i="27"/>
  <c r="C2" i="27"/>
  <c r="B2" i="27"/>
  <c r="A2" i="27"/>
  <c r="BP88" i="7"/>
  <c r="BP87" i="7"/>
  <c r="BP86" i="7"/>
  <c r="BP85" i="7"/>
  <c r="BC88" i="7"/>
  <c r="BB88" i="7"/>
  <c r="BA88" i="7"/>
  <c r="BC87" i="7"/>
  <c r="BB87" i="7"/>
  <c r="BA87" i="7"/>
  <c r="BC86" i="7"/>
  <c r="BB86" i="7"/>
  <c r="BA86" i="7"/>
  <c r="BC85" i="7"/>
  <c r="BB85" i="7"/>
  <c r="BA85" i="7"/>
  <c r="AZ88" i="7"/>
  <c r="AZ87" i="7"/>
  <c r="AZ86" i="7"/>
  <c r="AZ85" i="7"/>
  <c r="BL88" i="7"/>
  <c r="BL87" i="7"/>
  <c r="BL86" i="7"/>
  <c r="BL85" i="7"/>
  <c r="BK88" i="7"/>
  <c r="BK87" i="7"/>
  <c r="BK86" i="7"/>
  <c r="BK85" i="7"/>
  <c r="BJ88" i="7"/>
  <c r="BI88" i="7"/>
  <c r="BH88" i="7"/>
  <c r="BG88" i="7"/>
  <c r="BF88" i="7"/>
  <c r="BJ87" i="7"/>
  <c r="BI87" i="7"/>
  <c r="BH87" i="7"/>
  <c r="BG87" i="7"/>
  <c r="BF87" i="7"/>
  <c r="BJ86" i="7"/>
  <c r="BI86" i="7"/>
  <c r="BH86" i="7"/>
  <c r="BG86" i="7"/>
  <c r="BF86" i="7"/>
  <c r="BJ85" i="7"/>
  <c r="BI85" i="7"/>
  <c r="BH85" i="7"/>
  <c r="BG85" i="7"/>
  <c r="BF85" i="7"/>
  <c r="BE88" i="7"/>
  <c r="BE87" i="7"/>
  <c r="BE86" i="7"/>
  <c r="BE85" i="7"/>
  <c r="IL2" i="8"/>
  <c r="IK2" i="8"/>
  <c r="GY2" i="8"/>
  <c r="FO2" i="8"/>
  <c r="HA2" i="8" s="1"/>
  <c r="FN2" i="8"/>
  <c r="GZ2" i="8" s="1"/>
  <c r="FM2" i="8"/>
  <c r="GN2" i="8"/>
  <c r="GL2" i="8"/>
  <c r="GM2" i="8"/>
  <c r="CR63" i="9"/>
  <c r="CR62" i="9"/>
  <c r="CR61" i="9"/>
  <c r="CR60" i="9"/>
  <c r="CR59" i="9" s="1"/>
  <c r="CR58" i="9"/>
  <c r="CR56" i="9" s="1"/>
  <c r="CR57" i="9"/>
  <c r="CR55" i="9"/>
  <c r="CR54" i="9"/>
  <c r="CR51" i="9"/>
  <c r="CR50" i="9"/>
  <c r="CR49" i="9"/>
  <c r="CR48" i="9"/>
  <c r="CR47" i="9" s="1"/>
  <c r="CR46" i="9"/>
  <c r="CR43" i="9"/>
  <c r="CR42" i="9"/>
  <c r="CR41" i="9"/>
  <c r="CR40" i="9"/>
  <c r="CR39" i="9"/>
  <c r="CR38" i="9"/>
  <c r="CR37" i="9"/>
  <c r="CR36" i="9"/>
  <c r="CR35" i="9"/>
  <c r="CR34" i="9"/>
  <c r="CR33" i="9"/>
  <c r="CR32" i="9"/>
  <c r="CR31" i="9"/>
  <c r="CR30" i="9"/>
  <c r="CR29" i="9"/>
  <c r="CR28" i="9"/>
  <c r="CR27" i="9"/>
  <c r="CR26" i="9"/>
  <c r="CR25" i="9"/>
  <c r="CR24" i="9"/>
  <c r="CR23" i="9"/>
  <c r="CR22" i="9"/>
  <c r="CR21" i="9"/>
  <c r="CR20" i="9"/>
  <c r="CR19" i="9"/>
  <c r="CR18" i="9"/>
  <c r="CR17" i="9"/>
  <c r="CR16" i="9"/>
  <c r="CR15" i="9"/>
  <c r="CR14" i="9"/>
  <c r="CR13" i="9"/>
  <c r="CR12" i="9"/>
  <c r="CR11" i="9"/>
  <c r="CR10" i="9"/>
  <c r="CR9" i="9"/>
  <c r="CR8" i="9"/>
  <c r="CR7" i="9"/>
  <c r="CR6" i="9"/>
  <c r="CR5" i="9"/>
  <c r="CR4" i="9"/>
  <c r="CB5" i="10"/>
  <c r="CC5" i="10"/>
  <c r="CB6" i="10"/>
  <c r="CC6" i="10"/>
  <c r="CB7" i="10"/>
  <c r="CC7" i="10"/>
  <c r="CB8" i="10"/>
  <c r="CC8" i="10"/>
  <c r="CB9" i="10"/>
  <c r="CC9" i="10"/>
  <c r="CB10" i="10"/>
  <c r="CC10" i="10"/>
  <c r="CB11" i="10"/>
  <c r="CC11" i="10"/>
  <c r="CB12" i="10"/>
  <c r="CC12" i="10"/>
  <c r="CB13" i="10"/>
  <c r="CC13" i="10"/>
  <c r="CB14" i="10"/>
  <c r="CC14" i="10"/>
  <c r="CB15" i="10"/>
  <c r="CC15" i="10"/>
  <c r="CB16" i="10"/>
  <c r="CC16" i="10"/>
  <c r="CB17" i="10"/>
  <c r="CC17" i="10"/>
  <c r="CB18" i="10"/>
  <c r="CC18" i="10"/>
  <c r="CB19" i="10"/>
  <c r="CC19" i="10"/>
  <c r="CB20" i="10"/>
  <c r="CC20" i="10"/>
  <c r="CB21" i="10"/>
  <c r="CC21" i="10"/>
  <c r="CB22" i="10"/>
  <c r="CC22" i="10"/>
  <c r="CB23" i="10"/>
  <c r="CC23" i="10"/>
  <c r="CB24" i="10"/>
  <c r="CC24" i="10"/>
  <c r="CB25" i="10"/>
  <c r="CC25" i="10"/>
  <c r="CB26" i="10"/>
  <c r="CC26" i="10"/>
  <c r="CB27" i="10"/>
  <c r="CC27" i="10"/>
  <c r="CB28" i="10"/>
  <c r="CC28" i="10"/>
  <c r="CB29" i="10"/>
  <c r="CC29" i="10"/>
  <c r="CB30" i="10"/>
  <c r="CC30" i="10"/>
  <c r="CB31" i="10"/>
  <c r="CC31" i="10"/>
  <c r="CB32" i="10"/>
  <c r="CC32" i="10"/>
  <c r="CB33" i="10"/>
  <c r="CC33" i="10"/>
  <c r="CB34" i="10"/>
  <c r="CC34" i="10"/>
  <c r="CB35" i="10"/>
  <c r="CC35" i="10"/>
  <c r="CB36" i="10"/>
  <c r="CC36" i="10"/>
  <c r="CB37" i="10"/>
  <c r="CC37" i="10"/>
  <c r="CB38" i="10"/>
  <c r="CC38" i="10"/>
  <c r="CB39" i="10"/>
  <c r="CC39" i="10"/>
  <c r="CB40" i="10"/>
  <c r="CC40" i="10"/>
  <c r="CB41" i="10"/>
  <c r="CC41" i="10"/>
  <c r="CB42" i="10"/>
  <c r="CC42" i="10"/>
  <c r="CB43" i="10"/>
  <c r="CC43" i="10"/>
  <c r="CB44" i="10"/>
  <c r="CC44" i="10"/>
  <c r="CB45" i="10"/>
  <c r="CC45" i="10"/>
  <c r="CB46" i="10"/>
  <c r="CC46" i="10"/>
  <c r="CB47" i="10"/>
  <c r="CC47" i="10"/>
  <c r="CB48" i="10"/>
  <c r="CC48" i="10"/>
  <c r="CB49" i="10"/>
  <c r="CC49" i="10"/>
  <c r="CB50" i="10"/>
  <c r="CC50" i="10"/>
  <c r="CB51" i="10"/>
  <c r="CC51" i="10"/>
  <c r="CB52" i="10"/>
  <c r="CC52" i="10"/>
  <c r="CB53" i="10"/>
  <c r="CC53" i="10"/>
  <c r="CB54" i="10"/>
  <c r="CC54" i="10"/>
  <c r="CB55" i="10"/>
  <c r="CC55" i="10"/>
  <c r="CB56" i="10"/>
  <c r="CC56" i="10"/>
  <c r="CB57" i="10"/>
  <c r="CC57" i="10"/>
  <c r="CB58" i="10"/>
  <c r="CC58" i="10"/>
  <c r="CB59" i="10"/>
  <c r="CC59" i="10"/>
  <c r="CB60" i="10"/>
  <c r="CC60" i="10"/>
  <c r="CB61" i="10"/>
  <c r="CC61" i="10"/>
  <c r="CB62" i="10"/>
  <c r="CC62" i="10"/>
  <c r="CB63" i="10"/>
  <c r="CC63" i="10"/>
  <c r="CB64" i="10"/>
  <c r="CC64" i="10"/>
  <c r="CB65" i="10"/>
  <c r="CC65" i="10"/>
  <c r="CB66" i="10"/>
  <c r="CC66" i="10"/>
  <c r="CB67" i="10"/>
  <c r="CC67" i="10"/>
  <c r="CB68" i="10"/>
  <c r="CC68" i="10"/>
  <c r="CB69" i="10"/>
  <c r="CC69" i="10"/>
  <c r="CB70" i="10"/>
  <c r="CC70" i="10"/>
  <c r="CB71" i="10"/>
  <c r="CC71" i="10"/>
  <c r="CB72" i="10"/>
  <c r="CC72" i="10"/>
  <c r="CB73" i="10"/>
  <c r="CC73" i="10"/>
  <c r="CB74" i="10"/>
  <c r="CC74" i="10"/>
  <c r="CB75" i="10"/>
  <c r="CC75" i="10"/>
  <c r="CB76" i="10"/>
  <c r="CC76" i="10"/>
  <c r="CB77" i="10"/>
  <c r="CC77" i="10"/>
  <c r="CB78" i="10"/>
  <c r="CC78" i="10"/>
  <c r="CB79" i="10"/>
  <c r="CC79" i="10"/>
  <c r="CB80" i="10"/>
  <c r="CC80" i="10"/>
  <c r="CB81" i="10"/>
  <c r="CC81" i="10"/>
  <c r="CB82" i="10"/>
  <c r="CC82" i="10"/>
  <c r="CB83" i="10"/>
  <c r="CC83" i="10"/>
  <c r="CB84" i="10"/>
  <c r="CC84" i="10"/>
  <c r="CB85" i="10"/>
  <c r="CC85" i="10"/>
  <c r="CB86" i="10"/>
  <c r="CC86" i="10"/>
  <c r="CB87" i="10"/>
  <c r="CC87" i="10"/>
  <c r="CB88" i="10"/>
  <c r="CC88" i="10"/>
  <c r="CC4" i="10"/>
  <c r="CB4" i="10"/>
  <c r="BO5" i="10"/>
  <c r="BP5" i="10"/>
  <c r="BO6" i="10"/>
  <c r="BP6" i="10"/>
  <c r="BO7" i="10"/>
  <c r="BP7" i="10"/>
  <c r="BO8" i="10"/>
  <c r="BP8" i="10"/>
  <c r="BO9" i="10"/>
  <c r="BP9" i="10"/>
  <c r="BO10" i="10"/>
  <c r="BP10" i="10"/>
  <c r="BO11" i="10"/>
  <c r="BP11" i="10"/>
  <c r="BO12" i="10"/>
  <c r="BP12" i="10"/>
  <c r="BO13" i="10"/>
  <c r="BP13" i="10"/>
  <c r="BO14" i="10"/>
  <c r="BP14" i="10"/>
  <c r="BO15" i="10"/>
  <c r="BP15" i="10"/>
  <c r="BO16" i="10"/>
  <c r="BP16" i="10"/>
  <c r="BO17" i="10"/>
  <c r="BP17" i="10"/>
  <c r="BO18" i="10"/>
  <c r="BP18" i="10"/>
  <c r="BO19" i="10"/>
  <c r="BP19" i="10"/>
  <c r="BO20" i="10"/>
  <c r="BP20" i="10"/>
  <c r="BO21" i="10"/>
  <c r="BP21" i="10"/>
  <c r="BO22" i="10"/>
  <c r="BP22" i="10"/>
  <c r="BO23" i="10"/>
  <c r="BP23" i="10"/>
  <c r="BO24" i="10"/>
  <c r="BP24" i="10"/>
  <c r="BO25" i="10"/>
  <c r="BP25" i="10"/>
  <c r="BO26" i="10"/>
  <c r="BP26" i="10"/>
  <c r="BO27" i="10"/>
  <c r="BP27" i="10"/>
  <c r="BO28" i="10"/>
  <c r="BP28" i="10"/>
  <c r="BO29" i="10"/>
  <c r="BP29" i="10"/>
  <c r="BO30" i="10"/>
  <c r="BP30" i="10"/>
  <c r="BO31" i="10"/>
  <c r="BP31" i="10"/>
  <c r="BO32" i="10"/>
  <c r="BP32" i="10"/>
  <c r="BO33" i="10"/>
  <c r="BP33" i="10"/>
  <c r="BO34" i="10"/>
  <c r="BP34" i="10"/>
  <c r="BO35" i="10"/>
  <c r="BP35" i="10"/>
  <c r="BO36" i="10"/>
  <c r="BP36" i="10"/>
  <c r="BO37" i="10"/>
  <c r="BP37" i="10"/>
  <c r="BO38" i="10"/>
  <c r="BP38" i="10"/>
  <c r="BO39" i="10"/>
  <c r="BP39" i="10"/>
  <c r="BO40" i="10"/>
  <c r="BP40" i="10"/>
  <c r="BO41" i="10"/>
  <c r="BP41" i="10"/>
  <c r="BO42" i="10"/>
  <c r="BP42" i="10"/>
  <c r="BO43" i="10"/>
  <c r="BP43" i="10"/>
  <c r="BO44" i="10"/>
  <c r="BP44" i="10"/>
  <c r="BO45" i="10"/>
  <c r="BP45" i="10"/>
  <c r="BO46" i="10"/>
  <c r="BP46" i="10"/>
  <c r="BO47" i="10"/>
  <c r="BP47" i="10"/>
  <c r="BO48" i="10"/>
  <c r="BP48" i="10"/>
  <c r="BO49" i="10"/>
  <c r="BP49" i="10"/>
  <c r="BO50" i="10"/>
  <c r="BP50" i="10"/>
  <c r="BO51" i="10"/>
  <c r="BP51" i="10"/>
  <c r="BO52" i="10"/>
  <c r="BP52" i="10"/>
  <c r="BO53" i="10"/>
  <c r="BP53" i="10"/>
  <c r="BO54" i="10"/>
  <c r="BP54" i="10"/>
  <c r="BO55" i="10"/>
  <c r="BP55" i="10"/>
  <c r="BO56" i="10"/>
  <c r="BP56" i="10"/>
  <c r="BO57" i="10"/>
  <c r="BP57" i="10"/>
  <c r="BO58" i="10"/>
  <c r="BP58" i="10"/>
  <c r="BO59" i="10"/>
  <c r="BP59" i="10"/>
  <c r="BO60" i="10"/>
  <c r="BP60" i="10"/>
  <c r="BO61" i="10"/>
  <c r="BP61" i="10"/>
  <c r="BO62" i="10"/>
  <c r="BP62" i="10"/>
  <c r="BO63" i="10"/>
  <c r="BP63" i="10"/>
  <c r="BO64" i="10"/>
  <c r="BP64" i="10"/>
  <c r="BO65" i="10"/>
  <c r="BP65" i="10"/>
  <c r="BO66" i="10"/>
  <c r="BP66" i="10"/>
  <c r="BO67" i="10"/>
  <c r="BP67" i="10"/>
  <c r="BO68" i="10"/>
  <c r="BP68" i="10"/>
  <c r="BO69" i="10"/>
  <c r="BP69" i="10"/>
  <c r="BO70" i="10"/>
  <c r="BP70" i="10"/>
  <c r="BO71" i="10"/>
  <c r="BP71" i="10"/>
  <c r="BO72" i="10"/>
  <c r="BP72" i="10"/>
  <c r="BO73" i="10"/>
  <c r="BP73" i="10"/>
  <c r="BO74" i="10"/>
  <c r="BP74" i="10"/>
  <c r="BO75" i="10"/>
  <c r="BP75" i="10"/>
  <c r="BO76" i="10"/>
  <c r="BP76" i="10"/>
  <c r="BO77" i="10"/>
  <c r="BP77" i="10"/>
  <c r="BO78" i="10"/>
  <c r="BP78" i="10"/>
  <c r="BO79" i="10"/>
  <c r="BP79" i="10"/>
  <c r="BO80" i="10"/>
  <c r="BP80" i="10"/>
  <c r="BO81" i="10"/>
  <c r="BP81" i="10"/>
  <c r="BO82" i="10"/>
  <c r="BP82" i="10"/>
  <c r="BO83" i="10"/>
  <c r="BP83" i="10"/>
  <c r="BO84" i="10"/>
  <c r="BP84" i="10"/>
  <c r="BO85" i="10"/>
  <c r="BP85" i="10"/>
  <c r="BO86" i="10"/>
  <c r="BP86" i="10"/>
  <c r="BO87" i="10"/>
  <c r="BP87" i="10"/>
  <c r="BO88" i="10"/>
  <c r="BP88" i="10"/>
  <c r="BP4" i="10"/>
  <c r="BO4" i="10"/>
  <c r="AX5" i="10"/>
  <c r="AY5" i="10"/>
  <c r="AZ5" i="10"/>
  <c r="AX6" i="10"/>
  <c r="AY6" i="10"/>
  <c r="AZ6" i="10"/>
  <c r="AX7" i="10"/>
  <c r="AY7" i="10"/>
  <c r="AZ7" i="10"/>
  <c r="AX8" i="10"/>
  <c r="AY8" i="10"/>
  <c r="AZ8" i="10"/>
  <c r="AX9" i="10"/>
  <c r="AY9" i="10"/>
  <c r="AZ9" i="10"/>
  <c r="AX10" i="10"/>
  <c r="AY10" i="10"/>
  <c r="AZ10" i="10"/>
  <c r="AX11" i="10"/>
  <c r="AY11" i="10"/>
  <c r="AZ11" i="10"/>
  <c r="AX12" i="10"/>
  <c r="AY12" i="10"/>
  <c r="AZ12" i="10"/>
  <c r="AX13" i="10"/>
  <c r="AY13" i="10"/>
  <c r="AZ13" i="10"/>
  <c r="AX14" i="10"/>
  <c r="AY14" i="10"/>
  <c r="AZ14" i="10"/>
  <c r="AX15" i="10"/>
  <c r="AY15" i="10"/>
  <c r="AZ15" i="10"/>
  <c r="AX16" i="10"/>
  <c r="AY16" i="10"/>
  <c r="AZ16" i="10"/>
  <c r="AX17" i="10"/>
  <c r="AY17" i="10"/>
  <c r="AZ17" i="10"/>
  <c r="AX18" i="10"/>
  <c r="AY18" i="10"/>
  <c r="AZ18" i="10"/>
  <c r="AX19" i="10"/>
  <c r="AY19" i="10"/>
  <c r="AZ19" i="10"/>
  <c r="AX20" i="10"/>
  <c r="AY20" i="10"/>
  <c r="AZ20" i="10"/>
  <c r="AX21" i="10"/>
  <c r="AY21" i="10"/>
  <c r="AZ21" i="10"/>
  <c r="AX22" i="10"/>
  <c r="AY22" i="10"/>
  <c r="AZ22" i="10"/>
  <c r="AX23" i="10"/>
  <c r="AY23" i="10"/>
  <c r="AZ23" i="10"/>
  <c r="AX24" i="10"/>
  <c r="AY24" i="10"/>
  <c r="AZ24" i="10"/>
  <c r="AX25" i="10"/>
  <c r="AY25" i="10"/>
  <c r="AZ25" i="10"/>
  <c r="AX26" i="10"/>
  <c r="AY26" i="10"/>
  <c r="AZ26" i="10"/>
  <c r="AX27" i="10"/>
  <c r="AY27" i="10"/>
  <c r="AZ27" i="10"/>
  <c r="AX28" i="10"/>
  <c r="AY28" i="10"/>
  <c r="AZ28" i="10"/>
  <c r="AX29" i="10"/>
  <c r="AY29" i="10"/>
  <c r="AZ29" i="10"/>
  <c r="AX30" i="10"/>
  <c r="AY30" i="10"/>
  <c r="AZ30" i="10"/>
  <c r="AX31" i="10"/>
  <c r="AY31" i="10"/>
  <c r="AZ31" i="10"/>
  <c r="AX32" i="10"/>
  <c r="AY32" i="10"/>
  <c r="AZ32" i="10"/>
  <c r="AX33" i="10"/>
  <c r="AY33" i="10"/>
  <c r="AZ33" i="10"/>
  <c r="AX34" i="10"/>
  <c r="AY34" i="10"/>
  <c r="AZ34" i="10"/>
  <c r="AX35" i="10"/>
  <c r="AY35" i="10"/>
  <c r="AZ35" i="10"/>
  <c r="AX36" i="10"/>
  <c r="AS36" i="10"/>
  <c r="AT36" i="10"/>
  <c r="AU36" i="10"/>
  <c r="AV36" i="10"/>
  <c r="AW36" i="10"/>
  <c r="AY36" i="10"/>
  <c r="AZ36" i="10"/>
  <c r="AX37" i="10"/>
  <c r="AY37" i="10"/>
  <c r="AZ37" i="10"/>
  <c r="AX38" i="10"/>
  <c r="AY38" i="10"/>
  <c r="AZ38" i="10"/>
  <c r="AX39" i="10"/>
  <c r="AY39" i="10"/>
  <c r="AZ39" i="10"/>
  <c r="AX40" i="10"/>
  <c r="AY40" i="10"/>
  <c r="AZ40" i="10"/>
  <c r="AX41" i="10"/>
  <c r="AY41" i="10"/>
  <c r="AZ41" i="10"/>
  <c r="AX42" i="10"/>
  <c r="AY42" i="10"/>
  <c r="AZ42" i="10"/>
  <c r="AX43" i="10"/>
  <c r="AY43" i="10"/>
  <c r="AZ43" i="10"/>
  <c r="AX44" i="10"/>
  <c r="AY44" i="10"/>
  <c r="AZ44" i="10"/>
  <c r="AX45" i="10"/>
  <c r="AY45" i="10"/>
  <c r="AZ45" i="10"/>
  <c r="AX46" i="10"/>
  <c r="AY46" i="10"/>
  <c r="AZ46" i="10"/>
  <c r="AX47" i="10"/>
  <c r="AY47" i="10"/>
  <c r="AZ47" i="10"/>
  <c r="AX48" i="10"/>
  <c r="AY48" i="10"/>
  <c r="AZ48" i="10"/>
  <c r="AX49" i="10"/>
  <c r="AY49" i="10"/>
  <c r="AZ49" i="10"/>
  <c r="AX50" i="10"/>
  <c r="AY50" i="10"/>
  <c r="AZ50" i="10"/>
  <c r="AX51" i="10"/>
  <c r="AY51" i="10"/>
  <c r="AZ51" i="10"/>
  <c r="AX52" i="10"/>
  <c r="AY52" i="10"/>
  <c r="AZ52" i="10"/>
  <c r="AX53" i="10"/>
  <c r="AY53" i="10"/>
  <c r="AZ53" i="10"/>
  <c r="AX54" i="10"/>
  <c r="AY54" i="10"/>
  <c r="AZ54" i="10"/>
  <c r="AX55" i="10"/>
  <c r="AY55" i="10"/>
  <c r="AZ55" i="10"/>
  <c r="AX56" i="10"/>
  <c r="AY56" i="10"/>
  <c r="AZ56" i="10"/>
  <c r="AX57" i="10"/>
  <c r="AY57" i="10"/>
  <c r="AZ57" i="10"/>
  <c r="AX58" i="10"/>
  <c r="AY58" i="10"/>
  <c r="AZ58" i="10"/>
  <c r="AX59" i="10"/>
  <c r="AY59" i="10"/>
  <c r="AZ59" i="10"/>
  <c r="AX60" i="10"/>
  <c r="AY60" i="10"/>
  <c r="AZ60" i="10"/>
  <c r="AX61" i="10"/>
  <c r="AY61" i="10"/>
  <c r="AZ61" i="10"/>
  <c r="AX62" i="10"/>
  <c r="AY62" i="10"/>
  <c r="AZ62" i="10"/>
  <c r="AX63" i="10"/>
  <c r="AY63" i="10"/>
  <c r="AZ63" i="10"/>
  <c r="AX64" i="10"/>
  <c r="AY64" i="10"/>
  <c r="AZ64" i="10"/>
  <c r="AX65" i="10"/>
  <c r="AY65" i="10"/>
  <c r="AZ65" i="10"/>
  <c r="AX66" i="10"/>
  <c r="AY66" i="10"/>
  <c r="AZ66" i="10"/>
  <c r="AX67" i="10"/>
  <c r="AY67" i="10"/>
  <c r="AZ67" i="10"/>
  <c r="AX68" i="10"/>
  <c r="AY68" i="10"/>
  <c r="AZ68" i="10"/>
  <c r="AX69" i="10"/>
  <c r="AY69" i="10"/>
  <c r="AZ69" i="10"/>
  <c r="AX70" i="10"/>
  <c r="AY70" i="10"/>
  <c r="AZ70" i="10"/>
  <c r="AX71" i="10"/>
  <c r="AY71" i="10"/>
  <c r="AZ71" i="10"/>
  <c r="AX72" i="10"/>
  <c r="AY72" i="10"/>
  <c r="AZ72" i="10"/>
  <c r="AX73" i="10"/>
  <c r="AY73" i="10"/>
  <c r="AZ73" i="10"/>
  <c r="AX74" i="10"/>
  <c r="AY74" i="10"/>
  <c r="AZ74" i="10"/>
  <c r="AX75" i="10"/>
  <c r="AY75" i="10"/>
  <c r="AZ75" i="10"/>
  <c r="AX76" i="10"/>
  <c r="AY76" i="10"/>
  <c r="AZ76" i="10"/>
  <c r="AX77" i="10"/>
  <c r="AY77" i="10"/>
  <c r="AZ77" i="10"/>
  <c r="AX78" i="10"/>
  <c r="AY78" i="10"/>
  <c r="AZ78" i="10"/>
  <c r="AX79" i="10"/>
  <c r="AY79" i="10"/>
  <c r="AZ79" i="10"/>
  <c r="AX80" i="10"/>
  <c r="AY80" i="10"/>
  <c r="AZ80" i="10"/>
  <c r="AX81" i="10"/>
  <c r="AY81" i="10"/>
  <c r="AZ81" i="10"/>
  <c r="AX82" i="10"/>
  <c r="AY82" i="10"/>
  <c r="AZ82" i="10"/>
  <c r="AX83" i="10"/>
  <c r="AY83" i="10"/>
  <c r="AZ83" i="10"/>
  <c r="AX84" i="10"/>
  <c r="AY84" i="10"/>
  <c r="AZ84" i="10"/>
  <c r="AX85" i="10"/>
  <c r="AY85" i="10"/>
  <c r="AZ85" i="10"/>
  <c r="AX86" i="10"/>
  <c r="AY86" i="10"/>
  <c r="AZ86" i="10"/>
  <c r="AX87" i="10"/>
  <c r="AY87" i="10"/>
  <c r="AZ87" i="10"/>
  <c r="AX88" i="10"/>
  <c r="AY88" i="10"/>
  <c r="AZ88" i="10"/>
  <c r="AZ4" i="10"/>
  <c r="AY4" i="10"/>
  <c r="CK4" i="10"/>
  <c r="CN5" i="7"/>
  <c r="CN6" i="7"/>
  <c r="CN7" i="7"/>
  <c r="CN8" i="7"/>
  <c r="CN9" i="7"/>
  <c r="CN10" i="7"/>
  <c r="CN11" i="7"/>
  <c r="CN12" i="7"/>
  <c r="CN13" i="7"/>
  <c r="CN14" i="7"/>
  <c r="CN15" i="7"/>
  <c r="CN16" i="7"/>
  <c r="CN17" i="7"/>
  <c r="CN18" i="7"/>
  <c r="CN19" i="7"/>
  <c r="CN20" i="7"/>
  <c r="CN21" i="7"/>
  <c r="CN22" i="7"/>
  <c r="CN23" i="7"/>
  <c r="CN24" i="7"/>
  <c r="CN25" i="7"/>
  <c r="CN26" i="7"/>
  <c r="CN27" i="7"/>
  <c r="CN28" i="7"/>
  <c r="CN29" i="7"/>
  <c r="CN30" i="7"/>
  <c r="CN31" i="7"/>
  <c r="CN32" i="7"/>
  <c r="CN33" i="7"/>
  <c r="CN34" i="7"/>
  <c r="CN35" i="7"/>
  <c r="CN36" i="7"/>
  <c r="CN37" i="7"/>
  <c r="CN38" i="7"/>
  <c r="CN39" i="7"/>
  <c r="CN40" i="7"/>
  <c r="CN41" i="7"/>
  <c r="CN42" i="7"/>
  <c r="CN43" i="7"/>
  <c r="CN44" i="7"/>
  <c r="CN45" i="7"/>
  <c r="CN46" i="7"/>
  <c r="CN47" i="7"/>
  <c r="CN48" i="7"/>
  <c r="CN49" i="7"/>
  <c r="CN50" i="7"/>
  <c r="CN51" i="7"/>
  <c r="CN52" i="7"/>
  <c r="CN53" i="7"/>
  <c r="CN54" i="7"/>
  <c r="CN55" i="7"/>
  <c r="CN56" i="7"/>
  <c r="CN57" i="7"/>
  <c r="CN58" i="7"/>
  <c r="CN59" i="7"/>
  <c r="CN60" i="7"/>
  <c r="CN61" i="7"/>
  <c r="CN62" i="7"/>
  <c r="CN63" i="7"/>
  <c r="CN64" i="7"/>
  <c r="CN65" i="7"/>
  <c r="CN66" i="7"/>
  <c r="CN67" i="7"/>
  <c r="CN68" i="7"/>
  <c r="CN69" i="7"/>
  <c r="CN70" i="7"/>
  <c r="CN71" i="7"/>
  <c r="CN72" i="7"/>
  <c r="CN73" i="7"/>
  <c r="CN74" i="7"/>
  <c r="CN75" i="7"/>
  <c r="CN76" i="7"/>
  <c r="CN77" i="7"/>
  <c r="CN78" i="7"/>
  <c r="CN79" i="7"/>
  <c r="CN80" i="7"/>
  <c r="CN81" i="7"/>
  <c r="CN82" i="7"/>
  <c r="CN83" i="7"/>
  <c r="CN84" i="7"/>
  <c r="CM5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M20" i="7"/>
  <c r="CM21" i="7"/>
  <c r="CM22" i="7"/>
  <c r="CM23" i="7"/>
  <c r="CM24" i="7"/>
  <c r="CM25" i="7"/>
  <c r="CM26" i="7"/>
  <c r="CM27" i="7"/>
  <c r="CM28" i="7"/>
  <c r="CM29" i="7"/>
  <c r="CM30" i="7"/>
  <c r="CM31" i="7"/>
  <c r="CM32" i="7"/>
  <c r="CM33" i="7"/>
  <c r="CM34" i="7"/>
  <c r="CM35" i="7"/>
  <c r="CM36" i="7"/>
  <c r="CM37" i="7"/>
  <c r="CM38" i="7"/>
  <c r="CM39" i="7"/>
  <c r="CM40" i="7"/>
  <c r="CM41" i="7"/>
  <c r="CM42" i="7"/>
  <c r="CM43" i="7"/>
  <c r="CM44" i="7"/>
  <c r="CM45" i="7"/>
  <c r="CM46" i="7"/>
  <c r="CM47" i="7"/>
  <c r="CM48" i="7"/>
  <c r="CM49" i="7"/>
  <c r="CM50" i="7"/>
  <c r="CM51" i="7"/>
  <c r="CM52" i="7"/>
  <c r="CM53" i="7"/>
  <c r="CM54" i="7"/>
  <c r="CM55" i="7"/>
  <c r="CM56" i="7"/>
  <c r="CM57" i="7"/>
  <c r="CM58" i="7"/>
  <c r="CM59" i="7"/>
  <c r="CM60" i="7"/>
  <c r="CM61" i="7"/>
  <c r="CM62" i="7"/>
  <c r="CM63" i="7"/>
  <c r="CM64" i="7"/>
  <c r="CM65" i="7"/>
  <c r="CM66" i="7"/>
  <c r="CM67" i="7"/>
  <c r="CM68" i="7"/>
  <c r="CM69" i="7"/>
  <c r="CM70" i="7"/>
  <c r="CM71" i="7"/>
  <c r="CM72" i="7"/>
  <c r="CM73" i="7"/>
  <c r="CM74" i="7"/>
  <c r="CM75" i="7"/>
  <c r="CM76" i="7"/>
  <c r="CM77" i="7"/>
  <c r="CM78" i="7"/>
  <c r="CM79" i="7"/>
  <c r="CM80" i="7"/>
  <c r="CM81" i="7"/>
  <c r="CM82" i="7"/>
  <c r="CM83" i="7"/>
  <c r="CM84" i="7"/>
  <c r="CL5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22" i="7"/>
  <c r="CL23" i="7"/>
  <c r="CL24" i="7"/>
  <c r="CL25" i="7"/>
  <c r="CL26" i="7"/>
  <c r="CL27" i="7"/>
  <c r="CL28" i="7"/>
  <c r="CL29" i="7"/>
  <c r="CL30" i="7"/>
  <c r="CL31" i="7"/>
  <c r="CL32" i="7"/>
  <c r="CL33" i="7"/>
  <c r="CL34" i="7"/>
  <c r="CL35" i="7"/>
  <c r="CL36" i="7"/>
  <c r="CL37" i="7"/>
  <c r="CL38" i="7"/>
  <c r="CL39" i="7"/>
  <c r="CL40" i="7"/>
  <c r="CL41" i="7"/>
  <c r="CL42" i="7"/>
  <c r="CL43" i="7"/>
  <c r="CL44" i="7"/>
  <c r="CL45" i="7"/>
  <c r="CL46" i="7"/>
  <c r="CL47" i="7"/>
  <c r="CL48" i="7"/>
  <c r="CL49" i="7"/>
  <c r="CL50" i="7"/>
  <c r="CL51" i="7"/>
  <c r="CL52" i="7"/>
  <c r="CL53" i="7"/>
  <c r="CL54" i="7"/>
  <c r="CL55" i="7"/>
  <c r="CL56" i="7"/>
  <c r="CL57" i="7"/>
  <c r="CL58" i="7"/>
  <c r="CL59" i="7"/>
  <c r="CL60" i="7"/>
  <c r="CL61" i="7"/>
  <c r="CL62" i="7"/>
  <c r="CL63" i="7"/>
  <c r="CL64" i="7"/>
  <c r="CL65" i="7"/>
  <c r="CL66" i="7"/>
  <c r="CL67" i="7"/>
  <c r="CL68" i="7"/>
  <c r="CL69" i="7"/>
  <c r="CL70" i="7"/>
  <c r="CL71" i="7"/>
  <c r="CL72" i="7"/>
  <c r="CL73" i="7"/>
  <c r="CL74" i="7"/>
  <c r="CL75" i="7"/>
  <c r="CL76" i="7"/>
  <c r="CL77" i="7"/>
  <c r="CL78" i="7"/>
  <c r="CL79" i="7"/>
  <c r="CL80" i="7"/>
  <c r="CL81" i="7"/>
  <c r="CL82" i="7"/>
  <c r="CL83" i="7"/>
  <c r="CL84" i="7"/>
  <c r="CI88" i="13"/>
  <c r="CI4" i="13"/>
  <c r="CI93" i="12"/>
  <c r="CI4" i="12"/>
  <c r="BV102" i="7"/>
  <c r="BV86" i="7" s="1"/>
  <c r="L86" i="9" s="1"/>
  <c r="M86" i="9" s="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CI87" i="13"/>
  <c r="CI86" i="13"/>
  <c r="CI85" i="13"/>
  <c r="CI84" i="13"/>
  <c r="CI83" i="13"/>
  <c r="CI82" i="13"/>
  <c r="CI81" i="13"/>
  <c r="CI80" i="13"/>
  <c r="CI79" i="13"/>
  <c r="CI78" i="13"/>
  <c r="CI77" i="13"/>
  <c r="CI76" i="13"/>
  <c r="CI75" i="13"/>
  <c r="CI74" i="13"/>
  <c r="CI73" i="13"/>
  <c r="CI72" i="13"/>
  <c r="CI71" i="13"/>
  <c r="CI70" i="13"/>
  <c r="CI69" i="13"/>
  <c r="CI68" i="13"/>
  <c r="CI67" i="13"/>
  <c r="CI66" i="13"/>
  <c r="CI65" i="13"/>
  <c r="CI64" i="13"/>
  <c r="CI63" i="13"/>
  <c r="CI62" i="13"/>
  <c r="CI61" i="13"/>
  <c r="CI60" i="13"/>
  <c r="CI59" i="13"/>
  <c r="CI58" i="13"/>
  <c r="CI57" i="13"/>
  <c r="CI56" i="13"/>
  <c r="CI55" i="13"/>
  <c r="CI54" i="13"/>
  <c r="CI53" i="13"/>
  <c r="CI52" i="13"/>
  <c r="CI51" i="13"/>
  <c r="CI50" i="13"/>
  <c r="CI49" i="13"/>
  <c r="CI48" i="13"/>
  <c r="CI47" i="13"/>
  <c r="CI46" i="13"/>
  <c r="CI45" i="13"/>
  <c r="CI44" i="13"/>
  <c r="CI43" i="13"/>
  <c r="CI42" i="13"/>
  <c r="CI41" i="13"/>
  <c r="CI40" i="13"/>
  <c r="CI39" i="13"/>
  <c r="CI38" i="13"/>
  <c r="CI37" i="13"/>
  <c r="CI36" i="13"/>
  <c r="CI35" i="13"/>
  <c r="CI34" i="13"/>
  <c r="CI33" i="13"/>
  <c r="CI32" i="13"/>
  <c r="CI31" i="13"/>
  <c r="CI30" i="13"/>
  <c r="CI29" i="13"/>
  <c r="CI28" i="13"/>
  <c r="CI27" i="13"/>
  <c r="CI26" i="13"/>
  <c r="CI25" i="13"/>
  <c r="CI24" i="13"/>
  <c r="CI23" i="13"/>
  <c r="CI22" i="13"/>
  <c r="CI21" i="13"/>
  <c r="CI20" i="13"/>
  <c r="CI19" i="13"/>
  <c r="CI18" i="13"/>
  <c r="CI17" i="13"/>
  <c r="CI16" i="13"/>
  <c r="CI15" i="13"/>
  <c r="CI14" i="13"/>
  <c r="CI13" i="13"/>
  <c r="CI12" i="13"/>
  <c r="CI11" i="13"/>
  <c r="CI10" i="13"/>
  <c r="CI9" i="13"/>
  <c r="CI8" i="13"/>
  <c r="CI7" i="13"/>
  <c r="CI6" i="13"/>
  <c r="CI5" i="13"/>
  <c r="CI266" i="14"/>
  <c r="CI265" i="14"/>
  <c r="CI264" i="14"/>
  <c r="CI263" i="14"/>
  <c r="CI262" i="14"/>
  <c r="CI261" i="14"/>
  <c r="CI260" i="14"/>
  <c r="CI259" i="14"/>
  <c r="CI258" i="14"/>
  <c r="CI257" i="14"/>
  <c r="CI256" i="14"/>
  <c r="CI255" i="14"/>
  <c r="CI254" i="14"/>
  <c r="CI253" i="14"/>
  <c r="CI252" i="14"/>
  <c r="CI251" i="14"/>
  <c r="CI250" i="14"/>
  <c r="CI249" i="14"/>
  <c r="CI248" i="14"/>
  <c r="CI247" i="14"/>
  <c r="CI246" i="14"/>
  <c r="CI245" i="14"/>
  <c r="CI244" i="14"/>
  <c r="CI243" i="14"/>
  <c r="CI242" i="14"/>
  <c r="CI241" i="14"/>
  <c r="CI240" i="14"/>
  <c r="CI239" i="14"/>
  <c r="CI238" i="14"/>
  <c r="CI237" i="14"/>
  <c r="CI236" i="14"/>
  <c r="CI235" i="14"/>
  <c r="CI234" i="14"/>
  <c r="CI233" i="14"/>
  <c r="CI232" i="14"/>
  <c r="CI231" i="14"/>
  <c r="CI230" i="14"/>
  <c r="CI229" i="14"/>
  <c r="CI228" i="14"/>
  <c r="CI227" i="14"/>
  <c r="CI226" i="14"/>
  <c r="CI225" i="14"/>
  <c r="CI224" i="14"/>
  <c r="CI223" i="14"/>
  <c r="CI222" i="14"/>
  <c r="CI221" i="14"/>
  <c r="CI220" i="14"/>
  <c r="CI219" i="14"/>
  <c r="CI218" i="14"/>
  <c r="CI217" i="14"/>
  <c r="CI216" i="14"/>
  <c r="CI215" i="14"/>
  <c r="CI214" i="14"/>
  <c r="CI213" i="14"/>
  <c r="CI212" i="14"/>
  <c r="CI211" i="14"/>
  <c r="CI210" i="14"/>
  <c r="CI209" i="14"/>
  <c r="CI208" i="14"/>
  <c r="CI207" i="14"/>
  <c r="CI206" i="14"/>
  <c r="CI205" i="14"/>
  <c r="CI204" i="14"/>
  <c r="CI203" i="14"/>
  <c r="CI202" i="14"/>
  <c r="CI201" i="14"/>
  <c r="CI200" i="14"/>
  <c r="CI199" i="14"/>
  <c r="CI198" i="14"/>
  <c r="CI197" i="14"/>
  <c r="CI196" i="14"/>
  <c r="CI195" i="14"/>
  <c r="CI194" i="14"/>
  <c r="CI193" i="14"/>
  <c r="CI192" i="14"/>
  <c r="CI191" i="14"/>
  <c r="CI190" i="14"/>
  <c r="CI189" i="14"/>
  <c r="CI188" i="14"/>
  <c r="CI187" i="14"/>
  <c r="CI186" i="14"/>
  <c r="CI185" i="14"/>
  <c r="CI184" i="14"/>
  <c r="CI183" i="14"/>
  <c r="CI182" i="14"/>
  <c r="CI178" i="14"/>
  <c r="CI177" i="14"/>
  <c r="AM88" i="11"/>
  <c r="CI176" i="14"/>
  <c r="AM87" i="11" s="1"/>
  <c r="CI175" i="14"/>
  <c r="AM86" i="11"/>
  <c r="CI174" i="14"/>
  <c r="AM85" i="11" s="1"/>
  <c r="CI173" i="14"/>
  <c r="AM84" i="11" s="1"/>
  <c r="CI172" i="14"/>
  <c r="AM83" i="11" s="1"/>
  <c r="CI171" i="14"/>
  <c r="AM82" i="11" s="1"/>
  <c r="CI170" i="14"/>
  <c r="AM81" i="11" s="1"/>
  <c r="CI169" i="14"/>
  <c r="AM80" i="11" s="1"/>
  <c r="CI168" i="14"/>
  <c r="AM79" i="11" s="1"/>
  <c r="CI167" i="14"/>
  <c r="AM78" i="11" s="1"/>
  <c r="CI166" i="14"/>
  <c r="AM77" i="11" s="1"/>
  <c r="CI165" i="14"/>
  <c r="AM76" i="11" s="1"/>
  <c r="CI164" i="14"/>
  <c r="AM75" i="11" s="1"/>
  <c r="CI163" i="14"/>
  <c r="AM74" i="11" s="1"/>
  <c r="CI162" i="14"/>
  <c r="AM73" i="11" s="1"/>
  <c r="CI161" i="14"/>
  <c r="AM72" i="11" s="1"/>
  <c r="CI160" i="14"/>
  <c r="AM71" i="11" s="1"/>
  <c r="CI159" i="14"/>
  <c r="AM70" i="11" s="1"/>
  <c r="CI158" i="14"/>
  <c r="AM69" i="11" s="1"/>
  <c r="CI157" i="14"/>
  <c r="AM68" i="11" s="1"/>
  <c r="CI156" i="14"/>
  <c r="AM67" i="11" s="1"/>
  <c r="CI155" i="14"/>
  <c r="AM66" i="11" s="1"/>
  <c r="CI154" i="14"/>
  <c r="AM65" i="11" s="1"/>
  <c r="CI153" i="14"/>
  <c r="AM64" i="11" s="1"/>
  <c r="CI152" i="14"/>
  <c r="AM63" i="11" s="1"/>
  <c r="CI151" i="14"/>
  <c r="AM62" i="11" s="1"/>
  <c r="CI150" i="14"/>
  <c r="AM61" i="11" s="1"/>
  <c r="CI149" i="14"/>
  <c r="AM60" i="11" s="1"/>
  <c r="CI148" i="14"/>
  <c r="AM59" i="11" s="1"/>
  <c r="CI147" i="14"/>
  <c r="AM58" i="11" s="1"/>
  <c r="CI146" i="14"/>
  <c r="AM57" i="11" s="1"/>
  <c r="CI145" i="14"/>
  <c r="AM56" i="11" s="1"/>
  <c r="CI144" i="14"/>
  <c r="AM55" i="11" s="1"/>
  <c r="CI143" i="14"/>
  <c r="AM54" i="11" s="1"/>
  <c r="CI142" i="14"/>
  <c r="AM53" i="11" s="1"/>
  <c r="CI141" i="14"/>
  <c r="AM52" i="11" s="1"/>
  <c r="CI140" i="14"/>
  <c r="AM51" i="11" s="1"/>
  <c r="CI139" i="14"/>
  <c r="AM50" i="11" s="1"/>
  <c r="CI138" i="14"/>
  <c r="AM49" i="11" s="1"/>
  <c r="CI137" i="14"/>
  <c r="AM48" i="11" s="1"/>
  <c r="CI136" i="14"/>
  <c r="AM47" i="11" s="1"/>
  <c r="CI135" i="14"/>
  <c r="AM46" i="11" s="1"/>
  <c r="CI134" i="14"/>
  <c r="AM45" i="11" s="1"/>
  <c r="CI133" i="14"/>
  <c r="AM44" i="11" s="1"/>
  <c r="CI132" i="14"/>
  <c r="AM43" i="11" s="1"/>
  <c r="CI131" i="14"/>
  <c r="AM42" i="11" s="1"/>
  <c r="CI130" i="14"/>
  <c r="AM41" i="11" s="1"/>
  <c r="CI129" i="14"/>
  <c r="AM40" i="11" s="1"/>
  <c r="CI128" i="14"/>
  <c r="AM39" i="11" s="1"/>
  <c r="CI127" i="14"/>
  <c r="AM38" i="11" s="1"/>
  <c r="CI126" i="14"/>
  <c r="AM37" i="11" s="1"/>
  <c r="CI125" i="14"/>
  <c r="AM36" i="11" s="1"/>
  <c r="CI124" i="14"/>
  <c r="AM35" i="11" s="1"/>
  <c r="CI123" i="14"/>
  <c r="AM34" i="11" s="1"/>
  <c r="CI122" i="14"/>
  <c r="AM33" i="11" s="1"/>
  <c r="CI121" i="14"/>
  <c r="AM32" i="11" s="1"/>
  <c r="CI120" i="14"/>
  <c r="AM31" i="11" s="1"/>
  <c r="CI119" i="14"/>
  <c r="AM30" i="11" s="1"/>
  <c r="CI118" i="14"/>
  <c r="AM29" i="11" s="1"/>
  <c r="CI117" i="14"/>
  <c r="AM28" i="11" s="1"/>
  <c r="CI116" i="14"/>
  <c r="AM27" i="11" s="1"/>
  <c r="CI115" i="14"/>
  <c r="AM26" i="11" s="1"/>
  <c r="CI114" i="14"/>
  <c r="AM25" i="11" s="1"/>
  <c r="CI113" i="14"/>
  <c r="AM24" i="11" s="1"/>
  <c r="CI112" i="14"/>
  <c r="AM23" i="11" s="1"/>
  <c r="CI111" i="14"/>
  <c r="AM22" i="11" s="1"/>
  <c r="CI110" i="14"/>
  <c r="AM21" i="11" s="1"/>
  <c r="CI109" i="14"/>
  <c r="AM20" i="11" s="1"/>
  <c r="CI108" i="14"/>
  <c r="AM19" i="11" s="1"/>
  <c r="CI107" i="14"/>
  <c r="AM18" i="11" s="1"/>
  <c r="CI106" i="14"/>
  <c r="AM17" i="11" s="1"/>
  <c r="CI105" i="14"/>
  <c r="AM16" i="11" s="1"/>
  <c r="CI104" i="14"/>
  <c r="AM15" i="11" s="1"/>
  <c r="CI103" i="14"/>
  <c r="AM14" i="11" s="1"/>
  <c r="CI102" i="14"/>
  <c r="AM13" i="11" s="1"/>
  <c r="CI101" i="14"/>
  <c r="AM12" i="11" s="1"/>
  <c r="CI100" i="14"/>
  <c r="AM11" i="11" s="1"/>
  <c r="CI99" i="14"/>
  <c r="AM10" i="11" s="1"/>
  <c r="CI98" i="14"/>
  <c r="AM9" i="11" s="1"/>
  <c r="CI97" i="14"/>
  <c r="AM8" i="11" s="1"/>
  <c r="CI96" i="14"/>
  <c r="AM7" i="11" s="1"/>
  <c r="CI95" i="14"/>
  <c r="AM6" i="11" s="1"/>
  <c r="CI94" i="14"/>
  <c r="AM5" i="11" s="1"/>
  <c r="CI93" i="14"/>
  <c r="AM4" i="11" s="1"/>
  <c r="CI88" i="14"/>
  <c r="CI87" i="14"/>
  <c r="CI86" i="14"/>
  <c r="CI85" i="14"/>
  <c r="CI84" i="14"/>
  <c r="CI83" i="14"/>
  <c r="CI82" i="14"/>
  <c r="CI81" i="14"/>
  <c r="CI80" i="14"/>
  <c r="CI79" i="14"/>
  <c r="CI78" i="14"/>
  <c r="CI77" i="14"/>
  <c r="CI76" i="14"/>
  <c r="CI75" i="14"/>
  <c r="CI74" i="14"/>
  <c r="CI73" i="14"/>
  <c r="CI72" i="14"/>
  <c r="CI71" i="14"/>
  <c r="CI70" i="14"/>
  <c r="CI69" i="14"/>
  <c r="CI68" i="14"/>
  <c r="CI67" i="14"/>
  <c r="CI66" i="14"/>
  <c r="CI65" i="14"/>
  <c r="CI64" i="14"/>
  <c r="CI63" i="14"/>
  <c r="CI62" i="14"/>
  <c r="CI61" i="14"/>
  <c r="CI60" i="14"/>
  <c r="CI59" i="14"/>
  <c r="CI58" i="14"/>
  <c r="CI57" i="14"/>
  <c r="CI56" i="14"/>
  <c r="CI55" i="14"/>
  <c r="CI54" i="14"/>
  <c r="CI53" i="14"/>
  <c r="CI52" i="14"/>
  <c r="CI51" i="14"/>
  <c r="CI50" i="14"/>
  <c r="CI49" i="14"/>
  <c r="CI48" i="14"/>
  <c r="CI47" i="14"/>
  <c r="CI46" i="14"/>
  <c r="CI45" i="14"/>
  <c r="CI44" i="14"/>
  <c r="CI43" i="14"/>
  <c r="CI42" i="14"/>
  <c r="CI41" i="14"/>
  <c r="CI40" i="14"/>
  <c r="CI39" i="14"/>
  <c r="CI38" i="14"/>
  <c r="CI37" i="14"/>
  <c r="CI36" i="14"/>
  <c r="CI35" i="14"/>
  <c r="CI34" i="14"/>
  <c r="CI33" i="14"/>
  <c r="CI32" i="14"/>
  <c r="CI31" i="14"/>
  <c r="CI30" i="14"/>
  <c r="CI29" i="14"/>
  <c r="CI28" i="14"/>
  <c r="CI27" i="14"/>
  <c r="CI26" i="14"/>
  <c r="CI25" i="14"/>
  <c r="CI24" i="14"/>
  <c r="CI23" i="14"/>
  <c r="CI22" i="14"/>
  <c r="CI21" i="14"/>
  <c r="CI20" i="14"/>
  <c r="CI19" i="14"/>
  <c r="CI18" i="14"/>
  <c r="CI17" i="14"/>
  <c r="CI16" i="14"/>
  <c r="CI15" i="14"/>
  <c r="CI14" i="14"/>
  <c r="CI13" i="14"/>
  <c r="CI12" i="14"/>
  <c r="CI11" i="14"/>
  <c r="CI10" i="14"/>
  <c r="CI9" i="14"/>
  <c r="CI8" i="14"/>
  <c r="CI7" i="14"/>
  <c r="CI6" i="14"/>
  <c r="CI5" i="14"/>
  <c r="CI4" i="14"/>
  <c r="CI266" i="12"/>
  <c r="CI263" i="12"/>
  <c r="CI264" i="12"/>
  <c r="CI265" i="12"/>
  <c r="CI183" i="12"/>
  <c r="CI184" i="12"/>
  <c r="CI185" i="12"/>
  <c r="CI186" i="12"/>
  <c r="CI187" i="12"/>
  <c r="CI188" i="12"/>
  <c r="CI189" i="12"/>
  <c r="CI190" i="12"/>
  <c r="CI191" i="12"/>
  <c r="CI192" i="12"/>
  <c r="CI193" i="12"/>
  <c r="CI194" i="12"/>
  <c r="CI195" i="12"/>
  <c r="CI196" i="12"/>
  <c r="CI197" i="12"/>
  <c r="CI198" i="12"/>
  <c r="CI199" i="12"/>
  <c r="CI200" i="12"/>
  <c r="CI201" i="12"/>
  <c r="CI202" i="12"/>
  <c r="CI203" i="12"/>
  <c r="CI204" i="12"/>
  <c r="CI205" i="12"/>
  <c r="CI206" i="12"/>
  <c r="CI207" i="12"/>
  <c r="CI208" i="12"/>
  <c r="CI209" i="12"/>
  <c r="CI210" i="12"/>
  <c r="CI211" i="12"/>
  <c r="CI212" i="12"/>
  <c r="CI213" i="12"/>
  <c r="CI214" i="12"/>
  <c r="CI215" i="12"/>
  <c r="CI216" i="12"/>
  <c r="CI217" i="12"/>
  <c r="CI218" i="12"/>
  <c r="CI219" i="12"/>
  <c r="CI220" i="12"/>
  <c r="CI221" i="12"/>
  <c r="CI222" i="12"/>
  <c r="CI223" i="12"/>
  <c r="CI224" i="12"/>
  <c r="CI225" i="12"/>
  <c r="CI226" i="12"/>
  <c r="CI227" i="12"/>
  <c r="CI228" i="12"/>
  <c r="CI229" i="12"/>
  <c r="CI230" i="12"/>
  <c r="CI231" i="12"/>
  <c r="CI232" i="12"/>
  <c r="CI233" i="12"/>
  <c r="CI234" i="12"/>
  <c r="CI235" i="12"/>
  <c r="CI236" i="12"/>
  <c r="CI237" i="12"/>
  <c r="CI238" i="12"/>
  <c r="CI239" i="12"/>
  <c r="CI240" i="12"/>
  <c r="CI241" i="12"/>
  <c r="CI242" i="12"/>
  <c r="CI243" i="12"/>
  <c r="CI244" i="12"/>
  <c r="CI245" i="12"/>
  <c r="CI246" i="12"/>
  <c r="CI247" i="12"/>
  <c r="CI248" i="12"/>
  <c r="CI249" i="12"/>
  <c r="CI250" i="12"/>
  <c r="CI251" i="12"/>
  <c r="CI252" i="12"/>
  <c r="CI253" i="12"/>
  <c r="CI254" i="12"/>
  <c r="CI255" i="12"/>
  <c r="CI256" i="12"/>
  <c r="CI257" i="12"/>
  <c r="CI258" i="12"/>
  <c r="CI259" i="12"/>
  <c r="CI260" i="12"/>
  <c r="CI261" i="12"/>
  <c r="CI262" i="12"/>
  <c r="CI182" i="12"/>
  <c r="CI94" i="12"/>
  <c r="AL5" i="11" s="1"/>
  <c r="CI95" i="12"/>
  <c r="AL6" i="11" s="1"/>
  <c r="CI96" i="12"/>
  <c r="AL7" i="11" s="1"/>
  <c r="CI97" i="12"/>
  <c r="AL8" i="11" s="1"/>
  <c r="CI98" i="12"/>
  <c r="AL9" i="11" s="1"/>
  <c r="CI99" i="12"/>
  <c r="AL10" i="11" s="1"/>
  <c r="CI100" i="12"/>
  <c r="AL11" i="11" s="1"/>
  <c r="CI101" i="12"/>
  <c r="AL12" i="11" s="1"/>
  <c r="CI102" i="12"/>
  <c r="AL13" i="11" s="1"/>
  <c r="CI103" i="12"/>
  <c r="AL14" i="11" s="1"/>
  <c r="CI104" i="12"/>
  <c r="AL15" i="11" s="1"/>
  <c r="CI105" i="12"/>
  <c r="AL16" i="11" s="1"/>
  <c r="CI106" i="12"/>
  <c r="AL17" i="11" s="1"/>
  <c r="CI107" i="12"/>
  <c r="AL18" i="11" s="1"/>
  <c r="CI108" i="12"/>
  <c r="AL19" i="11" s="1"/>
  <c r="CI109" i="12"/>
  <c r="AL20" i="11" s="1"/>
  <c r="CI110" i="12"/>
  <c r="AL21" i="11" s="1"/>
  <c r="CI111" i="12"/>
  <c r="AL22" i="11" s="1"/>
  <c r="CI112" i="12"/>
  <c r="AL23" i="11" s="1"/>
  <c r="CI113" i="12"/>
  <c r="AL24" i="11" s="1"/>
  <c r="CI114" i="12"/>
  <c r="AL25" i="11" s="1"/>
  <c r="CI115" i="12"/>
  <c r="AL26" i="11" s="1"/>
  <c r="CI116" i="12"/>
  <c r="AL27" i="11" s="1"/>
  <c r="CI117" i="12"/>
  <c r="AL28" i="11" s="1"/>
  <c r="CI118" i="12"/>
  <c r="AL29" i="11" s="1"/>
  <c r="CI119" i="12"/>
  <c r="AL30" i="11" s="1"/>
  <c r="CI120" i="12"/>
  <c r="AL31" i="11"/>
  <c r="CI121" i="12"/>
  <c r="AL32" i="11" s="1"/>
  <c r="CI122" i="12"/>
  <c r="AL33" i="11" s="1"/>
  <c r="CI123" i="12"/>
  <c r="AL34" i="11" s="1"/>
  <c r="CI124" i="12"/>
  <c r="AL35" i="11" s="1"/>
  <c r="CI125" i="12"/>
  <c r="AL36" i="11" s="1"/>
  <c r="CI126" i="12"/>
  <c r="AL37" i="11" s="1"/>
  <c r="CI127" i="12"/>
  <c r="AL38" i="11" s="1"/>
  <c r="CI128" i="12"/>
  <c r="AL39" i="11" s="1"/>
  <c r="CI129" i="12"/>
  <c r="AL40" i="11" s="1"/>
  <c r="CI130" i="12"/>
  <c r="AL41" i="11" s="1"/>
  <c r="CI131" i="12"/>
  <c r="AL42" i="11" s="1"/>
  <c r="CI132" i="12"/>
  <c r="AL43" i="11" s="1"/>
  <c r="CI133" i="12"/>
  <c r="AL44" i="11" s="1"/>
  <c r="CI134" i="12"/>
  <c r="AL45" i="11" s="1"/>
  <c r="CI135" i="12"/>
  <c r="AL46" i="11" s="1"/>
  <c r="CI136" i="12"/>
  <c r="AL47" i="11" s="1"/>
  <c r="CI137" i="12"/>
  <c r="AL48" i="11" s="1"/>
  <c r="CI138" i="12"/>
  <c r="AL49" i="11" s="1"/>
  <c r="CI139" i="12"/>
  <c r="AL50" i="11" s="1"/>
  <c r="CI140" i="12"/>
  <c r="AL51" i="11" s="1"/>
  <c r="CI141" i="12"/>
  <c r="AL52" i="11" s="1"/>
  <c r="CI142" i="12"/>
  <c r="AL53" i="11" s="1"/>
  <c r="CI143" i="12"/>
  <c r="AL54" i="11" s="1"/>
  <c r="CI144" i="12"/>
  <c r="AL55" i="11" s="1"/>
  <c r="CI145" i="12"/>
  <c r="AL56" i="11" s="1"/>
  <c r="CI146" i="12"/>
  <c r="AL57" i="11" s="1"/>
  <c r="CI147" i="12"/>
  <c r="AL58" i="11" s="1"/>
  <c r="CI148" i="12"/>
  <c r="AL59" i="11" s="1"/>
  <c r="CI149" i="12"/>
  <c r="AL60" i="11" s="1"/>
  <c r="CI150" i="12"/>
  <c r="AL61" i="11" s="1"/>
  <c r="CI151" i="12"/>
  <c r="AL62" i="11" s="1"/>
  <c r="CI152" i="12"/>
  <c r="AL63" i="11" s="1"/>
  <c r="CI153" i="12"/>
  <c r="AL64" i="11" s="1"/>
  <c r="CI154" i="12"/>
  <c r="AL65" i="11" s="1"/>
  <c r="CI155" i="12"/>
  <c r="AL66" i="11" s="1"/>
  <c r="CI156" i="12"/>
  <c r="AL67" i="11" s="1"/>
  <c r="CI157" i="12"/>
  <c r="AL68" i="11" s="1"/>
  <c r="CI158" i="12"/>
  <c r="AL69" i="11" s="1"/>
  <c r="CI159" i="12"/>
  <c r="AL70" i="11" s="1"/>
  <c r="CI160" i="12"/>
  <c r="AL71" i="11" s="1"/>
  <c r="CI161" i="12"/>
  <c r="AL72" i="11" s="1"/>
  <c r="CI162" i="12"/>
  <c r="AL73" i="11" s="1"/>
  <c r="CI163" i="12"/>
  <c r="AL74" i="11" s="1"/>
  <c r="CI164" i="12"/>
  <c r="AL75" i="11" s="1"/>
  <c r="CI165" i="12"/>
  <c r="AL76" i="11" s="1"/>
  <c r="CI166" i="12"/>
  <c r="AL77" i="11" s="1"/>
  <c r="CI167" i="12"/>
  <c r="AL78" i="11" s="1"/>
  <c r="CI168" i="12"/>
  <c r="AL79" i="11" s="1"/>
  <c r="CI169" i="12"/>
  <c r="AL80" i="11" s="1"/>
  <c r="CI170" i="12"/>
  <c r="AL81" i="11" s="1"/>
  <c r="CI171" i="12"/>
  <c r="AL82" i="11" s="1"/>
  <c r="CI172" i="12"/>
  <c r="AL83" i="11" s="1"/>
  <c r="CI173" i="12"/>
  <c r="AL84" i="11" s="1"/>
  <c r="CI174" i="12"/>
  <c r="AL85" i="11" s="1"/>
  <c r="CI175" i="12"/>
  <c r="AL86" i="11" s="1"/>
  <c r="CI176" i="12"/>
  <c r="AL87" i="11" s="1"/>
  <c r="CI177" i="12"/>
  <c r="AL88" i="11" s="1"/>
  <c r="CI178" i="12"/>
  <c r="AL4" i="11"/>
  <c r="CI5" i="12"/>
  <c r="CI6" i="12"/>
  <c r="CI7" i="12"/>
  <c r="CI8" i="12"/>
  <c r="CI9" i="12"/>
  <c r="CI10" i="12"/>
  <c r="CI11" i="12"/>
  <c r="CI12" i="12"/>
  <c r="CI13" i="12"/>
  <c r="CI14" i="12"/>
  <c r="CI15" i="12"/>
  <c r="CI16" i="12"/>
  <c r="CI17" i="12"/>
  <c r="CI18" i="12"/>
  <c r="CI19" i="12"/>
  <c r="CI20" i="12"/>
  <c r="CI21" i="12"/>
  <c r="CI22" i="12"/>
  <c r="CI23" i="12"/>
  <c r="CI24" i="12"/>
  <c r="CI25" i="12"/>
  <c r="CI26" i="12"/>
  <c r="CI27" i="12"/>
  <c r="CI28" i="12"/>
  <c r="CI29" i="12"/>
  <c r="CI30" i="12"/>
  <c r="CI31" i="12"/>
  <c r="CI32" i="12"/>
  <c r="CI33" i="12"/>
  <c r="CI34" i="12"/>
  <c r="CI35" i="12"/>
  <c r="CI36" i="12"/>
  <c r="CI37" i="12"/>
  <c r="CI38" i="12"/>
  <c r="CI39" i="12"/>
  <c r="CI40" i="12"/>
  <c r="CI41" i="12"/>
  <c r="CI42" i="12"/>
  <c r="CI43" i="12"/>
  <c r="CI44" i="12"/>
  <c r="CI45" i="12"/>
  <c r="CI46" i="12"/>
  <c r="CI47" i="12"/>
  <c r="CI48" i="12"/>
  <c r="CI49" i="12"/>
  <c r="CI50" i="12"/>
  <c r="CI51" i="12"/>
  <c r="CI52" i="12"/>
  <c r="CI53" i="12"/>
  <c r="CI54" i="12"/>
  <c r="CI55" i="12"/>
  <c r="CI56" i="12"/>
  <c r="CI57" i="12"/>
  <c r="CI58" i="12"/>
  <c r="CI59" i="12"/>
  <c r="CI60" i="12"/>
  <c r="CI61" i="12"/>
  <c r="CI62" i="12"/>
  <c r="CI63" i="12"/>
  <c r="CI64" i="12"/>
  <c r="CI65" i="12"/>
  <c r="CI66" i="12"/>
  <c r="CI67" i="12"/>
  <c r="CI68" i="12"/>
  <c r="CI69" i="12"/>
  <c r="CI70" i="12"/>
  <c r="CI71" i="12"/>
  <c r="CI72" i="12"/>
  <c r="CI73" i="12"/>
  <c r="CI74" i="12"/>
  <c r="CI75" i="12"/>
  <c r="CI76" i="12"/>
  <c r="CI77" i="12"/>
  <c r="CI78" i="12"/>
  <c r="CI79" i="12"/>
  <c r="CI80" i="12"/>
  <c r="CI81" i="12"/>
  <c r="CI82" i="12"/>
  <c r="CI83" i="12"/>
  <c r="CI84" i="12"/>
  <c r="CI85" i="12"/>
  <c r="CI86" i="12"/>
  <c r="CI87" i="12"/>
  <c r="CI88" i="12"/>
  <c r="AE85" i="11"/>
  <c r="BB85" i="11"/>
  <c r="AG85" i="11"/>
  <c r="AE86" i="11"/>
  <c r="AF86" i="11"/>
  <c r="AG86" i="11"/>
  <c r="BA87" i="11"/>
  <c r="AF87" i="11"/>
  <c r="AG87" i="11"/>
  <c r="BA88" i="11"/>
  <c r="AF88" i="11"/>
  <c r="AG88" i="11"/>
  <c r="BC87" i="11"/>
  <c r="BA86" i="11"/>
  <c r="BB88" i="11"/>
  <c r="A85" i="11"/>
  <c r="B85" i="11"/>
  <c r="C85" i="11"/>
  <c r="A86" i="11"/>
  <c r="B86" i="11"/>
  <c r="C86" i="11"/>
  <c r="A87" i="11"/>
  <c r="B87" i="11"/>
  <c r="C87" i="11"/>
  <c r="A88" i="11"/>
  <c r="B88" i="11"/>
  <c r="C88" i="11"/>
  <c r="CK85" i="10"/>
  <c r="CK86" i="10"/>
  <c r="CK87" i="10"/>
  <c r="CK88" i="10"/>
  <c r="AS85" i="10"/>
  <c r="AT85" i="10"/>
  <c r="AU85" i="10"/>
  <c r="BA85" i="10" s="1"/>
  <c r="BC85" i="10" s="1"/>
  <c r="AV85" i="10"/>
  <c r="AW85" i="10"/>
  <c r="BB85" i="10"/>
  <c r="BD85" i="10"/>
  <c r="BF85" i="10" s="1"/>
  <c r="BE85" i="10"/>
  <c r="BG85" i="10"/>
  <c r="BH85" i="10"/>
  <c r="BI85" i="10"/>
  <c r="BJ85" i="10"/>
  <c r="BK85" i="10"/>
  <c r="BL85" i="10"/>
  <c r="BM85" i="10"/>
  <c r="BN85" i="10"/>
  <c r="BR85" i="10"/>
  <c r="BT85" i="10"/>
  <c r="BU85" i="10"/>
  <c r="BV85" i="10"/>
  <c r="BW85" i="10"/>
  <c r="BX85" i="10"/>
  <c r="BY85" i="10"/>
  <c r="BZ85" i="10"/>
  <c r="CA85" i="10"/>
  <c r="CE85" i="10"/>
  <c r="AS86" i="10"/>
  <c r="AT86" i="10"/>
  <c r="AU86" i="10"/>
  <c r="AV86" i="10"/>
  <c r="AW86" i="10"/>
  <c r="BA86" i="10" s="1"/>
  <c r="BB86" i="10"/>
  <c r="BD86" i="10"/>
  <c r="BE86" i="10"/>
  <c r="BG86" i="10"/>
  <c r="BH86" i="10"/>
  <c r="BI86" i="10"/>
  <c r="BJ86" i="10"/>
  <c r="BK86" i="10"/>
  <c r="BL86" i="10"/>
  <c r="BM86" i="10"/>
  <c r="BN86" i="10"/>
  <c r="BR86" i="10"/>
  <c r="BT86" i="10"/>
  <c r="BU86" i="10"/>
  <c r="BV86" i="10"/>
  <c r="BW86" i="10"/>
  <c r="BX86" i="10"/>
  <c r="BY86" i="10"/>
  <c r="BZ86" i="10"/>
  <c r="CA86" i="10"/>
  <c r="CE86" i="10"/>
  <c r="AS87" i="10"/>
  <c r="AT87" i="10"/>
  <c r="AU87" i="10"/>
  <c r="AV87" i="10"/>
  <c r="AW87" i="10"/>
  <c r="BB87" i="10"/>
  <c r="BD87" i="10"/>
  <c r="BE87" i="10"/>
  <c r="BG87" i="10"/>
  <c r="BH87" i="10"/>
  <c r="BI87" i="10"/>
  <c r="BJ87" i="10"/>
  <c r="BK87" i="10"/>
  <c r="BL87" i="10"/>
  <c r="BM87" i="10"/>
  <c r="BN87" i="10"/>
  <c r="BR87" i="10"/>
  <c r="BT87" i="10"/>
  <c r="BU87" i="10"/>
  <c r="BV87" i="10"/>
  <c r="BW87" i="10"/>
  <c r="BX87" i="10"/>
  <c r="BY87" i="10"/>
  <c r="BZ87" i="10"/>
  <c r="CA87" i="10"/>
  <c r="CE87" i="10"/>
  <c r="AS88" i="10"/>
  <c r="AT88" i="10"/>
  <c r="AU88" i="10"/>
  <c r="AV88" i="10"/>
  <c r="AW88" i="10"/>
  <c r="BB88" i="10"/>
  <c r="BD88" i="10"/>
  <c r="BE88" i="10"/>
  <c r="BG88" i="10"/>
  <c r="BH88" i="10"/>
  <c r="BI88" i="10"/>
  <c r="BJ88" i="10"/>
  <c r="BK88" i="10"/>
  <c r="BL88" i="10"/>
  <c r="BM88" i="10"/>
  <c r="BN88" i="10"/>
  <c r="BR88" i="10"/>
  <c r="BT88" i="10"/>
  <c r="BU88" i="10"/>
  <c r="BV88" i="10"/>
  <c r="BW88" i="10"/>
  <c r="BX88" i="10"/>
  <c r="BY88" i="10"/>
  <c r="BZ88" i="10"/>
  <c r="CA88" i="10"/>
  <c r="CE88" i="10"/>
  <c r="A85" i="10"/>
  <c r="B85" i="10"/>
  <c r="C85" i="10"/>
  <c r="A86" i="10"/>
  <c r="B86" i="10"/>
  <c r="C86" i="10"/>
  <c r="A87" i="10"/>
  <c r="B87" i="10"/>
  <c r="C87" i="10"/>
  <c r="A88" i="10"/>
  <c r="B88" i="10"/>
  <c r="C88" i="10"/>
  <c r="A85" i="8"/>
  <c r="B85" i="8"/>
  <c r="C85" i="8"/>
  <c r="A86" i="8"/>
  <c r="B86" i="8"/>
  <c r="C86" i="8"/>
  <c r="A87" i="8"/>
  <c r="B87" i="8"/>
  <c r="C87" i="8"/>
  <c r="A88" i="8"/>
  <c r="B88" i="8"/>
  <c r="C88" i="8"/>
  <c r="A85" i="9"/>
  <c r="B85" i="9"/>
  <c r="C85" i="9"/>
  <c r="BD85" i="9"/>
  <c r="BF85" i="9" s="1"/>
  <c r="BN85" i="9"/>
  <c r="A86" i="9"/>
  <c r="B86" i="9"/>
  <c r="C86" i="9"/>
  <c r="BN86" i="9"/>
  <c r="A87" i="9"/>
  <c r="B87" i="9"/>
  <c r="C87" i="9"/>
  <c r="BL87" i="9"/>
  <c r="BO87" i="9" s="1"/>
  <c r="BN87" i="9"/>
  <c r="A88" i="9"/>
  <c r="B88" i="9"/>
  <c r="C88" i="9"/>
  <c r="BM88" i="9"/>
  <c r="BN88" i="9"/>
  <c r="CC88" i="7"/>
  <c r="CD88" i="7"/>
  <c r="CE88" i="7"/>
  <c r="P88" i="11" s="1"/>
  <c r="CF88" i="7"/>
  <c r="CG88" i="7"/>
  <c r="O88" i="8" s="1"/>
  <c r="BB88" i="8" s="1"/>
  <c r="CH88" i="7"/>
  <c r="CI88" i="7"/>
  <c r="CJ88" i="7"/>
  <c r="CK88" i="7"/>
  <c r="CC86" i="7"/>
  <c r="AD86" i="8" s="1"/>
  <c r="BR86" i="8" s="1"/>
  <c r="CD86" i="7"/>
  <c r="CE86" i="7"/>
  <c r="CF86" i="7"/>
  <c r="AQ86" i="8" s="1"/>
  <c r="CE86" i="8" s="1"/>
  <c r="CG86" i="7"/>
  <c r="CH86" i="7"/>
  <c r="CI86" i="7"/>
  <c r="CJ86" i="7"/>
  <c r="P86" i="11" s="1"/>
  <c r="CK86" i="7"/>
  <c r="CC87" i="7"/>
  <c r="AD87" i="8" s="1"/>
  <c r="BR87" i="8" s="1"/>
  <c r="CD87" i="7"/>
  <c r="AQ87" i="8" s="1"/>
  <c r="CE87" i="8" s="1"/>
  <c r="CE87" i="7"/>
  <c r="CF87" i="7"/>
  <c r="CG87" i="7"/>
  <c r="AS87" i="9" s="1"/>
  <c r="AT87" i="9" s="1"/>
  <c r="CH87" i="7"/>
  <c r="CI87" i="7"/>
  <c r="CJ87" i="7"/>
  <c r="P87" i="11" s="1"/>
  <c r="CK87" i="7"/>
  <c r="CB87" i="7"/>
  <c r="O87" i="8" s="1"/>
  <c r="BB87" i="8" s="1"/>
  <c r="CB86" i="7"/>
  <c r="O86" i="8"/>
  <c r="CC85" i="7"/>
  <c r="CD85" i="7"/>
  <c r="CE85" i="7"/>
  <c r="AD85" i="8" s="1"/>
  <c r="BR85" i="8" s="1"/>
  <c r="CF85" i="7"/>
  <c r="CG85" i="7"/>
  <c r="CH85" i="7"/>
  <c r="CI85" i="7"/>
  <c r="AQ85" i="8" s="1"/>
  <c r="CE85" i="8" s="1"/>
  <c r="CJ85" i="7"/>
  <c r="CK85" i="7"/>
  <c r="CB85" i="7"/>
  <c r="O85" i="8"/>
  <c r="BU88" i="7"/>
  <c r="BT88" i="7"/>
  <c r="BS88" i="7"/>
  <c r="BU87" i="7"/>
  <c r="BT87" i="7"/>
  <c r="BS87" i="7"/>
  <c r="BU86" i="7"/>
  <c r="BT86" i="7"/>
  <c r="K86" i="9" s="1"/>
  <c r="BS86" i="7"/>
  <c r="BU85" i="7"/>
  <c r="BT85" i="7"/>
  <c r="BS85" i="7"/>
  <c r="CA88" i="7"/>
  <c r="CA87" i="7"/>
  <c r="CA86" i="7"/>
  <c r="CA85" i="7"/>
  <c r="BX88" i="7"/>
  <c r="BW88" i="7"/>
  <c r="BX87" i="7"/>
  <c r="BW87" i="7"/>
  <c r="BX86" i="7"/>
  <c r="BW86" i="7"/>
  <c r="BX85" i="7"/>
  <c r="BW85" i="7"/>
  <c r="BV88" i="9"/>
  <c r="BV87" i="9"/>
  <c r="BX87" i="9" s="1"/>
  <c r="BV86" i="9"/>
  <c r="BW86" i="9" s="1"/>
  <c r="BV85" i="9"/>
  <c r="BW85" i="9" s="1"/>
  <c r="BO88" i="7"/>
  <c r="BO87" i="7"/>
  <c r="BO86" i="7"/>
  <c r="BO85" i="7"/>
  <c r="BN88" i="7"/>
  <c r="BN87" i="7"/>
  <c r="BN86" i="7"/>
  <c r="BN85" i="7"/>
  <c r="BM88" i="7"/>
  <c r="BM87" i="7"/>
  <c r="BM86" i="7"/>
  <c r="BM85" i="7"/>
  <c r="BD88" i="7"/>
  <c r="BD87" i="7"/>
  <c r="BM87" i="9"/>
  <c r="BD87" i="9"/>
  <c r="BF87" i="9" s="1"/>
  <c r="BD86" i="7"/>
  <c r="BM86" i="9"/>
  <c r="BD86" i="9"/>
  <c r="BD85" i="7"/>
  <c r="BM85" i="9"/>
  <c r="BL85" i="9"/>
  <c r="AP88" i="7"/>
  <c r="AS88" i="9"/>
  <c r="AT88" i="9" s="1"/>
  <c r="AP87" i="7"/>
  <c r="AP86" i="7"/>
  <c r="AP85" i="7"/>
  <c r="AS85" i="9" s="1"/>
  <c r="AT85" i="9" s="1"/>
  <c r="AM88" i="7"/>
  <c r="AL88" i="7"/>
  <c r="W88" i="9"/>
  <c r="AM87" i="7"/>
  <c r="AL87" i="7"/>
  <c r="AM86" i="7"/>
  <c r="AL86" i="7"/>
  <c r="V86" i="9"/>
  <c r="AW86" i="9" s="1"/>
  <c r="AM85" i="7"/>
  <c r="AL85" i="7"/>
  <c r="AK88" i="7"/>
  <c r="AJ88" i="7"/>
  <c r="CP88" i="9" s="1"/>
  <c r="AI88" i="7"/>
  <c r="AH88" i="7"/>
  <c r="DE88" i="9" s="1"/>
  <c r="AK87" i="7"/>
  <c r="CP87" i="9" s="1"/>
  <c r="AJ87" i="7"/>
  <c r="AI87" i="7"/>
  <c r="AH87" i="7"/>
  <c r="AK86" i="7"/>
  <c r="CX86" i="9" s="1"/>
  <c r="AJ86" i="7"/>
  <c r="BZ86" i="9" s="1"/>
  <c r="AI86" i="7"/>
  <c r="AH86" i="7"/>
  <c r="BY86" i="9" s="1"/>
  <c r="AK85" i="7"/>
  <c r="AJ85" i="7"/>
  <c r="AI85" i="7"/>
  <c r="AH85" i="7"/>
  <c r="CN85" i="7" s="1"/>
  <c r="AA88" i="7"/>
  <c r="F88" i="11"/>
  <c r="N88" i="11" s="1"/>
  <c r="Z88" i="7"/>
  <c r="Y88" i="7"/>
  <c r="AA87" i="7"/>
  <c r="F87" i="11"/>
  <c r="N87" i="11" s="1"/>
  <c r="Z87" i="7"/>
  <c r="E87" i="9" s="1"/>
  <c r="E87" i="11" s="1"/>
  <c r="L87" i="11" s="1"/>
  <c r="Y87" i="7"/>
  <c r="AA86" i="7"/>
  <c r="F86" i="11"/>
  <c r="O86" i="11" s="1"/>
  <c r="Z86" i="7"/>
  <c r="Y86" i="7"/>
  <c r="AA85" i="7"/>
  <c r="F85" i="11"/>
  <c r="O85" i="11" s="1"/>
  <c r="Z85" i="7"/>
  <c r="E85" i="9" s="1"/>
  <c r="E85" i="11" s="1"/>
  <c r="J85" i="11" s="1"/>
  <c r="Y85" i="7"/>
  <c r="X88" i="7"/>
  <c r="X87" i="7"/>
  <c r="X86" i="7"/>
  <c r="X85" i="7"/>
  <c r="V88" i="7"/>
  <c r="V87" i="7"/>
  <c r="V86" i="7"/>
  <c r="D86" i="9" s="1"/>
  <c r="D86" i="11" s="1"/>
  <c r="V85" i="7"/>
  <c r="W88" i="7"/>
  <c r="E88" i="9" s="1"/>
  <c r="E88" i="11" s="1"/>
  <c r="J88" i="11" s="1"/>
  <c r="W87" i="7"/>
  <c r="W86" i="7"/>
  <c r="E86" i="9" s="1"/>
  <c r="E86" i="11" s="1"/>
  <c r="J86" i="11" s="1"/>
  <c r="W85" i="7"/>
  <c r="U88" i="7"/>
  <c r="D88" i="9" s="1"/>
  <c r="U87" i="7"/>
  <c r="D87" i="9" s="1"/>
  <c r="U86" i="7"/>
  <c r="U85" i="7"/>
  <c r="D85" i="9"/>
  <c r="D85" i="11" s="1"/>
  <c r="G85" i="11" s="1"/>
  <c r="H85" i="7"/>
  <c r="I85" i="7"/>
  <c r="J85" i="7"/>
  <c r="CM85" i="7" s="1"/>
  <c r="K85" i="7"/>
  <c r="L85" i="7"/>
  <c r="M85" i="7"/>
  <c r="N85" i="7"/>
  <c r="K85" i="9" s="1"/>
  <c r="O85" i="7"/>
  <c r="P85" i="7"/>
  <c r="Q85" i="7"/>
  <c r="W85" i="9" s="1"/>
  <c r="R85" i="7"/>
  <c r="BH85" i="9"/>
  <c r="S85" i="7"/>
  <c r="T85" i="7"/>
  <c r="H86" i="7"/>
  <c r="CM86" i="7" s="1"/>
  <c r="I86" i="7"/>
  <c r="G86" i="9" s="1"/>
  <c r="X86" i="9" s="1"/>
  <c r="J86" i="7"/>
  <c r="K86" i="7"/>
  <c r="L86" i="7"/>
  <c r="M86" i="7"/>
  <c r="N86" i="7"/>
  <c r="O86" i="7"/>
  <c r="P86" i="7"/>
  <c r="Q86" i="7"/>
  <c r="W86" i="9" s="1"/>
  <c r="R86" i="7"/>
  <c r="BH86" i="9" s="1"/>
  <c r="S86" i="7"/>
  <c r="T86" i="7"/>
  <c r="H87" i="7"/>
  <c r="CM87" i="7" s="1"/>
  <c r="I87" i="7"/>
  <c r="J87" i="7"/>
  <c r="K87" i="7"/>
  <c r="L87" i="7"/>
  <c r="M87" i="7"/>
  <c r="N87" i="7"/>
  <c r="I87" i="9" s="1"/>
  <c r="O87" i="7"/>
  <c r="P87" i="7"/>
  <c r="Q87" i="7"/>
  <c r="R87" i="7"/>
  <c r="BH87" i="9" s="1"/>
  <c r="S87" i="7"/>
  <c r="T87" i="7"/>
  <c r="H88" i="7"/>
  <c r="CM88" i="7" s="1"/>
  <c r="I88" i="7"/>
  <c r="J88" i="7"/>
  <c r="K88" i="7"/>
  <c r="L88" i="7"/>
  <c r="M88" i="7"/>
  <c r="N88" i="7"/>
  <c r="H88" i="9" s="1"/>
  <c r="Q88" i="9" s="1"/>
  <c r="O88" i="7"/>
  <c r="P88" i="7"/>
  <c r="Q88" i="7"/>
  <c r="V88" i="9" s="1"/>
  <c r="R88" i="7"/>
  <c r="BH88" i="9"/>
  <c r="S88" i="7"/>
  <c r="T88" i="7"/>
  <c r="G88" i="7"/>
  <c r="D88" i="8" s="1"/>
  <c r="G87" i="7"/>
  <c r="CN87" i="7" s="1"/>
  <c r="G86" i="7"/>
  <c r="CN86" i="7" s="1"/>
  <c r="G85" i="7"/>
  <c r="D85" i="8" s="1"/>
  <c r="CD86" i="10"/>
  <c r="CF86" i="10" s="1"/>
  <c r="BF86" i="10"/>
  <c r="CH85" i="9"/>
  <c r="CS85" i="9"/>
  <c r="CT85" i="9" s="1"/>
  <c r="CU85" i="9" s="1"/>
  <c r="CN85" i="9"/>
  <c r="CO85" i="9"/>
  <c r="BZ85" i="9"/>
  <c r="CP85" i="9"/>
  <c r="CX85" i="9"/>
  <c r="DF86" i="9"/>
  <c r="V85" i="9"/>
  <c r="BG85" i="9" s="1"/>
  <c r="BB85" i="8"/>
  <c r="CN86" i="9"/>
  <c r="CH88" i="9"/>
  <c r="AD88" i="8"/>
  <c r="BR88" i="8" s="1"/>
  <c r="J86" i="9"/>
  <c r="H86" i="9"/>
  <c r="Q86" i="9" s="1"/>
  <c r="I86" i="9"/>
  <c r="CH86" i="9"/>
  <c r="CS86" i="9"/>
  <c r="CT86" i="9" s="1"/>
  <c r="CU86" i="9" s="1"/>
  <c r="CH87" i="9"/>
  <c r="CS87" i="9"/>
  <c r="CT87" i="9" s="1"/>
  <c r="CU87" i="9" s="1"/>
  <c r="CN87" i="9"/>
  <c r="BZ87" i="9"/>
  <c r="DF88" i="9"/>
  <c r="W87" i="9"/>
  <c r="V87" i="9"/>
  <c r="AW87" i="9" s="1"/>
  <c r="AH87" i="8" s="1"/>
  <c r="BV87" i="8" s="1"/>
  <c r="BD88" i="9"/>
  <c r="BF88" i="9" s="1"/>
  <c r="AQ88" i="8"/>
  <c r="CE88" i="8" s="1"/>
  <c r="BP86" i="9"/>
  <c r="BT86" i="9" s="1"/>
  <c r="S87" i="11"/>
  <c r="H85" i="9"/>
  <c r="Q85" i="9" s="1"/>
  <c r="AB85" i="9" s="1"/>
  <c r="CZ85" i="9" s="1"/>
  <c r="S88" i="11"/>
  <c r="CS88" i="9"/>
  <c r="CT88" i="9" s="1"/>
  <c r="CU88" i="9" s="1"/>
  <c r="K87" i="9"/>
  <c r="J85" i="9"/>
  <c r="S85" i="11"/>
  <c r="CN88" i="9"/>
  <c r="AB87" i="9"/>
  <c r="CY87" i="9" s="1"/>
  <c r="BX86" i="9"/>
  <c r="BO85" i="9"/>
  <c r="BS85" i="9" s="1"/>
  <c r="BP87" i="9"/>
  <c r="BT87" i="9" s="1"/>
  <c r="BP85" i="9"/>
  <c r="BT85" i="9" s="1"/>
  <c r="BP88" i="9"/>
  <c r="BT88" i="9" s="1"/>
  <c r="BW88" i="9"/>
  <c r="BX88" i="9"/>
  <c r="BV103" i="7"/>
  <c r="BV87" i="7" s="1"/>
  <c r="CZ87" i="9"/>
  <c r="CN84" i="11"/>
  <c r="CN83" i="11"/>
  <c r="CN82" i="11"/>
  <c r="CN80" i="11"/>
  <c r="CN79" i="11"/>
  <c r="CN78" i="11"/>
  <c r="CN77" i="11"/>
  <c r="CN76" i="11"/>
  <c r="CN75" i="11"/>
  <c r="CN74" i="11"/>
  <c r="CN73" i="11"/>
  <c r="CN72" i="11"/>
  <c r="CN71" i="11"/>
  <c r="CN70" i="11"/>
  <c r="CN69" i="11"/>
  <c r="CN68" i="11"/>
  <c r="CN67" i="11"/>
  <c r="CM84" i="11"/>
  <c r="CM83" i="11"/>
  <c r="CM82" i="11"/>
  <c r="CM80" i="11"/>
  <c r="CM79" i="11"/>
  <c r="CM78" i="11"/>
  <c r="CM77" i="11"/>
  <c r="CM76" i="11"/>
  <c r="CM75" i="11"/>
  <c r="CM74" i="11"/>
  <c r="CM73" i="11"/>
  <c r="CM72" i="11"/>
  <c r="CM71" i="11"/>
  <c r="CM70" i="11"/>
  <c r="CM69" i="11"/>
  <c r="CM68" i="11"/>
  <c r="CM67" i="11"/>
  <c r="CM65" i="11"/>
  <c r="CM60" i="11"/>
  <c r="CM59" i="11"/>
  <c r="CM58" i="11"/>
  <c r="CM56" i="11"/>
  <c r="CM50" i="11"/>
  <c r="CM49" i="11"/>
  <c r="CM48" i="11"/>
  <c r="CM47" i="11"/>
  <c r="CM33" i="11"/>
  <c r="CM32" i="11"/>
  <c r="CM31" i="11"/>
  <c r="CM30" i="11"/>
  <c r="CM29" i="11"/>
  <c r="CM21" i="11"/>
  <c r="CM20" i="11"/>
  <c r="CM19" i="11"/>
  <c r="CM18" i="11"/>
  <c r="CM11" i="11"/>
  <c r="CM9" i="11"/>
  <c r="CM7" i="11"/>
  <c r="CM6" i="11"/>
  <c r="CM5" i="11"/>
  <c r="CM4" i="11"/>
  <c r="CL84" i="11"/>
  <c r="CK84" i="11"/>
  <c r="CL83" i="11"/>
  <c r="CK83" i="11"/>
  <c r="CL82" i="11"/>
  <c r="CK82" i="11"/>
  <c r="CL81" i="11"/>
  <c r="CK81" i="11"/>
  <c r="CL80" i="11"/>
  <c r="CK80" i="11"/>
  <c r="CL79" i="11"/>
  <c r="CK79" i="11"/>
  <c r="CL78" i="11"/>
  <c r="CK78" i="11"/>
  <c r="CL77" i="11"/>
  <c r="CK77" i="11"/>
  <c r="CL76" i="11"/>
  <c r="CK76" i="11"/>
  <c r="CL75" i="11"/>
  <c r="CK75" i="11"/>
  <c r="CL74" i="11"/>
  <c r="CK74" i="11"/>
  <c r="CL73" i="11"/>
  <c r="CK73" i="11"/>
  <c r="CL72" i="11"/>
  <c r="CK72" i="11"/>
  <c r="CL71" i="11"/>
  <c r="CK71" i="11"/>
  <c r="CL70" i="11"/>
  <c r="CK70" i="11"/>
  <c r="CL69" i="11"/>
  <c r="CK69" i="11"/>
  <c r="CL68" i="11"/>
  <c r="CK68" i="11"/>
  <c r="CL67" i="11"/>
  <c r="CK67" i="11"/>
  <c r="CL66" i="11"/>
  <c r="CK66" i="11"/>
  <c r="CL65" i="11"/>
  <c r="CK65" i="11"/>
  <c r="CL64" i="11"/>
  <c r="CK64" i="11"/>
  <c r="CL63" i="11"/>
  <c r="CK63" i="11"/>
  <c r="CL62" i="11"/>
  <c r="CK62" i="11"/>
  <c r="CL61" i="11"/>
  <c r="CK61" i="11"/>
  <c r="CL60" i="11"/>
  <c r="CK60" i="11"/>
  <c r="CL59" i="11"/>
  <c r="CK59" i="11"/>
  <c r="CL58" i="11"/>
  <c r="CK58" i="11"/>
  <c r="CL57" i="11"/>
  <c r="CK57" i="11"/>
  <c r="CL56" i="11"/>
  <c r="CK56" i="11"/>
  <c r="CL55" i="11"/>
  <c r="CK55" i="11"/>
  <c r="CL54" i="11"/>
  <c r="CK54" i="11"/>
  <c r="CL53" i="11"/>
  <c r="CK53" i="11"/>
  <c r="CL52" i="11"/>
  <c r="CK52" i="11"/>
  <c r="CL51" i="11"/>
  <c r="CK51" i="11"/>
  <c r="CL50" i="11"/>
  <c r="CK50" i="11"/>
  <c r="CL49" i="11"/>
  <c r="CK49" i="11"/>
  <c r="CL48" i="11"/>
  <c r="CK48" i="11"/>
  <c r="CL47" i="11"/>
  <c r="CK47" i="11"/>
  <c r="CL46" i="11"/>
  <c r="CK46" i="11"/>
  <c r="CL45" i="11"/>
  <c r="CK45" i="11"/>
  <c r="CL44" i="11"/>
  <c r="CK44" i="11"/>
  <c r="CL43" i="11"/>
  <c r="CK43" i="11"/>
  <c r="CL42" i="11"/>
  <c r="CK42" i="11"/>
  <c r="CL41" i="11"/>
  <c r="CK41" i="11"/>
  <c r="CL40" i="11"/>
  <c r="CK40" i="11"/>
  <c r="CL39" i="11"/>
  <c r="CK39" i="11"/>
  <c r="CL38" i="11"/>
  <c r="CK38" i="11"/>
  <c r="CL37" i="11"/>
  <c r="CK37" i="11"/>
  <c r="CL36" i="11"/>
  <c r="CK36" i="11"/>
  <c r="CL35" i="11"/>
  <c r="CK35" i="11"/>
  <c r="CL34" i="11"/>
  <c r="CK34" i="11"/>
  <c r="CL33" i="11"/>
  <c r="CK33" i="11"/>
  <c r="CL32" i="11"/>
  <c r="CK32" i="11"/>
  <c r="CL31" i="11"/>
  <c r="CK31" i="11"/>
  <c r="CL30" i="11"/>
  <c r="CK30" i="11"/>
  <c r="CL29" i="11"/>
  <c r="CK29" i="11"/>
  <c r="CL28" i="11"/>
  <c r="CK28" i="11"/>
  <c r="CL27" i="11"/>
  <c r="CK27" i="11"/>
  <c r="CL26" i="11"/>
  <c r="CK26" i="11"/>
  <c r="CL25" i="11"/>
  <c r="CK25" i="11"/>
  <c r="CL24" i="11"/>
  <c r="CK24" i="11"/>
  <c r="CL23" i="11"/>
  <c r="CK23" i="11"/>
  <c r="CL22" i="11"/>
  <c r="CK22" i="11"/>
  <c r="CL21" i="11"/>
  <c r="CK21" i="11"/>
  <c r="CL20" i="11"/>
  <c r="CK20" i="11"/>
  <c r="CL19" i="11"/>
  <c r="CK19" i="11"/>
  <c r="CL18" i="11"/>
  <c r="CK18" i="11"/>
  <c r="CL17" i="11"/>
  <c r="CK17" i="11"/>
  <c r="CL16" i="11"/>
  <c r="CK16" i="11"/>
  <c r="CL15" i="11"/>
  <c r="CK15" i="11"/>
  <c r="CL14" i="11"/>
  <c r="CK14" i="11"/>
  <c r="CL13" i="11"/>
  <c r="CK13" i="11"/>
  <c r="CL12" i="11"/>
  <c r="CK12" i="11"/>
  <c r="CL11" i="11"/>
  <c r="CK11" i="11"/>
  <c r="CL10" i="11"/>
  <c r="CK10" i="11"/>
  <c r="CL9" i="11"/>
  <c r="CK9" i="11"/>
  <c r="CL8" i="11"/>
  <c r="CK8" i="11"/>
  <c r="CL7" i="11"/>
  <c r="CK7" i="11"/>
  <c r="CL6" i="11"/>
  <c r="CK6" i="11"/>
  <c r="CL5" i="11"/>
  <c r="CK5" i="11"/>
  <c r="CL4" i="11"/>
  <c r="CK4" i="11"/>
  <c r="CL2" i="11"/>
  <c r="CK2" i="11"/>
  <c r="H87" i="8"/>
  <c r="AU87" i="8" s="1"/>
  <c r="N86" i="9"/>
  <c r="AM86" i="9" s="1"/>
  <c r="DZ3" i="11"/>
  <c r="DZ2" i="11"/>
  <c r="DZ1" i="11"/>
  <c r="DY84" i="11"/>
  <c r="DY83" i="11"/>
  <c r="DY82" i="11"/>
  <c r="DY81" i="11"/>
  <c r="DY80" i="11"/>
  <c r="DY79" i="11"/>
  <c r="DY77" i="11"/>
  <c r="DY76" i="11"/>
  <c r="DY75" i="11"/>
  <c r="DY74" i="11"/>
  <c r="DY73" i="11"/>
  <c r="DY72" i="11"/>
  <c r="DY71" i="11"/>
  <c r="DY67" i="11"/>
  <c r="DY66" i="11"/>
  <c r="DY65" i="11"/>
  <c r="DY64" i="11"/>
  <c r="DY63" i="11"/>
  <c r="DY62" i="11"/>
  <c r="DY61" i="11"/>
  <c r="DY60" i="11"/>
  <c r="DY58" i="11"/>
  <c r="DY57" i="11"/>
  <c r="DY55" i="11"/>
  <c r="DY54" i="11"/>
  <c r="DY53" i="11"/>
  <c r="EE53" i="11" s="1"/>
  <c r="DY51" i="11"/>
  <c r="DY50" i="11"/>
  <c r="DY49" i="11"/>
  <c r="DY48" i="11"/>
  <c r="DY46" i="11"/>
  <c r="DY45" i="11"/>
  <c r="EE45" i="11" s="1"/>
  <c r="DY43" i="11"/>
  <c r="EA43" i="11" s="1"/>
  <c r="DY42" i="11"/>
  <c r="EA42" i="11" s="1"/>
  <c r="DY41" i="11"/>
  <c r="EA41" i="11" s="1"/>
  <c r="DY40" i="11"/>
  <c r="DY39" i="11"/>
  <c r="DY38" i="11"/>
  <c r="DY37" i="11"/>
  <c r="DY36" i="11"/>
  <c r="DY35" i="11"/>
  <c r="DY34" i="11"/>
  <c r="DY33" i="11"/>
  <c r="DY32" i="11"/>
  <c r="DY31" i="11"/>
  <c r="DY30" i="11"/>
  <c r="DY29" i="11"/>
  <c r="DY28" i="11"/>
  <c r="DY27" i="11"/>
  <c r="DY26" i="11"/>
  <c r="EB26" i="11" s="1"/>
  <c r="DY25" i="11"/>
  <c r="EC25" i="11" s="1"/>
  <c r="DY24" i="11"/>
  <c r="DY23" i="11"/>
  <c r="DY22" i="11"/>
  <c r="DY21" i="11"/>
  <c r="ED21" i="11" s="1"/>
  <c r="DY20" i="11"/>
  <c r="DY19" i="11"/>
  <c r="ED19" i="11" s="1"/>
  <c r="DY18" i="11"/>
  <c r="DY17" i="11"/>
  <c r="DY16" i="11"/>
  <c r="DY15" i="11"/>
  <c r="DY14" i="11"/>
  <c r="EC14" i="11" s="1"/>
  <c r="DY13" i="11"/>
  <c r="EC13" i="11" s="1"/>
  <c r="DY12" i="11"/>
  <c r="EC12" i="11" s="1"/>
  <c r="DY11" i="11"/>
  <c r="EB11" i="11" s="1"/>
  <c r="DY10" i="11"/>
  <c r="DY9" i="11"/>
  <c r="DY8" i="11"/>
  <c r="DY7" i="11"/>
  <c r="DY6" i="11"/>
  <c r="DY5" i="11"/>
  <c r="DY4" i="11"/>
  <c r="DY3" i="11"/>
  <c r="DY2" i="11"/>
  <c r="DY1" i="11"/>
  <c r="FC84" i="8"/>
  <c r="FC83" i="8"/>
  <c r="CE83" i="11" s="1"/>
  <c r="DR83" i="11" s="1"/>
  <c r="FC82" i="8"/>
  <c r="CE82" i="11" s="1"/>
  <c r="DR82" i="11" s="1"/>
  <c r="FC81" i="8"/>
  <c r="FC80" i="8"/>
  <c r="FC79" i="8"/>
  <c r="CE79" i="11" s="1"/>
  <c r="DR79" i="11" s="1"/>
  <c r="FC77" i="8"/>
  <c r="CE77" i="11" s="1"/>
  <c r="DR77" i="11" s="1"/>
  <c r="FC76" i="8"/>
  <c r="CE76" i="11" s="1"/>
  <c r="DR76" i="11" s="1"/>
  <c r="FC75" i="8"/>
  <c r="FC74" i="8"/>
  <c r="CE74" i="11" s="1"/>
  <c r="DR74" i="11" s="1"/>
  <c r="FC73" i="8"/>
  <c r="CE73" i="11" s="1"/>
  <c r="DR73" i="11" s="1"/>
  <c r="FC72" i="8"/>
  <c r="CE72" i="11" s="1"/>
  <c r="DR72" i="11" s="1"/>
  <c r="FC71" i="8"/>
  <c r="FC68" i="8"/>
  <c r="CE68" i="11" s="1"/>
  <c r="DR68" i="11" s="1"/>
  <c r="FC67" i="8"/>
  <c r="CE67" i="11" s="1"/>
  <c r="DR67" i="11" s="1"/>
  <c r="FC66" i="8"/>
  <c r="FC65" i="8"/>
  <c r="FC64" i="8"/>
  <c r="CE64" i="11" s="1"/>
  <c r="DR64" i="11" s="1"/>
  <c r="FC63" i="8"/>
  <c r="FC62" i="8"/>
  <c r="CE62" i="11" s="1"/>
  <c r="DR62" i="11" s="1"/>
  <c r="FC61" i="8"/>
  <c r="CE61" i="11" s="1"/>
  <c r="DR61" i="11" s="1"/>
  <c r="FC60" i="8"/>
  <c r="CE60" i="11" s="1"/>
  <c r="DR60" i="11" s="1"/>
  <c r="FC58" i="8"/>
  <c r="CE58" i="11" s="1"/>
  <c r="DR58" i="11" s="1"/>
  <c r="FC57" i="8"/>
  <c r="CE57" i="11" s="1"/>
  <c r="DR57" i="11" s="1"/>
  <c r="FC55" i="8"/>
  <c r="CE55" i="11" s="1"/>
  <c r="DR55" i="11" s="1"/>
  <c r="FC54" i="8"/>
  <c r="CE54" i="11" s="1"/>
  <c r="DR54" i="11" s="1"/>
  <c r="FC53" i="8"/>
  <c r="CE53" i="11" s="1"/>
  <c r="DR53" i="11" s="1"/>
  <c r="DX53" i="11" s="1"/>
  <c r="FC51" i="8"/>
  <c r="CE51" i="11" s="1"/>
  <c r="DR51" i="11" s="1"/>
  <c r="FC50" i="8"/>
  <c r="CE50" i="11" s="1"/>
  <c r="DR50" i="11" s="1"/>
  <c r="FC49" i="8"/>
  <c r="CE49" i="11" s="1"/>
  <c r="DR49" i="11" s="1"/>
  <c r="FC48" i="8"/>
  <c r="CE48" i="11" s="1"/>
  <c r="DR48" i="11" s="1"/>
  <c r="FC46" i="8"/>
  <c r="CE46" i="11" s="1"/>
  <c r="DR46" i="11" s="1"/>
  <c r="FC45" i="8"/>
  <c r="CE45" i="11" s="1"/>
  <c r="DR45" i="11" s="1"/>
  <c r="DX45" i="11" s="1"/>
  <c r="FC43" i="8"/>
  <c r="CE43" i="11" s="1"/>
  <c r="DR43" i="11" s="1"/>
  <c r="DT43" i="11" s="1"/>
  <c r="FC42" i="8"/>
  <c r="CE42" i="11" s="1"/>
  <c r="DR42" i="11" s="1"/>
  <c r="DT42" i="11" s="1"/>
  <c r="FC41" i="8"/>
  <c r="CE41" i="11" s="1"/>
  <c r="DR41" i="11" s="1"/>
  <c r="DT41" i="11" s="1"/>
  <c r="FC40" i="8"/>
  <c r="CE40" i="11" s="1"/>
  <c r="DR40" i="11" s="1"/>
  <c r="FC39" i="8"/>
  <c r="CE39" i="11" s="1"/>
  <c r="DR39" i="11" s="1"/>
  <c r="FC38" i="8"/>
  <c r="CE38" i="11" s="1"/>
  <c r="DR38" i="11" s="1"/>
  <c r="FC37" i="8"/>
  <c r="CE37" i="11" s="1"/>
  <c r="DR37" i="11" s="1"/>
  <c r="FC36" i="8"/>
  <c r="CE36" i="11" s="1"/>
  <c r="DR36" i="11" s="1"/>
  <c r="FC35" i="8"/>
  <c r="CE35" i="11" s="1"/>
  <c r="DR35" i="11" s="1"/>
  <c r="FC34" i="8"/>
  <c r="CE34" i="11" s="1"/>
  <c r="DR34" i="11" s="1"/>
  <c r="FC33" i="8"/>
  <c r="CE33" i="11" s="1"/>
  <c r="DR33" i="11" s="1"/>
  <c r="FC32" i="8"/>
  <c r="CE32" i="11" s="1"/>
  <c r="DR32" i="11" s="1"/>
  <c r="FC31" i="8"/>
  <c r="CE31" i="11" s="1"/>
  <c r="DR31" i="11" s="1"/>
  <c r="FC30" i="8"/>
  <c r="CE30" i="11" s="1"/>
  <c r="DR30" i="11" s="1"/>
  <c r="FC29" i="8"/>
  <c r="CE29" i="11" s="1"/>
  <c r="DR29" i="11" s="1"/>
  <c r="FC28" i="8"/>
  <c r="CE28" i="11" s="1"/>
  <c r="DR28" i="11" s="1"/>
  <c r="FC27" i="8"/>
  <c r="CE27" i="11" s="1"/>
  <c r="DR27" i="11" s="1"/>
  <c r="FC26" i="8"/>
  <c r="CE26" i="11" s="1"/>
  <c r="DR26" i="11" s="1"/>
  <c r="DU26" i="11" s="1"/>
  <c r="FC25" i="8"/>
  <c r="CE25" i="11" s="1"/>
  <c r="DR25" i="11" s="1"/>
  <c r="DV25" i="11" s="1"/>
  <c r="FC24" i="8"/>
  <c r="CE24" i="11" s="1"/>
  <c r="DR24" i="11" s="1"/>
  <c r="FC23" i="8"/>
  <c r="CE23" i="11" s="1"/>
  <c r="DR23" i="11" s="1"/>
  <c r="FC22" i="8"/>
  <c r="CE22" i="11" s="1"/>
  <c r="DR22" i="11" s="1"/>
  <c r="FC21" i="8"/>
  <c r="CE21" i="11" s="1"/>
  <c r="DR21" i="11" s="1"/>
  <c r="DW21" i="11" s="1"/>
  <c r="FC20" i="8"/>
  <c r="CE20" i="11" s="1"/>
  <c r="DR20" i="11" s="1"/>
  <c r="FC19" i="8"/>
  <c r="CE19" i="11" s="1"/>
  <c r="DR19" i="11" s="1"/>
  <c r="DW19" i="11" s="1"/>
  <c r="FC18" i="8"/>
  <c r="CE18" i="11" s="1"/>
  <c r="DR18" i="11" s="1"/>
  <c r="FC17" i="8"/>
  <c r="CE17" i="11" s="1"/>
  <c r="DR17" i="11" s="1"/>
  <c r="FC16" i="8"/>
  <c r="CE16" i="11" s="1"/>
  <c r="DR16" i="11" s="1"/>
  <c r="FC15" i="8"/>
  <c r="CE15" i="11" s="1"/>
  <c r="DR15" i="11" s="1"/>
  <c r="FC14" i="8"/>
  <c r="CE14" i="11" s="1"/>
  <c r="DR14" i="11" s="1"/>
  <c r="DV14" i="11" s="1"/>
  <c r="FC13" i="8"/>
  <c r="CE13" i="11" s="1"/>
  <c r="DR13" i="11" s="1"/>
  <c r="DV13" i="11" s="1"/>
  <c r="FC12" i="8"/>
  <c r="CE12" i="11" s="1"/>
  <c r="DR12" i="11" s="1"/>
  <c r="DV12" i="11" s="1"/>
  <c r="FC11" i="8"/>
  <c r="CE11" i="11" s="1"/>
  <c r="DR11" i="11" s="1"/>
  <c r="DU11" i="11" s="1"/>
  <c r="FC10" i="8"/>
  <c r="CE10" i="11" s="1"/>
  <c r="DR10" i="11" s="1"/>
  <c r="FC9" i="8"/>
  <c r="CE9" i="11" s="1"/>
  <c r="DR9" i="11" s="1"/>
  <c r="FC8" i="8"/>
  <c r="CE8" i="11" s="1"/>
  <c r="DR8" i="11" s="1"/>
  <c r="FC7" i="8"/>
  <c r="CE7" i="11" s="1"/>
  <c r="DR7" i="11" s="1"/>
  <c r="FC6" i="8"/>
  <c r="CE6" i="11" s="1"/>
  <c r="DR6" i="11" s="1"/>
  <c r="FC5" i="8"/>
  <c r="CE5" i="11" s="1"/>
  <c r="DR5" i="11" s="1"/>
  <c r="CE84" i="11"/>
  <c r="DR84" i="11" s="1"/>
  <c r="CE81" i="11"/>
  <c r="DR81" i="11" s="1"/>
  <c r="CE80" i="11"/>
  <c r="DR80" i="11" s="1"/>
  <c r="CE75" i="11"/>
  <c r="DR75" i="11" s="1"/>
  <c r="CE71" i="11"/>
  <c r="DR71" i="11" s="1"/>
  <c r="CE66" i="11"/>
  <c r="DR66" i="11" s="1"/>
  <c r="CE65" i="11"/>
  <c r="DR65" i="11" s="1"/>
  <c r="CU84" i="7"/>
  <c r="CU83" i="7"/>
  <c r="CU82" i="7"/>
  <c r="CU81" i="7"/>
  <c r="CU80" i="7"/>
  <c r="CU79" i="7"/>
  <c r="CU78" i="7"/>
  <c r="CU77" i="7"/>
  <c r="CU76" i="7"/>
  <c r="CU75" i="7"/>
  <c r="CU74" i="7"/>
  <c r="CU73" i="7"/>
  <c r="CU72" i="7"/>
  <c r="CU71" i="7"/>
  <c r="CU70" i="7"/>
  <c r="CU69" i="7"/>
  <c r="CU68" i="7"/>
  <c r="CU67" i="7"/>
  <c r="CU66" i="7"/>
  <c r="CU65" i="7"/>
  <c r="CU64" i="7"/>
  <c r="CU63" i="7"/>
  <c r="CU62" i="7"/>
  <c r="CU61" i="7"/>
  <c r="CU60" i="7"/>
  <c r="CU59" i="7"/>
  <c r="CU58" i="7"/>
  <c r="CU57" i="7"/>
  <c r="CU56" i="7"/>
  <c r="CU55" i="7"/>
  <c r="CU54" i="7"/>
  <c r="CU53" i="7"/>
  <c r="CU52" i="7"/>
  <c r="CU51" i="7"/>
  <c r="CU50" i="7"/>
  <c r="CU49" i="7"/>
  <c r="CU48" i="7"/>
  <c r="CU47" i="7"/>
  <c r="CU46" i="7"/>
  <c r="CU45" i="7"/>
  <c r="CU44" i="7"/>
  <c r="CU43" i="7"/>
  <c r="CU42" i="7"/>
  <c r="CU41" i="7"/>
  <c r="CU40" i="7"/>
  <c r="CU39" i="7"/>
  <c r="CU38" i="7"/>
  <c r="CU37" i="7"/>
  <c r="CU36" i="7"/>
  <c r="CU35" i="7"/>
  <c r="CU34" i="7"/>
  <c r="CU33" i="7"/>
  <c r="CU32" i="7"/>
  <c r="CU31" i="7"/>
  <c r="CU30" i="7"/>
  <c r="CU29" i="7"/>
  <c r="CU28" i="7"/>
  <c r="CU27" i="7"/>
  <c r="CU26" i="7"/>
  <c r="CU25" i="7"/>
  <c r="CU24" i="7"/>
  <c r="CU23" i="7"/>
  <c r="CU22" i="7"/>
  <c r="CU21" i="7"/>
  <c r="CU20" i="7"/>
  <c r="CU19" i="7"/>
  <c r="CU18" i="7"/>
  <c r="CU17" i="7"/>
  <c r="CU16" i="7"/>
  <c r="CU15" i="7"/>
  <c r="CU14" i="7"/>
  <c r="CU13" i="7"/>
  <c r="CU12" i="7"/>
  <c r="CU11" i="7"/>
  <c r="CU10" i="7"/>
  <c r="CU9" i="7"/>
  <c r="CU8" i="7"/>
  <c r="CU7" i="7"/>
  <c r="CU6" i="7"/>
  <c r="CU5" i="7"/>
  <c r="DS3" i="11"/>
  <c r="DS2" i="11"/>
  <c r="DR2" i="11"/>
  <c r="EA42" i="7"/>
  <c r="DZ42" i="7"/>
  <c r="BB42" i="11"/>
  <c r="CR53" i="11"/>
  <c r="DK2" i="11"/>
  <c r="DK43" i="11"/>
  <c r="DJ43" i="11"/>
  <c r="DI43" i="11" s="1"/>
  <c r="DL43" i="11" s="1"/>
  <c r="DK21" i="11"/>
  <c r="DJ21" i="11"/>
  <c r="DI21" i="11" s="1"/>
  <c r="DO21" i="11" s="1"/>
  <c r="DK19" i="11"/>
  <c r="DJ19" i="11"/>
  <c r="DK11" i="11"/>
  <c r="DJ11" i="11"/>
  <c r="DI11" i="11" s="1"/>
  <c r="DM11" i="11" s="1"/>
  <c r="DK3" i="11"/>
  <c r="DJ3" i="11"/>
  <c r="DJ2" i="11"/>
  <c r="CT19" i="11"/>
  <c r="DB19" i="11" s="1"/>
  <c r="CT21" i="11"/>
  <c r="DB21" i="11" s="1"/>
  <c r="CS21" i="11"/>
  <c r="CQ21" i="11"/>
  <c r="DG21" i="11" s="1"/>
  <c r="CP21" i="11"/>
  <c r="CS19" i="11"/>
  <c r="CQ19" i="11"/>
  <c r="DG19" i="11" s="1"/>
  <c r="CP19" i="11"/>
  <c r="CT11" i="11"/>
  <c r="CS11" i="11"/>
  <c r="CQ11" i="11"/>
  <c r="DE11" i="11" s="1"/>
  <c r="CP11" i="11"/>
  <c r="BN2" i="18"/>
  <c r="DQ85" i="7"/>
  <c r="DQ84" i="7"/>
  <c r="DQ83" i="7"/>
  <c r="DQ82" i="7"/>
  <c r="DQ81" i="7"/>
  <c r="DQ80" i="7"/>
  <c r="DQ79" i="7"/>
  <c r="DQ78" i="7"/>
  <c r="DQ77" i="7"/>
  <c r="DQ76" i="7"/>
  <c r="DQ75" i="7"/>
  <c r="DQ74" i="7"/>
  <c r="DQ73" i="7"/>
  <c r="DQ72" i="7"/>
  <c r="DQ71" i="7"/>
  <c r="DQ70" i="7"/>
  <c r="DQ69" i="7"/>
  <c r="DQ68" i="7"/>
  <c r="DQ67" i="7"/>
  <c r="DQ66" i="7"/>
  <c r="DQ65" i="7"/>
  <c r="DQ64" i="7"/>
  <c r="DQ63" i="7"/>
  <c r="DQ62" i="7"/>
  <c r="DQ61" i="7"/>
  <c r="DQ60" i="7"/>
  <c r="DQ59" i="7"/>
  <c r="DQ58" i="7"/>
  <c r="DQ57" i="7"/>
  <c r="DQ56" i="7"/>
  <c r="DQ55" i="7"/>
  <c r="DQ54" i="7"/>
  <c r="DQ53" i="7"/>
  <c r="DQ52" i="7"/>
  <c r="DQ51" i="7"/>
  <c r="DQ50" i="7"/>
  <c r="DQ49" i="7"/>
  <c r="DQ48" i="7"/>
  <c r="DQ47" i="7"/>
  <c r="DQ46" i="7"/>
  <c r="DQ45" i="7"/>
  <c r="DQ44" i="7"/>
  <c r="DQ43" i="7"/>
  <c r="DQ42" i="7"/>
  <c r="DQ41" i="7"/>
  <c r="DQ40" i="7"/>
  <c r="DQ39" i="7"/>
  <c r="DQ38" i="7"/>
  <c r="DQ37" i="7"/>
  <c r="DQ36" i="7"/>
  <c r="DQ35" i="7"/>
  <c r="DQ34" i="7"/>
  <c r="DQ33" i="7"/>
  <c r="DQ32" i="7"/>
  <c r="DQ31" i="7"/>
  <c r="DQ30" i="7"/>
  <c r="DQ29" i="7"/>
  <c r="DQ28" i="7"/>
  <c r="DQ27" i="7"/>
  <c r="DQ26" i="7"/>
  <c r="DQ25" i="7"/>
  <c r="DQ24" i="7"/>
  <c r="DQ23" i="7"/>
  <c r="DQ22" i="7"/>
  <c r="DQ21" i="7"/>
  <c r="DQ20" i="7"/>
  <c r="DQ19" i="7"/>
  <c r="DQ18" i="7"/>
  <c r="DQ17" i="7"/>
  <c r="DQ16" i="7"/>
  <c r="DQ15" i="7"/>
  <c r="DQ14" i="7"/>
  <c r="DQ13" i="7"/>
  <c r="DQ12" i="7"/>
  <c r="DQ11" i="7"/>
  <c r="DQ10" i="7"/>
  <c r="DQ9" i="7"/>
  <c r="DQ8" i="7"/>
  <c r="DQ7" i="7"/>
  <c r="DQ6" i="7"/>
  <c r="DQ5" i="7"/>
  <c r="IO90" i="8"/>
  <c r="IA90" i="8"/>
  <c r="HP90" i="8"/>
  <c r="HD90" i="8"/>
  <c r="GQ90" i="8"/>
  <c r="CU43" i="11"/>
  <c r="CT43" i="11"/>
  <c r="CS43" i="11"/>
  <c r="BY43" i="11" s="1"/>
  <c r="CQ43" i="11"/>
  <c r="DD43" i="11" s="1"/>
  <c r="CP43" i="11"/>
  <c r="CY43" i="11"/>
  <c r="BK62" i="11"/>
  <c r="BK57" i="11"/>
  <c r="BK55" i="11"/>
  <c r="BK54" i="11"/>
  <c r="BK52" i="11"/>
  <c r="BK51" i="11"/>
  <c r="BK50" i="11"/>
  <c r="BK46" i="11"/>
  <c r="BK45" i="11"/>
  <c r="BK44" i="11"/>
  <c r="BK42" i="11"/>
  <c r="BK41" i="11"/>
  <c r="BK40" i="11"/>
  <c r="BK37" i="11"/>
  <c r="BK28" i="11"/>
  <c r="BK25" i="11"/>
  <c r="BK24" i="11"/>
  <c r="BK23" i="11"/>
  <c r="BK22" i="11"/>
  <c r="BK16" i="11"/>
  <c r="BK15" i="11"/>
  <c r="BK14" i="11"/>
  <c r="BK12" i="11"/>
  <c r="BK10" i="11"/>
  <c r="DO55" i="7"/>
  <c r="DO46" i="7"/>
  <c r="EA36" i="7"/>
  <c r="AI73" i="23"/>
  <c r="DV25" i="7" s="1"/>
  <c r="AH73" i="23"/>
  <c r="DU25" i="7" s="1"/>
  <c r="AG73" i="23"/>
  <c r="DT25" i="7" s="1"/>
  <c r="AF73" i="23"/>
  <c r="DS25" i="7" s="1"/>
  <c r="DO25" i="7" s="1"/>
  <c r="AE73" i="23"/>
  <c r="DR25" i="7" s="1"/>
  <c r="EA25" i="7" s="1"/>
  <c r="AI72" i="23"/>
  <c r="AH72" i="23"/>
  <c r="AG72" i="23"/>
  <c r="AF72" i="23"/>
  <c r="AE72" i="23"/>
  <c r="AI71" i="23"/>
  <c r="DV35" i="7" s="1"/>
  <c r="AH71" i="23"/>
  <c r="DU35" i="7" s="1"/>
  <c r="AG71" i="23"/>
  <c r="DT35" i="7" s="1"/>
  <c r="AF71" i="23"/>
  <c r="DS35" i="7" s="1"/>
  <c r="DO35" i="7" s="1"/>
  <c r="AE71" i="23"/>
  <c r="DR35" i="7" s="1"/>
  <c r="AI70" i="23"/>
  <c r="AH70" i="23"/>
  <c r="AG70" i="23"/>
  <c r="AF70" i="23"/>
  <c r="AE70" i="23"/>
  <c r="AI69" i="23"/>
  <c r="AH69" i="23"/>
  <c r="AG69" i="23"/>
  <c r="AJ69" i="23" s="1"/>
  <c r="AF69" i="23"/>
  <c r="AE69" i="23"/>
  <c r="AI68" i="23"/>
  <c r="DV51" i="7" s="1"/>
  <c r="AH68" i="23"/>
  <c r="DU51" i="7" s="1"/>
  <c r="AG68" i="23"/>
  <c r="DT51" i="7" s="1"/>
  <c r="AF68" i="23"/>
  <c r="DS51" i="7" s="1"/>
  <c r="DO51" i="7" s="1"/>
  <c r="AE68" i="23"/>
  <c r="DR51" i="7" s="1"/>
  <c r="AI67" i="23"/>
  <c r="AH67" i="23"/>
  <c r="AG67" i="23"/>
  <c r="AF67" i="23"/>
  <c r="AE67" i="23"/>
  <c r="AI66" i="23"/>
  <c r="AH66" i="23"/>
  <c r="AG66" i="23"/>
  <c r="AJ66" i="23" s="1"/>
  <c r="AF66" i="23"/>
  <c r="AE66" i="23"/>
  <c r="AI65" i="23"/>
  <c r="AH65" i="23"/>
  <c r="AG65" i="23"/>
  <c r="AF65" i="23"/>
  <c r="DO16" i="7"/>
  <c r="AE65" i="23"/>
  <c r="EA16" i="7"/>
  <c r="AI64" i="23"/>
  <c r="AH64" i="23"/>
  <c r="AG64" i="23"/>
  <c r="AF64" i="23"/>
  <c r="AE64" i="23"/>
  <c r="AI63" i="23"/>
  <c r="DV15" i="7" s="1"/>
  <c r="AH63" i="23"/>
  <c r="DU15" i="7" s="1"/>
  <c r="AG63" i="23"/>
  <c r="AF63" i="23"/>
  <c r="DS15" i="7" s="1"/>
  <c r="DO15" i="7" s="1"/>
  <c r="AE63" i="23"/>
  <c r="DR15" i="7" s="1"/>
  <c r="EA15" i="7" s="1"/>
  <c r="AI62" i="23"/>
  <c r="AH62" i="23"/>
  <c r="AG62" i="23"/>
  <c r="AF62" i="23"/>
  <c r="DO14" i="7"/>
  <c r="AE62" i="23"/>
  <c r="EA14" i="7"/>
  <c r="AI61" i="23"/>
  <c r="AH61" i="23"/>
  <c r="AG61" i="23"/>
  <c r="AF61" i="23"/>
  <c r="AE61" i="23"/>
  <c r="AI60" i="23"/>
  <c r="AH60" i="23"/>
  <c r="AG60" i="23"/>
  <c r="AF60" i="23"/>
  <c r="DO62" i="7"/>
  <c r="AE60" i="23"/>
  <c r="EA62" i="7"/>
  <c r="AI59" i="23"/>
  <c r="AH59" i="23"/>
  <c r="AG59" i="23"/>
  <c r="AF59" i="23"/>
  <c r="AE59" i="23"/>
  <c r="AI58" i="23"/>
  <c r="AH58" i="23"/>
  <c r="AG58" i="23"/>
  <c r="AF58" i="23"/>
  <c r="AE58" i="23"/>
  <c r="AI57" i="23"/>
  <c r="AH57" i="23"/>
  <c r="AG57" i="23"/>
  <c r="AF57" i="23"/>
  <c r="AE57" i="23"/>
  <c r="AI56" i="23"/>
  <c r="AH56" i="23"/>
  <c r="AG56" i="23"/>
  <c r="AF56" i="23"/>
  <c r="AE56" i="23"/>
  <c r="AI55" i="23"/>
  <c r="AH55" i="23"/>
  <c r="AG55" i="23"/>
  <c r="AF55" i="23"/>
  <c r="AE55" i="23"/>
  <c r="AI54" i="23"/>
  <c r="AH54" i="23"/>
  <c r="AG54" i="23"/>
  <c r="AF54" i="23"/>
  <c r="AE54" i="23"/>
  <c r="AI53" i="23"/>
  <c r="DV61" i="7" s="1"/>
  <c r="AH53" i="23"/>
  <c r="DU61" i="7" s="1"/>
  <c r="AG53" i="23"/>
  <c r="DT61" i="7" s="1"/>
  <c r="AF53" i="23"/>
  <c r="DS61" i="7" s="1"/>
  <c r="DO61" i="7" s="1"/>
  <c r="AE53" i="23"/>
  <c r="DR61" i="7" s="1"/>
  <c r="AI52" i="23"/>
  <c r="AH52" i="23"/>
  <c r="AG52" i="23"/>
  <c r="AF52" i="23"/>
  <c r="AE52" i="23"/>
  <c r="AI51" i="23"/>
  <c r="AH51" i="23"/>
  <c r="AG51" i="23"/>
  <c r="AF51" i="23"/>
  <c r="AE51" i="23"/>
  <c r="AI50" i="23"/>
  <c r="AG50" i="23"/>
  <c r="AH50" i="23"/>
  <c r="AF50" i="23"/>
  <c r="AE50" i="23"/>
  <c r="AI49" i="23"/>
  <c r="DV81" i="7" s="1"/>
  <c r="AH49" i="23"/>
  <c r="DU81" i="7" s="1"/>
  <c r="AG49" i="23"/>
  <c r="DT81" i="7" s="1"/>
  <c r="AF49" i="23"/>
  <c r="DS81" i="7" s="1"/>
  <c r="DO81" i="7" s="1"/>
  <c r="AE49" i="23"/>
  <c r="DR81" i="7" s="1"/>
  <c r="EA81" i="7" s="1"/>
  <c r="AI48" i="23"/>
  <c r="AH48" i="23"/>
  <c r="AG48" i="23"/>
  <c r="AF48" i="23"/>
  <c r="AE48" i="23"/>
  <c r="AI47" i="23"/>
  <c r="DV57" i="7" s="1"/>
  <c r="AH47" i="23"/>
  <c r="DU57" i="7" s="1"/>
  <c r="AG47" i="23"/>
  <c r="DT57" i="7" s="1"/>
  <c r="AF47" i="23"/>
  <c r="DS57" i="7" s="1"/>
  <c r="DO57" i="7" s="1"/>
  <c r="AE47" i="23"/>
  <c r="DR57" i="7" s="1"/>
  <c r="EA57" i="7" s="1"/>
  <c r="AI46" i="23"/>
  <c r="DV8" i="7" s="1"/>
  <c r="AH46" i="23"/>
  <c r="DU8" i="7" s="1"/>
  <c r="AG46" i="23"/>
  <c r="AF46" i="23"/>
  <c r="DS8" i="7" s="1"/>
  <c r="DO8" i="7" s="1"/>
  <c r="AE46" i="23"/>
  <c r="DR8" i="7" s="1"/>
  <c r="AI45" i="23"/>
  <c r="AH45" i="23"/>
  <c r="AG45" i="23"/>
  <c r="AJ45" i="23" s="1"/>
  <c r="AF45" i="23"/>
  <c r="AE45" i="23"/>
  <c r="AI44" i="23"/>
  <c r="AH44" i="23"/>
  <c r="AG44" i="23"/>
  <c r="AF44" i="23"/>
  <c r="AE44" i="23"/>
  <c r="AI43" i="23"/>
  <c r="AG43" i="23"/>
  <c r="AH43" i="23"/>
  <c r="AF43" i="23"/>
  <c r="AE43" i="23"/>
  <c r="AI42" i="23"/>
  <c r="DV41" i="7" s="1"/>
  <c r="AH42" i="23"/>
  <c r="DU41" i="7" s="1"/>
  <c r="AG42" i="23"/>
  <c r="AJ42" i="23" s="1"/>
  <c r="DW41" i="7" s="1"/>
  <c r="AF42" i="23"/>
  <c r="DS41" i="7" s="1"/>
  <c r="DO41" i="7" s="1"/>
  <c r="AE42" i="23"/>
  <c r="DR41" i="7" s="1"/>
  <c r="EA41" i="7" s="1"/>
  <c r="AI41" i="23"/>
  <c r="AG41" i="23"/>
  <c r="AH41" i="23"/>
  <c r="AF41" i="23"/>
  <c r="AE41" i="23"/>
  <c r="AI40" i="23"/>
  <c r="DV40" i="7" s="1"/>
  <c r="AH40" i="23"/>
  <c r="DU40" i="7" s="1"/>
  <c r="AG40" i="23"/>
  <c r="DT40" i="7" s="1"/>
  <c r="AF40" i="23"/>
  <c r="DS40" i="7" s="1"/>
  <c r="DO40" i="7" s="1"/>
  <c r="AE40" i="23"/>
  <c r="DR40" i="7" s="1"/>
  <c r="EA40" i="7" s="1"/>
  <c r="AI39" i="23"/>
  <c r="AH39" i="23"/>
  <c r="AG39" i="23"/>
  <c r="AF39" i="23"/>
  <c r="AE39" i="23"/>
  <c r="AI38" i="23"/>
  <c r="AH38" i="23"/>
  <c r="AG38" i="23"/>
  <c r="AJ38" i="23" s="1"/>
  <c r="DZ44" i="7" s="1"/>
  <c r="AF38" i="23"/>
  <c r="DO44" i="7"/>
  <c r="AE38" i="23"/>
  <c r="DX44" i="7"/>
  <c r="AI37" i="23"/>
  <c r="AH37" i="23"/>
  <c r="AG37" i="23"/>
  <c r="AF37" i="23"/>
  <c r="AE37" i="23"/>
  <c r="AI36" i="23"/>
  <c r="AH36" i="23"/>
  <c r="AG36" i="23"/>
  <c r="AF36" i="23"/>
  <c r="AE36" i="23"/>
  <c r="AI35" i="23"/>
  <c r="AG35" i="23"/>
  <c r="AH35" i="23"/>
  <c r="AF35" i="23"/>
  <c r="AE35" i="23"/>
  <c r="AI34" i="23"/>
  <c r="DV45" i="7" s="1"/>
  <c r="AH34" i="23"/>
  <c r="DU45" i="7" s="1"/>
  <c r="AG34" i="23"/>
  <c r="DT45" i="7" s="1"/>
  <c r="AF34" i="23"/>
  <c r="DS45" i="7" s="1"/>
  <c r="DO45" i="7" s="1"/>
  <c r="AE34" i="23"/>
  <c r="DR45" i="7" s="1"/>
  <c r="DX45" i="7" s="1"/>
  <c r="AI33" i="23"/>
  <c r="AH33" i="23"/>
  <c r="AG33" i="23"/>
  <c r="AF33" i="23"/>
  <c r="AE33" i="23"/>
  <c r="AI32" i="23"/>
  <c r="AH32" i="23"/>
  <c r="AG32" i="23"/>
  <c r="AF32" i="23"/>
  <c r="AE32" i="23"/>
  <c r="AI31" i="23"/>
  <c r="AG31" i="23"/>
  <c r="AH31" i="23"/>
  <c r="AF31" i="23"/>
  <c r="AE31" i="23"/>
  <c r="AI30" i="23"/>
  <c r="AH30" i="23"/>
  <c r="AG30" i="23"/>
  <c r="AF30" i="23"/>
  <c r="DO22" i="7"/>
  <c r="AE30" i="23"/>
  <c r="EA22" i="7"/>
  <c r="AI29" i="23"/>
  <c r="AH29" i="23"/>
  <c r="AG29" i="23"/>
  <c r="AJ29" i="23" s="1"/>
  <c r="AF29" i="23"/>
  <c r="AE29" i="23"/>
  <c r="AI28" i="23"/>
  <c r="AH28" i="23"/>
  <c r="AG28" i="23"/>
  <c r="AF28" i="23"/>
  <c r="DO54" i="7"/>
  <c r="AE28" i="23"/>
  <c r="EA54" i="7"/>
  <c r="AI27" i="23"/>
  <c r="AH27" i="23"/>
  <c r="AG27" i="23"/>
  <c r="AF27" i="23"/>
  <c r="AE27" i="23"/>
  <c r="AI26" i="23"/>
  <c r="AH26" i="23"/>
  <c r="AG26" i="23"/>
  <c r="AF26" i="23"/>
  <c r="AE26" i="23"/>
  <c r="AI25" i="23"/>
  <c r="DV52" i="7" s="1"/>
  <c r="AH25" i="23"/>
  <c r="AG25" i="23"/>
  <c r="DT52" i="7" s="1"/>
  <c r="AF25" i="23"/>
  <c r="DS52" i="7" s="1"/>
  <c r="DO52" i="7" s="1"/>
  <c r="AE25" i="23"/>
  <c r="DR52" i="7" s="1"/>
  <c r="EA52" i="7" s="1"/>
  <c r="AI24" i="23"/>
  <c r="DV63" i="7" s="1"/>
  <c r="AH24" i="23"/>
  <c r="AG24" i="23"/>
  <c r="DT63" i="7" s="1"/>
  <c r="AF24" i="23"/>
  <c r="DS63" i="7" s="1"/>
  <c r="DO63" i="7" s="1"/>
  <c r="AE24" i="23"/>
  <c r="DR63" i="7" s="1"/>
  <c r="EA63" i="7" s="1"/>
  <c r="AI23" i="23"/>
  <c r="AH23" i="23"/>
  <c r="AG23" i="23"/>
  <c r="AF23" i="23"/>
  <c r="AE23" i="23"/>
  <c r="AI22" i="23"/>
  <c r="AH22" i="23"/>
  <c r="AG22" i="23"/>
  <c r="AF22" i="23"/>
  <c r="AE22" i="23"/>
  <c r="AI21" i="23"/>
  <c r="AH21" i="23"/>
  <c r="AG21" i="23"/>
  <c r="AF21" i="23"/>
  <c r="AE21" i="23"/>
  <c r="AI20" i="23"/>
  <c r="DV24" i="7" s="1"/>
  <c r="AH20" i="23"/>
  <c r="AG20" i="23"/>
  <c r="DT24" i="7" s="1"/>
  <c r="AF20" i="23"/>
  <c r="DS24" i="7" s="1"/>
  <c r="DO24" i="7" s="1"/>
  <c r="AE20" i="23"/>
  <c r="DR24" i="7" s="1"/>
  <c r="EA24" i="7" s="1"/>
  <c r="AI19" i="23"/>
  <c r="DV23" i="7" s="1"/>
  <c r="AH19" i="23"/>
  <c r="DU23" i="7" s="1"/>
  <c r="AG19" i="23"/>
  <c r="DT23" i="7" s="1"/>
  <c r="AF19" i="23"/>
  <c r="DS23" i="7" s="1"/>
  <c r="DO23" i="7" s="1"/>
  <c r="AE19" i="23"/>
  <c r="DR23" i="7" s="1"/>
  <c r="EA23" i="7" s="1"/>
  <c r="AI18" i="23"/>
  <c r="AH18" i="23"/>
  <c r="AG18" i="23"/>
  <c r="AF18" i="23"/>
  <c r="AE18" i="23"/>
  <c r="AI17" i="23"/>
  <c r="AG17" i="23"/>
  <c r="AH17" i="23"/>
  <c r="AF17" i="23"/>
  <c r="AE17" i="23"/>
  <c r="AI16" i="23"/>
  <c r="AH16" i="23"/>
  <c r="AG16" i="23"/>
  <c r="AF16" i="23"/>
  <c r="AE16" i="23"/>
  <c r="AI15" i="23"/>
  <c r="DV12" i="7" s="1"/>
  <c r="AH15" i="23"/>
  <c r="DU12" i="7" s="1"/>
  <c r="AG15" i="23"/>
  <c r="DT12" i="7" s="1"/>
  <c r="AF15" i="23"/>
  <c r="DS12" i="7" s="1"/>
  <c r="DO12" i="7" s="1"/>
  <c r="AE15" i="23"/>
  <c r="DR12" i="7" s="1"/>
  <c r="AI14" i="23"/>
  <c r="AH14" i="23"/>
  <c r="AG14" i="23"/>
  <c r="AJ14" i="23" s="1"/>
  <c r="AF14" i="23"/>
  <c r="AE14" i="23"/>
  <c r="AI13" i="23"/>
  <c r="AG13" i="23"/>
  <c r="AH13" i="23"/>
  <c r="AF13" i="23"/>
  <c r="DO39" i="7"/>
  <c r="AE13" i="23"/>
  <c r="EA39" i="7"/>
  <c r="AI12" i="23"/>
  <c r="AH12" i="23"/>
  <c r="AG12" i="23"/>
  <c r="AF12" i="23"/>
  <c r="AE12" i="23"/>
  <c r="AI11" i="23"/>
  <c r="AG11" i="23"/>
  <c r="AH11" i="23"/>
  <c r="AF11" i="23"/>
  <c r="AE11" i="23"/>
  <c r="AI10" i="23"/>
  <c r="DV38" i="7" s="1"/>
  <c r="AH10" i="23"/>
  <c r="DU38" i="7" s="1"/>
  <c r="AG10" i="23"/>
  <c r="DT38" i="7" s="1"/>
  <c r="AF10" i="23"/>
  <c r="DS38" i="7" s="1"/>
  <c r="DO38" i="7" s="1"/>
  <c r="AE10" i="23"/>
  <c r="DR38" i="7" s="1"/>
  <c r="EA38" i="7" s="1"/>
  <c r="AI9" i="23"/>
  <c r="AH9" i="23"/>
  <c r="AG9" i="23"/>
  <c r="AF9" i="23"/>
  <c r="AE9" i="23"/>
  <c r="EA55" i="7"/>
  <c r="AI8" i="23"/>
  <c r="DV37" i="7" s="1"/>
  <c r="AH8" i="23"/>
  <c r="DU37" i="7" s="1"/>
  <c r="AG8" i="23"/>
  <c r="DT37" i="7" s="1"/>
  <c r="AF8" i="23"/>
  <c r="DS37" i="7" s="1"/>
  <c r="DO37" i="7" s="1"/>
  <c r="AE8" i="23"/>
  <c r="DR37" i="7" s="1"/>
  <c r="EA37" i="7" s="1"/>
  <c r="AI7" i="23"/>
  <c r="AH7" i="23"/>
  <c r="AG7" i="23"/>
  <c r="AF7" i="23"/>
  <c r="AE7" i="23"/>
  <c r="AI6" i="23"/>
  <c r="AH6" i="23"/>
  <c r="AG6" i="23"/>
  <c r="AF6" i="23"/>
  <c r="AE6" i="23"/>
  <c r="AI5" i="23"/>
  <c r="AH5" i="23"/>
  <c r="AG5" i="23"/>
  <c r="AJ5" i="23" s="1"/>
  <c r="AF5" i="23"/>
  <c r="AE5" i="23"/>
  <c r="AI4" i="23"/>
  <c r="AH4" i="23"/>
  <c r="AG4" i="23"/>
  <c r="AJ4" i="23" s="1"/>
  <c r="AF4" i="23"/>
  <c r="AE4" i="23"/>
  <c r="AI3" i="23"/>
  <c r="AH3" i="23"/>
  <c r="AG3" i="23"/>
  <c r="AF3" i="23"/>
  <c r="DO36" i="7"/>
  <c r="AE3" i="23"/>
  <c r="AI2" i="23"/>
  <c r="AH2" i="23"/>
  <c r="AG2" i="23"/>
  <c r="AF2" i="23"/>
  <c r="AE2" i="23"/>
  <c r="AJ57" i="23"/>
  <c r="AJ67" i="23"/>
  <c r="DX46" i="7"/>
  <c r="DZ55" i="7"/>
  <c r="AJ22" i="23"/>
  <c r="DZ22" i="7"/>
  <c r="DZ16" i="7"/>
  <c r="AJ40" i="23"/>
  <c r="DW40" i="7" s="1"/>
  <c r="AJ46" i="23"/>
  <c r="DW8" i="7" s="1"/>
  <c r="DZ8" i="7" s="1"/>
  <c r="DZ14" i="7"/>
  <c r="DZ54" i="7"/>
  <c r="DZ36" i="7"/>
  <c r="DZ62" i="7"/>
  <c r="DT8" i="7"/>
  <c r="DX39" i="7"/>
  <c r="DZ39" i="7"/>
  <c r="CO5" i="7"/>
  <c r="CO6" i="7"/>
  <c r="CO7" i="7"/>
  <c r="CO8" i="7"/>
  <c r="CO9" i="7"/>
  <c r="CO10" i="7"/>
  <c r="CO11" i="7"/>
  <c r="CO12" i="7"/>
  <c r="CO13" i="7"/>
  <c r="CO14" i="7"/>
  <c r="CO15" i="7"/>
  <c r="CO16" i="7"/>
  <c r="CO17" i="7"/>
  <c r="CO18" i="7"/>
  <c r="CO19" i="7"/>
  <c r="CO20" i="7"/>
  <c r="CO21" i="7"/>
  <c r="CO22" i="7"/>
  <c r="CO23" i="7"/>
  <c r="CO24" i="7"/>
  <c r="CO25" i="7"/>
  <c r="CO26" i="7"/>
  <c r="CO27" i="7"/>
  <c r="CO28" i="7"/>
  <c r="CO29" i="7"/>
  <c r="CO30" i="7"/>
  <c r="CO31" i="7"/>
  <c r="CO32" i="7"/>
  <c r="CO33" i="7"/>
  <c r="CO34" i="7"/>
  <c r="CO35" i="7"/>
  <c r="CO36" i="7"/>
  <c r="CO37" i="7"/>
  <c r="CO38" i="7"/>
  <c r="CO39" i="7"/>
  <c r="CO40" i="7"/>
  <c r="CO41" i="7"/>
  <c r="CO42" i="7"/>
  <c r="CO43" i="7"/>
  <c r="CO44" i="7"/>
  <c r="CO45" i="7"/>
  <c r="CO46" i="7"/>
  <c r="CO47" i="7"/>
  <c r="CO48" i="7"/>
  <c r="CO49" i="7"/>
  <c r="CO50" i="7"/>
  <c r="CO51" i="7"/>
  <c r="CO52" i="7"/>
  <c r="CO53" i="7"/>
  <c r="CO54" i="7"/>
  <c r="CO55" i="7"/>
  <c r="CO56" i="7"/>
  <c r="CO57" i="7"/>
  <c r="CO58" i="7"/>
  <c r="CO59" i="7"/>
  <c r="CO60" i="7"/>
  <c r="CO61" i="7"/>
  <c r="CO62" i="7"/>
  <c r="CO63" i="7"/>
  <c r="CO64" i="7"/>
  <c r="CO65" i="7"/>
  <c r="CO66" i="7"/>
  <c r="CO67" i="7"/>
  <c r="CO68" i="7"/>
  <c r="CO69" i="7"/>
  <c r="CO70" i="7"/>
  <c r="CO71" i="7"/>
  <c r="CO72" i="7"/>
  <c r="CO73" i="7"/>
  <c r="CO74" i="7"/>
  <c r="CO75" i="7"/>
  <c r="CO76" i="7"/>
  <c r="CO77" i="7"/>
  <c r="CO78" i="7"/>
  <c r="CO79" i="7"/>
  <c r="CO80" i="7"/>
  <c r="CO81" i="7"/>
  <c r="CO82" i="7"/>
  <c r="CO83" i="7"/>
  <c r="CO84" i="7"/>
  <c r="L5" i="9"/>
  <c r="M5" i="9" s="1"/>
  <c r="L6" i="9"/>
  <c r="M6" i="9" s="1"/>
  <c r="L7" i="9"/>
  <c r="M7" i="9" s="1"/>
  <c r="L8" i="9"/>
  <c r="M8" i="9" s="1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35" i="9"/>
  <c r="M35" i="9" s="1"/>
  <c r="L36" i="9"/>
  <c r="M36" i="9" s="1"/>
  <c r="L37" i="9"/>
  <c r="M37" i="9" s="1"/>
  <c r="L38" i="9"/>
  <c r="M38" i="9" s="1"/>
  <c r="L39" i="9"/>
  <c r="M39" i="9" s="1"/>
  <c r="L40" i="9"/>
  <c r="M40" i="9" s="1"/>
  <c r="L41" i="9"/>
  <c r="M41" i="9" s="1"/>
  <c r="L42" i="9"/>
  <c r="M42" i="9" s="1"/>
  <c r="L43" i="9"/>
  <c r="M43" i="9" s="1"/>
  <c r="L44" i="9"/>
  <c r="M44" i="9" s="1"/>
  <c r="L45" i="9"/>
  <c r="M45" i="9" s="1"/>
  <c r="L46" i="9"/>
  <c r="M46" i="9" s="1"/>
  <c r="L47" i="9"/>
  <c r="M47" i="9" s="1"/>
  <c r="L48" i="9"/>
  <c r="M48" i="9" s="1"/>
  <c r="L49" i="9"/>
  <c r="M49" i="9" s="1"/>
  <c r="L50" i="9"/>
  <c r="M50" i="9" s="1"/>
  <c r="L51" i="9"/>
  <c r="M51" i="9" s="1"/>
  <c r="L52" i="9"/>
  <c r="M52" i="9" s="1"/>
  <c r="L53" i="9"/>
  <c r="M53" i="9" s="1"/>
  <c r="L54" i="9"/>
  <c r="M54" i="9" s="1"/>
  <c r="L55" i="9"/>
  <c r="M55" i="9" s="1"/>
  <c r="L56" i="9"/>
  <c r="M56" i="9" s="1"/>
  <c r="L57" i="9"/>
  <c r="M57" i="9" s="1"/>
  <c r="L58" i="9"/>
  <c r="M58" i="9" s="1"/>
  <c r="L59" i="9"/>
  <c r="M59" i="9" s="1"/>
  <c r="L60" i="9"/>
  <c r="M60" i="9" s="1"/>
  <c r="L61" i="9"/>
  <c r="M61" i="9" s="1"/>
  <c r="L62" i="9"/>
  <c r="M62" i="9" s="1"/>
  <c r="L63" i="9"/>
  <c r="M63" i="9" s="1"/>
  <c r="L64" i="9"/>
  <c r="M64" i="9" s="1"/>
  <c r="L65" i="9"/>
  <c r="M65" i="9"/>
  <c r="L66" i="9"/>
  <c r="M66" i="9" s="1"/>
  <c r="L67" i="9"/>
  <c r="M67" i="9" s="1"/>
  <c r="L68" i="9"/>
  <c r="M68" i="9" s="1"/>
  <c r="L69" i="9"/>
  <c r="M69" i="9" s="1"/>
  <c r="L70" i="9"/>
  <c r="M70" i="9" s="1"/>
  <c r="L71" i="9"/>
  <c r="M71" i="9" s="1"/>
  <c r="L72" i="9"/>
  <c r="M72" i="9" s="1"/>
  <c r="L73" i="9"/>
  <c r="M73" i="9" s="1"/>
  <c r="L74" i="9"/>
  <c r="M74" i="9" s="1"/>
  <c r="L75" i="9"/>
  <c r="M75" i="9" s="1"/>
  <c r="L76" i="9"/>
  <c r="M76" i="9" s="1"/>
  <c r="L77" i="9"/>
  <c r="M77" i="9" s="1"/>
  <c r="L78" i="9"/>
  <c r="M78" i="9" s="1"/>
  <c r="L79" i="9"/>
  <c r="M79" i="9" s="1"/>
  <c r="L80" i="9"/>
  <c r="M80" i="9" s="1"/>
  <c r="L81" i="9"/>
  <c r="M81" i="9" s="1"/>
  <c r="L82" i="9"/>
  <c r="M82" i="9" s="1"/>
  <c r="L83" i="9"/>
  <c r="M83" i="9" s="1"/>
  <c r="L84" i="9"/>
  <c r="M84" i="9" s="1"/>
  <c r="L4" i="9"/>
  <c r="M4" i="9" s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6" i="9"/>
  <c r="K47" i="9"/>
  <c r="K48" i="9"/>
  <c r="K49" i="9"/>
  <c r="K50" i="9"/>
  <c r="K51" i="9"/>
  <c r="K52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4" i="9"/>
  <c r="CU67" i="11"/>
  <c r="CU66" i="11"/>
  <c r="CU65" i="11"/>
  <c r="CU64" i="11"/>
  <c r="CU63" i="11"/>
  <c r="CU62" i="11"/>
  <c r="CU61" i="11"/>
  <c r="CU60" i="11"/>
  <c r="CU59" i="11"/>
  <c r="CU58" i="11"/>
  <c r="CU57" i="11"/>
  <c r="CU56" i="11"/>
  <c r="CU55" i="11"/>
  <c r="CU54" i="11"/>
  <c r="CU53" i="11"/>
  <c r="CU52" i="11"/>
  <c r="CU51" i="11"/>
  <c r="CU50" i="11"/>
  <c r="CU49" i="11"/>
  <c r="CU48" i="11"/>
  <c r="CU47" i="11"/>
  <c r="CU46" i="11"/>
  <c r="CU45" i="11"/>
  <c r="CU44" i="11"/>
  <c r="CU42" i="11"/>
  <c r="CU41" i="11"/>
  <c r="CU40" i="11"/>
  <c r="CU39" i="11"/>
  <c r="CU38" i="11"/>
  <c r="CU37" i="11"/>
  <c r="CU36" i="11"/>
  <c r="CU35" i="11"/>
  <c r="CU34" i="11"/>
  <c r="CU33" i="11"/>
  <c r="CU32" i="11"/>
  <c r="CU31" i="11"/>
  <c r="CU30" i="11"/>
  <c r="CU29" i="11"/>
  <c r="CU28" i="11"/>
  <c r="CU27" i="11"/>
  <c r="CU26" i="11"/>
  <c r="CU25" i="11"/>
  <c r="CU24" i="11"/>
  <c r="CU23" i="11"/>
  <c r="CU22" i="11"/>
  <c r="CU21" i="11"/>
  <c r="CU20" i="11"/>
  <c r="CU19" i="11"/>
  <c r="CU18" i="11"/>
  <c r="CU17" i="11"/>
  <c r="CU16" i="11"/>
  <c r="CU15" i="11"/>
  <c r="CU14" i="11"/>
  <c r="CU13" i="11"/>
  <c r="CU12" i="11"/>
  <c r="CU11" i="11"/>
  <c r="CU10" i="11"/>
  <c r="CU9" i="11"/>
  <c r="CU7" i="11"/>
  <c r="CU6" i="11"/>
  <c r="CU5" i="11"/>
  <c r="CU4" i="11"/>
  <c r="CU8" i="11"/>
  <c r="CT3" i="11"/>
  <c r="CA3" i="11" s="1"/>
  <c r="CS3" i="11"/>
  <c r="BY3" i="11" s="1"/>
  <c r="CQ3" i="11"/>
  <c r="BQ3" i="11" s="1"/>
  <c r="CP3" i="11"/>
  <c r="BO3" i="11" s="1"/>
  <c r="CS2" i="11"/>
  <c r="BY2" i="11" s="1"/>
  <c r="CA2" i="11" s="1"/>
  <c r="CP2" i="11"/>
  <c r="BO2" i="11"/>
  <c r="DE8" i="7"/>
  <c r="J38" i="23"/>
  <c r="J37" i="23"/>
  <c r="J36" i="23"/>
  <c r="J35" i="23"/>
  <c r="J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FR90" i="8"/>
  <c r="FJ90" i="8"/>
  <c r="DA12" i="7"/>
  <c r="DJ12" i="11" s="1"/>
  <c r="DD23" i="7"/>
  <c r="CQ23" i="11" s="1"/>
  <c r="CZ26" i="7"/>
  <c r="DJ8" i="7"/>
  <c r="DB10" i="7"/>
  <c r="DK10" i="11" s="1"/>
  <c r="DF13" i="7"/>
  <c r="DJ13" i="7"/>
  <c r="DL13" i="7" s="1"/>
  <c r="CT13" i="11" s="1"/>
  <c r="DA13" i="11" s="1"/>
  <c r="DB16" i="7"/>
  <c r="DK16" i="11" s="1"/>
  <c r="DF16" i="7"/>
  <c r="DH27" i="7"/>
  <c r="CZ34" i="7"/>
  <c r="DH45" i="7"/>
  <c r="CZ63" i="7"/>
  <c r="DI13" i="7"/>
  <c r="DK13" i="7" s="1"/>
  <c r="CS13" i="11" s="1"/>
  <c r="BY13" i="11" s="1"/>
  <c r="DA22" i="7"/>
  <c r="DJ22" i="11" s="1"/>
  <c r="DD36" i="7"/>
  <c r="CQ36" i="11"/>
  <c r="DD53" i="7"/>
  <c r="CQ53" i="11" s="1"/>
  <c r="DH53" i="11" s="1"/>
  <c r="DH62" i="7"/>
  <c r="CZ81" i="7"/>
  <c r="DC63" i="7"/>
  <c r="CP63" i="11" s="1"/>
  <c r="DC62" i="7"/>
  <c r="CP62" i="11" s="1"/>
  <c r="CY62" i="7"/>
  <c r="DG57" i="7"/>
  <c r="DG55" i="7"/>
  <c r="DC55" i="7"/>
  <c r="CP55" i="11" s="1"/>
  <c r="CY54" i="7"/>
  <c r="CY53" i="7"/>
  <c r="DG52" i="7"/>
  <c r="DC51" i="7"/>
  <c r="CP51" i="11" s="1"/>
  <c r="DC46" i="7"/>
  <c r="CP46" i="11" s="1"/>
  <c r="CY46" i="7"/>
  <c r="DG44" i="7"/>
  <c r="DG42" i="7"/>
  <c r="DC42" i="7"/>
  <c r="CP42" i="11" s="1"/>
  <c r="CY41" i="7"/>
  <c r="CY40" i="7"/>
  <c r="DG39" i="7"/>
  <c r="DK39" i="7" s="1"/>
  <c r="CS39" i="11" s="1"/>
  <c r="BY39" i="11" s="1"/>
  <c r="DG38" i="7"/>
  <c r="CY38" i="7"/>
  <c r="DG37" i="7"/>
  <c r="DG36" i="7"/>
  <c r="CY36" i="7"/>
  <c r="DG35" i="7"/>
  <c r="DG34" i="7"/>
  <c r="DC34" i="7"/>
  <c r="CP34" i="11" s="1"/>
  <c r="CY34" i="7"/>
  <c r="DC28" i="7"/>
  <c r="CP28" i="11" s="1"/>
  <c r="CY28" i="7"/>
  <c r="DG27" i="7"/>
  <c r="CY27" i="7"/>
  <c r="DG26" i="7"/>
  <c r="DC26" i="7"/>
  <c r="CP26" i="11" s="1"/>
  <c r="DG25" i="7"/>
  <c r="DK25" i="7" s="1"/>
  <c r="CS25" i="11" s="1"/>
  <c r="BY25" i="11" s="1"/>
  <c r="DC25" i="7"/>
  <c r="CP25" i="11" s="1"/>
  <c r="CY25" i="7"/>
  <c r="DC24" i="7"/>
  <c r="CP24" i="11" s="1"/>
  <c r="CY24" i="7"/>
  <c r="DG23" i="7"/>
  <c r="CY23" i="7"/>
  <c r="DG22" i="7"/>
  <c r="DJ81" i="7"/>
  <c r="DJ63" i="7"/>
  <c r="DB63" i="7"/>
  <c r="DK63" i="11" s="1"/>
  <c r="DJ62" i="7"/>
  <c r="DB62" i="7"/>
  <c r="DK62" i="11"/>
  <c r="DB61" i="7"/>
  <c r="DK61" i="11"/>
  <c r="DJ57" i="7"/>
  <c r="DJ55" i="7"/>
  <c r="DB55" i="7"/>
  <c r="DK55" i="11" s="1"/>
  <c r="DJ54" i="7"/>
  <c r="DF54" i="7"/>
  <c r="DJ53" i="7"/>
  <c r="DF53" i="7"/>
  <c r="DB53" i="7"/>
  <c r="DK53" i="11" s="1"/>
  <c r="DF52" i="7"/>
  <c r="DB52" i="7"/>
  <c r="DK52" i="11" s="1"/>
  <c r="DJ51" i="7"/>
  <c r="DB51" i="7"/>
  <c r="DK51" i="11" s="1"/>
  <c r="DJ46" i="7"/>
  <c r="DF46" i="7"/>
  <c r="DJ45" i="7"/>
  <c r="DF45" i="7"/>
  <c r="DB45" i="7"/>
  <c r="DK45" i="11" s="1"/>
  <c r="DF44" i="7"/>
  <c r="DB44" i="7"/>
  <c r="DK44" i="11" s="1"/>
  <c r="DJ42" i="7"/>
  <c r="DB42" i="7"/>
  <c r="DK42" i="11" s="1"/>
  <c r="DJ41" i="7"/>
  <c r="DL41" i="7" s="1"/>
  <c r="CT41" i="11" s="1"/>
  <c r="CY41" i="11" s="1"/>
  <c r="DF41" i="7"/>
  <c r="DJ40" i="7"/>
  <c r="DF40" i="7"/>
  <c r="DB40" i="7"/>
  <c r="DK40" i="11" s="1"/>
  <c r="DF39" i="7"/>
  <c r="DB39" i="7"/>
  <c r="DK39" i="11" s="1"/>
  <c r="DJ38" i="7"/>
  <c r="DB38" i="7"/>
  <c r="DK38" i="11" s="1"/>
  <c r="DJ37" i="7"/>
  <c r="DF37" i="7"/>
  <c r="DJ36" i="7"/>
  <c r="DF36" i="7"/>
  <c r="DB36" i="7"/>
  <c r="DK36" i="11" s="1"/>
  <c r="DF35" i="7"/>
  <c r="DB35" i="7"/>
  <c r="DK35" i="11" s="1"/>
  <c r="DJ34" i="7"/>
  <c r="DB34" i="7"/>
  <c r="DK34" i="11" s="1"/>
  <c r="DJ28" i="7"/>
  <c r="DF28" i="7"/>
  <c r="DJ27" i="7"/>
  <c r="DF27" i="7"/>
  <c r="DB27" i="7"/>
  <c r="DK27" i="11" s="1"/>
  <c r="DF26" i="7"/>
  <c r="DB26" i="7"/>
  <c r="DK26" i="11" s="1"/>
  <c r="DJ25" i="7"/>
  <c r="DB25" i="7"/>
  <c r="DK25" i="11" s="1"/>
  <c r="DJ24" i="7"/>
  <c r="DF24" i="7"/>
  <c r="DJ23" i="7"/>
  <c r="DF23" i="7"/>
  <c r="DB23" i="7"/>
  <c r="DK23" i="11" s="1"/>
  <c r="DI81" i="7"/>
  <c r="DE81" i="7"/>
  <c r="DE63" i="7"/>
  <c r="DI62" i="7"/>
  <c r="DI61" i="7"/>
  <c r="DE61" i="7"/>
  <c r="DI57" i="7"/>
  <c r="DE57" i="7"/>
  <c r="DE55" i="7"/>
  <c r="DI54" i="7"/>
  <c r="DI53" i="7"/>
  <c r="DE53" i="7"/>
  <c r="DI52" i="7"/>
  <c r="DE52" i="7"/>
  <c r="DE51" i="7"/>
  <c r="DI46" i="7"/>
  <c r="DI45" i="7"/>
  <c r="DE45" i="7"/>
  <c r="DI44" i="7"/>
  <c r="DE44" i="7"/>
  <c r="DA44" i="7"/>
  <c r="DJ44" i="11" s="1"/>
  <c r="DI42" i="7"/>
  <c r="DE42" i="7"/>
  <c r="DA42" i="7"/>
  <c r="DJ42" i="11" s="1"/>
  <c r="DI42" i="11" s="1"/>
  <c r="DL42" i="11" s="1"/>
  <c r="DI41" i="7"/>
  <c r="DE41" i="7"/>
  <c r="DA41" i="7"/>
  <c r="DJ41" i="11" s="1"/>
  <c r="DI40" i="7"/>
  <c r="DE40" i="7"/>
  <c r="DA40" i="7"/>
  <c r="DJ40" i="11" s="1"/>
  <c r="DI39" i="7"/>
  <c r="DE39" i="7"/>
  <c r="DA39" i="7"/>
  <c r="DJ39" i="11" s="1"/>
  <c r="DI38" i="7"/>
  <c r="DE38" i="7"/>
  <c r="DA38" i="7"/>
  <c r="DJ38" i="11" s="1"/>
  <c r="DI37" i="7"/>
  <c r="DE37" i="7"/>
  <c r="DA37" i="7"/>
  <c r="DJ37" i="11" s="1"/>
  <c r="DI36" i="7"/>
  <c r="DK36" i="7" s="1"/>
  <c r="CS36" i="11" s="1"/>
  <c r="BY36" i="11" s="1"/>
  <c r="DE36" i="7"/>
  <c r="DA36" i="7"/>
  <c r="DJ36" i="11" s="1"/>
  <c r="DI35" i="7"/>
  <c r="DE35" i="7"/>
  <c r="DA35" i="7"/>
  <c r="DJ35" i="11" s="1"/>
  <c r="DI34" i="7"/>
  <c r="DE34" i="7"/>
  <c r="DA34" i="7"/>
  <c r="DJ34" i="11" s="1"/>
  <c r="DI34" i="11" s="1"/>
  <c r="DI28" i="7"/>
  <c r="DE28" i="7"/>
  <c r="DA28" i="7"/>
  <c r="DJ28" i="11" s="1"/>
  <c r="DI27" i="7"/>
  <c r="DK27" i="7" s="1"/>
  <c r="CS27" i="11" s="1"/>
  <c r="BY27" i="11" s="1"/>
  <c r="DE27" i="7"/>
  <c r="DA27" i="7"/>
  <c r="DJ27" i="11" s="1"/>
  <c r="DI27" i="11" s="1"/>
  <c r="DI26" i="7"/>
  <c r="DE26" i="7"/>
  <c r="DK26" i="7" s="1"/>
  <c r="CS26" i="11" s="1"/>
  <c r="BY26" i="11" s="1"/>
  <c r="DA26" i="7"/>
  <c r="DJ26" i="11" s="1"/>
  <c r="DI26" i="11" s="1"/>
  <c r="DM26" i="11" s="1"/>
  <c r="DI25" i="7"/>
  <c r="DE25" i="7"/>
  <c r="DA25" i="7"/>
  <c r="DJ25" i="11" s="1"/>
  <c r="DI24" i="7"/>
  <c r="DE24" i="7"/>
  <c r="DA24" i="7"/>
  <c r="DJ24" i="11" s="1"/>
  <c r="DI23" i="7"/>
  <c r="DK23" i="7" s="1"/>
  <c r="CS23" i="11" s="1"/>
  <c r="BY23" i="11" s="1"/>
  <c r="DE23" i="7"/>
  <c r="DA23" i="7"/>
  <c r="DJ23" i="11" s="1"/>
  <c r="DI22" i="7"/>
  <c r="CY8" i="7"/>
  <c r="DC8" i="7"/>
  <c r="CP8" i="11" s="1"/>
  <c r="DG8" i="7"/>
  <c r="CY10" i="7"/>
  <c r="DC10" i="7"/>
  <c r="CP10" i="11" s="1"/>
  <c r="DG10" i="7"/>
  <c r="DC12" i="7"/>
  <c r="CP12" i="11" s="1"/>
  <c r="DG12" i="7"/>
  <c r="DC13" i="7"/>
  <c r="CP13" i="11"/>
  <c r="DG13" i="7"/>
  <c r="DC14" i="7"/>
  <c r="CP14" i="11"/>
  <c r="DG14" i="7"/>
  <c r="DC15" i="7"/>
  <c r="CP15" i="11"/>
  <c r="DG15" i="7"/>
  <c r="DC16" i="7"/>
  <c r="CP16" i="11" s="1"/>
  <c r="DG16" i="7"/>
  <c r="DC22" i="7"/>
  <c r="CP22" i="11"/>
  <c r="DH22" i="7"/>
  <c r="DD25" i="7"/>
  <c r="CQ25" i="11"/>
  <c r="DF25" i="11" s="1"/>
  <c r="DH26" i="7"/>
  <c r="DD34" i="7"/>
  <c r="CQ34" i="11"/>
  <c r="DH35" i="7"/>
  <c r="DD38" i="7"/>
  <c r="CQ38" i="11" s="1"/>
  <c r="DH39" i="7"/>
  <c r="CZ41" i="7"/>
  <c r="DD42" i="7"/>
  <c r="CQ42" i="11" s="1"/>
  <c r="DD42" i="11" s="1"/>
  <c r="DH44" i="7"/>
  <c r="DD51" i="7"/>
  <c r="CQ51" i="11"/>
  <c r="DH52" i="7"/>
  <c r="CZ54" i="7"/>
  <c r="DD55" i="7"/>
  <c r="CQ55" i="11"/>
  <c r="DH57" i="7"/>
  <c r="CZ62" i="7"/>
  <c r="DD63" i="7"/>
  <c r="CQ63" i="11"/>
  <c r="DH81" i="7"/>
  <c r="DE12" i="7"/>
  <c r="DE13" i="7"/>
  <c r="DE14" i="7"/>
  <c r="DE15" i="7"/>
  <c r="DE16" i="7"/>
  <c r="DE22" i="7"/>
  <c r="DK22" i="7" s="1"/>
  <c r="CS22" i="11" s="1"/>
  <c r="BY22" i="11" s="1"/>
  <c r="DD27" i="7"/>
  <c r="CQ27" i="11"/>
  <c r="DH37" i="7"/>
  <c r="DH41" i="7"/>
  <c r="CZ8" i="7"/>
  <c r="DD8" i="7"/>
  <c r="CQ8" i="11"/>
  <c r="DH8" i="7"/>
  <c r="CZ10" i="7"/>
  <c r="DD10" i="7"/>
  <c r="CQ10" i="11"/>
  <c r="DH10" i="7"/>
  <c r="CZ12" i="7"/>
  <c r="DD12" i="7"/>
  <c r="CQ12" i="11"/>
  <c r="DF12" i="11" s="1"/>
  <c r="DH12" i="7"/>
  <c r="CZ13" i="7"/>
  <c r="DD13" i="7"/>
  <c r="CQ13" i="11"/>
  <c r="DF13" i="11" s="1"/>
  <c r="DH13" i="7"/>
  <c r="CZ14" i="7"/>
  <c r="DD14" i="7"/>
  <c r="CQ14" i="11"/>
  <c r="DF14" i="11" s="1"/>
  <c r="DH14" i="7"/>
  <c r="CZ15" i="7"/>
  <c r="DD15" i="7"/>
  <c r="CQ15" i="11"/>
  <c r="DH15" i="7"/>
  <c r="CZ16" i="7"/>
  <c r="DD16" i="7"/>
  <c r="CQ16" i="11"/>
  <c r="DH16" i="7"/>
  <c r="CZ22" i="7"/>
  <c r="DD22" i="7"/>
  <c r="CQ22" i="11"/>
  <c r="CZ23" i="7"/>
  <c r="DD24" i="7"/>
  <c r="CQ24" i="11"/>
  <c r="DH25" i="7"/>
  <c r="CZ27" i="7"/>
  <c r="DD28" i="7"/>
  <c r="CQ28" i="11"/>
  <c r="DH34" i="7"/>
  <c r="CZ36" i="7"/>
  <c r="DD37" i="7"/>
  <c r="CQ37" i="11"/>
  <c r="DH38" i="7"/>
  <c r="CZ40" i="7"/>
  <c r="DD41" i="7"/>
  <c r="CQ41" i="11"/>
  <c r="DH42" i="7"/>
  <c r="CZ45" i="7"/>
  <c r="DD46" i="7"/>
  <c r="CQ46" i="11"/>
  <c r="DH51" i="7"/>
  <c r="CZ53" i="7"/>
  <c r="DD54" i="7"/>
  <c r="CQ54" i="11"/>
  <c r="DH55" i="7"/>
  <c r="CZ61" i="7"/>
  <c r="DD62" i="7"/>
  <c r="CQ62" i="11"/>
  <c r="DH63" i="7"/>
  <c r="DK34" i="7"/>
  <c r="CS34" i="11" s="1"/>
  <c r="BY34" i="11" s="1"/>
  <c r="BK8" i="11"/>
  <c r="DL45" i="7"/>
  <c r="CT45" i="11"/>
  <c r="DC45" i="11" s="1"/>
  <c r="DK38" i="7"/>
  <c r="CS38" i="11"/>
  <c r="BY38" i="11" s="1"/>
  <c r="DL27" i="7"/>
  <c r="CT27" i="11" s="1"/>
  <c r="DK42" i="7"/>
  <c r="CS42" i="11" s="1"/>
  <c r="BY42" i="11" s="1"/>
  <c r="DK37" i="7"/>
  <c r="CS37" i="11" s="1"/>
  <c r="BY37" i="11" s="1"/>
  <c r="DL37" i="7"/>
  <c r="CT37" i="11" s="1"/>
  <c r="DK35" i="7"/>
  <c r="CS35" i="11" s="1"/>
  <c r="BY35" i="11" s="1"/>
  <c r="DK44" i="7"/>
  <c r="CS44" i="11" s="1"/>
  <c r="BY44" i="11" s="1"/>
  <c r="DK52" i="7"/>
  <c r="CS52" i="11"/>
  <c r="BY52" i="11" s="1"/>
  <c r="DK57" i="7"/>
  <c r="CS57" i="11" s="1"/>
  <c r="BY57" i="11" s="1"/>
  <c r="DD41" i="11"/>
  <c r="CJ4" i="10"/>
  <c r="CJ5" i="10"/>
  <c r="CJ6" i="10"/>
  <c r="CJ7" i="10" s="1"/>
  <c r="CJ8" i="10" s="1"/>
  <c r="CJ9" i="10" s="1"/>
  <c r="CJ10" i="10" s="1"/>
  <c r="CJ11" i="10" s="1"/>
  <c r="CJ12" i="10" s="1"/>
  <c r="CJ13" i="10" s="1"/>
  <c r="CJ14" i="10" s="1"/>
  <c r="CJ15" i="10" s="1"/>
  <c r="CJ16" i="10" s="1"/>
  <c r="CJ17" i="10" s="1"/>
  <c r="CJ18" i="10" s="1"/>
  <c r="CJ19" i="10" s="1"/>
  <c r="CJ20" i="10" s="1"/>
  <c r="CJ21" i="10" s="1"/>
  <c r="CJ22" i="10" s="1"/>
  <c r="CJ23" i="10" s="1"/>
  <c r="CJ24" i="10" s="1"/>
  <c r="CJ25" i="10" s="1"/>
  <c r="CJ26" i="10" s="1"/>
  <c r="CJ27" i="10" s="1"/>
  <c r="CJ28" i="10" s="1"/>
  <c r="CJ29" i="10" s="1"/>
  <c r="CJ30" i="10" s="1"/>
  <c r="CJ31" i="10" s="1"/>
  <c r="CJ32" i="10" s="1"/>
  <c r="CJ33" i="10" s="1"/>
  <c r="CJ34" i="10" s="1"/>
  <c r="CJ35" i="10" s="1"/>
  <c r="CJ36" i="10" s="1"/>
  <c r="CJ37" i="10" s="1"/>
  <c r="CJ38" i="10" s="1"/>
  <c r="CJ39" i="10" s="1"/>
  <c r="CJ40" i="10" s="1"/>
  <c r="CJ41" i="10" s="1"/>
  <c r="CJ42" i="10" s="1"/>
  <c r="CJ43" i="10" s="1"/>
  <c r="CJ44" i="10" s="1"/>
  <c r="CJ45" i="10" s="1"/>
  <c r="CJ46" i="10" s="1"/>
  <c r="CJ47" i="10" s="1"/>
  <c r="CJ48" i="10" s="1"/>
  <c r="CJ49" i="10" s="1"/>
  <c r="CJ50" i="10" s="1"/>
  <c r="CJ51" i="10" s="1"/>
  <c r="CJ52" i="10" s="1"/>
  <c r="CJ53" i="10" s="1"/>
  <c r="CJ54" i="10" s="1"/>
  <c r="CJ55" i="10" s="1"/>
  <c r="CJ56" i="10" s="1"/>
  <c r="CJ57" i="10" s="1"/>
  <c r="CJ58" i="10" s="1"/>
  <c r="CJ59" i="10" s="1"/>
  <c r="CJ60" i="10" s="1"/>
  <c r="CJ61" i="10" s="1"/>
  <c r="CJ62" i="10" s="1"/>
  <c r="CJ63" i="10" s="1"/>
  <c r="CJ64" i="10" s="1"/>
  <c r="CJ65" i="10" s="1"/>
  <c r="CJ66" i="10" s="1"/>
  <c r="CJ67" i="10" s="1"/>
  <c r="CJ68" i="10" s="1"/>
  <c r="CJ69" i="10" s="1"/>
  <c r="CJ70" i="10" s="1"/>
  <c r="CJ71" i="10" s="1"/>
  <c r="CJ72" i="10" s="1"/>
  <c r="CJ73" i="10" s="1"/>
  <c r="CJ74" i="10" s="1"/>
  <c r="CJ75" i="10" s="1"/>
  <c r="CJ76" i="10" s="1"/>
  <c r="CJ77" i="10" s="1"/>
  <c r="CJ78" i="10" s="1"/>
  <c r="CJ79" i="10" s="1"/>
  <c r="CJ80" i="10" s="1"/>
  <c r="CJ81" i="10" s="1"/>
  <c r="CJ82" i="10" s="1"/>
  <c r="CJ83" i="10" s="1"/>
  <c r="CJ84" i="10" s="1"/>
  <c r="CJ85" i="10" s="1"/>
  <c r="CJ86" i="10" s="1"/>
  <c r="CJ87" i="10" s="1"/>
  <c r="CJ88" i="10" s="1"/>
  <c r="X15" i="25"/>
  <c r="W15" i="25"/>
  <c r="X14" i="25"/>
  <c r="W14" i="25"/>
  <c r="X13" i="25"/>
  <c r="W13" i="25"/>
  <c r="X12" i="25"/>
  <c r="W12" i="25"/>
  <c r="X11" i="25"/>
  <c r="W11" i="25"/>
  <c r="X10" i="25"/>
  <c r="W10" i="25"/>
  <c r="X9" i="25"/>
  <c r="W9" i="25"/>
  <c r="X7" i="25"/>
  <c r="W7" i="25"/>
  <c r="X6" i="25"/>
  <c r="W6" i="25"/>
  <c r="X5" i="25"/>
  <c r="W5" i="25"/>
  <c r="X4" i="25"/>
  <c r="W4" i="25"/>
  <c r="X3" i="25"/>
  <c r="W3" i="25"/>
  <c r="X2" i="25"/>
  <c r="W2" i="25"/>
  <c r="AI1" i="25"/>
  <c r="AI2" i="25" s="1"/>
  <c r="AD1" i="25"/>
  <c r="AD2" i="25"/>
  <c r="X1" i="25"/>
  <c r="W1" i="25"/>
  <c r="B24" i="24"/>
  <c r="B4" i="24"/>
  <c r="B77" i="24"/>
  <c r="B57" i="24"/>
  <c r="A84" i="24"/>
  <c r="F77" i="24"/>
  <c r="A58" i="24"/>
  <c r="F58" i="24" s="1"/>
  <c r="F57" i="24"/>
  <c r="A30" i="24"/>
  <c r="A31" i="24"/>
  <c r="F24" i="24"/>
  <c r="A5" i="24"/>
  <c r="B5" i="24" s="1"/>
  <c r="F4" i="24"/>
  <c r="F5" i="24"/>
  <c r="A32" i="24"/>
  <c r="A6" i="24"/>
  <c r="B6" i="24" s="1"/>
  <c r="A85" i="24"/>
  <c r="GD84" i="10"/>
  <c r="GC84" i="10"/>
  <c r="GB84" i="10"/>
  <c r="GA84" i="10"/>
  <c r="FZ84" i="10"/>
  <c r="FY84" i="10"/>
  <c r="FX84" i="10"/>
  <c r="FW84" i="10"/>
  <c r="FV84" i="10"/>
  <c r="FU84" i="10"/>
  <c r="FS84" i="10"/>
  <c r="FR84" i="10"/>
  <c r="FQ84" i="10"/>
  <c r="FP84" i="10"/>
  <c r="FO84" i="10"/>
  <c r="FN84" i="10"/>
  <c r="FM84" i="10"/>
  <c r="FL84" i="10"/>
  <c r="FK84" i="10"/>
  <c r="FJ84" i="10"/>
  <c r="FI84" i="10"/>
  <c r="FG84" i="10"/>
  <c r="FF84" i="10"/>
  <c r="FE84" i="10"/>
  <c r="FD84" i="10"/>
  <c r="FC84" i="10"/>
  <c r="FB84" i="10"/>
  <c r="FA84" i="10"/>
  <c r="EZ84" i="10"/>
  <c r="EY84" i="10"/>
  <c r="EX84" i="10"/>
  <c r="EW84" i="10"/>
  <c r="EV84" i="10"/>
  <c r="EU84" i="10"/>
  <c r="GD83" i="10"/>
  <c r="GC83" i="10"/>
  <c r="GB83" i="10"/>
  <c r="GA83" i="10"/>
  <c r="FZ83" i="10"/>
  <c r="FY83" i="10"/>
  <c r="FX83" i="10"/>
  <c r="FW83" i="10"/>
  <c r="FV83" i="10"/>
  <c r="FU83" i="10"/>
  <c r="FS83" i="10"/>
  <c r="FR83" i="10"/>
  <c r="FQ83" i="10"/>
  <c r="FP83" i="10"/>
  <c r="FO83" i="10"/>
  <c r="FN83" i="10"/>
  <c r="FM83" i="10"/>
  <c r="FL83" i="10"/>
  <c r="FK83" i="10"/>
  <c r="FJ83" i="10"/>
  <c r="FI83" i="10"/>
  <c r="FG83" i="10"/>
  <c r="FF83" i="10"/>
  <c r="FE83" i="10"/>
  <c r="FD83" i="10"/>
  <c r="FC83" i="10"/>
  <c r="FB83" i="10"/>
  <c r="FA83" i="10"/>
  <c r="EZ83" i="10"/>
  <c r="EY83" i="10"/>
  <c r="EX83" i="10"/>
  <c r="EW83" i="10"/>
  <c r="EV83" i="10"/>
  <c r="EU83" i="10"/>
  <c r="GD82" i="10"/>
  <c r="GC82" i="10"/>
  <c r="GB82" i="10"/>
  <c r="GA82" i="10"/>
  <c r="FZ82" i="10"/>
  <c r="FY82" i="10"/>
  <c r="FX82" i="10"/>
  <c r="FW82" i="10"/>
  <c r="FV82" i="10"/>
  <c r="FU82" i="10"/>
  <c r="FS82" i="10"/>
  <c r="FR82" i="10"/>
  <c r="FQ82" i="10"/>
  <c r="FP82" i="10"/>
  <c r="FO82" i="10"/>
  <c r="FN82" i="10"/>
  <c r="FM82" i="10"/>
  <c r="FL82" i="10"/>
  <c r="FK82" i="10"/>
  <c r="FJ82" i="10"/>
  <c r="FI82" i="10"/>
  <c r="FG82" i="10"/>
  <c r="FF82" i="10"/>
  <c r="FE82" i="10"/>
  <c r="FD82" i="10"/>
  <c r="FC82" i="10"/>
  <c r="FB82" i="10"/>
  <c r="FA82" i="10"/>
  <c r="EZ82" i="10"/>
  <c r="EY82" i="10"/>
  <c r="EX82" i="10"/>
  <c r="EW82" i="10"/>
  <c r="EV82" i="10"/>
  <c r="EU82" i="10"/>
  <c r="GD81" i="10"/>
  <c r="GC81" i="10"/>
  <c r="GB81" i="10"/>
  <c r="GA81" i="10"/>
  <c r="FZ81" i="10"/>
  <c r="FY81" i="10"/>
  <c r="FX81" i="10"/>
  <c r="FW81" i="10"/>
  <c r="FV81" i="10"/>
  <c r="FU81" i="10"/>
  <c r="FS81" i="10"/>
  <c r="FR81" i="10"/>
  <c r="FQ81" i="10"/>
  <c r="FP81" i="10"/>
  <c r="FO81" i="10"/>
  <c r="FN81" i="10"/>
  <c r="FM81" i="10"/>
  <c r="FL81" i="10"/>
  <c r="FK81" i="10"/>
  <c r="FJ81" i="10"/>
  <c r="FI81" i="10"/>
  <c r="FG81" i="10"/>
  <c r="FF81" i="10"/>
  <c r="FE81" i="10"/>
  <c r="FD81" i="10"/>
  <c r="FC81" i="10"/>
  <c r="FB81" i="10"/>
  <c r="FA81" i="10"/>
  <c r="EZ81" i="10"/>
  <c r="EY81" i="10"/>
  <c r="EX81" i="10"/>
  <c r="EW81" i="10"/>
  <c r="EV81" i="10"/>
  <c r="EU81" i="10"/>
  <c r="GD80" i="10"/>
  <c r="GC80" i="10"/>
  <c r="GB80" i="10"/>
  <c r="GA80" i="10"/>
  <c r="FZ80" i="10"/>
  <c r="FY80" i="10"/>
  <c r="FX80" i="10"/>
  <c r="FW80" i="10"/>
  <c r="FV80" i="10"/>
  <c r="FU80" i="10"/>
  <c r="FS80" i="10"/>
  <c r="FR80" i="10"/>
  <c r="FQ80" i="10"/>
  <c r="FP80" i="10"/>
  <c r="FO80" i="10"/>
  <c r="FN80" i="10"/>
  <c r="FM80" i="10"/>
  <c r="FL80" i="10"/>
  <c r="FK80" i="10"/>
  <c r="FJ80" i="10"/>
  <c r="FI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GD79" i="10"/>
  <c r="GC79" i="10"/>
  <c r="GB79" i="10"/>
  <c r="GA79" i="10"/>
  <c r="FZ79" i="10"/>
  <c r="FY79" i="10"/>
  <c r="FX79" i="10"/>
  <c r="FW79" i="10"/>
  <c r="FV79" i="10"/>
  <c r="FU79" i="10"/>
  <c r="FS79" i="10"/>
  <c r="FR79" i="10"/>
  <c r="FQ79" i="10"/>
  <c r="FP79" i="10"/>
  <c r="FO79" i="10"/>
  <c r="FN79" i="10"/>
  <c r="FM79" i="10"/>
  <c r="FL79" i="10"/>
  <c r="FK79" i="10"/>
  <c r="FJ79" i="10"/>
  <c r="FI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GD78" i="10"/>
  <c r="GC78" i="10"/>
  <c r="GB78" i="10"/>
  <c r="GA78" i="10"/>
  <c r="FZ78" i="10"/>
  <c r="FY78" i="10"/>
  <c r="FX78" i="10"/>
  <c r="FW78" i="10"/>
  <c r="FV78" i="10"/>
  <c r="FU78" i="10"/>
  <c r="FS78" i="10"/>
  <c r="FR78" i="10"/>
  <c r="FQ78" i="10"/>
  <c r="FP78" i="10"/>
  <c r="FO78" i="10"/>
  <c r="FN78" i="10"/>
  <c r="FM78" i="10"/>
  <c r="FL78" i="10"/>
  <c r="FK78" i="10"/>
  <c r="FJ78" i="10"/>
  <c r="FI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GD77" i="10"/>
  <c r="GC77" i="10"/>
  <c r="GB77" i="10"/>
  <c r="GA77" i="10"/>
  <c r="FZ77" i="10"/>
  <c r="FY77" i="10"/>
  <c r="FX77" i="10"/>
  <c r="FW77" i="10"/>
  <c r="FV77" i="10"/>
  <c r="FU77" i="10"/>
  <c r="FS77" i="10"/>
  <c r="FR77" i="10"/>
  <c r="FQ77" i="10"/>
  <c r="FP77" i="10"/>
  <c r="FO77" i="10"/>
  <c r="FN77" i="10"/>
  <c r="FM77" i="10"/>
  <c r="FL77" i="10"/>
  <c r="FK77" i="10"/>
  <c r="FJ77" i="10"/>
  <c r="FI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GD76" i="10"/>
  <c r="GC76" i="10"/>
  <c r="GB76" i="10"/>
  <c r="GA76" i="10"/>
  <c r="FZ76" i="10"/>
  <c r="FY76" i="10"/>
  <c r="FX76" i="10"/>
  <c r="FW76" i="10"/>
  <c r="FV76" i="10"/>
  <c r="FU76" i="10"/>
  <c r="FS76" i="10"/>
  <c r="FR76" i="10"/>
  <c r="FQ76" i="10"/>
  <c r="FP76" i="10"/>
  <c r="FO76" i="10"/>
  <c r="FN76" i="10"/>
  <c r="FM76" i="10"/>
  <c r="FL76" i="10"/>
  <c r="FK76" i="10"/>
  <c r="FJ76" i="10"/>
  <c r="FI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GD75" i="10"/>
  <c r="GC75" i="10"/>
  <c r="GB75" i="10"/>
  <c r="GA75" i="10"/>
  <c r="FZ75" i="10"/>
  <c r="FY75" i="10"/>
  <c r="FX75" i="10"/>
  <c r="FW75" i="10"/>
  <c r="FV75" i="10"/>
  <c r="FU75" i="10"/>
  <c r="FS75" i="10"/>
  <c r="FR75" i="10"/>
  <c r="FQ75" i="10"/>
  <c r="FP75" i="10"/>
  <c r="FO75" i="10"/>
  <c r="FN75" i="10"/>
  <c r="FM75" i="10"/>
  <c r="FL75" i="10"/>
  <c r="FK75" i="10"/>
  <c r="FJ75" i="10"/>
  <c r="FI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GD74" i="10"/>
  <c r="GC74" i="10"/>
  <c r="GB74" i="10"/>
  <c r="GA74" i="10"/>
  <c r="FZ74" i="10"/>
  <c r="FY74" i="10"/>
  <c r="FX74" i="10"/>
  <c r="FW74" i="10"/>
  <c r="FV74" i="10"/>
  <c r="FU74" i="10"/>
  <c r="FS74" i="10"/>
  <c r="FR74" i="10"/>
  <c r="FQ74" i="10"/>
  <c r="FP74" i="10"/>
  <c r="FO74" i="10"/>
  <c r="FN74" i="10"/>
  <c r="FM74" i="10"/>
  <c r="FL74" i="10"/>
  <c r="FK74" i="10"/>
  <c r="FJ74" i="10"/>
  <c r="FI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GD73" i="10"/>
  <c r="GC73" i="10"/>
  <c r="GB73" i="10"/>
  <c r="GA73" i="10"/>
  <c r="FZ73" i="10"/>
  <c r="FY73" i="10"/>
  <c r="FX73" i="10"/>
  <c r="FW73" i="10"/>
  <c r="FV73" i="10"/>
  <c r="FU73" i="10"/>
  <c r="FS73" i="10"/>
  <c r="FR73" i="10"/>
  <c r="FQ73" i="10"/>
  <c r="FP73" i="10"/>
  <c r="FO73" i="10"/>
  <c r="FN73" i="10"/>
  <c r="FM73" i="10"/>
  <c r="FL73" i="10"/>
  <c r="FK73" i="10"/>
  <c r="FJ73" i="10"/>
  <c r="FI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GD72" i="10"/>
  <c r="GC72" i="10"/>
  <c r="GB72" i="10"/>
  <c r="GA72" i="10"/>
  <c r="FZ72" i="10"/>
  <c r="FY72" i="10"/>
  <c r="FX72" i="10"/>
  <c r="FW72" i="10"/>
  <c r="FV72" i="10"/>
  <c r="FU72" i="10"/>
  <c r="FS72" i="10"/>
  <c r="FR72" i="10"/>
  <c r="FQ72" i="10"/>
  <c r="FP72" i="10"/>
  <c r="FO72" i="10"/>
  <c r="FN72" i="10"/>
  <c r="FM72" i="10"/>
  <c r="FL72" i="10"/>
  <c r="FK72" i="10"/>
  <c r="FJ72" i="10"/>
  <c r="FI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GD71" i="10"/>
  <c r="GC71" i="10"/>
  <c r="GB71" i="10"/>
  <c r="GA71" i="10"/>
  <c r="FZ71" i="10"/>
  <c r="FY71" i="10"/>
  <c r="FX71" i="10"/>
  <c r="FW71" i="10"/>
  <c r="FV71" i="10"/>
  <c r="FU71" i="10"/>
  <c r="FS71" i="10"/>
  <c r="FR71" i="10"/>
  <c r="FQ71" i="10"/>
  <c r="FP71" i="10"/>
  <c r="FO71" i="10"/>
  <c r="FN71" i="10"/>
  <c r="FM71" i="10"/>
  <c r="FL71" i="10"/>
  <c r="FK71" i="10"/>
  <c r="FJ71" i="10"/>
  <c r="FI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GD70" i="10"/>
  <c r="GC70" i="10"/>
  <c r="GB70" i="10"/>
  <c r="GA70" i="10"/>
  <c r="FZ70" i="10"/>
  <c r="FY70" i="10"/>
  <c r="FX70" i="10"/>
  <c r="FW70" i="10"/>
  <c r="FV70" i="10"/>
  <c r="FU70" i="10"/>
  <c r="FS70" i="10"/>
  <c r="FR70" i="10"/>
  <c r="FQ70" i="10"/>
  <c r="FP70" i="10"/>
  <c r="FO70" i="10"/>
  <c r="FN70" i="10"/>
  <c r="FM70" i="10"/>
  <c r="FL70" i="10"/>
  <c r="FK70" i="10"/>
  <c r="FJ70" i="10"/>
  <c r="FI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GD69" i="10"/>
  <c r="GC69" i="10"/>
  <c r="GB69" i="10"/>
  <c r="GA69" i="10"/>
  <c r="FZ69" i="10"/>
  <c r="FY69" i="10"/>
  <c r="FX69" i="10"/>
  <c r="FW69" i="10"/>
  <c r="FV69" i="10"/>
  <c r="FU69" i="10"/>
  <c r="FS69" i="10"/>
  <c r="FR69" i="10"/>
  <c r="FQ69" i="10"/>
  <c r="FP69" i="10"/>
  <c r="FO69" i="10"/>
  <c r="FN69" i="10"/>
  <c r="FM69" i="10"/>
  <c r="FL69" i="10"/>
  <c r="FK69" i="10"/>
  <c r="FJ69" i="10"/>
  <c r="FI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GD68" i="10"/>
  <c r="GC68" i="10"/>
  <c r="GB68" i="10"/>
  <c r="GA68" i="10"/>
  <c r="FZ68" i="10"/>
  <c r="FY68" i="10"/>
  <c r="FX68" i="10"/>
  <c r="FW68" i="10"/>
  <c r="FV68" i="10"/>
  <c r="FU68" i="10"/>
  <c r="FS68" i="10"/>
  <c r="FR68" i="10"/>
  <c r="FQ68" i="10"/>
  <c r="FP68" i="10"/>
  <c r="FO68" i="10"/>
  <c r="FN68" i="10"/>
  <c r="FM68" i="10"/>
  <c r="FL68" i="10"/>
  <c r="FK68" i="10"/>
  <c r="FJ68" i="10"/>
  <c r="FI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GD67" i="10"/>
  <c r="GC67" i="10"/>
  <c r="GB67" i="10"/>
  <c r="GA67" i="10"/>
  <c r="FZ67" i="10"/>
  <c r="FY67" i="10"/>
  <c r="FX67" i="10"/>
  <c r="FW67" i="10"/>
  <c r="FV67" i="10"/>
  <c r="FU67" i="10"/>
  <c r="FS67" i="10"/>
  <c r="FR67" i="10"/>
  <c r="FQ67" i="10"/>
  <c r="FP67" i="10"/>
  <c r="FO67" i="10"/>
  <c r="FN67" i="10"/>
  <c r="FM67" i="10"/>
  <c r="FL67" i="10"/>
  <c r="FK67" i="10"/>
  <c r="FJ67" i="10"/>
  <c r="FI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GD66" i="10"/>
  <c r="GC66" i="10"/>
  <c r="GB66" i="10"/>
  <c r="GA66" i="10"/>
  <c r="FZ66" i="10"/>
  <c r="FY66" i="10"/>
  <c r="FX66" i="10"/>
  <c r="FW66" i="10"/>
  <c r="FV66" i="10"/>
  <c r="FU66" i="10"/>
  <c r="FS66" i="10"/>
  <c r="FR66" i="10"/>
  <c r="FQ66" i="10"/>
  <c r="FP66" i="10"/>
  <c r="FO66" i="10"/>
  <c r="FN66" i="10"/>
  <c r="FM66" i="10"/>
  <c r="FL66" i="10"/>
  <c r="FK66" i="10"/>
  <c r="FJ66" i="10"/>
  <c r="FI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GD65" i="10"/>
  <c r="GC65" i="10"/>
  <c r="GB65" i="10"/>
  <c r="GA65" i="10"/>
  <c r="FZ65" i="10"/>
  <c r="FY65" i="10"/>
  <c r="FX65" i="10"/>
  <c r="FW65" i="10"/>
  <c r="FV65" i="10"/>
  <c r="FU65" i="10"/>
  <c r="FS65" i="10"/>
  <c r="FR65" i="10"/>
  <c r="FQ65" i="10"/>
  <c r="FP65" i="10"/>
  <c r="FO65" i="10"/>
  <c r="FN65" i="10"/>
  <c r="FM65" i="10"/>
  <c r="FL65" i="10"/>
  <c r="FK65" i="10"/>
  <c r="FJ65" i="10"/>
  <c r="FI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GD64" i="10"/>
  <c r="GC64" i="10"/>
  <c r="GB64" i="10"/>
  <c r="GA64" i="10"/>
  <c r="FZ64" i="10"/>
  <c r="FY64" i="10"/>
  <c r="FX64" i="10"/>
  <c r="FW64" i="10"/>
  <c r="FV64" i="10"/>
  <c r="FU64" i="10"/>
  <c r="FS64" i="10"/>
  <c r="FR64" i="10"/>
  <c r="FQ64" i="10"/>
  <c r="FP64" i="10"/>
  <c r="FO64" i="10"/>
  <c r="FN64" i="10"/>
  <c r="FM64" i="10"/>
  <c r="FL64" i="10"/>
  <c r="FK64" i="10"/>
  <c r="FJ64" i="10"/>
  <c r="FI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GD63" i="10"/>
  <c r="GC63" i="10"/>
  <c r="GB63" i="10"/>
  <c r="GA63" i="10"/>
  <c r="FZ63" i="10"/>
  <c r="FY63" i="10"/>
  <c r="FX63" i="10"/>
  <c r="FW63" i="10"/>
  <c r="FV63" i="10"/>
  <c r="FU63" i="10"/>
  <c r="FS63" i="10"/>
  <c r="FR63" i="10"/>
  <c r="FQ63" i="10"/>
  <c r="FP63" i="10"/>
  <c r="FO63" i="10"/>
  <c r="FN63" i="10"/>
  <c r="FM63" i="10"/>
  <c r="FL63" i="10"/>
  <c r="FK63" i="10"/>
  <c r="FJ63" i="10"/>
  <c r="FI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GD62" i="10"/>
  <c r="GC62" i="10"/>
  <c r="GB62" i="10"/>
  <c r="GA62" i="10"/>
  <c r="FZ62" i="10"/>
  <c r="FY62" i="10"/>
  <c r="FX62" i="10"/>
  <c r="FW62" i="10"/>
  <c r="FV62" i="10"/>
  <c r="FU62" i="10"/>
  <c r="FS62" i="10"/>
  <c r="FR62" i="10"/>
  <c r="FQ62" i="10"/>
  <c r="FP62" i="10"/>
  <c r="FO62" i="10"/>
  <c r="FN62" i="10"/>
  <c r="FM62" i="10"/>
  <c r="FL62" i="10"/>
  <c r="FK62" i="10"/>
  <c r="FJ62" i="10"/>
  <c r="FI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GD61" i="10"/>
  <c r="GC61" i="10"/>
  <c r="GB61" i="10"/>
  <c r="GA61" i="10"/>
  <c r="FZ61" i="10"/>
  <c r="FY61" i="10"/>
  <c r="FX61" i="10"/>
  <c r="FW61" i="10"/>
  <c r="FV61" i="10"/>
  <c r="FU61" i="10"/>
  <c r="FS61" i="10"/>
  <c r="FR61" i="10"/>
  <c r="FQ61" i="10"/>
  <c r="FP61" i="10"/>
  <c r="FO61" i="10"/>
  <c r="FN61" i="10"/>
  <c r="FM61" i="10"/>
  <c r="FL61" i="10"/>
  <c r="FK61" i="10"/>
  <c r="FJ61" i="10"/>
  <c r="FI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GD60" i="10"/>
  <c r="GC60" i="10"/>
  <c r="GB60" i="10"/>
  <c r="GA60" i="10"/>
  <c r="FZ60" i="10"/>
  <c r="FY60" i="10"/>
  <c r="FX60" i="10"/>
  <c r="FW60" i="10"/>
  <c r="FV60" i="10"/>
  <c r="FU60" i="10"/>
  <c r="FS60" i="10"/>
  <c r="FR60" i="10"/>
  <c r="FQ60" i="10"/>
  <c r="FP60" i="10"/>
  <c r="FO60" i="10"/>
  <c r="FN60" i="10"/>
  <c r="FM60" i="10"/>
  <c r="FL60" i="10"/>
  <c r="FK60" i="10"/>
  <c r="FJ60" i="10"/>
  <c r="FI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GD59" i="10"/>
  <c r="GC59" i="10"/>
  <c r="GB59" i="10"/>
  <c r="GA59" i="10"/>
  <c r="FZ59" i="10"/>
  <c r="FY59" i="10"/>
  <c r="FX59" i="10"/>
  <c r="FW59" i="10"/>
  <c r="FV59" i="10"/>
  <c r="FU59" i="10"/>
  <c r="FS59" i="10"/>
  <c r="FR59" i="10"/>
  <c r="FQ59" i="10"/>
  <c r="FP59" i="10"/>
  <c r="FO59" i="10"/>
  <c r="FN59" i="10"/>
  <c r="FM59" i="10"/>
  <c r="FL59" i="10"/>
  <c r="FK59" i="10"/>
  <c r="FJ59" i="10"/>
  <c r="FI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GD58" i="10"/>
  <c r="GC58" i="10"/>
  <c r="GB58" i="10"/>
  <c r="GA58" i="10"/>
  <c r="FZ58" i="10"/>
  <c r="FY58" i="10"/>
  <c r="FX58" i="10"/>
  <c r="FW58" i="10"/>
  <c r="FV58" i="10"/>
  <c r="FU58" i="10"/>
  <c r="FS58" i="10"/>
  <c r="FR58" i="10"/>
  <c r="FQ58" i="10"/>
  <c r="FP58" i="10"/>
  <c r="FO58" i="10"/>
  <c r="FN58" i="10"/>
  <c r="FM58" i="10"/>
  <c r="FL58" i="10"/>
  <c r="FK58" i="10"/>
  <c r="FJ58" i="10"/>
  <c r="FI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GD57" i="10"/>
  <c r="GC57" i="10"/>
  <c r="GB57" i="10"/>
  <c r="GA57" i="10"/>
  <c r="FZ57" i="10"/>
  <c r="FY57" i="10"/>
  <c r="FX57" i="10"/>
  <c r="FW57" i="10"/>
  <c r="FV57" i="10"/>
  <c r="FU57" i="10"/>
  <c r="FS57" i="10"/>
  <c r="FR57" i="10"/>
  <c r="FQ57" i="10"/>
  <c r="FP57" i="10"/>
  <c r="FO57" i="10"/>
  <c r="FN57" i="10"/>
  <c r="FM57" i="10"/>
  <c r="FL57" i="10"/>
  <c r="FK57" i="10"/>
  <c r="FJ57" i="10"/>
  <c r="FI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GD56" i="10"/>
  <c r="GC56" i="10"/>
  <c r="GB56" i="10"/>
  <c r="GA56" i="10"/>
  <c r="FZ56" i="10"/>
  <c r="FY56" i="10"/>
  <c r="FX56" i="10"/>
  <c r="FW56" i="10"/>
  <c r="FV56" i="10"/>
  <c r="FU56" i="10"/>
  <c r="FS56" i="10"/>
  <c r="FR56" i="10"/>
  <c r="FQ56" i="10"/>
  <c r="FP56" i="10"/>
  <c r="FO56" i="10"/>
  <c r="FN56" i="10"/>
  <c r="FM56" i="10"/>
  <c r="FL56" i="10"/>
  <c r="FK56" i="10"/>
  <c r="FJ56" i="10"/>
  <c r="FI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GD55" i="10"/>
  <c r="GC55" i="10"/>
  <c r="GB55" i="10"/>
  <c r="GA55" i="10"/>
  <c r="FZ55" i="10"/>
  <c r="FY55" i="10"/>
  <c r="FX55" i="10"/>
  <c r="FW55" i="10"/>
  <c r="FV55" i="10"/>
  <c r="FU55" i="10"/>
  <c r="FS55" i="10"/>
  <c r="FR55" i="10"/>
  <c r="FQ55" i="10"/>
  <c r="FP55" i="10"/>
  <c r="FO55" i="10"/>
  <c r="FN55" i="10"/>
  <c r="FM55" i="10"/>
  <c r="FL55" i="10"/>
  <c r="FK55" i="10"/>
  <c r="FJ55" i="10"/>
  <c r="FI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GD54" i="10"/>
  <c r="GC54" i="10"/>
  <c r="GB54" i="10"/>
  <c r="GA54" i="10"/>
  <c r="FZ54" i="10"/>
  <c r="FY54" i="10"/>
  <c r="FX54" i="10"/>
  <c r="FW54" i="10"/>
  <c r="FV54" i="10"/>
  <c r="FU54" i="10"/>
  <c r="FS54" i="10"/>
  <c r="FR54" i="10"/>
  <c r="FQ54" i="10"/>
  <c r="FP54" i="10"/>
  <c r="FO54" i="10"/>
  <c r="FN54" i="10"/>
  <c r="FM54" i="10"/>
  <c r="FL54" i="10"/>
  <c r="FK54" i="10"/>
  <c r="FJ54" i="10"/>
  <c r="FI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GD53" i="10"/>
  <c r="GC53" i="10"/>
  <c r="GB53" i="10"/>
  <c r="GA53" i="10"/>
  <c r="FZ53" i="10"/>
  <c r="FY53" i="10"/>
  <c r="FX53" i="10"/>
  <c r="FW53" i="10"/>
  <c r="FV53" i="10"/>
  <c r="FU53" i="10"/>
  <c r="FS53" i="10"/>
  <c r="FR53" i="10"/>
  <c r="FQ53" i="10"/>
  <c r="FP53" i="10"/>
  <c r="FO53" i="10"/>
  <c r="FN53" i="10"/>
  <c r="FM53" i="10"/>
  <c r="FL53" i="10"/>
  <c r="FK53" i="10"/>
  <c r="FJ53" i="10"/>
  <c r="FI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GD52" i="10"/>
  <c r="GC52" i="10"/>
  <c r="GB52" i="10"/>
  <c r="GA52" i="10"/>
  <c r="FZ52" i="10"/>
  <c r="FY52" i="10"/>
  <c r="FX52" i="10"/>
  <c r="FW52" i="10"/>
  <c r="FV52" i="10"/>
  <c r="FU52" i="10"/>
  <c r="FS52" i="10"/>
  <c r="FR52" i="10"/>
  <c r="FQ52" i="10"/>
  <c r="FP52" i="10"/>
  <c r="FO52" i="10"/>
  <c r="FN52" i="10"/>
  <c r="FM52" i="10"/>
  <c r="FL52" i="10"/>
  <c r="FK52" i="10"/>
  <c r="FJ52" i="10"/>
  <c r="FI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GD51" i="10"/>
  <c r="GC51" i="10"/>
  <c r="GB51" i="10"/>
  <c r="GA51" i="10"/>
  <c r="FZ51" i="10"/>
  <c r="FY51" i="10"/>
  <c r="FX51" i="10"/>
  <c r="FW51" i="10"/>
  <c r="FV51" i="10"/>
  <c r="FU51" i="10"/>
  <c r="FS51" i="10"/>
  <c r="FR51" i="10"/>
  <c r="FQ51" i="10"/>
  <c r="FP51" i="10"/>
  <c r="FO51" i="10"/>
  <c r="FN51" i="10"/>
  <c r="FM51" i="10"/>
  <c r="FL51" i="10"/>
  <c r="FK51" i="10"/>
  <c r="FJ51" i="10"/>
  <c r="FI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GD50" i="10"/>
  <c r="GC50" i="10"/>
  <c r="GB50" i="10"/>
  <c r="GA50" i="10"/>
  <c r="FZ50" i="10"/>
  <c r="FY50" i="10"/>
  <c r="FX50" i="10"/>
  <c r="FW50" i="10"/>
  <c r="FV50" i="10"/>
  <c r="FU50" i="10"/>
  <c r="FS50" i="10"/>
  <c r="FR50" i="10"/>
  <c r="FQ50" i="10"/>
  <c r="FP50" i="10"/>
  <c r="FO50" i="10"/>
  <c r="FN50" i="10"/>
  <c r="FM50" i="10"/>
  <c r="FL50" i="10"/>
  <c r="FK50" i="10"/>
  <c r="FJ50" i="10"/>
  <c r="FI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GD49" i="10"/>
  <c r="GC49" i="10"/>
  <c r="GB49" i="10"/>
  <c r="GA49" i="10"/>
  <c r="FZ49" i="10"/>
  <c r="FY49" i="10"/>
  <c r="FX49" i="10"/>
  <c r="FW49" i="10"/>
  <c r="FV49" i="10"/>
  <c r="FU49" i="10"/>
  <c r="FS49" i="10"/>
  <c r="FR49" i="10"/>
  <c r="FQ49" i="10"/>
  <c r="FP49" i="10"/>
  <c r="FO49" i="10"/>
  <c r="FN49" i="10"/>
  <c r="FM49" i="10"/>
  <c r="FL49" i="10"/>
  <c r="FK49" i="10"/>
  <c r="FJ49" i="10"/>
  <c r="FI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GD48" i="10"/>
  <c r="GC48" i="10"/>
  <c r="GB48" i="10"/>
  <c r="GA48" i="10"/>
  <c r="FZ48" i="10"/>
  <c r="FY48" i="10"/>
  <c r="FX48" i="10"/>
  <c r="FW48" i="10"/>
  <c r="FV48" i="10"/>
  <c r="FU48" i="10"/>
  <c r="FS48" i="10"/>
  <c r="FR48" i="10"/>
  <c r="FQ48" i="10"/>
  <c r="FP48" i="10"/>
  <c r="FO48" i="10"/>
  <c r="FN48" i="10"/>
  <c r="FM48" i="10"/>
  <c r="FL48" i="10"/>
  <c r="FK48" i="10"/>
  <c r="FJ48" i="10"/>
  <c r="FI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GD47" i="10"/>
  <c r="GC47" i="10"/>
  <c r="GB47" i="10"/>
  <c r="GA47" i="10"/>
  <c r="FZ47" i="10"/>
  <c r="FY47" i="10"/>
  <c r="FX47" i="10"/>
  <c r="FW47" i="10"/>
  <c r="FV47" i="10"/>
  <c r="FU47" i="10"/>
  <c r="FS47" i="10"/>
  <c r="FR47" i="10"/>
  <c r="FQ47" i="10"/>
  <c r="FP47" i="10"/>
  <c r="FO47" i="10"/>
  <c r="FN47" i="10"/>
  <c r="FM47" i="10"/>
  <c r="FL47" i="10"/>
  <c r="FK47" i="10"/>
  <c r="FJ47" i="10"/>
  <c r="FI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GD46" i="10"/>
  <c r="GC46" i="10"/>
  <c r="GB46" i="10"/>
  <c r="GA46" i="10"/>
  <c r="FZ46" i="10"/>
  <c r="FY46" i="10"/>
  <c r="FX46" i="10"/>
  <c r="FW46" i="10"/>
  <c r="FV46" i="10"/>
  <c r="FU46" i="10"/>
  <c r="FS46" i="10"/>
  <c r="FR46" i="10"/>
  <c r="FQ46" i="10"/>
  <c r="FP46" i="10"/>
  <c r="FO46" i="10"/>
  <c r="FN46" i="10"/>
  <c r="FM46" i="10"/>
  <c r="FL46" i="10"/>
  <c r="FK46" i="10"/>
  <c r="FJ46" i="10"/>
  <c r="FI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GD45" i="10"/>
  <c r="GC45" i="10"/>
  <c r="GB45" i="10"/>
  <c r="GA45" i="10"/>
  <c r="FZ45" i="10"/>
  <c r="FY45" i="10"/>
  <c r="FX45" i="10"/>
  <c r="FW45" i="10"/>
  <c r="FV45" i="10"/>
  <c r="FU45" i="10"/>
  <c r="FS45" i="10"/>
  <c r="FR45" i="10"/>
  <c r="FQ45" i="10"/>
  <c r="FP45" i="10"/>
  <c r="FO45" i="10"/>
  <c r="FN45" i="10"/>
  <c r="FM45" i="10"/>
  <c r="FL45" i="10"/>
  <c r="FK45" i="10"/>
  <c r="FJ45" i="10"/>
  <c r="FI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GD44" i="10"/>
  <c r="GC44" i="10"/>
  <c r="GB44" i="10"/>
  <c r="GA44" i="10"/>
  <c r="FZ44" i="10"/>
  <c r="FY44" i="10"/>
  <c r="FX44" i="10"/>
  <c r="FW44" i="10"/>
  <c r="FV44" i="10"/>
  <c r="FU44" i="10"/>
  <c r="FS44" i="10"/>
  <c r="FR44" i="10"/>
  <c r="FQ44" i="10"/>
  <c r="FP44" i="10"/>
  <c r="FO44" i="10"/>
  <c r="FN44" i="10"/>
  <c r="FM44" i="10"/>
  <c r="FL44" i="10"/>
  <c r="FK44" i="10"/>
  <c r="FJ44" i="10"/>
  <c r="FI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GD43" i="10"/>
  <c r="GC43" i="10"/>
  <c r="GB43" i="10"/>
  <c r="GA43" i="10"/>
  <c r="FZ43" i="10"/>
  <c r="FY43" i="10"/>
  <c r="FX43" i="10"/>
  <c r="FW43" i="10"/>
  <c r="FV43" i="10"/>
  <c r="FU43" i="10"/>
  <c r="FS43" i="10"/>
  <c r="FR43" i="10"/>
  <c r="FQ43" i="10"/>
  <c r="FP43" i="10"/>
  <c r="FO43" i="10"/>
  <c r="FN43" i="10"/>
  <c r="FM43" i="10"/>
  <c r="FL43" i="10"/>
  <c r="FK43" i="10"/>
  <c r="FJ43" i="10"/>
  <c r="FI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GD42" i="10"/>
  <c r="GC42" i="10"/>
  <c r="GB42" i="10"/>
  <c r="GA42" i="10"/>
  <c r="FZ42" i="10"/>
  <c r="FY42" i="10"/>
  <c r="FX42" i="10"/>
  <c r="FW42" i="10"/>
  <c r="FV42" i="10"/>
  <c r="FU42" i="10"/>
  <c r="FS42" i="10"/>
  <c r="FR42" i="10"/>
  <c r="FQ42" i="10"/>
  <c r="FP42" i="10"/>
  <c r="FO42" i="10"/>
  <c r="FN42" i="10"/>
  <c r="FM42" i="10"/>
  <c r="FL42" i="10"/>
  <c r="FK42" i="10"/>
  <c r="FJ42" i="10"/>
  <c r="FI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GD41" i="10"/>
  <c r="GC41" i="10"/>
  <c r="GB41" i="10"/>
  <c r="GA41" i="10"/>
  <c r="FZ41" i="10"/>
  <c r="FY41" i="10"/>
  <c r="FX41" i="10"/>
  <c r="FW41" i="10"/>
  <c r="FV41" i="10"/>
  <c r="FU41" i="10"/>
  <c r="FS41" i="10"/>
  <c r="FR41" i="10"/>
  <c r="FQ41" i="10"/>
  <c r="FP41" i="10"/>
  <c r="FO41" i="10"/>
  <c r="FN41" i="10"/>
  <c r="FM41" i="10"/>
  <c r="FL41" i="10"/>
  <c r="FK41" i="10"/>
  <c r="FJ41" i="10"/>
  <c r="FI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GD40" i="10"/>
  <c r="GC40" i="10"/>
  <c r="GB40" i="10"/>
  <c r="GA40" i="10"/>
  <c r="FZ40" i="10"/>
  <c r="FY40" i="10"/>
  <c r="FX40" i="10"/>
  <c r="FW40" i="10"/>
  <c r="FV40" i="10"/>
  <c r="FU40" i="10"/>
  <c r="FS40" i="10"/>
  <c r="FR40" i="10"/>
  <c r="FQ40" i="10"/>
  <c r="FP40" i="10"/>
  <c r="FO40" i="10"/>
  <c r="FN40" i="10"/>
  <c r="FM40" i="10"/>
  <c r="FL40" i="10"/>
  <c r="FK40" i="10"/>
  <c r="FJ40" i="10"/>
  <c r="FI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GD39" i="10"/>
  <c r="GC39" i="10"/>
  <c r="GB39" i="10"/>
  <c r="GA39" i="10"/>
  <c r="FZ39" i="10"/>
  <c r="FY39" i="10"/>
  <c r="FX39" i="10"/>
  <c r="FW39" i="10"/>
  <c r="FV39" i="10"/>
  <c r="FU39" i="10"/>
  <c r="FS39" i="10"/>
  <c r="FR39" i="10"/>
  <c r="FQ39" i="10"/>
  <c r="FP39" i="10"/>
  <c r="FO39" i="10"/>
  <c r="FN39" i="10"/>
  <c r="FM39" i="10"/>
  <c r="FL39" i="10"/>
  <c r="FK39" i="10"/>
  <c r="FJ39" i="10"/>
  <c r="FI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GD38" i="10"/>
  <c r="GC38" i="10"/>
  <c r="GB38" i="10"/>
  <c r="GA38" i="10"/>
  <c r="FZ38" i="10"/>
  <c r="FY38" i="10"/>
  <c r="FX38" i="10"/>
  <c r="FW38" i="10"/>
  <c r="FV38" i="10"/>
  <c r="FU38" i="10"/>
  <c r="FS38" i="10"/>
  <c r="FR38" i="10"/>
  <c r="FQ38" i="10"/>
  <c r="FP38" i="10"/>
  <c r="FO38" i="10"/>
  <c r="FN38" i="10"/>
  <c r="FM38" i="10"/>
  <c r="FL38" i="10"/>
  <c r="FK38" i="10"/>
  <c r="FJ38" i="10"/>
  <c r="FI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GD37" i="10"/>
  <c r="GC37" i="10"/>
  <c r="GB37" i="10"/>
  <c r="GA37" i="10"/>
  <c r="FZ37" i="10"/>
  <c r="FY37" i="10"/>
  <c r="FX37" i="10"/>
  <c r="FW37" i="10"/>
  <c r="FV37" i="10"/>
  <c r="FU37" i="10"/>
  <c r="FS37" i="10"/>
  <c r="FR37" i="10"/>
  <c r="FQ37" i="10"/>
  <c r="FP37" i="10"/>
  <c r="FO37" i="10"/>
  <c r="FN37" i="10"/>
  <c r="FM37" i="10"/>
  <c r="FL37" i="10"/>
  <c r="FK37" i="10"/>
  <c r="FJ37" i="10"/>
  <c r="FI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GD36" i="10"/>
  <c r="GC36" i="10"/>
  <c r="GB36" i="10"/>
  <c r="GA36" i="10"/>
  <c r="FZ36" i="10"/>
  <c r="FY36" i="10"/>
  <c r="FX36" i="10"/>
  <c r="FW36" i="10"/>
  <c r="FV36" i="10"/>
  <c r="FU36" i="10"/>
  <c r="FS36" i="10"/>
  <c r="FR36" i="10"/>
  <c r="FQ36" i="10"/>
  <c r="FP36" i="10"/>
  <c r="FO36" i="10"/>
  <c r="FN36" i="10"/>
  <c r="FM36" i="10"/>
  <c r="FL36" i="10"/>
  <c r="FK36" i="10"/>
  <c r="FJ36" i="10"/>
  <c r="FI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GD35" i="10"/>
  <c r="GC35" i="10"/>
  <c r="GB35" i="10"/>
  <c r="GA35" i="10"/>
  <c r="FZ35" i="10"/>
  <c r="FY35" i="10"/>
  <c r="FX35" i="10"/>
  <c r="FW35" i="10"/>
  <c r="FV35" i="10"/>
  <c r="FU35" i="10"/>
  <c r="FS35" i="10"/>
  <c r="FR35" i="10"/>
  <c r="FQ35" i="10"/>
  <c r="FP35" i="10"/>
  <c r="FO35" i="10"/>
  <c r="FN35" i="10"/>
  <c r="FM35" i="10"/>
  <c r="FL35" i="10"/>
  <c r="FK35" i="10"/>
  <c r="FJ35" i="10"/>
  <c r="FI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GD34" i="10"/>
  <c r="GC34" i="10"/>
  <c r="GB34" i="10"/>
  <c r="GA34" i="10"/>
  <c r="FZ34" i="10"/>
  <c r="FY34" i="10"/>
  <c r="FX34" i="10"/>
  <c r="FW34" i="10"/>
  <c r="FV34" i="10"/>
  <c r="FU34" i="10"/>
  <c r="FS34" i="10"/>
  <c r="FR34" i="10"/>
  <c r="FQ34" i="10"/>
  <c r="FP34" i="10"/>
  <c r="FO34" i="10"/>
  <c r="FN34" i="10"/>
  <c r="FM34" i="10"/>
  <c r="FL34" i="10"/>
  <c r="FK34" i="10"/>
  <c r="FJ34" i="10"/>
  <c r="FI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GD33" i="10"/>
  <c r="GC33" i="10"/>
  <c r="GB33" i="10"/>
  <c r="GA33" i="10"/>
  <c r="FZ33" i="10"/>
  <c r="FY33" i="10"/>
  <c r="FX33" i="10"/>
  <c r="FW33" i="10"/>
  <c r="FV33" i="10"/>
  <c r="FU33" i="10"/>
  <c r="FS33" i="10"/>
  <c r="FR33" i="10"/>
  <c r="FQ33" i="10"/>
  <c r="FP33" i="10"/>
  <c r="FO33" i="10"/>
  <c r="FN33" i="10"/>
  <c r="FM33" i="10"/>
  <c r="FL33" i="10"/>
  <c r="FK33" i="10"/>
  <c r="FJ33" i="10"/>
  <c r="FI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GD32" i="10"/>
  <c r="GC32" i="10"/>
  <c r="GB32" i="10"/>
  <c r="GA32" i="10"/>
  <c r="FZ32" i="10"/>
  <c r="FY32" i="10"/>
  <c r="FX32" i="10"/>
  <c r="FW32" i="10"/>
  <c r="FV32" i="10"/>
  <c r="FU32" i="10"/>
  <c r="FS32" i="10"/>
  <c r="FR32" i="10"/>
  <c r="FQ32" i="10"/>
  <c r="FP32" i="10"/>
  <c r="FO32" i="10"/>
  <c r="FN32" i="10"/>
  <c r="FM32" i="10"/>
  <c r="FL32" i="10"/>
  <c r="FK32" i="10"/>
  <c r="FJ32" i="10"/>
  <c r="FI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GD31" i="10"/>
  <c r="GC31" i="10"/>
  <c r="GB31" i="10"/>
  <c r="GA31" i="10"/>
  <c r="FZ31" i="10"/>
  <c r="FY31" i="10"/>
  <c r="FX31" i="10"/>
  <c r="FW31" i="10"/>
  <c r="FV31" i="10"/>
  <c r="FU31" i="10"/>
  <c r="FS31" i="10"/>
  <c r="FR31" i="10"/>
  <c r="FQ31" i="10"/>
  <c r="FP31" i="10"/>
  <c r="FO31" i="10"/>
  <c r="FN31" i="10"/>
  <c r="FM31" i="10"/>
  <c r="FL31" i="10"/>
  <c r="FK31" i="10"/>
  <c r="FJ31" i="10"/>
  <c r="FI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GD30" i="10"/>
  <c r="GC30" i="10"/>
  <c r="GB30" i="10"/>
  <c r="GA30" i="10"/>
  <c r="FZ30" i="10"/>
  <c r="FY30" i="10"/>
  <c r="FX30" i="10"/>
  <c r="FW30" i="10"/>
  <c r="FV30" i="10"/>
  <c r="FU30" i="10"/>
  <c r="FS30" i="10"/>
  <c r="FR30" i="10"/>
  <c r="FQ30" i="10"/>
  <c r="FP30" i="10"/>
  <c r="FO30" i="10"/>
  <c r="FN30" i="10"/>
  <c r="FM30" i="10"/>
  <c r="FL30" i="10"/>
  <c r="FK30" i="10"/>
  <c r="FJ30" i="10"/>
  <c r="FI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GD29" i="10"/>
  <c r="GC29" i="10"/>
  <c r="GB29" i="10"/>
  <c r="GA29" i="10"/>
  <c r="FZ29" i="10"/>
  <c r="FY29" i="10"/>
  <c r="FX29" i="10"/>
  <c r="FW29" i="10"/>
  <c r="FV29" i="10"/>
  <c r="FU29" i="10"/>
  <c r="FS29" i="10"/>
  <c r="FR29" i="10"/>
  <c r="FQ29" i="10"/>
  <c r="FP29" i="10"/>
  <c r="FO29" i="10"/>
  <c r="FN29" i="10"/>
  <c r="FM29" i="10"/>
  <c r="FL29" i="10"/>
  <c r="FK29" i="10"/>
  <c r="FJ29" i="10"/>
  <c r="FI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GD28" i="10"/>
  <c r="GC28" i="10"/>
  <c r="GB28" i="10"/>
  <c r="GA28" i="10"/>
  <c r="FZ28" i="10"/>
  <c r="FY28" i="10"/>
  <c r="FX28" i="10"/>
  <c r="FW28" i="10"/>
  <c r="FV28" i="10"/>
  <c r="FU28" i="10"/>
  <c r="FS28" i="10"/>
  <c r="FR28" i="10"/>
  <c r="FQ28" i="10"/>
  <c r="FP28" i="10"/>
  <c r="FO28" i="10"/>
  <c r="FN28" i="10"/>
  <c r="FM28" i="10"/>
  <c r="FL28" i="10"/>
  <c r="FK28" i="10"/>
  <c r="FJ28" i="10"/>
  <c r="FI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GD27" i="10"/>
  <c r="GC27" i="10"/>
  <c r="GB27" i="10"/>
  <c r="GA27" i="10"/>
  <c r="FZ27" i="10"/>
  <c r="FY27" i="10"/>
  <c r="FX27" i="10"/>
  <c r="FW27" i="10"/>
  <c r="FV27" i="10"/>
  <c r="FU27" i="10"/>
  <c r="FS27" i="10"/>
  <c r="FR27" i="10"/>
  <c r="FQ27" i="10"/>
  <c r="FP27" i="10"/>
  <c r="FO27" i="10"/>
  <c r="FN27" i="10"/>
  <c r="FM27" i="10"/>
  <c r="FL27" i="10"/>
  <c r="FK27" i="10"/>
  <c r="FJ27" i="10"/>
  <c r="FI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GD26" i="10"/>
  <c r="GC26" i="10"/>
  <c r="GB26" i="10"/>
  <c r="GA26" i="10"/>
  <c r="FZ26" i="10"/>
  <c r="FY26" i="10"/>
  <c r="FX26" i="10"/>
  <c r="FW26" i="10"/>
  <c r="FV26" i="10"/>
  <c r="FU26" i="10"/>
  <c r="FS26" i="10"/>
  <c r="FR26" i="10"/>
  <c r="FQ26" i="10"/>
  <c r="FP26" i="10"/>
  <c r="FO26" i="10"/>
  <c r="FN26" i="10"/>
  <c r="FM26" i="10"/>
  <c r="FL26" i="10"/>
  <c r="FK26" i="10"/>
  <c r="FJ26" i="10"/>
  <c r="FI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GD25" i="10"/>
  <c r="GC25" i="10"/>
  <c r="GB25" i="10"/>
  <c r="GA25" i="10"/>
  <c r="FZ25" i="10"/>
  <c r="FY25" i="10"/>
  <c r="FX25" i="10"/>
  <c r="FW25" i="10"/>
  <c r="FV25" i="10"/>
  <c r="FU25" i="10"/>
  <c r="FS25" i="10"/>
  <c r="FR25" i="10"/>
  <c r="FQ25" i="10"/>
  <c r="FP25" i="10"/>
  <c r="FO25" i="10"/>
  <c r="FN25" i="10"/>
  <c r="FM25" i="10"/>
  <c r="FL25" i="10"/>
  <c r="FK25" i="10"/>
  <c r="FJ25" i="10"/>
  <c r="FI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GD24" i="10"/>
  <c r="GC24" i="10"/>
  <c r="GB24" i="10"/>
  <c r="GA24" i="10"/>
  <c r="FZ24" i="10"/>
  <c r="FY24" i="10"/>
  <c r="FX24" i="10"/>
  <c r="FW24" i="10"/>
  <c r="FV24" i="10"/>
  <c r="FU24" i="10"/>
  <c r="FS24" i="10"/>
  <c r="FR24" i="10"/>
  <c r="FQ24" i="10"/>
  <c r="FP24" i="10"/>
  <c r="FO24" i="10"/>
  <c r="FN24" i="10"/>
  <c r="FM24" i="10"/>
  <c r="FL24" i="10"/>
  <c r="FK24" i="10"/>
  <c r="FJ24" i="10"/>
  <c r="FI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GD23" i="10"/>
  <c r="GC23" i="10"/>
  <c r="GB23" i="10"/>
  <c r="GA23" i="10"/>
  <c r="FZ23" i="10"/>
  <c r="FY23" i="10"/>
  <c r="FX23" i="10"/>
  <c r="FW23" i="10"/>
  <c r="FV23" i="10"/>
  <c r="FU23" i="10"/>
  <c r="FS23" i="10"/>
  <c r="FR23" i="10"/>
  <c r="FQ23" i="10"/>
  <c r="FP23" i="10"/>
  <c r="FO23" i="10"/>
  <c r="FN23" i="10"/>
  <c r="FM23" i="10"/>
  <c r="FL23" i="10"/>
  <c r="FK23" i="10"/>
  <c r="FJ23" i="10"/>
  <c r="FI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GD22" i="10"/>
  <c r="GC22" i="10"/>
  <c r="GB22" i="10"/>
  <c r="GA22" i="10"/>
  <c r="FZ22" i="10"/>
  <c r="FY22" i="10"/>
  <c r="FX22" i="10"/>
  <c r="FW22" i="10"/>
  <c r="FV22" i="10"/>
  <c r="FU22" i="10"/>
  <c r="FS22" i="10"/>
  <c r="FR22" i="10"/>
  <c r="FQ22" i="10"/>
  <c r="FP22" i="10"/>
  <c r="FO22" i="10"/>
  <c r="FN22" i="10"/>
  <c r="FM22" i="10"/>
  <c r="FL22" i="10"/>
  <c r="FK22" i="10"/>
  <c r="FJ22" i="10"/>
  <c r="FI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GD21" i="10"/>
  <c r="GC21" i="10"/>
  <c r="GB21" i="10"/>
  <c r="GA21" i="10"/>
  <c r="FZ21" i="10"/>
  <c r="FY21" i="10"/>
  <c r="FX21" i="10"/>
  <c r="FW21" i="10"/>
  <c r="FV21" i="10"/>
  <c r="FU21" i="10"/>
  <c r="FS21" i="10"/>
  <c r="FR21" i="10"/>
  <c r="FQ21" i="10"/>
  <c r="FP21" i="10"/>
  <c r="FO21" i="10"/>
  <c r="FN21" i="10"/>
  <c r="FM21" i="10"/>
  <c r="FL21" i="10"/>
  <c r="FK21" i="10"/>
  <c r="FJ21" i="10"/>
  <c r="FI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GD20" i="10"/>
  <c r="GC20" i="10"/>
  <c r="GB20" i="10"/>
  <c r="GA20" i="10"/>
  <c r="FZ20" i="10"/>
  <c r="FY20" i="10"/>
  <c r="FX20" i="10"/>
  <c r="FW20" i="10"/>
  <c r="FV20" i="10"/>
  <c r="FU20" i="10"/>
  <c r="FS20" i="10"/>
  <c r="FR20" i="10"/>
  <c r="FQ20" i="10"/>
  <c r="FP20" i="10"/>
  <c r="FO20" i="10"/>
  <c r="FN20" i="10"/>
  <c r="FM20" i="10"/>
  <c r="FL20" i="10"/>
  <c r="FK20" i="10"/>
  <c r="FJ20" i="10"/>
  <c r="FI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GD19" i="10"/>
  <c r="GC19" i="10"/>
  <c r="GB19" i="10"/>
  <c r="GA19" i="10"/>
  <c r="FZ19" i="10"/>
  <c r="FY19" i="10"/>
  <c r="FX19" i="10"/>
  <c r="FW19" i="10"/>
  <c r="FV19" i="10"/>
  <c r="FU19" i="10"/>
  <c r="FS19" i="10"/>
  <c r="FR19" i="10"/>
  <c r="FQ19" i="10"/>
  <c r="FP19" i="10"/>
  <c r="FO19" i="10"/>
  <c r="FN19" i="10"/>
  <c r="FM19" i="10"/>
  <c r="FL19" i="10"/>
  <c r="FK19" i="10"/>
  <c r="FJ19" i="10"/>
  <c r="FI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GD18" i="10"/>
  <c r="GC18" i="10"/>
  <c r="GB18" i="10"/>
  <c r="GA18" i="10"/>
  <c r="FZ18" i="10"/>
  <c r="FY18" i="10"/>
  <c r="FX18" i="10"/>
  <c r="FW18" i="10"/>
  <c r="FV18" i="10"/>
  <c r="FU18" i="10"/>
  <c r="FS18" i="10"/>
  <c r="FR18" i="10"/>
  <c r="FQ18" i="10"/>
  <c r="FP18" i="10"/>
  <c r="FO18" i="10"/>
  <c r="FN18" i="10"/>
  <c r="FM18" i="10"/>
  <c r="FL18" i="10"/>
  <c r="FK18" i="10"/>
  <c r="FJ18" i="10"/>
  <c r="FI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GD17" i="10"/>
  <c r="GC17" i="10"/>
  <c r="GB17" i="10"/>
  <c r="GA17" i="10"/>
  <c r="FZ17" i="10"/>
  <c r="FY17" i="10"/>
  <c r="FX17" i="10"/>
  <c r="FW17" i="10"/>
  <c r="FV17" i="10"/>
  <c r="FU17" i="10"/>
  <c r="FS17" i="10"/>
  <c r="FR17" i="10"/>
  <c r="FQ17" i="10"/>
  <c r="FP17" i="10"/>
  <c r="FO17" i="10"/>
  <c r="FN17" i="10"/>
  <c r="FM17" i="10"/>
  <c r="FL17" i="10"/>
  <c r="FK17" i="10"/>
  <c r="FJ17" i="10"/>
  <c r="FI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GD16" i="10"/>
  <c r="GC16" i="10"/>
  <c r="GB16" i="10"/>
  <c r="GA16" i="10"/>
  <c r="FZ16" i="10"/>
  <c r="FY16" i="10"/>
  <c r="FX16" i="10"/>
  <c r="FW16" i="10"/>
  <c r="FV16" i="10"/>
  <c r="FU16" i="10"/>
  <c r="FS16" i="10"/>
  <c r="FR16" i="10"/>
  <c r="FQ16" i="10"/>
  <c r="FP16" i="10"/>
  <c r="FO16" i="10"/>
  <c r="FN16" i="10"/>
  <c r="FM16" i="10"/>
  <c r="FL16" i="10"/>
  <c r="FK16" i="10"/>
  <c r="FJ16" i="10"/>
  <c r="FI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GD15" i="10"/>
  <c r="GC15" i="10"/>
  <c r="GB15" i="10"/>
  <c r="GA15" i="10"/>
  <c r="FZ15" i="10"/>
  <c r="FY15" i="10"/>
  <c r="FX15" i="10"/>
  <c r="FW15" i="10"/>
  <c r="FV15" i="10"/>
  <c r="FU15" i="10"/>
  <c r="FS15" i="10"/>
  <c r="FR15" i="10"/>
  <c r="FQ15" i="10"/>
  <c r="FP15" i="10"/>
  <c r="FO15" i="10"/>
  <c r="FN15" i="10"/>
  <c r="FM15" i="10"/>
  <c r="FL15" i="10"/>
  <c r="FK15" i="10"/>
  <c r="FJ15" i="10"/>
  <c r="FI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GD14" i="10"/>
  <c r="GC14" i="10"/>
  <c r="GB14" i="10"/>
  <c r="GA14" i="10"/>
  <c r="FZ14" i="10"/>
  <c r="FY14" i="10"/>
  <c r="FX14" i="10"/>
  <c r="FW14" i="10"/>
  <c r="FV14" i="10"/>
  <c r="FU14" i="10"/>
  <c r="FS14" i="10"/>
  <c r="FR14" i="10"/>
  <c r="FQ14" i="10"/>
  <c r="FP14" i="10"/>
  <c r="FO14" i="10"/>
  <c r="FN14" i="10"/>
  <c r="FM14" i="10"/>
  <c r="FL14" i="10"/>
  <c r="FK14" i="10"/>
  <c r="FJ14" i="10"/>
  <c r="FI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GD13" i="10"/>
  <c r="GC13" i="10"/>
  <c r="GB13" i="10"/>
  <c r="GA13" i="10"/>
  <c r="FZ13" i="10"/>
  <c r="FY13" i="10"/>
  <c r="FX13" i="10"/>
  <c r="FW13" i="10"/>
  <c r="FV13" i="10"/>
  <c r="FU13" i="10"/>
  <c r="FS13" i="10"/>
  <c r="FR13" i="10"/>
  <c r="FQ13" i="10"/>
  <c r="FP13" i="10"/>
  <c r="FO13" i="10"/>
  <c r="FN13" i="10"/>
  <c r="FM13" i="10"/>
  <c r="FL13" i="10"/>
  <c r="FK13" i="10"/>
  <c r="FJ13" i="10"/>
  <c r="FI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GD12" i="10"/>
  <c r="GC12" i="10"/>
  <c r="GB12" i="10"/>
  <c r="GA12" i="10"/>
  <c r="FZ12" i="10"/>
  <c r="FY12" i="10"/>
  <c r="FX12" i="10"/>
  <c r="FW12" i="10"/>
  <c r="FV12" i="10"/>
  <c r="FU12" i="10"/>
  <c r="FS12" i="10"/>
  <c r="FR12" i="10"/>
  <c r="FQ12" i="10"/>
  <c r="FP12" i="10"/>
  <c r="FO12" i="10"/>
  <c r="FN12" i="10"/>
  <c r="FM12" i="10"/>
  <c r="FL12" i="10"/>
  <c r="FK12" i="10"/>
  <c r="FJ12" i="10"/>
  <c r="FI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GD11" i="10"/>
  <c r="GC11" i="10"/>
  <c r="GB11" i="10"/>
  <c r="GA11" i="10"/>
  <c r="FZ11" i="10"/>
  <c r="FY11" i="10"/>
  <c r="FX11" i="10"/>
  <c r="FW11" i="10"/>
  <c r="FV11" i="10"/>
  <c r="FU11" i="10"/>
  <c r="FS11" i="10"/>
  <c r="FR11" i="10"/>
  <c r="FQ11" i="10"/>
  <c r="FP11" i="10"/>
  <c r="FO11" i="10"/>
  <c r="FN11" i="10"/>
  <c r="FM11" i="10"/>
  <c r="FL11" i="10"/>
  <c r="FK11" i="10"/>
  <c r="FJ11" i="10"/>
  <c r="FI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GD10" i="10"/>
  <c r="GC10" i="10"/>
  <c r="GB10" i="10"/>
  <c r="GA10" i="10"/>
  <c r="FZ10" i="10"/>
  <c r="FY10" i="10"/>
  <c r="FX10" i="10"/>
  <c r="FW10" i="10"/>
  <c r="FV10" i="10"/>
  <c r="FU10" i="10"/>
  <c r="FS10" i="10"/>
  <c r="FR10" i="10"/>
  <c r="FQ10" i="10"/>
  <c r="FP10" i="10"/>
  <c r="FO10" i="10"/>
  <c r="FN10" i="10"/>
  <c r="FM10" i="10"/>
  <c r="FL10" i="10"/>
  <c r="FK10" i="10"/>
  <c r="FJ10" i="10"/>
  <c r="FI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GD9" i="10"/>
  <c r="GC9" i="10"/>
  <c r="GB9" i="10"/>
  <c r="GA9" i="10"/>
  <c r="FZ9" i="10"/>
  <c r="FY9" i="10"/>
  <c r="FX9" i="10"/>
  <c r="FW9" i="10"/>
  <c r="FV9" i="10"/>
  <c r="FU9" i="10"/>
  <c r="FS9" i="10"/>
  <c r="FR9" i="10"/>
  <c r="FQ9" i="10"/>
  <c r="FP9" i="10"/>
  <c r="FO9" i="10"/>
  <c r="FN9" i="10"/>
  <c r="FM9" i="10"/>
  <c r="FL9" i="10"/>
  <c r="FK9" i="10"/>
  <c r="FJ9" i="10"/>
  <c r="FI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GD8" i="10"/>
  <c r="GC8" i="10"/>
  <c r="GB8" i="10"/>
  <c r="GA8" i="10"/>
  <c r="FZ8" i="10"/>
  <c r="FY8" i="10"/>
  <c r="FX8" i="10"/>
  <c r="FW8" i="10"/>
  <c r="FV8" i="10"/>
  <c r="FU8" i="10"/>
  <c r="FS8" i="10"/>
  <c r="FR8" i="10"/>
  <c r="FQ8" i="10"/>
  <c r="FP8" i="10"/>
  <c r="FO8" i="10"/>
  <c r="FN8" i="10"/>
  <c r="FM8" i="10"/>
  <c r="FL8" i="10"/>
  <c r="FK8" i="10"/>
  <c r="FJ8" i="10"/>
  <c r="FI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GD7" i="10"/>
  <c r="GC7" i="10"/>
  <c r="GB7" i="10"/>
  <c r="GA7" i="10"/>
  <c r="FZ7" i="10"/>
  <c r="FY7" i="10"/>
  <c r="FX7" i="10"/>
  <c r="FW7" i="10"/>
  <c r="FV7" i="10"/>
  <c r="FU7" i="10"/>
  <c r="FS7" i="10"/>
  <c r="FR7" i="10"/>
  <c r="FQ7" i="10"/>
  <c r="FP7" i="10"/>
  <c r="FO7" i="10"/>
  <c r="FN7" i="10"/>
  <c r="FM7" i="10"/>
  <c r="FL7" i="10"/>
  <c r="FK7" i="10"/>
  <c r="FJ7" i="10"/>
  <c r="FI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GD6" i="10"/>
  <c r="GC6" i="10"/>
  <c r="GB6" i="10"/>
  <c r="GA6" i="10"/>
  <c r="FZ6" i="10"/>
  <c r="FY6" i="10"/>
  <c r="FX6" i="10"/>
  <c r="FW6" i="10"/>
  <c r="FV6" i="10"/>
  <c r="FU6" i="10"/>
  <c r="FS6" i="10"/>
  <c r="FR6" i="10"/>
  <c r="FQ6" i="10"/>
  <c r="FP6" i="10"/>
  <c r="FO6" i="10"/>
  <c r="FN6" i="10"/>
  <c r="FM6" i="10"/>
  <c r="FL6" i="10"/>
  <c r="FK6" i="10"/>
  <c r="FJ6" i="10"/>
  <c r="FI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GD5" i="10"/>
  <c r="GC5" i="10"/>
  <c r="GB5" i="10"/>
  <c r="GA5" i="10"/>
  <c r="FZ5" i="10"/>
  <c r="FY5" i="10"/>
  <c r="FX5" i="10"/>
  <c r="FW5" i="10"/>
  <c r="FV5" i="10"/>
  <c r="FU5" i="10"/>
  <c r="FS5" i="10"/>
  <c r="FR5" i="10"/>
  <c r="FQ5" i="10"/>
  <c r="FP5" i="10"/>
  <c r="FO5" i="10"/>
  <c r="FN5" i="10"/>
  <c r="FM5" i="10"/>
  <c r="FL5" i="10"/>
  <c r="FK5" i="10"/>
  <c r="FJ5" i="10"/>
  <c r="FI5" i="10"/>
  <c r="FG5" i="10"/>
  <c r="FF5" i="10"/>
  <c r="FE5" i="10"/>
  <c r="FD5" i="10"/>
  <c r="FC5" i="10"/>
  <c r="FB5" i="10"/>
  <c r="FA5" i="10"/>
  <c r="EZ5" i="10"/>
  <c r="EY5" i="10"/>
  <c r="EX5" i="10"/>
  <c r="EW5" i="10"/>
  <c r="EV5" i="10"/>
  <c r="EU5" i="10"/>
  <c r="GD4" i="10"/>
  <c r="GC4" i="10"/>
  <c r="GB4" i="10"/>
  <c r="GA4" i="10"/>
  <c r="FZ4" i="10"/>
  <c r="FY4" i="10"/>
  <c r="FX4" i="10"/>
  <c r="FW4" i="10"/>
  <c r="FV4" i="10"/>
  <c r="FU4" i="10"/>
  <c r="FS4" i="10"/>
  <c r="FR4" i="10"/>
  <c r="FQ4" i="10"/>
  <c r="FP4" i="10"/>
  <c r="FO4" i="10"/>
  <c r="FN4" i="10"/>
  <c r="FM4" i="10"/>
  <c r="FL4" i="10"/>
  <c r="FK4" i="10"/>
  <c r="FJ4" i="10"/>
  <c r="FI4" i="10"/>
  <c r="FG4" i="10"/>
  <c r="FF4" i="10"/>
  <c r="FE4" i="10"/>
  <c r="FD4" i="10"/>
  <c r="FC4" i="10"/>
  <c r="FB4" i="10"/>
  <c r="FA4" i="10"/>
  <c r="EZ4" i="10"/>
  <c r="EY4" i="10"/>
  <c r="EX4" i="10"/>
  <c r="EW4" i="10"/>
  <c r="EV4" i="10"/>
  <c r="EU4" i="10"/>
  <c r="A86" i="24"/>
  <c r="F6" i="24"/>
  <c r="A7" i="24"/>
  <c r="B7" i="24" s="1"/>
  <c r="A33" i="24"/>
  <c r="F7" i="24"/>
  <c r="A34" i="24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87" i="24"/>
  <c r="A88" i="24" s="1"/>
  <c r="CI71" i="11"/>
  <c r="C71" i="28" s="1"/>
  <c r="IB71" i="8"/>
  <c r="I4" i="9"/>
  <c r="J4" i="9"/>
  <c r="I5" i="9"/>
  <c r="J5" i="9"/>
  <c r="I6" i="9"/>
  <c r="J6" i="9"/>
  <c r="I7" i="9"/>
  <c r="J7" i="9"/>
  <c r="N7" i="9" s="1"/>
  <c r="I8" i="9"/>
  <c r="J8" i="9"/>
  <c r="I9" i="9"/>
  <c r="J9" i="9"/>
  <c r="N9" i="9" s="1"/>
  <c r="I10" i="9"/>
  <c r="J10" i="9"/>
  <c r="I11" i="9"/>
  <c r="J11" i="9"/>
  <c r="I12" i="9"/>
  <c r="J12" i="9"/>
  <c r="I13" i="9"/>
  <c r="J13" i="9"/>
  <c r="N13" i="9" s="1"/>
  <c r="AM13" i="9" s="1"/>
  <c r="I14" i="9"/>
  <c r="N14" i="9" s="1"/>
  <c r="J14" i="9"/>
  <c r="I15" i="9"/>
  <c r="J15" i="9"/>
  <c r="I16" i="9"/>
  <c r="J16" i="9"/>
  <c r="I17" i="9"/>
  <c r="J17" i="9"/>
  <c r="N17" i="9" s="1"/>
  <c r="I18" i="9"/>
  <c r="N18" i="9" s="1"/>
  <c r="J18" i="9"/>
  <c r="I19" i="9"/>
  <c r="J19" i="9"/>
  <c r="I20" i="9"/>
  <c r="J20" i="9"/>
  <c r="I21" i="9"/>
  <c r="J21" i="9"/>
  <c r="N21" i="9" s="1"/>
  <c r="O21" i="9" s="1"/>
  <c r="I22" i="9"/>
  <c r="N22" i="9" s="1"/>
  <c r="J22" i="9"/>
  <c r="I23" i="9"/>
  <c r="J23" i="9"/>
  <c r="N23" i="9" s="1"/>
  <c r="I24" i="9"/>
  <c r="J24" i="9"/>
  <c r="I25" i="9"/>
  <c r="J25" i="9"/>
  <c r="I26" i="9"/>
  <c r="J26" i="9"/>
  <c r="I27" i="9"/>
  <c r="J27" i="9"/>
  <c r="I28" i="9"/>
  <c r="J28" i="9"/>
  <c r="I29" i="9"/>
  <c r="J29" i="9"/>
  <c r="N29" i="9" s="1"/>
  <c r="AM29" i="9" s="1"/>
  <c r="I30" i="9"/>
  <c r="J30" i="9"/>
  <c r="I31" i="9"/>
  <c r="J31" i="9"/>
  <c r="N31" i="9" s="1"/>
  <c r="O31" i="9" s="1"/>
  <c r="I32" i="9"/>
  <c r="J32" i="9"/>
  <c r="I33" i="9"/>
  <c r="J33" i="9"/>
  <c r="N33" i="9" s="1"/>
  <c r="I34" i="9"/>
  <c r="N34" i="9" s="1"/>
  <c r="J34" i="9"/>
  <c r="I35" i="9"/>
  <c r="J35" i="9"/>
  <c r="I36" i="9"/>
  <c r="J36" i="9"/>
  <c r="I37" i="9"/>
  <c r="J37" i="9"/>
  <c r="I38" i="9"/>
  <c r="N38" i="9" s="1"/>
  <c r="J38" i="9"/>
  <c r="I39" i="9"/>
  <c r="J39" i="9"/>
  <c r="N39" i="9" s="1"/>
  <c r="I46" i="9"/>
  <c r="J46" i="9"/>
  <c r="I47" i="9"/>
  <c r="J47" i="9"/>
  <c r="I48" i="9"/>
  <c r="J48" i="9"/>
  <c r="I49" i="9"/>
  <c r="J49" i="9"/>
  <c r="N49" i="9" s="1"/>
  <c r="I50" i="9"/>
  <c r="J50" i="9"/>
  <c r="I51" i="9"/>
  <c r="J51" i="9"/>
  <c r="I52" i="9"/>
  <c r="J52" i="9"/>
  <c r="I54" i="9"/>
  <c r="J54" i="9"/>
  <c r="N54" i="9" s="1"/>
  <c r="AM54" i="9" s="1"/>
  <c r="I55" i="9"/>
  <c r="N55" i="9" s="1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N68" i="9" s="1"/>
  <c r="I69" i="9"/>
  <c r="N69" i="9" s="1"/>
  <c r="AM69" i="9" s="1"/>
  <c r="J69" i="9"/>
  <c r="I70" i="9"/>
  <c r="J70" i="9"/>
  <c r="I71" i="9"/>
  <c r="J71" i="9"/>
  <c r="I72" i="9"/>
  <c r="J72" i="9"/>
  <c r="I73" i="9"/>
  <c r="N73" i="9" s="1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N80" i="9" s="1"/>
  <c r="AM80" i="9" s="1"/>
  <c r="I81" i="9"/>
  <c r="J81" i="9"/>
  <c r="I82" i="9"/>
  <c r="J82" i="9"/>
  <c r="I83" i="9"/>
  <c r="J83" i="9"/>
  <c r="I84" i="9"/>
  <c r="J84" i="9"/>
  <c r="N84" i="9" s="1"/>
  <c r="N30" i="9"/>
  <c r="N6" i="9"/>
  <c r="N71" i="9"/>
  <c r="N37" i="9"/>
  <c r="AM37" i="9" s="1"/>
  <c r="N25" i="9"/>
  <c r="N15" i="9"/>
  <c r="N5" i="9"/>
  <c r="AM5" i="9" s="1"/>
  <c r="N77" i="9"/>
  <c r="AM77" i="9" s="1"/>
  <c r="N61" i="9"/>
  <c r="AM61" i="9" s="1"/>
  <c r="N57" i="9"/>
  <c r="IX3" i="8"/>
  <c r="IW3" i="8"/>
  <c r="IV3" i="8"/>
  <c r="IU3" i="8"/>
  <c r="IT3" i="8"/>
  <c r="IS3" i="8"/>
  <c r="IR3" i="8"/>
  <c r="IQ3" i="8"/>
  <c r="IP3" i="8"/>
  <c r="IX2" i="8"/>
  <c r="IW2" i="8"/>
  <c r="IV2" i="8"/>
  <c r="IU2" i="8"/>
  <c r="IT2" i="8"/>
  <c r="IS2" i="8"/>
  <c r="IR2" i="8"/>
  <c r="IQ2" i="8"/>
  <c r="IP2" i="8"/>
  <c r="IN2" i="8"/>
  <c r="IM2" i="8"/>
  <c r="IJ2" i="8"/>
  <c r="II2" i="8"/>
  <c r="IH2" i="8"/>
  <c r="IG2" i="8"/>
  <c r="IF2" i="8"/>
  <c r="IE2" i="8"/>
  <c r="ID2" i="8"/>
  <c r="IC2" i="8"/>
  <c r="HO3" i="8"/>
  <c r="HN3" i="8"/>
  <c r="HK3" i="8"/>
  <c r="HL3" i="8"/>
  <c r="HJ3" i="8"/>
  <c r="HM3" i="8"/>
  <c r="HF3" i="8"/>
  <c r="HO2" i="8"/>
  <c r="HN2" i="8"/>
  <c r="HK2" i="8"/>
  <c r="HL2" i="8"/>
  <c r="HJ2" i="8"/>
  <c r="HM2" i="8"/>
  <c r="HF2" i="8"/>
  <c r="HE3" i="8"/>
  <c r="HE2" i="8"/>
  <c r="CB84" i="11"/>
  <c r="CB83" i="11"/>
  <c r="CB82" i="11"/>
  <c r="CB81" i="11"/>
  <c r="CN81" i="11" s="1"/>
  <c r="CB80" i="11"/>
  <c r="CB79" i="11"/>
  <c r="CB78" i="11"/>
  <c r="CB77" i="11"/>
  <c r="CB76" i="11"/>
  <c r="CB75" i="11"/>
  <c r="CB74" i="11"/>
  <c r="CB73" i="11"/>
  <c r="CB72" i="11"/>
  <c r="CB70" i="11"/>
  <c r="CB69" i="11"/>
  <c r="CB68" i="11"/>
  <c r="CB67" i="11"/>
  <c r="CB66" i="11"/>
  <c r="CN66" i="11" s="1"/>
  <c r="CB65" i="11"/>
  <c r="CN65" i="11" s="1"/>
  <c r="CB64" i="11"/>
  <c r="CN64" i="11" s="1"/>
  <c r="CB63" i="11"/>
  <c r="CN63" i="11" s="1"/>
  <c r="CB62" i="11"/>
  <c r="CN62" i="11" s="1"/>
  <c r="CB61" i="11"/>
  <c r="CN61" i="11" s="1"/>
  <c r="CB60" i="11"/>
  <c r="CN60" i="11" s="1"/>
  <c r="CB59" i="11"/>
  <c r="CN59" i="11" s="1"/>
  <c r="CB58" i="11"/>
  <c r="CN58" i="11" s="1"/>
  <c r="CB57" i="11"/>
  <c r="CN57" i="11" s="1"/>
  <c r="CB56" i="11"/>
  <c r="CN56" i="11" s="1"/>
  <c r="CB55" i="11"/>
  <c r="CN55" i="11" s="1"/>
  <c r="CB54" i="11"/>
  <c r="CN54" i="11" s="1"/>
  <c r="CB53" i="11"/>
  <c r="CN53" i="11" s="1"/>
  <c r="CB52" i="11"/>
  <c r="CN52" i="11" s="1"/>
  <c r="CB51" i="11"/>
  <c r="CN51" i="11" s="1"/>
  <c r="CB50" i="11"/>
  <c r="CN50" i="11" s="1"/>
  <c r="CB49" i="11"/>
  <c r="CN49" i="11" s="1"/>
  <c r="CB48" i="11"/>
  <c r="CN48" i="11" s="1"/>
  <c r="CB47" i="11"/>
  <c r="CN47" i="11" s="1"/>
  <c r="CB46" i="11"/>
  <c r="CN46" i="11" s="1"/>
  <c r="CB45" i="11"/>
  <c r="CN45" i="11" s="1"/>
  <c r="CB44" i="11"/>
  <c r="CN44" i="11" s="1"/>
  <c r="CB43" i="11"/>
  <c r="CN43" i="11"/>
  <c r="CB42" i="11"/>
  <c r="CN42" i="11" s="1"/>
  <c r="CB41" i="11"/>
  <c r="CN41" i="11" s="1"/>
  <c r="CB40" i="11"/>
  <c r="CN40" i="11" s="1"/>
  <c r="CB39" i="11"/>
  <c r="CN39" i="11" s="1"/>
  <c r="CB38" i="11"/>
  <c r="CN38" i="11" s="1"/>
  <c r="CB37" i="11"/>
  <c r="CN37" i="11" s="1"/>
  <c r="CB36" i="11"/>
  <c r="CN36" i="11" s="1"/>
  <c r="CB35" i="11"/>
  <c r="CN35" i="11" s="1"/>
  <c r="CB34" i="11"/>
  <c r="CN34" i="11" s="1"/>
  <c r="CB33" i="11"/>
  <c r="CN33" i="11" s="1"/>
  <c r="CB32" i="11"/>
  <c r="CN32" i="11" s="1"/>
  <c r="CB31" i="11"/>
  <c r="CN31" i="11" s="1"/>
  <c r="CB30" i="11"/>
  <c r="CN30" i="11" s="1"/>
  <c r="CB29" i="11"/>
  <c r="CN29" i="11" s="1"/>
  <c r="CB28" i="11"/>
  <c r="CN28" i="11" s="1"/>
  <c r="CB27" i="11"/>
  <c r="CN27" i="11" s="1"/>
  <c r="CB26" i="11"/>
  <c r="CN26" i="11" s="1"/>
  <c r="CB25" i="11"/>
  <c r="CN25" i="11" s="1"/>
  <c r="CB24" i="11"/>
  <c r="CN24" i="11" s="1"/>
  <c r="CB23" i="11"/>
  <c r="CN23" i="11" s="1"/>
  <c r="CB22" i="11"/>
  <c r="CN22" i="11" s="1"/>
  <c r="CB21" i="11"/>
  <c r="CN21" i="11" s="1"/>
  <c r="CB20" i="11"/>
  <c r="CN20" i="11" s="1"/>
  <c r="CB19" i="11"/>
  <c r="CN19" i="11" s="1"/>
  <c r="CB18" i="11"/>
  <c r="CN18" i="11" s="1"/>
  <c r="CB17" i="11"/>
  <c r="CN17" i="11" s="1"/>
  <c r="CB16" i="11"/>
  <c r="CN16" i="11" s="1"/>
  <c r="CB15" i="11"/>
  <c r="CN15" i="11" s="1"/>
  <c r="CB14" i="11"/>
  <c r="CN14" i="11" s="1"/>
  <c r="CB13" i="11"/>
  <c r="CN13" i="11" s="1"/>
  <c r="CB12" i="11"/>
  <c r="CN12" i="11" s="1"/>
  <c r="CB11" i="11"/>
  <c r="CN11" i="11" s="1"/>
  <c r="CB10" i="11"/>
  <c r="CN10" i="11" s="1"/>
  <c r="CB9" i="11"/>
  <c r="CN9" i="11" s="1"/>
  <c r="CB8" i="11"/>
  <c r="CN8" i="11" s="1"/>
  <c r="CB7" i="11"/>
  <c r="CN7" i="11" s="1"/>
  <c r="CB6" i="11"/>
  <c r="CN6" i="11" s="1"/>
  <c r="CB5" i="11"/>
  <c r="CN5" i="11" s="1"/>
  <c r="CB4" i="11"/>
  <c r="CN4" i="11" s="1"/>
  <c r="CB3" i="11"/>
  <c r="CB2" i="11"/>
  <c r="BR84" i="11"/>
  <c r="BR83" i="11"/>
  <c r="BR82" i="11"/>
  <c r="BR81" i="11"/>
  <c r="CM81" i="11" s="1"/>
  <c r="BR80" i="11"/>
  <c r="BR79" i="11"/>
  <c r="BR78" i="11"/>
  <c r="CH78" i="11" s="1"/>
  <c r="GD78" i="8" s="1"/>
  <c r="BR77" i="11"/>
  <c r="CH77" i="11" s="1"/>
  <c r="GD77" i="8" s="1"/>
  <c r="BR76" i="11"/>
  <c r="BR75" i="11"/>
  <c r="BR74" i="11"/>
  <c r="CH74" i="11" s="1"/>
  <c r="GD74" i="8" s="1"/>
  <c r="BR73" i="11"/>
  <c r="BR72" i="11"/>
  <c r="BR71" i="11"/>
  <c r="BR70" i="11"/>
  <c r="BR69" i="11"/>
  <c r="BR68" i="11"/>
  <c r="BR67" i="11"/>
  <c r="BR66" i="11"/>
  <c r="BR65" i="11"/>
  <c r="BR64" i="11"/>
  <c r="BR63" i="11"/>
  <c r="BR62" i="11"/>
  <c r="CM62" i="11" s="1"/>
  <c r="BR61" i="11"/>
  <c r="BR60" i="11"/>
  <c r="BR59" i="11"/>
  <c r="BR58" i="11"/>
  <c r="BR57" i="11"/>
  <c r="BT57" i="11" s="1"/>
  <c r="BR56" i="11"/>
  <c r="BR55" i="11"/>
  <c r="BT55" i="11" s="1"/>
  <c r="BR54" i="11"/>
  <c r="CM54" i="11" s="1"/>
  <c r="BR53" i="11"/>
  <c r="CM53" i="11" s="1"/>
  <c r="BR52" i="11"/>
  <c r="CM52" i="11" s="1"/>
  <c r="BR51" i="11"/>
  <c r="CM51" i="11" s="1"/>
  <c r="BR50" i="11"/>
  <c r="CH50" i="11" s="1"/>
  <c r="GD50" i="8" s="1"/>
  <c r="BR49" i="11"/>
  <c r="CH49" i="11" s="1"/>
  <c r="GD49" i="8" s="1"/>
  <c r="BR48" i="11"/>
  <c r="CH48" i="11" s="1"/>
  <c r="GD48" i="8" s="1"/>
  <c r="BR47" i="11"/>
  <c r="CH47" i="11" s="1"/>
  <c r="GD47" i="8" s="1"/>
  <c r="BR46" i="11"/>
  <c r="BT46" i="11" s="1"/>
  <c r="BR45" i="11"/>
  <c r="BT45" i="11" s="1"/>
  <c r="BR44" i="11"/>
  <c r="BT44" i="11" s="1"/>
  <c r="BR43" i="11"/>
  <c r="BR42" i="11"/>
  <c r="BT42" i="11" s="1"/>
  <c r="BR41" i="11"/>
  <c r="CM41" i="11" s="1"/>
  <c r="BR40" i="11"/>
  <c r="BT40" i="11" s="1"/>
  <c r="BR39" i="11"/>
  <c r="CM39" i="11" s="1"/>
  <c r="BR38" i="11"/>
  <c r="CM38" i="11" s="1"/>
  <c r="BR37" i="11"/>
  <c r="BT37" i="11" s="1"/>
  <c r="BR36" i="11"/>
  <c r="BR35" i="11"/>
  <c r="BR34" i="11"/>
  <c r="BR33" i="11"/>
  <c r="BR32" i="11"/>
  <c r="BR31" i="11"/>
  <c r="CH31" i="11" s="1"/>
  <c r="GD31" i="8" s="1"/>
  <c r="BR30" i="11"/>
  <c r="CH30" i="11" s="1"/>
  <c r="GD30" i="8" s="1"/>
  <c r="BR29" i="11"/>
  <c r="BR28" i="11"/>
  <c r="CM28" i="11" s="1"/>
  <c r="BR27" i="11"/>
  <c r="CM27" i="11" s="1"/>
  <c r="BR26" i="11"/>
  <c r="CM26" i="11" s="1"/>
  <c r="BR25" i="11"/>
  <c r="BT25" i="11" s="1"/>
  <c r="BR24" i="11"/>
  <c r="BT24" i="11" s="1"/>
  <c r="BR23" i="11"/>
  <c r="CM23" i="11" s="1"/>
  <c r="BR22" i="11"/>
  <c r="BT22" i="11" s="1"/>
  <c r="BR21" i="11"/>
  <c r="BR20" i="11"/>
  <c r="BR19" i="11"/>
  <c r="BR18" i="11"/>
  <c r="BR17" i="11"/>
  <c r="BR16" i="11"/>
  <c r="BT16" i="11" s="1"/>
  <c r="BR15" i="11"/>
  <c r="BT15" i="11" s="1"/>
  <c r="BR14" i="11"/>
  <c r="CM14" i="11" s="1"/>
  <c r="BR13" i="11"/>
  <c r="BT13" i="11" s="1"/>
  <c r="BR12" i="11"/>
  <c r="CM12" i="11" s="1"/>
  <c r="BR11" i="11"/>
  <c r="BR10" i="11"/>
  <c r="BT10" i="11" s="1"/>
  <c r="BR9" i="11"/>
  <c r="BR8" i="11"/>
  <c r="CM8" i="11" s="1"/>
  <c r="BR7" i="11"/>
  <c r="BR6" i="11"/>
  <c r="BR5" i="11"/>
  <c r="BR4" i="11"/>
  <c r="BR3" i="11"/>
  <c r="BR2" i="11"/>
  <c r="FC4" i="8"/>
  <c r="CE4" i="11" s="1"/>
  <c r="DR4" i="11" s="1"/>
  <c r="A84" i="22"/>
  <c r="C84" i="22" s="1"/>
  <c r="E84" i="22" s="1"/>
  <c r="FC3" i="8"/>
  <c r="CE3" i="11" s="1"/>
  <c r="DR3" i="11" s="1"/>
  <c r="FC2" i="8"/>
  <c r="CM35" i="11"/>
  <c r="CM63" i="11"/>
  <c r="CM36" i="11"/>
  <c r="CM40" i="11"/>
  <c r="CM44" i="11"/>
  <c r="CM24" i="11"/>
  <c r="CM25" i="11"/>
  <c r="CM57" i="11"/>
  <c r="CM61" i="11"/>
  <c r="CM43" i="11"/>
  <c r="CM55" i="11"/>
  <c r="CM16" i="11"/>
  <c r="BT28" i="11"/>
  <c r="CM34" i="11"/>
  <c r="CM42" i="11"/>
  <c r="C83" i="24"/>
  <c r="E83" i="24" s="1"/>
  <c r="C87" i="24"/>
  <c r="E87" i="24" s="1"/>
  <c r="C103" i="22"/>
  <c r="E103" i="22" s="1"/>
  <c r="A85" i="22"/>
  <c r="C85" i="22" s="1"/>
  <c r="E85" i="22" s="1"/>
  <c r="H58" i="24"/>
  <c r="G57" i="22"/>
  <c r="H77" i="24"/>
  <c r="G77" i="22"/>
  <c r="H57" i="24"/>
  <c r="A48" i="24"/>
  <c r="CU84" i="10"/>
  <c r="EQ84" i="10" s="1"/>
  <c r="CT84" i="10"/>
  <c r="EP84" i="10" s="1"/>
  <c r="CS84" i="10"/>
  <c r="EO84" i="10" s="1"/>
  <c r="CR84" i="10"/>
  <c r="EN84" i="10" s="1"/>
  <c r="CQ84" i="10"/>
  <c r="EM84" i="10" s="1"/>
  <c r="CU83" i="10"/>
  <c r="EQ83" i="10" s="1"/>
  <c r="CT83" i="10"/>
  <c r="EP83" i="10" s="1"/>
  <c r="CS83" i="10"/>
  <c r="EO83" i="10" s="1"/>
  <c r="CR83" i="10"/>
  <c r="EN83" i="10" s="1"/>
  <c r="CQ83" i="10"/>
  <c r="EM83" i="10" s="1"/>
  <c r="CU82" i="10"/>
  <c r="EQ82" i="10" s="1"/>
  <c r="CT82" i="10"/>
  <c r="EP82" i="10" s="1"/>
  <c r="CS82" i="10"/>
  <c r="EO82" i="10" s="1"/>
  <c r="CR82" i="10"/>
  <c r="EN82" i="10" s="1"/>
  <c r="CQ82" i="10"/>
  <c r="EM82" i="10" s="1"/>
  <c r="CU81" i="10"/>
  <c r="EQ81" i="10" s="1"/>
  <c r="CT81" i="10"/>
  <c r="EP81" i="10" s="1"/>
  <c r="CS81" i="10"/>
  <c r="EO81" i="10" s="1"/>
  <c r="CR81" i="10"/>
  <c r="EN81" i="10" s="1"/>
  <c r="CQ81" i="10"/>
  <c r="EM81" i="10" s="1"/>
  <c r="CU80" i="10"/>
  <c r="EQ80" i="10" s="1"/>
  <c r="CT80" i="10"/>
  <c r="EP80" i="10" s="1"/>
  <c r="CS80" i="10"/>
  <c r="EO80" i="10" s="1"/>
  <c r="CR80" i="10"/>
  <c r="EN80" i="10" s="1"/>
  <c r="CQ80" i="10"/>
  <c r="EM80" i="10" s="1"/>
  <c r="CU79" i="10"/>
  <c r="EQ79" i="10" s="1"/>
  <c r="CT79" i="10"/>
  <c r="EP79" i="10" s="1"/>
  <c r="CS79" i="10"/>
  <c r="EO79" i="10" s="1"/>
  <c r="CR79" i="10"/>
  <c r="EN79" i="10" s="1"/>
  <c r="CQ79" i="10"/>
  <c r="EM79" i="10" s="1"/>
  <c r="CU78" i="10"/>
  <c r="EQ78" i="10" s="1"/>
  <c r="CT78" i="10"/>
  <c r="EP78" i="10" s="1"/>
  <c r="CS78" i="10"/>
  <c r="EO78" i="10" s="1"/>
  <c r="CR78" i="10"/>
  <c r="EN78" i="10" s="1"/>
  <c r="CQ78" i="10"/>
  <c r="EM78" i="10" s="1"/>
  <c r="CU77" i="10"/>
  <c r="EQ77" i="10" s="1"/>
  <c r="CT77" i="10"/>
  <c r="EP77" i="10" s="1"/>
  <c r="CS77" i="10"/>
  <c r="EO77" i="10" s="1"/>
  <c r="CR77" i="10"/>
  <c r="EN77" i="10" s="1"/>
  <c r="CQ77" i="10"/>
  <c r="EM77" i="10" s="1"/>
  <c r="CU76" i="10"/>
  <c r="EQ76" i="10" s="1"/>
  <c r="CT76" i="10"/>
  <c r="EP76" i="10" s="1"/>
  <c r="CS76" i="10"/>
  <c r="EO76" i="10" s="1"/>
  <c r="CR76" i="10"/>
  <c r="EN76" i="10" s="1"/>
  <c r="CQ76" i="10"/>
  <c r="EM76" i="10" s="1"/>
  <c r="CU75" i="10"/>
  <c r="EQ75" i="10" s="1"/>
  <c r="CT75" i="10"/>
  <c r="EP75" i="10" s="1"/>
  <c r="CS75" i="10"/>
  <c r="EO75" i="10" s="1"/>
  <c r="CR75" i="10"/>
  <c r="EN75" i="10" s="1"/>
  <c r="CQ75" i="10"/>
  <c r="EM75" i="10" s="1"/>
  <c r="CU74" i="10"/>
  <c r="EQ74" i="10" s="1"/>
  <c r="CT74" i="10"/>
  <c r="EP74" i="10" s="1"/>
  <c r="CS74" i="10"/>
  <c r="EO74" i="10" s="1"/>
  <c r="CR74" i="10"/>
  <c r="EN74" i="10" s="1"/>
  <c r="CQ74" i="10"/>
  <c r="EM74" i="10" s="1"/>
  <c r="CU73" i="10"/>
  <c r="EQ73" i="10" s="1"/>
  <c r="CT73" i="10"/>
  <c r="EP73" i="10" s="1"/>
  <c r="CS73" i="10"/>
  <c r="EO73" i="10" s="1"/>
  <c r="CR73" i="10"/>
  <c r="EN73" i="10" s="1"/>
  <c r="CQ73" i="10"/>
  <c r="EM73" i="10" s="1"/>
  <c r="CU72" i="10"/>
  <c r="EQ72" i="10" s="1"/>
  <c r="CT72" i="10"/>
  <c r="EP72" i="10" s="1"/>
  <c r="CS72" i="10"/>
  <c r="EO72" i="10" s="1"/>
  <c r="CR72" i="10"/>
  <c r="EN72" i="10" s="1"/>
  <c r="CQ72" i="10"/>
  <c r="EM72" i="10" s="1"/>
  <c r="CU71" i="10"/>
  <c r="EQ71" i="10" s="1"/>
  <c r="CT71" i="10"/>
  <c r="EP71" i="10" s="1"/>
  <c r="CS71" i="10"/>
  <c r="EO71" i="10" s="1"/>
  <c r="CR71" i="10"/>
  <c r="EN71" i="10" s="1"/>
  <c r="CQ71" i="10"/>
  <c r="EM71" i="10" s="1"/>
  <c r="CU70" i="10"/>
  <c r="EQ70" i="10" s="1"/>
  <c r="CT70" i="10"/>
  <c r="EP70" i="10" s="1"/>
  <c r="CS70" i="10"/>
  <c r="EO70" i="10" s="1"/>
  <c r="CR70" i="10"/>
  <c r="CQ70" i="10"/>
  <c r="EM70" i="10" s="1"/>
  <c r="CU69" i="10"/>
  <c r="EQ69" i="10" s="1"/>
  <c r="CT69" i="10"/>
  <c r="EP69" i="10" s="1"/>
  <c r="CS69" i="10"/>
  <c r="EO69" i="10" s="1"/>
  <c r="CR69" i="10"/>
  <c r="EN69" i="10" s="1"/>
  <c r="CQ69" i="10"/>
  <c r="EM69" i="10" s="1"/>
  <c r="CU68" i="10"/>
  <c r="EQ68" i="10" s="1"/>
  <c r="CT68" i="10"/>
  <c r="EP68" i="10" s="1"/>
  <c r="CS68" i="10"/>
  <c r="EO68" i="10" s="1"/>
  <c r="CR68" i="10"/>
  <c r="EN68" i="10" s="1"/>
  <c r="CQ68" i="10"/>
  <c r="EM68" i="10" s="1"/>
  <c r="CU67" i="10"/>
  <c r="EQ67" i="10" s="1"/>
  <c r="CT67" i="10"/>
  <c r="EP67" i="10" s="1"/>
  <c r="CS67" i="10"/>
  <c r="EO67" i="10" s="1"/>
  <c r="CR67" i="10"/>
  <c r="EN67" i="10" s="1"/>
  <c r="CQ67" i="10"/>
  <c r="EM67" i="10" s="1"/>
  <c r="CU66" i="10"/>
  <c r="EQ66" i="10" s="1"/>
  <c r="CT66" i="10"/>
  <c r="EP66" i="10" s="1"/>
  <c r="CS66" i="10"/>
  <c r="EO66" i="10" s="1"/>
  <c r="CR66" i="10"/>
  <c r="EN66" i="10" s="1"/>
  <c r="CQ66" i="10"/>
  <c r="EM66" i="10" s="1"/>
  <c r="CU65" i="10"/>
  <c r="EQ65" i="10" s="1"/>
  <c r="CT65" i="10"/>
  <c r="EP65" i="10" s="1"/>
  <c r="CS65" i="10"/>
  <c r="EO65" i="10" s="1"/>
  <c r="CR65" i="10"/>
  <c r="EN65" i="10" s="1"/>
  <c r="CQ65" i="10"/>
  <c r="EM65" i="10" s="1"/>
  <c r="CU64" i="10"/>
  <c r="EQ64" i="10" s="1"/>
  <c r="CT64" i="10"/>
  <c r="EP64" i="10" s="1"/>
  <c r="CS64" i="10"/>
  <c r="EO64" i="10" s="1"/>
  <c r="CR64" i="10"/>
  <c r="EN64" i="10" s="1"/>
  <c r="CQ64" i="10"/>
  <c r="EM64" i="10" s="1"/>
  <c r="CU63" i="10"/>
  <c r="EQ63" i="10" s="1"/>
  <c r="CT63" i="10"/>
  <c r="EP63" i="10" s="1"/>
  <c r="CS63" i="10"/>
  <c r="EO63" i="10" s="1"/>
  <c r="CR63" i="10"/>
  <c r="EN63" i="10" s="1"/>
  <c r="CQ63" i="10"/>
  <c r="EM63" i="10" s="1"/>
  <c r="CU62" i="10"/>
  <c r="EQ62" i="10" s="1"/>
  <c r="CT62" i="10"/>
  <c r="EP62" i="10" s="1"/>
  <c r="CS62" i="10"/>
  <c r="EO62" i="10" s="1"/>
  <c r="CR62" i="10"/>
  <c r="EN62" i="10" s="1"/>
  <c r="CQ62" i="10"/>
  <c r="EM62" i="10" s="1"/>
  <c r="CU61" i="10"/>
  <c r="EQ61" i="10" s="1"/>
  <c r="CT61" i="10"/>
  <c r="EP61" i="10" s="1"/>
  <c r="CS61" i="10"/>
  <c r="EO61" i="10" s="1"/>
  <c r="CR61" i="10"/>
  <c r="EN61" i="10" s="1"/>
  <c r="CQ61" i="10"/>
  <c r="EM61" i="10" s="1"/>
  <c r="CU60" i="10"/>
  <c r="EQ60" i="10" s="1"/>
  <c r="CT60" i="10"/>
  <c r="EP60" i="10" s="1"/>
  <c r="CS60" i="10"/>
  <c r="EO60" i="10" s="1"/>
  <c r="CR60" i="10"/>
  <c r="EN60" i="10" s="1"/>
  <c r="CQ60" i="10"/>
  <c r="EM60" i="10" s="1"/>
  <c r="CU59" i="10"/>
  <c r="EQ59" i="10" s="1"/>
  <c r="CT59" i="10"/>
  <c r="EP59" i="10" s="1"/>
  <c r="CS59" i="10"/>
  <c r="EO59" i="10" s="1"/>
  <c r="CR59" i="10"/>
  <c r="EN59" i="10" s="1"/>
  <c r="CQ59" i="10"/>
  <c r="EM59" i="10" s="1"/>
  <c r="CU58" i="10"/>
  <c r="EQ58" i="10" s="1"/>
  <c r="CT58" i="10"/>
  <c r="EP58" i="10" s="1"/>
  <c r="CS58" i="10"/>
  <c r="EO58" i="10" s="1"/>
  <c r="CR58" i="10"/>
  <c r="CQ58" i="10"/>
  <c r="EM58" i="10" s="1"/>
  <c r="CU57" i="10"/>
  <c r="EQ57" i="10" s="1"/>
  <c r="CT57" i="10"/>
  <c r="EP57" i="10" s="1"/>
  <c r="CS57" i="10"/>
  <c r="EO57" i="10" s="1"/>
  <c r="CR57" i="10"/>
  <c r="EN57" i="10" s="1"/>
  <c r="CQ57" i="10"/>
  <c r="EM57" i="10" s="1"/>
  <c r="CU56" i="10"/>
  <c r="EQ56" i="10" s="1"/>
  <c r="CT56" i="10"/>
  <c r="EP56" i="10" s="1"/>
  <c r="CS56" i="10"/>
  <c r="EO56" i="10" s="1"/>
  <c r="CR56" i="10"/>
  <c r="EN56" i="10" s="1"/>
  <c r="CQ56" i="10"/>
  <c r="EM56" i="10" s="1"/>
  <c r="CU55" i="10"/>
  <c r="EQ55" i="10" s="1"/>
  <c r="CT55" i="10"/>
  <c r="EP55" i="10" s="1"/>
  <c r="CS55" i="10"/>
  <c r="EO55" i="10" s="1"/>
  <c r="CR55" i="10"/>
  <c r="EN55" i="10" s="1"/>
  <c r="CQ55" i="10"/>
  <c r="EM55" i="10" s="1"/>
  <c r="CU54" i="10"/>
  <c r="EQ54" i="10" s="1"/>
  <c r="CT54" i="10"/>
  <c r="EP54" i="10" s="1"/>
  <c r="CS54" i="10"/>
  <c r="EO54" i="10" s="1"/>
  <c r="CR54" i="10"/>
  <c r="EN54" i="10" s="1"/>
  <c r="CQ54" i="10"/>
  <c r="EM54" i="10" s="1"/>
  <c r="CU53" i="10"/>
  <c r="EQ53" i="10" s="1"/>
  <c r="CT53" i="10"/>
  <c r="EP53" i="10" s="1"/>
  <c r="CS53" i="10"/>
  <c r="EO53" i="10" s="1"/>
  <c r="CR53" i="10"/>
  <c r="EN53" i="10" s="1"/>
  <c r="CQ53" i="10"/>
  <c r="EM53" i="10" s="1"/>
  <c r="CU52" i="10"/>
  <c r="EQ52" i="10" s="1"/>
  <c r="CT52" i="10"/>
  <c r="EP52" i="10" s="1"/>
  <c r="CS52" i="10"/>
  <c r="EO52" i="10" s="1"/>
  <c r="CR52" i="10"/>
  <c r="EN52" i="10" s="1"/>
  <c r="CQ52" i="10"/>
  <c r="EM52" i="10" s="1"/>
  <c r="CU51" i="10"/>
  <c r="EQ51" i="10" s="1"/>
  <c r="CT51" i="10"/>
  <c r="EP51" i="10" s="1"/>
  <c r="CS51" i="10"/>
  <c r="EO51" i="10" s="1"/>
  <c r="CR51" i="10"/>
  <c r="EN51" i="10" s="1"/>
  <c r="CQ51" i="10"/>
  <c r="EM51" i="10" s="1"/>
  <c r="CU50" i="10"/>
  <c r="EQ50" i="10" s="1"/>
  <c r="CT50" i="10"/>
  <c r="EP50" i="10" s="1"/>
  <c r="CS50" i="10"/>
  <c r="EO50" i="10" s="1"/>
  <c r="CR50" i="10"/>
  <c r="EN50" i="10" s="1"/>
  <c r="CQ50" i="10"/>
  <c r="EM50" i="10" s="1"/>
  <c r="CU49" i="10"/>
  <c r="EQ49" i="10" s="1"/>
  <c r="CT49" i="10"/>
  <c r="EP49" i="10" s="1"/>
  <c r="CS49" i="10"/>
  <c r="EO49" i="10" s="1"/>
  <c r="CR49" i="10"/>
  <c r="EN49" i="10" s="1"/>
  <c r="CQ49" i="10"/>
  <c r="EM49" i="10" s="1"/>
  <c r="CU48" i="10"/>
  <c r="EQ48" i="10" s="1"/>
  <c r="CT48" i="10"/>
  <c r="EP48" i="10" s="1"/>
  <c r="CS48" i="10"/>
  <c r="EO48" i="10" s="1"/>
  <c r="CR48" i="10"/>
  <c r="EN48" i="10" s="1"/>
  <c r="CQ48" i="10"/>
  <c r="EM48" i="10" s="1"/>
  <c r="CU47" i="10"/>
  <c r="EQ47" i="10" s="1"/>
  <c r="CT47" i="10"/>
  <c r="EP47" i="10" s="1"/>
  <c r="CS47" i="10"/>
  <c r="EO47" i="10" s="1"/>
  <c r="CR47" i="10"/>
  <c r="EN47" i="10" s="1"/>
  <c r="CQ47" i="10"/>
  <c r="EM47" i="10" s="1"/>
  <c r="CU46" i="10"/>
  <c r="EQ46" i="10" s="1"/>
  <c r="CT46" i="10"/>
  <c r="EP46" i="10" s="1"/>
  <c r="CS46" i="10"/>
  <c r="EO46" i="10" s="1"/>
  <c r="CR46" i="10"/>
  <c r="EN46" i="10" s="1"/>
  <c r="CQ46" i="10"/>
  <c r="EM46" i="10" s="1"/>
  <c r="CU45" i="10"/>
  <c r="EQ45" i="10" s="1"/>
  <c r="CT45" i="10"/>
  <c r="EP45" i="10" s="1"/>
  <c r="CS45" i="10"/>
  <c r="EO45" i="10" s="1"/>
  <c r="CR45" i="10"/>
  <c r="EN45" i="10" s="1"/>
  <c r="CQ45" i="10"/>
  <c r="EM45" i="10" s="1"/>
  <c r="CU44" i="10"/>
  <c r="EQ44" i="10" s="1"/>
  <c r="CT44" i="10"/>
  <c r="EP44" i="10" s="1"/>
  <c r="CS44" i="10"/>
  <c r="EO44" i="10" s="1"/>
  <c r="CR44" i="10"/>
  <c r="EN44" i="10" s="1"/>
  <c r="CQ44" i="10"/>
  <c r="EM44" i="10" s="1"/>
  <c r="CU43" i="10"/>
  <c r="EQ43" i="10" s="1"/>
  <c r="CT43" i="10"/>
  <c r="EP43" i="10" s="1"/>
  <c r="CS43" i="10"/>
  <c r="EO43" i="10" s="1"/>
  <c r="CR43" i="10"/>
  <c r="EN43" i="10" s="1"/>
  <c r="CQ43" i="10"/>
  <c r="EM43" i="10" s="1"/>
  <c r="CU42" i="10"/>
  <c r="EQ42" i="10" s="1"/>
  <c r="CT42" i="10"/>
  <c r="EP42" i="10" s="1"/>
  <c r="CS42" i="10"/>
  <c r="EO42" i="10" s="1"/>
  <c r="CR42" i="10"/>
  <c r="EN42" i="10" s="1"/>
  <c r="CQ42" i="10"/>
  <c r="EM42" i="10" s="1"/>
  <c r="CU41" i="10"/>
  <c r="EQ41" i="10" s="1"/>
  <c r="CT41" i="10"/>
  <c r="EP41" i="10" s="1"/>
  <c r="CS41" i="10"/>
  <c r="EO41" i="10" s="1"/>
  <c r="CR41" i="10"/>
  <c r="EN41" i="10" s="1"/>
  <c r="CQ41" i="10"/>
  <c r="EM41" i="10" s="1"/>
  <c r="CU40" i="10"/>
  <c r="EQ40" i="10" s="1"/>
  <c r="CT40" i="10"/>
  <c r="EP40" i="10" s="1"/>
  <c r="CS40" i="10"/>
  <c r="EO40" i="10" s="1"/>
  <c r="CR40" i="10"/>
  <c r="EN40" i="10" s="1"/>
  <c r="CQ40" i="10"/>
  <c r="EM40" i="10" s="1"/>
  <c r="CU39" i="10"/>
  <c r="EQ39" i="10" s="1"/>
  <c r="CT39" i="10"/>
  <c r="EP39" i="10" s="1"/>
  <c r="CS39" i="10"/>
  <c r="EO39" i="10" s="1"/>
  <c r="CR39" i="10"/>
  <c r="EN39" i="10" s="1"/>
  <c r="CQ39" i="10"/>
  <c r="EM39" i="10" s="1"/>
  <c r="CU38" i="10"/>
  <c r="EQ38" i="10" s="1"/>
  <c r="CT38" i="10"/>
  <c r="EP38" i="10" s="1"/>
  <c r="CS38" i="10"/>
  <c r="EO38" i="10" s="1"/>
  <c r="CR38" i="10"/>
  <c r="EN38" i="10" s="1"/>
  <c r="CQ38" i="10"/>
  <c r="EM38" i="10" s="1"/>
  <c r="CU37" i="10"/>
  <c r="EQ37" i="10" s="1"/>
  <c r="CT37" i="10"/>
  <c r="EP37" i="10" s="1"/>
  <c r="CS37" i="10"/>
  <c r="EO37" i="10" s="1"/>
  <c r="CR37" i="10"/>
  <c r="EN37" i="10" s="1"/>
  <c r="CQ37" i="10"/>
  <c r="EM37" i="10" s="1"/>
  <c r="CU36" i="10"/>
  <c r="EQ36" i="10" s="1"/>
  <c r="CT36" i="10"/>
  <c r="EP36" i="10" s="1"/>
  <c r="CS36" i="10"/>
  <c r="EO36" i="10" s="1"/>
  <c r="CR36" i="10"/>
  <c r="EN36" i="10" s="1"/>
  <c r="CQ36" i="10"/>
  <c r="EM36" i="10" s="1"/>
  <c r="CU35" i="10"/>
  <c r="EQ35" i="10" s="1"/>
  <c r="CT35" i="10"/>
  <c r="EP35" i="10" s="1"/>
  <c r="CS35" i="10"/>
  <c r="EO35" i="10" s="1"/>
  <c r="CR35" i="10"/>
  <c r="EN35" i="10" s="1"/>
  <c r="CQ35" i="10"/>
  <c r="EM35" i="10" s="1"/>
  <c r="CU34" i="10"/>
  <c r="EQ34" i="10" s="1"/>
  <c r="CT34" i="10"/>
  <c r="EP34" i="10" s="1"/>
  <c r="CS34" i="10"/>
  <c r="EO34" i="10" s="1"/>
  <c r="CR34" i="10"/>
  <c r="EN34" i="10" s="1"/>
  <c r="CQ34" i="10"/>
  <c r="EM34" i="10" s="1"/>
  <c r="CU33" i="10"/>
  <c r="EQ33" i="10" s="1"/>
  <c r="CT33" i="10"/>
  <c r="EP33" i="10" s="1"/>
  <c r="CS33" i="10"/>
  <c r="EO33" i="10" s="1"/>
  <c r="CR33" i="10"/>
  <c r="EN33" i="10" s="1"/>
  <c r="CQ33" i="10"/>
  <c r="EM33" i="10" s="1"/>
  <c r="CU32" i="10"/>
  <c r="EQ32" i="10" s="1"/>
  <c r="CT32" i="10"/>
  <c r="EP32" i="10" s="1"/>
  <c r="CS32" i="10"/>
  <c r="EO32" i="10" s="1"/>
  <c r="CR32" i="10"/>
  <c r="EN32" i="10" s="1"/>
  <c r="CQ32" i="10"/>
  <c r="EM32" i="10" s="1"/>
  <c r="CU31" i="10"/>
  <c r="EQ31" i="10" s="1"/>
  <c r="CT31" i="10"/>
  <c r="EP31" i="10" s="1"/>
  <c r="CS31" i="10"/>
  <c r="EO31" i="10" s="1"/>
  <c r="CR31" i="10"/>
  <c r="EN31" i="10" s="1"/>
  <c r="CQ31" i="10"/>
  <c r="EM31" i="10" s="1"/>
  <c r="CU30" i="10"/>
  <c r="EQ30" i="10" s="1"/>
  <c r="CT30" i="10"/>
  <c r="EP30" i="10" s="1"/>
  <c r="CS30" i="10"/>
  <c r="EO30" i="10" s="1"/>
  <c r="CR30" i="10"/>
  <c r="EN30" i="10" s="1"/>
  <c r="CQ30" i="10"/>
  <c r="EM30" i="10" s="1"/>
  <c r="CU29" i="10"/>
  <c r="EQ29" i="10" s="1"/>
  <c r="CT29" i="10"/>
  <c r="EP29" i="10" s="1"/>
  <c r="CS29" i="10"/>
  <c r="EO29" i="10" s="1"/>
  <c r="CR29" i="10"/>
  <c r="EN29" i="10" s="1"/>
  <c r="CQ29" i="10"/>
  <c r="EM29" i="10" s="1"/>
  <c r="CU28" i="10"/>
  <c r="EQ28" i="10" s="1"/>
  <c r="CT28" i="10"/>
  <c r="EP28" i="10" s="1"/>
  <c r="CS28" i="10"/>
  <c r="EO28" i="10" s="1"/>
  <c r="CR28" i="10"/>
  <c r="EN28" i="10" s="1"/>
  <c r="CQ28" i="10"/>
  <c r="EM28" i="10" s="1"/>
  <c r="CU27" i="10"/>
  <c r="EQ27" i="10" s="1"/>
  <c r="CT27" i="10"/>
  <c r="EP27" i="10" s="1"/>
  <c r="CS27" i="10"/>
  <c r="EO27" i="10" s="1"/>
  <c r="CR27" i="10"/>
  <c r="EN27" i="10" s="1"/>
  <c r="CQ27" i="10"/>
  <c r="EM27" i="10" s="1"/>
  <c r="CU26" i="10"/>
  <c r="EQ26" i="10" s="1"/>
  <c r="CT26" i="10"/>
  <c r="EP26" i="10" s="1"/>
  <c r="CS26" i="10"/>
  <c r="EO26" i="10" s="1"/>
  <c r="CR26" i="10"/>
  <c r="EN26" i="10" s="1"/>
  <c r="CQ26" i="10"/>
  <c r="EM26" i="10" s="1"/>
  <c r="CU25" i="10"/>
  <c r="EQ25" i="10" s="1"/>
  <c r="CT25" i="10"/>
  <c r="EP25" i="10" s="1"/>
  <c r="CS25" i="10"/>
  <c r="EO25" i="10" s="1"/>
  <c r="CR25" i="10"/>
  <c r="EN25" i="10" s="1"/>
  <c r="CQ25" i="10"/>
  <c r="EM25" i="10" s="1"/>
  <c r="CU24" i="10"/>
  <c r="EQ24" i="10" s="1"/>
  <c r="CT24" i="10"/>
  <c r="EP24" i="10" s="1"/>
  <c r="CS24" i="10"/>
  <c r="EO24" i="10" s="1"/>
  <c r="CR24" i="10"/>
  <c r="EN24" i="10" s="1"/>
  <c r="CQ24" i="10"/>
  <c r="EM24" i="10" s="1"/>
  <c r="CU23" i="10"/>
  <c r="EQ23" i="10" s="1"/>
  <c r="CT23" i="10"/>
  <c r="CS23" i="10"/>
  <c r="EO23" i="10" s="1"/>
  <c r="CR23" i="10"/>
  <c r="EN23" i="10" s="1"/>
  <c r="CQ23" i="10"/>
  <c r="EM23" i="10" s="1"/>
  <c r="CU22" i="10"/>
  <c r="EQ22" i="10" s="1"/>
  <c r="CT22" i="10"/>
  <c r="EP22" i="10" s="1"/>
  <c r="CS22" i="10"/>
  <c r="EO22" i="10" s="1"/>
  <c r="CR22" i="10"/>
  <c r="EN22" i="10" s="1"/>
  <c r="CQ22" i="10"/>
  <c r="EM22" i="10" s="1"/>
  <c r="CU21" i="10"/>
  <c r="EQ21" i="10" s="1"/>
  <c r="CT21" i="10"/>
  <c r="EP21" i="10" s="1"/>
  <c r="CS21" i="10"/>
  <c r="EO21" i="10" s="1"/>
  <c r="CR21" i="10"/>
  <c r="EN21" i="10" s="1"/>
  <c r="CQ21" i="10"/>
  <c r="EM21" i="10" s="1"/>
  <c r="CU20" i="10"/>
  <c r="EQ20" i="10" s="1"/>
  <c r="CT20" i="10"/>
  <c r="EP20" i="10" s="1"/>
  <c r="CS20" i="10"/>
  <c r="EO20" i="10" s="1"/>
  <c r="CR20" i="10"/>
  <c r="EN20" i="10" s="1"/>
  <c r="CQ20" i="10"/>
  <c r="EM20" i="10" s="1"/>
  <c r="CU19" i="10"/>
  <c r="EQ19" i="10" s="1"/>
  <c r="CT19" i="10"/>
  <c r="EP19" i="10" s="1"/>
  <c r="CS19" i="10"/>
  <c r="EO19" i="10" s="1"/>
  <c r="CR19" i="10"/>
  <c r="EN19" i="10" s="1"/>
  <c r="CQ19" i="10"/>
  <c r="EM19" i="10" s="1"/>
  <c r="CU18" i="10"/>
  <c r="EQ18" i="10" s="1"/>
  <c r="CT18" i="10"/>
  <c r="EP18" i="10" s="1"/>
  <c r="CS18" i="10"/>
  <c r="EO18" i="10" s="1"/>
  <c r="CR18" i="10"/>
  <c r="EN18" i="10" s="1"/>
  <c r="CQ18" i="10"/>
  <c r="EM18" i="10" s="1"/>
  <c r="CU17" i="10"/>
  <c r="EQ17" i="10" s="1"/>
  <c r="CT17" i="10"/>
  <c r="EP17" i="10" s="1"/>
  <c r="CS17" i="10"/>
  <c r="EO17" i="10" s="1"/>
  <c r="CR17" i="10"/>
  <c r="EN17" i="10" s="1"/>
  <c r="CQ17" i="10"/>
  <c r="EM17" i="10" s="1"/>
  <c r="CU16" i="10"/>
  <c r="EQ16" i="10" s="1"/>
  <c r="CT16" i="10"/>
  <c r="EP16" i="10" s="1"/>
  <c r="CS16" i="10"/>
  <c r="EO16" i="10" s="1"/>
  <c r="CR16" i="10"/>
  <c r="EN16" i="10" s="1"/>
  <c r="CQ16" i="10"/>
  <c r="EM16" i="10" s="1"/>
  <c r="CU15" i="10"/>
  <c r="EQ15" i="10" s="1"/>
  <c r="CT15" i="10"/>
  <c r="EP15" i="10" s="1"/>
  <c r="CS15" i="10"/>
  <c r="CR15" i="10"/>
  <c r="EN15" i="10" s="1"/>
  <c r="CQ15" i="10"/>
  <c r="EM15" i="10" s="1"/>
  <c r="CU14" i="10"/>
  <c r="EQ14" i="10" s="1"/>
  <c r="CT14" i="10"/>
  <c r="EP14" i="10" s="1"/>
  <c r="CS14" i="10"/>
  <c r="EO14" i="10" s="1"/>
  <c r="CR14" i="10"/>
  <c r="EN14" i="10" s="1"/>
  <c r="CQ14" i="10"/>
  <c r="EM14" i="10" s="1"/>
  <c r="CU13" i="10"/>
  <c r="EQ13" i="10" s="1"/>
  <c r="CT13" i="10"/>
  <c r="EP13" i="10" s="1"/>
  <c r="CS13" i="10"/>
  <c r="EO13" i="10" s="1"/>
  <c r="CR13" i="10"/>
  <c r="EN13" i="10" s="1"/>
  <c r="CQ13" i="10"/>
  <c r="EM13" i="10" s="1"/>
  <c r="CU12" i="10"/>
  <c r="EQ12" i="10" s="1"/>
  <c r="CT12" i="10"/>
  <c r="EP12" i="10" s="1"/>
  <c r="CS12" i="10"/>
  <c r="EO12" i="10" s="1"/>
  <c r="CR12" i="10"/>
  <c r="EN12" i="10" s="1"/>
  <c r="CQ12" i="10"/>
  <c r="EM12" i="10" s="1"/>
  <c r="CU11" i="10"/>
  <c r="EQ11" i="10" s="1"/>
  <c r="CT11" i="10"/>
  <c r="EP11" i="10" s="1"/>
  <c r="CS11" i="10"/>
  <c r="EO11" i="10" s="1"/>
  <c r="CR11" i="10"/>
  <c r="EN11" i="10" s="1"/>
  <c r="CQ11" i="10"/>
  <c r="CU10" i="10"/>
  <c r="EQ10" i="10" s="1"/>
  <c r="CT10" i="10"/>
  <c r="EP10" i="10" s="1"/>
  <c r="CS10" i="10"/>
  <c r="EO10" i="10" s="1"/>
  <c r="CR10" i="10"/>
  <c r="EN10" i="10" s="1"/>
  <c r="CQ10" i="10"/>
  <c r="EM10" i="10" s="1"/>
  <c r="CU9" i="10"/>
  <c r="EQ9" i="10" s="1"/>
  <c r="CT9" i="10"/>
  <c r="EP9" i="10" s="1"/>
  <c r="CS9" i="10"/>
  <c r="EO9" i="10" s="1"/>
  <c r="CR9" i="10"/>
  <c r="EN9" i="10" s="1"/>
  <c r="CQ9" i="10"/>
  <c r="EM9" i="10" s="1"/>
  <c r="CU8" i="10"/>
  <c r="EQ8" i="10" s="1"/>
  <c r="CT8" i="10"/>
  <c r="EP8" i="10" s="1"/>
  <c r="CS8" i="10"/>
  <c r="EO8" i="10" s="1"/>
  <c r="CR8" i="10"/>
  <c r="EN8" i="10" s="1"/>
  <c r="CQ8" i="10"/>
  <c r="EM8" i="10" s="1"/>
  <c r="CU7" i="10"/>
  <c r="EQ7" i="10" s="1"/>
  <c r="CT7" i="10"/>
  <c r="EP7" i="10" s="1"/>
  <c r="CS7" i="10"/>
  <c r="EO7" i="10" s="1"/>
  <c r="CR7" i="10"/>
  <c r="EN7" i="10" s="1"/>
  <c r="CQ7" i="10"/>
  <c r="EM7" i="10" s="1"/>
  <c r="CU6" i="10"/>
  <c r="EQ6" i="10" s="1"/>
  <c r="CT6" i="10"/>
  <c r="EP6" i="10" s="1"/>
  <c r="CS6" i="10"/>
  <c r="EO6" i="10" s="1"/>
  <c r="CR6" i="10"/>
  <c r="EN6" i="10" s="1"/>
  <c r="CQ6" i="10"/>
  <c r="EM6" i="10" s="1"/>
  <c r="CU5" i="10"/>
  <c r="EQ5" i="10" s="1"/>
  <c r="CT5" i="10"/>
  <c r="EP5" i="10" s="1"/>
  <c r="CS5" i="10"/>
  <c r="EO5" i="10" s="1"/>
  <c r="CR5" i="10"/>
  <c r="EN5" i="10" s="1"/>
  <c r="CQ5" i="10"/>
  <c r="EM5" i="10" s="1"/>
  <c r="CU4" i="10"/>
  <c r="EQ4" i="10" s="1"/>
  <c r="CT4" i="10"/>
  <c r="EP4" i="10" s="1"/>
  <c r="CS4" i="10"/>
  <c r="EO4" i="10" s="1"/>
  <c r="CR4" i="10"/>
  <c r="EN4" i="10" s="1"/>
  <c r="CQ4" i="10"/>
  <c r="EM4" i="10" s="1"/>
  <c r="E77" i="22"/>
  <c r="E57" i="22"/>
  <c r="A58" i="22"/>
  <c r="E58" i="22" s="1"/>
  <c r="G58" i="22"/>
  <c r="A30" i="22"/>
  <c r="A31" i="22" s="1"/>
  <c r="A32" i="22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E24" i="22"/>
  <c r="E4" i="22"/>
  <c r="A5" i="22"/>
  <c r="E5" i="22" s="1"/>
  <c r="BK3" i="11"/>
  <c r="BK2" i="11"/>
  <c r="BJ3" i="11"/>
  <c r="BJ2" i="11"/>
  <c r="CP84" i="10"/>
  <c r="EL84" i="10" s="1"/>
  <c r="CO84" i="10"/>
  <c r="EK84" i="10" s="1"/>
  <c r="CN84" i="10"/>
  <c r="CP83" i="10"/>
  <c r="EL83" i="10" s="1"/>
  <c r="CO83" i="10"/>
  <c r="EK83" i="10" s="1"/>
  <c r="CN83" i="10"/>
  <c r="CP82" i="10"/>
  <c r="EL82" i="10" s="1"/>
  <c r="CO82" i="10"/>
  <c r="EK82" i="10" s="1"/>
  <c r="CN82" i="10"/>
  <c r="EJ82" i="10" s="1"/>
  <c r="CP81" i="10"/>
  <c r="EL81" i="10" s="1"/>
  <c r="CO81" i="10"/>
  <c r="EK81" i="10" s="1"/>
  <c r="CN81" i="10"/>
  <c r="CP80" i="10"/>
  <c r="EL80" i="10" s="1"/>
  <c r="CO80" i="10"/>
  <c r="EK80" i="10" s="1"/>
  <c r="CN80" i="10"/>
  <c r="EJ80" i="10" s="1"/>
  <c r="CP79" i="10"/>
  <c r="EL79" i="10" s="1"/>
  <c r="CO79" i="10"/>
  <c r="EK79" i="10" s="1"/>
  <c r="CN79" i="10"/>
  <c r="EJ79" i="10" s="1"/>
  <c r="CP78" i="10"/>
  <c r="EL78" i="10" s="1"/>
  <c r="CO78" i="10"/>
  <c r="EK78" i="10" s="1"/>
  <c r="CN78" i="10"/>
  <c r="CP77" i="10"/>
  <c r="EL77" i="10" s="1"/>
  <c r="CO77" i="10"/>
  <c r="EK77" i="10" s="1"/>
  <c r="CN77" i="10"/>
  <c r="CP76" i="10"/>
  <c r="EL76" i="10" s="1"/>
  <c r="CO76" i="10"/>
  <c r="CN76" i="10"/>
  <c r="EJ76" i="10" s="1"/>
  <c r="CP75" i="10"/>
  <c r="EL75" i="10" s="1"/>
  <c r="CO75" i="10"/>
  <c r="EK75" i="10" s="1"/>
  <c r="CN75" i="10"/>
  <c r="CP74" i="10"/>
  <c r="EL74" i="10" s="1"/>
  <c r="CO74" i="10"/>
  <c r="EK74" i="10" s="1"/>
  <c r="CN74" i="10"/>
  <c r="CP73" i="10"/>
  <c r="EL73" i="10" s="1"/>
  <c r="CO73" i="10"/>
  <c r="EK73" i="10" s="1"/>
  <c r="CN73" i="10"/>
  <c r="CP72" i="10"/>
  <c r="EL72" i="10" s="1"/>
  <c r="CO72" i="10"/>
  <c r="EK72" i="10" s="1"/>
  <c r="CN72" i="10"/>
  <c r="EJ72" i="10" s="1"/>
  <c r="CP71" i="10"/>
  <c r="EL71" i="10" s="1"/>
  <c r="CO71" i="10"/>
  <c r="EK71" i="10" s="1"/>
  <c r="CN71" i="10"/>
  <c r="EJ71" i="10" s="1"/>
  <c r="CP70" i="10"/>
  <c r="EL70" i="10" s="1"/>
  <c r="CO70" i="10"/>
  <c r="EK70" i="10" s="1"/>
  <c r="CN70" i="10"/>
  <c r="CP69" i="10"/>
  <c r="EL69" i="10" s="1"/>
  <c r="CO69" i="10"/>
  <c r="EK69" i="10" s="1"/>
  <c r="CN69" i="10"/>
  <c r="EJ69" i="10" s="1"/>
  <c r="CP68" i="10"/>
  <c r="CO68" i="10"/>
  <c r="EK68" i="10" s="1"/>
  <c r="CN68" i="10"/>
  <c r="CP67" i="10"/>
  <c r="EL67" i="10" s="1"/>
  <c r="CO67" i="10"/>
  <c r="EK67" i="10" s="1"/>
  <c r="CN67" i="10"/>
  <c r="CP66" i="10"/>
  <c r="EL66" i="10" s="1"/>
  <c r="CO66" i="10"/>
  <c r="EK66" i="10" s="1"/>
  <c r="CN66" i="10"/>
  <c r="CP65" i="10"/>
  <c r="EL65" i="10" s="1"/>
  <c r="CO65" i="10"/>
  <c r="EK65" i="10" s="1"/>
  <c r="CN65" i="10"/>
  <c r="EJ65" i="10" s="1"/>
  <c r="CP64" i="10"/>
  <c r="EL64" i="10" s="1"/>
  <c r="CO64" i="10"/>
  <c r="EK64" i="10" s="1"/>
  <c r="CN64" i="10"/>
  <c r="EJ64" i="10" s="1"/>
  <c r="CP63" i="10"/>
  <c r="EL63" i="10" s="1"/>
  <c r="CO63" i="10"/>
  <c r="EK63" i="10" s="1"/>
  <c r="CN63" i="10"/>
  <c r="CP62" i="10"/>
  <c r="EL62" i="10" s="1"/>
  <c r="CO62" i="10"/>
  <c r="EK62" i="10" s="1"/>
  <c r="CN62" i="10"/>
  <c r="CP61" i="10"/>
  <c r="EL61" i="10" s="1"/>
  <c r="CO61" i="10"/>
  <c r="EK61" i="10" s="1"/>
  <c r="CN61" i="10"/>
  <c r="EJ61" i="10" s="1"/>
  <c r="CP60" i="10"/>
  <c r="CO60" i="10"/>
  <c r="EK60" i="10" s="1"/>
  <c r="CN60" i="10"/>
  <c r="EJ60" i="10" s="1"/>
  <c r="CP59" i="10"/>
  <c r="EL59" i="10" s="1"/>
  <c r="CO59" i="10"/>
  <c r="EK59" i="10" s="1"/>
  <c r="CN59" i="10"/>
  <c r="EJ59" i="10" s="1"/>
  <c r="CP58" i="10"/>
  <c r="EL58" i="10" s="1"/>
  <c r="CO58" i="10"/>
  <c r="EK58" i="10" s="1"/>
  <c r="CN58" i="10"/>
  <c r="CP57" i="10"/>
  <c r="EL57" i="10" s="1"/>
  <c r="CO57" i="10"/>
  <c r="EK57" i="10" s="1"/>
  <c r="CN57" i="10"/>
  <c r="EJ57" i="10" s="1"/>
  <c r="CP56" i="10"/>
  <c r="EL56" i="10" s="1"/>
  <c r="CO56" i="10"/>
  <c r="EK56" i="10" s="1"/>
  <c r="CN56" i="10"/>
  <c r="CP55" i="10"/>
  <c r="EL55" i="10" s="1"/>
  <c r="CO55" i="10"/>
  <c r="EK55" i="10" s="1"/>
  <c r="CN55" i="10"/>
  <c r="EJ55" i="10" s="1"/>
  <c r="CP54" i="10"/>
  <c r="EL54" i="10" s="1"/>
  <c r="CO54" i="10"/>
  <c r="EK54" i="10" s="1"/>
  <c r="CN54" i="10"/>
  <c r="EJ54" i="10" s="1"/>
  <c r="CP53" i="10"/>
  <c r="EL53" i="10" s="1"/>
  <c r="CO53" i="10"/>
  <c r="EK53" i="10" s="1"/>
  <c r="CN53" i="10"/>
  <c r="EJ53" i="10" s="1"/>
  <c r="CP52" i="10"/>
  <c r="EL52" i="10" s="1"/>
  <c r="CO52" i="10"/>
  <c r="EK52" i="10" s="1"/>
  <c r="CN52" i="10"/>
  <c r="CP51" i="10"/>
  <c r="EL51" i="10" s="1"/>
  <c r="CO51" i="10"/>
  <c r="EK51" i="10" s="1"/>
  <c r="CN51" i="10"/>
  <c r="EJ51" i="10" s="1"/>
  <c r="CP50" i="10"/>
  <c r="EL50" i="10" s="1"/>
  <c r="CO50" i="10"/>
  <c r="CN50" i="10"/>
  <c r="EJ50" i="10" s="1"/>
  <c r="CP49" i="10"/>
  <c r="EL49" i="10" s="1"/>
  <c r="CO49" i="10"/>
  <c r="EK49" i="10" s="1"/>
  <c r="CN49" i="10"/>
  <c r="EJ49" i="10" s="1"/>
  <c r="CP48" i="10"/>
  <c r="EL48" i="10" s="1"/>
  <c r="CO48" i="10"/>
  <c r="EK48" i="10" s="1"/>
  <c r="CN48" i="10"/>
  <c r="CP47" i="10"/>
  <c r="EL47" i="10" s="1"/>
  <c r="CO47" i="10"/>
  <c r="EK47" i="10"/>
  <c r="CN47" i="10"/>
  <c r="EJ47" i="10" s="1"/>
  <c r="CP46" i="10"/>
  <c r="EL46" i="10" s="1"/>
  <c r="CO46" i="10"/>
  <c r="EK46" i="10" s="1"/>
  <c r="CN46" i="10"/>
  <c r="EJ46" i="10" s="1"/>
  <c r="CP45" i="10"/>
  <c r="EL45" i="10" s="1"/>
  <c r="CO45" i="10"/>
  <c r="EK45" i="10" s="1"/>
  <c r="CN45" i="10"/>
  <c r="EJ45" i="10" s="1"/>
  <c r="CP44" i="10"/>
  <c r="EL44" i="10" s="1"/>
  <c r="CO44" i="10"/>
  <c r="EK44" i="10" s="1"/>
  <c r="CN44" i="10"/>
  <c r="CP43" i="10"/>
  <c r="CO43" i="10"/>
  <c r="EK43" i="10" s="1"/>
  <c r="CN43" i="10"/>
  <c r="EJ43" i="10" s="1"/>
  <c r="CP42" i="10"/>
  <c r="EL42" i="10" s="1"/>
  <c r="CO42" i="10"/>
  <c r="EK42" i="10" s="1"/>
  <c r="CN42" i="10"/>
  <c r="EJ42" i="10" s="1"/>
  <c r="CP41" i="10"/>
  <c r="EL41" i="10" s="1"/>
  <c r="CO41" i="10"/>
  <c r="EK41" i="10" s="1"/>
  <c r="CN41" i="10"/>
  <c r="EJ41" i="10" s="1"/>
  <c r="CP40" i="10"/>
  <c r="EL40" i="10" s="1"/>
  <c r="CO40" i="10"/>
  <c r="EK40" i="10" s="1"/>
  <c r="CN40" i="10"/>
  <c r="CP39" i="10"/>
  <c r="EL39" i="10" s="1"/>
  <c r="CO39" i="10"/>
  <c r="EK39" i="10" s="1"/>
  <c r="CN39" i="10"/>
  <c r="CP38" i="10"/>
  <c r="EL38" i="10" s="1"/>
  <c r="CO38" i="10"/>
  <c r="EK38" i="10" s="1"/>
  <c r="CN38" i="10"/>
  <c r="CP37" i="10"/>
  <c r="EL37" i="10" s="1"/>
  <c r="CO37" i="10"/>
  <c r="EK37" i="10" s="1"/>
  <c r="CN37" i="10"/>
  <c r="EJ37" i="10" s="1"/>
  <c r="CP36" i="10"/>
  <c r="CO36" i="10"/>
  <c r="EK36" i="10" s="1"/>
  <c r="CN36" i="10"/>
  <c r="EJ36" i="10" s="1"/>
  <c r="CP35" i="10"/>
  <c r="CO35" i="10"/>
  <c r="EK35" i="10" s="1"/>
  <c r="CN35" i="10"/>
  <c r="EJ35" i="10" s="1"/>
  <c r="CP34" i="10"/>
  <c r="EL34" i="10"/>
  <c r="CO34" i="10"/>
  <c r="EK34" i="10" s="1"/>
  <c r="CN34" i="10"/>
  <c r="CV34" i="10" s="1"/>
  <c r="CW34" i="10" s="1"/>
  <c r="ES34" i="10" s="1"/>
  <c r="CP33" i="10"/>
  <c r="CO33" i="10"/>
  <c r="EK33" i="10" s="1"/>
  <c r="CN33" i="10"/>
  <c r="EJ33" i="10" s="1"/>
  <c r="CP32" i="10"/>
  <c r="EL32" i="10" s="1"/>
  <c r="CO32" i="10"/>
  <c r="EK32" i="10" s="1"/>
  <c r="CN32" i="10"/>
  <c r="EJ32" i="10" s="1"/>
  <c r="CP31" i="10"/>
  <c r="EL31" i="10" s="1"/>
  <c r="CO31" i="10"/>
  <c r="EK31" i="10" s="1"/>
  <c r="CN31" i="10"/>
  <c r="CP30" i="10"/>
  <c r="EL30" i="10" s="1"/>
  <c r="CO30" i="10"/>
  <c r="EK30" i="10" s="1"/>
  <c r="CN30" i="10"/>
  <c r="EJ30" i="10" s="1"/>
  <c r="CP29" i="10"/>
  <c r="EL29" i="10" s="1"/>
  <c r="CO29" i="10"/>
  <c r="EK29" i="10" s="1"/>
  <c r="CN29" i="10"/>
  <c r="EJ29" i="10" s="1"/>
  <c r="CP28" i="10"/>
  <c r="EL28" i="10" s="1"/>
  <c r="CO28" i="10"/>
  <c r="EK28" i="10" s="1"/>
  <c r="CN28" i="10"/>
  <c r="EJ28" i="10" s="1"/>
  <c r="CP27" i="10"/>
  <c r="EL27" i="10" s="1"/>
  <c r="CO27" i="10"/>
  <c r="EK27" i="10" s="1"/>
  <c r="CN27" i="10"/>
  <c r="EJ27" i="10" s="1"/>
  <c r="CP26" i="10"/>
  <c r="CO26" i="10"/>
  <c r="EK26" i="10" s="1"/>
  <c r="CN26" i="10"/>
  <c r="EJ26" i="10" s="1"/>
  <c r="CP25" i="10"/>
  <c r="EL25" i="10" s="1"/>
  <c r="CO25" i="10"/>
  <c r="EK25" i="10" s="1"/>
  <c r="CN25" i="10"/>
  <c r="EJ25" i="10" s="1"/>
  <c r="CP24" i="10"/>
  <c r="EL24" i="10" s="1"/>
  <c r="CO24" i="10"/>
  <c r="EK24" i="10" s="1"/>
  <c r="CN24" i="10"/>
  <c r="EJ24" i="10" s="1"/>
  <c r="CP23" i="10"/>
  <c r="EL23" i="10" s="1"/>
  <c r="CO23" i="10"/>
  <c r="EK23" i="10" s="1"/>
  <c r="CN23" i="10"/>
  <c r="EJ23" i="10" s="1"/>
  <c r="CP22" i="10"/>
  <c r="EL22" i="10" s="1"/>
  <c r="CO22" i="10"/>
  <c r="EK22" i="10" s="1"/>
  <c r="CN22" i="10"/>
  <c r="CP21" i="10"/>
  <c r="EL21" i="10" s="1"/>
  <c r="CO21" i="10"/>
  <c r="EK21" i="10" s="1"/>
  <c r="CN21" i="10"/>
  <c r="EJ21" i="10" s="1"/>
  <c r="CP20" i="10"/>
  <c r="EL20" i="10" s="1"/>
  <c r="CO20" i="10"/>
  <c r="EK20" i="10" s="1"/>
  <c r="CN20" i="10"/>
  <c r="EJ20" i="10" s="1"/>
  <c r="CP19" i="10"/>
  <c r="EL19" i="10" s="1"/>
  <c r="CO19" i="10"/>
  <c r="EK19" i="10" s="1"/>
  <c r="CN19" i="10"/>
  <c r="CP18" i="10"/>
  <c r="EL18" i="10" s="1"/>
  <c r="CO18" i="10"/>
  <c r="EK18" i="10" s="1"/>
  <c r="CN18" i="10"/>
  <c r="EJ18" i="10" s="1"/>
  <c r="CP17" i="10"/>
  <c r="EL17" i="10" s="1"/>
  <c r="CO17" i="10"/>
  <c r="EK17" i="10" s="1"/>
  <c r="CN17" i="10"/>
  <c r="EJ17" i="10" s="1"/>
  <c r="CP16" i="10"/>
  <c r="EL16" i="10" s="1"/>
  <c r="CO16" i="10"/>
  <c r="EK16" i="10" s="1"/>
  <c r="CN16" i="10"/>
  <c r="EJ16" i="10" s="1"/>
  <c r="CP15" i="10"/>
  <c r="EL15" i="10" s="1"/>
  <c r="CO15" i="10"/>
  <c r="EK15" i="10" s="1"/>
  <c r="CN15" i="10"/>
  <c r="EJ15" i="10" s="1"/>
  <c r="CP14" i="10"/>
  <c r="EL14" i="10" s="1"/>
  <c r="CO14" i="10"/>
  <c r="EK14" i="10" s="1"/>
  <c r="CN14" i="10"/>
  <c r="EJ14" i="10" s="1"/>
  <c r="CP13" i="10"/>
  <c r="EL13" i="10" s="1"/>
  <c r="CO13" i="10"/>
  <c r="EK13" i="10" s="1"/>
  <c r="CN13" i="10"/>
  <c r="CP12" i="10"/>
  <c r="EL12" i="10" s="1"/>
  <c r="CO12" i="10"/>
  <c r="EK12" i="10" s="1"/>
  <c r="CN12" i="10"/>
  <c r="EJ12" i="10" s="1"/>
  <c r="CP11" i="10"/>
  <c r="EL11" i="10" s="1"/>
  <c r="CO11" i="10"/>
  <c r="EK11" i="10" s="1"/>
  <c r="CN11" i="10"/>
  <c r="EJ11" i="10" s="1"/>
  <c r="CP10" i="10"/>
  <c r="EL10" i="10" s="1"/>
  <c r="CO10" i="10"/>
  <c r="EK10" i="10" s="1"/>
  <c r="CN10" i="10"/>
  <c r="EJ10" i="10" s="1"/>
  <c r="CP9" i="10"/>
  <c r="EL9" i="10" s="1"/>
  <c r="CO9" i="10"/>
  <c r="EK9" i="10" s="1"/>
  <c r="CN9" i="10"/>
  <c r="EJ9" i="10" s="1"/>
  <c r="CP8" i="10"/>
  <c r="EL8" i="10" s="1"/>
  <c r="CO8" i="10"/>
  <c r="EK8" i="10" s="1"/>
  <c r="CN8" i="10"/>
  <c r="EJ8" i="10" s="1"/>
  <c r="CP7" i="10"/>
  <c r="EL7" i="10" s="1"/>
  <c r="CO7" i="10"/>
  <c r="EK7" i="10" s="1"/>
  <c r="CN7" i="10"/>
  <c r="EJ7" i="10" s="1"/>
  <c r="CP6" i="10"/>
  <c r="EL6" i="10" s="1"/>
  <c r="CO6" i="10"/>
  <c r="EK6" i="10" s="1"/>
  <c r="CN6" i="10"/>
  <c r="CP5" i="10"/>
  <c r="EL5" i="10" s="1"/>
  <c r="CO5" i="10"/>
  <c r="EK5" i="10" s="1"/>
  <c r="CN5" i="10"/>
  <c r="EJ5" i="10" s="1"/>
  <c r="CP4" i="10"/>
  <c r="EL4" i="10" s="1"/>
  <c r="CO4" i="10"/>
  <c r="EK4" i="10" s="1"/>
  <c r="CN4" i="10"/>
  <c r="EJ4" i="10" s="1"/>
  <c r="CU3" i="10"/>
  <c r="CT3" i="10"/>
  <c r="CS3" i="10"/>
  <c r="CR3" i="10"/>
  <c r="CQ3" i="10"/>
  <c r="CP3" i="10"/>
  <c r="CO3" i="10"/>
  <c r="CN3" i="10"/>
  <c r="CU2" i="10"/>
  <c r="CT2" i="10"/>
  <c r="CS2" i="10"/>
  <c r="CR2" i="10"/>
  <c r="CQ2" i="10"/>
  <c r="CP2" i="10"/>
  <c r="CO2" i="10"/>
  <c r="CN2" i="10"/>
  <c r="EJ44" i="10"/>
  <c r="EJ52" i="10"/>
  <c r="EJ68" i="10"/>
  <c r="EJ81" i="10"/>
  <c r="EJ31" i="10"/>
  <c r="EJ39" i="10"/>
  <c r="EJ63" i="10"/>
  <c r="EJ70" i="10"/>
  <c r="CV73" i="10"/>
  <c r="CW73" i="10" s="1"/>
  <c r="ES73" i="10" s="1"/>
  <c r="EJ73" i="10"/>
  <c r="EJ74" i="10"/>
  <c r="EJ78" i="10"/>
  <c r="EJ84" i="10"/>
  <c r="EJ22" i="10"/>
  <c r="EJ34" i="10"/>
  <c r="EJ38" i="10"/>
  <c r="EJ58" i="10"/>
  <c r="EJ62" i="10"/>
  <c r="EJ77" i="10"/>
  <c r="EJ83" i="10"/>
  <c r="CV82" i="10"/>
  <c r="ER82" i="10" s="1"/>
  <c r="CV69" i="10"/>
  <c r="ER69" i="10" s="1"/>
  <c r="W10" i="18"/>
  <c r="X10" i="18"/>
  <c r="W11" i="18"/>
  <c r="X11" i="18"/>
  <c r="W12" i="18"/>
  <c r="X12" i="18"/>
  <c r="W13" i="18"/>
  <c r="X13" i="18"/>
  <c r="W14" i="18"/>
  <c r="X14" i="18"/>
  <c r="W15" i="18"/>
  <c r="X15" i="18"/>
  <c r="X9" i="18"/>
  <c r="X1" i="18"/>
  <c r="W9" i="18"/>
  <c r="W1" i="18"/>
  <c r="FL84" i="9"/>
  <c r="FL83" i="9"/>
  <c r="FL82" i="9"/>
  <c r="FL81" i="9"/>
  <c r="FL80" i="9"/>
  <c r="FL79" i="9"/>
  <c r="FL78" i="9"/>
  <c r="FL77" i="9"/>
  <c r="FL76" i="9"/>
  <c r="FL75" i="9"/>
  <c r="FL74" i="9"/>
  <c r="FL73" i="9"/>
  <c r="FL72" i="9"/>
  <c r="FL71" i="9"/>
  <c r="FL70" i="9"/>
  <c r="FL69" i="9"/>
  <c r="FL68" i="9"/>
  <c r="FL67" i="9"/>
  <c r="FL66" i="9"/>
  <c r="FL65" i="9"/>
  <c r="FL64" i="9"/>
  <c r="FL63" i="9"/>
  <c r="FL62" i="9"/>
  <c r="FL61" i="9"/>
  <c r="FL60" i="9"/>
  <c r="FL59" i="9"/>
  <c r="FL58" i="9"/>
  <c r="FL57" i="9"/>
  <c r="FL56" i="9"/>
  <c r="FL55" i="9"/>
  <c r="FL54" i="9"/>
  <c r="FL53" i="9"/>
  <c r="FL52" i="9"/>
  <c r="FL51" i="9"/>
  <c r="FL50" i="9"/>
  <c r="FL49" i="9"/>
  <c r="FL48" i="9"/>
  <c r="FL47" i="9"/>
  <c r="FL46" i="9"/>
  <c r="FL45" i="9"/>
  <c r="FL44" i="9"/>
  <c r="FL43" i="9"/>
  <c r="FL42" i="9"/>
  <c r="FL41" i="9"/>
  <c r="FL40" i="9"/>
  <c r="FL39" i="9"/>
  <c r="FL38" i="9"/>
  <c r="FL37" i="9"/>
  <c r="FL36" i="9"/>
  <c r="FL35" i="9"/>
  <c r="FL34" i="9"/>
  <c r="FL33" i="9"/>
  <c r="FL32" i="9"/>
  <c r="FL31" i="9"/>
  <c r="FL30" i="9"/>
  <c r="FL29" i="9"/>
  <c r="FL28" i="9"/>
  <c r="FL27" i="9"/>
  <c r="FL26" i="9"/>
  <c r="FL25" i="9"/>
  <c r="FL24" i="9"/>
  <c r="FL23" i="9"/>
  <c r="FL22" i="9"/>
  <c r="FL21" i="9"/>
  <c r="FL20" i="9"/>
  <c r="FL19" i="9"/>
  <c r="FL18" i="9"/>
  <c r="FL17" i="9"/>
  <c r="FL16" i="9"/>
  <c r="FL15" i="9"/>
  <c r="FL14" i="9"/>
  <c r="FL13" i="9"/>
  <c r="FL12" i="9"/>
  <c r="FL11" i="9"/>
  <c r="FL10" i="9"/>
  <c r="FL9" i="9"/>
  <c r="FL8" i="9"/>
  <c r="FL7" i="9"/>
  <c r="FL6" i="9"/>
  <c r="FL5" i="9"/>
  <c r="FL4" i="9"/>
  <c r="EM84" i="9"/>
  <c r="EL84" i="9"/>
  <c r="EM83" i="9"/>
  <c r="EL83" i="9"/>
  <c r="EM82" i="9"/>
  <c r="EL82" i="9"/>
  <c r="EM81" i="9"/>
  <c r="EL81" i="9"/>
  <c r="EM80" i="9"/>
  <c r="EL80" i="9"/>
  <c r="EM79" i="9"/>
  <c r="EL79" i="9"/>
  <c r="EM78" i="9"/>
  <c r="EL78" i="9"/>
  <c r="EM77" i="9"/>
  <c r="EL77" i="9"/>
  <c r="EM76" i="9"/>
  <c r="EL76" i="9"/>
  <c r="EM75" i="9"/>
  <c r="EL75" i="9"/>
  <c r="EM74" i="9"/>
  <c r="EL74" i="9"/>
  <c r="EM73" i="9"/>
  <c r="EL73" i="9"/>
  <c r="EM72" i="9"/>
  <c r="EL72" i="9"/>
  <c r="EM71" i="9"/>
  <c r="EL71" i="9"/>
  <c r="EM70" i="9"/>
  <c r="EL70" i="9"/>
  <c r="EM69" i="9"/>
  <c r="EL69" i="9"/>
  <c r="EM68" i="9"/>
  <c r="EL68" i="9"/>
  <c r="EM67" i="9"/>
  <c r="EL67" i="9"/>
  <c r="EM66" i="9"/>
  <c r="EL66" i="9"/>
  <c r="EM65" i="9"/>
  <c r="EL65" i="9"/>
  <c r="EM64" i="9"/>
  <c r="EL64" i="9"/>
  <c r="EM63" i="9"/>
  <c r="EL63" i="9"/>
  <c r="EM62" i="9"/>
  <c r="EL62" i="9"/>
  <c r="EM61" i="9"/>
  <c r="EL61" i="9"/>
  <c r="EM60" i="9"/>
  <c r="EL60" i="9"/>
  <c r="EM59" i="9"/>
  <c r="EL59" i="9"/>
  <c r="EM58" i="9"/>
  <c r="EL58" i="9"/>
  <c r="EM57" i="9"/>
  <c r="EL57" i="9"/>
  <c r="EM56" i="9"/>
  <c r="EL56" i="9"/>
  <c r="EM55" i="9"/>
  <c r="EL55" i="9"/>
  <c r="EM54" i="9"/>
  <c r="EL54" i="9"/>
  <c r="EM53" i="9"/>
  <c r="EL53" i="9"/>
  <c r="EM52" i="9"/>
  <c r="EL52" i="9"/>
  <c r="EM51" i="9"/>
  <c r="EL51" i="9"/>
  <c r="EM50" i="9"/>
  <c r="EL50" i="9"/>
  <c r="EM49" i="9"/>
  <c r="EL49" i="9"/>
  <c r="EM48" i="9"/>
  <c r="EL48" i="9"/>
  <c r="EM47" i="9"/>
  <c r="EL47" i="9"/>
  <c r="EM46" i="9"/>
  <c r="EL46" i="9"/>
  <c r="EM45" i="9"/>
  <c r="EL45" i="9"/>
  <c r="EM44" i="9"/>
  <c r="EL44" i="9"/>
  <c r="EM43" i="9"/>
  <c r="EL43" i="9"/>
  <c r="EM42" i="9"/>
  <c r="EL42" i="9"/>
  <c r="EM41" i="9"/>
  <c r="EL41" i="9"/>
  <c r="EM40" i="9"/>
  <c r="EL40" i="9"/>
  <c r="EM39" i="9"/>
  <c r="EL39" i="9"/>
  <c r="EM38" i="9"/>
  <c r="EL38" i="9"/>
  <c r="EM37" i="9"/>
  <c r="EL37" i="9"/>
  <c r="EM36" i="9"/>
  <c r="EL36" i="9"/>
  <c r="EM35" i="9"/>
  <c r="EL35" i="9"/>
  <c r="EM34" i="9"/>
  <c r="EL34" i="9"/>
  <c r="EM33" i="9"/>
  <c r="EL33" i="9"/>
  <c r="EM32" i="9"/>
  <c r="EL32" i="9"/>
  <c r="EM31" i="9"/>
  <c r="EL31" i="9"/>
  <c r="EM30" i="9"/>
  <c r="EL30" i="9"/>
  <c r="EM29" i="9"/>
  <c r="EL29" i="9"/>
  <c r="EM28" i="9"/>
  <c r="EL28" i="9"/>
  <c r="EM27" i="9"/>
  <c r="EL27" i="9"/>
  <c r="EM26" i="9"/>
  <c r="EL26" i="9"/>
  <c r="EM25" i="9"/>
  <c r="EL25" i="9"/>
  <c r="EM24" i="9"/>
  <c r="EL24" i="9"/>
  <c r="EM23" i="9"/>
  <c r="EL23" i="9"/>
  <c r="EM22" i="9"/>
  <c r="EL22" i="9"/>
  <c r="EM21" i="9"/>
  <c r="EL21" i="9"/>
  <c r="EM20" i="9"/>
  <c r="EL20" i="9"/>
  <c r="EM19" i="9"/>
  <c r="EL19" i="9"/>
  <c r="EM18" i="9"/>
  <c r="EL18" i="9"/>
  <c r="EM17" i="9"/>
  <c r="EL17" i="9"/>
  <c r="EM16" i="9"/>
  <c r="EL16" i="9"/>
  <c r="EM15" i="9"/>
  <c r="EL15" i="9"/>
  <c r="EM14" i="9"/>
  <c r="EL14" i="9"/>
  <c r="EM13" i="9"/>
  <c r="EL13" i="9"/>
  <c r="EM12" i="9"/>
  <c r="EL12" i="9"/>
  <c r="EM11" i="9"/>
  <c r="EL11" i="9"/>
  <c r="EM10" i="9"/>
  <c r="EL10" i="9"/>
  <c r="EM9" i="9"/>
  <c r="EL9" i="9"/>
  <c r="EM8" i="9"/>
  <c r="EL8" i="9"/>
  <c r="EM7" i="9"/>
  <c r="EL7" i="9"/>
  <c r="EM6" i="9"/>
  <c r="EL6" i="9"/>
  <c r="EM5" i="9"/>
  <c r="EL5" i="9"/>
  <c r="EM4" i="9"/>
  <c r="EL4" i="9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O39" i="21"/>
  <c r="O38" i="21"/>
  <c r="O37" i="21"/>
  <c r="O36" i="21"/>
  <c r="O35" i="21"/>
  <c r="O34" i="21"/>
  <c r="O33" i="21"/>
  <c r="O32" i="21"/>
  <c r="O31" i="21"/>
  <c r="O30" i="21"/>
  <c r="O29" i="21"/>
  <c r="O28" i="21"/>
  <c r="O27" i="21"/>
  <c r="O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O12" i="21"/>
  <c r="O11" i="21"/>
  <c r="O10" i="21"/>
  <c r="O9" i="21"/>
  <c r="O8" i="21"/>
  <c r="O7" i="21"/>
  <c r="O6" i="21"/>
  <c r="O5" i="21"/>
  <c r="O4" i="21"/>
  <c r="D4" i="9"/>
  <c r="D4" i="11"/>
  <c r="E4" i="9"/>
  <c r="E4" i="11" s="1"/>
  <c r="BN4" i="9"/>
  <c r="BL4" i="9"/>
  <c r="D5" i="9"/>
  <c r="D5" i="11" s="1"/>
  <c r="E5" i="9"/>
  <c r="E5" i="11" s="1"/>
  <c r="BN5" i="9"/>
  <c r="BL5" i="9"/>
  <c r="D6" i="9"/>
  <c r="D6" i="11" s="1"/>
  <c r="E6" i="9"/>
  <c r="E6" i="11" s="1"/>
  <c r="BN6" i="9"/>
  <c r="BL6" i="9"/>
  <c r="D7" i="9"/>
  <c r="D7" i="11" s="1"/>
  <c r="E7" i="9"/>
  <c r="E7" i="11" s="1"/>
  <c r="K7" i="11" s="1"/>
  <c r="BN7" i="9"/>
  <c r="BL7" i="9"/>
  <c r="D8" i="9"/>
  <c r="E8" i="9"/>
  <c r="E8" i="11" s="1"/>
  <c r="BN8" i="9"/>
  <c r="BL8" i="9"/>
  <c r="D9" i="9"/>
  <c r="D9" i="11" s="1"/>
  <c r="E9" i="9"/>
  <c r="E9" i="11" s="1"/>
  <c r="BN9" i="9"/>
  <c r="BL9" i="9"/>
  <c r="D10" i="9"/>
  <c r="D10" i="11" s="1"/>
  <c r="E10" i="9"/>
  <c r="E10" i="11" s="1"/>
  <c r="BN10" i="9"/>
  <c r="BL10" i="9"/>
  <c r="D11" i="9"/>
  <c r="D11" i="11" s="1"/>
  <c r="E11" i="9"/>
  <c r="E11" i="11" s="1"/>
  <c r="L11" i="11" s="1"/>
  <c r="BN11" i="9"/>
  <c r="BL11" i="9"/>
  <c r="D12" i="9"/>
  <c r="E12" i="9"/>
  <c r="E12" i="11" s="1"/>
  <c r="BN12" i="9"/>
  <c r="BL12" i="9"/>
  <c r="D13" i="9"/>
  <c r="E13" i="9"/>
  <c r="E13" i="11" s="1"/>
  <c r="BN13" i="9"/>
  <c r="BL13" i="9"/>
  <c r="D14" i="9"/>
  <c r="D14" i="11" s="1"/>
  <c r="E14" i="9"/>
  <c r="E14" i="11" s="1"/>
  <c r="BN14" i="9"/>
  <c r="BL14" i="9"/>
  <c r="D15" i="9"/>
  <c r="E15" i="9"/>
  <c r="E15" i="11" s="1"/>
  <c r="BN15" i="9"/>
  <c r="BL15" i="9"/>
  <c r="D16" i="9"/>
  <c r="D16" i="11" s="1"/>
  <c r="E16" i="9"/>
  <c r="E16" i="11" s="1"/>
  <c r="BN16" i="9"/>
  <c r="BL16" i="9"/>
  <c r="D17" i="9"/>
  <c r="E17" i="9"/>
  <c r="E17" i="11" s="1"/>
  <c r="J17" i="11" s="1"/>
  <c r="BN17" i="9"/>
  <c r="BL17" i="9"/>
  <c r="D18" i="9"/>
  <c r="D18" i="11" s="1"/>
  <c r="E18" i="9"/>
  <c r="E18" i="11" s="1"/>
  <c r="BN18" i="9"/>
  <c r="BL18" i="9"/>
  <c r="D19" i="9"/>
  <c r="D19" i="11" s="1"/>
  <c r="E19" i="9"/>
  <c r="E19" i="11" s="1"/>
  <c r="BN19" i="9"/>
  <c r="BL19" i="9"/>
  <c r="D20" i="9"/>
  <c r="D20" i="11" s="1"/>
  <c r="E20" i="9"/>
  <c r="E20" i="11" s="1"/>
  <c r="J20" i="11" s="1"/>
  <c r="BN20" i="9"/>
  <c r="BL20" i="9"/>
  <c r="D21" i="9"/>
  <c r="D21" i="11" s="1"/>
  <c r="E21" i="9"/>
  <c r="E21" i="11" s="1"/>
  <c r="J21" i="11" s="1"/>
  <c r="BN21" i="9"/>
  <c r="BL21" i="9"/>
  <c r="D22" i="9"/>
  <c r="D22" i="11" s="1"/>
  <c r="E22" i="9"/>
  <c r="E22" i="11" s="1"/>
  <c r="BN22" i="9"/>
  <c r="BL22" i="9"/>
  <c r="D23" i="9"/>
  <c r="D23" i="11" s="1"/>
  <c r="E23" i="9"/>
  <c r="E23" i="11" s="1"/>
  <c r="BN23" i="9"/>
  <c r="BL23" i="9"/>
  <c r="D24" i="9"/>
  <c r="D24" i="11" s="1"/>
  <c r="E24" i="9"/>
  <c r="E24" i="11" s="1"/>
  <c r="J24" i="11" s="1"/>
  <c r="BN24" i="9"/>
  <c r="BL24" i="9"/>
  <c r="D25" i="9"/>
  <c r="D25" i="11" s="1"/>
  <c r="E25" i="9"/>
  <c r="E25" i="11" s="1"/>
  <c r="BN25" i="9"/>
  <c r="BL25" i="9"/>
  <c r="D26" i="9"/>
  <c r="D26" i="11" s="1"/>
  <c r="E26" i="9"/>
  <c r="E26" i="11" s="1"/>
  <c r="BN26" i="9"/>
  <c r="BL26" i="9"/>
  <c r="D27" i="9"/>
  <c r="E27" i="9"/>
  <c r="E27" i="11" s="1"/>
  <c r="BN27" i="9"/>
  <c r="BL27" i="9"/>
  <c r="D28" i="9"/>
  <c r="D28" i="11" s="1"/>
  <c r="E28" i="9"/>
  <c r="E28" i="11" s="1"/>
  <c r="L28" i="11" s="1"/>
  <c r="BN28" i="9"/>
  <c r="BL28" i="9"/>
  <c r="D29" i="9"/>
  <c r="D29" i="11" s="1"/>
  <c r="E29" i="9"/>
  <c r="E29" i="11" s="1"/>
  <c r="BN29" i="9"/>
  <c r="BL29" i="9"/>
  <c r="D30" i="9"/>
  <c r="D30" i="11" s="1"/>
  <c r="E30" i="9"/>
  <c r="E30" i="11" s="1"/>
  <c r="BN30" i="9"/>
  <c r="BL30" i="9"/>
  <c r="D31" i="9"/>
  <c r="D31" i="11" s="1"/>
  <c r="E31" i="9"/>
  <c r="E31" i="11" s="1"/>
  <c r="BN31" i="9"/>
  <c r="BL31" i="9"/>
  <c r="D32" i="9"/>
  <c r="D32" i="11" s="1"/>
  <c r="E32" i="9"/>
  <c r="E32" i="11" s="1"/>
  <c r="K32" i="11" s="1"/>
  <c r="BN32" i="9"/>
  <c r="BL32" i="9"/>
  <c r="D33" i="9"/>
  <c r="D33" i="11" s="1"/>
  <c r="E33" i="9"/>
  <c r="E33" i="11" s="1"/>
  <c r="BN33" i="9"/>
  <c r="BL33" i="9"/>
  <c r="D34" i="9"/>
  <c r="D34" i="11" s="1"/>
  <c r="E34" i="9"/>
  <c r="E34" i="11" s="1"/>
  <c r="BN34" i="9"/>
  <c r="BL34" i="9"/>
  <c r="D35" i="9"/>
  <c r="D35" i="11" s="1"/>
  <c r="E35" i="9"/>
  <c r="E35" i="11" s="1"/>
  <c r="BN35" i="9"/>
  <c r="BL35" i="9"/>
  <c r="D36" i="9"/>
  <c r="D36" i="11" s="1"/>
  <c r="E36" i="9"/>
  <c r="E36" i="11" s="1"/>
  <c r="L36" i="11" s="1"/>
  <c r="BN36" i="9"/>
  <c r="BL36" i="9"/>
  <c r="D37" i="9"/>
  <c r="D37" i="11" s="1"/>
  <c r="E37" i="9"/>
  <c r="E37" i="11" s="1"/>
  <c r="BN37" i="9"/>
  <c r="BL37" i="9"/>
  <c r="D38" i="9"/>
  <c r="D38" i="11" s="1"/>
  <c r="E38" i="9"/>
  <c r="E38" i="11" s="1"/>
  <c r="K38" i="11" s="1"/>
  <c r="BN38" i="9"/>
  <c r="BL38" i="9"/>
  <c r="D39" i="9"/>
  <c r="D39" i="11" s="1"/>
  <c r="H39" i="11" s="1"/>
  <c r="E39" i="9"/>
  <c r="E39" i="11" s="1"/>
  <c r="K39" i="11" s="1"/>
  <c r="BN39" i="9"/>
  <c r="BL39" i="9"/>
  <c r="D40" i="11"/>
  <c r="G40" i="11" s="1"/>
  <c r="E40" i="11"/>
  <c r="J40" i="11" s="1"/>
  <c r="BN40" i="9"/>
  <c r="BL40" i="9"/>
  <c r="D41" i="11"/>
  <c r="G41" i="11" s="1"/>
  <c r="E41" i="11"/>
  <c r="K41" i="11" s="1"/>
  <c r="BN41" i="9"/>
  <c r="BL41" i="9"/>
  <c r="D42" i="11"/>
  <c r="G42" i="11" s="1"/>
  <c r="E42" i="11"/>
  <c r="L42" i="11" s="1"/>
  <c r="BN42" i="9"/>
  <c r="BL42" i="9"/>
  <c r="D43" i="11"/>
  <c r="E43" i="11"/>
  <c r="BN43" i="9"/>
  <c r="BL43" i="9"/>
  <c r="D44" i="11"/>
  <c r="E44" i="11"/>
  <c r="L44" i="11" s="1"/>
  <c r="BN44" i="9"/>
  <c r="BL44" i="9"/>
  <c r="D45" i="11"/>
  <c r="BN45" i="9"/>
  <c r="BL45" i="9"/>
  <c r="D46" i="9"/>
  <c r="D46" i="11" s="1"/>
  <c r="E46" i="9"/>
  <c r="E46" i="11" s="1"/>
  <c r="BN46" i="9"/>
  <c r="BL46" i="9"/>
  <c r="D47" i="9"/>
  <c r="D47" i="11" s="1"/>
  <c r="E47" i="9"/>
  <c r="BN47" i="9"/>
  <c r="BL47" i="9"/>
  <c r="D48" i="9"/>
  <c r="D48" i="11" s="1"/>
  <c r="E48" i="9"/>
  <c r="BN48" i="9"/>
  <c r="BL48" i="9"/>
  <c r="D49" i="9"/>
  <c r="D49" i="11" s="1"/>
  <c r="H49" i="11" s="1"/>
  <c r="E49" i="9"/>
  <c r="BN49" i="9"/>
  <c r="BL49" i="9"/>
  <c r="D50" i="9"/>
  <c r="D50" i="11" s="1"/>
  <c r="E50" i="9"/>
  <c r="BN50" i="9"/>
  <c r="BL50" i="9"/>
  <c r="D51" i="9"/>
  <c r="D51" i="11" s="1"/>
  <c r="E51" i="9"/>
  <c r="E51" i="11" s="1"/>
  <c r="L51" i="11" s="1"/>
  <c r="BN51" i="9"/>
  <c r="BL51" i="9"/>
  <c r="D52" i="11"/>
  <c r="G52" i="11" s="1"/>
  <c r="E52" i="11"/>
  <c r="K52" i="11" s="1"/>
  <c r="BN52" i="9"/>
  <c r="BL52" i="9"/>
  <c r="D53" i="11"/>
  <c r="H53" i="11" s="1"/>
  <c r="BN53" i="9"/>
  <c r="BL53" i="9"/>
  <c r="D54" i="9"/>
  <c r="D54" i="11" s="1"/>
  <c r="E54" i="9"/>
  <c r="BN54" i="9"/>
  <c r="BL54" i="9"/>
  <c r="D55" i="9"/>
  <c r="D55" i="11" s="1"/>
  <c r="E55" i="9"/>
  <c r="BN55" i="9"/>
  <c r="BL55" i="9"/>
  <c r="D56" i="9"/>
  <c r="D56" i="11" s="1"/>
  <c r="G56" i="11" s="1"/>
  <c r="E56" i="9"/>
  <c r="BN56" i="9"/>
  <c r="BL56" i="9"/>
  <c r="D57" i="9"/>
  <c r="D57" i="11" s="1"/>
  <c r="E57" i="9"/>
  <c r="E57" i="11" s="1"/>
  <c r="K57" i="11" s="1"/>
  <c r="BN57" i="9"/>
  <c r="BL57" i="9"/>
  <c r="D58" i="9"/>
  <c r="D58" i="11" s="1"/>
  <c r="E58" i="9"/>
  <c r="BN58" i="9"/>
  <c r="BL58" i="9"/>
  <c r="D59" i="9"/>
  <c r="D59" i="11" s="1"/>
  <c r="E59" i="9"/>
  <c r="E59" i="11" s="1"/>
  <c r="BN59" i="9"/>
  <c r="BL59" i="9"/>
  <c r="D60" i="9"/>
  <c r="D60" i="11" s="1"/>
  <c r="E60" i="9"/>
  <c r="E60" i="11" s="1"/>
  <c r="BN60" i="9"/>
  <c r="BL60" i="9"/>
  <c r="D61" i="9"/>
  <c r="D61" i="11" s="1"/>
  <c r="E61" i="9"/>
  <c r="E61" i="11" s="1"/>
  <c r="L61" i="11" s="1"/>
  <c r="BN61" i="9"/>
  <c r="BL61" i="9"/>
  <c r="D62" i="9"/>
  <c r="D62" i="11" s="1"/>
  <c r="E62" i="9"/>
  <c r="E62" i="11" s="1"/>
  <c r="BN62" i="9"/>
  <c r="BL62" i="9"/>
  <c r="D63" i="9"/>
  <c r="D63" i="11" s="1"/>
  <c r="H63" i="11" s="1"/>
  <c r="E63" i="9"/>
  <c r="E63" i="11" s="1"/>
  <c r="BN63" i="9"/>
  <c r="BL63" i="9"/>
  <c r="D64" i="9"/>
  <c r="D64" i="11" s="1"/>
  <c r="E64" i="9"/>
  <c r="E64" i="11" s="1"/>
  <c r="BN64" i="9"/>
  <c r="BL64" i="9"/>
  <c r="D65" i="9"/>
  <c r="D65" i="11" s="1"/>
  <c r="E65" i="9"/>
  <c r="E65" i="11" s="1"/>
  <c r="BN65" i="9"/>
  <c r="BL65" i="9"/>
  <c r="D66" i="9"/>
  <c r="D66" i="11" s="1"/>
  <c r="E66" i="9"/>
  <c r="E66" i="11" s="1"/>
  <c r="BN66" i="9"/>
  <c r="BL66" i="9"/>
  <c r="D67" i="9"/>
  <c r="D67" i="11" s="1"/>
  <c r="E67" i="9"/>
  <c r="BN67" i="9"/>
  <c r="BL67" i="9"/>
  <c r="D68" i="9"/>
  <c r="D68" i="11" s="1"/>
  <c r="E68" i="9"/>
  <c r="E68" i="11" s="1"/>
  <c r="BN68" i="9"/>
  <c r="BL68" i="9"/>
  <c r="D69" i="9"/>
  <c r="D69" i="11" s="1"/>
  <c r="E69" i="9"/>
  <c r="E69" i="11" s="1"/>
  <c r="BN69" i="9"/>
  <c r="BL69" i="9"/>
  <c r="D70" i="9"/>
  <c r="D70" i="11" s="1"/>
  <c r="E70" i="9"/>
  <c r="E70" i="11" s="1"/>
  <c r="BN70" i="9"/>
  <c r="BL70" i="9"/>
  <c r="D71" i="9"/>
  <c r="D71" i="11" s="1"/>
  <c r="G71" i="11" s="1"/>
  <c r="E71" i="9"/>
  <c r="E71" i="11" s="1"/>
  <c r="BN71" i="9"/>
  <c r="BL71" i="9"/>
  <c r="D72" i="9"/>
  <c r="D72" i="11" s="1"/>
  <c r="G72" i="11" s="1"/>
  <c r="E72" i="9"/>
  <c r="E72" i="11" s="1"/>
  <c r="BN72" i="9"/>
  <c r="BL72" i="9"/>
  <c r="D73" i="9"/>
  <c r="D73" i="11" s="1"/>
  <c r="E73" i="9"/>
  <c r="BN73" i="9"/>
  <c r="BL73" i="9"/>
  <c r="D74" i="9"/>
  <c r="D74" i="11" s="1"/>
  <c r="E74" i="9"/>
  <c r="E74" i="11" s="1"/>
  <c r="BN74" i="9"/>
  <c r="BL74" i="9"/>
  <c r="D75" i="9"/>
  <c r="D75" i="11" s="1"/>
  <c r="E75" i="9"/>
  <c r="E75" i="11" s="1"/>
  <c r="J75" i="11" s="1"/>
  <c r="BN75" i="9"/>
  <c r="BL75" i="9"/>
  <c r="D76" i="9"/>
  <c r="D76" i="11" s="1"/>
  <c r="E76" i="9"/>
  <c r="E76" i="11" s="1"/>
  <c r="BN76" i="9"/>
  <c r="BL76" i="9"/>
  <c r="D77" i="9"/>
  <c r="D77" i="11" s="1"/>
  <c r="E77" i="9"/>
  <c r="E77" i="11" s="1"/>
  <c r="BN77" i="9"/>
  <c r="BL77" i="9"/>
  <c r="D78" i="9"/>
  <c r="E78" i="9"/>
  <c r="E78" i="11" s="1"/>
  <c r="BN78" i="9"/>
  <c r="BL78" i="9"/>
  <c r="D79" i="9"/>
  <c r="D79" i="11" s="1"/>
  <c r="E79" i="9"/>
  <c r="E79" i="11" s="1"/>
  <c r="BN79" i="9"/>
  <c r="BL79" i="9"/>
  <c r="D80" i="9"/>
  <c r="D80" i="11" s="1"/>
  <c r="E80" i="9"/>
  <c r="E80" i="11" s="1"/>
  <c r="BN80" i="9"/>
  <c r="BL80" i="9"/>
  <c r="D81" i="9"/>
  <c r="D81" i="11" s="1"/>
  <c r="E81" i="9"/>
  <c r="E81" i="11" s="1"/>
  <c r="BN81" i="9"/>
  <c r="BL81" i="9"/>
  <c r="D82" i="9"/>
  <c r="D82" i="11" s="1"/>
  <c r="E82" i="9"/>
  <c r="E82" i="11" s="1"/>
  <c r="J82" i="11" s="1"/>
  <c r="BN82" i="9"/>
  <c r="BL82" i="9"/>
  <c r="D83" i="9"/>
  <c r="D83" i="11" s="1"/>
  <c r="E83" i="9"/>
  <c r="E83" i="11" s="1"/>
  <c r="J83" i="11" s="1"/>
  <c r="BN83" i="9"/>
  <c r="BL83" i="9"/>
  <c r="D84" i="9"/>
  <c r="E84" i="9"/>
  <c r="E84" i="11" s="1"/>
  <c r="BN84" i="9"/>
  <c r="BL84" i="9"/>
  <c r="BB4" i="11"/>
  <c r="AG4" i="11"/>
  <c r="BA5" i="11"/>
  <c r="BB5" i="11"/>
  <c r="BC5" i="11"/>
  <c r="BA6" i="11"/>
  <c r="BB6" i="11"/>
  <c r="BA7" i="11"/>
  <c r="BC7" i="11"/>
  <c r="BB8" i="11"/>
  <c r="BQ4" i="18" s="1"/>
  <c r="BA11" i="11"/>
  <c r="BB11" i="11"/>
  <c r="BA13" i="11"/>
  <c r="BA14" i="11"/>
  <c r="CR14" i="11"/>
  <c r="BC14" i="11"/>
  <c r="BA15" i="11"/>
  <c r="BC16" i="11"/>
  <c r="BB18" i="11"/>
  <c r="BC18" i="11"/>
  <c r="BB20" i="11"/>
  <c r="BC22" i="11"/>
  <c r="BA23" i="11"/>
  <c r="BA24" i="11"/>
  <c r="BA25" i="11"/>
  <c r="BB26" i="11"/>
  <c r="BA27" i="11"/>
  <c r="BB27" i="11"/>
  <c r="BC27" i="11"/>
  <c r="BA28" i="11"/>
  <c r="BC29" i="11"/>
  <c r="BB30" i="11"/>
  <c r="BC30" i="11"/>
  <c r="BB31" i="11"/>
  <c r="BC31" i="11"/>
  <c r="BA32" i="11"/>
  <c r="BB33" i="11"/>
  <c r="BB34" i="11"/>
  <c r="BC34" i="11"/>
  <c r="BA35" i="11"/>
  <c r="BA36" i="11"/>
  <c r="BB36" i="11"/>
  <c r="BC36" i="11"/>
  <c r="BA37" i="11"/>
  <c r="CR37" i="11"/>
  <c r="BA39" i="11"/>
  <c r="BA40" i="11"/>
  <c r="BB40" i="11"/>
  <c r="BC40" i="11"/>
  <c r="BA42" i="11"/>
  <c r="BC42" i="11"/>
  <c r="BB43" i="11"/>
  <c r="BA44" i="11"/>
  <c r="CR44" i="11"/>
  <c r="BC44" i="11"/>
  <c r="BA45" i="11"/>
  <c r="BB45" i="11"/>
  <c r="BC46" i="11"/>
  <c r="BB47" i="11"/>
  <c r="BC47" i="11"/>
  <c r="BB48" i="11"/>
  <c r="BC48" i="11"/>
  <c r="BB49" i="11"/>
  <c r="AG49" i="11"/>
  <c r="BB50" i="11"/>
  <c r="BA51" i="11"/>
  <c r="BA52" i="11"/>
  <c r="BA53" i="11"/>
  <c r="BB53" i="11"/>
  <c r="BA54" i="11"/>
  <c r="BB55" i="11"/>
  <c r="BC55" i="11"/>
  <c r="BA56" i="11"/>
  <c r="BB57" i="11"/>
  <c r="BA58" i="11"/>
  <c r="BB58" i="11"/>
  <c r="BC58" i="11"/>
  <c r="BA60" i="11"/>
  <c r="BA61" i="11"/>
  <c r="BB61" i="11"/>
  <c r="BC62" i="11"/>
  <c r="BC65" i="11"/>
  <c r="BA67" i="11"/>
  <c r="BC67" i="11"/>
  <c r="BA69" i="11"/>
  <c r="BB69" i="11"/>
  <c r="AG69" i="11"/>
  <c r="BA70" i="11"/>
  <c r="BB70" i="11"/>
  <c r="BC70" i="11"/>
  <c r="BA71" i="11"/>
  <c r="BC71" i="11"/>
  <c r="BA72" i="11"/>
  <c r="BB72" i="11"/>
  <c r="BC72" i="11"/>
  <c r="BA73" i="11"/>
  <c r="BB74" i="11"/>
  <c r="BA76" i="11"/>
  <c r="BC76" i="11"/>
  <c r="BA78" i="11"/>
  <c r="BA79" i="11"/>
  <c r="BB79" i="11"/>
  <c r="BA80" i="11"/>
  <c r="BB80" i="11"/>
  <c r="CR81" i="11"/>
  <c r="BA82" i="11"/>
  <c r="BB82" i="11"/>
  <c r="BC82" i="11"/>
  <c r="BA83" i="11"/>
  <c r="BB83" i="11"/>
  <c r="BA84" i="11"/>
  <c r="BC84" i="11"/>
  <c r="A1" i="9"/>
  <c r="A2" i="9"/>
  <c r="B2" i="9"/>
  <c r="C2" i="9"/>
  <c r="A4" i="9"/>
  <c r="B4" i="9"/>
  <c r="C4" i="9"/>
  <c r="G4" i="9"/>
  <c r="H4" i="9"/>
  <c r="Q4" i="9" s="1"/>
  <c r="V4" i="9"/>
  <c r="W4" i="9"/>
  <c r="AG4" i="9"/>
  <c r="AH4" i="9"/>
  <c r="AS4" i="9"/>
  <c r="AV4" i="9"/>
  <c r="AX4" i="9"/>
  <c r="AY4" i="9" s="1"/>
  <c r="AZ4" i="9" s="1"/>
  <c r="BD4" i="9"/>
  <c r="BF4" i="9" s="1"/>
  <c r="BH4" i="9"/>
  <c r="BM4" i="9"/>
  <c r="BV4" i="9"/>
  <c r="BY4" i="9"/>
  <c r="BZ4" i="9"/>
  <c r="CH4" i="9"/>
  <c r="CN4" i="9"/>
  <c r="CO4" i="9"/>
  <c r="CP4" i="9"/>
  <c r="CX4" i="9"/>
  <c r="DE4" i="9"/>
  <c r="DF4" i="9"/>
  <c r="A5" i="9"/>
  <c r="B5" i="9"/>
  <c r="C5" i="9"/>
  <c r="G5" i="9"/>
  <c r="X5" i="9" s="1"/>
  <c r="H5" i="9"/>
  <c r="Q5" i="9" s="1"/>
  <c r="V5" i="9"/>
  <c r="W5" i="9"/>
  <c r="AG5" i="9"/>
  <c r="AH5" i="9"/>
  <c r="AS5" i="9"/>
  <c r="AV5" i="9"/>
  <c r="AX5" i="9"/>
  <c r="AY5" i="9" s="1"/>
  <c r="AZ5" i="9" s="1"/>
  <c r="CH5" i="9"/>
  <c r="BD5" i="9"/>
  <c r="BF5" i="9" s="1"/>
  <c r="BH5" i="9"/>
  <c r="BM5" i="9"/>
  <c r="BV5" i="9"/>
  <c r="BY5" i="9"/>
  <c r="BZ5" i="9"/>
  <c r="CN5" i="9"/>
  <c r="CO5" i="9"/>
  <c r="CP5" i="9"/>
  <c r="CS5" i="9"/>
  <c r="CX5" i="9"/>
  <c r="DE5" i="9"/>
  <c r="DF5" i="9"/>
  <c r="A6" i="9"/>
  <c r="B6" i="9"/>
  <c r="C6" i="9"/>
  <c r="G6" i="9"/>
  <c r="BC6" i="9" s="1"/>
  <c r="H6" i="9"/>
  <c r="Q6" i="9" s="1"/>
  <c r="V6" i="9"/>
  <c r="W6" i="9"/>
  <c r="AG6" i="9"/>
  <c r="AH6" i="9"/>
  <c r="AS6" i="9"/>
  <c r="AV6" i="9"/>
  <c r="AX6" i="9"/>
  <c r="AY6" i="9" s="1"/>
  <c r="AZ6" i="9" s="1"/>
  <c r="BD6" i="9"/>
  <c r="BF6" i="9" s="1"/>
  <c r="BH6" i="9"/>
  <c r="BM6" i="9"/>
  <c r="BV6" i="9"/>
  <c r="BY6" i="9"/>
  <c r="BZ6" i="9"/>
  <c r="CH6" i="9"/>
  <c r="CN6" i="9"/>
  <c r="CO6" i="9"/>
  <c r="CP6" i="9"/>
  <c r="CS6" i="9"/>
  <c r="CX6" i="9"/>
  <c r="DE6" i="9"/>
  <c r="DF6" i="9"/>
  <c r="A7" i="9"/>
  <c r="B7" i="9"/>
  <c r="C7" i="9"/>
  <c r="G7" i="9"/>
  <c r="BJ7" i="9" s="1"/>
  <c r="H7" i="9"/>
  <c r="Q7" i="9" s="1"/>
  <c r="V7" i="9"/>
  <c r="W7" i="9"/>
  <c r="AG7" i="9"/>
  <c r="AH7" i="9"/>
  <c r="AS7" i="9"/>
  <c r="AV7" i="9"/>
  <c r="AX7" i="9"/>
  <c r="AY7" i="9" s="1"/>
  <c r="AZ7" i="9" s="1"/>
  <c r="BD7" i="9"/>
  <c r="BF7" i="9" s="1"/>
  <c r="BH7" i="9"/>
  <c r="BM7" i="9"/>
  <c r="BV7" i="9"/>
  <c r="BY7" i="9"/>
  <c r="BZ7" i="9"/>
  <c r="CH7" i="9"/>
  <c r="CN7" i="9"/>
  <c r="CO7" i="9"/>
  <c r="CP7" i="9"/>
  <c r="CS7" i="9"/>
  <c r="CX7" i="9"/>
  <c r="DE7" i="9"/>
  <c r="DF7" i="9"/>
  <c r="A8" i="9"/>
  <c r="B8" i="9"/>
  <c r="C8" i="9"/>
  <c r="G8" i="9"/>
  <c r="X8" i="9" s="1"/>
  <c r="H8" i="9"/>
  <c r="Q8" i="9" s="1"/>
  <c r="V8" i="9"/>
  <c r="W8" i="9"/>
  <c r="AG8" i="9"/>
  <c r="AH8" i="9"/>
  <c r="AS8" i="9"/>
  <c r="AT8" i="9" s="1"/>
  <c r="AV8" i="9"/>
  <c r="AX8" i="9"/>
  <c r="AY8" i="9" s="1"/>
  <c r="AZ8" i="9" s="1"/>
  <c r="BD8" i="9"/>
  <c r="BF8" i="9" s="1"/>
  <c r="BH8" i="9"/>
  <c r="BM8" i="9"/>
  <c r="BV8" i="9"/>
  <c r="BW8" i="9" s="1"/>
  <c r="BY8" i="9"/>
  <c r="BZ8" i="9"/>
  <c r="CH8" i="9"/>
  <c r="CN8" i="9"/>
  <c r="CO8" i="9"/>
  <c r="CP8" i="9"/>
  <c r="CS8" i="9"/>
  <c r="CX8" i="9"/>
  <c r="DE8" i="9"/>
  <c r="DF8" i="9"/>
  <c r="A9" i="9"/>
  <c r="B9" i="9"/>
  <c r="C9" i="9"/>
  <c r="G9" i="9"/>
  <c r="H9" i="9"/>
  <c r="Q9" i="9" s="1"/>
  <c r="V9" i="9"/>
  <c r="W9" i="9"/>
  <c r="AG9" i="9"/>
  <c r="AH9" i="9"/>
  <c r="AS9" i="9"/>
  <c r="AT9" i="9" s="1"/>
  <c r="AV9" i="9"/>
  <c r="AX9" i="9"/>
  <c r="AY9" i="9" s="1"/>
  <c r="AZ9" i="9" s="1"/>
  <c r="BD9" i="9"/>
  <c r="BF9" i="9" s="1"/>
  <c r="BH9" i="9"/>
  <c r="BM9" i="9"/>
  <c r="BV9" i="9"/>
  <c r="BW9" i="9" s="1"/>
  <c r="BY9" i="9"/>
  <c r="BZ9" i="9"/>
  <c r="CH9" i="9"/>
  <c r="CN9" i="9"/>
  <c r="CO9" i="9"/>
  <c r="CP9" i="9"/>
  <c r="CS9" i="9"/>
  <c r="CX9" i="9"/>
  <c r="DE9" i="9"/>
  <c r="DF9" i="9"/>
  <c r="A10" i="9"/>
  <c r="B10" i="9"/>
  <c r="C10" i="9"/>
  <c r="G10" i="9"/>
  <c r="X10" i="9" s="1"/>
  <c r="H10" i="9"/>
  <c r="Q10" i="9" s="1"/>
  <c r="V10" i="9"/>
  <c r="W10" i="9"/>
  <c r="AG10" i="9"/>
  <c r="AH10" i="9"/>
  <c r="AS10" i="9"/>
  <c r="AT10" i="9" s="1"/>
  <c r="AV10" i="9"/>
  <c r="AX10" i="9"/>
  <c r="AY10" i="9" s="1"/>
  <c r="AZ10" i="9" s="1"/>
  <c r="BD10" i="9"/>
  <c r="BF10" i="9" s="1"/>
  <c r="BH10" i="9"/>
  <c r="BM10" i="9"/>
  <c r="BV10" i="9"/>
  <c r="BY10" i="9"/>
  <c r="BZ10" i="9"/>
  <c r="CH10" i="9"/>
  <c r="CN10" i="9"/>
  <c r="CO10" i="9"/>
  <c r="CP10" i="9"/>
  <c r="CS10" i="9"/>
  <c r="CX10" i="9"/>
  <c r="DE10" i="9"/>
  <c r="DF10" i="9"/>
  <c r="A11" i="9"/>
  <c r="B11" i="9"/>
  <c r="C11" i="9"/>
  <c r="G11" i="9"/>
  <c r="BC11" i="9" s="1"/>
  <c r="H11" i="9"/>
  <c r="Q11" i="9" s="1"/>
  <c r="V11" i="9"/>
  <c r="W11" i="9"/>
  <c r="AG11" i="9"/>
  <c r="AH11" i="9"/>
  <c r="AS11" i="9"/>
  <c r="AT11" i="9" s="1"/>
  <c r="AV11" i="9"/>
  <c r="AX11" i="9"/>
  <c r="AY11" i="9" s="1"/>
  <c r="AZ11" i="9" s="1"/>
  <c r="BD11" i="9"/>
  <c r="BF11" i="9" s="1"/>
  <c r="BH11" i="9"/>
  <c r="BM11" i="9"/>
  <c r="BV11" i="9"/>
  <c r="BY11" i="9"/>
  <c r="BZ11" i="9"/>
  <c r="CH11" i="9"/>
  <c r="CN11" i="9"/>
  <c r="CO11" i="9"/>
  <c r="CP11" i="9"/>
  <c r="CS11" i="9"/>
  <c r="CX11" i="9"/>
  <c r="DE11" i="9"/>
  <c r="DF11" i="9"/>
  <c r="A12" i="9"/>
  <c r="B12" i="9"/>
  <c r="C12" i="9"/>
  <c r="G12" i="9"/>
  <c r="X12" i="9" s="1"/>
  <c r="H12" i="9"/>
  <c r="V12" i="9"/>
  <c r="W12" i="9"/>
  <c r="AG12" i="9"/>
  <c r="AH12" i="9"/>
  <c r="AS12" i="9"/>
  <c r="AT12" i="9" s="1"/>
  <c r="AV12" i="9"/>
  <c r="AX12" i="9"/>
  <c r="AY12" i="9" s="1"/>
  <c r="AZ12" i="9" s="1"/>
  <c r="BD12" i="9"/>
  <c r="BF12" i="9" s="1"/>
  <c r="BH12" i="9"/>
  <c r="BM12" i="9"/>
  <c r="BV12" i="9"/>
  <c r="BY12" i="9"/>
  <c r="BZ12" i="9"/>
  <c r="CH12" i="9"/>
  <c r="CN12" i="9"/>
  <c r="CO12" i="9"/>
  <c r="CP12" i="9"/>
  <c r="CS12" i="9"/>
  <c r="CX12" i="9"/>
  <c r="DE12" i="9"/>
  <c r="DF12" i="9"/>
  <c r="A13" i="9"/>
  <c r="B13" i="9"/>
  <c r="C13" i="9"/>
  <c r="G13" i="9"/>
  <c r="H13" i="9"/>
  <c r="V13" i="9"/>
  <c r="W13" i="9"/>
  <c r="AG13" i="9"/>
  <c r="AH13" i="9"/>
  <c r="AS13" i="9"/>
  <c r="AT13" i="9" s="1"/>
  <c r="AV13" i="9"/>
  <c r="AX13" i="9"/>
  <c r="AY13" i="9" s="1"/>
  <c r="AZ13" i="9" s="1"/>
  <c r="BD13" i="9"/>
  <c r="BF13" i="9" s="1"/>
  <c r="BH13" i="9"/>
  <c r="BM13" i="9"/>
  <c r="BV13" i="9"/>
  <c r="BY13" i="9"/>
  <c r="BZ13" i="9"/>
  <c r="CH13" i="9"/>
  <c r="CN13" i="9"/>
  <c r="CO13" i="9"/>
  <c r="CP13" i="9"/>
  <c r="CS13" i="9"/>
  <c r="CX13" i="9"/>
  <c r="DE13" i="9"/>
  <c r="DF13" i="9"/>
  <c r="A14" i="9"/>
  <c r="B14" i="9"/>
  <c r="C14" i="9"/>
  <c r="G14" i="9"/>
  <c r="H14" i="9"/>
  <c r="V14" i="9"/>
  <c r="W14" i="9"/>
  <c r="AG14" i="9"/>
  <c r="AH14" i="9"/>
  <c r="AS14" i="9"/>
  <c r="AT14" i="9" s="1"/>
  <c r="AV14" i="9"/>
  <c r="AX14" i="9"/>
  <c r="AY14" i="9" s="1"/>
  <c r="AZ14" i="9" s="1"/>
  <c r="BD14" i="9"/>
  <c r="BF14" i="9" s="1"/>
  <c r="BH14" i="9"/>
  <c r="BM14" i="9"/>
  <c r="BV14" i="9"/>
  <c r="BY14" i="9"/>
  <c r="BZ14" i="9"/>
  <c r="CH14" i="9"/>
  <c r="CN14" i="9"/>
  <c r="CO14" i="9"/>
  <c r="CP14" i="9"/>
  <c r="CS14" i="9"/>
  <c r="CX14" i="9"/>
  <c r="DE14" i="9"/>
  <c r="DF14" i="9"/>
  <c r="A15" i="9"/>
  <c r="B15" i="9"/>
  <c r="C15" i="9"/>
  <c r="G15" i="9"/>
  <c r="BC15" i="9" s="1"/>
  <c r="H15" i="9"/>
  <c r="Q15" i="9" s="1"/>
  <c r="V15" i="9"/>
  <c r="W15" i="9"/>
  <c r="AG15" i="9"/>
  <c r="AH15" i="9"/>
  <c r="AS15" i="9"/>
  <c r="AV15" i="9"/>
  <c r="AX15" i="9"/>
  <c r="AY15" i="9" s="1"/>
  <c r="AZ15" i="9" s="1"/>
  <c r="BD15" i="9"/>
  <c r="BF15" i="9" s="1"/>
  <c r="BH15" i="9"/>
  <c r="BM15" i="9"/>
  <c r="BV15" i="9"/>
  <c r="BY15" i="9"/>
  <c r="BZ15" i="9"/>
  <c r="CH15" i="9"/>
  <c r="CN15" i="9"/>
  <c r="CO15" i="9"/>
  <c r="CP15" i="9"/>
  <c r="CS15" i="9"/>
  <c r="CX15" i="9"/>
  <c r="DE15" i="9"/>
  <c r="DF15" i="9"/>
  <c r="A16" i="9"/>
  <c r="B16" i="9"/>
  <c r="C16" i="9"/>
  <c r="G16" i="9"/>
  <c r="BC16" i="9" s="1"/>
  <c r="H16" i="9"/>
  <c r="Q16" i="9" s="1"/>
  <c r="V16" i="9"/>
  <c r="W16" i="9"/>
  <c r="AG16" i="9"/>
  <c r="AH16" i="9"/>
  <c r="AS16" i="9"/>
  <c r="AV16" i="9"/>
  <c r="AX16" i="9"/>
  <c r="AY16" i="9" s="1"/>
  <c r="AZ16" i="9" s="1"/>
  <c r="BD16" i="9"/>
  <c r="BF16" i="9" s="1"/>
  <c r="BH16" i="9"/>
  <c r="BM16" i="9"/>
  <c r="BV16" i="9"/>
  <c r="BY16" i="9"/>
  <c r="BZ16" i="9"/>
  <c r="CH16" i="9"/>
  <c r="CN16" i="9"/>
  <c r="CO16" i="9"/>
  <c r="CP16" i="9"/>
  <c r="CS16" i="9"/>
  <c r="CX16" i="9"/>
  <c r="DE16" i="9"/>
  <c r="DF16" i="9"/>
  <c r="A17" i="9"/>
  <c r="B17" i="9"/>
  <c r="C17" i="9"/>
  <c r="G17" i="9"/>
  <c r="H17" i="9"/>
  <c r="Q17" i="9" s="1"/>
  <c r="V17" i="9"/>
  <c r="W17" i="9"/>
  <c r="AG17" i="9"/>
  <c r="AH17" i="9"/>
  <c r="AS17" i="9"/>
  <c r="AT17" i="9" s="1"/>
  <c r="AV17" i="9"/>
  <c r="AX17" i="9"/>
  <c r="AY17" i="9" s="1"/>
  <c r="AZ17" i="9" s="1"/>
  <c r="BD17" i="9"/>
  <c r="BF17" i="9" s="1"/>
  <c r="BH17" i="9"/>
  <c r="BM17" i="9"/>
  <c r="BV17" i="9"/>
  <c r="BY17" i="9"/>
  <c r="BZ17" i="9"/>
  <c r="CH17" i="9"/>
  <c r="CN17" i="9"/>
  <c r="CO17" i="9"/>
  <c r="CP17" i="9"/>
  <c r="CS17" i="9"/>
  <c r="CX17" i="9"/>
  <c r="DE17" i="9"/>
  <c r="DF17" i="9"/>
  <c r="A18" i="9"/>
  <c r="B18" i="9"/>
  <c r="C18" i="9"/>
  <c r="G18" i="9"/>
  <c r="H18" i="9"/>
  <c r="V18" i="9"/>
  <c r="W18" i="9"/>
  <c r="AG18" i="9"/>
  <c r="AH18" i="9"/>
  <c r="AS18" i="9"/>
  <c r="AT18" i="9" s="1"/>
  <c r="AV18" i="9"/>
  <c r="AX18" i="9"/>
  <c r="AY18" i="9" s="1"/>
  <c r="AZ18" i="9" s="1"/>
  <c r="BD18" i="9"/>
  <c r="BF18" i="9" s="1"/>
  <c r="BH18" i="9"/>
  <c r="BM18" i="9"/>
  <c r="BV18" i="9"/>
  <c r="BW18" i="9" s="1"/>
  <c r="BY18" i="9"/>
  <c r="BZ18" i="9"/>
  <c r="CH18" i="9"/>
  <c r="CN18" i="9"/>
  <c r="CO18" i="9"/>
  <c r="CP18" i="9"/>
  <c r="CS18" i="9"/>
  <c r="CX18" i="9"/>
  <c r="DE18" i="9"/>
  <c r="DF18" i="9"/>
  <c r="A19" i="9"/>
  <c r="B19" i="9"/>
  <c r="C19" i="9"/>
  <c r="G19" i="9"/>
  <c r="X19" i="9" s="1"/>
  <c r="H19" i="9"/>
  <c r="Q19" i="9" s="1"/>
  <c r="V19" i="9"/>
  <c r="W19" i="9"/>
  <c r="AG19" i="9"/>
  <c r="AH19" i="9"/>
  <c r="AS19" i="9"/>
  <c r="AT19" i="9" s="1"/>
  <c r="AV19" i="9"/>
  <c r="AX19" i="9"/>
  <c r="AY19" i="9" s="1"/>
  <c r="AZ19" i="9" s="1"/>
  <c r="CH19" i="9"/>
  <c r="BD19" i="9"/>
  <c r="BF19" i="9" s="1"/>
  <c r="BH19" i="9"/>
  <c r="BM19" i="9"/>
  <c r="BV19" i="9"/>
  <c r="BY19" i="9"/>
  <c r="BZ19" i="9"/>
  <c r="CN19" i="9"/>
  <c r="CO19" i="9"/>
  <c r="CP19" i="9"/>
  <c r="CS19" i="9"/>
  <c r="CX19" i="9"/>
  <c r="DE19" i="9"/>
  <c r="DF19" i="9"/>
  <c r="A20" i="9"/>
  <c r="B20" i="9"/>
  <c r="C20" i="9"/>
  <c r="G20" i="9"/>
  <c r="BC20" i="9" s="1"/>
  <c r="H20" i="9"/>
  <c r="Q20" i="9" s="1"/>
  <c r="V20" i="9"/>
  <c r="W20" i="9"/>
  <c r="AG20" i="9"/>
  <c r="AH20" i="9"/>
  <c r="AS20" i="9"/>
  <c r="AT20" i="9" s="1"/>
  <c r="AV20" i="9"/>
  <c r="AX20" i="9"/>
  <c r="AY20" i="9" s="1"/>
  <c r="AZ20" i="9" s="1"/>
  <c r="BD20" i="9"/>
  <c r="BF20" i="9" s="1"/>
  <c r="BH20" i="9"/>
  <c r="BM20" i="9"/>
  <c r="BV20" i="9"/>
  <c r="BY20" i="9"/>
  <c r="BZ20" i="9"/>
  <c r="CH20" i="9"/>
  <c r="CN20" i="9"/>
  <c r="CO20" i="9"/>
  <c r="CP20" i="9"/>
  <c r="CS20" i="9"/>
  <c r="CX20" i="9"/>
  <c r="DE20" i="9"/>
  <c r="DF20" i="9"/>
  <c r="A21" i="9"/>
  <c r="B21" i="9"/>
  <c r="C21" i="9"/>
  <c r="G21" i="9"/>
  <c r="BJ21" i="9" s="1"/>
  <c r="H21" i="9"/>
  <c r="Q21" i="9" s="1"/>
  <c r="V21" i="9"/>
  <c r="AV21" i="9"/>
  <c r="W21" i="9"/>
  <c r="AG21" i="9"/>
  <c r="AH21" i="9"/>
  <c r="AS21" i="9"/>
  <c r="AT21" i="9" s="1"/>
  <c r="AX21" i="9"/>
  <c r="AY21" i="9" s="1"/>
  <c r="AZ21" i="9" s="1"/>
  <c r="BD21" i="9"/>
  <c r="BF21" i="9" s="1"/>
  <c r="BH21" i="9"/>
  <c r="BM21" i="9"/>
  <c r="BV21" i="9"/>
  <c r="BY21" i="9"/>
  <c r="BZ21" i="9"/>
  <c r="CH21" i="9"/>
  <c r="CN21" i="9"/>
  <c r="CO21" i="9"/>
  <c r="CP21" i="9"/>
  <c r="CS21" i="9"/>
  <c r="CX21" i="9"/>
  <c r="DE21" i="9"/>
  <c r="DF21" i="9"/>
  <c r="A22" i="9"/>
  <c r="B22" i="9"/>
  <c r="C22" i="9"/>
  <c r="G22" i="9"/>
  <c r="H22" i="9"/>
  <c r="V22" i="9"/>
  <c r="W22" i="9"/>
  <c r="AG22" i="9"/>
  <c r="AH22" i="9"/>
  <c r="AS22" i="9"/>
  <c r="AT22" i="9" s="1"/>
  <c r="AV22" i="9"/>
  <c r="AX22" i="9"/>
  <c r="AY22" i="9" s="1"/>
  <c r="AZ22" i="9" s="1"/>
  <c r="BD22" i="9"/>
  <c r="BF22" i="9" s="1"/>
  <c r="BH22" i="9"/>
  <c r="BM22" i="9"/>
  <c r="BV22" i="9"/>
  <c r="BY22" i="9"/>
  <c r="BZ22" i="9"/>
  <c r="CH22" i="9"/>
  <c r="CN22" i="9"/>
  <c r="CO22" i="9"/>
  <c r="CP22" i="9"/>
  <c r="CS22" i="9"/>
  <c r="CX22" i="9"/>
  <c r="DE22" i="9"/>
  <c r="DF22" i="9"/>
  <c r="A23" i="9"/>
  <c r="B23" i="9"/>
  <c r="C23" i="9"/>
  <c r="G23" i="9"/>
  <c r="H23" i="9"/>
  <c r="Q23" i="9" s="1"/>
  <c r="V23" i="9"/>
  <c r="W23" i="9"/>
  <c r="AG23" i="9"/>
  <c r="AH23" i="9"/>
  <c r="AS23" i="9"/>
  <c r="AV23" i="9"/>
  <c r="AX23" i="9"/>
  <c r="AY23" i="9" s="1"/>
  <c r="AZ23" i="9" s="1"/>
  <c r="BD23" i="9"/>
  <c r="BF23" i="9" s="1"/>
  <c r="BH23" i="9"/>
  <c r="BM23" i="9"/>
  <c r="BV23" i="9"/>
  <c r="BW23" i="9" s="1"/>
  <c r="BY23" i="9"/>
  <c r="BZ23" i="9"/>
  <c r="CH23" i="9"/>
  <c r="CN23" i="9"/>
  <c r="CO23" i="9"/>
  <c r="CP23" i="9"/>
  <c r="CS23" i="9"/>
  <c r="CX23" i="9"/>
  <c r="DE23" i="9"/>
  <c r="DF23" i="9"/>
  <c r="A24" i="9"/>
  <c r="B24" i="9"/>
  <c r="C24" i="9"/>
  <c r="G24" i="9"/>
  <c r="BJ24" i="9" s="1"/>
  <c r="H24" i="9"/>
  <c r="V24" i="9"/>
  <c r="W24" i="9"/>
  <c r="AG24" i="9"/>
  <c r="AH24" i="9"/>
  <c r="AS24" i="9"/>
  <c r="AT24" i="9" s="1"/>
  <c r="AV24" i="9"/>
  <c r="AX24" i="9"/>
  <c r="AY24" i="9" s="1"/>
  <c r="AZ24" i="9" s="1"/>
  <c r="BD24" i="9"/>
  <c r="BF24" i="9" s="1"/>
  <c r="BH24" i="9"/>
  <c r="BM24" i="9"/>
  <c r="BV24" i="9"/>
  <c r="BY24" i="9"/>
  <c r="BZ24" i="9"/>
  <c r="CH24" i="9"/>
  <c r="CN24" i="9"/>
  <c r="CO24" i="9"/>
  <c r="CP24" i="9"/>
  <c r="CS24" i="9"/>
  <c r="CX24" i="9"/>
  <c r="DE24" i="9"/>
  <c r="DF24" i="9"/>
  <c r="A25" i="9"/>
  <c r="B25" i="9"/>
  <c r="C25" i="9"/>
  <c r="G25" i="9"/>
  <c r="H25" i="9"/>
  <c r="Q25" i="9" s="1"/>
  <c r="V25" i="9"/>
  <c r="W25" i="9"/>
  <c r="AG25" i="9"/>
  <c r="AH25" i="9"/>
  <c r="AS25" i="9"/>
  <c r="AV25" i="9"/>
  <c r="AX25" i="9"/>
  <c r="AY25" i="9" s="1"/>
  <c r="AZ25" i="9" s="1"/>
  <c r="BD25" i="9"/>
  <c r="BF25" i="9" s="1"/>
  <c r="BH25" i="9"/>
  <c r="BM25" i="9"/>
  <c r="BV25" i="9"/>
  <c r="BW25" i="9" s="1"/>
  <c r="BY25" i="9"/>
  <c r="BZ25" i="9"/>
  <c r="CH25" i="9"/>
  <c r="CN25" i="9"/>
  <c r="CO25" i="9"/>
  <c r="CP25" i="9"/>
  <c r="CS25" i="9"/>
  <c r="CX25" i="9"/>
  <c r="DE25" i="9"/>
  <c r="DF25" i="9"/>
  <c r="A26" i="9"/>
  <c r="B26" i="9"/>
  <c r="C26" i="9"/>
  <c r="G26" i="9"/>
  <c r="H26" i="9"/>
  <c r="V26" i="9"/>
  <c r="W26" i="9"/>
  <c r="AG26" i="9"/>
  <c r="AH26" i="9"/>
  <c r="AS26" i="9"/>
  <c r="AV26" i="9"/>
  <c r="AX26" i="9"/>
  <c r="AY26" i="9" s="1"/>
  <c r="AZ26" i="9" s="1"/>
  <c r="BD26" i="9"/>
  <c r="BF26" i="9" s="1"/>
  <c r="BH26" i="9"/>
  <c r="BM26" i="9"/>
  <c r="BV26" i="9"/>
  <c r="BY26" i="9"/>
  <c r="BZ26" i="9"/>
  <c r="CH26" i="9"/>
  <c r="CN26" i="9"/>
  <c r="CO26" i="9"/>
  <c r="CP26" i="9"/>
  <c r="CS26" i="9"/>
  <c r="CX26" i="9"/>
  <c r="DE26" i="9"/>
  <c r="DF26" i="9"/>
  <c r="A27" i="9"/>
  <c r="B27" i="9"/>
  <c r="C27" i="9"/>
  <c r="G27" i="9"/>
  <c r="BD27" i="9"/>
  <c r="BF27" i="9" s="1"/>
  <c r="H27" i="9"/>
  <c r="Q27" i="9" s="1"/>
  <c r="V27" i="9"/>
  <c r="W27" i="9"/>
  <c r="AG27" i="9"/>
  <c r="AH27" i="9"/>
  <c r="AS27" i="9"/>
  <c r="AT27" i="9" s="1"/>
  <c r="AV27" i="9"/>
  <c r="AX27" i="9"/>
  <c r="AY27" i="9" s="1"/>
  <c r="AZ27" i="9" s="1"/>
  <c r="BH27" i="9"/>
  <c r="BM27" i="9"/>
  <c r="BV27" i="9"/>
  <c r="BW27" i="9" s="1"/>
  <c r="BY27" i="9"/>
  <c r="BZ27" i="9"/>
  <c r="CH27" i="9"/>
  <c r="CN27" i="9"/>
  <c r="CO27" i="9"/>
  <c r="CP27" i="9"/>
  <c r="CS27" i="9"/>
  <c r="CX27" i="9"/>
  <c r="DE27" i="9"/>
  <c r="DF27" i="9"/>
  <c r="A28" i="9"/>
  <c r="B28" i="9"/>
  <c r="C28" i="9"/>
  <c r="G28" i="9"/>
  <c r="H28" i="9"/>
  <c r="Q28" i="9" s="1"/>
  <c r="V28" i="9"/>
  <c r="W28" i="9"/>
  <c r="AG28" i="9"/>
  <c r="AH28" i="9"/>
  <c r="AS28" i="9"/>
  <c r="AT28" i="9" s="1"/>
  <c r="AV28" i="9"/>
  <c r="AX28" i="9"/>
  <c r="AY28" i="9" s="1"/>
  <c r="AZ28" i="9" s="1"/>
  <c r="BD28" i="9"/>
  <c r="BF28" i="9" s="1"/>
  <c r="BH28" i="9"/>
  <c r="BM28" i="9"/>
  <c r="BV28" i="9"/>
  <c r="BY28" i="9"/>
  <c r="BZ28" i="9"/>
  <c r="CH28" i="9"/>
  <c r="CN28" i="9"/>
  <c r="CO28" i="9"/>
  <c r="CP28" i="9"/>
  <c r="CS28" i="9"/>
  <c r="CX28" i="9"/>
  <c r="DE28" i="9"/>
  <c r="DF28" i="9"/>
  <c r="A29" i="9"/>
  <c r="B29" i="9"/>
  <c r="C29" i="9"/>
  <c r="G29" i="9"/>
  <c r="BC29" i="9" s="1"/>
  <c r="H29" i="9"/>
  <c r="Q29" i="9" s="1"/>
  <c r="V29" i="9"/>
  <c r="W29" i="9"/>
  <c r="AG29" i="9"/>
  <c r="AH29" i="9"/>
  <c r="AS29" i="9"/>
  <c r="AV29" i="9"/>
  <c r="AX29" i="9"/>
  <c r="AY29" i="9" s="1"/>
  <c r="AZ29" i="9" s="1"/>
  <c r="BD29" i="9"/>
  <c r="BF29" i="9" s="1"/>
  <c r="BH29" i="9"/>
  <c r="BM29" i="9"/>
  <c r="BV29" i="9"/>
  <c r="BY29" i="9"/>
  <c r="BZ29" i="9"/>
  <c r="CH29" i="9"/>
  <c r="CN29" i="9"/>
  <c r="CO29" i="9"/>
  <c r="CP29" i="9"/>
  <c r="CS29" i="9"/>
  <c r="CX29" i="9"/>
  <c r="DE29" i="9"/>
  <c r="DF29" i="9"/>
  <c r="A30" i="9"/>
  <c r="B30" i="9"/>
  <c r="C30" i="9"/>
  <c r="G30" i="9"/>
  <c r="H30" i="9"/>
  <c r="V30" i="9"/>
  <c r="W30" i="9"/>
  <c r="AG30" i="9"/>
  <c r="AH30" i="9"/>
  <c r="AS30" i="9"/>
  <c r="AT30" i="9" s="1"/>
  <c r="AV30" i="9"/>
  <c r="AX30" i="9"/>
  <c r="AY30" i="9" s="1"/>
  <c r="AZ30" i="9" s="1"/>
  <c r="BD30" i="9"/>
  <c r="BF30" i="9" s="1"/>
  <c r="BH30" i="9"/>
  <c r="BM30" i="9"/>
  <c r="BV30" i="9"/>
  <c r="BW30" i="9" s="1"/>
  <c r="BY30" i="9"/>
  <c r="BZ30" i="9"/>
  <c r="CH30" i="9"/>
  <c r="CN30" i="9"/>
  <c r="CO30" i="9"/>
  <c r="CP30" i="9"/>
  <c r="CS30" i="9"/>
  <c r="CX30" i="9"/>
  <c r="DE30" i="9"/>
  <c r="DF30" i="9"/>
  <c r="A31" i="9"/>
  <c r="B31" i="9"/>
  <c r="C31" i="9"/>
  <c r="G31" i="9"/>
  <c r="BJ31" i="9" s="1"/>
  <c r="H31" i="9"/>
  <c r="Q31" i="9" s="1"/>
  <c r="V31" i="9"/>
  <c r="W31" i="9"/>
  <c r="AG31" i="9"/>
  <c r="AH31" i="9"/>
  <c r="AS31" i="9"/>
  <c r="AT31" i="9" s="1"/>
  <c r="AV31" i="9"/>
  <c r="AX31" i="9"/>
  <c r="AY31" i="9" s="1"/>
  <c r="AZ31" i="9" s="1"/>
  <c r="BD31" i="9"/>
  <c r="BF31" i="9" s="1"/>
  <c r="BH31" i="9"/>
  <c r="BM31" i="9"/>
  <c r="BV31" i="9"/>
  <c r="BY31" i="9"/>
  <c r="BZ31" i="9"/>
  <c r="CH31" i="9"/>
  <c r="CN31" i="9"/>
  <c r="CO31" i="9"/>
  <c r="CP31" i="9"/>
  <c r="CS31" i="9"/>
  <c r="CX31" i="9"/>
  <c r="DE31" i="9"/>
  <c r="DF31" i="9"/>
  <c r="A32" i="9"/>
  <c r="B32" i="9"/>
  <c r="C32" i="9"/>
  <c r="G32" i="9"/>
  <c r="BC32" i="9" s="1"/>
  <c r="H32" i="9"/>
  <c r="Q32" i="9" s="1"/>
  <c r="V32" i="9"/>
  <c r="W32" i="9"/>
  <c r="AG32" i="9"/>
  <c r="AH32" i="9"/>
  <c r="AS32" i="9"/>
  <c r="AT32" i="9" s="1"/>
  <c r="AV32" i="9"/>
  <c r="AX32" i="9"/>
  <c r="AY32" i="9" s="1"/>
  <c r="AZ32" i="9" s="1"/>
  <c r="BD32" i="9"/>
  <c r="BF32" i="9" s="1"/>
  <c r="BH32" i="9"/>
  <c r="BM32" i="9"/>
  <c r="BV32" i="9"/>
  <c r="BY32" i="9"/>
  <c r="BZ32" i="9"/>
  <c r="CH32" i="9"/>
  <c r="CN32" i="9"/>
  <c r="CO32" i="9"/>
  <c r="CP32" i="9"/>
  <c r="CS32" i="9"/>
  <c r="CX32" i="9"/>
  <c r="DE32" i="9"/>
  <c r="DF32" i="9"/>
  <c r="A33" i="9"/>
  <c r="B33" i="9"/>
  <c r="C33" i="9"/>
  <c r="G33" i="9"/>
  <c r="BJ33" i="9" s="1"/>
  <c r="H33" i="9"/>
  <c r="Q33" i="9" s="1"/>
  <c r="V33" i="9"/>
  <c r="W33" i="9"/>
  <c r="AG33" i="9"/>
  <c r="AH33" i="9"/>
  <c r="AS33" i="9"/>
  <c r="AV33" i="9"/>
  <c r="AX33" i="9"/>
  <c r="AY33" i="9" s="1"/>
  <c r="AZ33" i="9" s="1"/>
  <c r="BD33" i="9"/>
  <c r="BF33" i="9" s="1"/>
  <c r="BH33" i="9"/>
  <c r="BM33" i="9"/>
  <c r="BV33" i="9"/>
  <c r="BY33" i="9"/>
  <c r="BZ33" i="9"/>
  <c r="CH33" i="9"/>
  <c r="CN33" i="9"/>
  <c r="CO33" i="9"/>
  <c r="CP33" i="9"/>
  <c r="CS33" i="9"/>
  <c r="CX33" i="9"/>
  <c r="DE33" i="9"/>
  <c r="DF33" i="9"/>
  <c r="A34" i="9"/>
  <c r="B34" i="9"/>
  <c r="C34" i="9"/>
  <c r="G34" i="9"/>
  <c r="H34" i="9"/>
  <c r="V34" i="9"/>
  <c r="W34" i="9"/>
  <c r="AG34" i="9"/>
  <c r="AH34" i="9"/>
  <c r="AS34" i="9"/>
  <c r="AT34" i="9" s="1"/>
  <c r="AV34" i="9"/>
  <c r="AX34" i="9"/>
  <c r="AY34" i="9" s="1"/>
  <c r="AZ34" i="9" s="1"/>
  <c r="BD34" i="9"/>
  <c r="BF34" i="9" s="1"/>
  <c r="BH34" i="9"/>
  <c r="BM34" i="9"/>
  <c r="BV34" i="9"/>
  <c r="BY34" i="9"/>
  <c r="BZ34" i="9"/>
  <c r="CH34" i="9"/>
  <c r="CN34" i="9"/>
  <c r="CO34" i="9"/>
  <c r="CP34" i="9"/>
  <c r="CS34" i="9"/>
  <c r="CX34" i="9"/>
  <c r="DE34" i="9"/>
  <c r="DF34" i="9"/>
  <c r="A35" i="9"/>
  <c r="B35" i="9"/>
  <c r="C35" i="9"/>
  <c r="G35" i="9"/>
  <c r="BC35" i="9" s="1"/>
  <c r="H35" i="9"/>
  <c r="V35" i="9"/>
  <c r="W35" i="9"/>
  <c r="AG35" i="9"/>
  <c r="AH35" i="9"/>
  <c r="AS35" i="9"/>
  <c r="AT35" i="9" s="1"/>
  <c r="AV35" i="9"/>
  <c r="AX35" i="9"/>
  <c r="AY35" i="9" s="1"/>
  <c r="AZ35" i="9" s="1"/>
  <c r="BD35" i="9"/>
  <c r="BH35" i="9"/>
  <c r="BM35" i="9"/>
  <c r="BV35" i="9"/>
  <c r="BY35" i="9"/>
  <c r="BZ35" i="9"/>
  <c r="CH35" i="9"/>
  <c r="CN35" i="9"/>
  <c r="CO35" i="9"/>
  <c r="CP35" i="9"/>
  <c r="CS35" i="9"/>
  <c r="CX35" i="9"/>
  <c r="DE35" i="9"/>
  <c r="DF35" i="9"/>
  <c r="A36" i="9"/>
  <c r="B36" i="9"/>
  <c r="C36" i="9"/>
  <c r="G36" i="9"/>
  <c r="BC36" i="9" s="1"/>
  <c r="H36" i="9"/>
  <c r="Q36" i="9" s="1"/>
  <c r="V36" i="9"/>
  <c r="W36" i="9"/>
  <c r="AG36" i="9"/>
  <c r="AH36" i="9"/>
  <c r="AS36" i="9"/>
  <c r="AV36" i="9"/>
  <c r="AX36" i="9"/>
  <c r="AY36" i="9" s="1"/>
  <c r="AZ36" i="9" s="1"/>
  <c r="BD36" i="9"/>
  <c r="BF36" i="9" s="1"/>
  <c r="BH36" i="9"/>
  <c r="BM36" i="9"/>
  <c r="BV36" i="9"/>
  <c r="BX36" i="9" s="1"/>
  <c r="BY36" i="9"/>
  <c r="BZ36" i="9"/>
  <c r="CH36" i="9"/>
  <c r="CN36" i="9"/>
  <c r="CO36" i="9"/>
  <c r="CP36" i="9"/>
  <c r="CS36" i="9"/>
  <c r="CX36" i="9"/>
  <c r="DE36" i="9"/>
  <c r="DF36" i="9"/>
  <c r="A37" i="9"/>
  <c r="B37" i="9"/>
  <c r="C37" i="9"/>
  <c r="G37" i="9"/>
  <c r="BJ37" i="9" s="1"/>
  <c r="H37" i="9"/>
  <c r="Q37" i="9" s="1"/>
  <c r="V37" i="9"/>
  <c r="W37" i="9"/>
  <c r="AG37" i="9"/>
  <c r="AH37" i="9"/>
  <c r="AS37" i="9"/>
  <c r="AT37" i="9" s="1"/>
  <c r="AV37" i="9"/>
  <c r="AX37" i="9"/>
  <c r="AY37" i="9" s="1"/>
  <c r="AZ37" i="9" s="1"/>
  <c r="BD37" i="9"/>
  <c r="BF37" i="9" s="1"/>
  <c r="BH37" i="9"/>
  <c r="BM37" i="9"/>
  <c r="BV37" i="9"/>
  <c r="BY37" i="9"/>
  <c r="BZ37" i="9"/>
  <c r="CH37" i="9"/>
  <c r="CN37" i="9"/>
  <c r="CO37" i="9"/>
  <c r="CP37" i="9"/>
  <c r="CS37" i="9"/>
  <c r="CX37" i="9"/>
  <c r="DE37" i="9"/>
  <c r="DF37" i="9"/>
  <c r="A38" i="9"/>
  <c r="B38" i="9"/>
  <c r="C38" i="9"/>
  <c r="G38" i="9"/>
  <c r="X38" i="9" s="1"/>
  <c r="H38" i="9"/>
  <c r="Q38" i="9" s="1"/>
  <c r="T38" i="9" s="1"/>
  <c r="AL38" i="9" s="1"/>
  <c r="V38" i="9"/>
  <c r="W38" i="9"/>
  <c r="AG38" i="9"/>
  <c r="AH38" i="9"/>
  <c r="AS38" i="9"/>
  <c r="AT38" i="9" s="1"/>
  <c r="AV38" i="9"/>
  <c r="AX38" i="9"/>
  <c r="AY38" i="9" s="1"/>
  <c r="AZ38" i="9" s="1"/>
  <c r="BD38" i="9"/>
  <c r="BF38" i="9" s="1"/>
  <c r="BH38" i="9"/>
  <c r="BM38" i="9"/>
  <c r="BV38" i="9"/>
  <c r="BY38" i="9"/>
  <c r="BZ38" i="9"/>
  <c r="CH38" i="9"/>
  <c r="CN38" i="9"/>
  <c r="CO38" i="9"/>
  <c r="CP38" i="9"/>
  <c r="CS38" i="9"/>
  <c r="CX38" i="9"/>
  <c r="DE38" i="9"/>
  <c r="DF38" i="9"/>
  <c r="A39" i="9"/>
  <c r="B39" i="9"/>
  <c r="C39" i="9"/>
  <c r="G39" i="9"/>
  <c r="H39" i="9"/>
  <c r="V39" i="9"/>
  <c r="W39" i="9"/>
  <c r="AG39" i="9"/>
  <c r="AH39" i="9"/>
  <c r="AS39" i="9"/>
  <c r="AT39" i="9" s="1"/>
  <c r="AV39" i="9"/>
  <c r="AX39" i="9"/>
  <c r="AY39" i="9" s="1"/>
  <c r="AZ39" i="9" s="1"/>
  <c r="BD39" i="9"/>
  <c r="BF39" i="9" s="1"/>
  <c r="BH39" i="9"/>
  <c r="BM39" i="9"/>
  <c r="BV39" i="9"/>
  <c r="BY39" i="9"/>
  <c r="BZ39" i="9"/>
  <c r="CH39" i="9"/>
  <c r="CN39" i="9"/>
  <c r="CO39" i="9"/>
  <c r="CP39" i="9"/>
  <c r="CS39" i="9"/>
  <c r="CX39" i="9"/>
  <c r="DE39" i="9"/>
  <c r="DF39" i="9"/>
  <c r="A40" i="9"/>
  <c r="B40" i="9"/>
  <c r="C40" i="9"/>
  <c r="V40" i="9"/>
  <c r="W40" i="9"/>
  <c r="BD40" i="9"/>
  <c r="BF40" i="9" s="1"/>
  <c r="BH40" i="9"/>
  <c r="BM40" i="9"/>
  <c r="BV40" i="9"/>
  <c r="BY40" i="9"/>
  <c r="BZ40" i="9"/>
  <c r="CH40" i="9"/>
  <c r="CN40" i="9"/>
  <c r="CO40" i="9"/>
  <c r="CP40" i="9"/>
  <c r="CS40" i="9"/>
  <c r="CX40" i="9"/>
  <c r="DE40" i="9"/>
  <c r="DF40" i="9"/>
  <c r="A41" i="9"/>
  <c r="B41" i="9"/>
  <c r="C41" i="9"/>
  <c r="V41" i="9"/>
  <c r="AW41" i="9" s="1"/>
  <c r="W41" i="9"/>
  <c r="BD41" i="9"/>
  <c r="BF41" i="9" s="1"/>
  <c r="BH41" i="9"/>
  <c r="BM41" i="9"/>
  <c r="BV41" i="9"/>
  <c r="BY41" i="9"/>
  <c r="BZ41" i="9"/>
  <c r="CH41" i="9"/>
  <c r="CN41" i="9"/>
  <c r="CO41" i="9"/>
  <c r="CP41" i="9"/>
  <c r="CS41" i="9"/>
  <c r="CX41" i="9"/>
  <c r="DE41" i="9"/>
  <c r="DF41" i="9"/>
  <c r="A42" i="9"/>
  <c r="B42" i="9"/>
  <c r="C42" i="9"/>
  <c r="BJ42" i="9"/>
  <c r="V42" i="9"/>
  <c r="AW42" i="9" s="1"/>
  <c r="W42" i="9"/>
  <c r="BD42" i="9"/>
  <c r="BF42" i="9" s="1"/>
  <c r="BH42" i="9"/>
  <c r="BM42" i="9"/>
  <c r="BV42" i="9"/>
  <c r="BW42" i="9" s="1"/>
  <c r="BY42" i="9"/>
  <c r="BZ42" i="9"/>
  <c r="CH42" i="9"/>
  <c r="CN42" i="9"/>
  <c r="CO42" i="9"/>
  <c r="CP42" i="9"/>
  <c r="CS42" i="9"/>
  <c r="CX42" i="9"/>
  <c r="DE42" i="9"/>
  <c r="DF42" i="9"/>
  <c r="A43" i="9"/>
  <c r="B43" i="9"/>
  <c r="C43" i="9"/>
  <c r="BC43" i="9"/>
  <c r="V43" i="9"/>
  <c r="AW43" i="9" s="1"/>
  <c r="W43" i="9"/>
  <c r="BD43" i="9"/>
  <c r="BF43" i="9" s="1"/>
  <c r="BH43" i="9"/>
  <c r="BM43" i="9"/>
  <c r="BV43" i="9"/>
  <c r="BY43" i="9"/>
  <c r="BZ43" i="9"/>
  <c r="CH43" i="9"/>
  <c r="CN43" i="9"/>
  <c r="CO43" i="9"/>
  <c r="CP43" i="9"/>
  <c r="CS43" i="9"/>
  <c r="CX43" i="9"/>
  <c r="DE43" i="9"/>
  <c r="DF43" i="9"/>
  <c r="A44" i="9"/>
  <c r="B44" i="9"/>
  <c r="C44" i="9"/>
  <c r="BJ44" i="9"/>
  <c r="V44" i="9"/>
  <c r="BG44" i="9" s="1"/>
  <c r="W44" i="9"/>
  <c r="BD44" i="9"/>
  <c r="BF44" i="9" s="1"/>
  <c r="BH44" i="9"/>
  <c r="BM44" i="9"/>
  <c r="BV44" i="9"/>
  <c r="BY44" i="9"/>
  <c r="BZ44" i="9"/>
  <c r="CH44" i="9"/>
  <c r="CO44" i="9"/>
  <c r="CP44" i="9"/>
  <c r="CS44" i="9"/>
  <c r="CX44" i="9"/>
  <c r="DE44" i="9"/>
  <c r="DF44" i="9"/>
  <c r="A45" i="9"/>
  <c r="B45" i="9"/>
  <c r="C45" i="9"/>
  <c r="V45" i="9"/>
  <c r="AW45" i="9" s="1"/>
  <c r="W45" i="9"/>
  <c r="BD45" i="9"/>
  <c r="BF45" i="9" s="1"/>
  <c r="BH45" i="9"/>
  <c r="BM45" i="9"/>
  <c r="BV45" i="9"/>
  <c r="BW45" i="9" s="1"/>
  <c r="BY45" i="9"/>
  <c r="BZ45" i="9"/>
  <c r="CH45" i="9"/>
  <c r="CO45" i="9"/>
  <c r="CP45" i="9"/>
  <c r="CS45" i="9"/>
  <c r="CX45" i="9"/>
  <c r="DE45" i="9"/>
  <c r="DF45" i="9"/>
  <c r="A46" i="9"/>
  <c r="B46" i="9"/>
  <c r="C46" i="9"/>
  <c r="G46" i="9"/>
  <c r="X46" i="9" s="1"/>
  <c r="H46" i="9"/>
  <c r="V46" i="9"/>
  <c r="W46" i="9"/>
  <c r="AG46" i="9"/>
  <c r="AH46" i="9"/>
  <c r="AS46" i="9"/>
  <c r="AT46" i="9" s="1"/>
  <c r="AV46" i="9"/>
  <c r="AX46" i="9"/>
  <c r="AY46" i="9" s="1"/>
  <c r="AZ46" i="9" s="1"/>
  <c r="BD46" i="9"/>
  <c r="BH46" i="9"/>
  <c r="BM46" i="9"/>
  <c r="BV46" i="9"/>
  <c r="BX46" i="9" s="1"/>
  <c r="BY46" i="9"/>
  <c r="BZ46" i="9"/>
  <c r="CH46" i="9"/>
  <c r="CN46" i="9"/>
  <c r="CO46" i="9"/>
  <c r="CP46" i="9"/>
  <c r="CS46" i="9"/>
  <c r="CX46" i="9"/>
  <c r="DE46" i="9"/>
  <c r="DF46" i="9"/>
  <c r="A47" i="9"/>
  <c r="B47" i="9"/>
  <c r="C47" i="9"/>
  <c r="G47" i="9"/>
  <c r="BJ47" i="9" s="1"/>
  <c r="H47" i="9"/>
  <c r="Q47" i="9" s="1"/>
  <c r="S47" i="9" s="1"/>
  <c r="V47" i="9"/>
  <c r="BG47" i="9" s="1"/>
  <c r="W47" i="9"/>
  <c r="AG47" i="9"/>
  <c r="AH47" i="9"/>
  <c r="AS47" i="9"/>
  <c r="AT47" i="9" s="1"/>
  <c r="AV47" i="9"/>
  <c r="AX47" i="9"/>
  <c r="AY47" i="9" s="1"/>
  <c r="AZ47" i="9" s="1"/>
  <c r="BD47" i="9"/>
  <c r="BF47" i="9" s="1"/>
  <c r="BH47" i="9"/>
  <c r="BM47" i="9"/>
  <c r="BV47" i="9"/>
  <c r="BW47" i="9" s="1"/>
  <c r="BY47" i="9"/>
  <c r="BZ47" i="9"/>
  <c r="CH47" i="9"/>
  <c r="CN47" i="9"/>
  <c r="CO47" i="9"/>
  <c r="CP47" i="9"/>
  <c r="CS47" i="9"/>
  <c r="CX47" i="9"/>
  <c r="DE47" i="9"/>
  <c r="DF47" i="9"/>
  <c r="A48" i="9"/>
  <c r="B48" i="9"/>
  <c r="C48" i="9"/>
  <c r="G48" i="9"/>
  <c r="BJ48" i="9" s="1"/>
  <c r="H48" i="9"/>
  <c r="V48" i="9"/>
  <c r="W48" i="9"/>
  <c r="AG48" i="9"/>
  <c r="AH48" i="9"/>
  <c r="AS48" i="9"/>
  <c r="AT48" i="9" s="1"/>
  <c r="AV48" i="9"/>
  <c r="AX48" i="9"/>
  <c r="AY48" i="9" s="1"/>
  <c r="AZ48" i="9" s="1"/>
  <c r="BD48" i="9"/>
  <c r="BF48" i="9" s="1"/>
  <c r="BH48" i="9"/>
  <c r="BM48" i="9"/>
  <c r="BV48" i="9"/>
  <c r="BX48" i="9" s="1"/>
  <c r="BY48" i="9"/>
  <c r="BZ48" i="9"/>
  <c r="CH48" i="9"/>
  <c r="CN48" i="9"/>
  <c r="CO48" i="9"/>
  <c r="CP48" i="9"/>
  <c r="CS48" i="9"/>
  <c r="CX48" i="9"/>
  <c r="DE48" i="9"/>
  <c r="DF48" i="9"/>
  <c r="A49" i="9"/>
  <c r="B49" i="9"/>
  <c r="C49" i="9"/>
  <c r="G49" i="9"/>
  <c r="BC49" i="9" s="1"/>
  <c r="BD49" i="9"/>
  <c r="BF49" i="9" s="1"/>
  <c r="H49" i="9"/>
  <c r="Q49" i="9" s="1"/>
  <c r="V49" i="9"/>
  <c r="W49" i="9"/>
  <c r="AG49" i="9"/>
  <c r="AH49" i="9"/>
  <c r="AS49" i="9"/>
  <c r="AV49" i="9"/>
  <c r="AX49" i="9"/>
  <c r="AY49" i="9" s="1"/>
  <c r="AZ49" i="9" s="1"/>
  <c r="BH49" i="9"/>
  <c r="BM49" i="9"/>
  <c r="BV49" i="9"/>
  <c r="BX49" i="9" s="1"/>
  <c r="BY49" i="9"/>
  <c r="BZ49" i="9"/>
  <c r="CH49" i="9"/>
  <c r="CN49" i="9"/>
  <c r="CO49" i="9"/>
  <c r="CP49" i="9"/>
  <c r="CS49" i="9"/>
  <c r="CX49" i="9"/>
  <c r="DE49" i="9"/>
  <c r="DF49" i="9"/>
  <c r="A50" i="9"/>
  <c r="B50" i="9"/>
  <c r="C50" i="9"/>
  <c r="G50" i="9"/>
  <c r="H50" i="9"/>
  <c r="Q50" i="9" s="1"/>
  <c r="T50" i="9" s="1"/>
  <c r="AL50" i="9" s="1"/>
  <c r="V50" i="9"/>
  <c r="W50" i="9"/>
  <c r="AG50" i="9"/>
  <c r="AH50" i="9"/>
  <c r="AS50" i="9"/>
  <c r="AT50" i="9" s="1"/>
  <c r="AV50" i="9"/>
  <c r="AX50" i="9"/>
  <c r="AY50" i="9" s="1"/>
  <c r="AZ50" i="9" s="1"/>
  <c r="BD50" i="9"/>
  <c r="BF50" i="9" s="1"/>
  <c r="BH50" i="9"/>
  <c r="BM50" i="9"/>
  <c r="BV50" i="9"/>
  <c r="BW50" i="9" s="1"/>
  <c r="BY50" i="9"/>
  <c r="BZ50" i="9"/>
  <c r="CH50" i="9"/>
  <c r="CN50" i="9"/>
  <c r="CO50" i="9"/>
  <c r="CP50" i="9"/>
  <c r="CS50" i="9"/>
  <c r="CX50" i="9"/>
  <c r="DE50" i="9"/>
  <c r="DF50" i="9"/>
  <c r="A51" i="9"/>
  <c r="B51" i="9"/>
  <c r="C51" i="9"/>
  <c r="G51" i="9"/>
  <c r="H51" i="9"/>
  <c r="Q51" i="9" s="1"/>
  <c r="V51" i="9"/>
  <c r="W51" i="9"/>
  <c r="AG51" i="9"/>
  <c r="AH51" i="9"/>
  <c r="AS51" i="9"/>
  <c r="AT51" i="9" s="1"/>
  <c r="AV51" i="9"/>
  <c r="AX51" i="9"/>
  <c r="AY51" i="9" s="1"/>
  <c r="AZ51" i="9" s="1"/>
  <c r="BD51" i="9"/>
  <c r="BF51" i="9" s="1"/>
  <c r="BH51" i="9"/>
  <c r="BM51" i="9"/>
  <c r="BV51" i="9"/>
  <c r="BW51" i="9" s="1"/>
  <c r="BY51" i="9"/>
  <c r="BZ51" i="9"/>
  <c r="CH51" i="9"/>
  <c r="CN51" i="9"/>
  <c r="CO51" i="9"/>
  <c r="CP51" i="9"/>
  <c r="CS51" i="9"/>
  <c r="CX51" i="9"/>
  <c r="DE51" i="9"/>
  <c r="DF51" i="9"/>
  <c r="A52" i="9"/>
  <c r="B52" i="9"/>
  <c r="C52" i="9"/>
  <c r="BC52" i="9"/>
  <c r="V52" i="9"/>
  <c r="W52" i="9"/>
  <c r="AG52" i="9"/>
  <c r="AH52" i="9"/>
  <c r="AS52" i="9"/>
  <c r="AT52" i="9" s="1"/>
  <c r="AV52" i="9"/>
  <c r="AX52" i="9"/>
  <c r="AY52" i="9" s="1"/>
  <c r="AZ52" i="9" s="1"/>
  <c r="BD52" i="9"/>
  <c r="BF52" i="9" s="1"/>
  <c r="BH52" i="9"/>
  <c r="BM52" i="9"/>
  <c r="BV52" i="9"/>
  <c r="BY52" i="9"/>
  <c r="BZ52" i="9"/>
  <c r="CH52" i="9"/>
  <c r="CO52" i="9"/>
  <c r="CP52" i="9"/>
  <c r="CS52" i="9"/>
  <c r="CX52" i="9"/>
  <c r="DE52" i="9"/>
  <c r="DF52" i="9"/>
  <c r="A53" i="9"/>
  <c r="B53" i="9"/>
  <c r="C53" i="9"/>
  <c r="BC53" i="9"/>
  <c r="BD53" i="9"/>
  <c r="BF53" i="9" s="1"/>
  <c r="V53" i="9"/>
  <c r="W53" i="9"/>
  <c r="BH53" i="9"/>
  <c r="BM53" i="9"/>
  <c r="BV53" i="9"/>
  <c r="BW53" i="9" s="1"/>
  <c r="BY53" i="9"/>
  <c r="BZ53" i="9"/>
  <c r="CH53" i="9"/>
  <c r="CO53" i="9"/>
  <c r="CP53" i="9"/>
  <c r="CS53" i="9"/>
  <c r="CX53" i="9"/>
  <c r="DE53" i="9"/>
  <c r="DF53" i="9"/>
  <c r="A54" i="9"/>
  <c r="B54" i="9"/>
  <c r="C54" i="9"/>
  <c r="G54" i="9"/>
  <c r="H54" i="9"/>
  <c r="V54" i="9"/>
  <c r="W54" i="9"/>
  <c r="AG54" i="9"/>
  <c r="AH54" i="9"/>
  <c r="AS54" i="9"/>
  <c r="AT54" i="9" s="1"/>
  <c r="AV54" i="9"/>
  <c r="AX54" i="9"/>
  <c r="AY54" i="9" s="1"/>
  <c r="AZ54" i="9" s="1"/>
  <c r="BD54" i="9"/>
  <c r="BF54" i="9" s="1"/>
  <c r="BH54" i="9"/>
  <c r="BM54" i="9"/>
  <c r="BV54" i="9"/>
  <c r="BY54" i="9"/>
  <c r="BZ54" i="9"/>
  <c r="CH54" i="9"/>
  <c r="CN54" i="9"/>
  <c r="CO54" i="9"/>
  <c r="CP54" i="9"/>
  <c r="CS54" i="9"/>
  <c r="CX54" i="9"/>
  <c r="DE54" i="9"/>
  <c r="DF54" i="9"/>
  <c r="A55" i="9"/>
  <c r="B55" i="9"/>
  <c r="C55" i="9"/>
  <c r="G55" i="9"/>
  <c r="X55" i="9" s="1"/>
  <c r="H55" i="9"/>
  <c r="Q55" i="9" s="1"/>
  <c r="R55" i="9" s="1"/>
  <c r="V55" i="9"/>
  <c r="W55" i="9"/>
  <c r="AG55" i="9"/>
  <c r="AH55" i="9"/>
  <c r="AS55" i="9"/>
  <c r="AV55" i="9"/>
  <c r="AX55" i="9"/>
  <c r="AY55" i="9" s="1"/>
  <c r="AZ55" i="9" s="1"/>
  <c r="BD55" i="9"/>
  <c r="BF55" i="9" s="1"/>
  <c r="BH55" i="9"/>
  <c r="BM55" i="9"/>
  <c r="BV55" i="9"/>
  <c r="BW55" i="9" s="1"/>
  <c r="BY55" i="9"/>
  <c r="BZ55" i="9"/>
  <c r="CH55" i="9"/>
  <c r="CN55" i="9"/>
  <c r="CO55" i="9"/>
  <c r="CP55" i="9"/>
  <c r="CS55" i="9"/>
  <c r="CX55" i="9"/>
  <c r="DE55" i="9"/>
  <c r="DF55" i="9"/>
  <c r="A56" i="9"/>
  <c r="B56" i="9"/>
  <c r="C56" i="9"/>
  <c r="G56" i="9"/>
  <c r="H56" i="9"/>
  <c r="Q56" i="9" s="1"/>
  <c r="V56" i="9"/>
  <c r="W56" i="9"/>
  <c r="AG56" i="9"/>
  <c r="AH56" i="9"/>
  <c r="AS56" i="9"/>
  <c r="AT56" i="9" s="1"/>
  <c r="AV56" i="9"/>
  <c r="AX56" i="9"/>
  <c r="AY56" i="9" s="1"/>
  <c r="AZ56" i="9" s="1"/>
  <c r="BD56" i="9"/>
  <c r="BF56" i="9" s="1"/>
  <c r="BH56" i="9"/>
  <c r="BM56" i="9"/>
  <c r="BV56" i="9"/>
  <c r="BY56" i="9"/>
  <c r="BZ56" i="9"/>
  <c r="CH56" i="9"/>
  <c r="CN56" i="9"/>
  <c r="CO56" i="9"/>
  <c r="CP56" i="9"/>
  <c r="CS56" i="9"/>
  <c r="CX56" i="9"/>
  <c r="DE56" i="9"/>
  <c r="DF56" i="9"/>
  <c r="A57" i="9"/>
  <c r="B57" i="9"/>
  <c r="C57" i="9"/>
  <c r="G57" i="9"/>
  <c r="H57" i="9"/>
  <c r="Q57" i="9" s="1"/>
  <c r="V57" i="9"/>
  <c r="W57" i="9"/>
  <c r="AG57" i="9"/>
  <c r="AH57" i="9"/>
  <c r="AS57" i="9"/>
  <c r="AV57" i="9"/>
  <c r="AW57" i="9" s="1"/>
  <c r="AX57" i="9"/>
  <c r="AY57" i="9" s="1"/>
  <c r="AZ57" i="9" s="1"/>
  <c r="BD57" i="9"/>
  <c r="BF57" i="9" s="1"/>
  <c r="BH57" i="9"/>
  <c r="BM57" i="9"/>
  <c r="BV57" i="9"/>
  <c r="BY57" i="9"/>
  <c r="BZ57" i="9"/>
  <c r="CH57" i="9"/>
  <c r="CN57" i="9"/>
  <c r="CO57" i="9"/>
  <c r="CP57" i="9"/>
  <c r="CS57" i="9"/>
  <c r="CT57" i="9" s="1"/>
  <c r="CU57" i="9" s="1"/>
  <c r="CX57" i="9"/>
  <c r="DE57" i="9"/>
  <c r="DF57" i="9"/>
  <c r="A58" i="9"/>
  <c r="B58" i="9"/>
  <c r="C58" i="9"/>
  <c r="G58" i="9"/>
  <c r="X58" i="9" s="1"/>
  <c r="H58" i="9"/>
  <c r="Q58" i="9" s="1"/>
  <c r="V58" i="9"/>
  <c r="W58" i="9"/>
  <c r="AG58" i="9"/>
  <c r="AH58" i="9"/>
  <c r="AS58" i="9"/>
  <c r="AT58" i="9" s="1"/>
  <c r="AV58" i="9"/>
  <c r="AX58" i="9"/>
  <c r="AY58" i="9" s="1"/>
  <c r="AZ58" i="9" s="1"/>
  <c r="BD58" i="9"/>
  <c r="BF58" i="9" s="1"/>
  <c r="BH58" i="9"/>
  <c r="BM58" i="9"/>
  <c r="BV58" i="9"/>
  <c r="BY58" i="9"/>
  <c r="BZ58" i="9"/>
  <c r="CH58" i="9"/>
  <c r="CN58" i="9"/>
  <c r="CO58" i="9"/>
  <c r="CP58" i="9"/>
  <c r="CS58" i="9"/>
  <c r="CX58" i="9"/>
  <c r="DE58" i="9"/>
  <c r="DF58" i="9"/>
  <c r="A59" i="9"/>
  <c r="B59" i="9"/>
  <c r="C59" i="9"/>
  <c r="G59" i="9"/>
  <c r="BJ59" i="9" s="1"/>
  <c r="H59" i="9"/>
  <c r="Q59" i="9" s="1"/>
  <c r="V59" i="9"/>
  <c r="W59" i="9"/>
  <c r="AG59" i="9"/>
  <c r="AH59" i="9"/>
  <c r="AS59" i="9"/>
  <c r="AT59" i="9" s="1"/>
  <c r="AV59" i="9"/>
  <c r="AW59" i="9" s="1"/>
  <c r="H59" i="8" s="1"/>
  <c r="AU59" i="8" s="1"/>
  <c r="AX59" i="9"/>
  <c r="AY59" i="9" s="1"/>
  <c r="AZ59" i="9" s="1"/>
  <c r="BD59" i="9"/>
  <c r="BH59" i="9"/>
  <c r="BM59" i="9"/>
  <c r="BV59" i="9"/>
  <c r="BY59" i="9"/>
  <c r="BZ59" i="9"/>
  <c r="CH59" i="9"/>
  <c r="CN59" i="9"/>
  <c r="CO59" i="9"/>
  <c r="CP59" i="9"/>
  <c r="CS59" i="9"/>
  <c r="CX59" i="9"/>
  <c r="DE59" i="9"/>
  <c r="DF59" i="9"/>
  <c r="A60" i="9"/>
  <c r="B60" i="9"/>
  <c r="C60" i="9"/>
  <c r="G60" i="9"/>
  <c r="BC60" i="9" s="1"/>
  <c r="H60" i="9"/>
  <c r="Q60" i="9" s="1"/>
  <c r="V60" i="9"/>
  <c r="W60" i="9"/>
  <c r="AG60" i="9"/>
  <c r="AH60" i="9"/>
  <c r="AS60" i="9"/>
  <c r="AT60" i="9" s="1"/>
  <c r="AV60" i="9"/>
  <c r="AX60" i="9"/>
  <c r="AY60" i="9" s="1"/>
  <c r="AZ60" i="9" s="1"/>
  <c r="BD60" i="9"/>
  <c r="BF60" i="9" s="1"/>
  <c r="BH60" i="9"/>
  <c r="BM60" i="9"/>
  <c r="BV60" i="9"/>
  <c r="BY60" i="9"/>
  <c r="BZ60" i="9"/>
  <c r="CH60" i="9"/>
  <c r="CN60" i="9"/>
  <c r="CO60" i="9"/>
  <c r="CP60" i="9"/>
  <c r="CS60" i="9"/>
  <c r="CX60" i="9"/>
  <c r="DE60" i="9"/>
  <c r="DF60" i="9"/>
  <c r="A61" i="9"/>
  <c r="B61" i="9"/>
  <c r="C61" i="9"/>
  <c r="G61" i="9"/>
  <c r="BJ61" i="9" s="1"/>
  <c r="H61" i="9"/>
  <c r="Q61" i="9" s="1"/>
  <c r="V61" i="9"/>
  <c r="W61" i="9"/>
  <c r="AG61" i="9"/>
  <c r="AH61" i="9"/>
  <c r="AS61" i="9"/>
  <c r="AV61" i="9"/>
  <c r="AX61" i="9"/>
  <c r="AY61" i="9" s="1"/>
  <c r="AZ61" i="9" s="1"/>
  <c r="BD61" i="9"/>
  <c r="BF61" i="9" s="1"/>
  <c r="BH61" i="9"/>
  <c r="BM61" i="9"/>
  <c r="BP61" i="9" s="1"/>
  <c r="BV61" i="9"/>
  <c r="BW61" i="9" s="1"/>
  <c r="BY61" i="9"/>
  <c r="BZ61" i="9"/>
  <c r="CH61" i="9"/>
  <c r="CN61" i="9"/>
  <c r="CO61" i="9"/>
  <c r="CP61" i="9"/>
  <c r="CS61" i="9"/>
  <c r="CX61" i="9"/>
  <c r="DE61" i="9"/>
  <c r="DF61" i="9"/>
  <c r="A62" i="9"/>
  <c r="B62" i="9"/>
  <c r="C62" i="9"/>
  <c r="G62" i="9"/>
  <c r="BC62" i="9" s="1"/>
  <c r="W62" i="9"/>
  <c r="BV62" i="9"/>
  <c r="BW62" i="9" s="1"/>
  <c r="BY62" i="9"/>
  <c r="BZ62" i="9"/>
  <c r="H62" i="9"/>
  <c r="Q62" i="9" s="1"/>
  <c r="V62" i="9"/>
  <c r="AG62" i="9"/>
  <c r="AH62" i="9"/>
  <c r="AS62" i="9"/>
  <c r="AV62" i="9"/>
  <c r="AW62" i="9" s="1"/>
  <c r="AX62" i="9"/>
  <c r="AY62" i="9" s="1"/>
  <c r="AZ62" i="9" s="1"/>
  <c r="BD62" i="9"/>
  <c r="BF62" i="9" s="1"/>
  <c r="BH62" i="9"/>
  <c r="BM62" i="9"/>
  <c r="CH62" i="9"/>
  <c r="CN62" i="9"/>
  <c r="CO62" i="9"/>
  <c r="CP62" i="9"/>
  <c r="CS62" i="9"/>
  <c r="CX62" i="9"/>
  <c r="DE62" i="9"/>
  <c r="DF62" i="9"/>
  <c r="A63" i="9"/>
  <c r="B63" i="9"/>
  <c r="C63" i="9"/>
  <c r="G63" i="9"/>
  <c r="BC63" i="9" s="1"/>
  <c r="H63" i="9"/>
  <c r="Q63" i="9" s="1"/>
  <c r="V63" i="9"/>
  <c r="W63" i="9"/>
  <c r="AG63" i="9"/>
  <c r="AH63" i="9"/>
  <c r="AS63" i="9"/>
  <c r="AV63" i="9"/>
  <c r="AX63" i="9"/>
  <c r="AY63" i="9" s="1"/>
  <c r="AZ63" i="9" s="1"/>
  <c r="BD63" i="9"/>
  <c r="BF63" i="9" s="1"/>
  <c r="BH63" i="9"/>
  <c r="BM63" i="9"/>
  <c r="BV63" i="9"/>
  <c r="BY63" i="9"/>
  <c r="BZ63" i="9"/>
  <c r="CH63" i="9"/>
  <c r="CN63" i="9"/>
  <c r="CO63" i="9"/>
  <c r="CP63" i="9"/>
  <c r="CS63" i="9"/>
  <c r="CX63" i="9"/>
  <c r="DE63" i="9"/>
  <c r="DF63" i="9"/>
  <c r="A64" i="9"/>
  <c r="B64" i="9"/>
  <c r="C64" i="9"/>
  <c r="G64" i="9"/>
  <c r="BC64" i="9" s="1"/>
  <c r="H64" i="9"/>
  <c r="Q64" i="9" s="1"/>
  <c r="T64" i="9" s="1"/>
  <c r="AL64" i="9" s="1"/>
  <c r="V64" i="9"/>
  <c r="W64" i="9"/>
  <c r="AG64" i="9"/>
  <c r="AH64" i="9"/>
  <c r="AS64" i="9"/>
  <c r="AV64" i="9"/>
  <c r="AX64" i="9"/>
  <c r="AY64" i="9" s="1"/>
  <c r="AZ64" i="9" s="1"/>
  <c r="BD64" i="9"/>
  <c r="BF64" i="9" s="1"/>
  <c r="BH64" i="9"/>
  <c r="BM64" i="9"/>
  <c r="BV64" i="9"/>
  <c r="BW64" i="9" s="1"/>
  <c r="BY64" i="9"/>
  <c r="BZ64" i="9"/>
  <c r="CH64" i="9"/>
  <c r="CN64" i="9"/>
  <c r="CO64" i="9"/>
  <c r="CP64" i="9"/>
  <c r="CS64" i="9"/>
  <c r="CX64" i="9"/>
  <c r="DE64" i="9"/>
  <c r="DF64" i="9"/>
  <c r="A65" i="9"/>
  <c r="B65" i="9"/>
  <c r="C65" i="9"/>
  <c r="G65" i="9"/>
  <c r="BC65" i="9" s="1"/>
  <c r="H65" i="9"/>
  <c r="Q65" i="9" s="1"/>
  <c r="V65" i="9"/>
  <c r="W65" i="9"/>
  <c r="AG65" i="9"/>
  <c r="AH65" i="9"/>
  <c r="AS65" i="9"/>
  <c r="AV65" i="9"/>
  <c r="AX65" i="9"/>
  <c r="AY65" i="9" s="1"/>
  <c r="AZ65" i="9" s="1"/>
  <c r="BD65" i="9"/>
  <c r="BF65" i="9" s="1"/>
  <c r="BH65" i="9"/>
  <c r="BM65" i="9"/>
  <c r="BV65" i="9"/>
  <c r="BY65" i="9"/>
  <c r="BZ65" i="9"/>
  <c r="CH65" i="9"/>
  <c r="CN65" i="9"/>
  <c r="CO65" i="9"/>
  <c r="CP65" i="9"/>
  <c r="CS65" i="9"/>
  <c r="CT65" i="9" s="1"/>
  <c r="CU65" i="9" s="1"/>
  <c r="CX65" i="9"/>
  <c r="DE65" i="9"/>
  <c r="DF65" i="9"/>
  <c r="A66" i="9"/>
  <c r="B66" i="9"/>
  <c r="C66" i="9"/>
  <c r="G66" i="9"/>
  <c r="X66" i="9" s="1"/>
  <c r="H66" i="9"/>
  <c r="Q66" i="9" s="1"/>
  <c r="V66" i="9"/>
  <c r="W66" i="9"/>
  <c r="AG66" i="9"/>
  <c r="AH66" i="9"/>
  <c r="AI66" i="9" s="1"/>
  <c r="AS66" i="9"/>
  <c r="AT66" i="9" s="1"/>
  <c r="AV66" i="9"/>
  <c r="AX66" i="9"/>
  <c r="AY66" i="9" s="1"/>
  <c r="AZ66" i="9" s="1"/>
  <c r="BD66" i="9"/>
  <c r="BF66" i="9" s="1"/>
  <c r="BH66" i="9"/>
  <c r="BM66" i="9"/>
  <c r="BV66" i="9"/>
  <c r="BY66" i="9"/>
  <c r="BZ66" i="9"/>
  <c r="CH66" i="9"/>
  <c r="CN66" i="9"/>
  <c r="CO66" i="9"/>
  <c r="CP66" i="9"/>
  <c r="CS66" i="9"/>
  <c r="CX66" i="9"/>
  <c r="DE66" i="9"/>
  <c r="DF66" i="9"/>
  <c r="A67" i="9"/>
  <c r="B67" i="9"/>
  <c r="C67" i="9"/>
  <c r="G67" i="9"/>
  <c r="BJ67" i="9" s="1"/>
  <c r="H67" i="9"/>
  <c r="Q67" i="9" s="1"/>
  <c r="S67" i="9" s="1"/>
  <c r="AJ67" i="9" s="1"/>
  <c r="V67" i="9"/>
  <c r="W67" i="9"/>
  <c r="BG67" i="9" s="1"/>
  <c r="AG67" i="9"/>
  <c r="AH67" i="9"/>
  <c r="AS67" i="9"/>
  <c r="AT67" i="9" s="1"/>
  <c r="AV67" i="9"/>
  <c r="AX67" i="9"/>
  <c r="AY67" i="9" s="1"/>
  <c r="AZ67" i="9" s="1"/>
  <c r="BD67" i="9"/>
  <c r="BF67" i="9" s="1"/>
  <c r="BH67" i="9"/>
  <c r="BM67" i="9"/>
  <c r="BV67" i="9"/>
  <c r="BY67" i="9"/>
  <c r="BZ67" i="9"/>
  <c r="CH67" i="9"/>
  <c r="CN67" i="9"/>
  <c r="CO67" i="9"/>
  <c r="CP67" i="9"/>
  <c r="CS67" i="9"/>
  <c r="CX67" i="9"/>
  <c r="DE67" i="9"/>
  <c r="DF67" i="9"/>
  <c r="A68" i="9"/>
  <c r="B68" i="9"/>
  <c r="C68" i="9"/>
  <c r="G68" i="9"/>
  <c r="H68" i="9"/>
  <c r="Q68" i="9" s="1"/>
  <c r="S68" i="9" s="1"/>
  <c r="AJ68" i="9" s="1"/>
  <c r="V68" i="9"/>
  <c r="W68" i="9"/>
  <c r="AG68" i="9"/>
  <c r="AH68" i="9"/>
  <c r="AS68" i="9"/>
  <c r="AT68" i="9" s="1"/>
  <c r="AV68" i="9"/>
  <c r="AX68" i="9"/>
  <c r="AY68" i="9" s="1"/>
  <c r="AZ68" i="9" s="1"/>
  <c r="BD68" i="9"/>
  <c r="BF68" i="9" s="1"/>
  <c r="BH68" i="9"/>
  <c r="BM68" i="9"/>
  <c r="BV68" i="9"/>
  <c r="BW68" i="9" s="1"/>
  <c r="BY68" i="9"/>
  <c r="BZ68" i="9"/>
  <c r="CH68" i="9"/>
  <c r="CN68" i="9"/>
  <c r="CO68" i="9"/>
  <c r="CP68" i="9"/>
  <c r="CS68" i="9"/>
  <c r="CX68" i="9"/>
  <c r="DE68" i="9"/>
  <c r="DF68" i="9"/>
  <c r="A69" i="9"/>
  <c r="B69" i="9"/>
  <c r="C69" i="9"/>
  <c r="G69" i="9"/>
  <c r="BC69" i="9" s="1"/>
  <c r="H69" i="9"/>
  <c r="V69" i="9"/>
  <c r="W69" i="9"/>
  <c r="AG69" i="9"/>
  <c r="AH69" i="9"/>
  <c r="AS69" i="9"/>
  <c r="AT69" i="9" s="1"/>
  <c r="AV69" i="9"/>
  <c r="AX69" i="9"/>
  <c r="AY69" i="9" s="1"/>
  <c r="AZ69" i="9" s="1"/>
  <c r="BD69" i="9"/>
  <c r="BF69" i="9" s="1"/>
  <c r="BH69" i="9"/>
  <c r="BM69" i="9"/>
  <c r="BP69" i="9" s="1"/>
  <c r="BR69" i="9" s="1"/>
  <c r="BV69" i="9"/>
  <c r="BW69" i="9" s="1"/>
  <c r="BY69" i="9"/>
  <c r="BZ69" i="9"/>
  <c r="CH69" i="9"/>
  <c r="CN69" i="9"/>
  <c r="CO69" i="9"/>
  <c r="CP69" i="9"/>
  <c r="CS69" i="9"/>
  <c r="CX69" i="9"/>
  <c r="DE69" i="9"/>
  <c r="DF69" i="9"/>
  <c r="A70" i="9"/>
  <c r="B70" i="9"/>
  <c r="C70" i="9"/>
  <c r="G70" i="9"/>
  <c r="BJ70" i="9" s="1"/>
  <c r="H70" i="9"/>
  <c r="V70" i="9"/>
  <c r="W70" i="9"/>
  <c r="AG70" i="9"/>
  <c r="AH70" i="9"/>
  <c r="AS70" i="9"/>
  <c r="AT70" i="9" s="1"/>
  <c r="AV70" i="9"/>
  <c r="AX70" i="9"/>
  <c r="AY70" i="9" s="1"/>
  <c r="AZ70" i="9" s="1"/>
  <c r="BD70" i="9"/>
  <c r="BF70" i="9" s="1"/>
  <c r="BH70" i="9"/>
  <c r="BM70" i="9"/>
  <c r="BV70" i="9"/>
  <c r="BW70" i="9" s="1"/>
  <c r="BY70" i="9"/>
  <c r="BZ70" i="9"/>
  <c r="CH70" i="9"/>
  <c r="CN70" i="9"/>
  <c r="CO70" i="9"/>
  <c r="CP70" i="9"/>
  <c r="CS70" i="9"/>
  <c r="CX70" i="9"/>
  <c r="DE70" i="9"/>
  <c r="DF70" i="9"/>
  <c r="A71" i="9"/>
  <c r="B71" i="9"/>
  <c r="C71" i="9"/>
  <c r="G71" i="9"/>
  <c r="X71" i="9" s="1"/>
  <c r="H71" i="9"/>
  <c r="Q71" i="9" s="1"/>
  <c r="V71" i="9"/>
  <c r="W71" i="9"/>
  <c r="AG71" i="9"/>
  <c r="AH71" i="9"/>
  <c r="AS71" i="9"/>
  <c r="AT71" i="9" s="1"/>
  <c r="AV71" i="9"/>
  <c r="AX71" i="9"/>
  <c r="AY71" i="9" s="1"/>
  <c r="AZ71" i="9" s="1"/>
  <c r="BD71" i="9"/>
  <c r="BF71" i="9" s="1"/>
  <c r="BH71" i="9"/>
  <c r="BM71" i="9"/>
  <c r="BP71" i="9" s="1"/>
  <c r="BR71" i="9" s="1"/>
  <c r="BV71" i="9"/>
  <c r="BW71" i="9" s="1"/>
  <c r="BY71" i="9"/>
  <c r="BZ71" i="9"/>
  <c r="CH71" i="9"/>
  <c r="CN71" i="9"/>
  <c r="CO71" i="9"/>
  <c r="CP71" i="9"/>
  <c r="CS71" i="9"/>
  <c r="CX71" i="9"/>
  <c r="DE71" i="9"/>
  <c r="DF71" i="9"/>
  <c r="A72" i="9"/>
  <c r="B72" i="9"/>
  <c r="C72" i="9"/>
  <c r="G72" i="9"/>
  <c r="BJ72" i="9" s="1"/>
  <c r="H72" i="9"/>
  <c r="Q72" i="9" s="1"/>
  <c r="V72" i="9"/>
  <c r="W72" i="9"/>
  <c r="AG72" i="9"/>
  <c r="AH72" i="9"/>
  <c r="AS72" i="9"/>
  <c r="AT72" i="9" s="1"/>
  <c r="AV72" i="9"/>
  <c r="AX72" i="9"/>
  <c r="AY72" i="9" s="1"/>
  <c r="AZ72" i="9" s="1"/>
  <c r="BD72" i="9"/>
  <c r="BF72" i="9" s="1"/>
  <c r="BH72" i="9"/>
  <c r="BM72" i="9"/>
  <c r="BV72" i="9"/>
  <c r="BY72" i="9"/>
  <c r="BZ72" i="9"/>
  <c r="CH72" i="9"/>
  <c r="CN72" i="9"/>
  <c r="CO72" i="9"/>
  <c r="CP72" i="9"/>
  <c r="CS72" i="9"/>
  <c r="CX72" i="9"/>
  <c r="DE72" i="9"/>
  <c r="DF72" i="9"/>
  <c r="A73" i="9"/>
  <c r="B73" i="9"/>
  <c r="C73" i="9"/>
  <c r="G73" i="9"/>
  <c r="H73" i="9"/>
  <c r="Q73" i="9" s="1"/>
  <c r="V73" i="9"/>
  <c r="W73" i="9"/>
  <c r="BG73" i="9" s="1"/>
  <c r="AG73" i="9"/>
  <c r="AH73" i="9"/>
  <c r="AS73" i="9"/>
  <c r="AV73" i="9"/>
  <c r="AX73" i="9"/>
  <c r="AY73" i="9" s="1"/>
  <c r="AZ73" i="9" s="1"/>
  <c r="I73" i="8" s="1"/>
  <c r="AV73" i="8" s="1"/>
  <c r="BD73" i="9"/>
  <c r="BF73" i="9" s="1"/>
  <c r="BH73" i="9"/>
  <c r="BM73" i="9"/>
  <c r="BV73" i="9"/>
  <c r="BY73" i="9"/>
  <c r="BZ73" i="9"/>
  <c r="CH73" i="9"/>
  <c r="CN73" i="9"/>
  <c r="CO73" i="9"/>
  <c r="CP73" i="9"/>
  <c r="CS73" i="9"/>
  <c r="CT73" i="9" s="1"/>
  <c r="CU73" i="9" s="1"/>
  <c r="CX73" i="9"/>
  <c r="DE73" i="9"/>
  <c r="DF73" i="9"/>
  <c r="A74" i="9"/>
  <c r="B74" i="9"/>
  <c r="C74" i="9"/>
  <c r="G74" i="9"/>
  <c r="H74" i="9"/>
  <c r="Q74" i="9" s="1"/>
  <c r="V74" i="9"/>
  <c r="W74" i="9"/>
  <c r="AG74" i="9"/>
  <c r="AH74" i="9"/>
  <c r="AS74" i="9"/>
  <c r="AT74" i="9" s="1"/>
  <c r="AV74" i="9"/>
  <c r="AX74" i="9"/>
  <c r="AY74" i="9" s="1"/>
  <c r="AZ74" i="9" s="1"/>
  <c r="BD74" i="9"/>
  <c r="BF74" i="9" s="1"/>
  <c r="BH74" i="9"/>
  <c r="BM74" i="9"/>
  <c r="BV74" i="9"/>
  <c r="BX74" i="9" s="1"/>
  <c r="BY74" i="9"/>
  <c r="BZ74" i="9"/>
  <c r="CH74" i="9"/>
  <c r="CN74" i="9"/>
  <c r="CO74" i="9"/>
  <c r="CP74" i="9"/>
  <c r="CS74" i="9"/>
  <c r="CT74" i="9" s="1"/>
  <c r="CU74" i="9" s="1"/>
  <c r="CX74" i="9"/>
  <c r="DE74" i="9"/>
  <c r="DF74" i="9"/>
  <c r="A75" i="9"/>
  <c r="B75" i="9"/>
  <c r="C75" i="9"/>
  <c r="G75" i="9"/>
  <c r="BJ75" i="9" s="1"/>
  <c r="H75" i="9"/>
  <c r="V75" i="9"/>
  <c r="W75" i="9"/>
  <c r="BG75" i="9" s="1"/>
  <c r="AG75" i="9"/>
  <c r="AH75" i="9"/>
  <c r="AS75" i="9"/>
  <c r="AT75" i="9" s="1"/>
  <c r="AV75" i="9"/>
  <c r="AW75" i="9" s="1"/>
  <c r="AX75" i="9"/>
  <c r="AY75" i="9" s="1"/>
  <c r="AZ75" i="9" s="1"/>
  <c r="I75" i="8" s="1"/>
  <c r="AV75" i="8" s="1"/>
  <c r="BD75" i="9"/>
  <c r="BF75" i="9" s="1"/>
  <c r="BH75" i="9"/>
  <c r="BM75" i="9"/>
  <c r="BP75" i="9" s="1"/>
  <c r="BV75" i="9"/>
  <c r="BY75" i="9"/>
  <c r="BZ75" i="9"/>
  <c r="CH75" i="9"/>
  <c r="CN75" i="9"/>
  <c r="CO75" i="9"/>
  <c r="CP75" i="9"/>
  <c r="CS75" i="9"/>
  <c r="CT75" i="9" s="1"/>
  <c r="CU75" i="9" s="1"/>
  <c r="CX75" i="9"/>
  <c r="DE75" i="9"/>
  <c r="DF75" i="9"/>
  <c r="A76" i="9"/>
  <c r="B76" i="9"/>
  <c r="C76" i="9"/>
  <c r="G76" i="9"/>
  <c r="H76" i="9"/>
  <c r="Q76" i="9" s="1"/>
  <c r="V76" i="9"/>
  <c r="W76" i="9"/>
  <c r="AG76" i="9"/>
  <c r="AH76" i="9"/>
  <c r="AI76" i="9" s="1"/>
  <c r="AS76" i="9"/>
  <c r="AV76" i="9"/>
  <c r="AX76" i="9"/>
  <c r="AY76" i="9" s="1"/>
  <c r="AZ76" i="9" s="1"/>
  <c r="BD76" i="9"/>
  <c r="BF76" i="9" s="1"/>
  <c r="BH76" i="9"/>
  <c r="BM76" i="9"/>
  <c r="BV76" i="9"/>
  <c r="BY76" i="9"/>
  <c r="BZ76" i="9"/>
  <c r="CH76" i="9"/>
  <c r="CN76" i="9"/>
  <c r="CO76" i="9"/>
  <c r="CP76" i="9"/>
  <c r="CS76" i="9"/>
  <c r="CT76" i="9" s="1"/>
  <c r="CU76" i="9" s="1"/>
  <c r="CX76" i="9"/>
  <c r="DE76" i="9"/>
  <c r="DF76" i="9"/>
  <c r="A77" i="9"/>
  <c r="B77" i="9"/>
  <c r="C77" i="9"/>
  <c r="G77" i="9"/>
  <c r="BJ77" i="9" s="1"/>
  <c r="H77" i="9"/>
  <c r="Q77" i="9" s="1"/>
  <c r="V77" i="9"/>
  <c r="W77" i="9"/>
  <c r="BG77" i="9" s="1"/>
  <c r="AG77" i="9"/>
  <c r="AH77" i="9"/>
  <c r="AS77" i="9"/>
  <c r="AV77" i="9"/>
  <c r="AX77" i="9"/>
  <c r="AY77" i="9" s="1"/>
  <c r="AZ77" i="9" s="1"/>
  <c r="BD77" i="9"/>
  <c r="BF77" i="9" s="1"/>
  <c r="BH77" i="9"/>
  <c r="BM77" i="9"/>
  <c r="BV77" i="9"/>
  <c r="BW77" i="9" s="1"/>
  <c r="BY77" i="9"/>
  <c r="BZ77" i="9"/>
  <c r="CH77" i="9"/>
  <c r="CN77" i="9"/>
  <c r="CO77" i="9"/>
  <c r="CP77" i="9"/>
  <c r="CS77" i="9"/>
  <c r="CX77" i="9"/>
  <c r="DE77" i="9"/>
  <c r="DF77" i="9"/>
  <c r="A78" i="9"/>
  <c r="B78" i="9"/>
  <c r="C78" i="9"/>
  <c r="G78" i="9"/>
  <c r="BC78" i="9" s="1"/>
  <c r="H78" i="9"/>
  <c r="Q78" i="9" s="1"/>
  <c r="V78" i="9"/>
  <c r="W78" i="9"/>
  <c r="AG78" i="9"/>
  <c r="AH78" i="9"/>
  <c r="AS78" i="9"/>
  <c r="AT78" i="9" s="1"/>
  <c r="AV78" i="9"/>
  <c r="AX78" i="9"/>
  <c r="AY78" i="9" s="1"/>
  <c r="AZ78" i="9" s="1"/>
  <c r="BD78" i="9"/>
  <c r="BF78" i="9" s="1"/>
  <c r="BH78" i="9"/>
  <c r="BM78" i="9"/>
  <c r="BV78" i="9"/>
  <c r="BW78" i="9" s="1"/>
  <c r="BY78" i="9"/>
  <c r="BZ78" i="9"/>
  <c r="CH78" i="9"/>
  <c r="CN78" i="9"/>
  <c r="CO78" i="9"/>
  <c r="CP78" i="9"/>
  <c r="CS78" i="9"/>
  <c r="CX78" i="9"/>
  <c r="DE78" i="9"/>
  <c r="DF78" i="9"/>
  <c r="A79" i="9"/>
  <c r="B79" i="9"/>
  <c r="C79" i="9"/>
  <c r="G79" i="9"/>
  <c r="X79" i="9" s="1"/>
  <c r="H79" i="9"/>
  <c r="Q79" i="9" s="1"/>
  <c r="V79" i="9"/>
  <c r="W79" i="9"/>
  <c r="BG79" i="9" s="1"/>
  <c r="AG79" i="9"/>
  <c r="AH79" i="9"/>
  <c r="AS79" i="9"/>
  <c r="AV79" i="9"/>
  <c r="AW79" i="9" s="1"/>
  <c r="AX79" i="9"/>
  <c r="AY79" i="9" s="1"/>
  <c r="AZ79" i="9" s="1"/>
  <c r="BD79" i="9"/>
  <c r="BF79" i="9" s="1"/>
  <c r="BH79" i="9"/>
  <c r="BM79" i="9"/>
  <c r="BV79" i="9"/>
  <c r="BY79" i="9"/>
  <c r="BZ79" i="9"/>
  <c r="CH79" i="9"/>
  <c r="CN79" i="9"/>
  <c r="CO79" i="9"/>
  <c r="CP79" i="9"/>
  <c r="CS79" i="9"/>
  <c r="CX79" i="9"/>
  <c r="DE79" i="9"/>
  <c r="DF79" i="9"/>
  <c r="A80" i="9"/>
  <c r="B80" i="9"/>
  <c r="C80" i="9"/>
  <c r="G80" i="9"/>
  <c r="BC80" i="9" s="1"/>
  <c r="H80" i="9"/>
  <c r="Q80" i="9" s="1"/>
  <c r="V80" i="9"/>
  <c r="W80" i="9"/>
  <c r="AG80" i="9"/>
  <c r="AH80" i="9"/>
  <c r="AI80" i="9" s="1"/>
  <c r="AS80" i="9"/>
  <c r="AT80" i="9" s="1"/>
  <c r="AV80" i="9"/>
  <c r="AX80" i="9"/>
  <c r="AY80" i="9" s="1"/>
  <c r="AZ80" i="9" s="1"/>
  <c r="BD80" i="9"/>
  <c r="BF80" i="9" s="1"/>
  <c r="BH80" i="9"/>
  <c r="BM80" i="9"/>
  <c r="BV80" i="9"/>
  <c r="BW80" i="9" s="1"/>
  <c r="BY80" i="9"/>
  <c r="BZ80" i="9"/>
  <c r="CH80" i="9"/>
  <c r="CN80" i="9"/>
  <c r="CO80" i="9"/>
  <c r="CP80" i="9"/>
  <c r="CS80" i="9"/>
  <c r="CT80" i="9" s="1"/>
  <c r="CU80" i="9" s="1"/>
  <c r="CX80" i="9"/>
  <c r="DE80" i="9"/>
  <c r="DF80" i="9"/>
  <c r="A81" i="9"/>
  <c r="B81" i="9"/>
  <c r="C81" i="9"/>
  <c r="G81" i="9"/>
  <c r="H81" i="9"/>
  <c r="Q81" i="9" s="1"/>
  <c r="T81" i="9" s="1"/>
  <c r="AL81" i="9" s="1"/>
  <c r="V81" i="9"/>
  <c r="W81" i="9"/>
  <c r="AG81" i="9"/>
  <c r="AH81" i="9"/>
  <c r="AS81" i="9"/>
  <c r="AV81" i="9"/>
  <c r="AW81" i="9" s="1"/>
  <c r="AX81" i="9"/>
  <c r="AY81" i="9" s="1"/>
  <c r="AZ81" i="9" s="1"/>
  <c r="BD81" i="9"/>
  <c r="BF81" i="9" s="1"/>
  <c r="BH81" i="9"/>
  <c r="BM81" i="9"/>
  <c r="BV81" i="9"/>
  <c r="BY81" i="9"/>
  <c r="BZ81" i="9"/>
  <c r="CH81" i="9"/>
  <c r="CN81" i="9"/>
  <c r="CO81" i="9"/>
  <c r="CP81" i="9"/>
  <c r="CS81" i="9"/>
  <c r="CX81" i="9"/>
  <c r="DE81" i="9"/>
  <c r="DF81" i="9"/>
  <c r="A82" i="9"/>
  <c r="B82" i="9"/>
  <c r="C82" i="9"/>
  <c r="G82" i="9"/>
  <c r="X82" i="9" s="1"/>
  <c r="H82" i="9"/>
  <c r="V82" i="9"/>
  <c r="W82" i="9"/>
  <c r="AG82" i="9"/>
  <c r="AH82" i="9"/>
  <c r="AS82" i="9"/>
  <c r="AV82" i="9"/>
  <c r="AX82" i="9"/>
  <c r="AY82" i="9" s="1"/>
  <c r="AZ82" i="9" s="1"/>
  <c r="CH82" i="9"/>
  <c r="BD82" i="9"/>
  <c r="BF82" i="9" s="1"/>
  <c r="BH82" i="9"/>
  <c r="BM82" i="9"/>
  <c r="BV82" i="9"/>
  <c r="BX82" i="9" s="1"/>
  <c r="BY82" i="9"/>
  <c r="BZ82" i="9"/>
  <c r="CN82" i="9"/>
  <c r="CO82" i="9"/>
  <c r="CP82" i="9"/>
  <c r="CS82" i="9"/>
  <c r="CX82" i="9"/>
  <c r="DE82" i="9"/>
  <c r="DF82" i="9"/>
  <c r="A83" i="9"/>
  <c r="B83" i="9"/>
  <c r="C83" i="9"/>
  <c r="G83" i="9"/>
  <c r="H83" i="9"/>
  <c r="Q83" i="9" s="1"/>
  <c r="V83" i="9"/>
  <c r="W83" i="9"/>
  <c r="AG83" i="9"/>
  <c r="AI83" i="9" s="1"/>
  <c r="AH83" i="9"/>
  <c r="AS83" i="9"/>
  <c r="AT83" i="9" s="1"/>
  <c r="AV83" i="9"/>
  <c r="AX83" i="9"/>
  <c r="AY83" i="9" s="1"/>
  <c r="AZ83" i="9" s="1"/>
  <c r="BD83" i="9"/>
  <c r="BF83" i="9" s="1"/>
  <c r="BH83" i="9"/>
  <c r="BM83" i="9"/>
  <c r="BP83" i="9" s="1"/>
  <c r="BR83" i="9" s="1"/>
  <c r="BV83" i="9"/>
  <c r="BY83" i="9"/>
  <c r="BZ83" i="9"/>
  <c r="CH83" i="9"/>
  <c r="CN83" i="9"/>
  <c r="CO83" i="9"/>
  <c r="CP83" i="9"/>
  <c r="CS83" i="9"/>
  <c r="CT83" i="9" s="1"/>
  <c r="CU83" i="9" s="1"/>
  <c r="CX83" i="9"/>
  <c r="DE83" i="9"/>
  <c r="DF83" i="9"/>
  <c r="A84" i="9"/>
  <c r="B84" i="9"/>
  <c r="C84" i="9"/>
  <c r="G84" i="9"/>
  <c r="X84" i="9" s="1"/>
  <c r="H84" i="9"/>
  <c r="V84" i="9"/>
  <c r="W84" i="9"/>
  <c r="AG84" i="9"/>
  <c r="AH84" i="9"/>
  <c r="AS84" i="9"/>
  <c r="AV84" i="9"/>
  <c r="AX84" i="9"/>
  <c r="AY84" i="9" s="1"/>
  <c r="AZ84" i="9" s="1"/>
  <c r="BD84" i="9"/>
  <c r="BH84" i="9"/>
  <c r="BM84" i="9"/>
  <c r="BV84" i="9"/>
  <c r="BY84" i="9"/>
  <c r="BZ84" i="9"/>
  <c r="CH84" i="9"/>
  <c r="CN84" i="9"/>
  <c r="CO84" i="9"/>
  <c r="CP84" i="9"/>
  <c r="CS84" i="9"/>
  <c r="CX84" i="9"/>
  <c r="DE84" i="9"/>
  <c r="DF84" i="9"/>
  <c r="A1" i="8"/>
  <c r="A2" i="8"/>
  <c r="B2" i="8"/>
  <c r="C2" i="8"/>
  <c r="A4" i="8"/>
  <c r="B4" i="8"/>
  <c r="C4" i="8"/>
  <c r="D4" i="8"/>
  <c r="O4" i="8"/>
  <c r="AD4" i="8"/>
  <c r="AQ4" i="8"/>
  <c r="A5" i="8"/>
  <c r="B5" i="8"/>
  <c r="C5" i="8"/>
  <c r="D5" i="8"/>
  <c r="O5" i="8"/>
  <c r="BB5" i="8" s="1"/>
  <c r="AD5" i="8"/>
  <c r="AQ5" i="8"/>
  <c r="A6" i="8"/>
  <c r="B6" i="8"/>
  <c r="C6" i="8"/>
  <c r="D6" i="8"/>
  <c r="O6" i="8"/>
  <c r="BB6" i="8" s="1"/>
  <c r="AD6" i="8"/>
  <c r="AQ6" i="8"/>
  <c r="A7" i="8"/>
  <c r="B7" i="8"/>
  <c r="C7" i="8"/>
  <c r="D7" i="8"/>
  <c r="O7" i="8"/>
  <c r="BB7" i="8" s="1"/>
  <c r="AD7" i="8"/>
  <c r="AQ7" i="8"/>
  <c r="A8" i="8"/>
  <c r="B8" i="8"/>
  <c r="C8" i="8"/>
  <c r="D8" i="8"/>
  <c r="O8" i="8"/>
  <c r="BB8" i="8" s="1"/>
  <c r="AD8" i="8"/>
  <c r="AQ8" i="8"/>
  <c r="FP8" i="8" s="1"/>
  <c r="A9" i="8"/>
  <c r="B9" i="8"/>
  <c r="C9" i="8"/>
  <c r="D9" i="8"/>
  <c r="O9" i="8"/>
  <c r="BB9" i="8" s="1"/>
  <c r="AD9" i="8"/>
  <c r="AQ9" i="8"/>
  <c r="A10" i="8"/>
  <c r="B10" i="8"/>
  <c r="C10" i="8"/>
  <c r="D10" i="8"/>
  <c r="O10" i="8"/>
  <c r="BB10" i="8" s="1"/>
  <c r="AD10" i="8"/>
  <c r="AQ10" i="8"/>
  <c r="A11" i="8"/>
  <c r="B11" i="8"/>
  <c r="C11" i="8"/>
  <c r="D11" i="8"/>
  <c r="O11" i="8"/>
  <c r="BB11" i="8" s="1"/>
  <c r="AD11" i="8"/>
  <c r="AQ11" i="8"/>
  <c r="FP11" i="8" s="1"/>
  <c r="A12" i="8"/>
  <c r="B12" i="8"/>
  <c r="C12" i="8"/>
  <c r="D12" i="8"/>
  <c r="O12" i="8"/>
  <c r="BB12" i="8" s="1"/>
  <c r="AD12" i="8"/>
  <c r="AQ12" i="8"/>
  <c r="A13" i="8"/>
  <c r="B13" i="8"/>
  <c r="C13" i="8"/>
  <c r="D13" i="8"/>
  <c r="O13" i="8"/>
  <c r="BB13" i="8" s="1"/>
  <c r="AD13" i="8"/>
  <c r="AQ13" i="8"/>
  <c r="A14" i="8"/>
  <c r="B14" i="8"/>
  <c r="C14" i="8"/>
  <c r="D14" i="8"/>
  <c r="O14" i="8"/>
  <c r="BB14" i="8" s="1"/>
  <c r="AD14" i="8"/>
  <c r="AQ14" i="8"/>
  <c r="A15" i="8"/>
  <c r="B15" i="8"/>
  <c r="C15" i="8"/>
  <c r="D15" i="8"/>
  <c r="O15" i="8"/>
  <c r="BB15" i="8" s="1"/>
  <c r="AD15" i="8"/>
  <c r="AQ15" i="8"/>
  <c r="A16" i="8"/>
  <c r="B16" i="8"/>
  <c r="C16" i="8"/>
  <c r="D16" i="8"/>
  <c r="O16" i="8"/>
  <c r="BB16" i="8" s="1"/>
  <c r="AD16" i="8"/>
  <c r="AQ16" i="8"/>
  <c r="A17" i="8"/>
  <c r="B17" i="8"/>
  <c r="C17" i="8"/>
  <c r="D17" i="8"/>
  <c r="O17" i="8"/>
  <c r="BB17" i="8" s="1"/>
  <c r="AD17" i="8"/>
  <c r="AQ17" i="8"/>
  <c r="A18" i="8"/>
  <c r="B18" i="8"/>
  <c r="C18" i="8"/>
  <c r="D18" i="8"/>
  <c r="O18" i="8"/>
  <c r="BB18" i="8" s="1"/>
  <c r="AD18" i="8"/>
  <c r="AQ18" i="8"/>
  <c r="A19" i="8"/>
  <c r="B19" i="8"/>
  <c r="C19" i="8"/>
  <c r="D19" i="8"/>
  <c r="O19" i="8"/>
  <c r="BB19" i="8" s="1"/>
  <c r="AD19" i="8"/>
  <c r="AQ19" i="8"/>
  <c r="A20" i="8"/>
  <c r="B20" i="8"/>
  <c r="C20" i="8"/>
  <c r="D20" i="8"/>
  <c r="O20" i="8"/>
  <c r="BB20" i="8" s="1"/>
  <c r="AD20" i="8"/>
  <c r="AQ20" i="8"/>
  <c r="A21" i="8"/>
  <c r="B21" i="8"/>
  <c r="C21" i="8"/>
  <c r="D21" i="8"/>
  <c r="O21" i="8"/>
  <c r="BB21" i="8" s="1"/>
  <c r="AD21" i="8"/>
  <c r="AQ21" i="8"/>
  <c r="A22" i="8"/>
  <c r="B22" i="8"/>
  <c r="C22" i="8"/>
  <c r="D22" i="8"/>
  <c r="O22" i="8"/>
  <c r="BB22" i="8" s="1"/>
  <c r="AD22" i="8"/>
  <c r="AQ22" i="8"/>
  <c r="A23" i="8"/>
  <c r="B23" i="8"/>
  <c r="C23" i="8"/>
  <c r="D23" i="8"/>
  <c r="O23" i="8"/>
  <c r="BB23" i="8" s="1"/>
  <c r="AD23" i="8"/>
  <c r="CH23" i="8" s="1"/>
  <c r="AQ23" i="8"/>
  <c r="A24" i="8"/>
  <c r="B24" i="8"/>
  <c r="C24" i="8"/>
  <c r="D24" i="8"/>
  <c r="O24" i="8"/>
  <c r="BB24" i="8" s="1"/>
  <c r="AD24" i="8"/>
  <c r="AQ24" i="8"/>
  <c r="FP24" i="8" s="1"/>
  <c r="A25" i="8"/>
  <c r="B25" i="8"/>
  <c r="C25" i="8"/>
  <c r="D25" i="8"/>
  <c r="O25" i="8"/>
  <c r="BB25" i="8" s="1"/>
  <c r="AD25" i="8"/>
  <c r="AQ25" i="8"/>
  <c r="A26" i="8"/>
  <c r="B26" i="8"/>
  <c r="C26" i="8"/>
  <c r="D26" i="8"/>
  <c r="O26" i="8"/>
  <c r="BB26" i="8" s="1"/>
  <c r="AD26" i="8"/>
  <c r="AQ26" i="8"/>
  <c r="A27" i="8"/>
  <c r="B27" i="8"/>
  <c r="C27" i="8"/>
  <c r="D27" i="8"/>
  <c r="O27" i="8"/>
  <c r="BB27" i="8" s="1"/>
  <c r="AD27" i="8"/>
  <c r="AQ27" i="8"/>
  <c r="A28" i="8"/>
  <c r="B28" i="8"/>
  <c r="C28" i="8"/>
  <c r="D28" i="8"/>
  <c r="O28" i="8"/>
  <c r="BB28" i="8" s="1"/>
  <c r="AD28" i="8"/>
  <c r="AQ28" i="8"/>
  <c r="FP28" i="8" s="1"/>
  <c r="A29" i="8"/>
  <c r="B29" i="8"/>
  <c r="C29" i="8"/>
  <c r="D29" i="8"/>
  <c r="O29" i="8"/>
  <c r="BB29" i="8" s="1"/>
  <c r="AD29" i="8"/>
  <c r="AQ29" i="8"/>
  <c r="A30" i="8"/>
  <c r="B30" i="8"/>
  <c r="C30" i="8"/>
  <c r="D30" i="8"/>
  <c r="O30" i="8"/>
  <c r="BB30" i="8" s="1"/>
  <c r="AD30" i="8"/>
  <c r="AQ30" i="8"/>
  <c r="A31" i="8"/>
  <c r="B31" i="8"/>
  <c r="C31" i="8"/>
  <c r="D31" i="8"/>
  <c r="O31" i="8"/>
  <c r="BB31" i="8" s="1"/>
  <c r="AD31" i="8"/>
  <c r="CH31" i="8" s="1"/>
  <c r="AQ31" i="8"/>
  <c r="FP31" i="8" s="1"/>
  <c r="A32" i="8"/>
  <c r="B32" i="8"/>
  <c r="C32" i="8"/>
  <c r="D32" i="8"/>
  <c r="O32" i="8"/>
  <c r="BB32" i="8" s="1"/>
  <c r="AD32" i="8"/>
  <c r="AQ32" i="8"/>
  <c r="FP32" i="8" s="1"/>
  <c r="A33" i="8"/>
  <c r="B33" i="8"/>
  <c r="C33" i="8"/>
  <c r="D33" i="8"/>
  <c r="O33" i="8"/>
  <c r="BB33" i="8" s="1"/>
  <c r="AD33" i="8"/>
  <c r="AQ33" i="8"/>
  <c r="A34" i="8"/>
  <c r="B34" i="8"/>
  <c r="C34" i="8"/>
  <c r="D34" i="8"/>
  <c r="O34" i="8"/>
  <c r="BB34" i="8" s="1"/>
  <c r="AD34" i="8"/>
  <c r="AQ34" i="8"/>
  <c r="A35" i="8"/>
  <c r="B35" i="8"/>
  <c r="C35" i="8"/>
  <c r="D35" i="8"/>
  <c r="O35" i="8"/>
  <c r="BB35" i="8" s="1"/>
  <c r="AD35" i="8"/>
  <c r="AQ35" i="8"/>
  <c r="A36" i="8"/>
  <c r="B36" i="8"/>
  <c r="C36" i="8"/>
  <c r="D36" i="8"/>
  <c r="O36" i="8"/>
  <c r="BB36" i="8" s="1"/>
  <c r="AD36" i="8"/>
  <c r="AQ36" i="8"/>
  <c r="A37" i="8"/>
  <c r="B37" i="8"/>
  <c r="C37" i="8"/>
  <c r="D37" i="8"/>
  <c r="O37" i="8"/>
  <c r="BB37" i="8" s="1"/>
  <c r="AD37" i="8"/>
  <c r="AQ37" i="8"/>
  <c r="A38" i="8"/>
  <c r="B38" i="8"/>
  <c r="C38" i="8"/>
  <c r="D38" i="8"/>
  <c r="O38" i="8"/>
  <c r="BB38" i="8" s="1"/>
  <c r="AD38" i="8"/>
  <c r="AQ38" i="8"/>
  <c r="A39" i="8"/>
  <c r="B39" i="8"/>
  <c r="C39" i="8"/>
  <c r="D39" i="8"/>
  <c r="O39" i="8"/>
  <c r="BB39" i="8" s="1"/>
  <c r="AD39" i="8"/>
  <c r="CH39" i="8" s="1"/>
  <c r="AQ39" i="8"/>
  <c r="A40" i="8"/>
  <c r="B40" i="8"/>
  <c r="C40" i="8"/>
  <c r="D40" i="8"/>
  <c r="O40" i="8"/>
  <c r="BB40" i="8" s="1"/>
  <c r="AD40" i="8"/>
  <c r="AQ40" i="8"/>
  <c r="A41" i="8"/>
  <c r="B41" i="8"/>
  <c r="C41" i="8"/>
  <c r="D41" i="8"/>
  <c r="O41" i="8"/>
  <c r="BB41" i="8" s="1"/>
  <c r="AD41" i="8"/>
  <c r="AQ41" i="8"/>
  <c r="A42" i="8"/>
  <c r="B42" i="8"/>
  <c r="C42" i="8"/>
  <c r="D42" i="8"/>
  <c r="O42" i="8"/>
  <c r="BB42" i="8" s="1"/>
  <c r="AD42" i="8"/>
  <c r="CH42" i="8" s="1"/>
  <c r="AQ42" i="8"/>
  <c r="A43" i="8"/>
  <c r="B43" i="8"/>
  <c r="C43" i="8"/>
  <c r="D43" i="8"/>
  <c r="O43" i="8"/>
  <c r="BB43" i="8" s="1"/>
  <c r="AD43" i="8"/>
  <c r="AQ43" i="8"/>
  <c r="A44" i="8"/>
  <c r="B44" i="8"/>
  <c r="C44" i="8"/>
  <c r="D44" i="8"/>
  <c r="O44" i="8"/>
  <c r="BB44" i="8" s="1"/>
  <c r="AD44" i="8"/>
  <c r="AQ44" i="8"/>
  <c r="A45" i="8"/>
  <c r="B45" i="8"/>
  <c r="C45" i="8"/>
  <c r="D45" i="8"/>
  <c r="O45" i="8"/>
  <c r="BB45" i="8" s="1"/>
  <c r="AD45" i="8"/>
  <c r="AQ45" i="8"/>
  <c r="A46" i="8"/>
  <c r="B46" i="8"/>
  <c r="C46" i="8"/>
  <c r="D46" i="8"/>
  <c r="O46" i="8"/>
  <c r="BB46" i="8" s="1"/>
  <c r="AD46" i="8"/>
  <c r="AQ46" i="8"/>
  <c r="A47" i="8"/>
  <c r="B47" i="8"/>
  <c r="C47" i="8"/>
  <c r="D47" i="8"/>
  <c r="O47" i="8"/>
  <c r="BB47" i="8" s="1"/>
  <c r="AD47" i="8"/>
  <c r="BR47" i="8" s="1"/>
  <c r="AQ47" i="8"/>
  <c r="FP47" i="8" s="1"/>
  <c r="A48" i="8"/>
  <c r="B48" i="8"/>
  <c r="C48" i="8"/>
  <c r="D48" i="8"/>
  <c r="O48" i="8"/>
  <c r="BB48" i="8" s="1"/>
  <c r="AD48" i="8"/>
  <c r="AQ48" i="8"/>
  <c r="CE48" i="8" s="1"/>
  <c r="A49" i="8"/>
  <c r="B49" i="8"/>
  <c r="C49" i="8"/>
  <c r="D49" i="8"/>
  <c r="O49" i="8"/>
  <c r="BB49" i="8" s="1"/>
  <c r="AD49" i="8"/>
  <c r="AQ49" i="8"/>
  <c r="A50" i="8"/>
  <c r="B50" i="8"/>
  <c r="C50" i="8"/>
  <c r="D50" i="8"/>
  <c r="O50" i="8"/>
  <c r="BB50" i="8" s="1"/>
  <c r="AD50" i="8"/>
  <c r="AQ50" i="8"/>
  <c r="A51" i="8"/>
  <c r="B51" i="8"/>
  <c r="C51" i="8"/>
  <c r="D51" i="8"/>
  <c r="O51" i="8"/>
  <c r="BB51" i="8" s="1"/>
  <c r="AD51" i="8"/>
  <c r="AQ51" i="8"/>
  <c r="A52" i="8"/>
  <c r="B52" i="8"/>
  <c r="C52" i="8"/>
  <c r="D52" i="8"/>
  <c r="O52" i="8"/>
  <c r="BB52" i="8" s="1"/>
  <c r="AD52" i="8"/>
  <c r="AQ52" i="8"/>
  <c r="A53" i="8"/>
  <c r="B53" i="8"/>
  <c r="C53" i="8"/>
  <c r="D53" i="8"/>
  <c r="O53" i="8"/>
  <c r="BB53" i="8" s="1"/>
  <c r="AD53" i="8"/>
  <c r="AQ53" i="8"/>
  <c r="A54" i="8"/>
  <c r="B54" i="8"/>
  <c r="C54" i="8"/>
  <c r="D54" i="8"/>
  <c r="O54" i="8"/>
  <c r="BB54" i="8" s="1"/>
  <c r="AD54" i="8"/>
  <c r="AQ54" i="8"/>
  <c r="A55" i="8"/>
  <c r="B55" i="8"/>
  <c r="C55" i="8"/>
  <c r="D55" i="8"/>
  <c r="O55" i="8"/>
  <c r="BB55" i="8" s="1"/>
  <c r="AD55" i="8"/>
  <c r="AQ55" i="8"/>
  <c r="DY55" i="8" s="1"/>
  <c r="FS55" i="8" s="1"/>
  <c r="A56" i="8"/>
  <c r="B56" i="8"/>
  <c r="C56" i="8"/>
  <c r="D56" i="8"/>
  <c r="O56" i="8"/>
  <c r="BB56" i="8" s="1"/>
  <c r="AD56" i="8"/>
  <c r="AQ56" i="8"/>
  <c r="FP56" i="8" s="1"/>
  <c r="A57" i="8"/>
  <c r="B57" i="8"/>
  <c r="C57" i="8"/>
  <c r="D57" i="8"/>
  <c r="O57" i="8"/>
  <c r="BB57" i="8" s="1"/>
  <c r="AD57" i="8"/>
  <c r="CH57" i="8" s="1"/>
  <c r="CW57" i="8" s="1"/>
  <c r="AQ57" i="8"/>
  <c r="A58" i="8"/>
  <c r="B58" i="8"/>
  <c r="C58" i="8"/>
  <c r="D58" i="8"/>
  <c r="O58" i="8"/>
  <c r="BB58" i="8" s="1"/>
  <c r="AD58" i="8"/>
  <c r="AQ58" i="8"/>
  <c r="A59" i="8"/>
  <c r="B59" i="8"/>
  <c r="C59" i="8"/>
  <c r="D59" i="8"/>
  <c r="O59" i="8"/>
  <c r="BB59" i="8" s="1"/>
  <c r="AD59" i="8"/>
  <c r="BR59" i="8" s="1"/>
  <c r="AQ59" i="8"/>
  <c r="A60" i="8"/>
  <c r="B60" i="8"/>
  <c r="C60" i="8"/>
  <c r="D60" i="8"/>
  <c r="O60" i="8"/>
  <c r="BB60" i="8" s="1"/>
  <c r="AD60" i="8"/>
  <c r="AQ60" i="8"/>
  <c r="A61" i="8"/>
  <c r="B61" i="8"/>
  <c r="C61" i="8"/>
  <c r="D61" i="8"/>
  <c r="O61" i="8"/>
  <c r="BB61" i="8" s="1"/>
  <c r="AD61" i="8"/>
  <c r="AQ61" i="8"/>
  <c r="A62" i="8"/>
  <c r="B62" i="8"/>
  <c r="C62" i="8"/>
  <c r="D62" i="8"/>
  <c r="O62" i="8"/>
  <c r="BB62" i="8" s="1"/>
  <c r="AD62" i="8"/>
  <c r="AQ62" i="8"/>
  <c r="A63" i="8"/>
  <c r="B63" i="8"/>
  <c r="C63" i="8"/>
  <c r="D63" i="8"/>
  <c r="O63" i="8"/>
  <c r="BB63" i="8" s="1"/>
  <c r="AD63" i="8"/>
  <c r="CH63" i="8" s="1"/>
  <c r="AQ63" i="8"/>
  <c r="FP63" i="8" s="1"/>
  <c r="A64" i="8"/>
  <c r="B64" i="8"/>
  <c r="C64" i="8"/>
  <c r="D64" i="8"/>
  <c r="O64" i="8"/>
  <c r="BB64" i="8" s="1"/>
  <c r="AD64" i="8"/>
  <c r="AQ64" i="8"/>
  <c r="CE64" i="8" s="1"/>
  <c r="A65" i="8"/>
  <c r="B65" i="8"/>
  <c r="C65" i="8"/>
  <c r="D65" i="8"/>
  <c r="O65" i="8"/>
  <c r="BB65" i="8" s="1"/>
  <c r="AD65" i="8"/>
  <c r="AQ65" i="8"/>
  <c r="A66" i="8"/>
  <c r="B66" i="8"/>
  <c r="C66" i="8"/>
  <c r="D66" i="8"/>
  <c r="O66" i="8"/>
  <c r="BB66" i="8" s="1"/>
  <c r="AD66" i="8"/>
  <c r="AQ66" i="8"/>
  <c r="A67" i="8"/>
  <c r="B67" i="8"/>
  <c r="C67" i="8"/>
  <c r="D67" i="8"/>
  <c r="O67" i="8"/>
  <c r="BB67" i="8" s="1"/>
  <c r="AD67" i="8"/>
  <c r="BR67" i="8" s="1"/>
  <c r="AQ67" i="8"/>
  <c r="A68" i="8"/>
  <c r="B68" i="8"/>
  <c r="C68" i="8"/>
  <c r="D68" i="8"/>
  <c r="O68" i="8"/>
  <c r="BB68" i="8" s="1"/>
  <c r="AD68" i="8"/>
  <c r="CH68" i="8" s="1"/>
  <c r="CW68" i="8" s="1"/>
  <c r="AQ68" i="8"/>
  <c r="A69" i="8"/>
  <c r="B69" i="8"/>
  <c r="C69" i="8"/>
  <c r="D69" i="8"/>
  <c r="O69" i="8"/>
  <c r="BB69" i="8" s="1"/>
  <c r="AD69" i="8"/>
  <c r="AQ69" i="8"/>
  <c r="A70" i="8"/>
  <c r="B70" i="8"/>
  <c r="C70" i="8"/>
  <c r="D70" i="8"/>
  <c r="O70" i="8"/>
  <c r="BB70" i="8" s="1"/>
  <c r="AD70" i="8"/>
  <c r="AQ70" i="8"/>
  <c r="A71" i="8"/>
  <c r="B71" i="8"/>
  <c r="C71" i="8"/>
  <c r="D71" i="8"/>
  <c r="O71" i="8"/>
  <c r="BB71" i="8" s="1"/>
  <c r="AD71" i="8"/>
  <c r="AQ71" i="8"/>
  <c r="A72" i="8"/>
  <c r="B72" i="8"/>
  <c r="C72" i="8"/>
  <c r="D72" i="8"/>
  <c r="O72" i="8"/>
  <c r="BB72" i="8" s="1"/>
  <c r="AD72" i="8"/>
  <c r="AQ72" i="8"/>
  <c r="A73" i="8"/>
  <c r="B73" i="8"/>
  <c r="C73" i="8"/>
  <c r="D73" i="8"/>
  <c r="O73" i="8"/>
  <c r="BB73" i="8" s="1"/>
  <c r="AD73" i="8"/>
  <c r="AQ73" i="8"/>
  <c r="A74" i="8"/>
  <c r="B74" i="8"/>
  <c r="C74" i="8"/>
  <c r="D74" i="8"/>
  <c r="O74" i="8"/>
  <c r="BB74" i="8" s="1"/>
  <c r="AD74" i="8"/>
  <c r="AQ74" i="8"/>
  <c r="A75" i="8"/>
  <c r="B75" i="8"/>
  <c r="C75" i="8"/>
  <c r="D75" i="8"/>
  <c r="O75" i="8"/>
  <c r="BB75" i="8" s="1"/>
  <c r="AD75" i="8"/>
  <c r="AQ75" i="8"/>
  <c r="A76" i="8"/>
  <c r="B76" i="8"/>
  <c r="C76" i="8"/>
  <c r="D76" i="8"/>
  <c r="O76" i="8"/>
  <c r="BB76" i="8" s="1"/>
  <c r="AD76" i="8"/>
  <c r="AQ76" i="8"/>
  <c r="A77" i="8"/>
  <c r="B77" i="8"/>
  <c r="C77" i="8"/>
  <c r="D77" i="8"/>
  <c r="O77" i="8"/>
  <c r="BB77" i="8" s="1"/>
  <c r="AD77" i="8"/>
  <c r="AQ77" i="8"/>
  <c r="A78" i="8"/>
  <c r="B78" i="8"/>
  <c r="C78" i="8"/>
  <c r="D78" i="8"/>
  <c r="O78" i="8"/>
  <c r="BB78" i="8" s="1"/>
  <c r="AD78" i="8"/>
  <c r="AQ78" i="8"/>
  <c r="A79" i="8"/>
  <c r="B79" i="8"/>
  <c r="C79" i="8"/>
  <c r="D79" i="8"/>
  <c r="O79" i="8"/>
  <c r="BB79" i="8" s="1"/>
  <c r="AD79" i="8"/>
  <c r="CH79" i="8" s="1"/>
  <c r="AQ79" i="8"/>
  <c r="FP79" i="8" s="1"/>
  <c r="A80" i="8"/>
  <c r="B80" i="8"/>
  <c r="C80" i="8"/>
  <c r="D80" i="8"/>
  <c r="O80" i="8"/>
  <c r="BB80" i="8" s="1"/>
  <c r="AD80" i="8"/>
  <c r="AQ80" i="8"/>
  <c r="CE80" i="8" s="1"/>
  <c r="A81" i="8"/>
  <c r="B81" i="8"/>
  <c r="C81" i="8"/>
  <c r="D81" i="8"/>
  <c r="O81" i="8"/>
  <c r="BB81" i="8" s="1"/>
  <c r="AD81" i="8"/>
  <c r="AQ81" i="8"/>
  <c r="A82" i="8"/>
  <c r="B82" i="8"/>
  <c r="C82" i="8"/>
  <c r="D82" i="8"/>
  <c r="O82" i="8"/>
  <c r="BB82" i="8" s="1"/>
  <c r="AD82" i="8"/>
  <c r="AQ82" i="8"/>
  <c r="A83" i="8"/>
  <c r="B83" i="8"/>
  <c r="C83" i="8"/>
  <c r="D83" i="8"/>
  <c r="O83" i="8"/>
  <c r="BB83" i="8" s="1"/>
  <c r="AD83" i="8"/>
  <c r="AQ83" i="8"/>
  <c r="DY83" i="8" s="1"/>
  <c r="FS83" i="8" s="1"/>
  <c r="A84" i="8"/>
  <c r="B84" i="8"/>
  <c r="C84" i="8"/>
  <c r="D84" i="8"/>
  <c r="O84" i="8"/>
  <c r="BB84" i="8" s="1"/>
  <c r="AD84" i="8"/>
  <c r="AQ84" i="8"/>
  <c r="A1" i="10"/>
  <c r="A2" i="10"/>
  <c r="B2" i="10"/>
  <c r="C2" i="10"/>
  <c r="A4" i="10"/>
  <c r="B4" i="10"/>
  <c r="C4" i="10"/>
  <c r="AS4" i="10"/>
  <c r="AT4" i="10"/>
  <c r="AU4" i="10"/>
  <c r="AV4" i="10"/>
  <c r="AW4" i="10"/>
  <c r="AX4" i="10"/>
  <c r="BB4" i="10"/>
  <c r="BD4" i="10"/>
  <c r="BE4" i="10"/>
  <c r="BF4" i="10" s="1"/>
  <c r="BG4" i="10"/>
  <c r="BH4" i="10"/>
  <c r="BI4" i="10"/>
  <c r="BJ4" i="10"/>
  <c r="BK4" i="10"/>
  <c r="BL4" i="10"/>
  <c r="BM4" i="10"/>
  <c r="BN4" i="10"/>
  <c r="BR4" i="10"/>
  <c r="BT4" i="10"/>
  <c r="BU4" i="10"/>
  <c r="BV4" i="10"/>
  <c r="BW4" i="10"/>
  <c r="BX4" i="10"/>
  <c r="BY4" i="10"/>
  <c r="BZ4" i="10"/>
  <c r="CA4" i="10"/>
  <c r="CE4" i="10"/>
  <c r="A5" i="10"/>
  <c r="B5" i="10"/>
  <c r="C5" i="10"/>
  <c r="AS5" i="10"/>
  <c r="AT5" i="10"/>
  <c r="AU5" i="10"/>
  <c r="AV5" i="10"/>
  <c r="AW5" i="10"/>
  <c r="BB5" i="10"/>
  <c r="BD5" i="10"/>
  <c r="BE5" i="10"/>
  <c r="BG5" i="10"/>
  <c r="BH5" i="10"/>
  <c r="BI5" i="10"/>
  <c r="BJ5" i="10"/>
  <c r="BK5" i="10"/>
  <c r="BL5" i="10"/>
  <c r="BM5" i="10"/>
  <c r="BN5" i="10"/>
  <c r="BR5" i="10"/>
  <c r="BT5" i="10"/>
  <c r="BU5" i="10"/>
  <c r="BV5" i="10"/>
  <c r="BW5" i="10"/>
  <c r="BX5" i="10"/>
  <c r="BY5" i="10"/>
  <c r="BZ5" i="10"/>
  <c r="CA5" i="10"/>
  <c r="CE5" i="10"/>
  <c r="CK5" i="10"/>
  <c r="A6" i="10"/>
  <c r="B6" i="10"/>
  <c r="C6" i="10"/>
  <c r="AS6" i="10"/>
  <c r="AT6" i="10"/>
  <c r="AU6" i="10"/>
  <c r="AV6" i="10"/>
  <c r="AW6" i="10"/>
  <c r="BB6" i="10"/>
  <c r="BD6" i="10"/>
  <c r="BE6" i="10"/>
  <c r="BG6" i="10"/>
  <c r="BH6" i="10"/>
  <c r="BI6" i="10"/>
  <c r="BJ6" i="10"/>
  <c r="BK6" i="10"/>
  <c r="BL6" i="10"/>
  <c r="BM6" i="10"/>
  <c r="BN6" i="10"/>
  <c r="BR6" i="10"/>
  <c r="BT6" i="10"/>
  <c r="BU6" i="10"/>
  <c r="BV6" i="10"/>
  <c r="BW6" i="10"/>
  <c r="BX6" i="10"/>
  <c r="BY6" i="10"/>
  <c r="BZ6" i="10"/>
  <c r="CA6" i="10"/>
  <c r="CE6" i="10"/>
  <c r="CK6" i="10"/>
  <c r="A7" i="10"/>
  <c r="B7" i="10"/>
  <c r="C7" i="10"/>
  <c r="AS7" i="10"/>
  <c r="AT7" i="10"/>
  <c r="AU7" i="10"/>
  <c r="AV7" i="10"/>
  <c r="AW7" i="10"/>
  <c r="BB7" i="10"/>
  <c r="BD7" i="10"/>
  <c r="BE7" i="10"/>
  <c r="BG7" i="10"/>
  <c r="BH7" i="10"/>
  <c r="BI7" i="10"/>
  <c r="BJ7" i="10"/>
  <c r="BK7" i="10"/>
  <c r="BL7" i="10"/>
  <c r="BM7" i="10"/>
  <c r="BN7" i="10"/>
  <c r="BR7" i="10"/>
  <c r="BT7" i="10"/>
  <c r="BU7" i="10"/>
  <c r="BV7" i="10"/>
  <c r="BW7" i="10"/>
  <c r="BX7" i="10"/>
  <c r="BY7" i="10"/>
  <c r="BZ7" i="10"/>
  <c r="CA7" i="10"/>
  <c r="CE7" i="10"/>
  <c r="CK7" i="10"/>
  <c r="A8" i="10"/>
  <c r="B8" i="10"/>
  <c r="C8" i="10"/>
  <c r="AS8" i="10"/>
  <c r="AT8" i="10"/>
  <c r="AU8" i="10"/>
  <c r="AV8" i="10"/>
  <c r="AW8" i="10"/>
  <c r="BB8" i="10"/>
  <c r="BD8" i="10"/>
  <c r="BE8" i="10"/>
  <c r="BG8" i="10"/>
  <c r="BH8" i="10"/>
  <c r="BI8" i="10"/>
  <c r="BJ8" i="10"/>
  <c r="BK8" i="10"/>
  <c r="BL8" i="10"/>
  <c r="BM8" i="10"/>
  <c r="BN8" i="10"/>
  <c r="BR8" i="10"/>
  <c r="BT8" i="10"/>
  <c r="BU8" i="10"/>
  <c r="BV8" i="10"/>
  <c r="BW8" i="10"/>
  <c r="BX8" i="10"/>
  <c r="BY8" i="10"/>
  <c r="BZ8" i="10"/>
  <c r="CA8" i="10"/>
  <c r="CE8" i="10"/>
  <c r="CK8" i="10"/>
  <c r="A9" i="10"/>
  <c r="B9" i="10"/>
  <c r="C9" i="10"/>
  <c r="AS9" i="10"/>
  <c r="AT9" i="10"/>
  <c r="AU9" i="10"/>
  <c r="AV9" i="10"/>
  <c r="AW9" i="10"/>
  <c r="BB9" i="10"/>
  <c r="BD9" i="10"/>
  <c r="BE9" i="10"/>
  <c r="BG9" i="10"/>
  <c r="BH9" i="10"/>
  <c r="BI9" i="10"/>
  <c r="BJ9" i="10"/>
  <c r="BK9" i="10"/>
  <c r="BL9" i="10"/>
  <c r="BM9" i="10"/>
  <c r="BN9" i="10"/>
  <c r="BR9" i="10"/>
  <c r="BT9" i="10"/>
  <c r="BU9" i="10"/>
  <c r="BV9" i="10"/>
  <c r="BW9" i="10"/>
  <c r="BX9" i="10"/>
  <c r="BY9" i="10"/>
  <c r="BZ9" i="10"/>
  <c r="CA9" i="10"/>
  <c r="CE9" i="10"/>
  <c r="CK9" i="10"/>
  <c r="A10" i="10"/>
  <c r="B10" i="10"/>
  <c r="C10" i="10"/>
  <c r="AS10" i="10"/>
  <c r="AT10" i="10"/>
  <c r="AU10" i="10"/>
  <c r="AV10" i="10"/>
  <c r="AW10" i="10"/>
  <c r="BB10" i="10"/>
  <c r="BD10" i="10"/>
  <c r="BE10" i="10"/>
  <c r="BG10" i="10"/>
  <c r="BH10" i="10"/>
  <c r="BI10" i="10"/>
  <c r="BJ10" i="10"/>
  <c r="BK10" i="10"/>
  <c r="BL10" i="10"/>
  <c r="BM10" i="10"/>
  <c r="BN10" i="10"/>
  <c r="BR10" i="10"/>
  <c r="BT10" i="10"/>
  <c r="BU10" i="10"/>
  <c r="BV10" i="10"/>
  <c r="BW10" i="10"/>
  <c r="BX10" i="10"/>
  <c r="BY10" i="10"/>
  <c r="BZ10" i="10"/>
  <c r="CA10" i="10"/>
  <c r="CE10" i="10"/>
  <c r="CK10" i="10"/>
  <c r="A11" i="10"/>
  <c r="B11" i="10"/>
  <c r="C11" i="10"/>
  <c r="AS11" i="10"/>
  <c r="AT11" i="10"/>
  <c r="AU11" i="10"/>
  <c r="AV11" i="10"/>
  <c r="AW11" i="10"/>
  <c r="BB11" i="10"/>
  <c r="BD11" i="10"/>
  <c r="BE11" i="10"/>
  <c r="BG11" i="10"/>
  <c r="BH11" i="10"/>
  <c r="BI11" i="10"/>
  <c r="BJ11" i="10"/>
  <c r="BK11" i="10"/>
  <c r="BL11" i="10"/>
  <c r="BM11" i="10"/>
  <c r="BN11" i="10"/>
  <c r="BR11" i="10"/>
  <c r="BT11" i="10"/>
  <c r="BU11" i="10"/>
  <c r="BV11" i="10"/>
  <c r="BW11" i="10"/>
  <c r="BX11" i="10"/>
  <c r="BY11" i="10"/>
  <c r="BZ11" i="10"/>
  <c r="CA11" i="10"/>
  <c r="CE11" i="10"/>
  <c r="CK11" i="10"/>
  <c r="A12" i="10"/>
  <c r="B12" i="10"/>
  <c r="C12" i="10"/>
  <c r="AS12" i="10"/>
  <c r="AT12" i="10"/>
  <c r="AU12" i="10"/>
  <c r="AV12" i="10"/>
  <c r="AW12" i="10"/>
  <c r="BB12" i="10"/>
  <c r="BD12" i="10"/>
  <c r="BE12" i="10"/>
  <c r="BG12" i="10"/>
  <c r="BH12" i="10"/>
  <c r="BI12" i="10"/>
  <c r="BJ12" i="10"/>
  <c r="BK12" i="10"/>
  <c r="BL12" i="10"/>
  <c r="BM12" i="10"/>
  <c r="BN12" i="10"/>
  <c r="BR12" i="10"/>
  <c r="BT12" i="10"/>
  <c r="BU12" i="10"/>
  <c r="BV12" i="10"/>
  <c r="BW12" i="10"/>
  <c r="BX12" i="10"/>
  <c r="BY12" i="10"/>
  <c r="BZ12" i="10"/>
  <c r="CA12" i="10"/>
  <c r="CE12" i="10"/>
  <c r="CK12" i="10"/>
  <c r="A13" i="10"/>
  <c r="B13" i="10"/>
  <c r="C13" i="10"/>
  <c r="AS13" i="10"/>
  <c r="AT13" i="10"/>
  <c r="AU13" i="10"/>
  <c r="AV13" i="10"/>
  <c r="AW13" i="10"/>
  <c r="BB13" i="10"/>
  <c r="BD13" i="10"/>
  <c r="BF13" i="10" s="1"/>
  <c r="BE13" i="10"/>
  <c r="BG13" i="10"/>
  <c r="BH13" i="10"/>
  <c r="BI13" i="10"/>
  <c r="BJ13" i="10"/>
  <c r="BK13" i="10"/>
  <c r="BL13" i="10"/>
  <c r="BM13" i="10"/>
  <c r="BN13" i="10"/>
  <c r="BR13" i="10"/>
  <c r="BT13" i="10"/>
  <c r="BU13" i="10"/>
  <c r="BV13" i="10"/>
  <c r="BW13" i="10"/>
  <c r="BX13" i="10"/>
  <c r="BY13" i="10"/>
  <c r="BZ13" i="10"/>
  <c r="CA13" i="10"/>
  <c r="CE13" i="10"/>
  <c r="CK13" i="10"/>
  <c r="A14" i="10"/>
  <c r="B14" i="10"/>
  <c r="C14" i="10"/>
  <c r="AS14" i="10"/>
  <c r="AT14" i="10"/>
  <c r="AU14" i="10"/>
  <c r="AV14" i="10"/>
  <c r="AW14" i="10"/>
  <c r="BB14" i="10"/>
  <c r="BD14" i="10"/>
  <c r="BE14" i="10"/>
  <c r="BG14" i="10"/>
  <c r="BH14" i="10"/>
  <c r="BI14" i="10"/>
  <c r="BJ14" i="10"/>
  <c r="BK14" i="10"/>
  <c r="BL14" i="10"/>
  <c r="BM14" i="10"/>
  <c r="BN14" i="10"/>
  <c r="BR14" i="10"/>
  <c r="BT14" i="10"/>
  <c r="BU14" i="10"/>
  <c r="BV14" i="10"/>
  <c r="BW14" i="10"/>
  <c r="BX14" i="10"/>
  <c r="BY14" i="10"/>
  <c r="BZ14" i="10"/>
  <c r="CA14" i="10"/>
  <c r="CE14" i="10"/>
  <c r="CK14" i="10"/>
  <c r="A15" i="10"/>
  <c r="B15" i="10"/>
  <c r="C15" i="10"/>
  <c r="AS15" i="10"/>
  <c r="AT15" i="10"/>
  <c r="AU15" i="10"/>
  <c r="AV15" i="10"/>
  <c r="AW15" i="10"/>
  <c r="BB15" i="10"/>
  <c r="BD15" i="10"/>
  <c r="BE15" i="10"/>
  <c r="BG15" i="10"/>
  <c r="BH15" i="10"/>
  <c r="BI15" i="10"/>
  <c r="BJ15" i="10"/>
  <c r="BK15" i="10"/>
  <c r="BL15" i="10"/>
  <c r="BM15" i="10"/>
  <c r="BN15" i="10"/>
  <c r="BR15" i="10"/>
  <c r="BT15" i="10"/>
  <c r="BU15" i="10"/>
  <c r="BV15" i="10"/>
  <c r="BW15" i="10"/>
  <c r="BX15" i="10"/>
  <c r="BY15" i="10"/>
  <c r="BZ15" i="10"/>
  <c r="CA15" i="10"/>
  <c r="CE15" i="10"/>
  <c r="CK15" i="10"/>
  <c r="A16" i="10"/>
  <c r="B16" i="10"/>
  <c r="C16" i="10"/>
  <c r="AS16" i="10"/>
  <c r="AT16" i="10"/>
  <c r="AU16" i="10"/>
  <c r="AV16" i="10"/>
  <c r="AW16" i="10"/>
  <c r="BB16" i="10"/>
  <c r="BD16" i="10"/>
  <c r="BE16" i="10"/>
  <c r="BG16" i="10"/>
  <c r="BH16" i="10"/>
  <c r="BI16" i="10"/>
  <c r="BJ16" i="10"/>
  <c r="BK16" i="10"/>
  <c r="BL16" i="10"/>
  <c r="BM16" i="10"/>
  <c r="BN16" i="10"/>
  <c r="BR16" i="10"/>
  <c r="BT16" i="10"/>
  <c r="BU16" i="10"/>
  <c r="BV16" i="10"/>
  <c r="BW16" i="10"/>
  <c r="BX16" i="10"/>
  <c r="BY16" i="10"/>
  <c r="BZ16" i="10"/>
  <c r="CA16" i="10"/>
  <c r="CE16" i="10"/>
  <c r="CK16" i="10"/>
  <c r="A17" i="10"/>
  <c r="B17" i="10"/>
  <c r="C17" i="10"/>
  <c r="AS17" i="10"/>
  <c r="AT17" i="10"/>
  <c r="BA17" i="10" s="1"/>
  <c r="AU17" i="10"/>
  <c r="AV17" i="10"/>
  <c r="AW17" i="10"/>
  <c r="BB17" i="10"/>
  <c r="BD17" i="10"/>
  <c r="BE17" i="10"/>
  <c r="BG17" i="10"/>
  <c r="BH17" i="10"/>
  <c r="BI17" i="10"/>
  <c r="BJ17" i="10"/>
  <c r="BK17" i="10"/>
  <c r="BL17" i="10"/>
  <c r="BM17" i="10"/>
  <c r="BN17" i="10"/>
  <c r="BR17" i="10"/>
  <c r="BT17" i="10"/>
  <c r="BU17" i="10"/>
  <c r="BV17" i="10"/>
  <c r="BW17" i="10"/>
  <c r="BX17" i="10"/>
  <c r="BY17" i="10"/>
  <c r="BZ17" i="10"/>
  <c r="CA17" i="10"/>
  <c r="CE17" i="10"/>
  <c r="CK17" i="10"/>
  <c r="A18" i="10"/>
  <c r="B18" i="10"/>
  <c r="C18" i="10"/>
  <c r="AS18" i="10"/>
  <c r="AT18" i="10"/>
  <c r="AU18" i="10"/>
  <c r="AV18" i="10"/>
  <c r="AW18" i="10"/>
  <c r="BB18" i="10"/>
  <c r="BD18" i="10"/>
  <c r="BE18" i="10"/>
  <c r="BG18" i="10"/>
  <c r="BH18" i="10"/>
  <c r="BI18" i="10"/>
  <c r="BJ18" i="10"/>
  <c r="BK18" i="10"/>
  <c r="BL18" i="10"/>
  <c r="BM18" i="10"/>
  <c r="BN18" i="10"/>
  <c r="BR18" i="10"/>
  <c r="BT18" i="10"/>
  <c r="BU18" i="10"/>
  <c r="BV18" i="10"/>
  <c r="BW18" i="10"/>
  <c r="BX18" i="10"/>
  <c r="BY18" i="10"/>
  <c r="BZ18" i="10"/>
  <c r="CA18" i="10"/>
  <c r="CE18" i="10"/>
  <c r="CK18" i="10"/>
  <c r="A19" i="10"/>
  <c r="B19" i="10"/>
  <c r="C19" i="10"/>
  <c r="AS19" i="10"/>
  <c r="AT19" i="10"/>
  <c r="AU19" i="10"/>
  <c r="AV19" i="10"/>
  <c r="AW19" i="10"/>
  <c r="BB19" i="10"/>
  <c r="BD19" i="10"/>
  <c r="BE19" i="10"/>
  <c r="BG19" i="10"/>
  <c r="BH19" i="10"/>
  <c r="BI19" i="10"/>
  <c r="BJ19" i="10"/>
  <c r="BK19" i="10"/>
  <c r="BL19" i="10"/>
  <c r="BM19" i="10"/>
  <c r="BN19" i="10"/>
  <c r="BR19" i="10"/>
  <c r="BT19" i="10"/>
  <c r="BU19" i="10"/>
  <c r="BV19" i="10"/>
  <c r="BW19" i="10"/>
  <c r="BX19" i="10"/>
  <c r="BY19" i="10"/>
  <c r="BZ19" i="10"/>
  <c r="CA19" i="10"/>
  <c r="CE19" i="10"/>
  <c r="CK19" i="10"/>
  <c r="A20" i="10"/>
  <c r="B20" i="10"/>
  <c r="C20" i="10"/>
  <c r="AS20" i="10"/>
  <c r="AT20" i="10"/>
  <c r="AU20" i="10"/>
  <c r="AV20" i="10"/>
  <c r="AW20" i="10"/>
  <c r="BB20" i="10"/>
  <c r="BD20" i="10"/>
  <c r="BE20" i="10"/>
  <c r="BG20" i="10"/>
  <c r="BH20" i="10"/>
  <c r="BI20" i="10"/>
  <c r="BJ20" i="10"/>
  <c r="BK20" i="10"/>
  <c r="BL20" i="10"/>
  <c r="BM20" i="10"/>
  <c r="BN20" i="10"/>
  <c r="BR20" i="10"/>
  <c r="BT20" i="10"/>
  <c r="BU20" i="10"/>
  <c r="BV20" i="10"/>
  <c r="BW20" i="10"/>
  <c r="BX20" i="10"/>
  <c r="BY20" i="10"/>
  <c r="BZ20" i="10"/>
  <c r="CA20" i="10"/>
  <c r="CE20" i="10"/>
  <c r="CK20" i="10"/>
  <c r="A21" i="10"/>
  <c r="B21" i="10"/>
  <c r="C21" i="10"/>
  <c r="AS21" i="10"/>
  <c r="AT21" i="10"/>
  <c r="AU21" i="10"/>
  <c r="AV21" i="10"/>
  <c r="AW21" i="10"/>
  <c r="BB21" i="10"/>
  <c r="BD21" i="10"/>
  <c r="BE21" i="10"/>
  <c r="BG21" i="10"/>
  <c r="BH21" i="10"/>
  <c r="BI21" i="10"/>
  <c r="BJ21" i="10"/>
  <c r="BK21" i="10"/>
  <c r="BL21" i="10"/>
  <c r="BM21" i="10"/>
  <c r="BN21" i="10"/>
  <c r="BR21" i="10"/>
  <c r="BT21" i="10"/>
  <c r="BU21" i="10"/>
  <c r="BV21" i="10"/>
  <c r="BW21" i="10"/>
  <c r="BX21" i="10"/>
  <c r="BY21" i="10"/>
  <c r="BZ21" i="10"/>
  <c r="CA21" i="10"/>
  <c r="CE21" i="10"/>
  <c r="CK21" i="10"/>
  <c r="A22" i="10"/>
  <c r="B22" i="10"/>
  <c r="C22" i="10"/>
  <c r="AS22" i="10"/>
  <c r="AT22" i="10"/>
  <c r="AU22" i="10"/>
  <c r="AV22" i="10"/>
  <c r="AW22" i="10"/>
  <c r="BB22" i="10"/>
  <c r="BD22" i="10"/>
  <c r="BE22" i="10"/>
  <c r="BG22" i="10"/>
  <c r="BH22" i="10"/>
  <c r="BI22" i="10"/>
  <c r="BJ22" i="10"/>
  <c r="BK22" i="10"/>
  <c r="BL22" i="10"/>
  <c r="BM22" i="10"/>
  <c r="BN22" i="10"/>
  <c r="BR22" i="10"/>
  <c r="BT22" i="10"/>
  <c r="BU22" i="10"/>
  <c r="BV22" i="10"/>
  <c r="BW22" i="10"/>
  <c r="BX22" i="10"/>
  <c r="BY22" i="10"/>
  <c r="BZ22" i="10"/>
  <c r="CA22" i="10"/>
  <c r="CE22" i="10"/>
  <c r="CK22" i="10"/>
  <c r="A23" i="10"/>
  <c r="B23" i="10"/>
  <c r="C23" i="10"/>
  <c r="AS23" i="10"/>
  <c r="AT23" i="10"/>
  <c r="AU23" i="10"/>
  <c r="AV23" i="10"/>
  <c r="AW23" i="10"/>
  <c r="BB23" i="10"/>
  <c r="BD23" i="10"/>
  <c r="BE23" i="10"/>
  <c r="BG23" i="10"/>
  <c r="BH23" i="10"/>
  <c r="BI23" i="10"/>
  <c r="BJ23" i="10"/>
  <c r="BK23" i="10"/>
  <c r="BL23" i="10"/>
  <c r="BM23" i="10"/>
  <c r="BN23" i="10"/>
  <c r="BR23" i="10"/>
  <c r="BT23" i="10"/>
  <c r="BU23" i="10"/>
  <c r="BV23" i="10"/>
  <c r="BW23" i="10"/>
  <c r="BX23" i="10"/>
  <c r="BY23" i="10"/>
  <c r="BZ23" i="10"/>
  <c r="CA23" i="10"/>
  <c r="CE23" i="10"/>
  <c r="CK23" i="10"/>
  <c r="A24" i="10"/>
  <c r="B24" i="10"/>
  <c r="C24" i="10"/>
  <c r="AS24" i="10"/>
  <c r="AT24" i="10"/>
  <c r="AU24" i="10"/>
  <c r="AV24" i="10"/>
  <c r="BA24" i="10" s="1"/>
  <c r="BC24" i="10" s="1"/>
  <c r="AW24" i="10"/>
  <c r="BB24" i="10"/>
  <c r="BD24" i="10"/>
  <c r="BE24" i="10"/>
  <c r="BG24" i="10"/>
  <c r="BH24" i="10"/>
  <c r="BI24" i="10"/>
  <c r="BJ24" i="10"/>
  <c r="BK24" i="10"/>
  <c r="BL24" i="10"/>
  <c r="BM24" i="10"/>
  <c r="BN24" i="10"/>
  <c r="BR24" i="10"/>
  <c r="BT24" i="10"/>
  <c r="BU24" i="10"/>
  <c r="BV24" i="10"/>
  <c r="BW24" i="10"/>
  <c r="BX24" i="10"/>
  <c r="BY24" i="10"/>
  <c r="BZ24" i="10"/>
  <c r="CA24" i="10"/>
  <c r="CE24" i="10"/>
  <c r="CK24" i="10"/>
  <c r="A25" i="10"/>
  <c r="B25" i="10"/>
  <c r="C25" i="10"/>
  <c r="AS25" i="10"/>
  <c r="AT25" i="10"/>
  <c r="BA25" i="10" s="1"/>
  <c r="AU25" i="10"/>
  <c r="AV25" i="10"/>
  <c r="AW25" i="10"/>
  <c r="BB25" i="10"/>
  <c r="BD25" i="10"/>
  <c r="BF25" i="10" s="1"/>
  <c r="BE25" i="10"/>
  <c r="BG25" i="10"/>
  <c r="BH25" i="10"/>
  <c r="BI25" i="10"/>
  <c r="BJ25" i="10"/>
  <c r="BK25" i="10"/>
  <c r="BL25" i="10"/>
  <c r="BM25" i="10"/>
  <c r="BN25" i="10"/>
  <c r="BR25" i="10"/>
  <c r="BT25" i="10"/>
  <c r="BU25" i="10"/>
  <c r="BV25" i="10"/>
  <c r="BW25" i="10"/>
  <c r="BX25" i="10"/>
  <c r="BY25" i="10"/>
  <c r="BZ25" i="10"/>
  <c r="CA25" i="10"/>
  <c r="CE25" i="10"/>
  <c r="CK25" i="10"/>
  <c r="A26" i="10"/>
  <c r="B26" i="10"/>
  <c r="C26" i="10"/>
  <c r="AS26" i="10"/>
  <c r="AT26" i="10"/>
  <c r="AU26" i="10"/>
  <c r="AV26" i="10"/>
  <c r="AW26" i="10"/>
  <c r="BB26" i="10"/>
  <c r="BD26" i="10"/>
  <c r="BE26" i="10"/>
  <c r="BG26" i="10"/>
  <c r="BH26" i="10"/>
  <c r="BI26" i="10"/>
  <c r="BJ26" i="10"/>
  <c r="BK26" i="10"/>
  <c r="BL26" i="10"/>
  <c r="BM26" i="10"/>
  <c r="BN26" i="10"/>
  <c r="BR26" i="10"/>
  <c r="BT26" i="10"/>
  <c r="BU26" i="10"/>
  <c r="BV26" i="10"/>
  <c r="BW26" i="10"/>
  <c r="BX26" i="10"/>
  <c r="BY26" i="10"/>
  <c r="BZ26" i="10"/>
  <c r="CA26" i="10"/>
  <c r="CE26" i="10"/>
  <c r="CK26" i="10"/>
  <c r="A27" i="10"/>
  <c r="B27" i="10"/>
  <c r="C27" i="10"/>
  <c r="AS27" i="10"/>
  <c r="AT27" i="10"/>
  <c r="AU27" i="10"/>
  <c r="AV27" i="10"/>
  <c r="AW27" i="10"/>
  <c r="BB27" i="10"/>
  <c r="BD27" i="10"/>
  <c r="BE27" i="10"/>
  <c r="BG27" i="10"/>
  <c r="BH27" i="10"/>
  <c r="BI27" i="10"/>
  <c r="BJ27" i="10"/>
  <c r="BK27" i="10"/>
  <c r="BL27" i="10"/>
  <c r="BM27" i="10"/>
  <c r="BN27" i="10"/>
  <c r="BR27" i="10"/>
  <c r="BT27" i="10"/>
  <c r="BU27" i="10"/>
  <c r="BV27" i="10"/>
  <c r="BW27" i="10"/>
  <c r="BX27" i="10"/>
  <c r="BY27" i="10"/>
  <c r="BZ27" i="10"/>
  <c r="CA27" i="10"/>
  <c r="CE27" i="10"/>
  <c r="CK27" i="10"/>
  <c r="A28" i="10"/>
  <c r="B28" i="10"/>
  <c r="C28" i="10"/>
  <c r="AS28" i="10"/>
  <c r="AT28" i="10"/>
  <c r="AU28" i="10"/>
  <c r="AV28" i="10"/>
  <c r="AW28" i="10"/>
  <c r="BB28" i="10"/>
  <c r="BD28" i="10"/>
  <c r="BE28" i="10"/>
  <c r="BF28" i="10" s="1"/>
  <c r="BG28" i="10"/>
  <c r="BH28" i="10"/>
  <c r="BI28" i="10"/>
  <c r="BJ28" i="10"/>
  <c r="BK28" i="10"/>
  <c r="BL28" i="10"/>
  <c r="BM28" i="10"/>
  <c r="BN28" i="10"/>
  <c r="BR28" i="10"/>
  <c r="BT28" i="10"/>
  <c r="BU28" i="10"/>
  <c r="BV28" i="10"/>
  <c r="BW28" i="10"/>
  <c r="BX28" i="10"/>
  <c r="BY28" i="10"/>
  <c r="BZ28" i="10"/>
  <c r="CA28" i="10"/>
  <c r="CE28" i="10"/>
  <c r="CK28" i="10"/>
  <c r="A29" i="10"/>
  <c r="B29" i="10"/>
  <c r="C29" i="10"/>
  <c r="AS29" i="10"/>
  <c r="AT29" i="10"/>
  <c r="BA29" i="10" s="1"/>
  <c r="BC29" i="10" s="1"/>
  <c r="AU29" i="10"/>
  <c r="AV29" i="10"/>
  <c r="AW29" i="10"/>
  <c r="BB29" i="10"/>
  <c r="BD29" i="10"/>
  <c r="BE29" i="10"/>
  <c r="BG29" i="10"/>
  <c r="BH29" i="10"/>
  <c r="BI29" i="10"/>
  <c r="BJ29" i="10"/>
  <c r="BK29" i="10"/>
  <c r="BL29" i="10"/>
  <c r="BM29" i="10"/>
  <c r="BN29" i="10"/>
  <c r="BR29" i="10"/>
  <c r="BT29" i="10"/>
  <c r="BU29" i="10"/>
  <c r="BV29" i="10"/>
  <c r="BW29" i="10"/>
  <c r="BX29" i="10"/>
  <c r="BY29" i="10"/>
  <c r="BZ29" i="10"/>
  <c r="CA29" i="10"/>
  <c r="CE29" i="10"/>
  <c r="CK29" i="10"/>
  <c r="A30" i="10"/>
  <c r="B30" i="10"/>
  <c r="C30" i="10"/>
  <c r="AS30" i="10"/>
  <c r="AT30" i="10"/>
  <c r="AU30" i="10"/>
  <c r="AV30" i="10"/>
  <c r="AW30" i="10"/>
  <c r="BB30" i="10"/>
  <c r="BD30" i="10"/>
  <c r="BE30" i="10"/>
  <c r="BG30" i="10"/>
  <c r="BH30" i="10"/>
  <c r="BI30" i="10"/>
  <c r="BJ30" i="10"/>
  <c r="BK30" i="10"/>
  <c r="BL30" i="10"/>
  <c r="BM30" i="10"/>
  <c r="BN30" i="10"/>
  <c r="BR30" i="10"/>
  <c r="BT30" i="10"/>
  <c r="BU30" i="10"/>
  <c r="BV30" i="10"/>
  <c r="BW30" i="10"/>
  <c r="BX30" i="10"/>
  <c r="BY30" i="10"/>
  <c r="BZ30" i="10"/>
  <c r="CA30" i="10"/>
  <c r="CE30" i="10"/>
  <c r="CK30" i="10"/>
  <c r="A31" i="10"/>
  <c r="B31" i="10"/>
  <c r="C31" i="10"/>
  <c r="AS31" i="10"/>
  <c r="AT31" i="10"/>
  <c r="AU31" i="10"/>
  <c r="AV31" i="10"/>
  <c r="AW31" i="10"/>
  <c r="BB31" i="10"/>
  <c r="BD31" i="10"/>
  <c r="BE31" i="10"/>
  <c r="BG31" i="10"/>
  <c r="BH31" i="10"/>
  <c r="BI31" i="10"/>
  <c r="BJ31" i="10"/>
  <c r="BK31" i="10"/>
  <c r="BL31" i="10"/>
  <c r="BM31" i="10"/>
  <c r="BN31" i="10"/>
  <c r="BR31" i="10"/>
  <c r="BT31" i="10"/>
  <c r="BU31" i="10"/>
  <c r="BV31" i="10"/>
  <c r="BW31" i="10"/>
  <c r="BX31" i="10"/>
  <c r="BY31" i="10"/>
  <c r="BZ31" i="10"/>
  <c r="CA31" i="10"/>
  <c r="CE31" i="10"/>
  <c r="CK31" i="10"/>
  <c r="A32" i="10"/>
  <c r="B32" i="10"/>
  <c r="C32" i="10"/>
  <c r="AS32" i="10"/>
  <c r="AT32" i="10"/>
  <c r="AU32" i="10"/>
  <c r="AV32" i="10"/>
  <c r="AW32" i="10"/>
  <c r="BB32" i="10"/>
  <c r="BD32" i="10"/>
  <c r="BE32" i="10"/>
  <c r="BG32" i="10"/>
  <c r="BH32" i="10"/>
  <c r="BI32" i="10"/>
  <c r="BJ32" i="10"/>
  <c r="BK32" i="10"/>
  <c r="BL32" i="10"/>
  <c r="BM32" i="10"/>
  <c r="BN32" i="10"/>
  <c r="BR32" i="10"/>
  <c r="BT32" i="10"/>
  <c r="BU32" i="10"/>
  <c r="BV32" i="10"/>
  <c r="BW32" i="10"/>
  <c r="BX32" i="10"/>
  <c r="BY32" i="10"/>
  <c r="BZ32" i="10"/>
  <c r="CA32" i="10"/>
  <c r="CE32" i="10"/>
  <c r="CK32" i="10"/>
  <c r="A33" i="10"/>
  <c r="B33" i="10"/>
  <c r="C33" i="10"/>
  <c r="AS33" i="10"/>
  <c r="AT33" i="10"/>
  <c r="AU33" i="10"/>
  <c r="AV33" i="10"/>
  <c r="AW33" i="10"/>
  <c r="BB33" i="10"/>
  <c r="BD33" i="10"/>
  <c r="BE33" i="10"/>
  <c r="BG33" i="10"/>
  <c r="BH33" i="10"/>
  <c r="BI33" i="10"/>
  <c r="BJ33" i="10"/>
  <c r="BK33" i="10"/>
  <c r="BL33" i="10"/>
  <c r="BM33" i="10"/>
  <c r="BN33" i="10"/>
  <c r="BR33" i="10"/>
  <c r="BT33" i="10"/>
  <c r="BU33" i="10"/>
  <c r="BV33" i="10"/>
  <c r="BW33" i="10"/>
  <c r="BX33" i="10"/>
  <c r="BY33" i="10"/>
  <c r="BZ33" i="10"/>
  <c r="CA33" i="10"/>
  <c r="CE33" i="10"/>
  <c r="CK33" i="10"/>
  <c r="A34" i="10"/>
  <c r="B34" i="10"/>
  <c r="C34" i="10"/>
  <c r="AS34" i="10"/>
  <c r="AT34" i="10"/>
  <c r="AU34" i="10"/>
  <c r="AV34" i="10"/>
  <c r="AW34" i="10"/>
  <c r="BB34" i="10"/>
  <c r="BD34" i="10"/>
  <c r="BE34" i="10"/>
  <c r="BG34" i="10"/>
  <c r="BH34" i="10"/>
  <c r="BI34" i="10"/>
  <c r="BJ34" i="10"/>
  <c r="BK34" i="10"/>
  <c r="BL34" i="10"/>
  <c r="BM34" i="10"/>
  <c r="BN34" i="10"/>
  <c r="BR34" i="10"/>
  <c r="BT34" i="10"/>
  <c r="BU34" i="10"/>
  <c r="BV34" i="10"/>
  <c r="BW34" i="10"/>
  <c r="BX34" i="10"/>
  <c r="BY34" i="10"/>
  <c r="BZ34" i="10"/>
  <c r="CA34" i="10"/>
  <c r="CE34" i="10"/>
  <c r="CK34" i="10"/>
  <c r="A35" i="10"/>
  <c r="B35" i="10"/>
  <c r="C35" i="10"/>
  <c r="AS35" i="10"/>
  <c r="AT35" i="10"/>
  <c r="AU35" i="10"/>
  <c r="AV35" i="10"/>
  <c r="AW35" i="10"/>
  <c r="BB35" i="10"/>
  <c r="BD35" i="10"/>
  <c r="BE35" i="10"/>
  <c r="BG35" i="10"/>
  <c r="BH35" i="10"/>
  <c r="BI35" i="10"/>
  <c r="BJ35" i="10"/>
  <c r="BK35" i="10"/>
  <c r="BL35" i="10"/>
  <c r="BM35" i="10"/>
  <c r="BN35" i="10"/>
  <c r="BR35" i="10"/>
  <c r="BT35" i="10"/>
  <c r="BU35" i="10"/>
  <c r="BV35" i="10"/>
  <c r="BW35" i="10"/>
  <c r="BX35" i="10"/>
  <c r="BY35" i="10"/>
  <c r="BZ35" i="10"/>
  <c r="CA35" i="10"/>
  <c r="CE35" i="10"/>
  <c r="CK35" i="10"/>
  <c r="A36" i="10"/>
  <c r="B36" i="10"/>
  <c r="C36" i="10"/>
  <c r="BB36" i="10"/>
  <c r="BD36" i="10"/>
  <c r="BE36" i="10"/>
  <c r="BG36" i="10"/>
  <c r="BH36" i="10"/>
  <c r="BI36" i="10"/>
  <c r="BJ36" i="10"/>
  <c r="BK36" i="10"/>
  <c r="BL36" i="10"/>
  <c r="BM36" i="10"/>
  <c r="BN36" i="10"/>
  <c r="BR36" i="10"/>
  <c r="BT36" i="10"/>
  <c r="BU36" i="10"/>
  <c r="BV36" i="10"/>
  <c r="BW36" i="10"/>
  <c r="BX36" i="10"/>
  <c r="BY36" i="10"/>
  <c r="BZ36" i="10"/>
  <c r="CA36" i="10"/>
  <c r="CE36" i="10"/>
  <c r="CK36" i="10"/>
  <c r="A37" i="10"/>
  <c r="B37" i="10"/>
  <c r="C37" i="10"/>
  <c r="AS37" i="10"/>
  <c r="AT37" i="10"/>
  <c r="AU37" i="10"/>
  <c r="AV37" i="10"/>
  <c r="AW37" i="10"/>
  <c r="BB37" i="10"/>
  <c r="BD37" i="10"/>
  <c r="BF37" i="10" s="1"/>
  <c r="BE37" i="10"/>
  <c r="BG37" i="10"/>
  <c r="BH37" i="10"/>
  <c r="BI37" i="10"/>
  <c r="BJ37" i="10"/>
  <c r="BK37" i="10"/>
  <c r="BL37" i="10"/>
  <c r="BM37" i="10"/>
  <c r="BN37" i="10"/>
  <c r="BR37" i="10"/>
  <c r="BT37" i="10"/>
  <c r="BU37" i="10"/>
  <c r="BV37" i="10"/>
  <c r="BW37" i="10"/>
  <c r="BX37" i="10"/>
  <c r="BY37" i="10"/>
  <c r="BZ37" i="10"/>
  <c r="CA37" i="10"/>
  <c r="CE37" i="10"/>
  <c r="CK37" i="10"/>
  <c r="A38" i="10"/>
  <c r="B38" i="10"/>
  <c r="C38" i="10"/>
  <c r="AS38" i="10"/>
  <c r="AT38" i="10"/>
  <c r="AU38" i="10"/>
  <c r="AV38" i="10"/>
  <c r="AW38" i="10"/>
  <c r="BB38" i="10"/>
  <c r="BD38" i="10"/>
  <c r="BE38" i="10"/>
  <c r="BG38" i="10"/>
  <c r="BH38" i="10"/>
  <c r="BI38" i="10"/>
  <c r="BJ38" i="10"/>
  <c r="BK38" i="10"/>
  <c r="BL38" i="10"/>
  <c r="BM38" i="10"/>
  <c r="BN38" i="10"/>
  <c r="BR38" i="10"/>
  <c r="BT38" i="10"/>
  <c r="BU38" i="10"/>
  <c r="BV38" i="10"/>
  <c r="BW38" i="10"/>
  <c r="BX38" i="10"/>
  <c r="BY38" i="10"/>
  <c r="BZ38" i="10"/>
  <c r="CA38" i="10"/>
  <c r="CE38" i="10"/>
  <c r="CK38" i="10"/>
  <c r="A39" i="10"/>
  <c r="B39" i="10"/>
  <c r="C39" i="10"/>
  <c r="AS39" i="10"/>
  <c r="AT39" i="10"/>
  <c r="AU39" i="10"/>
  <c r="BA39" i="10" s="1"/>
  <c r="AV39" i="10"/>
  <c r="AW39" i="10"/>
  <c r="BB39" i="10"/>
  <c r="BD39" i="10"/>
  <c r="BE39" i="10"/>
  <c r="BG39" i="10"/>
  <c r="BH39" i="10"/>
  <c r="BI39" i="10"/>
  <c r="BJ39" i="10"/>
  <c r="BK39" i="10"/>
  <c r="BL39" i="10"/>
  <c r="BM39" i="10"/>
  <c r="BN39" i="10"/>
  <c r="BR39" i="10"/>
  <c r="BT39" i="10"/>
  <c r="BU39" i="10"/>
  <c r="BV39" i="10"/>
  <c r="BW39" i="10"/>
  <c r="BX39" i="10"/>
  <c r="BY39" i="10"/>
  <c r="BZ39" i="10"/>
  <c r="CA39" i="10"/>
  <c r="CE39" i="10"/>
  <c r="CK39" i="10"/>
  <c r="A40" i="10"/>
  <c r="B40" i="10"/>
  <c r="C40" i="10"/>
  <c r="AS40" i="10"/>
  <c r="AT40" i="10"/>
  <c r="AU40" i="10"/>
  <c r="AV40" i="10"/>
  <c r="AW40" i="10"/>
  <c r="BB40" i="10"/>
  <c r="BD40" i="10"/>
  <c r="BE40" i="10"/>
  <c r="BG40" i="10"/>
  <c r="BH40" i="10"/>
  <c r="BI40" i="10"/>
  <c r="BJ40" i="10"/>
  <c r="BK40" i="10"/>
  <c r="BL40" i="10"/>
  <c r="BM40" i="10"/>
  <c r="BN40" i="10"/>
  <c r="BR40" i="10"/>
  <c r="BT40" i="10"/>
  <c r="BU40" i="10"/>
  <c r="BV40" i="10"/>
  <c r="BW40" i="10"/>
  <c r="BX40" i="10"/>
  <c r="BY40" i="10"/>
  <c r="BZ40" i="10"/>
  <c r="CA40" i="10"/>
  <c r="CE40" i="10"/>
  <c r="CK40" i="10"/>
  <c r="A41" i="10"/>
  <c r="B41" i="10"/>
  <c r="C41" i="10"/>
  <c r="AS41" i="10"/>
  <c r="AT41" i="10"/>
  <c r="AU41" i="10"/>
  <c r="AV41" i="10"/>
  <c r="AW41" i="10"/>
  <c r="BB41" i="10"/>
  <c r="BD41" i="10"/>
  <c r="BF41" i="10" s="1"/>
  <c r="BE41" i="10"/>
  <c r="BG41" i="10"/>
  <c r="BH41" i="10"/>
  <c r="BI41" i="10"/>
  <c r="BJ41" i="10"/>
  <c r="BK41" i="10"/>
  <c r="BL41" i="10"/>
  <c r="BM41" i="10"/>
  <c r="BQ41" i="10" s="1"/>
  <c r="BS41" i="10" s="1"/>
  <c r="BN41" i="10"/>
  <c r="BR41" i="10"/>
  <c r="BT41" i="10"/>
  <c r="BU41" i="10"/>
  <c r="BV41" i="10"/>
  <c r="BW41" i="10"/>
  <c r="BX41" i="10"/>
  <c r="BY41" i="10"/>
  <c r="BZ41" i="10"/>
  <c r="CA41" i="10"/>
  <c r="CE41" i="10"/>
  <c r="CK41" i="10"/>
  <c r="A42" i="10"/>
  <c r="B42" i="10"/>
  <c r="C42" i="10"/>
  <c r="AS42" i="10"/>
  <c r="AT42" i="10"/>
  <c r="AU42" i="10"/>
  <c r="AV42" i="10"/>
  <c r="AW42" i="10"/>
  <c r="BB42" i="10"/>
  <c r="BD42" i="10"/>
  <c r="BE42" i="10"/>
  <c r="BG42" i="10"/>
  <c r="BH42" i="10"/>
  <c r="BI42" i="10"/>
  <c r="BJ42" i="10"/>
  <c r="BK42" i="10"/>
  <c r="BL42" i="10"/>
  <c r="BM42" i="10"/>
  <c r="BN42" i="10"/>
  <c r="BR42" i="10"/>
  <c r="BT42" i="10"/>
  <c r="BU42" i="10"/>
  <c r="BV42" i="10"/>
  <c r="BW42" i="10"/>
  <c r="BX42" i="10"/>
  <c r="BY42" i="10"/>
  <c r="BZ42" i="10"/>
  <c r="CA42" i="10"/>
  <c r="CE42" i="10"/>
  <c r="CK42" i="10"/>
  <c r="A43" i="10"/>
  <c r="B43" i="10"/>
  <c r="C43" i="10"/>
  <c r="AS43" i="10"/>
  <c r="AT43" i="10"/>
  <c r="AU43" i="10"/>
  <c r="AV43" i="10"/>
  <c r="AW43" i="10"/>
  <c r="BB43" i="10"/>
  <c r="BD43" i="10"/>
  <c r="BE43" i="10"/>
  <c r="BG43" i="10"/>
  <c r="BH43" i="10"/>
  <c r="BI43" i="10"/>
  <c r="BJ43" i="10"/>
  <c r="BK43" i="10"/>
  <c r="BL43" i="10"/>
  <c r="BM43" i="10"/>
  <c r="BN43" i="10"/>
  <c r="BR43" i="10"/>
  <c r="BT43" i="10"/>
  <c r="BU43" i="10"/>
  <c r="BV43" i="10"/>
  <c r="BW43" i="10"/>
  <c r="BX43" i="10"/>
  <c r="BY43" i="10"/>
  <c r="BZ43" i="10"/>
  <c r="CA43" i="10"/>
  <c r="CE43" i="10"/>
  <c r="CK43" i="10"/>
  <c r="A44" i="10"/>
  <c r="B44" i="10"/>
  <c r="C44" i="10"/>
  <c r="AS44" i="10"/>
  <c r="AT44" i="10"/>
  <c r="AU44" i="10"/>
  <c r="AV44" i="10"/>
  <c r="AW44" i="10"/>
  <c r="BB44" i="10"/>
  <c r="BD44" i="10"/>
  <c r="BE44" i="10"/>
  <c r="BG44" i="10"/>
  <c r="BH44" i="10"/>
  <c r="BI44" i="10"/>
  <c r="BJ44" i="10"/>
  <c r="BK44" i="10"/>
  <c r="BL44" i="10"/>
  <c r="BM44" i="10"/>
  <c r="BN44" i="10"/>
  <c r="BR44" i="10"/>
  <c r="BT44" i="10"/>
  <c r="BU44" i="10"/>
  <c r="BV44" i="10"/>
  <c r="BW44" i="10"/>
  <c r="BX44" i="10"/>
  <c r="BY44" i="10"/>
  <c r="BZ44" i="10"/>
  <c r="CA44" i="10"/>
  <c r="CE44" i="10"/>
  <c r="CK44" i="10"/>
  <c r="A45" i="10"/>
  <c r="B45" i="10"/>
  <c r="C45" i="10"/>
  <c r="AS45" i="10"/>
  <c r="AT45" i="10"/>
  <c r="AU45" i="10"/>
  <c r="AV45" i="10"/>
  <c r="AW45" i="10"/>
  <c r="BB45" i="10"/>
  <c r="BD45" i="10"/>
  <c r="BE45" i="10"/>
  <c r="BG45" i="10"/>
  <c r="BH45" i="10"/>
  <c r="BI45" i="10"/>
  <c r="BJ45" i="10"/>
  <c r="BK45" i="10"/>
  <c r="BL45" i="10"/>
  <c r="BM45" i="10"/>
  <c r="BN45" i="10"/>
  <c r="BR45" i="10"/>
  <c r="BT45" i="10"/>
  <c r="BU45" i="10"/>
  <c r="BV45" i="10"/>
  <c r="BW45" i="10"/>
  <c r="BX45" i="10"/>
  <c r="BY45" i="10"/>
  <c r="BZ45" i="10"/>
  <c r="CA45" i="10"/>
  <c r="CE45" i="10"/>
  <c r="CK45" i="10"/>
  <c r="A46" i="10"/>
  <c r="B46" i="10"/>
  <c r="C46" i="10"/>
  <c r="AS46" i="10"/>
  <c r="AT46" i="10"/>
  <c r="AU46" i="10"/>
  <c r="AV46" i="10"/>
  <c r="AW46" i="10"/>
  <c r="BB46" i="10"/>
  <c r="BD46" i="10"/>
  <c r="BE46" i="10"/>
  <c r="BG46" i="10"/>
  <c r="BH46" i="10"/>
  <c r="BI46" i="10"/>
  <c r="BJ46" i="10"/>
  <c r="BK46" i="10"/>
  <c r="BL46" i="10"/>
  <c r="BM46" i="10"/>
  <c r="BN46" i="10"/>
  <c r="BR46" i="10"/>
  <c r="BT46" i="10"/>
  <c r="BU46" i="10"/>
  <c r="BV46" i="10"/>
  <c r="BW46" i="10"/>
  <c r="BX46" i="10"/>
  <c r="BY46" i="10"/>
  <c r="BZ46" i="10"/>
  <c r="CA46" i="10"/>
  <c r="CE46" i="10"/>
  <c r="CK46" i="10"/>
  <c r="A47" i="10"/>
  <c r="B47" i="10"/>
  <c r="C47" i="10"/>
  <c r="AS47" i="10"/>
  <c r="AT47" i="10"/>
  <c r="AU47" i="10"/>
  <c r="AV47" i="10"/>
  <c r="AW47" i="10"/>
  <c r="BB47" i="10"/>
  <c r="BD47" i="10"/>
  <c r="BF47" i="10" s="1"/>
  <c r="BE47" i="10"/>
  <c r="BG47" i="10"/>
  <c r="BH47" i="10"/>
  <c r="BI47" i="10"/>
  <c r="BJ47" i="10"/>
  <c r="BK47" i="10"/>
  <c r="BL47" i="10"/>
  <c r="BM47" i="10"/>
  <c r="BN47" i="10"/>
  <c r="BR47" i="10"/>
  <c r="BT47" i="10"/>
  <c r="BU47" i="10"/>
  <c r="BV47" i="10"/>
  <c r="BW47" i="10"/>
  <c r="BX47" i="10"/>
  <c r="BY47" i="10"/>
  <c r="BZ47" i="10"/>
  <c r="CA47" i="10"/>
  <c r="CE47" i="10"/>
  <c r="CK47" i="10"/>
  <c r="A48" i="10"/>
  <c r="B48" i="10"/>
  <c r="C48" i="10"/>
  <c r="AS48" i="10"/>
  <c r="AT48" i="10"/>
  <c r="AU48" i="10"/>
  <c r="AV48" i="10"/>
  <c r="AW48" i="10"/>
  <c r="BB48" i="10"/>
  <c r="BD48" i="10"/>
  <c r="BE48" i="10"/>
  <c r="BG48" i="10"/>
  <c r="BH48" i="10"/>
  <c r="BI48" i="10"/>
  <c r="BJ48" i="10"/>
  <c r="BK48" i="10"/>
  <c r="BL48" i="10"/>
  <c r="BM48" i="10"/>
  <c r="BN48" i="10"/>
  <c r="BR48" i="10"/>
  <c r="BT48" i="10"/>
  <c r="CD48" i="10" s="1"/>
  <c r="CF48" i="10" s="1"/>
  <c r="BU48" i="10"/>
  <c r="BV48" i="10"/>
  <c r="BW48" i="10"/>
  <c r="BX48" i="10"/>
  <c r="BY48" i="10"/>
  <c r="BZ48" i="10"/>
  <c r="CA48" i="10"/>
  <c r="CE48" i="10"/>
  <c r="CK48" i="10"/>
  <c r="A49" i="10"/>
  <c r="B49" i="10"/>
  <c r="C49" i="10"/>
  <c r="AS49" i="10"/>
  <c r="AT49" i="10"/>
  <c r="AU49" i="10"/>
  <c r="AV49" i="10"/>
  <c r="AW49" i="10"/>
  <c r="BB49" i="10"/>
  <c r="BD49" i="10"/>
  <c r="BF49" i="10" s="1"/>
  <c r="BE49" i="10"/>
  <c r="BG49" i="10"/>
  <c r="BH49" i="10"/>
  <c r="BI49" i="10"/>
  <c r="BJ49" i="10"/>
  <c r="BK49" i="10"/>
  <c r="BL49" i="10"/>
  <c r="BM49" i="10"/>
  <c r="BN49" i="10"/>
  <c r="BR49" i="10"/>
  <c r="BT49" i="10"/>
  <c r="BU49" i="10"/>
  <c r="BV49" i="10"/>
  <c r="BW49" i="10"/>
  <c r="BX49" i="10"/>
  <c r="BY49" i="10"/>
  <c r="BZ49" i="10"/>
  <c r="CA49" i="10"/>
  <c r="CE49" i="10"/>
  <c r="CK49" i="10"/>
  <c r="A50" i="10"/>
  <c r="B50" i="10"/>
  <c r="C50" i="10"/>
  <c r="AS50" i="10"/>
  <c r="AT50" i="10"/>
  <c r="AU50" i="10"/>
  <c r="AV50" i="10"/>
  <c r="AW50" i="10"/>
  <c r="BB50" i="10"/>
  <c r="BD50" i="10"/>
  <c r="BE50" i="10"/>
  <c r="BG50" i="10"/>
  <c r="BH50" i="10"/>
  <c r="BI50" i="10"/>
  <c r="BJ50" i="10"/>
  <c r="BK50" i="10"/>
  <c r="BL50" i="10"/>
  <c r="BM50" i="10"/>
  <c r="BN50" i="10"/>
  <c r="BR50" i="10"/>
  <c r="BT50" i="10"/>
  <c r="BU50" i="10"/>
  <c r="BV50" i="10"/>
  <c r="BW50" i="10"/>
  <c r="BX50" i="10"/>
  <c r="BY50" i="10"/>
  <c r="BZ50" i="10"/>
  <c r="CA50" i="10"/>
  <c r="CE50" i="10"/>
  <c r="CK50" i="10"/>
  <c r="A51" i="10"/>
  <c r="B51" i="10"/>
  <c r="C51" i="10"/>
  <c r="AS51" i="10"/>
  <c r="AT51" i="10"/>
  <c r="AU51" i="10"/>
  <c r="AV51" i="10"/>
  <c r="AW51" i="10"/>
  <c r="BB51" i="10"/>
  <c r="BD51" i="10"/>
  <c r="BE51" i="10"/>
  <c r="BG51" i="10"/>
  <c r="BH51" i="10"/>
  <c r="BI51" i="10"/>
  <c r="BJ51" i="10"/>
  <c r="BK51" i="10"/>
  <c r="BL51" i="10"/>
  <c r="BM51" i="10"/>
  <c r="BN51" i="10"/>
  <c r="BR51" i="10"/>
  <c r="BT51" i="10"/>
  <c r="BU51" i="10"/>
  <c r="BV51" i="10"/>
  <c r="BW51" i="10"/>
  <c r="BX51" i="10"/>
  <c r="BY51" i="10"/>
  <c r="BZ51" i="10"/>
  <c r="CA51" i="10"/>
  <c r="CE51" i="10"/>
  <c r="CK51" i="10"/>
  <c r="A52" i="10"/>
  <c r="B52" i="10"/>
  <c r="C52" i="10"/>
  <c r="AS52" i="10"/>
  <c r="AT52" i="10"/>
  <c r="AU52" i="10"/>
  <c r="AV52" i="10"/>
  <c r="AW52" i="10"/>
  <c r="BB52" i="10"/>
  <c r="BD52" i="10"/>
  <c r="BE52" i="10"/>
  <c r="BG52" i="10"/>
  <c r="BH52" i="10"/>
  <c r="BI52" i="10"/>
  <c r="BJ52" i="10"/>
  <c r="BK52" i="10"/>
  <c r="BL52" i="10"/>
  <c r="BM52" i="10"/>
  <c r="BN52" i="10"/>
  <c r="BR52" i="10"/>
  <c r="BT52" i="10"/>
  <c r="BU52" i="10"/>
  <c r="BV52" i="10"/>
  <c r="BW52" i="10"/>
  <c r="BX52" i="10"/>
  <c r="BY52" i="10"/>
  <c r="BZ52" i="10"/>
  <c r="CA52" i="10"/>
  <c r="CE52" i="10"/>
  <c r="CK52" i="10"/>
  <c r="A53" i="10"/>
  <c r="B53" i="10"/>
  <c r="C53" i="10"/>
  <c r="AS53" i="10"/>
  <c r="AT53" i="10"/>
  <c r="AU53" i="10"/>
  <c r="AV53" i="10"/>
  <c r="AW53" i="10"/>
  <c r="BB53" i="10"/>
  <c r="BD53" i="10"/>
  <c r="BF53" i="10" s="1"/>
  <c r="BE53" i="10"/>
  <c r="BG53" i="10"/>
  <c r="BH53" i="10"/>
  <c r="BI53" i="10"/>
  <c r="BJ53" i="10"/>
  <c r="BK53" i="10"/>
  <c r="BL53" i="10"/>
  <c r="BM53" i="10"/>
  <c r="BN53" i="10"/>
  <c r="BR53" i="10"/>
  <c r="BT53" i="10"/>
  <c r="BU53" i="10"/>
  <c r="CD53" i="10" s="1"/>
  <c r="CF53" i="10" s="1"/>
  <c r="BV53" i="10"/>
  <c r="BW53" i="10"/>
  <c r="BX53" i="10"/>
  <c r="BY53" i="10"/>
  <c r="BZ53" i="10"/>
  <c r="CA53" i="10"/>
  <c r="CE53" i="10"/>
  <c r="CK53" i="10"/>
  <c r="A54" i="10"/>
  <c r="B54" i="10"/>
  <c r="C54" i="10"/>
  <c r="AS54" i="10"/>
  <c r="AT54" i="10"/>
  <c r="AU54" i="10"/>
  <c r="AV54" i="10"/>
  <c r="AW54" i="10"/>
  <c r="BB54" i="10"/>
  <c r="BD54" i="10"/>
  <c r="BF54" i="10" s="1"/>
  <c r="BE54" i="10"/>
  <c r="BG54" i="10"/>
  <c r="BH54" i="10"/>
  <c r="BI54" i="10"/>
  <c r="BJ54" i="10"/>
  <c r="BK54" i="10"/>
  <c r="BL54" i="10"/>
  <c r="BM54" i="10"/>
  <c r="BN54" i="10"/>
  <c r="BR54" i="10"/>
  <c r="BT54" i="10"/>
  <c r="BU54" i="10"/>
  <c r="BV54" i="10"/>
  <c r="BW54" i="10"/>
  <c r="BX54" i="10"/>
  <c r="BY54" i="10"/>
  <c r="BZ54" i="10"/>
  <c r="CA54" i="10"/>
  <c r="CE54" i="10"/>
  <c r="CK54" i="10"/>
  <c r="A55" i="10"/>
  <c r="B55" i="10"/>
  <c r="C55" i="10"/>
  <c r="AS55" i="10"/>
  <c r="AT55" i="10"/>
  <c r="AU55" i="10"/>
  <c r="AV55" i="10"/>
  <c r="AW55" i="10"/>
  <c r="BB55" i="10"/>
  <c r="BD55" i="10"/>
  <c r="BE55" i="10"/>
  <c r="BG55" i="10"/>
  <c r="BH55" i="10"/>
  <c r="BI55" i="10"/>
  <c r="BJ55" i="10"/>
  <c r="BK55" i="10"/>
  <c r="BL55" i="10"/>
  <c r="BM55" i="10"/>
  <c r="BN55" i="10"/>
  <c r="BR55" i="10"/>
  <c r="BT55" i="10"/>
  <c r="BU55" i="10"/>
  <c r="BV55" i="10"/>
  <c r="BW55" i="10"/>
  <c r="BX55" i="10"/>
  <c r="BY55" i="10"/>
  <c r="BZ55" i="10"/>
  <c r="CA55" i="10"/>
  <c r="CE55" i="10"/>
  <c r="CK55" i="10"/>
  <c r="A56" i="10"/>
  <c r="B56" i="10"/>
  <c r="C56" i="10"/>
  <c r="AS56" i="10"/>
  <c r="AT56" i="10"/>
  <c r="AU56" i="10"/>
  <c r="AV56" i="10"/>
  <c r="AW56" i="10"/>
  <c r="BB56" i="10"/>
  <c r="BD56" i="10"/>
  <c r="BE56" i="10"/>
  <c r="BG56" i="10"/>
  <c r="BH56" i="10"/>
  <c r="BI56" i="10"/>
  <c r="BJ56" i="10"/>
  <c r="BK56" i="10"/>
  <c r="BL56" i="10"/>
  <c r="BM56" i="10"/>
  <c r="BN56" i="10"/>
  <c r="BR56" i="10"/>
  <c r="BT56" i="10"/>
  <c r="BU56" i="10"/>
  <c r="BV56" i="10"/>
  <c r="BW56" i="10"/>
  <c r="BX56" i="10"/>
  <c r="BY56" i="10"/>
  <c r="BZ56" i="10"/>
  <c r="CA56" i="10"/>
  <c r="CE56" i="10"/>
  <c r="CK56" i="10"/>
  <c r="A57" i="10"/>
  <c r="B57" i="10"/>
  <c r="C57" i="10"/>
  <c r="AS57" i="10"/>
  <c r="AT57" i="10"/>
  <c r="AU57" i="10"/>
  <c r="AV57" i="10"/>
  <c r="AW57" i="10"/>
  <c r="BB57" i="10"/>
  <c r="BD57" i="10"/>
  <c r="BE57" i="10"/>
  <c r="BG57" i="10"/>
  <c r="BH57" i="10"/>
  <c r="BI57" i="10"/>
  <c r="BJ57" i="10"/>
  <c r="BK57" i="10"/>
  <c r="BL57" i="10"/>
  <c r="BM57" i="10"/>
  <c r="BN57" i="10"/>
  <c r="BR57" i="10"/>
  <c r="BT57" i="10"/>
  <c r="BU57" i="10"/>
  <c r="BV57" i="10"/>
  <c r="BW57" i="10"/>
  <c r="BX57" i="10"/>
  <c r="BY57" i="10"/>
  <c r="BZ57" i="10"/>
  <c r="CA57" i="10"/>
  <c r="CE57" i="10"/>
  <c r="CK57" i="10"/>
  <c r="A58" i="10"/>
  <c r="B58" i="10"/>
  <c r="C58" i="10"/>
  <c r="AS58" i="10"/>
  <c r="AT58" i="10"/>
  <c r="AU58" i="10"/>
  <c r="AV58" i="10"/>
  <c r="AW58" i="10"/>
  <c r="BB58" i="10"/>
  <c r="BD58" i="10"/>
  <c r="BE58" i="10"/>
  <c r="BG58" i="10"/>
  <c r="BH58" i="10"/>
  <c r="BI58" i="10"/>
  <c r="BJ58" i="10"/>
  <c r="BK58" i="10"/>
  <c r="BL58" i="10"/>
  <c r="BM58" i="10"/>
  <c r="BN58" i="10"/>
  <c r="BR58" i="10"/>
  <c r="BT58" i="10"/>
  <c r="BU58" i="10"/>
  <c r="BV58" i="10"/>
  <c r="BW58" i="10"/>
  <c r="BX58" i="10"/>
  <c r="BY58" i="10"/>
  <c r="BZ58" i="10"/>
  <c r="CA58" i="10"/>
  <c r="CE58" i="10"/>
  <c r="CK58" i="10"/>
  <c r="A59" i="10"/>
  <c r="B59" i="10"/>
  <c r="C59" i="10"/>
  <c r="AS59" i="10"/>
  <c r="AT59" i="10"/>
  <c r="AU59" i="10"/>
  <c r="AV59" i="10"/>
  <c r="AW59" i="10"/>
  <c r="BB59" i="10"/>
  <c r="BD59" i="10"/>
  <c r="BE59" i="10"/>
  <c r="BG59" i="10"/>
  <c r="BH59" i="10"/>
  <c r="BI59" i="10"/>
  <c r="BQ59" i="10" s="1"/>
  <c r="BJ59" i="10"/>
  <c r="BK59" i="10"/>
  <c r="BL59" i="10"/>
  <c r="BM59" i="10"/>
  <c r="BN59" i="10"/>
  <c r="BR59" i="10"/>
  <c r="BT59" i="10"/>
  <c r="BU59" i="10"/>
  <c r="BV59" i="10"/>
  <c r="BW59" i="10"/>
  <c r="BX59" i="10"/>
  <c r="BY59" i="10"/>
  <c r="BZ59" i="10"/>
  <c r="CA59" i="10"/>
  <c r="CE59" i="10"/>
  <c r="CK59" i="10"/>
  <c r="A60" i="10"/>
  <c r="B60" i="10"/>
  <c r="C60" i="10"/>
  <c r="AS60" i="10"/>
  <c r="AT60" i="10"/>
  <c r="AU60" i="10"/>
  <c r="AV60" i="10"/>
  <c r="AW60" i="10"/>
  <c r="BB60" i="10"/>
  <c r="BD60" i="10"/>
  <c r="BE60" i="10"/>
  <c r="BG60" i="10"/>
  <c r="BH60" i="10"/>
  <c r="BI60" i="10"/>
  <c r="BJ60" i="10"/>
  <c r="BK60" i="10"/>
  <c r="BL60" i="10"/>
  <c r="BM60" i="10"/>
  <c r="BN60" i="10"/>
  <c r="BR60" i="10"/>
  <c r="BT60" i="10"/>
  <c r="BU60" i="10"/>
  <c r="BV60" i="10"/>
  <c r="BW60" i="10"/>
  <c r="BX60" i="10"/>
  <c r="BY60" i="10"/>
  <c r="BZ60" i="10"/>
  <c r="CA60" i="10"/>
  <c r="CE60" i="10"/>
  <c r="CK60" i="10"/>
  <c r="A61" i="10"/>
  <c r="B61" i="10"/>
  <c r="C61" i="10"/>
  <c r="AS61" i="10"/>
  <c r="AT61" i="10"/>
  <c r="AU61" i="10"/>
  <c r="AV61" i="10"/>
  <c r="AW61" i="10"/>
  <c r="BB61" i="10"/>
  <c r="BD61" i="10"/>
  <c r="BE61" i="10"/>
  <c r="BG61" i="10"/>
  <c r="BH61" i="10"/>
  <c r="BI61" i="10"/>
  <c r="BJ61" i="10"/>
  <c r="BK61" i="10"/>
  <c r="BL61" i="10"/>
  <c r="BM61" i="10"/>
  <c r="BN61" i="10"/>
  <c r="BR61" i="10"/>
  <c r="BT61" i="10"/>
  <c r="BU61" i="10"/>
  <c r="BV61" i="10"/>
  <c r="BW61" i="10"/>
  <c r="BX61" i="10"/>
  <c r="BY61" i="10"/>
  <c r="BZ61" i="10"/>
  <c r="CA61" i="10"/>
  <c r="CE61" i="10"/>
  <c r="CK61" i="10"/>
  <c r="A62" i="10"/>
  <c r="B62" i="10"/>
  <c r="C62" i="10"/>
  <c r="AS62" i="10"/>
  <c r="AT62" i="10"/>
  <c r="AU62" i="10"/>
  <c r="AV62" i="10"/>
  <c r="AW62" i="10"/>
  <c r="BB62" i="10"/>
  <c r="BD62" i="10"/>
  <c r="BE62" i="10"/>
  <c r="BG62" i="10"/>
  <c r="BH62" i="10"/>
  <c r="BI62" i="10"/>
  <c r="BJ62" i="10"/>
  <c r="BK62" i="10"/>
  <c r="BL62" i="10"/>
  <c r="BM62" i="10"/>
  <c r="BN62" i="10"/>
  <c r="BR62" i="10"/>
  <c r="BT62" i="10"/>
  <c r="BU62" i="10"/>
  <c r="BV62" i="10"/>
  <c r="BW62" i="10"/>
  <c r="BX62" i="10"/>
  <c r="BY62" i="10"/>
  <c r="BZ62" i="10"/>
  <c r="CA62" i="10"/>
  <c r="CE62" i="10"/>
  <c r="CK62" i="10"/>
  <c r="A63" i="10"/>
  <c r="B63" i="10"/>
  <c r="C63" i="10"/>
  <c r="AS63" i="10"/>
  <c r="AT63" i="10"/>
  <c r="AU63" i="10"/>
  <c r="BA63" i="10" s="1"/>
  <c r="AV63" i="10"/>
  <c r="AW63" i="10"/>
  <c r="BB63" i="10"/>
  <c r="BD63" i="10"/>
  <c r="BF63" i="10" s="1"/>
  <c r="BE63" i="10"/>
  <c r="BG63" i="10"/>
  <c r="BH63" i="10"/>
  <c r="BI63" i="10"/>
  <c r="BJ63" i="10"/>
  <c r="BK63" i="10"/>
  <c r="BL63" i="10"/>
  <c r="BM63" i="10"/>
  <c r="BN63" i="10"/>
  <c r="BR63" i="10"/>
  <c r="BT63" i="10"/>
  <c r="BU63" i="10"/>
  <c r="BV63" i="10"/>
  <c r="BW63" i="10"/>
  <c r="BX63" i="10"/>
  <c r="BY63" i="10"/>
  <c r="BZ63" i="10"/>
  <c r="CA63" i="10"/>
  <c r="CE63" i="10"/>
  <c r="CK63" i="10"/>
  <c r="A64" i="10"/>
  <c r="B64" i="10"/>
  <c r="C64" i="10"/>
  <c r="AS64" i="10"/>
  <c r="AT64" i="10"/>
  <c r="AU64" i="10"/>
  <c r="AV64" i="10"/>
  <c r="AW64" i="10"/>
  <c r="BB64" i="10"/>
  <c r="BD64" i="10"/>
  <c r="BE64" i="10"/>
  <c r="BG64" i="10"/>
  <c r="BH64" i="10"/>
  <c r="BI64" i="10"/>
  <c r="BJ64" i="10"/>
  <c r="BK64" i="10"/>
  <c r="BL64" i="10"/>
  <c r="BM64" i="10"/>
  <c r="BN64" i="10"/>
  <c r="BR64" i="10"/>
  <c r="BT64" i="10"/>
  <c r="CD64" i="10" s="1"/>
  <c r="CF64" i="10" s="1"/>
  <c r="BU64" i="10"/>
  <c r="BV64" i="10"/>
  <c r="BW64" i="10"/>
  <c r="BX64" i="10"/>
  <c r="BY64" i="10"/>
  <c r="BZ64" i="10"/>
  <c r="CA64" i="10"/>
  <c r="CE64" i="10"/>
  <c r="CK64" i="10"/>
  <c r="A65" i="10"/>
  <c r="B65" i="10"/>
  <c r="C65" i="10"/>
  <c r="AS65" i="10"/>
  <c r="AT65" i="10"/>
  <c r="AU65" i="10"/>
  <c r="AV65" i="10"/>
  <c r="AW65" i="10"/>
  <c r="BB65" i="10"/>
  <c r="BD65" i="10"/>
  <c r="BE65" i="10"/>
  <c r="BG65" i="10"/>
  <c r="BH65" i="10"/>
  <c r="BI65" i="10"/>
  <c r="BJ65" i="10"/>
  <c r="BK65" i="10"/>
  <c r="BL65" i="10"/>
  <c r="BM65" i="10"/>
  <c r="BN65" i="10"/>
  <c r="BR65" i="10"/>
  <c r="BT65" i="10"/>
  <c r="BU65" i="10"/>
  <c r="BV65" i="10"/>
  <c r="BW65" i="10"/>
  <c r="BX65" i="10"/>
  <c r="BY65" i="10"/>
  <c r="BZ65" i="10"/>
  <c r="CA65" i="10"/>
  <c r="CE65" i="10"/>
  <c r="CK65" i="10"/>
  <c r="A66" i="10"/>
  <c r="B66" i="10"/>
  <c r="C66" i="10"/>
  <c r="AS66" i="10"/>
  <c r="AT66" i="10"/>
  <c r="AU66" i="10"/>
  <c r="AV66" i="10"/>
  <c r="AW66" i="10"/>
  <c r="BB66" i="10"/>
  <c r="BD66" i="10"/>
  <c r="BE66" i="10"/>
  <c r="BG66" i="10"/>
  <c r="BH66" i="10"/>
  <c r="BI66" i="10"/>
  <c r="BJ66" i="10"/>
  <c r="BK66" i="10"/>
  <c r="BL66" i="10"/>
  <c r="BM66" i="10"/>
  <c r="BN66" i="10"/>
  <c r="BR66" i="10"/>
  <c r="BT66" i="10"/>
  <c r="BU66" i="10"/>
  <c r="BV66" i="10"/>
  <c r="BW66" i="10"/>
  <c r="BX66" i="10"/>
  <c r="BY66" i="10"/>
  <c r="BZ66" i="10"/>
  <c r="CA66" i="10"/>
  <c r="CE66" i="10"/>
  <c r="CK66" i="10"/>
  <c r="A67" i="10"/>
  <c r="B67" i="10"/>
  <c r="C67" i="10"/>
  <c r="AS67" i="10"/>
  <c r="AT67" i="10"/>
  <c r="AU67" i="10"/>
  <c r="AV67" i="10"/>
  <c r="AW67" i="10"/>
  <c r="BB67" i="10"/>
  <c r="BD67" i="10"/>
  <c r="BF67" i="10" s="1"/>
  <c r="BE67" i="10"/>
  <c r="BG67" i="10"/>
  <c r="BH67" i="10"/>
  <c r="BI67" i="10"/>
  <c r="BJ67" i="10"/>
  <c r="BK67" i="10"/>
  <c r="BL67" i="10"/>
  <c r="BM67" i="10"/>
  <c r="BN67" i="10"/>
  <c r="BR67" i="10"/>
  <c r="BT67" i="10"/>
  <c r="BU67" i="10"/>
  <c r="BV67" i="10"/>
  <c r="BW67" i="10"/>
  <c r="BX67" i="10"/>
  <c r="BY67" i="10"/>
  <c r="BZ67" i="10"/>
  <c r="CA67" i="10"/>
  <c r="CE67" i="10"/>
  <c r="CK67" i="10"/>
  <c r="A68" i="10"/>
  <c r="B68" i="10"/>
  <c r="C68" i="10"/>
  <c r="AS68" i="10"/>
  <c r="AT68" i="10"/>
  <c r="AU68" i="10"/>
  <c r="AV68" i="10"/>
  <c r="AW68" i="10"/>
  <c r="BB68" i="10"/>
  <c r="BD68" i="10"/>
  <c r="BE68" i="10"/>
  <c r="BG68" i="10"/>
  <c r="BH68" i="10"/>
  <c r="BI68" i="10"/>
  <c r="BJ68" i="10"/>
  <c r="BK68" i="10"/>
  <c r="BL68" i="10"/>
  <c r="BM68" i="10"/>
  <c r="BN68" i="10"/>
  <c r="BR68" i="10"/>
  <c r="BT68" i="10"/>
  <c r="BU68" i="10"/>
  <c r="BV68" i="10"/>
  <c r="BW68" i="10"/>
  <c r="BX68" i="10"/>
  <c r="BY68" i="10"/>
  <c r="BZ68" i="10"/>
  <c r="CA68" i="10"/>
  <c r="CE68" i="10"/>
  <c r="CK68" i="10"/>
  <c r="A69" i="10"/>
  <c r="B69" i="10"/>
  <c r="C69" i="10"/>
  <c r="AS69" i="10"/>
  <c r="AT69" i="10"/>
  <c r="AU69" i="10"/>
  <c r="AV69" i="10"/>
  <c r="AW69" i="10"/>
  <c r="BB69" i="10"/>
  <c r="BD69" i="10"/>
  <c r="BE69" i="10"/>
  <c r="BG69" i="10"/>
  <c r="BH69" i="10"/>
  <c r="BI69" i="10"/>
  <c r="BJ69" i="10"/>
  <c r="BK69" i="10"/>
  <c r="BL69" i="10"/>
  <c r="BM69" i="10"/>
  <c r="BN69" i="10"/>
  <c r="BR69" i="10"/>
  <c r="BT69" i="10"/>
  <c r="BU69" i="10"/>
  <c r="BV69" i="10"/>
  <c r="BW69" i="10"/>
  <c r="BX69" i="10"/>
  <c r="BY69" i="10"/>
  <c r="BZ69" i="10"/>
  <c r="CA69" i="10"/>
  <c r="CE69" i="10"/>
  <c r="CK69" i="10"/>
  <c r="A70" i="10"/>
  <c r="B70" i="10"/>
  <c r="C70" i="10"/>
  <c r="AS70" i="10"/>
  <c r="BA70" i="10" s="1"/>
  <c r="BC70" i="10" s="1"/>
  <c r="AT70" i="10"/>
  <c r="AU70" i="10"/>
  <c r="AV70" i="10"/>
  <c r="AW70" i="10"/>
  <c r="BB70" i="10"/>
  <c r="BD70" i="10"/>
  <c r="BE70" i="10"/>
  <c r="BG70" i="10"/>
  <c r="BH70" i="10"/>
  <c r="BI70" i="10"/>
  <c r="BJ70" i="10"/>
  <c r="BK70" i="10"/>
  <c r="BL70" i="10"/>
  <c r="BM70" i="10"/>
  <c r="BN70" i="10"/>
  <c r="BR70" i="10"/>
  <c r="BT70" i="10"/>
  <c r="BU70" i="10"/>
  <c r="BV70" i="10"/>
  <c r="BW70" i="10"/>
  <c r="BX70" i="10"/>
  <c r="BY70" i="10"/>
  <c r="BZ70" i="10"/>
  <c r="CA70" i="10"/>
  <c r="CE70" i="10"/>
  <c r="CK70" i="10"/>
  <c r="A71" i="10"/>
  <c r="B71" i="10"/>
  <c r="C71" i="10"/>
  <c r="AS71" i="10"/>
  <c r="AT71" i="10"/>
  <c r="AU71" i="10"/>
  <c r="AV71" i="10"/>
  <c r="AW71" i="10"/>
  <c r="BB71" i="10"/>
  <c r="BD71" i="10"/>
  <c r="BE71" i="10"/>
  <c r="BG71" i="10"/>
  <c r="BH71" i="10"/>
  <c r="BI71" i="10"/>
  <c r="BJ71" i="10"/>
  <c r="BK71" i="10"/>
  <c r="BL71" i="10"/>
  <c r="BM71" i="10"/>
  <c r="BN71" i="10"/>
  <c r="BR71" i="10"/>
  <c r="BT71" i="10"/>
  <c r="BU71" i="10"/>
  <c r="BV71" i="10"/>
  <c r="BW71" i="10"/>
  <c r="BX71" i="10"/>
  <c r="BY71" i="10"/>
  <c r="BZ71" i="10"/>
  <c r="CA71" i="10"/>
  <c r="CE71" i="10"/>
  <c r="CK71" i="10"/>
  <c r="A72" i="10"/>
  <c r="B72" i="10"/>
  <c r="C72" i="10"/>
  <c r="AS72" i="10"/>
  <c r="AT72" i="10"/>
  <c r="AU72" i="10"/>
  <c r="AV72" i="10"/>
  <c r="AW72" i="10"/>
  <c r="BB72" i="10"/>
  <c r="BD72" i="10"/>
  <c r="BE72" i="10"/>
  <c r="BG72" i="10"/>
  <c r="BH72" i="10"/>
  <c r="BI72" i="10"/>
  <c r="BJ72" i="10"/>
  <c r="BK72" i="10"/>
  <c r="BL72" i="10"/>
  <c r="BM72" i="10"/>
  <c r="BN72" i="10"/>
  <c r="BR72" i="10"/>
  <c r="BT72" i="10"/>
  <c r="BU72" i="10"/>
  <c r="BV72" i="10"/>
  <c r="BW72" i="10"/>
  <c r="BX72" i="10"/>
  <c r="BY72" i="10"/>
  <c r="BZ72" i="10"/>
  <c r="CA72" i="10"/>
  <c r="CE72" i="10"/>
  <c r="CK72" i="10"/>
  <c r="A73" i="10"/>
  <c r="B73" i="10"/>
  <c r="C73" i="10"/>
  <c r="AS73" i="10"/>
  <c r="AT73" i="10"/>
  <c r="AU73" i="10"/>
  <c r="AV73" i="10"/>
  <c r="AW73" i="10"/>
  <c r="BB73" i="10"/>
  <c r="BD73" i="10"/>
  <c r="BF73" i="10" s="1"/>
  <c r="BE73" i="10"/>
  <c r="BG73" i="10"/>
  <c r="BH73" i="10"/>
  <c r="BI73" i="10"/>
  <c r="BJ73" i="10"/>
  <c r="BK73" i="10"/>
  <c r="BL73" i="10"/>
  <c r="BM73" i="10"/>
  <c r="BN73" i="10"/>
  <c r="BR73" i="10"/>
  <c r="BT73" i="10"/>
  <c r="BU73" i="10"/>
  <c r="CD73" i="10" s="1"/>
  <c r="CF73" i="10" s="1"/>
  <c r="BV73" i="10"/>
  <c r="BW73" i="10"/>
  <c r="BX73" i="10"/>
  <c r="BY73" i="10"/>
  <c r="BZ73" i="10"/>
  <c r="CA73" i="10"/>
  <c r="CE73" i="10"/>
  <c r="CK73" i="10"/>
  <c r="A74" i="10"/>
  <c r="B74" i="10"/>
  <c r="C74" i="10"/>
  <c r="AS74" i="10"/>
  <c r="AT74" i="10"/>
  <c r="AU74" i="10"/>
  <c r="AV74" i="10"/>
  <c r="AW74" i="10"/>
  <c r="BB74" i="10"/>
  <c r="BD74" i="10"/>
  <c r="BE74" i="10"/>
  <c r="BG74" i="10"/>
  <c r="BH74" i="10"/>
  <c r="BI74" i="10"/>
  <c r="BJ74" i="10"/>
  <c r="BK74" i="10"/>
  <c r="BL74" i="10"/>
  <c r="BM74" i="10"/>
  <c r="BN74" i="10"/>
  <c r="BR74" i="10"/>
  <c r="BT74" i="10"/>
  <c r="BU74" i="10"/>
  <c r="BV74" i="10"/>
  <c r="BW74" i="10"/>
  <c r="BX74" i="10"/>
  <c r="BY74" i="10"/>
  <c r="BZ74" i="10"/>
  <c r="CA74" i="10"/>
  <c r="CE74" i="10"/>
  <c r="CK74" i="10"/>
  <c r="A75" i="10"/>
  <c r="B75" i="10"/>
  <c r="C75" i="10"/>
  <c r="AS75" i="10"/>
  <c r="AT75" i="10"/>
  <c r="AU75" i="10"/>
  <c r="AV75" i="10"/>
  <c r="AW75" i="10"/>
  <c r="BB75" i="10"/>
  <c r="BD75" i="10"/>
  <c r="BE75" i="10"/>
  <c r="BG75" i="10"/>
  <c r="BH75" i="10"/>
  <c r="BI75" i="10"/>
  <c r="BJ75" i="10"/>
  <c r="BK75" i="10"/>
  <c r="BL75" i="10"/>
  <c r="BM75" i="10"/>
  <c r="BN75" i="10"/>
  <c r="BR75" i="10"/>
  <c r="BT75" i="10"/>
  <c r="BU75" i="10"/>
  <c r="BV75" i="10"/>
  <c r="BW75" i="10"/>
  <c r="BX75" i="10"/>
  <c r="BY75" i="10"/>
  <c r="BZ75" i="10"/>
  <c r="CA75" i="10"/>
  <c r="CE75" i="10"/>
  <c r="CK75" i="10"/>
  <c r="A76" i="10"/>
  <c r="B76" i="10"/>
  <c r="C76" i="10"/>
  <c r="AS76" i="10"/>
  <c r="AT76" i="10"/>
  <c r="AU76" i="10"/>
  <c r="AV76" i="10"/>
  <c r="AW76" i="10"/>
  <c r="BB76" i="10"/>
  <c r="BD76" i="10"/>
  <c r="BE76" i="10"/>
  <c r="BG76" i="10"/>
  <c r="BH76" i="10"/>
  <c r="BI76" i="10"/>
  <c r="BJ76" i="10"/>
  <c r="BK76" i="10"/>
  <c r="BL76" i="10"/>
  <c r="BM76" i="10"/>
  <c r="BN76" i="10"/>
  <c r="BR76" i="10"/>
  <c r="BT76" i="10"/>
  <c r="BU76" i="10"/>
  <c r="BV76" i="10"/>
  <c r="BW76" i="10"/>
  <c r="BX76" i="10"/>
  <c r="BY76" i="10"/>
  <c r="BZ76" i="10"/>
  <c r="CA76" i="10"/>
  <c r="CE76" i="10"/>
  <c r="CK76" i="10"/>
  <c r="A77" i="10"/>
  <c r="B77" i="10"/>
  <c r="C77" i="10"/>
  <c r="AS77" i="10"/>
  <c r="AT77" i="10"/>
  <c r="AU77" i="10"/>
  <c r="BA77" i="10" s="1"/>
  <c r="BC77" i="10" s="1"/>
  <c r="AV77" i="10"/>
  <c r="AW77" i="10"/>
  <c r="BB77" i="10"/>
  <c r="BD77" i="10"/>
  <c r="BF77" i="10" s="1"/>
  <c r="BE77" i="10"/>
  <c r="BG77" i="10"/>
  <c r="BH77" i="10"/>
  <c r="BI77" i="10"/>
  <c r="BJ77" i="10"/>
  <c r="BK77" i="10"/>
  <c r="BL77" i="10"/>
  <c r="BM77" i="10"/>
  <c r="BN77" i="10"/>
  <c r="BR77" i="10"/>
  <c r="BT77" i="10"/>
  <c r="BU77" i="10"/>
  <c r="BV77" i="10"/>
  <c r="BW77" i="10"/>
  <c r="BX77" i="10"/>
  <c r="BY77" i="10"/>
  <c r="BZ77" i="10"/>
  <c r="CA77" i="10"/>
  <c r="CE77" i="10"/>
  <c r="CK77" i="10"/>
  <c r="A78" i="10"/>
  <c r="B78" i="10"/>
  <c r="C78" i="10"/>
  <c r="AS78" i="10"/>
  <c r="BA78" i="10" s="1"/>
  <c r="BC78" i="10" s="1"/>
  <c r="AT78" i="10"/>
  <c r="AU78" i="10"/>
  <c r="AV78" i="10"/>
  <c r="AW78" i="10"/>
  <c r="BB78" i="10"/>
  <c r="BD78" i="10"/>
  <c r="BE78" i="10"/>
  <c r="BG78" i="10"/>
  <c r="BH78" i="10"/>
  <c r="BI78" i="10"/>
  <c r="BJ78" i="10"/>
  <c r="BK78" i="10"/>
  <c r="BL78" i="10"/>
  <c r="BM78" i="10"/>
  <c r="BN78" i="10"/>
  <c r="BR78" i="10"/>
  <c r="BT78" i="10"/>
  <c r="BU78" i="10"/>
  <c r="BV78" i="10"/>
  <c r="BW78" i="10"/>
  <c r="BX78" i="10"/>
  <c r="BY78" i="10"/>
  <c r="BZ78" i="10"/>
  <c r="CA78" i="10"/>
  <c r="CE78" i="10"/>
  <c r="CK78" i="10"/>
  <c r="A79" i="10"/>
  <c r="B79" i="10"/>
  <c r="C79" i="10"/>
  <c r="AS79" i="10"/>
  <c r="AT79" i="10"/>
  <c r="AU79" i="10"/>
  <c r="BA79" i="10" s="1"/>
  <c r="BC79" i="10" s="1"/>
  <c r="AV79" i="10"/>
  <c r="AW79" i="10"/>
  <c r="BB79" i="10"/>
  <c r="BD79" i="10"/>
  <c r="BF79" i="10" s="1"/>
  <c r="BE79" i="10"/>
  <c r="BG79" i="10"/>
  <c r="BH79" i="10"/>
  <c r="BI79" i="10"/>
  <c r="BJ79" i="10"/>
  <c r="BK79" i="10"/>
  <c r="BL79" i="10"/>
  <c r="BM79" i="10"/>
  <c r="BN79" i="10"/>
  <c r="BR79" i="10"/>
  <c r="BT79" i="10"/>
  <c r="BU79" i="10"/>
  <c r="BV79" i="10"/>
  <c r="BW79" i="10"/>
  <c r="BX79" i="10"/>
  <c r="BY79" i="10"/>
  <c r="BZ79" i="10"/>
  <c r="CA79" i="10"/>
  <c r="CE79" i="10"/>
  <c r="CK79" i="10"/>
  <c r="A80" i="10"/>
  <c r="B80" i="10"/>
  <c r="C80" i="10"/>
  <c r="AS80" i="10"/>
  <c r="AT80" i="10"/>
  <c r="AU80" i="10"/>
  <c r="AV80" i="10"/>
  <c r="AW80" i="10"/>
  <c r="BB80" i="10"/>
  <c r="BD80" i="10"/>
  <c r="BE80" i="10"/>
  <c r="BG80" i="10"/>
  <c r="BH80" i="10"/>
  <c r="BI80" i="10"/>
  <c r="BJ80" i="10"/>
  <c r="BK80" i="10"/>
  <c r="BL80" i="10"/>
  <c r="BM80" i="10"/>
  <c r="BN80" i="10"/>
  <c r="BR80" i="10"/>
  <c r="BT80" i="10"/>
  <c r="BU80" i="10"/>
  <c r="BV80" i="10"/>
  <c r="BW80" i="10"/>
  <c r="BX80" i="10"/>
  <c r="BY80" i="10"/>
  <c r="BZ80" i="10"/>
  <c r="CA80" i="10"/>
  <c r="CE80" i="10"/>
  <c r="CK80" i="10"/>
  <c r="A81" i="10"/>
  <c r="B81" i="10"/>
  <c r="C81" i="10"/>
  <c r="AS81" i="10"/>
  <c r="AT81" i="10"/>
  <c r="AU81" i="10"/>
  <c r="BA81" i="10" s="1"/>
  <c r="BC81" i="10" s="1"/>
  <c r="AV81" i="10"/>
  <c r="AW81" i="10"/>
  <c r="BB81" i="10"/>
  <c r="BD81" i="10"/>
  <c r="BE81" i="10"/>
  <c r="BG81" i="10"/>
  <c r="BH81" i="10"/>
  <c r="BI81" i="10"/>
  <c r="BJ81" i="10"/>
  <c r="BK81" i="10"/>
  <c r="BL81" i="10"/>
  <c r="BM81" i="10"/>
  <c r="BN81" i="10"/>
  <c r="BR81" i="10"/>
  <c r="BT81" i="10"/>
  <c r="BU81" i="10"/>
  <c r="BV81" i="10"/>
  <c r="BW81" i="10"/>
  <c r="BX81" i="10"/>
  <c r="BY81" i="10"/>
  <c r="BZ81" i="10"/>
  <c r="CA81" i="10"/>
  <c r="CE81" i="10"/>
  <c r="CK81" i="10"/>
  <c r="A82" i="10"/>
  <c r="B82" i="10"/>
  <c r="C82" i="10"/>
  <c r="AS82" i="10"/>
  <c r="AT82" i="10"/>
  <c r="AU82" i="10"/>
  <c r="AV82" i="10"/>
  <c r="AW82" i="10"/>
  <c r="BB82" i="10"/>
  <c r="BD82" i="10"/>
  <c r="BF82" i="10" s="1"/>
  <c r="BE82" i="10"/>
  <c r="BG82" i="10"/>
  <c r="BH82" i="10"/>
  <c r="BI82" i="10"/>
  <c r="BJ82" i="10"/>
  <c r="BK82" i="10"/>
  <c r="BL82" i="10"/>
  <c r="BM82" i="10"/>
  <c r="BN82" i="10"/>
  <c r="BR82" i="10"/>
  <c r="BT82" i="10"/>
  <c r="BU82" i="10"/>
  <c r="BV82" i="10"/>
  <c r="BW82" i="10"/>
  <c r="BX82" i="10"/>
  <c r="BY82" i="10"/>
  <c r="BZ82" i="10"/>
  <c r="CA82" i="10"/>
  <c r="CD82" i="10" s="1"/>
  <c r="CE82" i="10"/>
  <c r="CK82" i="10"/>
  <c r="A83" i="10"/>
  <c r="B83" i="10"/>
  <c r="C83" i="10"/>
  <c r="AS83" i="10"/>
  <c r="AT83" i="10"/>
  <c r="AU83" i="10"/>
  <c r="AV83" i="10"/>
  <c r="AW83" i="10"/>
  <c r="BB83" i="10"/>
  <c r="BD83" i="10"/>
  <c r="BE83" i="10"/>
  <c r="BG83" i="10"/>
  <c r="BH83" i="10"/>
  <c r="BI83" i="10"/>
  <c r="BJ83" i="10"/>
  <c r="BK83" i="10"/>
  <c r="BL83" i="10"/>
  <c r="BM83" i="10"/>
  <c r="BN83" i="10"/>
  <c r="BR83" i="10"/>
  <c r="BT83" i="10"/>
  <c r="BU83" i="10"/>
  <c r="BV83" i="10"/>
  <c r="BW83" i="10"/>
  <c r="BX83" i="10"/>
  <c r="BY83" i="10"/>
  <c r="BZ83" i="10"/>
  <c r="CA83" i="10"/>
  <c r="CE83" i="10"/>
  <c r="CK83" i="10"/>
  <c r="A84" i="10"/>
  <c r="B84" i="10"/>
  <c r="C84" i="10"/>
  <c r="AS84" i="10"/>
  <c r="AT84" i="10"/>
  <c r="AU84" i="10"/>
  <c r="AV84" i="10"/>
  <c r="AW84" i="10"/>
  <c r="BB84" i="10"/>
  <c r="BD84" i="10"/>
  <c r="BE84" i="10"/>
  <c r="BG84" i="10"/>
  <c r="BH84" i="10"/>
  <c r="BI84" i="10"/>
  <c r="BJ84" i="10"/>
  <c r="BK84" i="10"/>
  <c r="BL84" i="10"/>
  <c r="BM84" i="10"/>
  <c r="BN84" i="10"/>
  <c r="BR84" i="10"/>
  <c r="BT84" i="10"/>
  <c r="BU84" i="10"/>
  <c r="BV84" i="10"/>
  <c r="BW84" i="10"/>
  <c r="BX84" i="10"/>
  <c r="BY84" i="10"/>
  <c r="BZ84" i="10"/>
  <c r="CA84" i="10"/>
  <c r="CE84" i="10"/>
  <c r="CK84" i="10"/>
  <c r="A1" i="11"/>
  <c r="A2" i="11"/>
  <c r="B2" i="11"/>
  <c r="C2" i="11"/>
  <c r="A4" i="11"/>
  <c r="B4" i="11"/>
  <c r="C4" i="11"/>
  <c r="F4" i="11"/>
  <c r="P4" i="11"/>
  <c r="S4" i="11"/>
  <c r="AA4" i="11"/>
  <c r="A5" i="11"/>
  <c r="B5" i="11"/>
  <c r="C5" i="11"/>
  <c r="F5" i="11"/>
  <c r="P5" i="11"/>
  <c r="S5" i="11"/>
  <c r="A6" i="11"/>
  <c r="B6" i="11"/>
  <c r="C6" i="11"/>
  <c r="F6" i="11"/>
  <c r="O6" i="11" s="1"/>
  <c r="P6" i="11"/>
  <c r="S6" i="11"/>
  <c r="A7" i="11"/>
  <c r="B7" i="11"/>
  <c r="C7" i="11"/>
  <c r="F7" i="11"/>
  <c r="N7" i="11" s="1"/>
  <c r="P7" i="11"/>
  <c r="S7" i="11"/>
  <c r="A8" i="11"/>
  <c r="B8" i="11"/>
  <c r="C8" i="11"/>
  <c r="F8" i="11"/>
  <c r="M8" i="11" s="1"/>
  <c r="P8" i="11"/>
  <c r="S8" i="11"/>
  <c r="BN8" i="11"/>
  <c r="CO8" i="11" s="1"/>
  <c r="A9" i="11"/>
  <c r="B9" i="11"/>
  <c r="C9" i="11"/>
  <c r="F9" i="11"/>
  <c r="P9" i="11"/>
  <c r="S9" i="11"/>
  <c r="A10" i="11"/>
  <c r="B10" i="11"/>
  <c r="C10" i="11"/>
  <c r="F10" i="11"/>
  <c r="P10" i="11"/>
  <c r="S10" i="11"/>
  <c r="A11" i="11"/>
  <c r="B11" i="11"/>
  <c r="C11" i="11"/>
  <c r="F11" i="11"/>
  <c r="P11" i="11"/>
  <c r="S11" i="11"/>
  <c r="A12" i="11"/>
  <c r="B12" i="11"/>
  <c r="C12" i="11"/>
  <c r="F12" i="11"/>
  <c r="M12" i="11" s="1"/>
  <c r="P12" i="11"/>
  <c r="S12" i="11"/>
  <c r="A13" i="11"/>
  <c r="B13" i="11"/>
  <c r="C13" i="11"/>
  <c r="F13" i="11"/>
  <c r="P13" i="11"/>
  <c r="S13" i="11"/>
  <c r="A14" i="11"/>
  <c r="B14" i="11"/>
  <c r="C14" i="11"/>
  <c r="F14" i="11"/>
  <c r="P14" i="11"/>
  <c r="S14" i="11"/>
  <c r="A15" i="11"/>
  <c r="B15" i="11"/>
  <c r="C15" i="11"/>
  <c r="F15" i="11"/>
  <c r="P15" i="11"/>
  <c r="S15" i="11"/>
  <c r="A16" i="11"/>
  <c r="B16" i="11"/>
  <c r="C16" i="11"/>
  <c r="F16" i="11"/>
  <c r="O16" i="11" s="1"/>
  <c r="P16" i="11"/>
  <c r="S16" i="11"/>
  <c r="A17" i="11"/>
  <c r="B17" i="11"/>
  <c r="C17" i="11"/>
  <c r="F17" i="11"/>
  <c r="P17" i="11"/>
  <c r="S17" i="11"/>
  <c r="A18" i="11"/>
  <c r="B18" i="11"/>
  <c r="C18" i="11"/>
  <c r="F18" i="11"/>
  <c r="P18" i="11"/>
  <c r="S18" i="11"/>
  <c r="A19" i="11"/>
  <c r="B19" i="11"/>
  <c r="C19" i="11"/>
  <c r="F19" i="11"/>
  <c r="M19" i="11" s="1"/>
  <c r="P19" i="11"/>
  <c r="S19" i="11"/>
  <c r="A20" i="11"/>
  <c r="B20" i="11"/>
  <c r="C20" i="11"/>
  <c r="F20" i="11"/>
  <c r="P20" i="11"/>
  <c r="S20" i="11"/>
  <c r="A21" i="11"/>
  <c r="B21" i="11"/>
  <c r="C21" i="11"/>
  <c r="F21" i="11"/>
  <c r="M21" i="11" s="1"/>
  <c r="P21" i="11"/>
  <c r="S21" i="11"/>
  <c r="A22" i="11"/>
  <c r="B22" i="11"/>
  <c r="C22" i="11"/>
  <c r="F22" i="11"/>
  <c r="P22" i="11"/>
  <c r="S22" i="11"/>
  <c r="A23" i="11"/>
  <c r="B23" i="11"/>
  <c r="C23" i="11"/>
  <c r="F23" i="11"/>
  <c r="P23" i="11"/>
  <c r="S23" i="11"/>
  <c r="A24" i="11"/>
  <c r="B24" i="11"/>
  <c r="C24" i="11"/>
  <c r="F24" i="11"/>
  <c r="N24" i="11" s="1"/>
  <c r="P24" i="11"/>
  <c r="S24" i="11"/>
  <c r="A25" i="11"/>
  <c r="B25" i="11"/>
  <c r="C25" i="11"/>
  <c r="F25" i="11"/>
  <c r="M25" i="11" s="1"/>
  <c r="P25" i="11"/>
  <c r="S25" i="11"/>
  <c r="A26" i="11"/>
  <c r="B26" i="11"/>
  <c r="C26" i="11"/>
  <c r="F26" i="11"/>
  <c r="N26" i="11" s="1"/>
  <c r="P26" i="11"/>
  <c r="S26" i="11"/>
  <c r="A27" i="11"/>
  <c r="B27" i="11"/>
  <c r="C27" i="11"/>
  <c r="F27" i="11"/>
  <c r="P27" i="11"/>
  <c r="S27" i="11"/>
  <c r="A28" i="11"/>
  <c r="B28" i="11"/>
  <c r="C28" i="11"/>
  <c r="F28" i="11"/>
  <c r="P28" i="11"/>
  <c r="S28" i="11"/>
  <c r="A29" i="11"/>
  <c r="B29" i="11"/>
  <c r="C29" i="11"/>
  <c r="F29" i="11"/>
  <c r="N29" i="11" s="1"/>
  <c r="P29" i="11"/>
  <c r="S29" i="11"/>
  <c r="A30" i="11"/>
  <c r="B30" i="11"/>
  <c r="C30" i="11"/>
  <c r="F30" i="11"/>
  <c r="O30" i="11" s="1"/>
  <c r="P30" i="11"/>
  <c r="S30" i="11"/>
  <c r="A31" i="11"/>
  <c r="B31" i="11"/>
  <c r="C31" i="11"/>
  <c r="F31" i="11"/>
  <c r="P31" i="11"/>
  <c r="S31" i="11"/>
  <c r="A32" i="11"/>
  <c r="B32" i="11"/>
  <c r="C32" i="11"/>
  <c r="F32" i="11"/>
  <c r="P32" i="11"/>
  <c r="S32" i="11"/>
  <c r="A33" i="11"/>
  <c r="B33" i="11"/>
  <c r="C33" i="11"/>
  <c r="F33" i="11"/>
  <c r="N33" i="11" s="1"/>
  <c r="P33" i="11"/>
  <c r="S33" i="11"/>
  <c r="A34" i="11"/>
  <c r="B34" i="11"/>
  <c r="C34" i="11"/>
  <c r="F34" i="11"/>
  <c r="P34" i="11"/>
  <c r="S34" i="11"/>
  <c r="A35" i="11"/>
  <c r="B35" i="11"/>
  <c r="C35" i="11"/>
  <c r="F35" i="11"/>
  <c r="P35" i="11"/>
  <c r="S35" i="11"/>
  <c r="A36" i="11"/>
  <c r="B36" i="11"/>
  <c r="C36" i="11"/>
  <c r="F36" i="11"/>
  <c r="O36" i="11" s="1"/>
  <c r="P36" i="11"/>
  <c r="S36" i="11"/>
  <c r="A37" i="11"/>
  <c r="B37" i="11"/>
  <c r="C37" i="11"/>
  <c r="F37" i="11"/>
  <c r="P37" i="11"/>
  <c r="S37" i="11"/>
  <c r="A38" i="11"/>
  <c r="B38" i="11"/>
  <c r="C38" i="11"/>
  <c r="F38" i="11"/>
  <c r="N38" i="11" s="1"/>
  <c r="P38" i="11"/>
  <c r="S38" i="11"/>
  <c r="A39" i="11"/>
  <c r="B39" i="11"/>
  <c r="C39" i="11"/>
  <c r="F39" i="11"/>
  <c r="P39" i="11"/>
  <c r="S39" i="11"/>
  <c r="A40" i="11"/>
  <c r="B40" i="11"/>
  <c r="C40" i="11"/>
  <c r="F40" i="11"/>
  <c r="M40" i="11" s="1"/>
  <c r="P40" i="11"/>
  <c r="S40" i="11"/>
  <c r="A41" i="11"/>
  <c r="B41" i="11"/>
  <c r="C41" i="11"/>
  <c r="F41" i="11"/>
  <c r="P41" i="11"/>
  <c r="S41" i="11"/>
  <c r="A42" i="11"/>
  <c r="B42" i="11"/>
  <c r="C42" i="11"/>
  <c r="F42" i="11"/>
  <c r="P42" i="11"/>
  <c r="S42" i="11"/>
  <c r="BN42" i="11"/>
  <c r="CO42" i="11" s="1"/>
  <c r="A43" i="11"/>
  <c r="B43" i="11"/>
  <c r="C43" i="11"/>
  <c r="F43" i="11"/>
  <c r="O43" i="11" s="1"/>
  <c r="P43" i="11"/>
  <c r="S43" i="11"/>
  <c r="A44" i="11"/>
  <c r="B44" i="11"/>
  <c r="C44" i="11"/>
  <c r="F44" i="11"/>
  <c r="N44" i="11" s="1"/>
  <c r="P44" i="11"/>
  <c r="S44" i="11"/>
  <c r="A45" i="11"/>
  <c r="B45" i="11"/>
  <c r="C45" i="11"/>
  <c r="F45" i="11"/>
  <c r="O45" i="11" s="1"/>
  <c r="P45" i="11"/>
  <c r="S45" i="11"/>
  <c r="A46" i="11"/>
  <c r="B46" i="11"/>
  <c r="C46" i="11"/>
  <c r="F46" i="11"/>
  <c r="N46" i="11" s="1"/>
  <c r="P46" i="11"/>
  <c r="S46" i="11"/>
  <c r="A47" i="11"/>
  <c r="B47" i="11"/>
  <c r="C47" i="11"/>
  <c r="F47" i="11"/>
  <c r="M47" i="11" s="1"/>
  <c r="P47" i="11"/>
  <c r="S47" i="11"/>
  <c r="A48" i="11"/>
  <c r="B48" i="11"/>
  <c r="C48" i="11"/>
  <c r="F48" i="11"/>
  <c r="M48" i="11" s="1"/>
  <c r="P48" i="11"/>
  <c r="S48" i="11"/>
  <c r="A49" i="11"/>
  <c r="B49" i="11"/>
  <c r="C49" i="11"/>
  <c r="F49" i="11"/>
  <c r="O49" i="11" s="1"/>
  <c r="P49" i="11"/>
  <c r="S49" i="11"/>
  <c r="A50" i="11"/>
  <c r="B50" i="11"/>
  <c r="C50" i="11"/>
  <c r="F50" i="11"/>
  <c r="N50" i="11" s="1"/>
  <c r="P50" i="11"/>
  <c r="S50" i="11"/>
  <c r="A51" i="11"/>
  <c r="B51" i="11"/>
  <c r="C51" i="11"/>
  <c r="F51" i="11"/>
  <c r="O51" i="11" s="1"/>
  <c r="P51" i="11"/>
  <c r="S51" i="11"/>
  <c r="A52" i="11"/>
  <c r="B52" i="11"/>
  <c r="C52" i="11"/>
  <c r="F52" i="11"/>
  <c r="O52" i="11" s="1"/>
  <c r="P52" i="11"/>
  <c r="S52" i="11"/>
  <c r="A53" i="11"/>
  <c r="B53" i="11"/>
  <c r="C53" i="11"/>
  <c r="F53" i="11"/>
  <c r="M53" i="11" s="1"/>
  <c r="P53" i="11"/>
  <c r="S53" i="11"/>
  <c r="A54" i="11"/>
  <c r="B54" i="11"/>
  <c r="C54" i="11"/>
  <c r="F54" i="11"/>
  <c r="M54" i="11" s="1"/>
  <c r="P54" i="11"/>
  <c r="S54" i="11"/>
  <c r="A55" i="11"/>
  <c r="B55" i="11"/>
  <c r="C55" i="11"/>
  <c r="F55" i="11"/>
  <c r="O55" i="11" s="1"/>
  <c r="P55" i="11"/>
  <c r="S55" i="11"/>
  <c r="A56" i="11"/>
  <c r="B56" i="11"/>
  <c r="C56" i="11"/>
  <c r="F56" i="11"/>
  <c r="M56" i="11" s="1"/>
  <c r="P56" i="11"/>
  <c r="S56" i="11"/>
  <c r="A57" i="11"/>
  <c r="B57" i="11"/>
  <c r="C57" i="11"/>
  <c r="F57" i="11"/>
  <c r="N57" i="11" s="1"/>
  <c r="P57" i="11"/>
  <c r="S57" i="11"/>
  <c r="A58" i="11"/>
  <c r="B58" i="11"/>
  <c r="C58" i="11"/>
  <c r="F58" i="11"/>
  <c r="N58" i="11" s="1"/>
  <c r="P58" i="11"/>
  <c r="S58" i="11"/>
  <c r="A59" i="11"/>
  <c r="B59" i="11"/>
  <c r="C59" i="11"/>
  <c r="F59" i="11"/>
  <c r="O59" i="11" s="1"/>
  <c r="P59" i="11"/>
  <c r="S59" i="11"/>
  <c r="A60" i="11"/>
  <c r="B60" i="11"/>
  <c r="C60" i="11"/>
  <c r="F60" i="11"/>
  <c r="O60" i="11" s="1"/>
  <c r="P60" i="11"/>
  <c r="S60" i="11"/>
  <c r="A61" i="11"/>
  <c r="B61" i="11"/>
  <c r="C61" i="11"/>
  <c r="F61" i="11"/>
  <c r="M61" i="11" s="1"/>
  <c r="P61" i="11"/>
  <c r="S61" i="11"/>
  <c r="A62" i="11"/>
  <c r="B62" i="11"/>
  <c r="C62" i="11"/>
  <c r="F62" i="11"/>
  <c r="M62" i="11" s="1"/>
  <c r="P62" i="11"/>
  <c r="S62" i="11"/>
  <c r="A63" i="11"/>
  <c r="B63" i="11"/>
  <c r="C63" i="11"/>
  <c r="F63" i="11"/>
  <c r="O63" i="11" s="1"/>
  <c r="P63" i="11"/>
  <c r="S63" i="11"/>
  <c r="A64" i="11"/>
  <c r="B64" i="11"/>
  <c r="C64" i="11"/>
  <c r="F64" i="11"/>
  <c r="N64" i="11" s="1"/>
  <c r="P64" i="11"/>
  <c r="S64" i="11"/>
  <c r="A65" i="11"/>
  <c r="B65" i="11"/>
  <c r="C65" i="11"/>
  <c r="F65" i="11"/>
  <c r="N65" i="11" s="1"/>
  <c r="P65" i="11"/>
  <c r="S65" i="11"/>
  <c r="A66" i="11"/>
  <c r="B66" i="11"/>
  <c r="C66" i="11"/>
  <c r="F66" i="11"/>
  <c r="P66" i="11"/>
  <c r="S66" i="11"/>
  <c r="A67" i="11"/>
  <c r="B67" i="11"/>
  <c r="C67" i="11"/>
  <c r="F67" i="11"/>
  <c r="O67" i="11" s="1"/>
  <c r="P67" i="11"/>
  <c r="S67" i="11"/>
  <c r="A68" i="11"/>
  <c r="B68" i="11"/>
  <c r="C68" i="11"/>
  <c r="F68" i="11"/>
  <c r="M68" i="11" s="1"/>
  <c r="P68" i="11"/>
  <c r="S68" i="11"/>
  <c r="A69" i="11"/>
  <c r="B69" i="11"/>
  <c r="C69" i="11"/>
  <c r="F69" i="11"/>
  <c r="O69" i="11" s="1"/>
  <c r="P69" i="11"/>
  <c r="S69" i="11"/>
  <c r="A70" i="11"/>
  <c r="B70" i="11"/>
  <c r="C70" i="11"/>
  <c r="F70" i="11"/>
  <c r="N70" i="11" s="1"/>
  <c r="P70" i="11"/>
  <c r="S70" i="11"/>
  <c r="A71" i="11"/>
  <c r="B71" i="11"/>
  <c r="C71" i="11"/>
  <c r="F71" i="11"/>
  <c r="O71" i="11" s="1"/>
  <c r="P71" i="11"/>
  <c r="S71" i="11"/>
  <c r="A72" i="11"/>
  <c r="B72" i="11"/>
  <c r="C72" i="11"/>
  <c r="F72" i="11"/>
  <c r="O72" i="11" s="1"/>
  <c r="P72" i="11"/>
  <c r="S72" i="11"/>
  <c r="A73" i="11"/>
  <c r="B73" i="11"/>
  <c r="C73" i="11"/>
  <c r="F73" i="11"/>
  <c r="O73" i="11" s="1"/>
  <c r="P73" i="11"/>
  <c r="S73" i="11"/>
  <c r="A74" i="11"/>
  <c r="B74" i="11"/>
  <c r="C74" i="11"/>
  <c r="F74" i="11"/>
  <c r="N74" i="11" s="1"/>
  <c r="P74" i="11"/>
  <c r="S74" i="11"/>
  <c r="A75" i="11"/>
  <c r="B75" i="11"/>
  <c r="C75" i="11"/>
  <c r="F75" i="11"/>
  <c r="O75" i="11" s="1"/>
  <c r="P75" i="11"/>
  <c r="S75" i="11"/>
  <c r="A76" i="11"/>
  <c r="B76" i="11"/>
  <c r="C76" i="11"/>
  <c r="F76" i="11"/>
  <c r="O76" i="11" s="1"/>
  <c r="P76" i="11"/>
  <c r="S76" i="11"/>
  <c r="A77" i="11"/>
  <c r="B77" i="11"/>
  <c r="C77" i="11"/>
  <c r="F77" i="11"/>
  <c r="O77" i="11" s="1"/>
  <c r="P77" i="11"/>
  <c r="S77" i="11"/>
  <c r="A78" i="11"/>
  <c r="B78" i="11"/>
  <c r="C78" i="11"/>
  <c r="F78" i="11"/>
  <c r="O78" i="11" s="1"/>
  <c r="P78" i="11"/>
  <c r="S78" i="11"/>
  <c r="A79" i="11"/>
  <c r="B79" i="11"/>
  <c r="C79" i="11"/>
  <c r="F79" i="11"/>
  <c r="M79" i="11" s="1"/>
  <c r="P79" i="11"/>
  <c r="S79" i="11"/>
  <c r="A80" i="11"/>
  <c r="B80" i="11"/>
  <c r="C80" i="11"/>
  <c r="F80" i="11"/>
  <c r="P80" i="11"/>
  <c r="S80" i="11"/>
  <c r="A81" i="11"/>
  <c r="B81" i="11"/>
  <c r="C81" i="11"/>
  <c r="F81" i="11"/>
  <c r="O81" i="11" s="1"/>
  <c r="P81" i="11"/>
  <c r="S81" i="11"/>
  <c r="A82" i="11"/>
  <c r="B82" i="11"/>
  <c r="C82" i="11"/>
  <c r="F82" i="11"/>
  <c r="P82" i="11"/>
  <c r="S82" i="11"/>
  <c r="CO82" i="11"/>
  <c r="A83" i="11"/>
  <c r="B83" i="11"/>
  <c r="C83" i="11"/>
  <c r="F83" i="11"/>
  <c r="P83" i="11"/>
  <c r="S83" i="11"/>
  <c r="A84" i="11"/>
  <c r="B84" i="11"/>
  <c r="C84" i="11"/>
  <c r="F84" i="11"/>
  <c r="N84" i="11" s="1"/>
  <c r="P84" i="11"/>
  <c r="S84" i="11"/>
  <c r="W2" i="18"/>
  <c r="X2" i="18"/>
  <c r="W3" i="18"/>
  <c r="X3" i="18"/>
  <c r="W4" i="18"/>
  <c r="X4" i="18"/>
  <c r="W5" i="18"/>
  <c r="X5" i="18"/>
  <c r="W6" i="18"/>
  <c r="X6" i="18"/>
  <c r="W7" i="18"/>
  <c r="X7" i="18"/>
  <c r="CD66" i="10"/>
  <c r="CF66" i="10" s="1"/>
  <c r="CD63" i="10"/>
  <c r="CF63" i="10" s="1"/>
  <c r="BA49" i="10"/>
  <c r="BC49" i="10" s="1"/>
  <c r="BA43" i="10"/>
  <c r="BC43" i="10" s="1"/>
  <c r="CD6" i="10"/>
  <c r="CO84" i="11"/>
  <c r="DI84" i="11"/>
  <c r="DI81" i="11"/>
  <c r="CO81" i="11"/>
  <c r="DI75" i="11"/>
  <c r="CR72" i="11"/>
  <c r="CO72" i="11"/>
  <c r="DI72" i="11"/>
  <c r="CO63" i="11"/>
  <c r="DI63" i="11"/>
  <c r="BN62" i="11"/>
  <c r="CO62" i="11" s="1"/>
  <c r="DI62" i="11"/>
  <c r="CR61" i="11"/>
  <c r="DI61" i="11"/>
  <c r="CO61" i="11"/>
  <c r="CR57" i="11"/>
  <c r="BN57" i="11"/>
  <c r="CO57" i="11" s="1"/>
  <c r="DI57" i="11"/>
  <c r="CR55" i="11"/>
  <c r="BN55" i="11"/>
  <c r="CO55" i="11" s="1"/>
  <c r="DI55" i="11"/>
  <c r="CR54" i="11"/>
  <c r="DI54" i="11"/>
  <c r="BN54" i="11"/>
  <c r="CO54" i="11" s="1"/>
  <c r="CR52" i="11"/>
  <c r="DI52" i="11"/>
  <c r="BN52" i="11"/>
  <c r="CO52" i="11" s="1"/>
  <c r="CR51" i="11"/>
  <c r="CO51" i="11"/>
  <c r="DI51" i="11"/>
  <c r="CR50" i="11"/>
  <c r="DI50" i="11"/>
  <c r="CO50" i="11"/>
  <c r="BN46" i="11"/>
  <c r="CO46" i="11" s="1"/>
  <c r="DI46" i="11"/>
  <c r="DI45" i="11"/>
  <c r="DP45" i="11" s="1"/>
  <c r="BN45" i="11"/>
  <c r="CO45" i="11" s="1"/>
  <c r="BN44" i="11"/>
  <c r="CO44" i="11" s="1"/>
  <c r="DI44" i="11"/>
  <c r="DP44" i="11" s="1"/>
  <c r="CR41" i="11"/>
  <c r="DI41" i="11"/>
  <c r="DL41" i="11" s="1"/>
  <c r="BN41" i="11"/>
  <c r="CO41" i="11" s="1"/>
  <c r="CR40" i="11"/>
  <c r="DI40" i="11"/>
  <c r="BN40" i="11"/>
  <c r="CO40" i="11" s="1"/>
  <c r="CO39" i="11"/>
  <c r="DI39" i="11"/>
  <c r="DI38" i="11"/>
  <c r="CO38" i="11"/>
  <c r="DI37" i="11"/>
  <c r="BN37" i="11"/>
  <c r="CO37" i="11" s="1"/>
  <c r="DI36" i="11"/>
  <c r="CO36" i="11"/>
  <c r="CR35" i="11"/>
  <c r="CO35" i="11"/>
  <c r="DI35" i="11"/>
  <c r="CR28" i="11"/>
  <c r="BN28" i="11"/>
  <c r="CO28" i="11" s="1"/>
  <c r="DI28" i="11"/>
  <c r="CR25" i="11"/>
  <c r="DI25" i="11"/>
  <c r="DN25" i="11" s="1"/>
  <c r="BN25" i="11"/>
  <c r="CO25" i="11" s="1"/>
  <c r="DI24" i="11"/>
  <c r="BN24" i="11"/>
  <c r="CO24" i="11" s="1"/>
  <c r="CR22" i="11"/>
  <c r="BN22" i="11"/>
  <c r="DI22" i="11"/>
  <c r="CR19" i="11"/>
  <c r="DI19" i="11"/>
  <c r="DO19" i="11" s="1"/>
  <c r="CO19" i="11"/>
  <c r="CR16" i="11"/>
  <c r="DI16" i="11"/>
  <c r="BN16" i="11"/>
  <c r="CO16" i="11" s="1"/>
  <c r="CR15" i="11"/>
  <c r="BN15" i="11"/>
  <c r="CO15" i="11" s="1"/>
  <c r="DI15" i="11"/>
  <c r="BN14" i="11"/>
  <c r="CO14" i="11" s="1"/>
  <c r="DI14" i="11"/>
  <c r="DN14" i="11" s="1"/>
  <c r="CR12" i="11"/>
  <c r="DI12" i="11"/>
  <c r="DN12" i="11" s="1"/>
  <c r="BN12" i="11"/>
  <c r="CO12" i="11" s="1"/>
  <c r="DI10" i="11"/>
  <c r="BN10" i="11"/>
  <c r="CO10" i="11" s="1"/>
  <c r="CO9" i="11"/>
  <c r="DI9" i="11"/>
  <c r="BB44" i="11"/>
  <c r="Q69" i="9"/>
  <c r="T25" i="9"/>
  <c r="AL25" i="9" s="1"/>
  <c r="T9" i="9"/>
  <c r="AL9" i="9" s="1"/>
  <c r="AB16" i="9"/>
  <c r="T8" i="9"/>
  <c r="AL8" i="9" s="1"/>
  <c r="T4" i="9"/>
  <c r="AL4" i="9" s="1"/>
  <c r="BJ5" i="9"/>
  <c r="BB4" i="8"/>
  <c r="X61" i="9"/>
  <c r="BC5" i="9"/>
  <c r="BF29" i="10"/>
  <c r="F73" i="9"/>
  <c r="AF73" i="8" s="1"/>
  <c r="F54" i="9"/>
  <c r="EU54" i="9" s="1"/>
  <c r="BG21" i="9"/>
  <c r="BJ55" i="9"/>
  <c r="X7" i="9"/>
  <c r="BC50" i="11"/>
  <c r="BB16" i="11"/>
  <c r="BC7" i="9"/>
  <c r="F83" i="9"/>
  <c r="F29" i="9"/>
  <c r="BA68" i="11"/>
  <c r="BX64" i="9"/>
  <c r="BX70" i="9"/>
  <c r="BJ11" i="9"/>
  <c r="BJ45" i="9"/>
  <c r="BC61" i="9"/>
  <c r="BE61" i="9" s="1"/>
  <c r="F62" i="9"/>
  <c r="F28" i="9"/>
  <c r="EV28" i="9" s="1"/>
  <c r="BC69" i="11"/>
  <c r="E48" i="11"/>
  <c r="J48" i="11" s="1"/>
  <c r="F48" i="9"/>
  <c r="BJ68" i="9"/>
  <c r="X68" i="9"/>
  <c r="ES68" i="9" s="1"/>
  <c r="BW66" i="9"/>
  <c r="BX66" i="9"/>
  <c r="BX63" i="9"/>
  <c r="BW63" i="9"/>
  <c r="X36" i="9"/>
  <c r="EG36" i="9" s="1"/>
  <c r="BJ36" i="9"/>
  <c r="BW7" i="9"/>
  <c r="BX7" i="9"/>
  <c r="BG32" i="9"/>
  <c r="BG15" i="9"/>
  <c r="AW17" i="9"/>
  <c r="H17" i="8" s="1"/>
  <c r="AU17" i="8" s="1"/>
  <c r="BG12" i="9"/>
  <c r="AG5" i="11"/>
  <c r="F82" i="9"/>
  <c r="F72" i="9"/>
  <c r="AF72" i="8" s="1"/>
  <c r="BT72" i="8" s="1"/>
  <c r="F31" i="9"/>
  <c r="F63" i="9"/>
  <c r="F57" i="9"/>
  <c r="E73" i="11"/>
  <c r="K73" i="11" s="1"/>
  <c r="F38" i="9"/>
  <c r="EU38" i="9" s="1"/>
  <c r="AG58" i="11"/>
  <c r="F51" i="9"/>
  <c r="EV51" i="9" s="1"/>
  <c r="BF16" i="10"/>
  <c r="BF36" i="10"/>
  <c r="X29" i="9"/>
  <c r="BX18" i="9"/>
  <c r="CA18" i="9" s="1"/>
  <c r="AW26" i="9"/>
  <c r="AW22" i="9"/>
  <c r="AW7" i="9"/>
  <c r="BJ49" i="9"/>
  <c r="BX71" i="9"/>
  <c r="BJ69" i="9"/>
  <c r="X49" i="9"/>
  <c r="X35" i="9"/>
  <c r="EG35" i="9" s="1"/>
  <c r="BJ35" i="9"/>
  <c r="BX9" i="9"/>
  <c r="BC37" i="9"/>
  <c r="BX77" i="9"/>
  <c r="BG57" i="9"/>
  <c r="BG30" i="9"/>
  <c r="F20" i="9"/>
  <c r="BC33" i="9"/>
  <c r="BX61" i="9"/>
  <c r="BX53" i="9"/>
  <c r="BX25" i="9"/>
  <c r="BW20" i="9"/>
  <c r="CA20" i="9" s="1"/>
  <c r="BX20" i="9"/>
  <c r="X69" i="9"/>
  <c r="F59" i="9"/>
  <c r="AF59" i="8" s="1"/>
  <c r="F69" i="9"/>
  <c r="EU69" i="9" s="1"/>
  <c r="X33" i="9"/>
  <c r="EF33" i="9" s="1"/>
  <c r="F70" i="9"/>
  <c r="AF70" i="8" s="1"/>
  <c r="F74" i="9"/>
  <c r="BJ60" i="9"/>
  <c r="BX51" i="9"/>
  <c r="BJ38" i="9"/>
  <c r="E54" i="11"/>
  <c r="K54" i="11" s="1"/>
  <c r="BW74" i="9"/>
  <c r="BW76" i="9"/>
  <c r="BX76" i="9"/>
  <c r="BX65" i="9"/>
  <c r="BW65" i="9"/>
  <c r="BW41" i="9"/>
  <c r="BX41" i="9"/>
  <c r="E67" i="11"/>
  <c r="L67" i="11" s="1"/>
  <c r="F67" i="9"/>
  <c r="AR67" i="9" s="1"/>
  <c r="E58" i="11"/>
  <c r="J58" i="11" s="1"/>
  <c r="F58" i="9"/>
  <c r="EU58" i="9" s="1"/>
  <c r="F55" i="9"/>
  <c r="E55" i="11"/>
  <c r="K55" i="11" s="1"/>
  <c r="E53" i="11"/>
  <c r="K53" i="11" s="1"/>
  <c r="F47" i="9"/>
  <c r="E47" i="11"/>
  <c r="K47" i="11" s="1"/>
  <c r="F30" i="9"/>
  <c r="EV30" i="9" s="1"/>
  <c r="F34" i="9"/>
  <c r="AF34" i="8" s="1"/>
  <c r="FF34" i="8" s="1"/>
  <c r="BX62" i="9"/>
  <c r="X37" i="9"/>
  <c r="BC38" i="9"/>
  <c r="X60" i="9"/>
  <c r="BW49" i="9"/>
  <c r="BX45" i="9"/>
  <c r="BX8" i="9"/>
  <c r="BG74" i="9"/>
  <c r="BG60" i="9"/>
  <c r="BG42" i="9"/>
  <c r="BG40" i="9"/>
  <c r="BG34" i="9"/>
  <c r="AI17" i="9"/>
  <c r="BG16" i="9"/>
  <c r="BW31" i="9"/>
  <c r="CA31" i="9" s="1"/>
  <c r="BX31" i="9"/>
  <c r="BJ64" i="9"/>
  <c r="X64" i="9"/>
  <c r="BJ58" i="9"/>
  <c r="BC58" i="9"/>
  <c r="BX43" i="9"/>
  <c r="BW43" i="9"/>
  <c r="BJ43" i="9"/>
  <c r="EF43" i="9"/>
  <c r="BG64" i="9"/>
  <c r="BG61" i="9"/>
  <c r="AW46" i="9"/>
  <c r="BG20" i="9"/>
  <c r="BI20" i="9" s="1"/>
  <c r="W20" i="8" s="1"/>
  <c r="BK20" i="8" s="1"/>
  <c r="AI16" i="9"/>
  <c r="AW73" i="9"/>
  <c r="BX80" i="9"/>
  <c r="BX78" i="9"/>
  <c r="AW70" i="9"/>
  <c r="BG62" i="9"/>
  <c r="BC72" i="9"/>
  <c r="BE72" i="9" s="1"/>
  <c r="X70" i="9"/>
  <c r="EG70" i="9" s="1"/>
  <c r="BC70" i="9"/>
  <c r="BW56" i="9"/>
  <c r="BX56" i="9"/>
  <c r="X51" i="9"/>
  <c r="BC51" i="9"/>
  <c r="BE51" i="9" s="1"/>
  <c r="BJ51" i="9"/>
  <c r="I47" i="8"/>
  <c r="AV47" i="8" s="1"/>
  <c r="BW13" i="9"/>
  <c r="CA13" i="9" s="1"/>
  <c r="BX13" i="9"/>
  <c r="BJ66" i="9"/>
  <c r="BC66" i="9"/>
  <c r="X63" i="9"/>
  <c r="BJ63" i="9"/>
  <c r="BW81" i="9"/>
  <c r="BX81" i="9"/>
  <c r="X77" i="9"/>
  <c r="R9" i="9"/>
  <c r="AW18" i="9"/>
  <c r="AW15" i="9"/>
  <c r="AI14" i="9"/>
  <c r="AI10" i="9"/>
  <c r="AW9" i="9"/>
  <c r="AI4" i="9"/>
  <c r="F14" i="9"/>
  <c r="AW31" i="9"/>
  <c r="AH31" i="8" s="1"/>
  <c r="BG10" i="9"/>
  <c r="BW39" i="9"/>
  <c r="BX39" i="9"/>
  <c r="BW37" i="9"/>
  <c r="BX37" i="9"/>
  <c r="CA37" i="9" s="1"/>
  <c r="BW24" i="9"/>
  <c r="BX24" i="9"/>
  <c r="BW15" i="9"/>
  <c r="BX15" i="9"/>
  <c r="BW11" i="9"/>
  <c r="BX11" i="9"/>
  <c r="BW4" i="9"/>
  <c r="BX4" i="9"/>
  <c r="CA4" i="9" s="1"/>
  <c r="BX47" i="9"/>
  <c r="BC41" i="9"/>
  <c r="BJ41" i="9"/>
  <c r="BJ39" i="9"/>
  <c r="X39" i="9"/>
  <c r="BC39" i="9"/>
  <c r="X24" i="9"/>
  <c r="EG24" i="9" s="1"/>
  <c r="BC24" i="9"/>
  <c r="BE24" i="9" s="1"/>
  <c r="BC21" i="9"/>
  <c r="BE21" i="9" s="1"/>
  <c r="X21" i="9"/>
  <c r="X20" i="9"/>
  <c r="BJ20" i="9"/>
  <c r="X18" i="9"/>
  <c r="BC18" i="9"/>
  <c r="BE18" i="9" s="1"/>
  <c r="BJ18" i="9"/>
  <c r="BJ16" i="9"/>
  <c r="X16" i="9"/>
  <c r="EF16" i="9" s="1"/>
  <c r="X15" i="9"/>
  <c r="EF15" i="9" s="1"/>
  <c r="BJ15" i="9"/>
  <c r="BJ6" i="9"/>
  <c r="X6" i="9"/>
  <c r="X4" i="9"/>
  <c r="EF4" i="9" s="1"/>
  <c r="I59" i="11"/>
  <c r="BO19" i="9"/>
  <c r="DZ19" i="9" s="1"/>
  <c r="BP17" i="9"/>
  <c r="BR17" i="9" s="1"/>
  <c r="BG71" i="9"/>
  <c r="FP68" i="8"/>
  <c r="FP20" i="8"/>
  <c r="FP6" i="8"/>
  <c r="FP83" i="8"/>
  <c r="FP77" i="8"/>
  <c r="FP72" i="8"/>
  <c r="FP65" i="8"/>
  <c r="FP61" i="8"/>
  <c r="FP57" i="8"/>
  <c r="FP53" i="8"/>
  <c r="FP49" i="8"/>
  <c r="FP45" i="8"/>
  <c r="FP41" i="8"/>
  <c r="FP37" i="8"/>
  <c r="FP33" i="8"/>
  <c r="FP29" i="8"/>
  <c r="FP25" i="8"/>
  <c r="FP21" i="8"/>
  <c r="FP17" i="8"/>
  <c r="FP7" i="8"/>
  <c r="FP81" i="8"/>
  <c r="FP75" i="8"/>
  <c r="FP70" i="8"/>
  <c r="FP67" i="8"/>
  <c r="FP59" i="8"/>
  <c r="FP55" i="8"/>
  <c r="FP51" i="8"/>
  <c r="FP43" i="8"/>
  <c r="FP39" i="8"/>
  <c r="FP35" i="8"/>
  <c r="FP27" i="8"/>
  <c r="FP23" i="8"/>
  <c r="FP19" i="8"/>
  <c r="FP14" i="8"/>
  <c r="FP10" i="8"/>
  <c r="FP5" i="8"/>
  <c r="FP82" i="8"/>
  <c r="FP71" i="8"/>
  <c r="FP48" i="8"/>
  <c r="FP44" i="8"/>
  <c r="FP15" i="8"/>
  <c r="FP84" i="8"/>
  <c r="FP78" i="8"/>
  <c r="FP74" i="8"/>
  <c r="FP73" i="8"/>
  <c r="FP69" i="8"/>
  <c r="FP66" i="8"/>
  <c r="FP62" i="8"/>
  <c r="FP58" i="8"/>
  <c r="FP54" i="8"/>
  <c r="FP50" i="8"/>
  <c r="FP46" i="8"/>
  <c r="FP42" i="8"/>
  <c r="FP38" i="8"/>
  <c r="FP34" i="8"/>
  <c r="FP30" i="8"/>
  <c r="FP26" i="8"/>
  <c r="FP22" i="8"/>
  <c r="FP18" i="8"/>
  <c r="FP13" i="8"/>
  <c r="FP9" i="8"/>
  <c r="FP4" i="8"/>
  <c r="X23" i="9"/>
  <c r="BJ23" i="9"/>
  <c r="BW21" i="9"/>
  <c r="BX21" i="9"/>
  <c r="BW19" i="9"/>
  <c r="BX19" i="9"/>
  <c r="BW17" i="9"/>
  <c r="BX17" i="9"/>
  <c r="CA17" i="9" s="1"/>
  <c r="BW16" i="9"/>
  <c r="BX16" i="9"/>
  <c r="BC79" i="9"/>
  <c r="BE79" i="9" s="1"/>
  <c r="BJ79" i="9"/>
  <c r="BW75" i="9"/>
  <c r="BX75" i="9"/>
  <c r="BC75" i="9"/>
  <c r="BE75" i="9" s="1"/>
  <c r="X75" i="9"/>
  <c r="BW72" i="9"/>
  <c r="BX72" i="9"/>
  <c r="CA72" i="9" s="1"/>
  <c r="CT50" i="9"/>
  <c r="CU50" i="9" s="1"/>
  <c r="E56" i="11"/>
  <c r="K56" i="11" s="1"/>
  <c r="F56" i="9"/>
  <c r="EU56" i="9" s="1"/>
  <c r="E50" i="11"/>
  <c r="L50" i="11" s="1"/>
  <c r="F50" i="9"/>
  <c r="Z50" i="9" s="1"/>
  <c r="AA50" i="9" s="1"/>
  <c r="E49" i="11"/>
  <c r="L49" i="11" s="1"/>
  <c r="F49" i="9"/>
  <c r="E45" i="11"/>
  <c r="K45" i="11" s="1"/>
  <c r="BW48" i="9"/>
  <c r="CA48" i="9" s="1"/>
  <c r="BC25" i="9"/>
  <c r="BE25" i="9" s="1"/>
  <c r="X25" i="9"/>
  <c r="EF25" i="9" s="1"/>
  <c r="BJ25" i="9"/>
  <c r="BW14" i="9"/>
  <c r="BX14" i="9"/>
  <c r="I18" i="11"/>
  <c r="BC23" i="9"/>
  <c r="BE23" i="9" s="1"/>
  <c r="AW24" i="9"/>
  <c r="AW20" i="9"/>
  <c r="EP20" i="9" s="1"/>
  <c r="AI82" i="9"/>
  <c r="AW61" i="9"/>
  <c r="AH61" i="8" s="1"/>
  <c r="BV61" i="8" s="1"/>
  <c r="AI56" i="9"/>
  <c r="I67" i="11"/>
  <c r="BG59" i="9"/>
  <c r="AI58" i="9"/>
  <c r="BG56" i="9"/>
  <c r="AW35" i="9"/>
  <c r="AH35" i="8" s="1"/>
  <c r="BV35" i="8" s="1"/>
  <c r="AW29" i="9"/>
  <c r="AI28" i="9"/>
  <c r="BG9" i="9"/>
  <c r="BI9" i="9" s="1"/>
  <c r="Q9" i="8" s="1"/>
  <c r="BE9" i="8" s="1"/>
  <c r="BG7" i="9"/>
  <c r="EG19" i="9"/>
  <c r="BG19" i="9"/>
  <c r="BW12" i="9"/>
  <c r="BX12" i="9"/>
  <c r="BW10" i="9"/>
  <c r="BX10" i="9"/>
  <c r="BG26" i="9"/>
  <c r="EF19" i="9"/>
  <c r="BJ34" i="9"/>
  <c r="X34" i="9"/>
  <c r="BW28" i="9"/>
  <c r="BX28" i="9"/>
  <c r="BJ26" i="9"/>
  <c r="BC26" i="9"/>
  <c r="BE26" i="9" s="1"/>
  <c r="CT21" i="9"/>
  <c r="CU21" i="9" s="1"/>
  <c r="CT19" i="9"/>
  <c r="CU19" i="9" s="1"/>
  <c r="BO48" i="9"/>
  <c r="BO14" i="9"/>
  <c r="BJ84" i="9"/>
  <c r="CT81" i="9"/>
  <c r="CU81" i="9" s="1"/>
  <c r="BW32" i="9"/>
  <c r="BX32" i="9"/>
  <c r="CT23" i="9"/>
  <c r="CU23" i="9" s="1"/>
  <c r="CT17" i="9"/>
  <c r="CU17" i="9" s="1"/>
  <c r="BO68" i="9"/>
  <c r="BO54" i="9"/>
  <c r="BQ54" i="9" s="1"/>
  <c r="BO51" i="9"/>
  <c r="BO36" i="9"/>
  <c r="BO33" i="9"/>
  <c r="BO5" i="9"/>
  <c r="BQ5" i="9" s="1"/>
  <c r="BW34" i="9"/>
  <c r="BX34" i="9"/>
  <c r="AW33" i="9"/>
  <c r="BG33" i="9"/>
  <c r="BC30" i="9"/>
  <c r="BE30" i="9" s="1"/>
  <c r="BJ30" i="9"/>
  <c r="X30" i="9"/>
  <c r="X28" i="9"/>
  <c r="BC28" i="9"/>
  <c r="BE28" i="9" s="1"/>
  <c r="BJ28" i="9"/>
  <c r="BX26" i="9"/>
  <c r="BW26" i="9"/>
  <c r="BO82" i="9"/>
  <c r="BO80" i="9"/>
  <c r="BO79" i="9"/>
  <c r="BO76" i="9"/>
  <c r="BO67" i="9"/>
  <c r="BO52" i="9"/>
  <c r="BO50" i="9"/>
  <c r="BO44" i="9"/>
  <c r="BS44" i="9" s="1"/>
  <c r="BO25" i="9"/>
  <c r="BO23" i="9"/>
  <c r="BO16" i="9"/>
  <c r="BQ16" i="9" s="1"/>
  <c r="BO26" i="9"/>
  <c r="BQ26" i="9" s="1"/>
  <c r="BO61" i="9"/>
  <c r="BQ61" i="9" s="1"/>
  <c r="X26" i="9"/>
  <c r="BO9" i="9"/>
  <c r="CT84" i="9"/>
  <c r="CU84" i="9" s="1"/>
  <c r="CT78" i="9"/>
  <c r="CU78" i="9" s="1"/>
  <c r="CT36" i="9"/>
  <c r="CU36" i="9" s="1"/>
  <c r="CT8" i="9"/>
  <c r="CU8" i="9" s="1"/>
  <c r="EG8" i="9"/>
  <c r="CT79" i="9"/>
  <c r="CU79" i="9" s="1"/>
  <c r="CT77" i="9"/>
  <c r="CU77" i="9" s="1"/>
  <c r="CT72" i="9"/>
  <c r="CU72" i="9" s="1"/>
  <c r="CT71" i="9"/>
  <c r="CU71" i="9" s="1"/>
  <c r="CT69" i="9"/>
  <c r="CU69" i="9" s="1"/>
  <c r="CT68" i="9"/>
  <c r="CU68" i="9" s="1"/>
  <c r="CT66" i="9"/>
  <c r="CU66" i="9" s="1"/>
  <c r="CT64" i="9"/>
  <c r="CU64" i="9" s="1"/>
  <c r="CT61" i="9"/>
  <c r="CU61" i="9" s="1"/>
  <c r="CT56" i="9"/>
  <c r="CU56" i="9" s="1"/>
  <c r="CT47" i="9"/>
  <c r="CU47" i="9" s="1"/>
  <c r="CT45" i="9"/>
  <c r="CU45" i="9" s="1"/>
  <c r="CT43" i="9"/>
  <c r="CU43" i="9" s="1"/>
  <c r="CT41" i="9"/>
  <c r="CU41" i="9" s="1"/>
  <c r="CT39" i="9"/>
  <c r="CU39" i="9" s="1"/>
  <c r="CT37" i="9"/>
  <c r="CU37" i="9" s="1"/>
  <c r="CT59" i="9"/>
  <c r="CU59" i="9" s="1"/>
  <c r="CT54" i="9"/>
  <c r="CU54" i="9" s="1"/>
  <c r="CT52" i="9"/>
  <c r="CU52" i="9" s="1"/>
  <c r="CT48" i="9"/>
  <c r="CU48" i="9" s="1"/>
  <c r="CT34" i="9"/>
  <c r="CU34" i="9" s="1"/>
  <c r="CT32" i="9"/>
  <c r="CU32" i="9" s="1"/>
  <c r="CT30" i="9"/>
  <c r="CU30" i="9" s="1"/>
  <c r="CT28" i="9"/>
  <c r="CU28" i="9" s="1"/>
  <c r="CT26" i="9"/>
  <c r="CU26" i="9" s="1"/>
  <c r="CT15" i="9"/>
  <c r="CU15" i="9" s="1"/>
  <c r="CT13" i="9"/>
  <c r="CU13" i="9" s="1"/>
  <c r="CT11" i="9"/>
  <c r="CU11" i="9" s="1"/>
  <c r="CT6" i="9"/>
  <c r="CU6" i="9" s="1"/>
  <c r="CT70" i="9"/>
  <c r="CU70" i="9" s="1"/>
  <c r="CT67" i="9"/>
  <c r="CU67" i="9" s="1"/>
  <c r="CT62" i="9"/>
  <c r="CU62" i="9" s="1"/>
  <c r="CT46" i="9"/>
  <c r="CU46" i="9" s="1"/>
  <c r="CT44" i="9"/>
  <c r="CU44" i="9" s="1"/>
  <c r="CT42" i="9"/>
  <c r="CU42" i="9" s="1"/>
  <c r="CT40" i="9"/>
  <c r="CU40" i="9" s="1"/>
  <c r="CT38" i="9"/>
  <c r="CU38" i="9" s="1"/>
  <c r="CT35" i="9"/>
  <c r="CU35" i="9" s="1"/>
  <c r="CT24" i="9"/>
  <c r="CU24" i="9" s="1"/>
  <c r="CT22" i="9"/>
  <c r="CU22" i="9" s="1"/>
  <c r="CT20" i="9"/>
  <c r="CU20" i="9" s="1"/>
  <c r="CT18" i="9"/>
  <c r="CU18" i="9" s="1"/>
  <c r="CT9" i="9"/>
  <c r="CU9" i="9" s="1"/>
  <c r="CT82" i="9"/>
  <c r="CU82" i="9" s="1"/>
  <c r="CT63" i="9"/>
  <c r="CU63" i="9" s="1"/>
  <c r="CT60" i="9"/>
  <c r="CU60" i="9" s="1"/>
  <c r="CT58" i="9"/>
  <c r="CU58" i="9" s="1"/>
  <c r="CT55" i="9"/>
  <c r="CU55" i="9" s="1"/>
  <c r="CT53" i="9"/>
  <c r="CU53" i="9" s="1"/>
  <c r="CT51" i="9"/>
  <c r="CU51" i="9" s="1"/>
  <c r="CT49" i="9"/>
  <c r="CU49" i="9" s="1"/>
  <c r="BG35" i="9"/>
  <c r="CT33" i="9"/>
  <c r="CU33" i="9" s="1"/>
  <c r="CT31" i="9"/>
  <c r="CU31" i="9" s="1"/>
  <c r="CT29" i="9"/>
  <c r="CU29" i="9" s="1"/>
  <c r="CT27" i="9"/>
  <c r="CU27" i="9" s="1"/>
  <c r="CT25" i="9"/>
  <c r="CU25" i="9" s="1"/>
  <c r="AW25" i="9"/>
  <c r="BG18" i="9"/>
  <c r="CT16" i="9"/>
  <c r="CU16" i="9" s="1"/>
  <c r="AW16" i="9"/>
  <c r="AH16" i="8" s="1"/>
  <c r="BV16" i="8" s="1"/>
  <c r="AI15" i="9"/>
  <c r="CT14" i="9"/>
  <c r="CU14" i="9" s="1"/>
  <c r="AW14" i="9"/>
  <c r="BG14" i="9"/>
  <c r="CT12" i="9"/>
  <c r="CU12" i="9" s="1"/>
  <c r="AW12" i="9"/>
  <c r="CT10" i="9"/>
  <c r="CU10" i="9" s="1"/>
  <c r="CT7" i="9"/>
  <c r="CU7" i="9" s="1"/>
  <c r="CT5" i="9"/>
  <c r="CU5" i="9" s="1"/>
  <c r="BC63" i="11"/>
  <c r="BB54" i="11"/>
  <c r="BC51" i="11"/>
  <c r="BC35" i="11"/>
  <c r="BC19" i="11"/>
  <c r="BC10" i="11"/>
  <c r="BC79" i="11"/>
  <c r="BC75" i="11"/>
  <c r="BB67" i="11"/>
  <c r="BB35" i="11"/>
  <c r="BB23" i="11"/>
  <c r="BC15" i="11"/>
  <c r="BB77" i="11"/>
  <c r="BB75" i="11"/>
  <c r="BC41" i="11"/>
  <c r="BC37" i="11"/>
  <c r="BB28" i="11"/>
  <c r="BB15" i="11"/>
  <c r="BC12" i="11"/>
  <c r="BC8" i="11"/>
  <c r="DI8" i="11"/>
  <c r="BC74" i="11"/>
  <c r="BC77" i="11"/>
  <c r="BB65" i="11"/>
  <c r="BC54" i="11"/>
  <c r="BB41" i="11"/>
  <c r="BB12" i="11"/>
  <c r="BC9" i="11"/>
  <c r="BC4" i="11"/>
  <c r="G63" i="11"/>
  <c r="BA31" i="11"/>
  <c r="BB52" i="11"/>
  <c r="BC61" i="11"/>
  <c r="H59" i="11"/>
  <c r="G39" i="11"/>
  <c r="G59" i="11"/>
  <c r="BA34" i="11"/>
  <c r="H56" i="11"/>
  <c r="BA62" i="11"/>
  <c r="BB78" i="11"/>
  <c r="BA77" i="11"/>
  <c r="BC68" i="11"/>
  <c r="AG68" i="11"/>
  <c r="BC32" i="11"/>
  <c r="BC28" i="11"/>
  <c r="BA26" i="11"/>
  <c r="BC11" i="11"/>
  <c r="AG11" i="11"/>
  <c r="BB14" i="11"/>
  <c r="BC24" i="11"/>
  <c r="BB73" i="11"/>
  <c r="BA38" i="11"/>
  <c r="BA30" i="11"/>
  <c r="BA22" i="11"/>
  <c r="BC20" i="11"/>
  <c r="BB19" i="11"/>
  <c r="BC45" i="11"/>
  <c r="G49" i="11"/>
  <c r="BF38" i="10"/>
  <c r="K82" i="11"/>
  <c r="O62" i="11"/>
  <c r="BF5" i="10"/>
  <c r="N25" i="11"/>
  <c r="O25" i="11"/>
  <c r="BA57" i="11"/>
  <c r="BC39" i="11"/>
  <c r="M60" i="11"/>
  <c r="N60" i="11"/>
  <c r="M45" i="11"/>
  <c r="I40" i="11"/>
  <c r="H40" i="11"/>
  <c r="H52" i="11"/>
  <c r="BC59" i="11"/>
  <c r="AG59" i="11"/>
  <c r="BA49" i="11"/>
  <c r="BA33" i="11"/>
  <c r="BA29" i="11"/>
  <c r="BC23" i="11"/>
  <c r="BB13" i="11"/>
  <c r="BA65" i="11"/>
  <c r="BA41" i="11"/>
  <c r="AG70" i="11"/>
  <c r="BB9" i="11"/>
  <c r="N78" i="11"/>
  <c r="M50" i="11"/>
  <c r="BA16" i="11"/>
  <c r="BC6" i="11"/>
  <c r="AG6" i="11"/>
  <c r="AG31" i="11"/>
  <c r="AG47" i="11"/>
  <c r="AG67" i="11"/>
  <c r="BC78" i="11"/>
  <c r="AG78" i="11"/>
  <c r="BA12" i="11"/>
  <c r="N77" i="11"/>
  <c r="BB56" i="11"/>
  <c r="BA43" i="11"/>
  <c r="BC33" i="11"/>
  <c r="AG33" i="11"/>
  <c r="BB32" i="11"/>
  <c r="BC25" i="11"/>
  <c r="BC83" i="11"/>
  <c r="AG83" i="11"/>
  <c r="BA81" i="11"/>
  <c r="BA75" i="11"/>
  <c r="AG71" i="11"/>
  <c r="BB71" i="11"/>
  <c r="BB68" i="11"/>
  <c r="BC53" i="11"/>
  <c r="BA47" i="11"/>
  <c r="AG65" i="11"/>
  <c r="BA55" i="11"/>
  <c r="BB60" i="11"/>
  <c r="BA59" i="11"/>
  <c r="BC49" i="11"/>
  <c r="BC57" i="11"/>
  <c r="BA63" i="11"/>
  <c r="BA10" i="11"/>
  <c r="BB7" i="11"/>
  <c r="AG43" i="11"/>
  <c r="BC43" i="11"/>
  <c r="BB22" i="11"/>
  <c r="BA21" i="11"/>
  <c r="BC13" i="11"/>
  <c r="BC80" i="11"/>
  <c r="BA74" i="11"/>
  <c r="BA46" i="11"/>
  <c r="BF17" i="10"/>
  <c r="BF40" i="10"/>
  <c r="BF33" i="10"/>
  <c r="BF8" i="10"/>
  <c r="CE77" i="8"/>
  <c r="DY77" i="8"/>
  <c r="FS77" i="8" s="1"/>
  <c r="CE59" i="8"/>
  <c r="DY59" i="8"/>
  <c r="FS59" i="8" s="1"/>
  <c r="CE55" i="8"/>
  <c r="CE51" i="8"/>
  <c r="DY51" i="8"/>
  <c r="FS51" i="8" s="1"/>
  <c r="CE46" i="8"/>
  <c r="DY46" i="8"/>
  <c r="FS46" i="8" s="1"/>
  <c r="CE42" i="8"/>
  <c r="DY42" i="8"/>
  <c r="FS42" i="8" s="1"/>
  <c r="CE33" i="8"/>
  <c r="DY33" i="8"/>
  <c r="FS33" i="8" s="1"/>
  <c r="DY32" i="8"/>
  <c r="FS32" i="8" s="1"/>
  <c r="CE7" i="8"/>
  <c r="DY7" i="8"/>
  <c r="FS7" i="8" s="1"/>
  <c r="CE81" i="8"/>
  <c r="DY81" i="8"/>
  <c r="FS81" i="8" s="1"/>
  <c r="CE78" i="8"/>
  <c r="DY78" i="8"/>
  <c r="FS78" i="8" s="1"/>
  <c r="CE74" i="8"/>
  <c r="DY74" i="8"/>
  <c r="FS74" i="8" s="1"/>
  <c r="CE73" i="8"/>
  <c r="DY73" i="8"/>
  <c r="FS73" i="8" s="1"/>
  <c r="CE56" i="8"/>
  <c r="DY56" i="8"/>
  <c r="FS56" i="8" s="1"/>
  <c r="CE43" i="8"/>
  <c r="DY43" i="8"/>
  <c r="FS43" i="8" s="1"/>
  <c r="CE39" i="8"/>
  <c r="DY39" i="8"/>
  <c r="FS39" i="8" s="1"/>
  <c r="CE38" i="8"/>
  <c r="DY38" i="8"/>
  <c r="FS38" i="8" s="1"/>
  <c r="CE34" i="8"/>
  <c r="DY34" i="8"/>
  <c r="FS34" i="8" s="1"/>
  <c r="CE27" i="8"/>
  <c r="DY27" i="8"/>
  <c r="FS27" i="8" s="1"/>
  <c r="CE18" i="8"/>
  <c r="DY18" i="8"/>
  <c r="FS18" i="8" s="1"/>
  <c r="CE13" i="8"/>
  <c r="DY13" i="8"/>
  <c r="FS13" i="8" s="1"/>
  <c r="CE9" i="8"/>
  <c r="DY9" i="8"/>
  <c r="CE47" i="8"/>
  <c r="DY47" i="8"/>
  <c r="CE37" i="8"/>
  <c r="DY37" i="8"/>
  <c r="FS37" i="8" s="1"/>
  <c r="CE82" i="8"/>
  <c r="DY82" i="8"/>
  <c r="FS82" i="8" s="1"/>
  <c r="CE79" i="8"/>
  <c r="CE75" i="8"/>
  <c r="DY75" i="8"/>
  <c r="FS75" i="8" s="1"/>
  <c r="CE65" i="8"/>
  <c r="DY65" i="8"/>
  <c r="FS65" i="8" s="1"/>
  <c r="CE61" i="8"/>
  <c r="DY61" i="8"/>
  <c r="FS61" i="8" s="1"/>
  <c r="CE57" i="8"/>
  <c r="DY57" i="8"/>
  <c r="FS57" i="8" s="1"/>
  <c r="CE53" i="8"/>
  <c r="DY53" i="8"/>
  <c r="FS53" i="8" s="1"/>
  <c r="CE49" i="8"/>
  <c r="DY49" i="8"/>
  <c r="FS49" i="8" s="1"/>
  <c r="CE44" i="8"/>
  <c r="DY44" i="8"/>
  <c r="FS44" i="8" s="1"/>
  <c r="CE35" i="8"/>
  <c r="DY35" i="8"/>
  <c r="FS35" i="8" s="1"/>
  <c r="CE29" i="8"/>
  <c r="DY29" i="8"/>
  <c r="FS29" i="8" s="1"/>
  <c r="CE28" i="8"/>
  <c r="DY28" i="8"/>
  <c r="FS28" i="8" s="1"/>
  <c r="CE23" i="8"/>
  <c r="DY23" i="8"/>
  <c r="FS23" i="8" s="1"/>
  <c r="CE21" i="8"/>
  <c r="DY21" i="8"/>
  <c r="FS21" i="8" s="1"/>
  <c r="CE19" i="8"/>
  <c r="DY19" i="8"/>
  <c r="FS19" i="8" s="1"/>
  <c r="CE14" i="8"/>
  <c r="DY14" i="8"/>
  <c r="FS14" i="8" s="1"/>
  <c r="CE10" i="8"/>
  <c r="DY10" i="8"/>
  <c r="FS10" i="8" s="1"/>
  <c r="CE71" i="8"/>
  <c r="DY71" i="8"/>
  <c r="CE67" i="8"/>
  <c r="DY67" i="8"/>
  <c r="FS67" i="8" s="1"/>
  <c r="CE63" i="8"/>
  <c r="DY63" i="8"/>
  <c r="FS63" i="8" s="1"/>
  <c r="CE26" i="8"/>
  <c r="DY26" i="8"/>
  <c r="FS26" i="8" s="1"/>
  <c r="CE17" i="8"/>
  <c r="DY17" i="8"/>
  <c r="FS17" i="8" s="1"/>
  <c r="CE8" i="8"/>
  <c r="DY8" i="8"/>
  <c r="FS8" i="8" s="1"/>
  <c r="CE83" i="8"/>
  <c r="CE70" i="8"/>
  <c r="DY70" i="8"/>
  <c r="FS70" i="8" s="1"/>
  <c r="CE69" i="8"/>
  <c r="DY69" i="8"/>
  <c r="FS69" i="8" s="1"/>
  <c r="CE66" i="8"/>
  <c r="DY66" i="8"/>
  <c r="FS66" i="8" s="1"/>
  <c r="CE62" i="8"/>
  <c r="DY62" i="8"/>
  <c r="FS62" i="8" s="1"/>
  <c r="CE58" i="8"/>
  <c r="DY58" i="8"/>
  <c r="FS58" i="8" s="1"/>
  <c r="CE54" i="8"/>
  <c r="DY54" i="8"/>
  <c r="FS54" i="8" s="1"/>
  <c r="CE50" i="8"/>
  <c r="DY50" i="8"/>
  <c r="FS50" i="8" s="1"/>
  <c r="CE45" i="8"/>
  <c r="DY45" i="8"/>
  <c r="FS45" i="8" s="1"/>
  <c r="CE41" i="8"/>
  <c r="DY41" i="8"/>
  <c r="FS41" i="8" s="1"/>
  <c r="CE31" i="8"/>
  <c r="DY31" i="8"/>
  <c r="FS31" i="8" s="1"/>
  <c r="CE30" i="8"/>
  <c r="DY30" i="8"/>
  <c r="FS30" i="8" s="1"/>
  <c r="CE25" i="8"/>
  <c r="DY25" i="8"/>
  <c r="FS25" i="8" s="1"/>
  <c r="CE22" i="8"/>
  <c r="DY22" i="8"/>
  <c r="CE15" i="8"/>
  <c r="DY15" i="8"/>
  <c r="FS15" i="8" s="1"/>
  <c r="CE11" i="8"/>
  <c r="DY11" i="8"/>
  <c r="FS11" i="8" s="1"/>
  <c r="CE6" i="8"/>
  <c r="DY6" i="8"/>
  <c r="FS6" i="8" s="1"/>
  <c r="CE5" i="8"/>
  <c r="DY5" i="8"/>
  <c r="FS5" i="8" s="1"/>
  <c r="BR42" i="8"/>
  <c r="BR73" i="8"/>
  <c r="CH73" i="8"/>
  <c r="BR61" i="8"/>
  <c r="CH61" i="8"/>
  <c r="BR54" i="8"/>
  <c r="CH54" i="8"/>
  <c r="BR32" i="8"/>
  <c r="CH32" i="8"/>
  <c r="BR24" i="8"/>
  <c r="CH24" i="8"/>
  <c r="BR23" i="8"/>
  <c r="BR18" i="8"/>
  <c r="CH18" i="8"/>
  <c r="CW18" i="8" s="1"/>
  <c r="BR12" i="8"/>
  <c r="CH12" i="8"/>
  <c r="BR6" i="8"/>
  <c r="CH6" i="8"/>
  <c r="BR82" i="8"/>
  <c r="CH82" i="8"/>
  <c r="BR76" i="8"/>
  <c r="CH76" i="8"/>
  <c r="BR65" i="8"/>
  <c r="CH65" i="8"/>
  <c r="BR62" i="8"/>
  <c r="CH62" i="8"/>
  <c r="CW62" i="8" s="1"/>
  <c r="BR57" i="8"/>
  <c r="BR56" i="8"/>
  <c r="CH56" i="8"/>
  <c r="BR55" i="8"/>
  <c r="CH55" i="8"/>
  <c r="CH47" i="8"/>
  <c r="BR46" i="8"/>
  <c r="CH46" i="8"/>
  <c r="BR40" i="8"/>
  <c r="CH40" i="8"/>
  <c r="BR34" i="8"/>
  <c r="CH34" i="8"/>
  <c r="BR26" i="8"/>
  <c r="CH26" i="8"/>
  <c r="BR22" i="8"/>
  <c r="CH22" i="8"/>
  <c r="BR21" i="8"/>
  <c r="CH21" i="8"/>
  <c r="BR13" i="8"/>
  <c r="CH13" i="8"/>
  <c r="BR9" i="8"/>
  <c r="CH9" i="8"/>
  <c r="BR7" i="8"/>
  <c r="CH7" i="8"/>
  <c r="BR69" i="8"/>
  <c r="CH69" i="8"/>
  <c r="BR50" i="8"/>
  <c r="CH50" i="8"/>
  <c r="BR44" i="8"/>
  <c r="CH44" i="8"/>
  <c r="BR38" i="8"/>
  <c r="CH38" i="8"/>
  <c r="BR25" i="8"/>
  <c r="CH25" i="8"/>
  <c r="BR77" i="8"/>
  <c r="CH77" i="8"/>
  <c r="BR68" i="8"/>
  <c r="BR66" i="8"/>
  <c r="CH66" i="8"/>
  <c r="BR63" i="8"/>
  <c r="BR58" i="8"/>
  <c r="CH58" i="8"/>
  <c r="BR52" i="8"/>
  <c r="CH52" i="8"/>
  <c r="BR48" i="8"/>
  <c r="CH48" i="8"/>
  <c r="BR41" i="8"/>
  <c r="CH41" i="8"/>
  <c r="BR36" i="8"/>
  <c r="CH36" i="8"/>
  <c r="BR28" i="8"/>
  <c r="CH28" i="8"/>
  <c r="BR20" i="8"/>
  <c r="CH20" i="8"/>
  <c r="BR14" i="8"/>
  <c r="CH14" i="8"/>
  <c r="BR10" i="8"/>
  <c r="CH10" i="8"/>
  <c r="BR8" i="8"/>
  <c r="CH8" i="8"/>
  <c r="BR81" i="8"/>
  <c r="CH81" i="8"/>
  <c r="BR80" i="8"/>
  <c r="CH80" i="8"/>
  <c r="BR70" i="8"/>
  <c r="CH70" i="8"/>
  <c r="BR45" i="8"/>
  <c r="CH45" i="8"/>
  <c r="BR39" i="8"/>
  <c r="BR33" i="8"/>
  <c r="CH33" i="8"/>
  <c r="BR31" i="8"/>
  <c r="BR16" i="8"/>
  <c r="CH16" i="8"/>
  <c r="BR5" i="8"/>
  <c r="CH5" i="8"/>
  <c r="BR84" i="8"/>
  <c r="CH84" i="8"/>
  <c r="BR78" i="8"/>
  <c r="CH78" i="8"/>
  <c r="BR74" i="8"/>
  <c r="CH74" i="8"/>
  <c r="BR72" i="8"/>
  <c r="CH72" i="8"/>
  <c r="CH67" i="8"/>
  <c r="CW67" i="8" s="1"/>
  <c r="BR64" i="8"/>
  <c r="CH64" i="8"/>
  <c r="BR60" i="8"/>
  <c r="CH60" i="8"/>
  <c r="BR53" i="8"/>
  <c r="CH53" i="8"/>
  <c r="BR49" i="8"/>
  <c r="CH49" i="8"/>
  <c r="BR37" i="8"/>
  <c r="CH37" i="8"/>
  <c r="BR30" i="8"/>
  <c r="CH30" i="8"/>
  <c r="BR29" i="8"/>
  <c r="CH29" i="8"/>
  <c r="BR17" i="8"/>
  <c r="CH17" i="8"/>
  <c r="BR15" i="8"/>
  <c r="CH15" i="8"/>
  <c r="BR4" i="8"/>
  <c r="CH4" i="8"/>
  <c r="BF72" i="10"/>
  <c r="BF9" i="10"/>
  <c r="I7" i="8"/>
  <c r="AV7" i="8" s="1"/>
  <c r="BW79" i="9"/>
  <c r="BX79" i="9"/>
  <c r="G53" i="11"/>
  <c r="I37" i="11"/>
  <c r="BX59" i="9"/>
  <c r="BW59" i="9"/>
  <c r="CA59" i="9" s="1"/>
  <c r="BJ52" i="9"/>
  <c r="BG51" i="9"/>
  <c r="BI51" i="9" s="1"/>
  <c r="AW50" i="9"/>
  <c r="AH50" i="8" s="1"/>
  <c r="BV50" i="8" s="1"/>
  <c r="BG50" i="9"/>
  <c r="BI50" i="9" s="1"/>
  <c r="AW47" i="9"/>
  <c r="BG45" i="9"/>
  <c r="BG43" i="9"/>
  <c r="AW36" i="9"/>
  <c r="BG36" i="9"/>
  <c r="AI30" i="9"/>
  <c r="AW27" i="9"/>
  <c r="AH27" i="8" s="1"/>
  <c r="FH27" i="8" s="1"/>
  <c r="F77" i="9"/>
  <c r="Z77" i="9" s="1"/>
  <c r="AA77" i="9" s="1"/>
  <c r="F27" i="9"/>
  <c r="F18" i="9"/>
  <c r="AF18" i="8" s="1"/>
  <c r="F13" i="9"/>
  <c r="EV13" i="9" s="1"/>
  <c r="BX27" i="9"/>
  <c r="BG80" i="9"/>
  <c r="AI79" i="9"/>
  <c r="AI74" i="9"/>
  <c r="BG72" i="9"/>
  <c r="BI72" i="9" s="1"/>
  <c r="W72" i="8" s="1"/>
  <c r="BK72" i="8" s="1"/>
  <c r="BG68" i="9"/>
  <c r="AW66" i="9"/>
  <c r="AH66" i="8" s="1"/>
  <c r="AW60" i="9"/>
  <c r="BG11" i="9"/>
  <c r="AI9" i="9"/>
  <c r="BG4" i="9"/>
  <c r="BP65" i="9"/>
  <c r="BT65" i="9" s="1"/>
  <c r="BJ46" i="9"/>
  <c r="BC46" i="9"/>
  <c r="BE46" i="9" s="1"/>
  <c r="BW40" i="9"/>
  <c r="BX40" i="9"/>
  <c r="BJ40" i="9"/>
  <c r="BW38" i="9"/>
  <c r="BX38" i="9"/>
  <c r="F15" i="9"/>
  <c r="EV15" i="9" s="1"/>
  <c r="D15" i="11"/>
  <c r="H15" i="11" s="1"/>
  <c r="BC48" i="9"/>
  <c r="BP72" i="9"/>
  <c r="BR72" i="9" s="1"/>
  <c r="F25" i="9"/>
  <c r="EV25" i="9" s="1"/>
  <c r="X65" i="9"/>
  <c r="EG65" i="9" s="1"/>
  <c r="BC34" i="9"/>
  <c r="BC42" i="9"/>
  <c r="BC68" i="9"/>
  <c r="BE68" i="9" s="1"/>
  <c r="BG81" i="9"/>
  <c r="I63" i="11"/>
  <c r="AT63" i="9"/>
  <c r="BP16" i="9"/>
  <c r="BT16" i="9" s="1"/>
  <c r="BP14" i="9"/>
  <c r="BR14" i="9" s="1"/>
  <c r="BP12" i="9"/>
  <c r="BP9" i="9"/>
  <c r="BT9" i="9" s="1"/>
  <c r="BW44" i="9"/>
  <c r="CA44" i="9" s="1"/>
  <c r="BX44" i="9"/>
  <c r="F11" i="9"/>
  <c r="BJ65" i="9"/>
  <c r="D27" i="11"/>
  <c r="I39" i="11"/>
  <c r="F19" i="9"/>
  <c r="F23" i="9"/>
  <c r="EU23" i="9" s="1"/>
  <c r="BC44" i="9"/>
  <c r="BE44" i="9" s="1"/>
  <c r="X48" i="9"/>
  <c r="EF48" i="9" s="1"/>
  <c r="X78" i="9"/>
  <c r="EF78" i="9" s="1"/>
  <c r="G61" i="11"/>
  <c r="H61" i="11"/>
  <c r="G55" i="11"/>
  <c r="H55" i="11"/>
  <c r="G43" i="11"/>
  <c r="BP84" i="9"/>
  <c r="BP81" i="9"/>
  <c r="BR81" i="9" s="1"/>
  <c r="BJ71" i="9"/>
  <c r="BC71" i="9"/>
  <c r="BE71" i="9" s="1"/>
  <c r="BJ9" i="9"/>
  <c r="BP6" i="9"/>
  <c r="BP80" i="9"/>
  <c r="BR80" i="9" s="1"/>
  <c r="AW80" i="9"/>
  <c r="BP77" i="9"/>
  <c r="BR77" i="9" s="1"/>
  <c r="BP74" i="9"/>
  <c r="BT74" i="9" s="1"/>
  <c r="BP70" i="9"/>
  <c r="BR70" i="9" s="1"/>
  <c r="BP68" i="9"/>
  <c r="BT68" i="9" s="1"/>
  <c r="BP78" i="9"/>
  <c r="BG52" i="9"/>
  <c r="BP10" i="9"/>
  <c r="BP82" i="9"/>
  <c r="AI77" i="9"/>
  <c r="BP73" i="9"/>
  <c r="BR73" i="9" s="1"/>
  <c r="BP66" i="9"/>
  <c r="BP28" i="9"/>
  <c r="BT28" i="9" s="1"/>
  <c r="BP11" i="9"/>
  <c r="BR11" i="9" s="1"/>
  <c r="BP7" i="9"/>
  <c r="BP5" i="9"/>
  <c r="AI32" i="9"/>
  <c r="BG29" i="9"/>
  <c r="BP24" i="9"/>
  <c r="BR24" i="9" s="1"/>
  <c r="BP22" i="9"/>
  <c r="BR22" i="9" s="1"/>
  <c r="AW11" i="9"/>
  <c r="BP4" i="9"/>
  <c r="BT4" i="9" s="1"/>
  <c r="BO74" i="9"/>
  <c r="BO66" i="9"/>
  <c r="BO57" i="9"/>
  <c r="BO55" i="9"/>
  <c r="BO53" i="9"/>
  <c r="BP52" i="9"/>
  <c r="BP51" i="9"/>
  <c r="BO49" i="9"/>
  <c r="DT49" i="9" s="1"/>
  <c r="DU49" i="9" s="1"/>
  <c r="BO39" i="9"/>
  <c r="BQ39" i="9" s="1"/>
  <c r="BO38" i="9"/>
  <c r="BO17" i="9"/>
  <c r="AW63" i="9"/>
  <c r="H63" i="8" s="1"/>
  <c r="AU63" i="8" s="1"/>
  <c r="BP62" i="9"/>
  <c r="BR62" i="9" s="1"/>
  <c r="BP56" i="9"/>
  <c r="AW56" i="9"/>
  <c r="EP56" i="9" s="1"/>
  <c r="BG53" i="9"/>
  <c r="AI49" i="9"/>
  <c r="BP43" i="9"/>
  <c r="BP41" i="9"/>
  <c r="EC41" i="9" s="1"/>
  <c r="ED41" i="9" s="1"/>
  <c r="BG41" i="9"/>
  <c r="AW39" i="9"/>
  <c r="EP39" i="9" s="1"/>
  <c r="AW37" i="9"/>
  <c r="BG37" i="9"/>
  <c r="AJ37" i="8" s="1"/>
  <c r="BG24" i="9"/>
  <c r="BG22" i="9"/>
  <c r="BP15" i="9"/>
  <c r="BP13" i="9"/>
  <c r="BR13" i="9" s="1"/>
  <c r="AW13" i="9"/>
  <c r="H13" i="8" s="1"/>
  <c r="AU13" i="8" s="1"/>
  <c r="BG13" i="9"/>
  <c r="AI11" i="9"/>
  <c r="AI5" i="9"/>
  <c r="F81" i="9"/>
  <c r="AR81" i="9" s="1"/>
  <c r="F79" i="9"/>
  <c r="AR79" i="9" s="1"/>
  <c r="F79" i="8" s="1"/>
  <c r="AS79" i="8" s="1"/>
  <c r="F66" i="9"/>
  <c r="BP25" i="9"/>
  <c r="BT25" i="9" s="1"/>
  <c r="I10" i="11"/>
  <c r="F16" i="9"/>
  <c r="Y16" i="9" s="1"/>
  <c r="D13" i="11"/>
  <c r="AG34" i="11"/>
  <c r="BJ78" i="9"/>
  <c r="BJ76" i="9"/>
  <c r="BC76" i="9"/>
  <c r="X76" i="9"/>
  <c r="EG76" i="9" s="1"/>
  <c r="BJ74" i="9"/>
  <c r="BC74" i="9"/>
  <c r="BC60" i="11"/>
  <c r="AG60" i="11"/>
  <c r="BC56" i="11"/>
  <c r="AG56" i="11"/>
  <c r="BC52" i="11"/>
  <c r="BB51" i="11"/>
  <c r="BA50" i="11"/>
  <c r="BC38" i="11"/>
  <c r="BB37" i="11"/>
  <c r="BB25" i="11"/>
  <c r="BB21" i="11"/>
  <c r="BA20" i="11"/>
  <c r="F10" i="9"/>
  <c r="BX73" i="9"/>
  <c r="BW73" i="9"/>
  <c r="X67" i="9"/>
  <c r="BC67" i="9"/>
  <c r="AT65" i="9"/>
  <c r="I65" i="11"/>
  <c r="X62" i="9"/>
  <c r="BJ62" i="9"/>
  <c r="BC59" i="9"/>
  <c r="BE59" i="9" s="1"/>
  <c r="X59" i="9"/>
  <c r="EG59" i="9" s="1"/>
  <c r="AW58" i="9"/>
  <c r="BG58" i="9"/>
  <c r="BJ56" i="9"/>
  <c r="BC56" i="9"/>
  <c r="X56" i="9"/>
  <c r="ES56" i="9" s="1"/>
  <c r="BW54" i="9"/>
  <c r="BX54" i="9"/>
  <c r="BW52" i="9"/>
  <c r="CA52" i="9" s="1"/>
  <c r="BX52" i="9"/>
  <c r="BW35" i="9"/>
  <c r="BX35" i="9"/>
  <c r="BW33" i="9"/>
  <c r="BX33" i="9"/>
  <c r="D17" i="11"/>
  <c r="F17" i="9"/>
  <c r="F12" i="9"/>
  <c r="EV12" i="9" s="1"/>
  <c r="D12" i="11"/>
  <c r="H12" i="11" s="1"/>
  <c r="D8" i="11"/>
  <c r="F8" i="9"/>
  <c r="Z8" i="9" s="1"/>
  <c r="H5" i="11"/>
  <c r="G5" i="11"/>
  <c r="BB59" i="11"/>
  <c r="AG48" i="11"/>
  <c r="F6" i="9"/>
  <c r="EV6" i="9" s="1"/>
  <c r="F7" i="9"/>
  <c r="Y7" i="9" s="1"/>
  <c r="F4" i="9"/>
  <c r="X74" i="9"/>
  <c r="EG74" i="9" s="1"/>
  <c r="O19" i="11"/>
  <c r="N19" i="11"/>
  <c r="G77" i="11"/>
  <c r="H77" i="11"/>
  <c r="H65" i="11"/>
  <c r="G65" i="11"/>
  <c r="G33" i="11"/>
  <c r="H33" i="11"/>
  <c r="BG84" i="9"/>
  <c r="BW82" i="9"/>
  <c r="BJ82" i="9"/>
  <c r="BC82" i="9"/>
  <c r="BE82" i="9" s="1"/>
  <c r="BJ80" i="9"/>
  <c r="X80" i="9"/>
  <c r="BP49" i="9"/>
  <c r="BC47" i="9"/>
  <c r="BE47" i="9" s="1"/>
  <c r="X47" i="9"/>
  <c r="BG46" i="9"/>
  <c r="AT33" i="9"/>
  <c r="EP33" i="9" s="1"/>
  <c r="I33" i="11"/>
  <c r="X32" i="9"/>
  <c r="EG32" i="9" s="1"/>
  <c r="BJ32" i="9"/>
  <c r="BJ12" i="9"/>
  <c r="BC12" i="9"/>
  <c r="BE12" i="9" s="1"/>
  <c r="BJ10" i="9"/>
  <c r="BC10" i="9"/>
  <c r="BE10" i="9" s="1"/>
  <c r="X9" i="9"/>
  <c r="EG9" i="9" s="1"/>
  <c r="BA18" i="11"/>
  <c r="BA8" i="11"/>
  <c r="BA4" i="11"/>
  <c r="AW69" i="9"/>
  <c r="BG69" i="9"/>
  <c r="BG66" i="9"/>
  <c r="BG39" i="9"/>
  <c r="BC19" i="9"/>
  <c r="BE19" i="9" s="1"/>
  <c r="BW5" i="9"/>
  <c r="BX5" i="9"/>
  <c r="BB76" i="11"/>
  <c r="BP47" i="9"/>
  <c r="M64" i="11"/>
  <c r="BC77" i="9"/>
  <c r="BP46" i="9"/>
  <c r="BT46" i="9" s="1"/>
  <c r="BW29" i="9"/>
  <c r="CA29" i="9" s="1"/>
  <c r="BX29" i="9"/>
  <c r="BJ19" i="9"/>
  <c r="F78" i="9"/>
  <c r="D78" i="11"/>
  <c r="I78" i="11" s="1"/>
  <c r="BP20" i="9"/>
  <c r="BG65" i="9"/>
  <c r="BP58" i="9"/>
  <c r="BR58" i="9" s="1"/>
  <c r="BP55" i="9"/>
  <c r="BR55" i="9" s="1"/>
  <c r="BP53" i="9"/>
  <c r="BP50" i="9"/>
  <c r="AW49" i="9"/>
  <c r="BG49" i="9"/>
  <c r="BP45" i="9"/>
  <c r="BP21" i="9"/>
  <c r="BT21" i="9" s="1"/>
  <c r="AW21" i="9"/>
  <c r="BP19" i="9"/>
  <c r="BJ17" i="9"/>
  <c r="BC17" i="9"/>
  <c r="BE17" i="9" s="1"/>
  <c r="BP63" i="9"/>
  <c r="EC63" i="9" s="1"/>
  <c r="ED63" i="9" s="1"/>
  <c r="BP59" i="9"/>
  <c r="BP57" i="9"/>
  <c r="BR57" i="9" s="1"/>
  <c r="BP54" i="9"/>
  <c r="BT54" i="9" s="1"/>
  <c r="BP44" i="9"/>
  <c r="EC44" i="9" s="1"/>
  <c r="BP35" i="9"/>
  <c r="F65" i="9"/>
  <c r="F64" i="9"/>
  <c r="BO22" i="9"/>
  <c r="BO21" i="9"/>
  <c r="BC40" i="9"/>
  <c r="BE40" i="9" s="1"/>
  <c r="BX23" i="9"/>
  <c r="BX42" i="9"/>
  <c r="BX69" i="9"/>
  <c r="BP60" i="9"/>
  <c r="BP48" i="9"/>
  <c r="BP42" i="9"/>
  <c r="DW42" i="9" s="1"/>
  <c r="BP40" i="9"/>
  <c r="BT40" i="9" s="1"/>
  <c r="BP38" i="9"/>
  <c r="BP37" i="9"/>
  <c r="BT37" i="9" s="1"/>
  <c r="AW28" i="9"/>
  <c r="AI27" i="9"/>
  <c r="BP23" i="9"/>
  <c r="BG17" i="9"/>
  <c r="BO78" i="9"/>
  <c r="F32" i="9"/>
  <c r="BB81" i="11"/>
  <c r="BC73" i="11"/>
  <c r="AG73" i="11"/>
  <c r="AG30" i="11"/>
  <c r="I9" i="11"/>
  <c r="BA48" i="11"/>
  <c r="N40" i="11"/>
  <c r="AG76" i="11"/>
  <c r="I18" i="8"/>
  <c r="AV18" i="8" s="1"/>
  <c r="BG83" i="9"/>
  <c r="BG78" i="9"/>
  <c r="AI73" i="9"/>
  <c r="AW55" i="9"/>
  <c r="BG55" i="9"/>
  <c r="BG54" i="9"/>
  <c r="AI19" i="9"/>
  <c r="BG8" i="9"/>
  <c r="BI8" i="9" s="1"/>
  <c r="Q8" i="8" s="1"/>
  <c r="BE8" i="8" s="1"/>
  <c r="F35" i="9"/>
  <c r="EV35" i="9" s="1"/>
  <c r="BG63" i="9"/>
  <c r="BG27" i="9"/>
  <c r="AW8" i="9"/>
  <c r="AI52" i="9"/>
  <c r="BG31" i="9"/>
  <c r="BG28" i="9"/>
  <c r="BG25" i="9"/>
  <c r="AW4" i="9"/>
  <c r="BP32" i="9"/>
  <c r="BP31" i="9"/>
  <c r="BP30" i="9"/>
  <c r="BR30" i="9" s="1"/>
  <c r="F75" i="9"/>
  <c r="F71" i="9"/>
  <c r="AR71" i="9" s="1"/>
  <c r="F68" i="9"/>
  <c r="F39" i="9"/>
  <c r="EU39" i="9" s="1"/>
  <c r="F37" i="9"/>
  <c r="F36" i="9"/>
  <c r="BO73" i="9"/>
  <c r="BO71" i="9"/>
  <c r="DT71" i="9" s="1"/>
  <c r="DU71" i="9" s="1"/>
  <c r="F60" i="9"/>
  <c r="EU60" i="9" s="1"/>
  <c r="BO37" i="9"/>
  <c r="F26" i="9"/>
  <c r="EV26" i="9" s="1"/>
  <c r="F24" i="9"/>
  <c r="AR24" i="9" s="1"/>
  <c r="F22" i="9"/>
  <c r="EV22" i="9" s="1"/>
  <c r="BO7" i="9"/>
  <c r="I46" i="11"/>
  <c r="BW84" i="9"/>
  <c r="BX84" i="9"/>
  <c r="BW83" i="9"/>
  <c r="BX83" i="9"/>
  <c r="BC83" i="9"/>
  <c r="BE83" i="9" s="1"/>
  <c r="BJ83" i="9"/>
  <c r="BJ57" i="9"/>
  <c r="X57" i="9"/>
  <c r="EF57" i="9" s="1"/>
  <c r="BC57" i="9"/>
  <c r="BE57" i="9" s="1"/>
  <c r="BJ54" i="9"/>
  <c r="X54" i="9"/>
  <c r="EF54" i="9" s="1"/>
  <c r="BC54" i="9"/>
  <c r="BE54" i="9" s="1"/>
  <c r="BJ22" i="9"/>
  <c r="X13" i="9"/>
  <c r="BJ13" i="9"/>
  <c r="BG6" i="9"/>
  <c r="AW6" i="9"/>
  <c r="AW5" i="9"/>
  <c r="BG5" i="9"/>
  <c r="I56" i="11"/>
  <c r="I60" i="11"/>
  <c r="G50" i="11"/>
  <c r="BJ81" i="9"/>
  <c r="BJ73" i="9"/>
  <c r="X73" i="9"/>
  <c r="EC73" i="9" s="1"/>
  <c r="EE73" i="9" s="1"/>
  <c r="BC73" i="9"/>
  <c r="BW60" i="9"/>
  <c r="BX60" i="9"/>
  <c r="BF46" i="9"/>
  <c r="AJ46" i="8" s="1"/>
  <c r="FK46" i="9" s="1"/>
  <c r="BG38" i="9"/>
  <c r="BG23" i="9"/>
  <c r="AW23" i="9"/>
  <c r="BW22" i="9"/>
  <c r="BX22" i="9"/>
  <c r="X14" i="9"/>
  <c r="ER14" i="9" s="1"/>
  <c r="BC14" i="9"/>
  <c r="BE14" i="9" s="1"/>
  <c r="BJ14" i="9"/>
  <c r="AW38" i="9"/>
  <c r="I36" i="8"/>
  <c r="AV36" i="8" s="1"/>
  <c r="G64" i="11"/>
  <c r="H64" i="11"/>
  <c r="H50" i="11"/>
  <c r="BC13" i="9"/>
  <c r="BE13" i="9" s="1"/>
  <c r="AK65" i="8"/>
  <c r="F84" i="9"/>
  <c r="AR84" i="9" s="1"/>
  <c r="D84" i="11"/>
  <c r="BO29" i="9"/>
  <c r="BQ29" i="9" s="1"/>
  <c r="BP29" i="9"/>
  <c r="BG70" i="9"/>
  <c r="BP64" i="9"/>
  <c r="BP33" i="9"/>
  <c r="DW33" i="9" s="1"/>
  <c r="DY33" i="9" s="1"/>
  <c r="X31" i="9"/>
  <c r="EF31" i="9" s="1"/>
  <c r="BC31" i="9"/>
  <c r="BE31" i="9" s="1"/>
  <c r="AW72" i="9"/>
  <c r="EQ72" i="9" s="1"/>
  <c r="BP34" i="9"/>
  <c r="AI13" i="9"/>
  <c r="BC9" i="9"/>
  <c r="AW51" i="9"/>
  <c r="AW34" i="9"/>
  <c r="EP34" i="9" s="1"/>
  <c r="AI8" i="9"/>
  <c r="BP18" i="9"/>
  <c r="F80" i="9"/>
  <c r="BO60" i="9"/>
  <c r="F46" i="9"/>
  <c r="BO41" i="9"/>
  <c r="F33" i="9"/>
  <c r="EU33" i="9" s="1"/>
  <c r="BO27" i="9"/>
  <c r="BS27" i="9" s="1"/>
  <c r="BP26" i="9"/>
  <c r="F21" i="9"/>
  <c r="F9" i="9"/>
  <c r="AF9" i="8" s="1"/>
  <c r="F5" i="9"/>
  <c r="BP67" i="9"/>
  <c r="BP36" i="9"/>
  <c r="F76" i="9"/>
  <c r="EV76" i="9" s="1"/>
  <c r="F61" i="9"/>
  <c r="EV61" i="9" s="1"/>
  <c r="BO31" i="9"/>
  <c r="BP8" i="9"/>
  <c r="BC27" i="9"/>
  <c r="BE27" i="9" s="1"/>
  <c r="X27" i="9"/>
  <c r="BJ27" i="9"/>
  <c r="H22" i="11"/>
  <c r="K21" i="11"/>
  <c r="BW57" i="9"/>
  <c r="BX57" i="9"/>
  <c r="BC55" i="9"/>
  <c r="BE55" i="9" s="1"/>
  <c r="EF53" i="9"/>
  <c r="BJ53" i="9"/>
  <c r="I41" i="8"/>
  <c r="AV41" i="8" s="1"/>
  <c r="BW67" i="9"/>
  <c r="BX67" i="9"/>
  <c r="BF59" i="9"/>
  <c r="BI59" i="9" s="1"/>
  <c r="BW58" i="9"/>
  <c r="BX58" i="9"/>
  <c r="BJ29" i="9"/>
  <c r="AT36" i="9"/>
  <c r="BJ8" i="9"/>
  <c r="BC8" i="9"/>
  <c r="BW6" i="9"/>
  <c r="BX6" i="9"/>
  <c r="BJ50" i="9"/>
  <c r="X50" i="9"/>
  <c r="BC50" i="9"/>
  <c r="BE50" i="9" s="1"/>
  <c r="AT49" i="9"/>
  <c r="ER49" i="9" s="1"/>
  <c r="I49" i="11"/>
  <c r="AW48" i="9"/>
  <c r="BG48" i="9"/>
  <c r="BC45" i="9"/>
  <c r="BE45" i="9" s="1"/>
  <c r="X22" i="9"/>
  <c r="BC22" i="9"/>
  <c r="BE22" i="9" s="1"/>
  <c r="X17" i="9"/>
  <c r="EC17" i="9" s="1"/>
  <c r="AI63" i="9"/>
  <c r="AW67" i="9"/>
  <c r="BE15" i="9"/>
  <c r="X11" i="9"/>
  <c r="EF11" i="9" s="1"/>
  <c r="X83" i="9"/>
  <c r="EC83" i="9" s="1"/>
  <c r="BC81" i="9"/>
  <c r="BE81" i="9" s="1"/>
  <c r="X81" i="9"/>
  <c r="BP39" i="9"/>
  <c r="DW39" i="9" s="1"/>
  <c r="DX39" i="9" s="1"/>
  <c r="BP27" i="9"/>
  <c r="DW27" i="9" s="1"/>
  <c r="L83" i="11"/>
  <c r="N76" i="11"/>
  <c r="M76" i="11"/>
  <c r="M71" i="11"/>
  <c r="L62" i="11"/>
  <c r="J62" i="11"/>
  <c r="O39" i="11"/>
  <c r="N39" i="11"/>
  <c r="M13" i="11"/>
  <c r="N13" i="11"/>
  <c r="J71" i="11"/>
  <c r="K71" i="11"/>
  <c r="L71" i="11"/>
  <c r="N63" i="11"/>
  <c r="O15" i="11"/>
  <c r="M15" i="11"/>
  <c r="N15" i="11"/>
  <c r="O7" i="11"/>
  <c r="M7" i="11"/>
  <c r="BF84" i="10"/>
  <c r="BF78" i="10"/>
  <c r="BC39" i="10"/>
  <c r="BF31" i="10"/>
  <c r="BF23" i="10"/>
  <c r="BF10" i="10"/>
  <c r="N21" i="11"/>
  <c r="J57" i="11"/>
  <c r="J76" i="11"/>
  <c r="L76" i="11"/>
  <c r="K76" i="11"/>
  <c r="M55" i="11"/>
  <c r="M46" i="11"/>
  <c r="K42" i="11"/>
  <c r="O35" i="11"/>
  <c r="N35" i="11"/>
  <c r="M35" i="11"/>
  <c r="O27" i="11"/>
  <c r="M27" i="11"/>
  <c r="O10" i="11"/>
  <c r="N6" i="11"/>
  <c r="BF14" i="10"/>
  <c r="BF6" i="10"/>
  <c r="BF69" i="10"/>
  <c r="BF62" i="10"/>
  <c r="BF50" i="10"/>
  <c r="K64" i="11"/>
  <c r="J64" i="11"/>
  <c r="K60" i="11"/>
  <c r="J60" i="11"/>
  <c r="L60" i="11"/>
  <c r="L32" i="11"/>
  <c r="N23" i="11"/>
  <c r="O23" i="11"/>
  <c r="M23" i="11"/>
  <c r="M82" i="11"/>
  <c r="O82" i="11"/>
  <c r="M70" i="11"/>
  <c r="O70" i="11"/>
  <c r="J39" i="11"/>
  <c r="K28" i="11"/>
  <c r="O8" i="11"/>
  <c r="J4" i="11"/>
  <c r="L4" i="11"/>
  <c r="N16" i="11"/>
  <c r="N27" i="11"/>
  <c r="O13" i="11"/>
  <c r="N82" i="11"/>
  <c r="L64" i="11"/>
  <c r="O68" i="11"/>
  <c r="O65" i="11"/>
  <c r="N52" i="11"/>
  <c r="N34" i="11"/>
  <c r="K62" i="11"/>
  <c r="M75" i="11"/>
  <c r="J65" i="11"/>
  <c r="K65" i="11"/>
  <c r="L65" i="11"/>
  <c r="L52" i="11"/>
  <c r="J52" i="11"/>
  <c r="K44" i="11"/>
  <c r="N69" i="11"/>
  <c r="O21" i="11"/>
  <c r="M39" i="11"/>
  <c r="N67" i="11"/>
  <c r="O84" i="11"/>
  <c r="M84" i="11"/>
  <c r="L57" i="11"/>
  <c r="M74" i="11"/>
  <c r="L29" i="11"/>
  <c r="BF70" i="10"/>
  <c r="L68" i="11"/>
  <c r="J68" i="11"/>
  <c r="K68" i="11"/>
  <c r="K63" i="11"/>
  <c r="J63" i="11"/>
  <c r="L63" i="11"/>
  <c r="L59" i="11"/>
  <c r="K59" i="11"/>
  <c r="J59" i="11"/>
  <c r="N41" i="11"/>
  <c r="O41" i="11"/>
  <c r="J61" i="11"/>
  <c r="K61" i="11"/>
  <c r="O58" i="11"/>
  <c r="J46" i="11"/>
  <c r="K46" i="11"/>
  <c r="L38" i="11"/>
  <c r="N17" i="11"/>
  <c r="M17" i="11"/>
  <c r="O17" i="11"/>
  <c r="O12" i="11"/>
  <c r="N12" i="11"/>
  <c r="M41" i="11"/>
  <c r="M66" i="11"/>
  <c r="O66" i="11"/>
  <c r="J51" i="11"/>
  <c r="K51" i="11"/>
  <c r="O47" i="11"/>
  <c r="N37" i="11"/>
  <c r="M37" i="11"/>
  <c r="O37" i="11"/>
  <c r="O31" i="11"/>
  <c r="N31" i="11"/>
  <c r="M31" i="11"/>
  <c r="N14" i="11"/>
  <c r="M5" i="11"/>
  <c r="N5" i="11"/>
  <c r="O5" i="11"/>
  <c r="L46" i="11"/>
  <c r="BF81" i="10"/>
  <c r="BF75" i="10"/>
  <c r="BF64" i="10"/>
  <c r="BF61" i="10"/>
  <c r="BF60" i="10"/>
  <c r="BF55" i="10"/>
  <c r="BF66" i="10"/>
  <c r="BF58" i="10"/>
  <c r="BF45" i="10"/>
  <c r="BF46" i="10"/>
  <c r="BF76" i="10"/>
  <c r="BF71" i="10"/>
  <c r="BF65" i="10"/>
  <c r="BF48" i="10"/>
  <c r="BF44" i="10"/>
  <c r="K4" i="11"/>
  <c r="M80" i="11"/>
  <c r="O80" i="11"/>
  <c r="J7" i="11"/>
  <c r="L82" i="11"/>
  <c r="N80" i="11"/>
  <c r="N4" i="11"/>
  <c r="M4" i="11"/>
  <c r="O4" i="11"/>
  <c r="L7" i="11"/>
  <c r="K13" i="11"/>
  <c r="J13" i="11"/>
  <c r="L13" i="11"/>
  <c r="N11" i="11"/>
  <c r="O11" i="11"/>
  <c r="N36" i="11"/>
  <c r="M36" i="11"/>
  <c r="M33" i="11"/>
  <c r="O33" i="11"/>
  <c r="M72" i="11"/>
  <c r="N72" i="11"/>
  <c r="M9" i="11"/>
  <c r="N9" i="11"/>
  <c r="O9" i="11"/>
  <c r="BF74" i="10"/>
  <c r="BF52" i="10"/>
  <c r="BF30" i="10"/>
  <c r="BF18" i="10"/>
  <c r="I30" i="11"/>
  <c r="H14" i="11"/>
  <c r="G14" i="11"/>
  <c r="I14" i="11"/>
  <c r="BC81" i="11"/>
  <c r="AG21" i="11"/>
  <c r="BC21" i="11"/>
  <c r="BC26" i="11"/>
  <c r="BB29" i="11"/>
  <c r="N66" i="11"/>
  <c r="BF42" i="10"/>
  <c r="O29" i="11"/>
  <c r="M29" i="11"/>
  <c r="M11" i="11"/>
  <c r="O48" i="11"/>
  <c r="N48" i="11"/>
  <c r="K36" i="11"/>
  <c r="AB10" i="9"/>
  <c r="CY10" i="9" s="1"/>
  <c r="R8" i="9"/>
  <c r="Z4" i="9"/>
  <c r="R65" i="9"/>
  <c r="T16" i="9"/>
  <c r="AL16" i="9" s="1"/>
  <c r="AB7" i="9"/>
  <c r="CY7" i="9" s="1"/>
  <c r="AR51" i="9"/>
  <c r="EF61" i="9"/>
  <c r="CZ16" i="9"/>
  <c r="AF14" i="8"/>
  <c r="L73" i="11"/>
  <c r="AR73" i="9"/>
  <c r="J47" i="11"/>
  <c r="AF51" i="8"/>
  <c r="ED51" i="8" s="1"/>
  <c r="EN51" i="8" s="1"/>
  <c r="EU73" i="9"/>
  <c r="EF7" i="9"/>
  <c r="H20" i="8"/>
  <c r="AU20" i="8" s="1"/>
  <c r="EV31" i="9"/>
  <c r="EV73" i="9"/>
  <c r="AF54" i="8"/>
  <c r="ED54" i="8" s="1"/>
  <c r="EU62" i="9"/>
  <c r="CA56" i="9"/>
  <c r="AR54" i="9"/>
  <c r="AF62" i="8"/>
  <c r="AR31" i="9"/>
  <c r="EU31" i="9"/>
  <c r="EV54" i="9"/>
  <c r="EV62" i="9"/>
  <c r="AJ10" i="8"/>
  <c r="BX10" i="8" s="1"/>
  <c r="BI16" i="9"/>
  <c r="Q16" i="8" s="1"/>
  <c r="BE16" i="8" s="1"/>
  <c r="L47" i="11"/>
  <c r="BS76" i="9"/>
  <c r="AJ74" i="8"/>
  <c r="EG7" i="9"/>
  <c r="EV83" i="9"/>
  <c r="L53" i="11"/>
  <c r="AF83" i="8"/>
  <c r="AR83" i="9"/>
  <c r="F83" i="8" s="1"/>
  <c r="AS83" i="8" s="1"/>
  <c r="EG64" i="9"/>
  <c r="BT14" i="9"/>
  <c r="AR63" i="9"/>
  <c r="CA66" i="9"/>
  <c r="EU34" i="9"/>
  <c r="AR34" i="9"/>
  <c r="EQ22" i="9"/>
  <c r="EG39" i="9"/>
  <c r="ES39" i="9"/>
  <c r="CA41" i="9"/>
  <c r="CA76" i="9"/>
  <c r="AH26" i="8"/>
  <c r="BV26" i="8" s="1"/>
  <c r="EG43" i="9"/>
  <c r="CA81" i="9"/>
  <c r="J73" i="11"/>
  <c r="AF29" i="8"/>
  <c r="EU28" i="9"/>
  <c r="EV29" i="9"/>
  <c r="AR29" i="9"/>
  <c r="EV70" i="9"/>
  <c r="AR70" i="9"/>
  <c r="AR38" i="9"/>
  <c r="AF28" i="8"/>
  <c r="AR28" i="9"/>
  <c r="EF36" i="9"/>
  <c r="CA16" i="9"/>
  <c r="CA7" i="9"/>
  <c r="CA63" i="9"/>
  <c r="AH33" i="8"/>
  <c r="EU70" i="9"/>
  <c r="CA12" i="9"/>
  <c r="AF63" i="8"/>
  <c r="EF6" i="9"/>
  <c r="EG6" i="9"/>
  <c r="EG18" i="9"/>
  <c r="EF39" i="9"/>
  <c r="ER39" i="9"/>
  <c r="AR72" i="9"/>
  <c r="EV72" i="9"/>
  <c r="EF68" i="9"/>
  <c r="EG16" i="9"/>
  <c r="EG68" i="9"/>
  <c r="BI12" i="9"/>
  <c r="Q12" i="8" s="1"/>
  <c r="BE12" i="8" s="1"/>
  <c r="CA43" i="9"/>
  <c r="CA65" i="9"/>
  <c r="S48" i="8"/>
  <c r="EF29" i="9"/>
  <c r="EG29" i="9"/>
  <c r="AH17" i="8"/>
  <c r="FH17" i="8" s="1"/>
  <c r="EV63" i="9"/>
  <c r="EG20" i="9"/>
  <c r="BI67" i="9"/>
  <c r="EG49" i="9"/>
  <c r="EF49" i="9"/>
  <c r="AF38" i="8"/>
  <c r="EV38" i="9"/>
  <c r="AF57" i="8"/>
  <c r="AR57" i="9"/>
  <c r="AF82" i="8"/>
  <c r="BT82" i="8" s="1"/>
  <c r="EU82" i="9"/>
  <c r="AF48" i="8"/>
  <c r="EU48" i="9"/>
  <c r="EW48" i="9" s="1"/>
  <c r="EV48" i="9"/>
  <c r="BS48" i="9"/>
  <c r="U48" i="8" s="1"/>
  <c r="BI48" i="8" s="1"/>
  <c r="AR48" i="9"/>
  <c r="EV57" i="9"/>
  <c r="BS61" i="9"/>
  <c r="U61" i="8" s="1"/>
  <c r="BI61" i="8" s="1"/>
  <c r="BS26" i="9"/>
  <c r="CA14" i="9"/>
  <c r="CA21" i="9"/>
  <c r="AR82" i="9"/>
  <c r="EV82" i="9"/>
  <c r="EU57" i="9"/>
  <c r="BT17" i="9"/>
  <c r="DW17" i="9"/>
  <c r="EG51" i="9"/>
  <c r="EF51" i="9"/>
  <c r="K49" i="11"/>
  <c r="AR18" i="9"/>
  <c r="EU51" i="9"/>
  <c r="EG28" i="9"/>
  <c r="EU49" i="9"/>
  <c r="AF49" i="8"/>
  <c r="H31" i="8"/>
  <c r="AU31" i="8" s="1"/>
  <c r="AF56" i="8"/>
  <c r="ES34" i="9"/>
  <c r="EG34" i="9"/>
  <c r="BI64" i="9"/>
  <c r="AJ64" i="8"/>
  <c r="EF35" i="9"/>
  <c r="AH7" i="8"/>
  <c r="H7" i="8"/>
  <c r="AU7" i="8" s="1"/>
  <c r="ES51" i="9"/>
  <c r="ER51" i="9"/>
  <c r="CA24" i="9"/>
  <c r="R67" i="9"/>
  <c r="BI60" i="9"/>
  <c r="W60" i="8" s="1"/>
  <c r="BK60" i="8" s="1"/>
  <c r="EG37" i="9"/>
  <c r="AF30" i="8"/>
  <c r="AR30" i="9"/>
  <c r="EU47" i="9"/>
  <c r="AR47" i="9"/>
  <c r="EV47" i="9"/>
  <c r="AF47" i="8"/>
  <c r="ED47" i="8" s="1"/>
  <c r="FX47" i="8" s="1"/>
  <c r="AR55" i="9"/>
  <c r="EU55" i="9"/>
  <c r="EV55" i="9"/>
  <c r="AR59" i="9"/>
  <c r="EU59" i="9"/>
  <c r="EV59" i="9"/>
  <c r="EV20" i="9"/>
  <c r="EU20" i="9"/>
  <c r="AR20" i="9"/>
  <c r="AF20" i="8"/>
  <c r="BT59" i="9"/>
  <c r="BR59" i="9"/>
  <c r="BQ67" i="9"/>
  <c r="BQ82" i="9"/>
  <c r="BS82" i="9"/>
  <c r="BQ19" i="9"/>
  <c r="BS19" i="9"/>
  <c r="BT24" i="9"/>
  <c r="EG60" i="9"/>
  <c r="AR27" i="9"/>
  <c r="ER60" i="9"/>
  <c r="AF58" i="8"/>
  <c r="ES60" i="9"/>
  <c r="AR58" i="9"/>
  <c r="EV58" i="9"/>
  <c r="AR74" i="9"/>
  <c r="F74" i="8" s="1"/>
  <c r="AS74" i="8" s="1"/>
  <c r="EV74" i="9"/>
  <c r="AF74" i="8"/>
  <c r="AF69" i="8"/>
  <c r="EU74" i="9"/>
  <c r="EV14" i="9"/>
  <c r="EU14" i="9"/>
  <c r="EV56" i="9"/>
  <c r="EV49" i="9"/>
  <c r="ER34" i="9"/>
  <c r="CA39" i="9"/>
  <c r="H25" i="8"/>
  <c r="AU25" i="8" s="1"/>
  <c r="AH25" i="8"/>
  <c r="EU50" i="9"/>
  <c r="EF21" i="9"/>
  <c r="BQ48" i="9"/>
  <c r="R47" i="9"/>
  <c r="S81" i="9"/>
  <c r="AJ81" i="9" s="1"/>
  <c r="R81" i="9"/>
  <c r="AB81" i="9"/>
  <c r="AH12" i="8"/>
  <c r="BV12" i="8" s="1"/>
  <c r="BQ53" i="9"/>
  <c r="S50" i="9"/>
  <c r="AJ50" i="9" s="1"/>
  <c r="R50" i="9"/>
  <c r="CA32" i="9"/>
  <c r="CA11" i="9"/>
  <c r="CA26" i="9"/>
  <c r="CA19" i="9"/>
  <c r="Z79" i="9"/>
  <c r="Y79" i="9"/>
  <c r="BR15" i="9"/>
  <c r="BT15" i="9"/>
  <c r="AR50" i="9"/>
  <c r="EG21" i="9"/>
  <c r="S5" i="9"/>
  <c r="S38" i="9"/>
  <c r="AJ38" i="9" s="1"/>
  <c r="R38" i="9"/>
  <c r="S73" i="9"/>
  <c r="AJ73" i="9" s="1"/>
  <c r="R73" i="9"/>
  <c r="S25" i="9"/>
  <c r="AJ25" i="9" s="1"/>
  <c r="R25" i="9"/>
  <c r="U25" i="9" s="1"/>
  <c r="BT71" i="9"/>
  <c r="S15" i="9"/>
  <c r="AJ15" i="9" s="1"/>
  <c r="AB15" i="9"/>
  <c r="R15" i="9"/>
  <c r="AB69" i="9"/>
  <c r="S80" i="9"/>
  <c r="AJ80" i="9" s="1"/>
  <c r="R80" i="9"/>
  <c r="S4" i="9"/>
  <c r="R4" i="9"/>
  <c r="S64" i="9"/>
  <c r="AB64" i="9"/>
  <c r="R64" i="9"/>
  <c r="S16" i="9"/>
  <c r="AD16" i="9" s="1"/>
  <c r="R16" i="9"/>
  <c r="AJ14" i="8"/>
  <c r="FK14" i="9" s="1"/>
  <c r="S82" i="8"/>
  <c r="R36" i="9"/>
  <c r="AB68" i="9"/>
  <c r="S7" i="9"/>
  <c r="AJ7" i="9" s="1"/>
  <c r="R7" i="9"/>
  <c r="R62" i="9"/>
  <c r="S62" i="9"/>
  <c r="AJ62" i="9" s="1"/>
  <c r="S9" i="9"/>
  <c r="AJ9" i="9" s="1"/>
  <c r="AB9" i="9"/>
  <c r="S79" i="9"/>
  <c r="AJ79" i="9" s="1"/>
  <c r="R79" i="9"/>
  <c r="S8" i="9"/>
  <c r="AB8" i="9"/>
  <c r="S71" i="9"/>
  <c r="AJ71" i="9" s="1"/>
  <c r="S10" i="9"/>
  <c r="AJ10" i="9" s="1"/>
  <c r="R10" i="9"/>
  <c r="AC10" i="9" s="1"/>
  <c r="R21" i="9"/>
  <c r="S78" i="9"/>
  <c r="AJ78" i="9" s="1"/>
  <c r="AB78" i="9"/>
  <c r="R56" i="9"/>
  <c r="AJ39" i="8"/>
  <c r="AH47" i="8"/>
  <c r="Y71" i="9"/>
  <c r="CA5" i="9"/>
  <c r="AJ72" i="8"/>
  <c r="Z73" i="9"/>
  <c r="EG23" i="9"/>
  <c r="EF23" i="9"/>
  <c r="AF71" i="8"/>
  <c r="AJ51" i="8"/>
  <c r="AH36" i="8"/>
  <c r="DT19" i="9"/>
  <c r="DV19" i="9" s="1"/>
  <c r="EG15" i="9"/>
  <c r="EK8" i="8"/>
  <c r="EK26" i="8"/>
  <c r="EK67" i="8"/>
  <c r="EK10" i="8"/>
  <c r="EK19" i="8"/>
  <c r="EK23" i="8"/>
  <c r="EK29" i="8"/>
  <c r="EK49" i="8"/>
  <c r="EK57" i="8"/>
  <c r="EK65" i="8"/>
  <c r="EK18" i="8"/>
  <c r="EK34" i="8"/>
  <c r="EK39" i="8"/>
  <c r="EK56" i="8"/>
  <c r="EK74" i="8"/>
  <c r="EK33" i="8"/>
  <c r="EK46" i="8"/>
  <c r="EK55" i="8"/>
  <c r="EK77" i="8"/>
  <c r="EK15" i="8"/>
  <c r="EK58" i="8"/>
  <c r="EK70" i="8"/>
  <c r="EK83" i="8"/>
  <c r="EK82" i="8"/>
  <c r="EK17" i="8"/>
  <c r="EK63" i="8"/>
  <c r="EK14" i="8"/>
  <c r="EK21" i="8"/>
  <c r="EK28" i="8"/>
  <c r="EK35" i="8"/>
  <c r="EK53" i="8"/>
  <c r="EK13" i="8"/>
  <c r="EK27" i="8"/>
  <c r="EK38" i="8"/>
  <c r="EK43" i="8"/>
  <c r="EK73" i="8"/>
  <c r="EK78" i="8"/>
  <c r="EK81" i="8"/>
  <c r="EK7" i="8"/>
  <c r="EK32" i="8"/>
  <c r="EK42" i="8"/>
  <c r="EK51" i="8"/>
  <c r="EK59" i="8"/>
  <c r="EK6" i="8"/>
  <c r="EK25" i="8"/>
  <c r="EK31" i="8"/>
  <c r="EK50" i="8"/>
  <c r="EK66" i="8"/>
  <c r="EK11" i="8"/>
  <c r="EK30" i="8"/>
  <c r="EK45" i="8"/>
  <c r="EK54" i="8"/>
  <c r="EK62" i="8"/>
  <c r="EK69" i="8"/>
  <c r="EK37" i="8"/>
  <c r="J49" i="11"/>
  <c r="J56" i="11"/>
  <c r="AJ50" i="8"/>
  <c r="FK50" i="9" s="1"/>
  <c r="J45" i="11"/>
  <c r="EG25" i="9"/>
  <c r="AJ73" i="8"/>
  <c r="AH59" i="8"/>
  <c r="FH59" i="8" s="1"/>
  <c r="EQ59" i="9"/>
  <c r="AJ65" i="8"/>
  <c r="FK65" i="9" s="1"/>
  <c r="CY16" i="9"/>
  <c r="AH58" i="8"/>
  <c r="FH58" i="8" s="1"/>
  <c r="AH80" i="8"/>
  <c r="H81" i="8"/>
  <c r="AU81" i="8" s="1"/>
  <c r="EF26" i="9"/>
  <c r="EG26" i="9"/>
  <c r="CA10" i="9"/>
  <c r="H57" i="8"/>
  <c r="AU57" i="8" s="1"/>
  <c r="AH57" i="8"/>
  <c r="EV50" i="9"/>
  <c r="EG75" i="9"/>
  <c r="ER75" i="9"/>
  <c r="AR49" i="9"/>
  <c r="CA34" i="9"/>
  <c r="CA28" i="9"/>
  <c r="AB36" i="9"/>
  <c r="CZ36" i="9" s="1"/>
  <c r="Y38" i="9"/>
  <c r="BI37" i="9"/>
  <c r="Q37" i="8" s="1"/>
  <c r="BE37" i="8" s="1"/>
  <c r="H27" i="8"/>
  <c r="AU27" i="8" s="1"/>
  <c r="H39" i="8"/>
  <c r="AU39" i="8" s="1"/>
  <c r="EG44" i="9"/>
  <c r="EF44" i="9"/>
  <c r="ES14" i="9"/>
  <c r="BI55" i="9"/>
  <c r="CA82" i="9"/>
  <c r="ER40" i="9"/>
  <c r="EF40" i="9"/>
  <c r="EQ60" i="9"/>
  <c r="EG54" i="9"/>
  <c r="ER56" i="9"/>
  <c r="EG56" i="9"/>
  <c r="H11" i="8"/>
  <c r="AU11" i="8" s="1"/>
  <c r="ER30" i="9"/>
  <c r="EG30" i="9"/>
  <c r="ES30" i="9"/>
  <c r="ES47" i="9"/>
  <c r="EG47" i="9"/>
  <c r="ER47" i="9"/>
  <c r="EF80" i="9"/>
  <c r="EG80" i="9"/>
  <c r="EG62" i="9"/>
  <c r="EF76" i="9"/>
  <c r="EF52" i="9"/>
  <c r="ES49" i="9"/>
  <c r="EP36" i="9"/>
  <c r="EC36" i="9"/>
  <c r="EE36" i="9" s="1"/>
  <c r="DW36" i="9"/>
  <c r="EC64" i="9"/>
  <c r="DW64" i="9"/>
  <c r="DX64" i="9" s="1"/>
  <c r="EC42" i="9"/>
  <c r="AH13" i="8"/>
  <c r="FH13" i="8" s="1"/>
  <c r="EC56" i="9"/>
  <c r="DW56" i="9"/>
  <c r="EG81" i="9"/>
  <c r="EC27" i="9"/>
  <c r="ED27" i="9" s="1"/>
  <c r="EC67" i="9"/>
  <c r="DW67" i="9"/>
  <c r="EV5" i="9"/>
  <c r="EU5" i="9"/>
  <c r="EU21" i="9"/>
  <c r="EV21" i="9"/>
  <c r="DZ41" i="9"/>
  <c r="EB41" i="9" s="1"/>
  <c r="EU80" i="9"/>
  <c r="EQ34" i="9"/>
  <c r="EC34" i="9"/>
  <c r="DW34" i="9"/>
  <c r="EV84" i="9"/>
  <c r="EF32" i="9"/>
  <c r="AJ4" i="8"/>
  <c r="EP38" i="9"/>
  <c r="DW8" i="9"/>
  <c r="EC8" i="9"/>
  <c r="EC69" i="9"/>
  <c r="DW69" i="9"/>
  <c r="DW52" i="9"/>
  <c r="EC52" i="9"/>
  <c r="DW6" i="9"/>
  <c r="EC6" i="9"/>
  <c r="DW9" i="9"/>
  <c r="DX9" i="9" s="1"/>
  <c r="EC39" i="9"/>
  <c r="ED39" i="9" s="1"/>
  <c r="BT69" i="9"/>
  <c r="BR56" i="9"/>
  <c r="BT29" i="9"/>
  <c r="EC29" i="9"/>
  <c r="DW29" i="9"/>
  <c r="DX29" i="9" s="1"/>
  <c r="H55" i="8"/>
  <c r="AU55" i="8" s="1"/>
  <c r="EF67" i="9"/>
  <c r="EG67" i="9"/>
  <c r="ER67" i="9"/>
  <c r="DW77" i="9"/>
  <c r="EC81" i="9"/>
  <c r="DW81" i="9"/>
  <c r="DY81" i="9" s="1"/>
  <c r="EU25" i="9"/>
  <c r="EU15" i="9"/>
  <c r="Y15" i="9"/>
  <c r="AJ80" i="8"/>
  <c r="BI80" i="9"/>
  <c r="ES67" i="9"/>
  <c r="AJ33" i="8"/>
  <c r="BI33" i="9"/>
  <c r="W33" i="8" s="1"/>
  <c r="BK33" i="8" s="1"/>
  <c r="BI79" i="9"/>
  <c r="AJ79" i="8"/>
  <c r="EG84" i="9"/>
  <c r="EG22" i="9"/>
  <c r="ES22" i="9"/>
  <c r="ER22" i="9"/>
  <c r="EG27" i="9"/>
  <c r="EF27" i="9"/>
  <c r="ES65" i="9"/>
  <c r="EP67" i="9"/>
  <c r="EF50" i="9"/>
  <c r="EG50" i="9"/>
  <c r="S61" i="8"/>
  <c r="S27" i="8"/>
  <c r="EP72" i="9"/>
  <c r="EC33" i="9"/>
  <c r="EE33" i="9" s="1"/>
  <c r="EU22" i="9"/>
  <c r="EV75" i="9"/>
  <c r="EU75" i="9"/>
  <c r="Z65" i="9"/>
  <c r="EV65" i="9"/>
  <c r="EU65" i="9"/>
  <c r="DW54" i="9"/>
  <c r="DX54" i="9" s="1"/>
  <c r="EC53" i="9"/>
  <c r="DW53" i="9"/>
  <c r="BR20" i="9"/>
  <c r="EC20" i="9"/>
  <c r="ED20" i="9" s="1"/>
  <c r="DW20" i="9"/>
  <c r="DX20" i="9" s="1"/>
  <c r="EV10" i="9"/>
  <c r="EU10" i="9"/>
  <c r="EV16" i="9"/>
  <c r="AF16" i="8"/>
  <c r="FF16" i="8" s="1"/>
  <c r="Z16" i="9"/>
  <c r="AA16" i="9" s="1"/>
  <c r="S16" i="8"/>
  <c r="BG16" i="8" s="1"/>
  <c r="EC28" i="9"/>
  <c r="ED28" i="9" s="1"/>
  <c r="DW28" i="9"/>
  <c r="BR28" i="9"/>
  <c r="BT78" i="9"/>
  <c r="EC78" i="9"/>
  <c r="DW78" i="9"/>
  <c r="DY78" i="9" s="1"/>
  <c r="BR78" i="9"/>
  <c r="AR19" i="9"/>
  <c r="EV19" i="9"/>
  <c r="EU19" i="9"/>
  <c r="S19" i="8"/>
  <c r="EG53" i="9"/>
  <c r="DT9" i="9"/>
  <c r="DZ9" i="9"/>
  <c r="EA9" i="9" s="1"/>
  <c r="BS9" i="9"/>
  <c r="BQ9" i="9"/>
  <c r="DZ51" i="9"/>
  <c r="EV60" i="9"/>
  <c r="Y36" i="9"/>
  <c r="EU36" i="9"/>
  <c r="EV36" i="9"/>
  <c r="DW30" i="9"/>
  <c r="DX30" i="9" s="1"/>
  <c r="EU35" i="9"/>
  <c r="BS78" i="9"/>
  <c r="DZ78" i="9"/>
  <c r="DT78" i="9"/>
  <c r="DV78" i="9" s="1"/>
  <c r="BR23" i="9"/>
  <c r="DW23" i="9"/>
  <c r="DY23" i="9" s="1"/>
  <c r="EC23" i="9"/>
  <c r="ED23" i="9" s="1"/>
  <c r="DW37" i="9"/>
  <c r="DY37" i="9" s="1"/>
  <c r="DZ21" i="9"/>
  <c r="EA21" i="9" s="1"/>
  <c r="BT57" i="9"/>
  <c r="EC57" i="9"/>
  <c r="DW57" i="9"/>
  <c r="EC21" i="9"/>
  <c r="BT55" i="9"/>
  <c r="DW55" i="9"/>
  <c r="DY55" i="9" s="1"/>
  <c r="BR46" i="9"/>
  <c r="DW46" i="9"/>
  <c r="AF7" i="8"/>
  <c r="ED7" i="8" s="1"/>
  <c r="EN7" i="8" s="1"/>
  <c r="EU7" i="9"/>
  <c r="EV7" i="9"/>
  <c r="DW25" i="9"/>
  <c r="EV79" i="9"/>
  <c r="EU79" i="9"/>
  <c r="DW13" i="9"/>
  <c r="DX13" i="9" s="1"/>
  <c r="BT62" i="9"/>
  <c r="EC62" i="9"/>
  <c r="DW62" i="9"/>
  <c r="DT38" i="9"/>
  <c r="DZ53" i="9"/>
  <c r="DT53" i="9"/>
  <c r="DU53" i="9" s="1"/>
  <c r="DZ74" i="9"/>
  <c r="EA74" i="9" s="1"/>
  <c r="DT74" i="9"/>
  <c r="DV74" i="9" s="1"/>
  <c r="BT22" i="9"/>
  <c r="EC22" i="9"/>
  <c r="ED22" i="9" s="1"/>
  <c r="DW22" i="9"/>
  <c r="DW5" i="9"/>
  <c r="DX5" i="9" s="1"/>
  <c r="BT70" i="9"/>
  <c r="EC70" i="9"/>
  <c r="DW70" i="9"/>
  <c r="DW71" i="9"/>
  <c r="EC71" i="9"/>
  <c r="DW84" i="9"/>
  <c r="EV11" i="9"/>
  <c r="EU11" i="9"/>
  <c r="DW12" i="9"/>
  <c r="ER63" i="9"/>
  <c r="DW72" i="9"/>
  <c r="DY72" i="9" s="1"/>
  <c r="EV18" i="9"/>
  <c r="EU18" i="9"/>
  <c r="EV27" i="9"/>
  <c r="EU27" i="9"/>
  <c r="ES78" i="9"/>
  <c r="EG42" i="9"/>
  <c r="EG13" i="9"/>
  <c r="EQ39" i="9"/>
  <c r="EQ47" i="9"/>
  <c r="EG52" i="9"/>
  <c r="EG78" i="9"/>
  <c r="EF13" i="9"/>
  <c r="DT79" i="9"/>
  <c r="DV79" i="9" s="1"/>
  <c r="DT82" i="9"/>
  <c r="DV82" i="9" s="1"/>
  <c r="BS36" i="9"/>
  <c r="DT36" i="9"/>
  <c r="DZ36" i="9"/>
  <c r="BQ36" i="9"/>
  <c r="DZ14" i="9"/>
  <c r="DT14" i="9"/>
  <c r="BS14" i="9"/>
  <c r="EU26" i="9"/>
  <c r="EU37" i="9"/>
  <c r="EV37" i="9"/>
  <c r="EU71" i="9"/>
  <c r="EV71" i="9"/>
  <c r="BR31" i="9"/>
  <c r="EU32" i="9"/>
  <c r="EV32" i="9"/>
  <c r="BR38" i="9"/>
  <c r="DW38" i="9"/>
  <c r="BR60" i="9"/>
  <c r="DW60" i="9"/>
  <c r="EC60" i="9"/>
  <c r="ED60" i="9" s="1"/>
  <c r="EC35" i="9"/>
  <c r="DW35" i="9"/>
  <c r="DW59" i="9"/>
  <c r="DX59" i="9" s="1"/>
  <c r="EC19" i="9"/>
  <c r="ED19" i="9" s="1"/>
  <c r="DW19" i="9"/>
  <c r="BT50" i="9"/>
  <c r="DW58" i="9"/>
  <c r="DY58" i="9" s="1"/>
  <c r="EQ33" i="9"/>
  <c r="ER33" i="9"/>
  <c r="EV66" i="9"/>
  <c r="EU66" i="9"/>
  <c r="EC15" i="9"/>
  <c r="DW15" i="9"/>
  <c r="EC43" i="9"/>
  <c r="DW43" i="9"/>
  <c r="DZ39" i="9"/>
  <c r="DT39" i="9"/>
  <c r="DU39" i="9" s="1"/>
  <c r="EC7" i="9"/>
  <c r="DW7" i="9"/>
  <c r="DY7" i="9" s="1"/>
  <c r="BT73" i="9"/>
  <c r="DW73" i="9"/>
  <c r="DW68" i="9"/>
  <c r="DX68" i="9" s="1"/>
  <c r="EC68" i="9"/>
  <c r="ED68" i="9" s="1"/>
  <c r="DW80" i="9"/>
  <c r="DX80" i="9" s="1"/>
  <c r="EC80" i="9"/>
  <c r="EV23" i="9"/>
  <c r="EC14" i="9"/>
  <c r="DW14" i="9"/>
  <c r="EU77" i="9"/>
  <c r="EV77" i="9"/>
  <c r="ES40" i="9"/>
  <c r="EG40" i="9"/>
  <c r="EP47" i="9"/>
  <c r="EG48" i="9"/>
  <c r="DT26" i="9"/>
  <c r="DU26" i="9" s="1"/>
  <c r="DZ26" i="9"/>
  <c r="BS16" i="9"/>
  <c r="DZ16" i="9"/>
  <c r="EA16" i="9" s="1"/>
  <c r="DT16" i="9"/>
  <c r="BS67" i="9"/>
  <c r="DZ67" i="9"/>
  <c r="DT67" i="9"/>
  <c r="DU67" i="9" s="1"/>
  <c r="EF73" i="9"/>
  <c r="EF9" i="9"/>
  <c r="BS54" i="9"/>
  <c r="EF14" i="9"/>
  <c r="DT48" i="9"/>
  <c r="DU48" i="9" s="1"/>
  <c r="DZ48" i="9"/>
  <c r="EA48" i="9" s="1"/>
  <c r="S31" i="8"/>
  <c r="DZ31" i="9"/>
  <c r="EA31" i="9" s="1"/>
  <c r="DT31" i="9"/>
  <c r="DV31" i="9" s="1"/>
  <c r="EU9" i="9"/>
  <c r="EV9" i="9"/>
  <c r="EC26" i="9"/>
  <c r="DW26" i="9"/>
  <c r="DX26" i="9" s="1"/>
  <c r="EU46" i="9"/>
  <c r="EV46" i="9"/>
  <c r="DW18" i="9"/>
  <c r="EC18" i="9"/>
  <c r="DT29" i="9"/>
  <c r="DZ29" i="9"/>
  <c r="EB29" i="9" s="1"/>
  <c r="BQ7" i="9"/>
  <c r="DZ7" i="9"/>
  <c r="EA7" i="9" s="1"/>
  <c r="DT7" i="9"/>
  <c r="DV7" i="9" s="1"/>
  <c r="BR32" i="9"/>
  <c r="EC32" i="9"/>
  <c r="EE32" i="9" s="1"/>
  <c r="DW32" i="9"/>
  <c r="EC40" i="9"/>
  <c r="DW40" i="9"/>
  <c r="DY40" i="9" s="1"/>
  <c r="DW44" i="9"/>
  <c r="DY44" i="9" s="1"/>
  <c r="DW63" i="9"/>
  <c r="DY63" i="9" s="1"/>
  <c r="DW45" i="9"/>
  <c r="DY45" i="9" s="1"/>
  <c r="EC61" i="9"/>
  <c r="DW61" i="9"/>
  <c r="DX61" i="9" s="1"/>
  <c r="BT47" i="9"/>
  <c r="EC47" i="9"/>
  <c r="DW47" i="9"/>
  <c r="DX47" i="9" s="1"/>
  <c r="EC49" i="9"/>
  <c r="EE49" i="9" s="1"/>
  <c r="DW49" i="9"/>
  <c r="EU4" i="9"/>
  <c r="EV4" i="9"/>
  <c r="EU6" i="9"/>
  <c r="EV17" i="9"/>
  <c r="CA35" i="9"/>
  <c r="EU81" i="9"/>
  <c r="EC51" i="9"/>
  <c r="DW51" i="9"/>
  <c r="DY51" i="9" s="1"/>
  <c r="EC4" i="9"/>
  <c r="EE4" i="9" s="1"/>
  <c r="DW4" i="9"/>
  <c r="EC24" i="9"/>
  <c r="ED24" i="9" s="1"/>
  <c r="DW24" i="9"/>
  <c r="EC11" i="9"/>
  <c r="ED11" i="9" s="1"/>
  <c r="DW11" i="9"/>
  <c r="DY11" i="9" s="1"/>
  <c r="DW66" i="9"/>
  <c r="DW82" i="9"/>
  <c r="DY82" i="9" s="1"/>
  <c r="DW10" i="9"/>
  <c r="DY10" i="9" s="1"/>
  <c r="DW75" i="9"/>
  <c r="DX75" i="9" s="1"/>
  <c r="EC75" i="9"/>
  <c r="ED75" i="9" s="1"/>
  <c r="EQ45" i="9"/>
  <c r="EP45" i="9"/>
  <c r="EC16" i="9"/>
  <c r="DW16" i="9"/>
  <c r="DX16" i="9" s="1"/>
  <c r="CA38" i="9"/>
  <c r="DW65" i="9"/>
  <c r="DX65" i="9" s="1"/>
  <c r="EC65" i="9"/>
  <c r="ED65" i="9" s="1"/>
  <c r="ES9" i="9"/>
  <c r="ER78" i="9"/>
  <c r="EG57" i="9"/>
  <c r="DW83" i="9"/>
  <c r="DX83" i="9" s="1"/>
  <c r="BT83" i="9"/>
  <c r="DZ61" i="9"/>
  <c r="EA61" i="9" s="1"/>
  <c r="DT61" i="9"/>
  <c r="DV61" i="9" s="1"/>
  <c r="DT23" i="9"/>
  <c r="DT44" i="9"/>
  <c r="DU44" i="9" s="1"/>
  <c r="DZ44" i="9"/>
  <c r="EB44" i="9" s="1"/>
  <c r="DT76" i="9"/>
  <c r="DV76" i="9" s="1"/>
  <c r="BQ33" i="9"/>
  <c r="BU33" i="9" s="1"/>
  <c r="DZ33" i="9"/>
  <c r="DT33" i="9"/>
  <c r="BS33" i="9"/>
  <c r="U33" i="8" s="1"/>
  <c r="BI33" i="8" s="1"/>
  <c r="DZ68" i="9"/>
  <c r="S14" i="8"/>
  <c r="G12" i="11"/>
  <c r="EK5" i="8"/>
  <c r="CW52" i="8"/>
  <c r="CW66" i="8"/>
  <c r="CW6" i="8"/>
  <c r="CW24" i="8"/>
  <c r="CW29" i="8"/>
  <c r="CW37" i="8"/>
  <c r="CW49" i="8"/>
  <c r="CW60" i="8"/>
  <c r="CW72" i="8"/>
  <c r="CW74" i="8"/>
  <c r="CW5" i="8"/>
  <c r="CW31" i="8"/>
  <c r="CW39" i="8"/>
  <c r="CW70" i="8"/>
  <c r="CW80" i="8"/>
  <c r="CW81" i="8"/>
  <c r="CW9" i="8"/>
  <c r="CW22" i="8"/>
  <c r="CW46" i="8"/>
  <c r="CW56" i="8"/>
  <c r="CW8" i="8"/>
  <c r="CW28" i="8"/>
  <c r="CW50" i="8"/>
  <c r="CW76" i="8"/>
  <c r="CW82" i="8"/>
  <c r="CW54" i="8"/>
  <c r="CW73" i="8"/>
  <c r="CW10" i="8"/>
  <c r="CW20" i="8"/>
  <c r="CW36" i="8"/>
  <c r="CW48" i="8"/>
  <c r="CW58" i="8"/>
  <c r="CW63" i="8"/>
  <c r="CW25" i="8"/>
  <c r="CW44" i="8"/>
  <c r="CW69" i="8"/>
  <c r="CW65" i="8"/>
  <c r="CW12" i="8"/>
  <c r="CW23" i="8"/>
  <c r="CW32" i="8"/>
  <c r="CW61" i="8"/>
  <c r="CW79" i="8"/>
  <c r="CW14" i="8"/>
  <c r="CW41" i="8"/>
  <c r="CW38" i="8"/>
  <c r="CW4" i="8"/>
  <c r="CW15" i="8"/>
  <c r="CW17" i="8"/>
  <c r="CW30" i="8"/>
  <c r="CW53" i="8"/>
  <c r="CW64" i="8"/>
  <c r="CW78" i="8"/>
  <c r="CW84" i="8"/>
  <c r="CW16" i="8"/>
  <c r="CW33" i="8"/>
  <c r="CW45" i="8"/>
  <c r="CW77" i="8"/>
  <c r="CW7" i="8"/>
  <c r="CW13" i="8"/>
  <c r="CW21" i="8"/>
  <c r="CW26" i="8"/>
  <c r="CW34" i="8"/>
  <c r="CW40" i="8"/>
  <c r="CW47" i="8"/>
  <c r="CW55" i="8"/>
  <c r="BT60" i="9"/>
  <c r="H80" i="8"/>
  <c r="AU80" i="8" s="1"/>
  <c r="S39" i="8"/>
  <c r="BG39" i="8" s="1"/>
  <c r="AH42" i="8"/>
  <c r="AJ6" i="8"/>
  <c r="BI6" i="9"/>
  <c r="BR68" i="9"/>
  <c r="AR23" i="9"/>
  <c r="AF23" i="8"/>
  <c r="ED23" i="8" s="1"/>
  <c r="FX23" i="8" s="1"/>
  <c r="BT38" i="9"/>
  <c r="BR49" i="9"/>
  <c r="H60" i="8"/>
  <c r="AU60" i="8" s="1"/>
  <c r="AF81" i="8"/>
  <c r="BT81" i="8" s="1"/>
  <c r="BT19" i="9"/>
  <c r="BR19" i="9"/>
  <c r="AR66" i="9"/>
  <c r="BT51" i="9"/>
  <c r="BR51" i="9"/>
  <c r="S57" i="8"/>
  <c r="BT23" i="9"/>
  <c r="BT56" i="9"/>
  <c r="AF22" i="8"/>
  <c r="AR22" i="9"/>
  <c r="Z7" i="9"/>
  <c r="AA7" i="9" s="1"/>
  <c r="BQ57" i="9"/>
  <c r="Y81" i="9"/>
  <c r="BT32" i="9"/>
  <c r="AH41" i="8"/>
  <c r="BV41" i="8" s="1"/>
  <c r="BS49" i="9"/>
  <c r="U49" i="8" s="1"/>
  <c r="BI49" i="8" s="1"/>
  <c r="BT7" i="9"/>
  <c r="BR7" i="9"/>
  <c r="BT6" i="9"/>
  <c r="BR6" i="9"/>
  <c r="AF11" i="8"/>
  <c r="BT11" i="8" s="1"/>
  <c r="AR11" i="9"/>
  <c r="AB38" i="9"/>
  <c r="Z38" i="9"/>
  <c r="AA38" i="9" s="1"/>
  <c r="CQ38" i="9" s="1"/>
  <c r="BR65" i="9"/>
  <c r="BT84" i="9"/>
  <c r="BR84" i="9"/>
  <c r="H45" i="8"/>
  <c r="AU45" i="8" s="1"/>
  <c r="AH45" i="8"/>
  <c r="BV45" i="8" s="1"/>
  <c r="BT12" i="9"/>
  <c r="BR12" i="9"/>
  <c r="BT52" i="9"/>
  <c r="BR52" i="9"/>
  <c r="BT5" i="9"/>
  <c r="BR5" i="9"/>
  <c r="AF25" i="8"/>
  <c r="FF25" i="8" s="1"/>
  <c r="AF19" i="8"/>
  <c r="FF19" i="8" s="1"/>
  <c r="S38" i="8"/>
  <c r="EX38" i="9" s="1"/>
  <c r="BQ38" i="9"/>
  <c r="BS74" i="9"/>
  <c r="S74" i="8"/>
  <c r="EW74" i="9" s="1"/>
  <c r="BT66" i="9"/>
  <c r="BR66" i="9"/>
  <c r="BT82" i="9"/>
  <c r="BR82" i="9"/>
  <c r="BT10" i="9"/>
  <c r="BR10" i="9"/>
  <c r="AF64" i="8"/>
  <c r="FF64" i="8" s="1"/>
  <c r="H49" i="8"/>
  <c r="AU49" i="8" s="1"/>
  <c r="AH49" i="8"/>
  <c r="FH49" i="8" s="1"/>
  <c r="AB80" i="9"/>
  <c r="CZ80" i="9" s="1"/>
  <c r="AR10" i="9"/>
  <c r="Y10" i="9"/>
  <c r="AF10" i="8"/>
  <c r="Z10" i="9"/>
  <c r="AR68" i="9"/>
  <c r="AH55" i="8"/>
  <c r="BV55" i="8" s="1"/>
  <c r="BT49" i="9"/>
  <c r="AJ66" i="8"/>
  <c r="AR32" i="9"/>
  <c r="AF32" i="8"/>
  <c r="BT32" i="8" s="1"/>
  <c r="BR35" i="9"/>
  <c r="BT35" i="9"/>
  <c r="BR47" i="9"/>
  <c r="AR7" i="9"/>
  <c r="AF8" i="8"/>
  <c r="CA33" i="9"/>
  <c r="AR16" i="9"/>
  <c r="BT63" i="9"/>
  <c r="BR63" i="9"/>
  <c r="BR21" i="9"/>
  <c r="AR65" i="9"/>
  <c r="AF65" i="8"/>
  <c r="FF65" i="8" s="1"/>
  <c r="Y65" i="9"/>
  <c r="BT58" i="9"/>
  <c r="AB73" i="9"/>
  <c r="AC73" i="9" s="1"/>
  <c r="AF4" i="8"/>
  <c r="FF4" i="8" s="1"/>
  <c r="AR4" i="9"/>
  <c r="AR17" i="9"/>
  <c r="CA57" i="9"/>
  <c r="S36" i="8"/>
  <c r="AR36" i="9"/>
  <c r="AF68" i="8"/>
  <c r="BT68" i="8" s="1"/>
  <c r="BI63" i="9"/>
  <c r="Q63" i="8" s="1"/>
  <c r="BE63" i="8" s="1"/>
  <c r="CA22" i="9"/>
  <c r="BT20" i="9"/>
  <c r="Y64" i="9"/>
  <c r="BR29" i="9"/>
  <c r="Z36" i="9"/>
  <c r="AA36" i="9" s="1"/>
  <c r="Y37" i="9"/>
  <c r="AR37" i="9"/>
  <c r="Z68" i="9"/>
  <c r="AA68" i="9" s="1"/>
  <c r="Z71" i="9"/>
  <c r="AA71" i="9" s="1"/>
  <c r="AF84" i="8"/>
  <c r="FF84" i="8" s="1"/>
  <c r="BR61" i="9"/>
  <c r="BT61" i="9"/>
  <c r="H78" i="11"/>
  <c r="G78" i="11"/>
  <c r="BR37" i="9"/>
  <c r="BI17" i="9"/>
  <c r="Q17" i="8" s="1"/>
  <c r="BE17" i="8" s="1"/>
  <c r="AB50" i="9"/>
  <c r="AD50" i="9" s="1"/>
  <c r="Y50" i="9"/>
  <c r="AF6" i="8"/>
  <c r="Z6" i="9"/>
  <c r="AF12" i="8"/>
  <c r="FF12" i="8" s="1"/>
  <c r="BR50" i="9"/>
  <c r="G13" i="11"/>
  <c r="H13" i="11"/>
  <c r="AR75" i="9"/>
  <c r="AF75" i="8"/>
  <c r="H43" i="8"/>
  <c r="AU43" i="8" s="1"/>
  <c r="AH43" i="8"/>
  <c r="FH43" i="8" s="1"/>
  <c r="BQ27" i="9"/>
  <c r="AR60" i="9"/>
  <c r="AF60" i="8"/>
  <c r="BT60" i="8" s="1"/>
  <c r="H8" i="8"/>
  <c r="AU8" i="8" s="1"/>
  <c r="AJ5" i="8"/>
  <c r="BX5" i="8" s="1"/>
  <c r="CA60" i="9"/>
  <c r="S26" i="8"/>
  <c r="BT30" i="9"/>
  <c r="H4" i="8"/>
  <c r="AU4" i="8" s="1"/>
  <c r="AR35" i="9"/>
  <c r="AF35" i="8"/>
  <c r="BT35" i="8" s="1"/>
  <c r="S7" i="8"/>
  <c r="G84" i="11"/>
  <c r="H84" i="11"/>
  <c r="BR18" i="9"/>
  <c r="BR67" i="9"/>
  <c r="BT67" i="9"/>
  <c r="AF5" i="8"/>
  <c r="FF5" i="8" s="1"/>
  <c r="Y5" i="9"/>
  <c r="AR5" i="9"/>
  <c r="AR21" i="9"/>
  <c r="AF21" i="8"/>
  <c r="FF21" i="8" s="1"/>
  <c r="BQ41" i="9"/>
  <c r="AR80" i="9"/>
  <c r="AF80" i="8"/>
  <c r="H72" i="8"/>
  <c r="AU72" i="8" s="1"/>
  <c r="AH38" i="8"/>
  <c r="BV38" i="8" s="1"/>
  <c r="H38" i="8"/>
  <c r="AU38" i="8" s="1"/>
  <c r="BI38" i="9"/>
  <c r="W38" i="8" s="1"/>
  <c r="BK38" i="8" s="1"/>
  <c r="AJ38" i="8"/>
  <c r="BT36" i="9"/>
  <c r="BR36" i="9"/>
  <c r="BT64" i="9"/>
  <c r="BR64" i="9"/>
  <c r="H6" i="8"/>
  <c r="AU6" i="8" s="1"/>
  <c r="BT18" i="9"/>
  <c r="BQ31" i="9"/>
  <c r="BS31" i="9"/>
  <c r="S76" i="8"/>
  <c r="Y9" i="9"/>
  <c r="S9" i="8"/>
  <c r="BT26" i="9"/>
  <c r="BR26" i="9"/>
  <c r="AR46" i="9"/>
  <c r="AF46" i="8"/>
  <c r="BT34" i="9"/>
  <c r="BR34" i="9"/>
  <c r="AB4" i="9"/>
  <c r="CZ4" i="9" s="1"/>
  <c r="Y4" i="9"/>
  <c r="BT8" i="9"/>
  <c r="BR8" i="9"/>
  <c r="AR33" i="9"/>
  <c r="AF33" i="8"/>
  <c r="BT33" i="8" s="1"/>
  <c r="AR61" i="9"/>
  <c r="F61" i="8" s="1"/>
  <c r="AS61" i="8" s="1"/>
  <c r="AF61" i="8"/>
  <c r="FF61" i="8" s="1"/>
  <c r="AH34" i="8"/>
  <c r="BT33" i="9"/>
  <c r="CA84" i="9"/>
  <c r="BT27" i="9"/>
  <c r="BT39" i="9"/>
  <c r="CA6" i="9"/>
  <c r="CA58" i="9"/>
  <c r="AB72" i="9"/>
  <c r="CZ72" i="9" s="1"/>
  <c r="Z72" i="9"/>
  <c r="Y72" i="9"/>
  <c r="BR27" i="9"/>
  <c r="H67" i="8"/>
  <c r="AU67" i="8" s="1"/>
  <c r="AJ59" i="8"/>
  <c r="Z21" i="9"/>
  <c r="AB21" i="9"/>
  <c r="CY21" i="9" s="1"/>
  <c r="Y21" i="9"/>
  <c r="AH48" i="8"/>
  <c r="H48" i="8"/>
  <c r="AU48" i="8" s="1"/>
  <c r="AB25" i="9"/>
  <c r="AC25" i="9" s="1"/>
  <c r="Y25" i="9"/>
  <c r="Z25" i="9"/>
  <c r="BT49" i="8"/>
  <c r="FF28" i="8"/>
  <c r="ED29" i="8"/>
  <c r="FX29" i="8" s="1"/>
  <c r="FF83" i="8"/>
  <c r="FF58" i="8"/>
  <c r="BT51" i="8"/>
  <c r="ED14" i="8"/>
  <c r="EN14" i="8" s="1"/>
  <c r="ED71" i="8"/>
  <c r="FX71" i="8" s="1"/>
  <c r="ED72" i="8"/>
  <c r="FX72" i="8" s="1"/>
  <c r="BT34" i="8"/>
  <c r="FF62" i="8"/>
  <c r="BT69" i="8"/>
  <c r="ED20" i="8"/>
  <c r="BG48" i="8"/>
  <c r="U81" i="9"/>
  <c r="AF81" i="9" s="1"/>
  <c r="AC16" i="9"/>
  <c r="DG16" i="9" s="1"/>
  <c r="U50" i="9"/>
  <c r="U8" i="9"/>
  <c r="U38" i="9"/>
  <c r="CZ7" i="9"/>
  <c r="CZ10" i="9"/>
  <c r="FF14" i="8"/>
  <c r="BT14" i="8"/>
  <c r="CZ81" i="9"/>
  <c r="FH61" i="8"/>
  <c r="ED34" i="8"/>
  <c r="FX34" i="8" s="1"/>
  <c r="ED28" i="8"/>
  <c r="EN28" i="8" s="1"/>
  <c r="FF54" i="8"/>
  <c r="BT83" i="8"/>
  <c r="BT54" i="8"/>
  <c r="ED83" i="8"/>
  <c r="FX83" i="8" s="1"/>
  <c r="FF72" i="8"/>
  <c r="ED62" i="8"/>
  <c r="BT20" i="8"/>
  <c r="BT62" i="8"/>
  <c r="BT28" i="8"/>
  <c r="FH26" i="8"/>
  <c r="DX17" i="9"/>
  <c r="DY17" i="9"/>
  <c r="FK74" i="9"/>
  <c r="BX74" i="8"/>
  <c r="Q67" i="8"/>
  <c r="BE67" i="8" s="1"/>
  <c r="BT29" i="8"/>
  <c r="FF29" i="8"/>
  <c r="BX14" i="8"/>
  <c r="Q55" i="8"/>
  <c r="BE55" i="8" s="1"/>
  <c r="EX48" i="9"/>
  <c r="FF82" i="8"/>
  <c r="ED82" i="8"/>
  <c r="FF74" i="8"/>
  <c r="ED74" i="8"/>
  <c r="EN74" i="8" s="1"/>
  <c r="FF47" i="8"/>
  <c r="BT47" i="8"/>
  <c r="ED49" i="8"/>
  <c r="FX49" i="8" s="1"/>
  <c r="FF49" i="8"/>
  <c r="ED63" i="8"/>
  <c r="FX63" i="8" s="1"/>
  <c r="FF63" i="8"/>
  <c r="BT74" i="8"/>
  <c r="BG82" i="8"/>
  <c r="EX82" i="9"/>
  <c r="BU61" i="9"/>
  <c r="W12" i="8"/>
  <c r="BK12" i="8" s="1"/>
  <c r="BT63" i="8"/>
  <c r="FF48" i="8"/>
  <c r="BT48" i="8"/>
  <c r="ED48" i="8"/>
  <c r="EN48" i="8" s="1"/>
  <c r="FF57" i="8"/>
  <c r="ED57" i="8"/>
  <c r="EN57" i="8" s="1"/>
  <c r="BT57" i="8"/>
  <c r="BT38" i="8"/>
  <c r="ED38" i="8"/>
  <c r="FX38" i="8" s="1"/>
  <c r="FF38" i="8"/>
  <c r="BV17" i="8"/>
  <c r="BT71" i="8"/>
  <c r="FF20" i="8"/>
  <c r="FH12" i="8"/>
  <c r="ED58" i="8"/>
  <c r="FX58" i="8" s="1"/>
  <c r="FH35" i="8"/>
  <c r="BT58" i="8"/>
  <c r="W64" i="8"/>
  <c r="BK64" i="8" s="1"/>
  <c r="AJ47" i="9"/>
  <c r="AD7" i="9"/>
  <c r="AC81" i="9"/>
  <c r="FF30" i="8"/>
  <c r="ED30" i="8"/>
  <c r="FX30" i="8" s="1"/>
  <c r="BT30" i="8"/>
  <c r="BX72" i="8"/>
  <c r="BV25" i="8"/>
  <c r="FH25" i="8"/>
  <c r="AJ16" i="9"/>
  <c r="DB16" i="9" s="1"/>
  <c r="Q50" i="8"/>
  <c r="BE50" i="8" s="1"/>
  <c r="EW82" i="9"/>
  <c r="DU19" i="9"/>
  <c r="AD81" i="9"/>
  <c r="CY81" i="9"/>
  <c r="AE81" i="9"/>
  <c r="DC81" i="9" s="1"/>
  <c r="CZ69" i="9"/>
  <c r="CY69" i="9"/>
  <c r="AJ64" i="9"/>
  <c r="AD78" i="9"/>
  <c r="AD9" i="9"/>
  <c r="AK9" i="9" s="1"/>
  <c r="CY9" i="9"/>
  <c r="AD10" i="9"/>
  <c r="AK10" i="9" s="1"/>
  <c r="CZ8" i="9"/>
  <c r="FF71" i="8"/>
  <c r="BG19" i="8"/>
  <c r="FF81" i="8"/>
  <c r="FF8" i="8"/>
  <c r="FF22" i="8"/>
  <c r="FF23" i="8"/>
  <c r="FF60" i="8"/>
  <c r="BX79" i="8"/>
  <c r="FK79" i="9"/>
  <c r="BX37" i="8"/>
  <c r="FK37" i="9"/>
  <c r="BX50" i="8"/>
  <c r="BX65" i="8"/>
  <c r="BX73" i="8"/>
  <c r="FK73" i="9"/>
  <c r="FH45" i="8"/>
  <c r="ED68" i="8"/>
  <c r="FF68" i="8"/>
  <c r="FH50" i="8"/>
  <c r="FF7" i="8"/>
  <c r="BV13" i="8"/>
  <c r="BV27" i="8"/>
  <c r="BV49" i="8"/>
  <c r="BV58" i="8"/>
  <c r="ED16" i="8"/>
  <c r="BV59" i="8"/>
  <c r="BX80" i="8"/>
  <c r="BT16" i="8"/>
  <c r="EW19" i="9"/>
  <c r="EX19" i="9"/>
  <c r="CY36" i="9"/>
  <c r="BU9" i="9"/>
  <c r="W9" i="8"/>
  <c r="BK9" i="8" s="1"/>
  <c r="DX24" i="9"/>
  <c r="DY24" i="9"/>
  <c r="ED49" i="9"/>
  <c r="DY18" i="9"/>
  <c r="DX18" i="9"/>
  <c r="EE43" i="9"/>
  <c r="ED43" i="9"/>
  <c r="DY71" i="9"/>
  <c r="DX71" i="9"/>
  <c r="DY25" i="9"/>
  <c r="DX25" i="9"/>
  <c r="ED53" i="9"/>
  <c r="EE53" i="9"/>
  <c r="ED36" i="9"/>
  <c r="EX27" i="9"/>
  <c r="DU33" i="9"/>
  <c r="DV33" i="9"/>
  <c r="EA44" i="9"/>
  <c r="DU61" i="9"/>
  <c r="DY83" i="9"/>
  <c r="DY16" i="9"/>
  <c r="EE75" i="9"/>
  <c r="EE11" i="9"/>
  <c r="EE41" i="9"/>
  <c r="DY47" i="9"/>
  <c r="EE63" i="9"/>
  <c r="EA29" i="9"/>
  <c r="EB26" i="9"/>
  <c r="EA26" i="9"/>
  <c r="DY68" i="9"/>
  <c r="DV49" i="9"/>
  <c r="DY15" i="9"/>
  <c r="DX15" i="9"/>
  <c r="EA36" i="9"/>
  <c r="EB36" i="9"/>
  <c r="DU82" i="9"/>
  <c r="DY13" i="9"/>
  <c r="DX57" i="9"/>
  <c r="DY57" i="9"/>
  <c r="DX23" i="9"/>
  <c r="ED17" i="9"/>
  <c r="EE17" i="9"/>
  <c r="DY20" i="9"/>
  <c r="DX33" i="9"/>
  <c r="W79" i="8"/>
  <c r="BK79" i="8" s="1"/>
  <c r="Q79" i="8"/>
  <c r="BE79" i="8" s="1"/>
  <c r="Q80" i="8"/>
  <c r="BE80" i="8" s="1"/>
  <c r="W80" i="8"/>
  <c r="BK80" i="8" s="1"/>
  <c r="ED29" i="9"/>
  <c r="EE29" i="9"/>
  <c r="DY39" i="9"/>
  <c r="DY9" i="9"/>
  <c r="ED52" i="9"/>
  <c r="EE52" i="9"/>
  <c r="EE8" i="9"/>
  <c r="ED8" i="9"/>
  <c r="ED34" i="9"/>
  <c r="EE34" i="9"/>
  <c r="ED42" i="9"/>
  <c r="EE42" i="9"/>
  <c r="ED64" i="9"/>
  <c r="EE64" i="9"/>
  <c r="ED26" i="9"/>
  <c r="EE26" i="9"/>
  <c r="DU31" i="9"/>
  <c r="EB39" i="9"/>
  <c r="EA39" i="9"/>
  <c r="DU74" i="9"/>
  <c r="DX77" i="9"/>
  <c r="DY77" i="9"/>
  <c r="DY29" i="9"/>
  <c r="DX34" i="9"/>
  <c r="DY34" i="9"/>
  <c r="EE27" i="9"/>
  <c r="EA33" i="9"/>
  <c r="EB33" i="9"/>
  <c r="EB61" i="9"/>
  <c r="ED16" i="9"/>
  <c r="EE16" i="9"/>
  <c r="DX82" i="9"/>
  <c r="DX66" i="9"/>
  <c r="DY66" i="9"/>
  <c r="ED4" i="9"/>
  <c r="ED61" i="9"/>
  <c r="EE61" i="9"/>
  <c r="DX40" i="9"/>
  <c r="DY32" i="9"/>
  <c r="DX32" i="9"/>
  <c r="EB48" i="9"/>
  <c r="DV67" i="9"/>
  <c r="DY73" i="9"/>
  <c r="DX73" i="9"/>
  <c r="ED15" i="9"/>
  <c r="EE15" i="9"/>
  <c r="DY59" i="9"/>
  <c r="DY38" i="9"/>
  <c r="DX38" i="9"/>
  <c r="DX72" i="9"/>
  <c r="DY70" i="9"/>
  <c r="DX70" i="9"/>
  <c r="DY5" i="9"/>
  <c r="EE22" i="9"/>
  <c r="EE62" i="9"/>
  <c r="ED62" i="9"/>
  <c r="DX46" i="9"/>
  <c r="DY46" i="9"/>
  <c r="EE57" i="9"/>
  <c r="ED57" i="9"/>
  <c r="DY30" i="9"/>
  <c r="DX78" i="9"/>
  <c r="DX28" i="9"/>
  <c r="DY28" i="9"/>
  <c r="EE20" i="9"/>
  <c r="DY54" i="9"/>
  <c r="ED33" i="9"/>
  <c r="DX81" i="9"/>
  <c r="EE6" i="9"/>
  <c r="ED6" i="9"/>
  <c r="DY52" i="9"/>
  <c r="DX52" i="9"/>
  <c r="EE69" i="9"/>
  <c r="ED69" i="9"/>
  <c r="DX8" i="9"/>
  <c r="DY8" i="9"/>
  <c r="DX56" i="9"/>
  <c r="DY56" i="9"/>
  <c r="EB7" i="9"/>
  <c r="DX14" i="9"/>
  <c r="DY14" i="9"/>
  <c r="DY80" i="9"/>
  <c r="DX35" i="9"/>
  <c r="DY35" i="9"/>
  <c r="DY60" i="9"/>
  <c r="DX60" i="9"/>
  <c r="DY12" i="9"/>
  <c r="DX12" i="9"/>
  <c r="EB53" i="9"/>
  <c r="EA53" i="9"/>
  <c r="ED21" i="9"/>
  <c r="EE21" i="9"/>
  <c r="EE23" i="9"/>
  <c r="EA78" i="9"/>
  <c r="EB78" i="9"/>
  <c r="DX67" i="9"/>
  <c r="DY67" i="9"/>
  <c r="DY42" i="9"/>
  <c r="DX42" i="9"/>
  <c r="DY64" i="9"/>
  <c r="EW14" i="9"/>
  <c r="BG14" i="8"/>
  <c r="EX14" i="9"/>
  <c r="DU23" i="9"/>
  <c r="DV23" i="9"/>
  <c r="EE65" i="9"/>
  <c r="DX10" i="9"/>
  <c r="DY49" i="9"/>
  <c r="DX49" i="9"/>
  <c r="DX45" i="9"/>
  <c r="EE40" i="9"/>
  <c r="ED40" i="9"/>
  <c r="ED32" i="9"/>
  <c r="DV71" i="9"/>
  <c r="DU7" i="9"/>
  <c r="EE18" i="9"/>
  <c r="ED18" i="9"/>
  <c r="DY26" i="9"/>
  <c r="DV48" i="9"/>
  <c r="EA67" i="9"/>
  <c r="EB67" i="9"/>
  <c r="EB16" i="9"/>
  <c r="EE80" i="9"/>
  <c r="ED80" i="9"/>
  <c r="ED73" i="9"/>
  <c r="ED7" i="9"/>
  <c r="EE7" i="9"/>
  <c r="DV39" i="9"/>
  <c r="DX43" i="9"/>
  <c r="DY43" i="9"/>
  <c r="DX58" i="9"/>
  <c r="EE60" i="9"/>
  <c r="DV14" i="9"/>
  <c r="DU14" i="9"/>
  <c r="EE71" i="9"/>
  <c r="ED71" i="9"/>
  <c r="EE70" i="9"/>
  <c r="ED70" i="9"/>
  <c r="DV53" i="9"/>
  <c r="EB21" i="9"/>
  <c r="DU78" i="9"/>
  <c r="EB9" i="9"/>
  <c r="EE78" i="9"/>
  <c r="ED78" i="9"/>
  <c r="EE28" i="9"/>
  <c r="DX53" i="9"/>
  <c r="DY53" i="9"/>
  <c r="EE81" i="9"/>
  <c r="ED81" i="9"/>
  <c r="EE56" i="9"/>
  <c r="ED56" i="9"/>
  <c r="DY36" i="9"/>
  <c r="DX36" i="9"/>
  <c r="ED32" i="8"/>
  <c r="FX32" i="8" s="1"/>
  <c r="BT23" i="8"/>
  <c r="BT21" i="8"/>
  <c r="ED21" i="8"/>
  <c r="FX21" i="8" s="1"/>
  <c r="ED35" i="8"/>
  <c r="EN35" i="8" s="1"/>
  <c r="ED60" i="8"/>
  <c r="BT8" i="8"/>
  <c r="ED8" i="8"/>
  <c r="ED19" i="8"/>
  <c r="FX19" i="8" s="1"/>
  <c r="BT22" i="8"/>
  <c r="ED22" i="8"/>
  <c r="FX22" i="8" s="1"/>
  <c r="BT5" i="8"/>
  <c r="ED5" i="8"/>
  <c r="EN5" i="8" s="1"/>
  <c r="BT10" i="8"/>
  <c r="BT25" i="8"/>
  <c r="ED25" i="8"/>
  <c r="FX25" i="8" s="1"/>
  <c r="ED33" i="8"/>
  <c r="FX33" i="8" s="1"/>
  <c r="ED9" i="8"/>
  <c r="FX9" i="8" s="1"/>
  <c r="BT65" i="8"/>
  <c r="ED65" i="8"/>
  <c r="FX65" i="8" s="1"/>
  <c r="BT12" i="8"/>
  <c r="BT64" i="8"/>
  <c r="ED81" i="8"/>
  <c r="FX81" i="8" s="1"/>
  <c r="BX59" i="8"/>
  <c r="EX36" i="9"/>
  <c r="BG74" i="8"/>
  <c r="EX74" i="9"/>
  <c r="EW57" i="9"/>
  <c r="BX46" i="8"/>
  <c r="BX6" i="8"/>
  <c r="CZ38" i="9"/>
  <c r="CY38" i="9"/>
  <c r="AD38" i="9"/>
  <c r="AE38" i="9"/>
  <c r="DD38" i="9" s="1"/>
  <c r="AC38" i="9"/>
  <c r="AJ5" i="9"/>
  <c r="BG36" i="8"/>
  <c r="AD80" i="9"/>
  <c r="AK80" i="9" s="1"/>
  <c r="CY73" i="9"/>
  <c r="CZ73" i="9"/>
  <c r="AA6" i="9"/>
  <c r="CQ6" i="9" s="1"/>
  <c r="AC50" i="9"/>
  <c r="CY50" i="9"/>
  <c r="AE50" i="9"/>
  <c r="DC50" i="9" s="1"/>
  <c r="CZ50" i="9"/>
  <c r="AC4" i="9"/>
  <c r="AA4" i="9"/>
  <c r="CQ4" i="9" s="1"/>
  <c r="AA25" i="9"/>
  <c r="CQ25" i="9" s="1"/>
  <c r="CQ68" i="9"/>
  <c r="Q59" i="8"/>
  <c r="BE59" i="8" s="1"/>
  <c r="W59" i="8"/>
  <c r="BK59" i="8" s="1"/>
  <c r="CQ50" i="9"/>
  <c r="AA21" i="9"/>
  <c r="CQ21" i="9" s="1"/>
  <c r="CZ25" i="9"/>
  <c r="AD25" i="9"/>
  <c r="CY25" i="9"/>
  <c r="AE25" i="9"/>
  <c r="DC25" i="9" s="1"/>
  <c r="EN71" i="8"/>
  <c r="EN72" i="8"/>
  <c r="DH16" i="9"/>
  <c r="AM16" i="8" s="1"/>
  <c r="AF50" i="9"/>
  <c r="AF8" i="9"/>
  <c r="AF38" i="9"/>
  <c r="FX28" i="8"/>
  <c r="EN34" i="8"/>
  <c r="EN49" i="8"/>
  <c r="FX74" i="8"/>
  <c r="EN38" i="8"/>
  <c r="FX57" i="8"/>
  <c r="DB10" i="9"/>
  <c r="FX7" i="8"/>
  <c r="EN16" i="8"/>
  <c r="FX16" i="8"/>
  <c r="EN19" i="8"/>
  <c r="DZ57" i="11"/>
  <c r="DZ55" i="11"/>
  <c r="DZ16" i="11"/>
  <c r="DZ41" i="11"/>
  <c r="DZ29" i="11"/>
  <c r="DZ10" i="11"/>
  <c r="DZ56" i="11"/>
  <c r="DZ52" i="11"/>
  <c r="DZ26" i="11"/>
  <c r="DZ18" i="11"/>
  <c r="DZ13" i="11"/>
  <c r="DZ7" i="11"/>
  <c r="DZ60" i="11"/>
  <c r="DZ46" i="11"/>
  <c r="DZ54" i="11"/>
  <c r="DZ47" i="11"/>
  <c r="DZ43" i="11"/>
  <c r="DZ6" i="11"/>
  <c r="DZ34" i="11"/>
  <c r="DZ48" i="11"/>
  <c r="DZ51" i="11"/>
  <c r="DZ40" i="11"/>
  <c r="DZ62" i="11"/>
  <c r="DZ21" i="11"/>
  <c r="DZ19" i="11"/>
  <c r="DZ25" i="11"/>
  <c r="DZ4" i="11"/>
  <c r="DZ35" i="11"/>
  <c r="DZ37" i="11"/>
  <c r="DZ9" i="11"/>
  <c r="DZ15" i="11"/>
  <c r="DZ31" i="11"/>
  <c r="DZ58" i="11"/>
  <c r="DZ61" i="11"/>
  <c r="DZ50" i="11"/>
  <c r="DZ20" i="11"/>
  <c r="DZ49" i="11"/>
  <c r="DZ17" i="11"/>
  <c r="DZ30" i="11"/>
  <c r="DZ42" i="11"/>
  <c r="DZ27" i="11"/>
  <c r="DZ24" i="11"/>
  <c r="DZ11" i="11"/>
  <c r="DZ59" i="11"/>
  <c r="DZ36" i="11"/>
  <c r="DZ22" i="11"/>
  <c r="DZ12" i="11"/>
  <c r="DZ14" i="11"/>
  <c r="DZ63" i="11"/>
  <c r="DZ38" i="11"/>
  <c r="DZ28" i="11"/>
  <c r="DZ8" i="11"/>
  <c r="CI58" i="11"/>
  <c r="C58" i="28" s="1"/>
  <c r="DZ33" i="11"/>
  <c r="DZ5" i="11"/>
  <c r="DZ23" i="11"/>
  <c r="DZ39" i="11"/>
  <c r="DZ32" i="11"/>
  <c r="AG29" i="11"/>
  <c r="AG18" i="11"/>
  <c r="AG7" i="11"/>
  <c r="AG77" i="11"/>
  <c r="AG80" i="11"/>
  <c r="AG32" i="11"/>
  <c r="AG20" i="11"/>
  <c r="AG79" i="11"/>
  <c r="CH76" i="11"/>
  <c r="GD76" i="8" s="1"/>
  <c r="CH80" i="11"/>
  <c r="GD80" i="8" s="1"/>
  <c r="AG74" i="11"/>
  <c r="CH79" i="11"/>
  <c r="GD79" i="8" s="1"/>
  <c r="CH82" i="11"/>
  <c r="GD82" i="8" s="1"/>
  <c r="CH83" i="11"/>
  <c r="GD83" i="8" s="1"/>
  <c r="CH73" i="11"/>
  <c r="GD73" i="8" s="1"/>
  <c r="CH75" i="11"/>
  <c r="GD75" i="8" s="1"/>
  <c r="CH72" i="11"/>
  <c r="GD72" i="8" s="1"/>
  <c r="CH81" i="11"/>
  <c r="GD81" i="8" s="1"/>
  <c r="CH71" i="11"/>
  <c r="GD71" i="8" s="1"/>
  <c r="CH68" i="11"/>
  <c r="GD68" i="8" s="1"/>
  <c r="CH69" i="11"/>
  <c r="GD69" i="8" s="1"/>
  <c r="CH70" i="11"/>
  <c r="GD70" i="8" s="1"/>
  <c r="AJ15" i="23"/>
  <c r="DW12" i="7" s="1"/>
  <c r="AJ12" i="23"/>
  <c r="AJ47" i="23"/>
  <c r="DW57" i="7" s="1"/>
  <c r="DZ57" i="7" s="1"/>
  <c r="AJ18" i="23"/>
  <c r="BA82" i="10"/>
  <c r="BC82" i="10" s="1"/>
  <c r="BQ75" i="10"/>
  <c r="BS75" i="10" s="1"/>
  <c r="BA56" i="10"/>
  <c r="BQ30" i="10"/>
  <c r="BS30" i="10" s="1"/>
  <c r="BA30" i="10"/>
  <c r="BC30" i="10" s="1"/>
  <c r="BF26" i="10"/>
  <c r="BA5" i="10"/>
  <c r="BC5" i="10" s="1"/>
  <c r="I11" i="11"/>
  <c r="CA61" i="9"/>
  <c r="CA80" i="9"/>
  <c r="CA78" i="9"/>
  <c r="CA42" i="9"/>
  <c r="CA77" i="9"/>
  <c r="CA70" i="9"/>
  <c r="CA62" i="9"/>
  <c r="CA47" i="9"/>
  <c r="CA27" i="9"/>
  <c r="CA25" i="9"/>
  <c r="CA9" i="9"/>
  <c r="CA23" i="9"/>
  <c r="CA45" i="9"/>
  <c r="CA64" i="9"/>
  <c r="CA71" i="9"/>
  <c r="CA69" i="9"/>
  <c r="CA53" i="9"/>
  <c r="CA51" i="9"/>
  <c r="CA8" i="9"/>
  <c r="BW87" i="9"/>
  <c r="AI50" i="9"/>
  <c r="AI71" i="9"/>
  <c r="AI55" i="9"/>
  <c r="AI24" i="9"/>
  <c r="AI81" i="9"/>
  <c r="AI37" i="9"/>
  <c r="EC66" i="9"/>
  <c r="EF66" i="9"/>
  <c r="EG66" i="9"/>
  <c r="AW74" i="9"/>
  <c r="AW65" i="9"/>
  <c r="S71" i="8"/>
  <c r="O37" i="9"/>
  <c r="P37" i="9" s="1"/>
  <c r="O69" i="9"/>
  <c r="P69" i="9" s="1"/>
  <c r="J79" i="11"/>
  <c r="L79" i="11"/>
  <c r="K79" i="11"/>
  <c r="L31" i="11"/>
  <c r="K31" i="11"/>
  <c r="J31" i="11"/>
  <c r="J26" i="11"/>
  <c r="L26" i="11"/>
  <c r="K26" i="11"/>
  <c r="G62" i="11"/>
  <c r="H62" i="11"/>
  <c r="H32" i="11"/>
  <c r="G32" i="11"/>
  <c r="K14" i="11"/>
  <c r="L14" i="11"/>
  <c r="J14" i="11"/>
  <c r="Y28" i="9"/>
  <c r="T28" i="9"/>
  <c r="AL28" i="9" s="1"/>
  <c r="S28" i="9"/>
  <c r="AJ28" i="9" s="1"/>
  <c r="AB28" i="9"/>
  <c r="R28" i="9"/>
  <c r="Z28" i="9"/>
  <c r="AA28" i="9" s="1"/>
  <c r="ED70" i="8"/>
  <c r="FF70" i="8"/>
  <c r="BT70" i="8"/>
  <c r="AJ70" i="8"/>
  <c r="BX70" i="8" s="1"/>
  <c r="AJ43" i="8"/>
  <c r="FK43" i="9" s="1"/>
  <c r="AW78" i="9"/>
  <c r="BI61" i="9"/>
  <c r="Q61" i="8" s="1"/>
  <c r="BE61" i="8" s="1"/>
  <c r="BI57" i="9"/>
  <c r="BK57" i="9" s="1"/>
  <c r="BI21" i="9"/>
  <c r="Q21" i="8" s="1"/>
  <c r="O54" i="9"/>
  <c r="P54" i="9" s="1"/>
  <c r="AW84" i="9"/>
  <c r="BI78" i="9"/>
  <c r="AW64" i="9"/>
  <c r="AJ40" i="8"/>
  <c r="BX40" i="8" s="1"/>
  <c r="AW32" i="9"/>
  <c r="AH32" i="8" s="1"/>
  <c r="BI15" i="9"/>
  <c r="BK15" i="9" s="1"/>
  <c r="T10" i="9"/>
  <c r="U10" i="9" s="1"/>
  <c r="BF87" i="10"/>
  <c r="L85" i="11"/>
  <c r="BQ84" i="10"/>
  <c r="BS84" i="10" s="1"/>
  <c r="BA72" i="10"/>
  <c r="BA28" i="10"/>
  <c r="BC28" i="10" s="1"/>
  <c r="CD17" i="10"/>
  <c r="CF17" i="10" s="1"/>
  <c r="BA10" i="10"/>
  <c r="BA9" i="10"/>
  <c r="BQ7" i="10"/>
  <c r="BS7" i="10" s="1"/>
  <c r="BI31" i="9"/>
  <c r="AJ31" i="8"/>
  <c r="FK31" i="9" s="1"/>
  <c r="AJ29" i="8"/>
  <c r="FK29" i="9" s="1"/>
  <c r="BI29" i="9"/>
  <c r="BE6" i="9"/>
  <c r="BI40" i="9"/>
  <c r="BK40" i="9" s="1"/>
  <c r="AJ81" i="8"/>
  <c r="FK81" i="9" s="1"/>
  <c r="BI81" i="9"/>
  <c r="AJ69" i="8"/>
  <c r="FK69" i="9" s="1"/>
  <c r="BI69" i="9"/>
  <c r="W69" i="8" s="1"/>
  <c r="BK69" i="8" s="1"/>
  <c r="BI44" i="9"/>
  <c r="AJ44" i="8"/>
  <c r="BX44" i="8" s="1"/>
  <c r="BI28" i="9"/>
  <c r="AJ28" i="8"/>
  <c r="BI68" i="9"/>
  <c r="AJ68" i="8"/>
  <c r="AJ26" i="8"/>
  <c r="BI26" i="9"/>
  <c r="BI19" i="9"/>
  <c r="AJ19" i="8"/>
  <c r="BI70" i="9"/>
  <c r="BE60" i="9"/>
  <c r="AJ21" i="8"/>
  <c r="BE43" i="9"/>
  <c r="BE20" i="9"/>
  <c r="BE11" i="9"/>
  <c r="BE29" i="9"/>
  <c r="AI64" i="9"/>
  <c r="AI35" i="9"/>
  <c r="AI38" i="9"/>
  <c r="DB38" i="9" s="1"/>
  <c r="AI54" i="9"/>
  <c r="AI29" i="9"/>
  <c r="AK80" i="8"/>
  <c r="AK4" i="8"/>
  <c r="FK4" i="8" s="1"/>
  <c r="I69" i="8"/>
  <c r="AV69" i="8" s="1"/>
  <c r="I27" i="8"/>
  <c r="AV27" i="8" s="1"/>
  <c r="AK27" i="8"/>
  <c r="AK28" i="8"/>
  <c r="AK31" i="8"/>
  <c r="F22" i="8"/>
  <c r="AS22" i="8" s="1"/>
  <c r="I78" i="8"/>
  <c r="AV78" i="8" s="1"/>
  <c r="AI69" i="9"/>
  <c r="AI51" i="9"/>
  <c r="AI46" i="9"/>
  <c r="AK41" i="8"/>
  <c r="AI34" i="9"/>
  <c r="AK15" i="8"/>
  <c r="I5" i="8"/>
  <c r="AV5" i="8" s="1"/>
  <c r="AK60" i="8"/>
  <c r="AI57" i="9"/>
  <c r="AI47" i="9"/>
  <c r="AK37" i="8"/>
  <c r="EA37" i="8" s="1"/>
  <c r="FU37" i="8" s="1"/>
  <c r="AI31" i="9"/>
  <c r="AI22" i="9"/>
  <c r="F20" i="8"/>
  <c r="AS20" i="8" s="1"/>
  <c r="F34" i="8"/>
  <c r="AS34" i="8" s="1"/>
  <c r="I82" i="8"/>
  <c r="AV82" i="8" s="1"/>
  <c r="AK81" i="8"/>
  <c r="I76" i="8"/>
  <c r="AV76" i="8" s="1"/>
  <c r="AI62" i="9"/>
  <c r="AK43" i="8"/>
  <c r="I29" i="8"/>
  <c r="AV29" i="8" s="1"/>
  <c r="AI6" i="9"/>
  <c r="AI70" i="9"/>
  <c r="AI61" i="9"/>
  <c r="AI59" i="9"/>
  <c r="AK40" i="8"/>
  <c r="I30" i="8"/>
  <c r="AV30" i="8" s="1"/>
  <c r="AI26" i="9"/>
  <c r="AK24" i="8"/>
  <c r="EA24" i="8" s="1"/>
  <c r="FU24" i="8" s="1"/>
  <c r="AK23" i="8"/>
  <c r="AI7" i="9"/>
  <c r="K81" i="11"/>
  <c r="J81" i="11"/>
  <c r="L81" i="11"/>
  <c r="G48" i="11"/>
  <c r="H48" i="11"/>
  <c r="I48" i="11"/>
  <c r="H20" i="11"/>
  <c r="G20" i="11"/>
  <c r="G82" i="11"/>
  <c r="H82" i="11"/>
  <c r="J30" i="11"/>
  <c r="K30" i="11"/>
  <c r="L30" i="11"/>
  <c r="L10" i="11"/>
  <c r="K10" i="11"/>
  <c r="J10" i="11"/>
  <c r="J6" i="11"/>
  <c r="L6" i="11"/>
  <c r="J23" i="11"/>
  <c r="K23" i="11"/>
  <c r="H76" i="11"/>
  <c r="G76" i="11"/>
  <c r="H74" i="11"/>
  <c r="G74" i="11"/>
  <c r="I74" i="11"/>
  <c r="H24" i="11"/>
  <c r="I24" i="11"/>
  <c r="G24" i="11"/>
  <c r="K19" i="11"/>
  <c r="L19" i="11"/>
  <c r="J19" i="11"/>
  <c r="K16" i="11"/>
  <c r="J16" i="11"/>
  <c r="L16" i="11"/>
  <c r="AW19" i="9"/>
  <c r="AW83" i="9"/>
  <c r="AH83" i="8" s="1"/>
  <c r="AW77" i="9"/>
  <c r="AW68" i="9"/>
  <c r="EQ68" i="9" s="1"/>
  <c r="F63" i="8"/>
  <c r="AS63" i="8" s="1"/>
  <c r="FK70" i="9"/>
  <c r="AW30" i="9"/>
  <c r="AH30" i="8" s="1"/>
  <c r="AW54" i="9"/>
  <c r="H54" i="8" s="1"/>
  <c r="AU54" i="8" s="1"/>
  <c r="AW52" i="9"/>
  <c r="AH52" i="8" s="1"/>
  <c r="F84" i="8"/>
  <c r="AS84" i="8" s="1"/>
  <c r="H75" i="11"/>
  <c r="G75" i="11"/>
  <c r="I75" i="11"/>
  <c r="K70" i="11"/>
  <c r="L70" i="11"/>
  <c r="J35" i="11"/>
  <c r="K35" i="11"/>
  <c r="L35" i="11"/>
  <c r="K4" i="8"/>
  <c r="AX4" i="8" s="1"/>
  <c r="FF73" i="8"/>
  <c r="BT73" i="8"/>
  <c r="ED73" i="8"/>
  <c r="ES45" i="9"/>
  <c r="EC45" i="9"/>
  <c r="EF45" i="9"/>
  <c r="EG45" i="9"/>
  <c r="ER45" i="9"/>
  <c r="EG38" i="9"/>
  <c r="EC38" i="9"/>
  <c r="DZ38" i="9"/>
  <c r="EF38" i="9"/>
  <c r="H81" i="11"/>
  <c r="G81" i="11"/>
  <c r="H73" i="11"/>
  <c r="G73" i="11"/>
  <c r="G70" i="11"/>
  <c r="H70" i="11"/>
  <c r="H38" i="11"/>
  <c r="I38" i="11"/>
  <c r="G38" i="11"/>
  <c r="H36" i="11"/>
  <c r="I36" i="11"/>
  <c r="G35" i="11"/>
  <c r="H35" i="11"/>
  <c r="I35" i="11"/>
  <c r="K27" i="11"/>
  <c r="L27" i="11"/>
  <c r="J27" i="11"/>
  <c r="G16" i="11"/>
  <c r="H16" i="11"/>
  <c r="L12" i="11"/>
  <c r="J12" i="11"/>
  <c r="K12" i="11"/>
  <c r="K5" i="11"/>
  <c r="J5" i="11"/>
  <c r="L5" i="11"/>
  <c r="FF18" i="8"/>
  <c r="BT18" i="8"/>
  <c r="ED18" i="8"/>
  <c r="EG58" i="9"/>
  <c r="EC58" i="9"/>
  <c r="EF12" i="9"/>
  <c r="EC12" i="9"/>
  <c r="EG12" i="9"/>
  <c r="K80" i="11"/>
  <c r="J80" i="11"/>
  <c r="L80" i="11"/>
  <c r="L72" i="11"/>
  <c r="J72" i="11"/>
  <c r="K72" i="11"/>
  <c r="L69" i="11"/>
  <c r="J69" i="11"/>
  <c r="K69" i="11"/>
  <c r="K40" i="11"/>
  <c r="L40" i="11"/>
  <c r="L15" i="11"/>
  <c r="K15" i="11"/>
  <c r="J15" i="11"/>
  <c r="T19" i="9"/>
  <c r="AL19" i="9" s="1"/>
  <c r="AB19" i="9"/>
  <c r="Z19" i="9"/>
  <c r="AA19" i="9" s="1"/>
  <c r="Y19" i="9"/>
  <c r="S19" i="9"/>
  <c r="AJ19" i="9" s="1"/>
  <c r="R19" i="9"/>
  <c r="FK10" i="9"/>
  <c r="EG10" i="9"/>
  <c r="EC10" i="9"/>
  <c r="K84" i="11"/>
  <c r="L84" i="11"/>
  <c r="J84" i="11"/>
  <c r="J78" i="11"/>
  <c r="L78" i="11"/>
  <c r="K78" i="11"/>
  <c r="J77" i="11"/>
  <c r="L77" i="11"/>
  <c r="K77" i="11"/>
  <c r="G29" i="11"/>
  <c r="H29" i="11"/>
  <c r="J25" i="11"/>
  <c r="K25" i="11"/>
  <c r="L25" i="11"/>
  <c r="H6" i="11"/>
  <c r="G6" i="11"/>
  <c r="H4" i="11"/>
  <c r="G4" i="11"/>
  <c r="EF82" i="9"/>
  <c r="EC82" i="9"/>
  <c r="DZ82" i="9"/>
  <c r="EG82" i="9"/>
  <c r="J66" i="11"/>
  <c r="L66" i="11"/>
  <c r="K66" i="11"/>
  <c r="L37" i="11"/>
  <c r="K37" i="11"/>
  <c r="J37" i="11"/>
  <c r="L34" i="11"/>
  <c r="J34" i="11"/>
  <c r="K34" i="11"/>
  <c r="K22" i="11"/>
  <c r="J22" i="11"/>
  <c r="L22" i="11"/>
  <c r="FK5" i="9"/>
  <c r="DZ5" i="9"/>
  <c r="EF5" i="9"/>
  <c r="EC5" i="9"/>
  <c r="EE5" i="9" s="1"/>
  <c r="EG5" i="9"/>
  <c r="H83" i="11"/>
  <c r="G83" i="11"/>
  <c r="I83" i="11"/>
  <c r="G79" i="11"/>
  <c r="H79" i="11"/>
  <c r="L74" i="11"/>
  <c r="J74" i="11"/>
  <c r="K74" i="11"/>
  <c r="G57" i="11"/>
  <c r="H57" i="11"/>
  <c r="H54" i="11"/>
  <c r="I54" i="11"/>
  <c r="G54" i="11"/>
  <c r="J43" i="11"/>
  <c r="L43" i="11"/>
  <c r="K43" i="11"/>
  <c r="H26" i="11"/>
  <c r="G26" i="11"/>
  <c r="K18" i="11"/>
  <c r="L18" i="11"/>
  <c r="J18" i="11"/>
  <c r="J9" i="11"/>
  <c r="L9" i="11"/>
  <c r="K9" i="11"/>
  <c r="K8" i="11"/>
  <c r="J8" i="11"/>
  <c r="L8" i="11"/>
  <c r="W55" i="8"/>
  <c r="BK55" i="8" s="1"/>
  <c r="W50" i="8"/>
  <c r="BK50" i="8" s="1"/>
  <c r="AF36" i="8"/>
  <c r="AF66" i="8"/>
  <c r="AR13" i="9"/>
  <c r="EV34" i="9"/>
  <c r="EU72" i="9"/>
  <c r="EU83" i="9"/>
  <c r="ES18" i="9"/>
  <c r="EF79" i="9"/>
  <c r="EF60" i="9"/>
  <c r="AF37" i="8"/>
  <c r="AF79" i="8"/>
  <c r="ES52" i="9"/>
  <c r="AW10" i="9"/>
  <c r="Q60" i="8"/>
  <c r="BE60" i="8" s="1"/>
  <c r="AR14" i="9"/>
  <c r="EU63" i="9"/>
  <c r="AR62" i="9"/>
  <c r="AW82" i="9"/>
  <c r="AW71" i="9"/>
  <c r="EP71" i="9" s="1"/>
  <c r="EF22" i="9"/>
  <c r="AA10" i="9"/>
  <c r="CQ10" i="9" s="1"/>
  <c r="Q19" i="8"/>
  <c r="BE19" i="8" s="1"/>
  <c r="Q72" i="8"/>
  <c r="BE72" i="8" s="1"/>
  <c r="Q20" i="8"/>
  <c r="BE20" i="8" s="1"/>
  <c r="Q64" i="8"/>
  <c r="BE64" i="8" s="1"/>
  <c r="W57" i="8"/>
  <c r="BK57" i="8" s="1"/>
  <c r="AF27" i="8"/>
  <c r="AF55" i="8"/>
  <c r="AF31" i="8"/>
  <c r="ED31" i="8" s="1"/>
  <c r="EU29" i="9"/>
  <c r="Y11" i="9"/>
  <c r="EF37" i="9"/>
  <c r="T15" i="9"/>
  <c r="T7" i="9"/>
  <c r="U7" i="9" s="1"/>
  <c r="AF7" i="9" s="1"/>
  <c r="BA87" i="10"/>
  <c r="O87" i="11"/>
  <c r="K87" i="11"/>
  <c r="J87" i="11"/>
  <c r="M87" i="11"/>
  <c r="L86" i="11"/>
  <c r="N85" i="11"/>
  <c r="BA84" i="10"/>
  <c r="BC84" i="10" s="1"/>
  <c r="K83" i="11"/>
  <c r="BQ82" i="10"/>
  <c r="BS82" i="10" s="1"/>
  <c r="CV80" i="10"/>
  <c r="ER80" i="10" s="1"/>
  <c r="CD80" i="10"/>
  <c r="CF80" i="10" s="1"/>
  <c r="CD76" i="10"/>
  <c r="CF76" i="10" s="1"/>
  <c r="CV74" i="10"/>
  <c r="ER74" i="10" s="1"/>
  <c r="CD74" i="10"/>
  <c r="CF74" i="10" s="1"/>
  <c r="BQ74" i="10"/>
  <c r="BS74" i="10" s="1"/>
  <c r="BA74" i="10"/>
  <c r="BC74" i="10" s="1"/>
  <c r="BQ73" i="10"/>
  <c r="BS73" i="10" s="1"/>
  <c r="BC72" i="10"/>
  <c r="BQ72" i="10"/>
  <c r="BS72" i="10" s="1"/>
  <c r="J70" i="11"/>
  <c r="BF68" i="10"/>
  <c r="K67" i="11"/>
  <c r="J67" i="11"/>
  <c r="CV66" i="10"/>
  <c r="ER66" i="10" s="1"/>
  <c r="CV64" i="10"/>
  <c r="ER64" i="10" s="1"/>
  <c r="CV62" i="10"/>
  <c r="CW62" i="10" s="1"/>
  <c r="ES62" i="10" s="1"/>
  <c r="BQ62" i="10"/>
  <c r="BS62" i="10" s="1"/>
  <c r="CD59" i="10"/>
  <c r="CF59" i="10" s="1"/>
  <c r="BA59" i="10"/>
  <c r="BC59" i="10" s="1"/>
  <c r="CV55" i="10"/>
  <c r="CW55" i="10" s="1"/>
  <c r="ES55" i="10" s="1"/>
  <c r="CV54" i="10"/>
  <c r="ER54" i="10" s="1"/>
  <c r="CV44" i="10"/>
  <c r="ER44" i="10" s="1"/>
  <c r="CV41" i="10"/>
  <c r="CW41" i="10" s="1"/>
  <c r="ES41" i="10" s="1"/>
  <c r="BA34" i="10"/>
  <c r="BC34" i="10" s="1"/>
  <c r="BQ32" i="10"/>
  <c r="BS32" i="10" s="1"/>
  <c r="CV29" i="10"/>
  <c r="CW29" i="10" s="1"/>
  <c r="ES29" i="10" s="1"/>
  <c r="CD29" i="10"/>
  <c r="CF29" i="10" s="1"/>
  <c r="CD26" i="10"/>
  <c r="CF26" i="10" s="1"/>
  <c r="BA26" i="10"/>
  <c r="BC26" i="10" s="1"/>
  <c r="BQ24" i="10"/>
  <c r="BS24" i="10" s="1"/>
  <c r="BQ22" i="10"/>
  <c r="BS22" i="10" s="1"/>
  <c r="BA21" i="10"/>
  <c r="BC21" i="10" s="1"/>
  <c r="BQ18" i="10"/>
  <c r="BS18" i="10" s="1"/>
  <c r="CV16" i="10"/>
  <c r="CW16" i="10" s="1"/>
  <c r="ES16" i="10" s="1"/>
  <c r="BA16" i="10"/>
  <c r="BC16" i="10" s="1"/>
  <c r="BA13" i="10"/>
  <c r="J11" i="11"/>
  <c r="K11" i="11"/>
  <c r="BQ10" i="10"/>
  <c r="BS10" i="10" s="1"/>
  <c r="BC10" i="10"/>
  <c r="BC9" i="10"/>
  <c r="CD7" i="10"/>
  <c r="CF7" i="10" s="1"/>
  <c r="CD5" i="10"/>
  <c r="CF5" i="10" s="1"/>
  <c r="CD4" i="10"/>
  <c r="CF4" i="10" s="1"/>
  <c r="AJ8" i="23"/>
  <c r="DW37" i="7" s="1"/>
  <c r="DZ37" i="7" s="1"/>
  <c r="AJ39" i="23"/>
  <c r="M88" i="11"/>
  <c r="O88" i="11"/>
  <c r="CD87" i="10"/>
  <c r="CF87" i="10" s="1"/>
  <c r="BQ87" i="10"/>
  <c r="BS87" i="10" s="1"/>
  <c r="BQ86" i="10"/>
  <c r="BS86" i="10" s="1"/>
  <c r="K86" i="11"/>
  <c r="CD85" i="10"/>
  <c r="CF85" i="10" s="1"/>
  <c r="K85" i="11"/>
  <c r="CW82" i="10"/>
  <c r="ES82" i="10" s="1"/>
  <c r="BQ80" i="10"/>
  <c r="BS80" i="10" s="1"/>
  <c r="CD79" i="10"/>
  <c r="CF79" i="10" s="1"/>
  <c r="BQ79" i="10"/>
  <c r="BS79" i="10" s="1"/>
  <c r="CV78" i="10"/>
  <c r="CW78" i="10" s="1"/>
  <c r="ES78" i="10" s="1"/>
  <c r="CV77" i="10"/>
  <c r="CW77" i="10" s="1"/>
  <c r="ES77" i="10" s="1"/>
  <c r="ER73" i="10"/>
  <c r="CD72" i="10"/>
  <c r="CF72" i="10" s="1"/>
  <c r="CV70" i="10"/>
  <c r="CW70" i="10" s="1"/>
  <c r="ES70" i="10" s="1"/>
  <c r="EN70" i="10"/>
  <c r="CW69" i="10"/>
  <c r="ES69" i="10" s="1"/>
  <c r="EJ66" i="10"/>
  <c r="BQ66" i="10"/>
  <c r="BS66" i="10" s="1"/>
  <c r="CD65" i="10"/>
  <c r="CF65" i="10" s="1"/>
  <c r="CV65" i="10"/>
  <c r="BC63" i="10"/>
  <c r="CV58" i="10"/>
  <c r="CW58" i="10" s="1"/>
  <c r="ES58" i="10" s="1"/>
  <c r="EN58" i="10"/>
  <c r="BC56" i="10"/>
  <c r="L56" i="11"/>
  <c r="N56" i="11"/>
  <c r="O56" i="11"/>
  <c r="CD54" i="10"/>
  <c r="CF54" i="10" s="1"/>
  <c r="BQ54" i="10"/>
  <c r="BS54" i="10" s="1"/>
  <c r="BA54" i="10"/>
  <c r="BC54" i="10" s="1"/>
  <c r="O54" i="11"/>
  <c r="L54" i="11"/>
  <c r="N54" i="11"/>
  <c r="J54" i="11"/>
  <c r="BQ52" i="10"/>
  <c r="BS52" i="10" s="1"/>
  <c r="BA50" i="10"/>
  <c r="BC50" i="10" s="1"/>
  <c r="CV49" i="10"/>
  <c r="CW49" i="10" s="1"/>
  <c r="ES49" i="10" s="1"/>
  <c r="CD49" i="10"/>
  <c r="CF49" i="10" s="1"/>
  <c r="CV46" i="10"/>
  <c r="CW46" i="10" s="1"/>
  <c r="ES46" i="10" s="1"/>
  <c r="BQ46" i="10"/>
  <c r="BS46" i="10" s="1"/>
  <c r="BQ37" i="10"/>
  <c r="BS37" i="10" s="1"/>
  <c r="ER34" i="10"/>
  <c r="BQ34" i="10"/>
  <c r="BS34" i="10" s="1"/>
  <c r="CD33" i="10"/>
  <c r="CF33" i="10" s="1"/>
  <c r="CD32" i="10"/>
  <c r="CV32" i="10"/>
  <c r="CW32" i="10" s="1"/>
  <c r="ES32" i="10" s="1"/>
  <c r="CV27" i="10"/>
  <c r="CW27" i="10" s="1"/>
  <c r="ES27" i="10" s="1"/>
  <c r="BQ23" i="10"/>
  <c r="BS23" i="10" s="1"/>
  <c r="BA23" i="10"/>
  <c r="BC23" i="10" s="1"/>
  <c r="C41" i="22"/>
  <c r="C40" i="22"/>
  <c r="DI23" i="11"/>
  <c r="C44" i="22"/>
  <c r="C31" i="22"/>
  <c r="C30" i="22"/>
  <c r="BN23" i="11"/>
  <c r="CR23" i="11"/>
  <c r="L23" i="11"/>
  <c r="BF22" i="10"/>
  <c r="EJ19" i="10"/>
  <c r="BQ16" i="10"/>
  <c r="BS16" i="10" s="1"/>
  <c r="CV15" i="10"/>
  <c r="CW15" i="10" s="1"/>
  <c r="ES15" i="10" s="1"/>
  <c r="EO15" i="10"/>
  <c r="CV11" i="10"/>
  <c r="EM11" i="10"/>
  <c r="CF6" i="10"/>
  <c r="EJ6" i="10"/>
  <c r="K6" i="11"/>
  <c r="AJ49" i="23"/>
  <c r="DW81" i="7" s="1"/>
  <c r="DZ81" i="7" s="1"/>
  <c r="ER18" i="9"/>
  <c r="ER24" i="9"/>
  <c r="ER68" i="9"/>
  <c r="N83" i="9"/>
  <c r="N79" i="9"/>
  <c r="AM79" i="9" s="1"/>
  <c r="N75" i="9"/>
  <c r="AM75" i="9" s="1"/>
  <c r="N67" i="9"/>
  <c r="AM67" i="9" s="1"/>
  <c r="N63" i="9"/>
  <c r="AM63" i="9" s="1"/>
  <c r="N59" i="9"/>
  <c r="N51" i="9"/>
  <c r="AM51" i="9" s="1"/>
  <c r="N35" i="9"/>
  <c r="AM35" i="9" s="1"/>
  <c r="N27" i="9"/>
  <c r="N19" i="9"/>
  <c r="AM19" i="9" s="1"/>
  <c r="N11" i="9"/>
  <c r="AL15" i="9"/>
  <c r="AN81" i="9"/>
  <c r="AE16" i="9"/>
  <c r="DD16" i="9" s="1"/>
  <c r="U16" i="9"/>
  <c r="AF16" i="9" s="1"/>
  <c r="T67" i="9"/>
  <c r="U64" i="9"/>
  <c r="AF64" i="9" s="1"/>
  <c r="O5" i="9"/>
  <c r="P5" i="9" s="1"/>
  <c r="U9" i="9"/>
  <c r="AF9" i="9" s="1"/>
  <c r="T27" i="9"/>
  <c r="AB52" i="9"/>
  <c r="T17" i="9"/>
  <c r="AL17" i="9" s="1"/>
  <c r="S17" i="9"/>
  <c r="AJ17" i="9" s="1"/>
  <c r="AB17" i="9"/>
  <c r="CY17" i="9" s="1"/>
  <c r="R17" i="9"/>
  <c r="Z17" i="9"/>
  <c r="Y17" i="9"/>
  <c r="AB74" i="9"/>
  <c r="AC74" i="9" s="1"/>
  <c r="R74" i="9"/>
  <c r="S74" i="9"/>
  <c r="AJ74" i="9" s="1"/>
  <c r="T61" i="9"/>
  <c r="AL61" i="9" s="1"/>
  <c r="R61" i="9"/>
  <c r="Z61" i="9"/>
  <c r="AA61" i="9" s="1"/>
  <c r="CQ61" i="9" s="1"/>
  <c r="S61" i="9"/>
  <c r="AJ61" i="9" s="1"/>
  <c r="Y61" i="9"/>
  <c r="AB61" i="9"/>
  <c r="CY61" i="9" s="1"/>
  <c r="AB59" i="9"/>
  <c r="T59" i="9"/>
  <c r="AL59" i="9" s="1"/>
  <c r="Z59" i="9"/>
  <c r="AA59" i="9" s="1"/>
  <c r="R59" i="9"/>
  <c r="Y59" i="9"/>
  <c r="S59" i="9"/>
  <c r="AJ59" i="9" s="1"/>
  <c r="Z20" i="9"/>
  <c r="Y20" i="9"/>
  <c r="AB20" i="9"/>
  <c r="T20" i="9"/>
  <c r="R20" i="9"/>
  <c r="S20" i="9"/>
  <c r="AJ20" i="9" s="1"/>
  <c r="DH73" i="9"/>
  <c r="AM73" i="8" s="1"/>
  <c r="AA65" i="9"/>
  <c r="CQ65" i="9" s="1"/>
  <c r="AE8" i="9"/>
  <c r="CY8" i="9"/>
  <c r="AC8" i="9"/>
  <c r="AM7" i="9"/>
  <c r="O7" i="9"/>
  <c r="P7" i="9" s="1"/>
  <c r="AM15" i="9"/>
  <c r="O15" i="9"/>
  <c r="P15" i="9" s="1"/>
  <c r="AM23" i="9"/>
  <c r="O23" i="9"/>
  <c r="P23" i="9" s="1"/>
  <c r="AM39" i="9"/>
  <c r="O39" i="9"/>
  <c r="P39" i="9" s="1"/>
  <c r="AM55" i="9"/>
  <c r="O55" i="9"/>
  <c r="P55" i="9" s="1"/>
  <c r="AM71" i="9"/>
  <c r="O71" i="9"/>
  <c r="P71" i="9" s="1"/>
  <c r="AM14" i="9"/>
  <c r="O14" i="9"/>
  <c r="P14" i="9" s="1"/>
  <c r="AM22" i="9"/>
  <c r="O22" i="9"/>
  <c r="P22" i="9" s="1"/>
  <c r="AM30" i="9"/>
  <c r="O30" i="9"/>
  <c r="P30" i="9" s="1"/>
  <c r="AM38" i="9"/>
  <c r="O38" i="9"/>
  <c r="P38" i="9" s="1"/>
  <c r="CZ9" i="9"/>
  <c r="DB9" i="9" s="1"/>
  <c r="AE9" i="9"/>
  <c r="AC9" i="9"/>
  <c r="K9" i="8" s="1"/>
  <c r="AX9" i="8" s="1"/>
  <c r="S66" i="9"/>
  <c r="T66" i="9"/>
  <c r="AL66" i="9" s="1"/>
  <c r="Y66" i="9"/>
  <c r="R66" i="9"/>
  <c r="Z66" i="9"/>
  <c r="AA66" i="9" s="1"/>
  <c r="CQ66" i="9" s="1"/>
  <c r="AB66" i="9"/>
  <c r="R51" i="9"/>
  <c r="T51" i="9"/>
  <c r="Y51" i="9"/>
  <c r="Z51" i="9"/>
  <c r="AA51" i="9" s="1"/>
  <c r="AB51" i="9"/>
  <c r="S51" i="9"/>
  <c r="AJ51" i="9" s="1"/>
  <c r="T37" i="9"/>
  <c r="AL37" i="9" s="1"/>
  <c r="S37" i="9"/>
  <c r="AJ37" i="9" s="1"/>
  <c r="R37" i="9"/>
  <c r="Z37" i="9"/>
  <c r="AA37" i="9" s="1"/>
  <c r="AB37" i="9"/>
  <c r="Q34" i="9"/>
  <c r="T34" i="9" s="1"/>
  <c r="Q26" i="9"/>
  <c r="T23" i="9"/>
  <c r="AL23" i="9" s="1"/>
  <c r="S23" i="9"/>
  <c r="AJ23" i="9" s="1"/>
  <c r="R23" i="9"/>
  <c r="U23" i="9" s="1"/>
  <c r="DK23" i="9" s="1"/>
  <c r="AB23" i="8" s="1"/>
  <c r="BP23" i="8" s="1"/>
  <c r="AB23" i="9"/>
  <c r="Q12" i="9"/>
  <c r="R12" i="9" s="1"/>
  <c r="S11" i="9"/>
  <c r="T11" i="9"/>
  <c r="AL11" i="9" s="1"/>
  <c r="AB11" i="9"/>
  <c r="R11" i="9"/>
  <c r="Z11" i="9"/>
  <c r="R6" i="9"/>
  <c r="T6" i="9"/>
  <c r="AL6" i="9" s="1"/>
  <c r="S6" i="9"/>
  <c r="AJ6" i="9" s="1"/>
  <c r="Y6" i="9"/>
  <c r="AB6" i="9"/>
  <c r="R5" i="9"/>
  <c r="T5" i="9"/>
  <c r="AL5" i="9" s="1"/>
  <c r="AB5" i="9"/>
  <c r="Z5" i="9"/>
  <c r="AA5" i="9" s="1"/>
  <c r="CQ5" i="9" s="1"/>
  <c r="Q75" i="9"/>
  <c r="T74" i="9"/>
  <c r="Y74" i="9"/>
  <c r="Z74" i="9"/>
  <c r="AA74" i="9" s="1"/>
  <c r="CQ74" i="9" s="1"/>
  <c r="AB67" i="9"/>
  <c r="Y67" i="9"/>
  <c r="Z67" i="9"/>
  <c r="AA67" i="9" s="1"/>
  <c r="AB62" i="9"/>
  <c r="T62" i="9"/>
  <c r="Q48" i="9"/>
  <c r="Q46" i="9"/>
  <c r="R46" i="9" s="1"/>
  <c r="Q35" i="9"/>
  <c r="R35" i="9" s="1"/>
  <c r="T32" i="9"/>
  <c r="AL32" i="9" s="1"/>
  <c r="AB32" i="9"/>
  <c r="CZ32" i="9" s="1"/>
  <c r="R32" i="9"/>
  <c r="S32" i="9"/>
  <c r="AJ32" i="9" s="1"/>
  <c r="Q18" i="9"/>
  <c r="Q14" i="9"/>
  <c r="R14" i="9" s="1"/>
  <c r="Q13" i="9"/>
  <c r="R13" i="9" s="1"/>
  <c r="T77" i="9"/>
  <c r="AL77" i="9" s="1"/>
  <c r="AB77" i="9"/>
  <c r="Y77" i="9"/>
  <c r="S77" i="9"/>
  <c r="AJ77" i="9" s="1"/>
  <c r="R77" i="9"/>
  <c r="R72" i="9"/>
  <c r="T72" i="9"/>
  <c r="S72" i="9"/>
  <c r="S63" i="9"/>
  <c r="AJ63" i="9" s="1"/>
  <c r="AB63" i="9"/>
  <c r="Y63" i="9"/>
  <c r="R63" i="9"/>
  <c r="T63" i="9"/>
  <c r="AL63" i="9" s="1"/>
  <c r="Z63" i="9"/>
  <c r="Q54" i="9"/>
  <c r="R52" i="9"/>
  <c r="S52" i="9"/>
  <c r="T52" i="9"/>
  <c r="S33" i="9"/>
  <c r="T33" i="9"/>
  <c r="AL33" i="9" s="1"/>
  <c r="AB33" i="9"/>
  <c r="Q30" i="9"/>
  <c r="Q22" i="9"/>
  <c r="T22" i="9" s="1"/>
  <c r="AL22" i="9" s="1"/>
  <c r="AA79" i="9"/>
  <c r="CQ79" i="9" s="1"/>
  <c r="R69" i="9"/>
  <c r="T69" i="9"/>
  <c r="Z69" i="9"/>
  <c r="AA69" i="9" s="1"/>
  <c r="S69" i="9"/>
  <c r="Q84" i="9"/>
  <c r="Q70" i="9"/>
  <c r="T65" i="9"/>
  <c r="AL65" i="9" s="1"/>
  <c r="S65" i="9"/>
  <c r="AB65" i="9"/>
  <c r="Q39" i="9"/>
  <c r="R39" i="9" s="1"/>
  <c r="S36" i="9"/>
  <c r="T36" i="9"/>
  <c r="Q24" i="9"/>
  <c r="BU31" i="9"/>
  <c r="BU16" i="9"/>
  <c r="IC71" i="8"/>
  <c r="EX71" i="9"/>
  <c r="U31" i="8"/>
  <c r="BI31" i="8" s="1"/>
  <c r="DV44" i="9"/>
  <c r="DU79" i="9"/>
  <c r="EB31" i="9"/>
  <c r="EB74" i="9"/>
  <c r="EA51" i="9"/>
  <c r="EB51" i="9"/>
  <c r="BS41" i="9"/>
  <c r="DT41" i="9"/>
  <c r="BQ49" i="9"/>
  <c r="BU49" i="9" s="1"/>
  <c r="S49" i="8"/>
  <c r="DZ49" i="9"/>
  <c r="EA49" i="9" s="1"/>
  <c r="BS55" i="9"/>
  <c r="U55" i="8" s="1"/>
  <c r="BI55" i="8" s="1"/>
  <c r="DZ55" i="9"/>
  <c r="BQ55" i="9"/>
  <c r="S55" i="8"/>
  <c r="DT55" i="9"/>
  <c r="S50" i="8"/>
  <c r="BQ50" i="9"/>
  <c r="DT50" i="9"/>
  <c r="DZ50" i="9"/>
  <c r="S79" i="8"/>
  <c r="BS79" i="9"/>
  <c r="DZ79" i="9"/>
  <c r="DT5" i="9"/>
  <c r="S5" i="8"/>
  <c r="DV26" i="9"/>
  <c r="EA41" i="9"/>
  <c r="EX61" i="9"/>
  <c r="BG61" i="8"/>
  <c r="DZ71" i="9"/>
  <c r="BQ71" i="9"/>
  <c r="BS17" i="9"/>
  <c r="DZ17" i="9"/>
  <c r="EB17" i="9" s="1"/>
  <c r="DT17" i="9"/>
  <c r="S17" i="8"/>
  <c r="DU16" i="9"/>
  <c r="DV16" i="9"/>
  <c r="DV36" i="9"/>
  <c r="DU36" i="9"/>
  <c r="BL86" i="9"/>
  <c r="BO86" i="9" s="1"/>
  <c r="BU67" i="9"/>
  <c r="U67" i="8"/>
  <c r="BI67" i="8" s="1"/>
  <c r="S22" i="8"/>
  <c r="BS22" i="9"/>
  <c r="DT22" i="9"/>
  <c r="DZ22" i="9"/>
  <c r="DT25" i="9"/>
  <c r="DZ25" i="9"/>
  <c r="S25" i="8"/>
  <c r="BQ25" i="9"/>
  <c r="S54" i="8"/>
  <c r="DT54" i="9"/>
  <c r="DZ54" i="9"/>
  <c r="BO70" i="9"/>
  <c r="EF70" i="9"/>
  <c r="BO64" i="9"/>
  <c r="EF64" i="9"/>
  <c r="EF63" i="9"/>
  <c r="BO63" i="9"/>
  <c r="BQ63" i="9" s="1"/>
  <c r="BO62" i="9"/>
  <c r="EF62" i="9"/>
  <c r="EF56" i="9"/>
  <c r="BO56" i="9"/>
  <c r="BO30" i="9"/>
  <c r="EF30" i="9"/>
  <c r="EF24" i="9"/>
  <c r="BO24" i="9"/>
  <c r="BQ24" i="9" s="1"/>
  <c r="BO10" i="9"/>
  <c r="EF10" i="9"/>
  <c r="EF83" i="9"/>
  <c r="EF65" i="9"/>
  <c r="EW7" i="9"/>
  <c r="BG7" i="8"/>
  <c r="DT60" i="9"/>
  <c r="DZ60" i="9"/>
  <c r="S60" i="8"/>
  <c r="BS60" i="9"/>
  <c r="BQ60" i="9"/>
  <c r="BQ37" i="9"/>
  <c r="BS37" i="9"/>
  <c r="DZ37" i="9"/>
  <c r="BL88" i="9"/>
  <c r="BO88" i="9" s="1"/>
  <c r="EB49" i="9"/>
  <c r="DT37" i="9"/>
  <c r="EF20" i="9"/>
  <c r="U26" i="8"/>
  <c r="BI26" i="8" s="1"/>
  <c r="BU26" i="9"/>
  <c r="EF8" i="9"/>
  <c r="BO84" i="9"/>
  <c r="EF84" i="9"/>
  <c r="EF75" i="9"/>
  <c r="BO75" i="9"/>
  <c r="BO72" i="9"/>
  <c r="EF59" i="9"/>
  <c r="BO59" i="9"/>
  <c r="EF58" i="9"/>
  <c r="BO58" i="9"/>
  <c r="BQ58" i="9" s="1"/>
  <c r="BO47" i="9"/>
  <c r="EF47" i="9"/>
  <c r="BO42" i="9"/>
  <c r="EF42" i="9"/>
  <c r="BO34" i="9"/>
  <c r="EF34" i="9"/>
  <c r="EF18" i="9"/>
  <c r="BO18" i="9"/>
  <c r="BG38" i="8"/>
  <c r="EW38" i="9"/>
  <c r="S37" i="8"/>
  <c r="EF69" i="9"/>
  <c r="DT57" i="9"/>
  <c r="BS57" i="9"/>
  <c r="U57" i="8" s="1"/>
  <c r="BI57" i="8" s="1"/>
  <c r="DZ57" i="9"/>
  <c r="BS52" i="9"/>
  <c r="U52" i="8" s="1"/>
  <c r="BI52" i="8" s="1"/>
  <c r="DT52" i="9"/>
  <c r="DZ52" i="9"/>
  <c r="S80" i="8"/>
  <c r="BS80" i="9"/>
  <c r="U80" i="8" s="1"/>
  <c r="BI80" i="8" s="1"/>
  <c r="DZ80" i="9"/>
  <c r="DT80" i="9"/>
  <c r="DT21" i="9"/>
  <c r="BS21" i="9"/>
  <c r="S21" i="8"/>
  <c r="BQ21" i="9"/>
  <c r="DZ23" i="9"/>
  <c r="S23" i="8"/>
  <c r="BS23" i="9"/>
  <c r="U23" i="8" s="1"/>
  <c r="BI23" i="8" s="1"/>
  <c r="BS68" i="9"/>
  <c r="U68" i="8" s="1"/>
  <c r="BI68" i="8" s="1"/>
  <c r="DT68" i="9"/>
  <c r="EX31" i="9"/>
  <c r="BG31" i="8"/>
  <c r="S66" i="8"/>
  <c r="BS66" i="9"/>
  <c r="U66" i="8" s="1"/>
  <c r="BI66" i="8" s="1"/>
  <c r="DT66" i="9"/>
  <c r="BQ66" i="9"/>
  <c r="BU66" i="9" s="1"/>
  <c r="DZ66" i="9"/>
  <c r="BQ51" i="9"/>
  <c r="DT51" i="9"/>
  <c r="BS51" i="9"/>
  <c r="U51" i="8" s="1"/>
  <c r="BI51" i="8" s="1"/>
  <c r="S51" i="8"/>
  <c r="EF81" i="9"/>
  <c r="BQ22" i="9"/>
  <c r="EF28" i="9"/>
  <c r="BS7" i="9"/>
  <c r="U7" i="8" s="1"/>
  <c r="BI7" i="8" s="1"/>
  <c r="BS71" i="9"/>
  <c r="U71" i="8" s="1"/>
  <c r="BQ74" i="9"/>
  <c r="BU74" i="9" s="1"/>
  <c r="BS50" i="9"/>
  <c r="U50" i="8" s="1"/>
  <c r="BI50" i="8" s="1"/>
  <c r="BU19" i="9"/>
  <c r="BQ17" i="9"/>
  <c r="BU17" i="9" s="1"/>
  <c r="BS38" i="9"/>
  <c r="BQ44" i="9"/>
  <c r="BU44" i="9" s="1"/>
  <c r="BQ52" i="9"/>
  <c r="BQ79" i="9"/>
  <c r="BQ73" i="9"/>
  <c r="BQ56" i="9"/>
  <c r="BQ23" i="9"/>
  <c r="BS25" i="9"/>
  <c r="U25" i="8" s="1"/>
  <c r="BI25" i="8" s="1"/>
  <c r="BQ68" i="9"/>
  <c r="BS87" i="9"/>
  <c r="BS29" i="9"/>
  <c r="BQ78" i="9"/>
  <c r="BS39" i="9"/>
  <c r="BS53" i="9"/>
  <c r="BQ76" i="9"/>
  <c r="BU76" i="9" s="1"/>
  <c r="BQ80" i="9"/>
  <c r="BS5" i="9"/>
  <c r="BQ14" i="9"/>
  <c r="BU14" i="9" s="1"/>
  <c r="BK51" i="9"/>
  <c r="Q51" i="8"/>
  <c r="BE51" i="8" s="1"/>
  <c r="W51" i="8"/>
  <c r="BK51" i="8" s="1"/>
  <c r="AK79" i="8"/>
  <c r="I79" i="8"/>
  <c r="AV79" i="8" s="1"/>
  <c r="FK15" i="8"/>
  <c r="DA16" i="9"/>
  <c r="AK16" i="9"/>
  <c r="DG25" i="9"/>
  <c r="Z25" i="8" s="1"/>
  <c r="DH25" i="9"/>
  <c r="AN38" i="9"/>
  <c r="AU38" i="9" s="1"/>
  <c r="BV66" i="8"/>
  <c r="FH66" i="8"/>
  <c r="BU27" i="9"/>
  <c r="U27" i="8"/>
  <c r="BI27" i="8" s="1"/>
  <c r="FK6" i="9"/>
  <c r="FK39" i="9"/>
  <c r="BX39" i="8"/>
  <c r="EP51" i="9"/>
  <c r="AH51" i="8"/>
  <c r="FH51" i="8" s="1"/>
  <c r="EQ51" i="9"/>
  <c r="BI11" i="9"/>
  <c r="AJ7" i="8"/>
  <c r="BI7" i="9"/>
  <c r="W7" i="8" s="1"/>
  <c r="BK7" i="8" s="1"/>
  <c r="BY4" i="8"/>
  <c r="EA4" i="8"/>
  <c r="Q78" i="8"/>
  <c r="BE78" i="8" s="1"/>
  <c r="W78" i="8"/>
  <c r="BK78" i="8" s="1"/>
  <c r="W61" i="8"/>
  <c r="BK61" i="8" s="1"/>
  <c r="AJ78" i="8"/>
  <c r="AJ58" i="8"/>
  <c r="BI58" i="9"/>
  <c r="AJ57" i="8"/>
  <c r="BI54" i="9"/>
  <c r="BK54" i="9" s="1"/>
  <c r="AK53" i="8"/>
  <c r="I53" i="8"/>
  <c r="AV53" i="8" s="1"/>
  <c r="BI47" i="9"/>
  <c r="AJ47" i="8"/>
  <c r="AK44" i="8"/>
  <c r="I44" i="8"/>
  <c r="AV44" i="8" s="1"/>
  <c r="AJ42" i="8"/>
  <c r="BI42" i="9"/>
  <c r="AJ41" i="8"/>
  <c r="BI41" i="9"/>
  <c r="BF35" i="9"/>
  <c r="BE35" i="9"/>
  <c r="FK24" i="8"/>
  <c r="BY24" i="8"/>
  <c r="AJ23" i="8"/>
  <c r="BI23" i="9"/>
  <c r="BI22" i="9"/>
  <c r="AJ22" i="8"/>
  <c r="I21" i="8"/>
  <c r="AV21" i="8" s="1"/>
  <c r="AK21" i="8"/>
  <c r="AJ18" i="8"/>
  <c r="BI18" i="9"/>
  <c r="AK84" i="8"/>
  <c r="I84" i="8"/>
  <c r="AV84" i="8" s="1"/>
  <c r="BF84" i="9"/>
  <c r="I64" i="8"/>
  <c r="AV64" i="8" s="1"/>
  <c r="AK64" i="8"/>
  <c r="AJ61" i="8"/>
  <c r="BX61" i="8" s="1"/>
  <c r="AJ60" i="8"/>
  <c r="I55" i="8"/>
  <c r="AV55" i="8" s="1"/>
  <c r="AK55" i="8"/>
  <c r="BI34" i="9"/>
  <c r="AJ34" i="8"/>
  <c r="BI30" i="9"/>
  <c r="W30" i="8" s="1"/>
  <c r="BK30" i="8" s="1"/>
  <c r="AJ30" i="8"/>
  <c r="I26" i="8"/>
  <c r="AV26" i="8" s="1"/>
  <c r="AK26" i="8"/>
  <c r="AJ25" i="8"/>
  <c r="BI25" i="9"/>
  <c r="F80" i="8"/>
  <c r="AS80" i="8" s="1"/>
  <c r="BI32" i="9"/>
  <c r="AJ32" i="8"/>
  <c r="I25" i="8"/>
  <c r="AV25" i="8" s="1"/>
  <c r="AK25" i="8"/>
  <c r="AJ20" i="8"/>
  <c r="AJ75" i="8"/>
  <c r="BI71" i="9"/>
  <c r="AJ71" i="8"/>
  <c r="AJ67" i="8"/>
  <c r="BI62" i="9"/>
  <c r="AK57" i="8"/>
  <c r="I57" i="8"/>
  <c r="AV57" i="8" s="1"/>
  <c r="I32" i="8"/>
  <c r="AV32" i="8" s="1"/>
  <c r="AK32" i="8"/>
  <c r="AK20" i="8"/>
  <c r="I20" i="8"/>
  <c r="AV20" i="8" s="1"/>
  <c r="AK16" i="8"/>
  <c r="I16" i="8"/>
  <c r="AV16" i="8" s="1"/>
  <c r="BI5" i="9"/>
  <c r="BE8" i="9"/>
  <c r="BK8" i="9" s="1"/>
  <c r="AJ17" i="8"/>
  <c r="AJ52" i="8"/>
  <c r="BE7" i="9"/>
  <c r="BE5" i="9"/>
  <c r="AI67" i="9"/>
  <c r="F31" i="8"/>
  <c r="AS31" i="8" s="1"/>
  <c r="AJ63" i="8"/>
  <c r="BE67" i="9"/>
  <c r="BK67" i="9" s="1"/>
  <c r="AJ11" i="8"/>
  <c r="AI78" i="9"/>
  <c r="AI75" i="9"/>
  <c r="BE62" i="9"/>
  <c r="ER50" i="9"/>
  <c r="AI48" i="9"/>
  <c r="BE9" i="9"/>
  <c r="BK9" i="9" s="1"/>
  <c r="BI65" i="9"/>
  <c r="BE42" i="9"/>
  <c r="BE34" i="9"/>
  <c r="BI43" i="9"/>
  <c r="BE33" i="9"/>
  <c r="BK33" i="9" s="1"/>
  <c r="BE78" i="9"/>
  <c r="BK78" i="9" s="1"/>
  <c r="P78" i="8" s="1"/>
  <c r="AI65" i="9"/>
  <c r="AI39" i="9"/>
  <c r="F60" i="8"/>
  <c r="AS60" i="8" s="1"/>
  <c r="F75" i="8"/>
  <c r="AS75" i="8" s="1"/>
  <c r="F36" i="8"/>
  <c r="AS36" i="8" s="1"/>
  <c r="F17" i="8"/>
  <c r="AS17" i="8" s="1"/>
  <c r="F4" i="8"/>
  <c r="AS4" i="8" s="1"/>
  <c r="F65" i="8"/>
  <c r="AS65" i="8" s="1"/>
  <c r="F7" i="8"/>
  <c r="AS7" i="8" s="1"/>
  <c r="W37" i="8"/>
  <c r="BK37" i="8" s="1"/>
  <c r="F50" i="8"/>
  <c r="AS50" i="8" s="1"/>
  <c r="F27" i="8"/>
  <c r="AS27" i="8" s="1"/>
  <c r="F59" i="8"/>
  <c r="AS59" i="8" s="1"/>
  <c r="F55" i="8"/>
  <c r="AS55" i="8" s="1"/>
  <c r="F47" i="8"/>
  <c r="AS47" i="8" s="1"/>
  <c r="F18" i="8"/>
  <c r="AS18" i="8" s="1"/>
  <c r="F82" i="8"/>
  <c r="AS82" i="8" s="1"/>
  <c r="F28" i="8"/>
  <c r="AS28" i="8" s="1"/>
  <c r="F70" i="8"/>
  <c r="AS70" i="8" s="1"/>
  <c r="F54" i="8"/>
  <c r="AS54" i="8" s="1"/>
  <c r="F73" i="8"/>
  <c r="AS73" i="8" s="1"/>
  <c r="F71" i="8"/>
  <c r="AS71" i="8" s="1"/>
  <c r="BK79" i="9"/>
  <c r="I80" i="8"/>
  <c r="AV80" i="8" s="1"/>
  <c r="BI66" i="9"/>
  <c r="I60" i="8"/>
  <c r="AV60" i="8" s="1"/>
  <c r="AK47" i="8"/>
  <c r="AK46" i="8"/>
  <c r="I46" i="8"/>
  <c r="AV46" i="8" s="1"/>
  <c r="I45" i="8"/>
  <c r="AV45" i="8" s="1"/>
  <c r="I24" i="8"/>
  <c r="AV24" i="8" s="1"/>
  <c r="AK22" i="8"/>
  <c r="I22" i="8"/>
  <c r="AV22" i="8" s="1"/>
  <c r="AK18" i="8"/>
  <c r="I14" i="8"/>
  <c r="AV14" i="8" s="1"/>
  <c r="AK14" i="8"/>
  <c r="AK12" i="8"/>
  <c r="I12" i="8"/>
  <c r="AV12" i="8" s="1"/>
  <c r="AJ8" i="8"/>
  <c r="K73" i="8"/>
  <c r="AX73" i="8" s="1"/>
  <c r="K10" i="8"/>
  <c r="AX10" i="8" s="1"/>
  <c r="F21" i="8"/>
  <c r="AS21" i="8" s="1"/>
  <c r="F37" i="8"/>
  <c r="AS37" i="8" s="1"/>
  <c r="F16" i="8"/>
  <c r="AS16" i="8" s="1"/>
  <c r="F11" i="8"/>
  <c r="AS11" i="8" s="1"/>
  <c r="F24" i="8"/>
  <c r="AS24" i="8" s="1"/>
  <c r="F19" i="8"/>
  <c r="AS19" i="8" s="1"/>
  <c r="BK55" i="9"/>
  <c r="P55" i="8" s="1"/>
  <c r="F49" i="8"/>
  <c r="AS49" i="8" s="1"/>
  <c r="F48" i="8"/>
  <c r="AS48" i="8" s="1"/>
  <c r="W67" i="8"/>
  <c r="BK67" i="8" s="1"/>
  <c r="F72" i="8"/>
  <c r="AS72" i="8" s="1"/>
  <c r="Q57" i="8"/>
  <c r="BE57" i="8" s="1"/>
  <c r="F67" i="8"/>
  <c r="AS67" i="8" s="1"/>
  <c r="W16" i="8"/>
  <c r="BK16" i="8" s="1"/>
  <c r="W15" i="8"/>
  <c r="BK15" i="8" s="1"/>
  <c r="AK72" i="8"/>
  <c r="I72" i="8"/>
  <c r="AV72" i="8" s="1"/>
  <c r="AK67" i="8"/>
  <c r="I67" i="8"/>
  <c r="AV67" i="8" s="1"/>
  <c r="AK66" i="8"/>
  <c r="I66" i="8"/>
  <c r="AV66" i="8" s="1"/>
  <c r="I63" i="8"/>
  <c r="AV63" i="8" s="1"/>
  <c r="BI56" i="9"/>
  <c r="AJ55" i="8"/>
  <c r="AK42" i="8"/>
  <c r="I42" i="8"/>
  <c r="AV42" i="8" s="1"/>
  <c r="AK36" i="8"/>
  <c r="I35" i="8"/>
  <c r="AV35" i="8" s="1"/>
  <c r="AK35" i="8"/>
  <c r="AK34" i="8"/>
  <c r="I34" i="8"/>
  <c r="AV34" i="8" s="1"/>
  <c r="AK33" i="8"/>
  <c r="I33" i="8"/>
  <c r="AV33" i="8" s="1"/>
  <c r="BI10" i="9"/>
  <c r="AK9" i="8"/>
  <c r="I9" i="8"/>
  <c r="AV9" i="8" s="1"/>
  <c r="I8" i="8"/>
  <c r="AV8" i="8" s="1"/>
  <c r="AK8" i="8"/>
  <c r="AK7" i="8"/>
  <c r="K16" i="8"/>
  <c r="AX16" i="8" s="1"/>
  <c r="F46" i="8"/>
  <c r="AS46" i="8" s="1"/>
  <c r="F5" i="8"/>
  <c r="AS5" i="8" s="1"/>
  <c r="F35" i="8"/>
  <c r="AS35" i="8" s="1"/>
  <c r="F32" i="8"/>
  <c r="AS32" i="8" s="1"/>
  <c r="F68" i="8"/>
  <c r="AS68" i="8" s="1"/>
  <c r="F66" i="8"/>
  <c r="AS66" i="8" s="1"/>
  <c r="BK72" i="9"/>
  <c r="BK61" i="9"/>
  <c r="I81" i="8"/>
  <c r="AV81" i="8" s="1"/>
  <c r="AK78" i="8"/>
  <c r="AK77" i="8"/>
  <c r="I77" i="8"/>
  <c r="AV77" i="8" s="1"/>
  <c r="AK75" i="8"/>
  <c r="I74" i="8"/>
  <c r="AV74" i="8" s="1"/>
  <c r="AK74" i="8"/>
  <c r="AK73" i="8"/>
  <c r="AK68" i="8"/>
  <c r="I68" i="8"/>
  <c r="AV68" i="8" s="1"/>
  <c r="AH62" i="8"/>
  <c r="H62" i="8"/>
  <c r="AU62" i="8" s="1"/>
  <c r="AK58" i="8"/>
  <c r="I58" i="8"/>
  <c r="AV58" i="8" s="1"/>
  <c r="AK56" i="8"/>
  <c r="I56" i="8"/>
  <c r="AV56" i="8" s="1"/>
  <c r="AK49" i="8"/>
  <c r="I49" i="8"/>
  <c r="AV49" i="8" s="1"/>
  <c r="I48" i="8"/>
  <c r="AV48" i="8" s="1"/>
  <c r="AK48" i="8"/>
  <c r="BI39" i="9"/>
  <c r="AK30" i="8"/>
  <c r="I19" i="8"/>
  <c r="AV19" i="8" s="1"/>
  <c r="AJ16" i="8"/>
  <c r="AK11" i="8"/>
  <c r="I11" i="8"/>
  <c r="AV11" i="8" s="1"/>
  <c r="AK10" i="8"/>
  <c r="I10" i="8"/>
  <c r="AV10" i="8" s="1"/>
  <c r="Z16" i="8"/>
  <c r="K25" i="8"/>
  <c r="AX25" i="8" s="1"/>
  <c r="F33" i="8"/>
  <c r="AS33" i="8" s="1"/>
  <c r="F10" i="8"/>
  <c r="AS10" i="8" s="1"/>
  <c r="F23" i="8"/>
  <c r="AS23" i="8" s="1"/>
  <c r="W8" i="8"/>
  <c r="BK8" i="8" s="1"/>
  <c r="F58" i="8"/>
  <c r="AS58" i="8" s="1"/>
  <c r="F30" i="8"/>
  <c r="AS30" i="8" s="1"/>
  <c r="F57" i="8"/>
  <c r="AS57" i="8" s="1"/>
  <c r="F38" i="8"/>
  <c r="AS38" i="8" s="1"/>
  <c r="F29" i="8"/>
  <c r="AS29" i="8" s="1"/>
  <c r="BK18" i="9"/>
  <c r="AK76" i="8"/>
  <c r="AK71" i="8"/>
  <c r="I71" i="8"/>
  <c r="AV71" i="8" s="1"/>
  <c r="I65" i="8"/>
  <c r="AV65" i="8" s="1"/>
  <c r="AK54" i="8"/>
  <c r="I54" i="8"/>
  <c r="AV54" i="8" s="1"/>
  <c r="I40" i="8"/>
  <c r="AV40" i="8" s="1"/>
  <c r="I39" i="8"/>
  <c r="AV39" i="8" s="1"/>
  <c r="AK39" i="8"/>
  <c r="I38" i="8"/>
  <c r="AV38" i="8" s="1"/>
  <c r="AK38" i="8"/>
  <c r="I37" i="8"/>
  <c r="AV37" i="8" s="1"/>
  <c r="I17" i="8"/>
  <c r="AV17" i="8" s="1"/>
  <c r="AK17" i="8"/>
  <c r="BI14" i="9"/>
  <c r="I6" i="8"/>
  <c r="AV6" i="8" s="1"/>
  <c r="AK6" i="8"/>
  <c r="BK60" i="9"/>
  <c r="CV60" i="9" s="1"/>
  <c r="V60" i="8" s="1"/>
  <c r="BJ60" i="8" s="1"/>
  <c r="F51" i="8"/>
  <c r="AS51" i="8" s="1"/>
  <c r="BK50" i="9"/>
  <c r="CW50" i="9" s="1"/>
  <c r="AI50" i="8" s="1"/>
  <c r="AK62" i="8"/>
  <c r="BK20" i="9"/>
  <c r="P20" i="8" s="1"/>
  <c r="R20" i="8" s="1"/>
  <c r="BK26" i="9"/>
  <c r="BK21" i="9"/>
  <c r="BE39" i="9"/>
  <c r="BE41" i="9"/>
  <c r="AK61" i="8"/>
  <c r="BE37" i="9"/>
  <c r="BK37" i="9" s="1"/>
  <c r="P37" i="8" s="1"/>
  <c r="AJ15" i="8"/>
  <c r="BE65" i="9"/>
  <c r="BE36" i="9"/>
  <c r="W21" i="8"/>
  <c r="BK21" i="8" s="1"/>
  <c r="BK81" i="9"/>
  <c r="P81" i="8" s="1"/>
  <c r="BK31" i="9"/>
  <c r="CV31" i="9" s="1"/>
  <c r="V31" i="8" s="1"/>
  <c r="BJ31" i="8" s="1"/>
  <c r="BE77" i="9"/>
  <c r="I61" i="8"/>
  <c r="AV61" i="8" s="1"/>
  <c r="BE56" i="9"/>
  <c r="BI75" i="9"/>
  <c r="AJ56" i="8"/>
  <c r="AK29" i="8"/>
  <c r="BI73" i="9"/>
  <c r="AK50" i="8"/>
  <c r="AK69" i="8"/>
  <c r="I70" i="8"/>
  <c r="AV70" i="8" s="1"/>
  <c r="BE66" i="9"/>
  <c r="AJ62" i="8"/>
  <c r="BX62" i="8" s="1"/>
  <c r="AK70" i="8"/>
  <c r="AJ12" i="8"/>
  <c r="BE80" i="9"/>
  <c r="BK80" i="9" s="1"/>
  <c r="BE69" i="9"/>
  <c r="BE63" i="9"/>
  <c r="BK63" i="9" s="1"/>
  <c r="BE49" i="9"/>
  <c r="BK6" i="9"/>
  <c r="BE73" i="9"/>
  <c r="BK59" i="9"/>
  <c r="BE74" i="9"/>
  <c r="F81" i="8"/>
  <c r="AS81" i="8" s="1"/>
  <c r="BE48" i="9"/>
  <c r="F13" i="8"/>
  <c r="AS13" i="8" s="1"/>
  <c r="BK28" i="9"/>
  <c r="P28" i="8" s="1"/>
  <c r="BK30" i="9"/>
  <c r="CW30" i="9" s="1"/>
  <c r="AI30" i="8" s="1"/>
  <c r="F14" i="8"/>
  <c r="AS14" i="8" s="1"/>
  <c r="BE38" i="9"/>
  <c r="BK38" i="9" s="1"/>
  <c r="F62" i="8"/>
  <c r="AS62" i="8" s="1"/>
  <c r="BE64" i="9"/>
  <c r="BK64" i="9" s="1"/>
  <c r="I62" i="8"/>
  <c r="AV62" i="8" s="1"/>
  <c r="BE52" i="9"/>
  <c r="I50" i="8"/>
  <c r="AV50" i="8" s="1"/>
  <c r="I43" i="8"/>
  <c r="AV43" i="8" s="1"/>
  <c r="BE32" i="9"/>
  <c r="I31" i="8"/>
  <c r="AV31" i="8" s="1"/>
  <c r="I28" i="8"/>
  <c r="AV28" i="8" s="1"/>
  <c r="I23" i="8"/>
  <c r="AV23" i="8" s="1"/>
  <c r="I15" i="8"/>
  <c r="AV15" i="8" s="1"/>
  <c r="I4" i="8"/>
  <c r="EP13" i="9"/>
  <c r="BV47" i="8"/>
  <c r="FH47" i="8"/>
  <c r="H18" i="8"/>
  <c r="AU18" i="8" s="1"/>
  <c r="AH18" i="8"/>
  <c r="ER80" i="9"/>
  <c r="EP80" i="9"/>
  <c r="AT61" i="9"/>
  <c r="ES61" i="9" s="1"/>
  <c r="I61" i="11"/>
  <c r="I53" i="11"/>
  <c r="ER27" i="9"/>
  <c r="ES27" i="9"/>
  <c r="EP27" i="9"/>
  <c r="AT23" i="9"/>
  <c r="EP23" i="9" s="1"/>
  <c r="I23" i="11"/>
  <c r="ES20" i="9"/>
  <c r="EQ20" i="9"/>
  <c r="AT5" i="9"/>
  <c r="ER5" i="9" s="1"/>
  <c r="I5" i="11"/>
  <c r="H18" i="11"/>
  <c r="G18" i="11"/>
  <c r="G11" i="11"/>
  <c r="H11" i="11"/>
  <c r="FH42" i="8"/>
  <c r="BV42" i="8"/>
  <c r="ES80" i="9"/>
  <c r="EP18" i="9"/>
  <c r="EP54" i="9"/>
  <c r="U54" i="8"/>
  <c r="BI54" i="8" s="1"/>
  <c r="EQ54" i="9"/>
  <c r="AH54" i="8"/>
  <c r="AH73" i="8"/>
  <c r="H73" i="8"/>
  <c r="AU73" i="8" s="1"/>
  <c r="ES69" i="9"/>
  <c r="EP69" i="9"/>
  <c r="EQ69" i="9"/>
  <c r="ER69" i="9"/>
  <c r="AT57" i="9"/>
  <c r="I57" i="11"/>
  <c r="EP50" i="9"/>
  <c r="EQ50" i="9"/>
  <c r="I44" i="11"/>
  <c r="EP31" i="9"/>
  <c r="ES31" i="9"/>
  <c r="ER31" i="9"/>
  <c r="AT29" i="9"/>
  <c r="I29" i="11"/>
  <c r="AT26" i="9"/>
  <c r="I26" i="11"/>
  <c r="EQ21" i="9"/>
  <c r="ES21" i="9"/>
  <c r="ER21" i="9"/>
  <c r="AT15" i="9"/>
  <c r="AT7" i="9"/>
  <c r="EQ7" i="9" s="1"/>
  <c r="I7" i="11"/>
  <c r="G44" i="11"/>
  <c r="H44" i="11"/>
  <c r="H37" i="11"/>
  <c r="G37" i="11"/>
  <c r="H31" i="11"/>
  <c r="G31" i="11"/>
  <c r="EQ27" i="9"/>
  <c r="EP21" i="9"/>
  <c r="BV31" i="8"/>
  <c r="FH31" i="8"/>
  <c r="G36" i="11"/>
  <c r="AH69" i="8"/>
  <c r="H69" i="8"/>
  <c r="AU69" i="8" s="1"/>
  <c r="EP60" i="9"/>
  <c r="AH60" i="8"/>
  <c r="I70" i="11"/>
  <c r="I20" i="11"/>
  <c r="I52" i="11"/>
  <c r="H79" i="8"/>
  <c r="AU79" i="8" s="1"/>
  <c r="AH79" i="8"/>
  <c r="U79" i="8"/>
  <c r="BI79" i="8" s="1"/>
  <c r="AH9" i="8"/>
  <c r="EP9" i="9"/>
  <c r="U9" i="8"/>
  <c r="BI9" i="8" s="1"/>
  <c r="AT81" i="9"/>
  <c r="I81" i="11"/>
  <c r="EP52" i="9"/>
  <c r="EQ52" i="9"/>
  <c r="ER43" i="9"/>
  <c r="ES43" i="9"/>
  <c r="EP43" i="9"/>
  <c r="AT4" i="9"/>
  <c r="I4" i="11"/>
  <c r="H23" i="11"/>
  <c r="G23" i="11"/>
  <c r="G7" i="11"/>
  <c r="H7" i="11"/>
  <c r="EQ43" i="9"/>
  <c r="ER52" i="9"/>
  <c r="EQ31" i="9"/>
  <c r="H9" i="8"/>
  <c r="AU9" i="8" s="1"/>
  <c r="EP24" i="9"/>
  <c r="I32" i="11"/>
  <c r="I50" i="11"/>
  <c r="AH6" i="8"/>
  <c r="AH8" i="8"/>
  <c r="AH77" i="8"/>
  <c r="H77" i="8"/>
  <c r="AU77" i="8" s="1"/>
  <c r="I31" i="11"/>
  <c r="H21" i="8"/>
  <c r="AU21" i="8" s="1"/>
  <c r="U21" i="8"/>
  <c r="BI21" i="8" s="1"/>
  <c r="AH21" i="8"/>
  <c r="H37" i="8"/>
  <c r="AU37" i="8" s="1"/>
  <c r="AH37" i="8"/>
  <c r="H51" i="8"/>
  <c r="AU51" i="8" s="1"/>
  <c r="AH39" i="8"/>
  <c r="EQ80" i="9"/>
  <c r="H36" i="8"/>
  <c r="AU36" i="8" s="1"/>
  <c r="H47" i="8"/>
  <c r="AU47" i="8" s="1"/>
  <c r="H12" i="8"/>
  <c r="AU12" i="8" s="1"/>
  <c r="H33" i="8"/>
  <c r="AU33" i="8" s="1"/>
  <c r="H35" i="8"/>
  <c r="AU35" i="8" s="1"/>
  <c r="H61" i="8"/>
  <c r="AU61" i="8" s="1"/>
  <c r="AH81" i="8"/>
  <c r="H52" i="8"/>
  <c r="AU52" i="8" s="1"/>
  <c r="EQ38" i="9"/>
  <c r="H42" i="8"/>
  <c r="AU42" i="8" s="1"/>
  <c r="AH63" i="8"/>
  <c r="FH63" i="8" s="1"/>
  <c r="AH11" i="8"/>
  <c r="H82" i="8"/>
  <c r="AU82" i="8" s="1"/>
  <c r="EP48" i="9"/>
  <c r="ES50" i="9"/>
  <c r="H58" i="8"/>
  <c r="AU58" i="8" s="1"/>
  <c r="I13" i="11"/>
  <c r="H50" i="8"/>
  <c r="AU50" i="8" s="1"/>
  <c r="AH19" i="8"/>
  <c r="AH20" i="8"/>
  <c r="H26" i="8"/>
  <c r="AU26" i="8" s="1"/>
  <c r="FH41" i="8"/>
  <c r="EP49" i="9"/>
  <c r="I51" i="11"/>
  <c r="CR45" i="11"/>
  <c r="FH38" i="8"/>
  <c r="EQ49" i="9"/>
  <c r="CR36" i="11"/>
  <c r="I66" i="11"/>
  <c r="AT84" i="9"/>
  <c r="I84" i="11"/>
  <c r="AT82" i="9"/>
  <c r="ES82" i="9" s="1"/>
  <c r="I82" i="11"/>
  <c r="AT79" i="9"/>
  <c r="ES79" i="9" s="1"/>
  <c r="I79" i="11"/>
  <c r="AT77" i="9"/>
  <c r="EQ77" i="9" s="1"/>
  <c r="I77" i="11"/>
  <c r="AT76" i="9"/>
  <c r="I76" i="11"/>
  <c r="AT73" i="9"/>
  <c r="I73" i="11"/>
  <c r="AT64" i="9"/>
  <c r="I64" i="11"/>
  <c r="AT62" i="9"/>
  <c r="ES62" i="9" s="1"/>
  <c r="I62" i="11"/>
  <c r="AT55" i="9"/>
  <c r="I55" i="11"/>
  <c r="EQ41" i="9"/>
  <c r="I41" i="11"/>
  <c r="AT25" i="9"/>
  <c r="I25" i="11"/>
  <c r="AT16" i="9"/>
  <c r="EP16" i="9" s="1"/>
  <c r="I16" i="11"/>
  <c r="I6" i="11"/>
  <c r="AT6" i="9"/>
  <c r="CR84" i="11"/>
  <c r="BB84" i="11"/>
  <c r="CR63" i="11"/>
  <c r="BB63" i="11"/>
  <c r="BB62" i="11"/>
  <c r="CR62" i="11"/>
  <c r="BV80" i="8"/>
  <c r="FH80" i="8"/>
  <c r="BV36" i="8"/>
  <c r="FH36" i="8"/>
  <c r="AG38" i="8"/>
  <c r="I27" i="11"/>
  <c r="G27" i="11"/>
  <c r="H27" i="11"/>
  <c r="H15" i="8"/>
  <c r="AH15" i="8"/>
  <c r="AH70" i="8"/>
  <c r="EP70" i="9"/>
  <c r="H70" i="8"/>
  <c r="EQ70" i="9"/>
  <c r="EQ46" i="9"/>
  <c r="AH46" i="8"/>
  <c r="H46" i="8"/>
  <c r="H83" i="8"/>
  <c r="AU83" i="8" s="1"/>
  <c r="EP83" i="9"/>
  <c r="H68" i="8"/>
  <c r="AU68" i="8" s="1"/>
  <c r="AH68" i="8"/>
  <c r="EP22" i="9"/>
  <c r="U22" i="8"/>
  <c r="BI22" i="8" s="1"/>
  <c r="H22" i="8"/>
  <c r="AU22" i="8" s="1"/>
  <c r="AH22" i="8"/>
  <c r="CR9" i="11"/>
  <c r="AH28" i="8"/>
  <c r="BV28" i="8" s="1"/>
  <c r="H28" i="8"/>
  <c r="AU28" i="8" s="1"/>
  <c r="EP75" i="9"/>
  <c r="H75" i="8"/>
  <c r="AU75" i="8" s="1"/>
  <c r="AH75" i="8"/>
  <c r="EQ75" i="9"/>
  <c r="G8" i="11"/>
  <c r="H8" i="11"/>
  <c r="I8" i="11"/>
  <c r="G17" i="11"/>
  <c r="I17" i="11"/>
  <c r="H17" i="11"/>
  <c r="EQ61" i="9"/>
  <c r="FH16" i="8"/>
  <c r="AH14" i="8"/>
  <c r="EP14" i="9"/>
  <c r="U14" i="8"/>
  <c r="BI14" i="8" s="1"/>
  <c r="H14" i="8"/>
  <c r="AU14" i="8" s="1"/>
  <c r="H71" i="8"/>
  <c r="AU71" i="8" s="1"/>
  <c r="AH71" i="8"/>
  <c r="H29" i="8"/>
  <c r="AU29" i="8" s="1"/>
  <c r="AH29" i="8"/>
  <c r="H24" i="8"/>
  <c r="AU24" i="8" s="1"/>
  <c r="EQ24" i="9"/>
  <c r="AH24" i="8"/>
  <c r="H58" i="11"/>
  <c r="I58" i="11"/>
  <c r="G58" i="11"/>
  <c r="H46" i="11"/>
  <c r="G46" i="11"/>
  <c r="G45" i="11"/>
  <c r="I45" i="11"/>
  <c r="H45" i="11"/>
  <c r="I43" i="11"/>
  <c r="H43" i="11"/>
  <c r="I42" i="11"/>
  <c r="H42" i="11"/>
  <c r="H28" i="11"/>
  <c r="I28" i="11"/>
  <c r="G28" i="11"/>
  <c r="G22" i="11"/>
  <c r="I22" i="11"/>
  <c r="H21" i="11"/>
  <c r="G21" i="11"/>
  <c r="I21" i="11"/>
  <c r="H19" i="11"/>
  <c r="G19" i="11"/>
  <c r="I19" i="11"/>
  <c r="H10" i="11"/>
  <c r="G10" i="11"/>
  <c r="BV48" i="8"/>
  <c r="FH48" i="8"/>
  <c r="AH67" i="8"/>
  <c r="EQ67" i="9"/>
  <c r="ER36" i="9"/>
  <c r="EQ36" i="9"/>
  <c r="ES36" i="9"/>
  <c r="EP78" i="9"/>
  <c r="H78" i="8"/>
  <c r="AU78" i="8" s="1"/>
  <c r="EP41" i="9"/>
  <c r="H41" i="8"/>
  <c r="AU41" i="8" s="1"/>
  <c r="U41" i="8"/>
  <c r="BI41" i="8" s="1"/>
  <c r="H56" i="8"/>
  <c r="AU56" i="8" s="1"/>
  <c r="EQ56" i="9"/>
  <c r="AH56" i="8"/>
  <c r="CR8" i="11"/>
  <c r="G80" i="11"/>
  <c r="I80" i="11"/>
  <c r="H80" i="11"/>
  <c r="I72" i="11"/>
  <c r="H72" i="11"/>
  <c r="H71" i="11"/>
  <c r="I71" i="11"/>
  <c r="H69" i="11"/>
  <c r="G69" i="11"/>
  <c r="I69" i="11"/>
  <c r="G68" i="11"/>
  <c r="H68" i="11"/>
  <c r="I68" i="11"/>
  <c r="G67" i="11"/>
  <c r="H67" i="11"/>
  <c r="BV7" i="8"/>
  <c r="FH7" i="8"/>
  <c r="BV33" i="8"/>
  <c r="FH33" i="8"/>
  <c r="ES13" i="9"/>
  <c r="ER13" i="9"/>
  <c r="EQ13" i="9"/>
  <c r="AH23" i="8"/>
  <c r="H23" i="8"/>
  <c r="H5" i="8"/>
  <c r="AU5" i="8" s="1"/>
  <c r="EP5" i="9"/>
  <c r="AH5" i="8"/>
  <c r="AH4" i="8"/>
  <c r="BB46" i="11"/>
  <c r="CR46" i="11"/>
  <c r="BB39" i="11"/>
  <c r="CR39" i="11"/>
  <c r="BB38" i="11"/>
  <c r="CR38" i="11"/>
  <c r="CR24" i="11"/>
  <c r="BB24" i="11"/>
  <c r="BB10" i="11"/>
  <c r="ES58" i="9"/>
  <c r="EQ58" i="9"/>
  <c r="ER58" i="9"/>
  <c r="EP58" i="9"/>
  <c r="EP35" i="9"/>
  <c r="ES35" i="9"/>
  <c r="ER35" i="9"/>
  <c r="EQ35" i="9"/>
  <c r="EP11" i="9"/>
  <c r="ER11" i="9"/>
  <c r="EQ11" i="9"/>
  <c r="ES11" i="9"/>
  <c r="EP74" i="9"/>
  <c r="EQ74" i="9"/>
  <c r="ES74" i="9"/>
  <c r="ER66" i="9"/>
  <c r="EP66" i="9"/>
  <c r="ES66" i="9"/>
  <c r="EQ66" i="9"/>
  <c r="ES42" i="9"/>
  <c r="EQ42" i="9"/>
  <c r="ER42" i="9"/>
  <c r="EP42" i="9"/>
  <c r="ES37" i="9"/>
  <c r="ER37" i="9"/>
  <c r="EP37" i="9"/>
  <c r="ER17" i="9"/>
  <c r="ES17" i="9"/>
  <c r="EQ17" i="9"/>
  <c r="ES12" i="9"/>
  <c r="EQ12" i="9"/>
  <c r="EP12" i="9"/>
  <c r="ER12" i="9"/>
  <c r="ES10" i="9"/>
  <c r="EP10" i="9"/>
  <c r="ER10" i="9"/>
  <c r="ER32" i="9"/>
  <c r="ES32" i="9"/>
  <c r="EP32" i="9"/>
  <c r="ES28" i="9"/>
  <c r="EQ28" i="9"/>
  <c r="ER28" i="9"/>
  <c r="ES4" i="9"/>
  <c r="EP4" i="9"/>
  <c r="EP17" i="9"/>
  <c r="EP46" i="9"/>
  <c r="EP28" i="9"/>
  <c r="ER74" i="9"/>
  <c r="EQ10" i="9"/>
  <c r="EQ9" i="9"/>
  <c r="EQ32" i="9"/>
  <c r="EQ37" i="9"/>
  <c r="EQ14" i="9"/>
  <c r="ER38" i="9"/>
  <c r="ES38" i="9"/>
  <c r="ES19" i="9"/>
  <c r="ER19" i="9"/>
  <c r="ER82" i="9"/>
  <c r="EQ71" i="9"/>
  <c r="EP59" i="9"/>
  <c r="EQ18" i="9"/>
  <c r="EQ57" i="9"/>
  <c r="ER20" i="9"/>
  <c r="EQ83" i="9"/>
  <c r="EP68" i="9"/>
  <c r="EP30" i="9"/>
  <c r="ES75" i="9"/>
  <c r="ER70" i="9"/>
  <c r="CW51" i="9"/>
  <c r="AI51" i="8" s="1"/>
  <c r="P51" i="8"/>
  <c r="CV51" i="9"/>
  <c r="V51" i="8" s="1"/>
  <c r="BJ51" i="8" s="1"/>
  <c r="CV20" i="9"/>
  <c r="V20" i="8" s="1"/>
  <c r="BJ20" i="8" s="1"/>
  <c r="CW21" i="9"/>
  <c r="AI21" i="8" s="1"/>
  <c r="BK12" i="9"/>
  <c r="CW12" i="9" s="1"/>
  <c r="T79" i="9"/>
  <c r="AB79" i="9"/>
  <c r="Y48" i="9"/>
  <c r="S48" i="9"/>
  <c r="T48" i="9"/>
  <c r="AL48" i="9" s="1"/>
  <c r="Z48" i="9"/>
  <c r="Y47" i="9"/>
  <c r="Z47" i="9"/>
  <c r="T47" i="9"/>
  <c r="AB47" i="9"/>
  <c r="EF41" i="9"/>
  <c r="ER41" i="9"/>
  <c r="EG41" i="9"/>
  <c r="ES41" i="9"/>
  <c r="CQ71" i="9"/>
  <c r="CQ36" i="9"/>
  <c r="CQ7" i="9"/>
  <c r="CQ28" i="9"/>
  <c r="AB71" i="9"/>
  <c r="T71" i="9"/>
  <c r="AL71" i="9" s="1"/>
  <c r="R71" i="9"/>
  <c r="U71" i="9" s="1"/>
  <c r="T68" i="9"/>
  <c r="R68" i="9"/>
  <c r="AB55" i="9"/>
  <c r="S55" i="9"/>
  <c r="Z55" i="9"/>
  <c r="Y55" i="9"/>
  <c r="T55" i="9"/>
  <c r="AL55" i="9" s="1"/>
  <c r="AB31" i="9"/>
  <c r="Y31" i="9"/>
  <c r="T31" i="9"/>
  <c r="Z31" i="9"/>
  <c r="W40" i="8"/>
  <c r="Q40" i="8"/>
  <c r="R83" i="9"/>
  <c r="Y83" i="9"/>
  <c r="Z83" i="9"/>
  <c r="T83" i="9"/>
  <c r="T73" i="9"/>
  <c r="Y73" i="9"/>
  <c r="EF71" i="9"/>
  <c r="EG71" i="9"/>
  <c r="ES71" i="9"/>
  <c r="ER71" i="9"/>
  <c r="AB57" i="9"/>
  <c r="R57" i="9"/>
  <c r="Y57" i="9"/>
  <c r="Z57" i="9"/>
  <c r="T57" i="9"/>
  <c r="AL57" i="9" s="1"/>
  <c r="S57" i="9"/>
  <c r="AJ57" i="9" s="1"/>
  <c r="AB56" i="9"/>
  <c r="T56" i="9"/>
  <c r="AL56" i="9" s="1"/>
  <c r="Y56" i="9"/>
  <c r="Z56" i="9"/>
  <c r="S56" i="9"/>
  <c r="EF55" i="9"/>
  <c r="EG55" i="9"/>
  <c r="R49" i="9"/>
  <c r="T49" i="9"/>
  <c r="AL49" i="9" s="1"/>
  <c r="S49" i="9"/>
  <c r="AJ49" i="9" s="1"/>
  <c r="AB49" i="9"/>
  <c r="EF46" i="9"/>
  <c r="EG46" i="9"/>
  <c r="ER46" i="9"/>
  <c r="ES46" i="9"/>
  <c r="Y78" i="9"/>
  <c r="T78" i="9"/>
  <c r="R78" i="9"/>
  <c r="S76" i="9"/>
  <c r="R76" i="9"/>
  <c r="T76" i="9"/>
  <c r="Z58" i="9"/>
  <c r="S58" i="9"/>
  <c r="AJ58" i="9" s="1"/>
  <c r="R58" i="9"/>
  <c r="AB58" i="9"/>
  <c r="Y58" i="9"/>
  <c r="T58" i="9"/>
  <c r="AL58" i="9" s="1"/>
  <c r="Z54" i="9"/>
  <c r="T54" i="9"/>
  <c r="Z29" i="9"/>
  <c r="T29" i="9"/>
  <c r="CQ51" i="9"/>
  <c r="CQ59" i="9"/>
  <c r="O77" i="9"/>
  <c r="P77" i="9" s="1"/>
  <c r="O13" i="9"/>
  <c r="P13" i="9" s="1"/>
  <c r="AM57" i="9"/>
  <c r="O57" i="9"/>
  <c r="P57" i="9" s="1"/>
  <c r="AM73" i="9"/>
  <c r="O73" i="9"/>
  <c r="P73" i="9" s="1"/>
  <c r="AM31" i="9"/>
  <c r="P31" i="9"/>
  <c r="AM6" i="9"/>
  <c r="O6" i="9"/>
  <c r="P6" i="9" s="1"/>
  <c r="O9" i="9"/>
  <c r="P9" i="9" s="1"/>
  <c r="AM9" i="9"/>
  <c r="AP9" i="9" s="1"/>
  <c r="AM17" i="9"/>
  <c r="O17" i="9"/>
  <c r="P17" i="9" s="1"/>
  <c r="O25" i="9"/>
  <c r="P25" i="9" s="1"/>
  <c r="AM25" i="9"/>
  <c r="AM33" i="9"/>
  <c r="O33" i="9"/>
  <c r="P33" i="9" s="1"/>
  <c r="AM49" i="9"/>
  <c r="O49" i="9"/>
  <c r="P49" i="9" s="1"/>
  <c r="AM59" i="9"/>
  <c r="O59" i="9"/>
  <c r="P59" i="9" s="1"/>
  <c r="O61" i="9"/>
  <c r="P61" i="9" s="1"/>
  <c r="O80" i="9"/>
  <c r="P80" i="9" s="1"/>
  <c r="AM11" i="9"/>
  <c r="O11" i="9"/>
  <c r="P11" i="9" s="1"/>
  <c r="AM68" i="9"/>
  <c r="O68" i="9"/>
  <c r="P68" i="9" s="1"/>
  <c r="AM84" i="9"/>
  <c r="O84" i="9"/>
  <c r="P84" i="9" s="1"/>
  <c r="AM18" i="9"/>
  <c r="O18" i="9"/>
  <c r="P18" i="9" s="1"/>
  <c r="AM34" i="9"/>
  <c r="O34" i="9"/>
  <c r="P34" i="9" s="1"/>
  <c r="AM21" i="9"/>
  <c r="P21" i="9"/>
  <c r="CW74" i="10"/>
  <c r="ES74" i="10" s="1"/>
  <c r="P15" i="8"/>
  <c r="AK81" i="9"/>
  <c r="DB81" i="9"/>
  <c r="U28" i="9"/>
  <c r="AF28" i="9" s="1"/>
  <c r="AH74" i="8"/>
  <c r="U74" i="8"/>
  <c r="BI74" i="8" s="1"/>
  <c r="H74" i="8"/>
  <c r="AU74" i="8" s="1"/>
  <c r="EE66" i="9"/>
  <c r="ED66" i="9"/>
  <c r="P57" i="8"/>
  <c r="CV57" i="9"/>
  <c r="V57" i="8" s="1"/>
  <c r="BJ57" i="8" s="1"/>
  <c r="CW57" i="9"/>
  <c r="AI57" i="8" s="1"/>
  <c r="O35" i="9"/>
  <c r="P35" i="9" s="1"/>
  <c r="H84" i="8"/>
  <c r="AU84" i="8" s="1"/>
  <c r="AH84" i="8"/>
  <c r="BK5" i="9"/>
  <c r="CV5" i="9" s="1"/>
  <c r="FX70" i="8"/>
  <c r="EN70" i="8"/>
  <c r="AD28" i="9"/>
  <c r="AK28" i="9" s="1"/>
  <c r="BK7" i="9"/>
  <c r="CV7" i="9" s="1"/>
  <c r="V7" i="8" s="1"/>
  <c r="BJ7" i="8" s="1"/>
  <c r="AL10" i="9"/>
  <c r="AE10" i="9"/>
  <c r="CW80" i="10"/>
  <c r="ES80" i="10" s="1"/>
  <c r="CW54" i="10"/>
  <c r="ES54" i="10" s="1"/>
  <c r="ER16" i="10"/>
  <c r="CB38" i="9"/>
  <c r="CG38" i="9" s="1"/>
  <c r="X38" i="8" s="1"/>
  <c r="CD38" i="9"/>
  <c r="CF38" i="9" s="1"/>
  <c r="O19" i="9"/>
  <c r="P19" i="9" s="1"/>
  <c r="O51" i="9"/>
  <c r="P51" i="9" s="1"/>
  <c r="O75" i="9"/>
  <c r="P75" i="9" s="1"/>
  <c r="EJ38" i="9"/>
  <c r="FM38" i="9"/>
  <c r="DK7" i="9"/>
  <c r="G38" i="8"/>
  <c r="AT38" i="8" s="1"/>
  <c r="P8" i="8"/>
  <c r="CV8" i="9"/>
  <c r="V8" i="8" s="1"/>
  <c r="BJ8" i="8" s="1"/>
  <c r="P50" i="8"/>
  <c r="R50" i="8" s="1"/>
  <c r="P31" i="8"/>
  <c r="CV50" i="9"/>
  <c r="V50" i="8" s="1"/>
  <c r="BJ50" i="8" s="1"/>
  <c r="P40" i="8"/>
  <c r="BD40" i="8" s="1"/>
  <c r="CW40" i="9"/>
  <c r="CV40" i="9"/>
  <c r="V40" i="8" s="1"/>
  <c r="BJ40" i="8" s="1"/>
  <c r="Q29" i="8"/>
  <c r="BE29" i="8" s="1"/>
  <c r="W29" i="8"/>
  <c r="BK29" i="8" s="1"/>
  <c r="BX29" i="8"/>
  <c r="BX31" i="8"/>
  <c r="Q31" i="8"/>
  <c r="BE31" i="8" s="1"/>
  <c r="W31" i="8"/>
  <c r="BK31" i="8" s="1"/>
  <c r="BX28" i="8"/>
  <c r="FK28" i="9"/>
  <c r="Q69" i="8"/>
  <c r="BE69" i="8" s="1"/>
  <c r="Q26" i="8"/>
  <c r="BE26" i="8" s="1"/>
  <c r="W26" i="8"/>
  <c r="BK26" i="8" s="1"/>
  <c r="BX68" i="8"/>
  <c r="FK68" i="9"/>
  <c r="W28" i="8"/>
  <c r="BK28" i="8" s="1"/>
  <c r="Q28" i="8"/>
  <c r="BE28" i="8" s="1"/>
  <c r="BX69" i="8"/>
  <c r="Q70" i="8"/>
  <c r="BE70" i="8" s="1"/>
  <c r="W70" i="8"/>
  <c r="BK70" i="8" s="1"/>
  <c r="FK26" i="9"/>
  <c r="BX26" i="8"/>
  <c r="Q68" i="8"/>
  <c r="BE68" i="8" s="1"/>
  <c r="W68" i="8"/>
  <c r="BK68" i="8" s="1"/>
  <c r="CV15" i="9"/>
  <c r="CW15" i="9"/>
  <c r="AI15" i="8" s="1"/>
  <c r="Q81" i="8"/>
  <c r="BE81" i="8" s="1"/>
  <c r="W81" i="8"/>
  <c r="BK81" i="8" s="1"/>
  <c r="FK19" i="9"/>
  <c r="BX19" i="8"/>
  <c r="BX81" i="8"/>
  <c r="AK38" i="9"/>
  <c r="DA38" i="9"/>
  <c r="FK37" i="8"/>
  <c r="BY37" i="8"/>
  <c r="EA31" i="8"/>
  <c r="FK31" i="8"/>
  <c r="BY31" i="8"/>
  <c r="BY23" i="8"/>
  <c r="EA23" i="8"/>
  <c r="FU23" i="8" s="1"/>
  <c r="FK23" i="8"/>
  <c r="EA60" i="8"/>
  <c r="FU60" i="8" s="1"/>
  <c r="BY60" i="8"/>
  <c r="FK60" i="8"/>
  <c r="BU41" i="9"/>
  <c r="BY81" i="8"/>
  <c r="EA81" i="8"/>
  <c r="FK81" i="8"/>
  <c r="BY41" i="8"/>
  <c r="FK41" i="8"/>
  <c r="EA41" i="8"/>
  <c r="FU41" i="8" s="1"/>
  <c r="FK27" i="8"/>
  <c r="EA27" i="8"/>
  <c r="FU27" i="8" s="1"/>
  <c r="BY27" i="8"/>
  <c r="BU21" i="9"/>
  <c r="FK40" i="8"/>
  <c r="EA40" i="8"/>
  <c r="FU40" i="8" s="1"/>
  <c r="BY40" i="8"/>
  <c r="EA43" i="8"/>
  <c r="FU43" i="8" s="1"/>
  <c r="BY43" i="8"/>
  <c r="FK43" i="8"/>
  <c r="FK80" i="8"/>
  <c r="EA80" i="8"/>
  <c r="BY80" i="8"/>
  <c r="EQ30" i="9"/>
  <c r="H30" i="8"/>
  <c r="AU30" i="8" s="1"/>
  <c r="EP19" i="9"/>
  <c r="EQ19" i="9"/>
  <c r="U19" i="8"/>
  <c r="BI19" i="8" s="1"/>
  <c r="H19" i="8"/>
  <c r="AU19" i="8" s="1"/>
  <c r="BK34" i="9"/>
  <c r="BV52" i="8"/>
  <c r="FH52" i="8"/>
  <c r="CV54" i="9"/>
  <c r="V54" i="8" s="1"/>
  <c r="BJ54" i="8" s="1"/>
  <c r="CV21" i="9"/>
  <c r="V21" i="8" s="1"/>
  <c r="BJ21" i="8" s="1"/>
  <c r="CC38" i="9"/>
  <c r="CE38" i="9" s="1"/>
  <c r="BT55" i="8"/>
  <c r="FF55" i="8"/>
  <c r="ED55" i="8"/>
  <c r="BV30" i="8"/>
  <c r="FH30" i="8"/>
  <c r="ED37" i="8"/>
  <c r="BT37" i="8"/>
  <c r="FF37" i="8"/>
  <c r="ED5" i="9"/>
  <c r="EA82" i="9"/>
  <c r="EB82" i="9"/>
  <c r="CY19" i="9"/>
  <c r="AD19" i="9"/>
  <c r="CZ19" i="9"/>
  <c r="ED12" i="9"/>
  <c r="EE12" i="9"/>
  <c r="EN18" i="8"/>
  <c r="FX18" i="8"/>
  <c r="ED45" i="9"/>
  <c r="EE45" i="9"/>
  <c r="CV61" i="9"/>
  <c r="V61" i="8" s="1"/>
  <c r="BJ61" i="8" s="1"/>
  <c r="AH82" i="8"/>
  <c r="EE82" i="9"/>
  <c r="ED82" i="9"/>
  <c r="EE10" i="9"/>
  <c r="ED10" i="9"/>
  <c r="EE58" i="9"/>
  <c r="ED58" i="9"/>
  <c r="Q30" i="8"/>
  <c r="BE30" i="8" s="1"/>
  <c r="O67" i="9"/>
  <c r="P67" i="9" s="1"/>
  <c r="BT31" i="8"/>
  <c r="FF31" i="8"/>
  <c r="BT27" i="8"/>
  <c r="ED27" i="8"/>
  <c r="FF27" i="8"/>
  <c r="ED79" i="8"/>
  <c r="FF79" i="8"/>
  <c r="BT79" i="8"/>
  <c r="FF36" i="8"/>
  <c r="BT36" i="8"/>
  <c r="ED36" i="8"/>
  <c r="EA38" i="9"/>
  <c r="EB38" i="9"/>
  <c r="FX73" i="8"/>
  <c r="EN73" i="8"/>
  <c r="BK14" i="9"/>
  <c r="W47" i="8"/>
  <c r="BK47" i="8" s="1"/>
  <c r="Q7" i="8"/>
  <c r="BE7" i="8" s="1"/>
  <c r="FF66" i="8"/>
  <c r="BT66" i="8"/>
  <c r="ED66" i="8"/>
  <c r="U82" i="8"/>
  <c r="BI82" i="8" s="1"/>
  <c r="ED38" i="9"/>
  <c r="EE38" i="9"/>
  <c r="ER70" i="10"/>
  <c r="ER78" i="10"/>
  <c r="ER77" i="10"/>
  <c r="ER65" i="10"/>
  <c r="CW65" i="10"/>
  <c r="ES65" i="10" s="1"/>
  <c r="ER49" i="10"/>
  <c r="CO23" i="11"/>
  <c r="CW11" i="10"/>
  <c r="ES11" i="10" s="1"/>
  <c r="ER11" i="10"/>
  <c r="U77" i="9"/>
  <c r="AF77" i="9" s="1"/>
  <c r="AP77" i="9" s="1"/>
  <c r="M77" i="8" s="1"/>
  <c r="AZ77" i="8" s="1"/>
  <c r="AN16" i="9"/>
  <c r="DC16" i="9"/>
  <c r="DI16" i="9" s="1"/>
  <c r="AL67" i="9"/>
  <c r="U67" i="9"/>
  <c r="AL27" i="9"/>
  <c r="U5" i="9"/>
  <c r="DL5" i="9" s="1"/>
  <c r="AO5" i="8" s="1"/>
  <c r="U59" i="9"/>
  <c r="AF59" i="9" s="1"/>
  <c r="CY59" i="9"/>
  <c r="CZ59" i="9"/>
  <c r="AD59" i="9"/>
  <c r="AC59" i="9"/>
  <c r="AE59" i="9"/>
  <c r="AA20" i="9"/>
  <c r="CQ20" i="9" s="1"/>
  <c r="AD61" i="9"/>
  <c r="AA17" i="9"/>
  <c r="CQ17" i="9" s="1"/>
  <c r="U32" i="9"/>
  <c r="T12" i="9"/>
  <c r="AL12" i="9" s="1"/>
  <c r="U37" i="9"/>
  <c r="DL37" i="9" s="1"/>
  <c r="AD20" i="9"/>
  <c r="AC20" i="9"/>
  <c r="CY20" i="9"/>
  <c r="CZ20" i="9"/>
  <c r="U61" i="9"/>
  <c r="AF61" i="9" s="1"/>
  <c r="AP61" i="9" s="1"/>
  <c r="M61" i="8" s="1"/>
  <c r="AZ61" i="8" s="1"/>
  <c r="AD74" i="9"/>
  <c r="CY74" i="9"/>
  <c r="CZ74" i="9"/>
  <c r="CZ52" i="9"/>
  <c r="CY52" i="9"/>
  <c r="AD17" i="9"/>
  <c r="CZ17" i="9"/>
  <c r="AE17" i="9"/>
  <c r="AF10" i="9"/>
  <c r="U36" i="9"/>
  <c r="AF36" i="9" s="1"/>
  <c r="DK38" i="9"/>
  <c r="DL38" i="9"/>
  <c r="T84" i="9"/>
  <c r="Z84" i="9"/>
  <c r="AA84" i="9" s="1"/>
  <c r="CQ84" i="9" s="1"/>
  <c r="AB84" i="9"/>
  <c r="Y84" i="9"/>
  <c r="AC69" i="9"/>
  <c r="U69" i="9"/>
  <c r="AJ33" i="9"/>
  <c r="AD63" i="9"/>
  <c r="AC63" i="9"/>
  <c r="AE63" i="9"/>
  <c r="CY63" i="9"/>
  <c r="CZ63" i="9"/>
  <c r="AE77" i="9"/>
  <c r="CZ77" i="9"/>
  <c r="AD77" i="9"/>
  <c r="AC77" i="9"/>
  <c r="CY77" i="9"/>
  <c r="Z13" i="9"/>
  <c r="AA13" i="9" s="1"/>
  <c r="CQ13" i="9" s="1"/>
  <c r="AB13" i="9"/>
  <c r="S13" i="9"/>
  <c r="AJ13" i="9" s="1"/>
  <c r="Y13" i="9"/>
  <c r="AE32" i="9"/>
  <c r="AD32" i="9"/>
  <c r="AC32" i="9"/>
  <c r="CY32" i="9"/>
  <c r="Z75" i="9"/>
  <c r="AA75" i="9" s="1"/>
  <c r="CQ75" i="9" s="1"/>
  <c r="CY5" i="9"/>
  <c r="AC5" i="9"/>
  <c r="AE5" i="9"/>
  <c r="CZ5" i="9"/>
  <c r="AD5" i="9"/>
  <c r="U6" i="9"/>
  <c r="AF6" i="9" s="1"/>
  <c r="AE11" i="9"/>
  <c r="CZ11" i="9"/>
  <c r="CY11" i="9"/>
  <c r="AC11" i="9"/>
  <c r="S26" i="9"/>
  <c r="AJ26" i="9" s="1"/>
  <c r="AB26" i="9"/>
  <c r="Z26" i="9"/>
  <c r="Y26" i="9"/>
  <c r="AE37" i="9"/>
  <c r="Y24" i="9"/>
  <c r="S24" i="9"/>
  <c r="AJ24" i="9" s="1"/>
  <c r="T24" i="9"/>
  <c r="AB24" i="9"/>
  <c r="S39" i="9"/>
  <c r="Z39" i="9"/>
  <c r="AB39" i="9"/>
  <c r="T39" i="9"/>
  <c r="AL39" i="9" s="1"/>
  <c r="AD69" i="9"/>
  <c r="AJ69" i="9"/>
  <c r="R22" i="9"/>
  <c r="Y30" i="9"/>
  <c r="AL52" i="9"/>
  <c r="AE52" i="9"/>
  <c r="T14" i="9"/>
  <c r="AL14" i="9" s="1"/>
  <c r="Y18" i="9"/>
  <c r="AL74" i="9"/>
  <c r="AE74" i="9"/>
  <c r="U74" i="9"/>
  <c r="AF74" i="9" s="1"/>
  <c r="S12" i="9"/>
  <c r="AJ12" i="9" s="1"/>
  <c r="AB12" i="9"/>
  <c r="Y12" i="9"/>
  <c r="Z12" i="9"/>
  <c r="R34" i="9"/>
  <c r="DD8" i="9"/>
  <c r="DC8" i="9"/>
  <c r="AL36" i="9"/>
  <c r="DC36" i="9" s="1"/>
  <c r="AE36" i="9"/>
  <c r="AC65" i="9"/>
  <c r="AE65" i="9"/>
  <c r="CY65" i="9"/>
  <c r="AD65" i="9"/>
  <c r="CZ65" i="9"/>
  <c r="Z70" i="9"/>
  <c r="AA70" i="9" s="1"/>
  <c r="CQ70" i="9" s="1"/>
  <c r="CY33" i="9"/>
  <c r="AD33" i="9"/>
  <c r="CZ33" i="9"/>
  <c r="AE33" i="9"/>
  <c r="AJ52" i="9"/>
  <c r="DB52" i="9" s="1"/>
  <c r="AD52" i="9"/>
  <c r="U63" i="9"/>
  <c r="AJ72" i="9"/>
  <c r="AD72" i="9"/>
  <c r="CY67" i="9"/>
  <c r="AE67" i="9"/>
  <c r="AD67" i="9"/>
  <c r="CZ67" i="9"/>
  <c r="AC67" i="9"/>
  <c r="AA11" i="9"/>
  <c r="CQ11" i="9" s="1"/>
  <c r="CY23" i="9"/>
  <c r="AC23" i="9"/>
  <c r="AD23" i="9"/>
  <c r="CZ23" i="9"/>
  <c r="AE23" i="9"/>
  <c r="CY41" i="9"/>
  <c r="CZ41" i="9"/>
  <c r="AC51" i="9"/>
  <c r="AD51" i="9"/>
  <c r="AE51" i="9"/>
  <c r="CZ51" i="9"/>
  <c r="CY51" i="9"/>
  <c r="DG9" i="9"/>
  <c r="DH9" i="9"/>
  <c r="AN9" i="9"/>
  <c r="AU9" i="9" s="1"/>
  <c r="AJ36" i="9"/>
  <c r="AD36" i="9"/>
  <c r="AJ65" i="9"/>
  <c r="U65" i="9"/>
  <c r="AL69" i="9"/>
  <c r="AE69" i="9"/>
  <c r="S22" i="9"/>
  <c r="AJ22" i="9" s="1"/>
  <c r="AB22" i="9"/>
  <c r="Y22" i="9"/>
  <c r="Z22" i="9"/>
  <c r="U52" i="9"/>
  <c r="AF52" i="9" s="1"/>
  <c r="AC52" i="9"/>
  <c r="AB54" i="9"/>
  <c r="S54" i="9"/>
  <c r="AJ54" i="9" s="1"/>
  <c r="AL72" i="9"/>
  <c r="AE72" i="9"/>
  <c r="Z14" i="9"/>
  <c r="Y14" i="9"/>
  <c r="S14" i="9"/>
  <c r="AB14" i="9"/>
  <c r="T35" i="9"/>
  <c r="AL35" i="9" s="1"/>
  <c r="S35" i="9"/>
  <c r="AJ35" i="9" s="1"/>
  <c r="Y35" i="9"/>
  <c r="Z35" i="9"/>
  <c r="AB35" i="9"/>
  <c r="T46" i="9"/>
  <c r="AL46" i="9" s="1"/>
  <c r="AB46" i="9"/>
  <c r="Y46" i="9"/>
  <c r="Z46" i="9"/>
  <c r="S46" i="9"/>
  <c r="CY62" i="9"/>
  <c r="CZ62" i="9"/>
  <c r="AC62" i="9"/>
  <c r="AD62" i="9"/>
  <c r="CY6" i="9"/>
  <c r="CZ6" i="9"/>
  <c r="AE6" i="9"/>
  <c r="AD6" i="9"/>
  <c r="AC6" i="9"/>
  <c r="Y34" i="9"/>
  <c r="Z34" i="9"/>
  <c r="AA34" i="9" s="1"/>
  <c r="CQ34" i="9" s="1"/>
  <c r="AB34" i="9"/>
  <c r="S34" i="9"/>
  <c r="AJ34" i="9" s="1"/>
  <c r="CY66" i="9"/>
  <c r="AE66" i="9"/>
  <c r="AC66" i="9"/>
  <c r="CZ66" i="9"/>
  <c r="DD9" i="9"/>
  <c r="DC9" i="9"/>
  <c r="DG8" i="9"/>
  <c r="K8" i="8"/>
  <c r="AX8" i="8" s="1"/>
  <c r="DH8" i="9"/>
  <c r="BG25" i="8"/>
  <c r="DV5" i="9"/>
  <c r="DU5" i="9"/>
  <c r="EW55" i="9"/>
  <c r="BG55" i="8"/>
  <c r="EX55" i="9"/>
  <c r="U60" i="8"/>
  <c r="BI60" i="8" s="1"/>
  <c r="U17" i="8"/>
  <c r="BI17" i="8" s="1"/>
  <c r="BU23" i="9"/>
  <c r="BS62" i="9"/>
  <c r="BS10" i="9"/>
  <c r="S10" i="8"/>
  <c r="BQ10" i="9"/>
  <c r="DZ10" i="9"/>
  <c r="DT10" i="9"/>
  <c r="DZ30" i="9"/>
  <c r="BQ30" i="9"/>
  <c r="BS30" i="9"/>
  <c r="DT30" i="9"/>
  <c r="S30" i="8"/>
  <c r="EX54" i="9"/>
  <c r="BG54" i="8"/>
  <c r="EW54" i="9"/>
  <c r="EA25" i="9"/>
  <c r="EB25" i="9"/>
  <c r="DU22" i="9"/>
  <c r="DV22" i="9"/>
  <c r="EX17" i="9"/>
  <c r="BG17" i="8"/>
  <c r="BG50" i="8"/>
  <c r="EX50" i="9"/>
  <c r="EW50" i="9"/>
  <c r="BU55" i="9"/>
  <c r="DV54" i="9"/>
  <c r="DU54" i="9"/>
  <c r="U37" i="8"/>
  <c r="BI37" i="8" s="1"/>
  <c r="BS24" i="9"/>
  <c r="DT24" i="9"/>
  <c r="DZ24" i="9"/>
  <c r="S24" i="8"/>
  <c r="DT64" i="9"/>
  <c r="S64" i="8"/>
  <c r="BQ64" i="9"/>
  <c r="BS64" i="9"/>
  <c r="DZ64" i="9"/>
  <c r="BS70" i="9"/>
  <c r="S70" i="8"/>
  <c r="BQ70" i="9"/>
  <c r="DZ70" i="9"/>
  <c r="DT70" i="9"/>
  <c r="DU25" i="9"/>
  <c r="DV25" i="9"/>
  <c r="DU17" i="9"/>
  <c r="DV17" i="9"/>
  <c r="EB79" i="9"/>
  <c r="EA79" i="9"/>
  <c r="EB50" i="9"/>
  <c r="EA50" i="9"/>
  <c r="EA55" i="9"/>
  <c r="EB55" i="9"/>
  <c r="DU41" i="9"/>
  <c r="DV41" i="9"/>
  <c r="EB22" i="9"/>
  <c r="EA22" i="9"/>
  <c r="BQ86" i="9"/>
  <c r="BS86" i="9"/>
  <c r="BG79" i="8"/>
  <c r="EX79" i="9"/>
  <c r="EW79" i="9"/>
  <c r="S56" i="8"/>
  <c r="BS56" i="9"/>
  <c r="BU56" i="9" s="1"/>
  <c r="DT56" i="9"/>
  <c r="DZ56" i="9"/>
  <c r="S63" i="8"/>
  <c r="DT63" i="9"/>
  <c r="BS63" i="9"/>
  <c r="BU63" i="9" s="1"/>
  <c r="DZ63" i="9"/>
  <c r="EB54" i="9"/>
  <c r="EA54" i="9"/>
  <c r="BG22" i="8"/>
  <c r="EX22" i="9"/>
  <c r="EA17" i="9"/>
  <c r="EB71" i="9"/>
  <c r="EA71" i="9"/>
  <c r="EW5" i="9"/>
  <c r="EX5" i="9"/>
  <c r="BG5" i="8"/>
  <c r="DU50" i="9"/>
  <c r="DV50" i="9"/>
  <c r="DU55" i="9"/>
  <c r="DV55" i="9"/>
  <c r="EW51" i="9"/>
  <c r="EX51" i="9"/>
  <c r="BG51" i="8"/>
  <c r="DV21" i="9"/>
  <c r="DU21" i="9"/>
  <c r="BU52" i="9"/>
  <c r="BU51" i="9"/>
  <c r="DU66" i="9"/>
  <c r="DV66" i="9"/>
  <c r="EA23" i="9"/>
  <c r="EB23" i="9"/>
  <c r="DU52" i="9"/>
  <c r="DV52" i="9"/>
  <c r="EA57" i="9"/>
  <c r="EB57" i="9"/>
  <c r="BU57" i="9"/>
  <c r="BQ34" i="9"/>
  <c r="DT34" i="9"/>
  <c r="DZ34" i="9"/>
  <c r="BS34" i="9"/>
  <c r="S34" i="8"/>
  <c r="DT72" i="9"/>
  <c r="DV72" i="9" s="1"/>
  <c r="BS72" i="9"/>
  <c r="BQ72" i="9"/>
  <c r="S72" i="8"/>
  <c r="BU37" i="9"/>
  <c r="EX60" i="9"/>
  <c r="BG60" i="8"/>
  <c r="EW60" i="9"/>
  <c r="BG80" i="8"/>
  <c r="EW37" i="9"/>
  <c r="BG37" i="8"/>
  <c r="EX37" i="9"/>
  <c r="S59" i="8"/>
  <c r="EB60" i="9"/>
  <c r="EA60" i="9"/>
  <c r="EB66" i="9"/>
  <c r="EA66" i="9"/>
  <c r="EW66" i="9"/>
  <c r="BG66" i="8"/>
  <c r="EX66" i="9"/>
  <c r="DU80" i="9"/>
  <c r="DV80" i="9"/>
  <c r="BS18" i="9"/>
  <c r="BQ18" i="9"/>
  <c r="S18" i="8"/>
  <c r="DZ18" i="9"/>
  <c r="DT18" i="9"/>
  <c r="BQ42" i="9"/>
  <c r="DT42" i="9"/>
  <c r="BS42" i="9"/>
  <c r="DZ42" i="9"/>
  <c r="BQ47" i="9"/>
  <c r="DZ47" i="9"/>
  <c r="S47" i="8"/>
  <c r="DT47" i="9"/>
  <c r="BS47" i="9"/>
  <c r="BS75" i="9"/>
  <c r="BQ75" i="9"/>
  <c r="DZ75" i="9"/>
  <c r="S75" i="8"/>
  <c r="DT75" i="9"/>
  <c r="DZ84" i="9"/>
  <c r="S84" i="8"/>
  <c r="BS84" i="9"/>
  <c r="DT84" i="9"/>
  <c r="BQ84" i="9"/>
  <c r="BU60" i="9"/>
  <c r="DV60" i="9"/>
  <c r="DU60" i="9"/>
  <c r="BS88" i="9"/>
  <c r="BU7" i="9"/>
  <c r="DU51" i="9"/>
  <c r="DV51" i="9"/>
  <c r="DU68" i="9"/>
  <c r="DV68" i="9"/>
  <c r="EW23" i="9"/>
  <c r="BG23" i="8"/>
  <c r="EX23" i="9"/>
  <c r="EX21" i="9"/>
  <c r="BG21" i="8"/>
  <c r="EW21" i="9"/>
  <c r="EB52" i="9"/>
  <c r="EA52" i="9"/>
  <c r="BS58" i="9"/>
  <c r="DZ58" i="9"/>
  <c r="DT58" i="9"/>
  <c r="S58" i="8"/>
  <c r="DU37" i="9"/>
  <c r="DV37" i="9"/>
  <c r="U39" i="8"/>
  <c r="BI39" i="8" s="1"/>
  <c r="BU39" i="9"/>
  <c r="U87" i="8"/>
  <c r="BI87" i="8" s="1"/>
  <c r="BU53" i="9"/>
  <c r="BU25" i="9"/>
  <c r="CW34" i="9"/>
  <c r="AI34" i="8" s="1"/>
  <c r="P34" i="8"/>
  <c r="BD34" i="8" s="1"/>
  <c r="FK63" i="9"/>
  <c r="BX63" i="8"/>
  <c r="W5" i="8"/>
  <c r="BK5" i="8" s="1"/>
  <c r="Q5" i="8"/>
  <c r="BE5" i="8" s="1"/>
  <c r="FK67" i="9"/>
  <c r="BX67" i="8"/>
  <c r="FK41" i="9"/>
  <c r="BX41" i="8"/>
  <c r="W54" i="8"/>
  <c r="BK54" i="8" s="1"/>
  <c r="Q54" i="8"/>
  <c r="BE54" i="8" s="1"/>
  <c r="FU4" i="8"/>
  <c r="BK47" i="9"/>
  <c r="BK66" i="9"/>
  <c r="P66" i="8" s="1"/>
  <c r="AM25" i="8"/>
  <c r="Q43" i="8"/>
  <c r="BE43" i="8" s="1"/>
  <c r="BK43" i="9"/>
  <c r="W43" i="8"/>
  <c r="BK43" i="8" s="1"/>
  <c r="EA16" i="8"/>
  <c r="FU16" i="8" s="1"/>
  <c r="BY16" i="8"/>
  <c r="FK16" i="8"/>
  <c r="BK71" i="9"/>
  <c r="Q71" i="8"/>
  <c r="BE71" i="8" s="1"/>
  <c r="W71" i="8"/>
  <c r="FK25" i="8"/>
  <c r="BY26" i="8"/>
  <c r="EA26" i="8"/>
  <c r="FU26" i="8" s="1"/>
  <c r="FK26" i="8"/>
  <c r="FK55" i="8"/>
  <c r="EA55" i="8"/>
  <c r="FU55" i="8" s="1"/>
  <c r="BY55" i="8"/>
  <c r="W22" i="8"/>
  <c r="BK22" i="8" s="1"/>
  <c r="Q22" i="8"/>
  <c r="BE22" i="8" s="1"/>
  <c r="BK22" i="9"/>
  <c r="Q41" i="8"/>
  <c r="BE41" i="8" s="1"/>
  <c r="W41" i="8"/>
  <c r="BK41" i="8" s="1"/>
  <c r="FK42" i="9"/>
  <c r="BX42" i="8"/>
  <c r="FK47" i="9"/>
  <c r="BX47" i="8"/>
  <c r="BY53" i="8"/>
  <c r="EA53" i="8"/>
  <c r="FU53" i="8" s="1"/>
  <c r="FK53" i="8"/>
  <c r="BX78" i="8"/>
  <c r="FK78" i="9"/>
  <c r="BX7" i="8"/>
  <c r="FK7" i="9"/>
  <c r="Q11" i="8"/>
  <c r="BE11" i="8" s="1"/>
  <c r="W11" i="8"/>
  <c r="BK11" i="8" s="1"/>
  <c r="Q25" i="8"/>
  <c r="BE25" i="8" s="1"/>
  <c r="W25" i="8"/>
  <c r="BK25" i="8" s="1"/>
  <c r="BY21" i="8"/>
  <c r="EA21" i="8"/>
  <c r="FU21" i="8" s="1"/>
  <c r="FK21" i="8"/>
  <c r="Q58" i="8"/>
  <c r="BE58" i="8" s="1"/>
  <c r="W58" i="8"/>
  <c r="CA16" i="8"/>
  <c r="FM16" i="8"/>
  <c r="CW78" i="9"/>
  <c r="CV78" i="9"/>
  <c r="FK52" i="9"/>
  <c r="BX52" i="8"/>
  <c r="FK20" i="8"/>
  <c r="BY20" i="8"/>
  <c r="EA20" i="8"/>
  <c r="FU20" i="8" s="1"/>
  <c r="EA57" i="8"/>
  <c r="FU57" i="8" s="1"/>
  <c r="BY57" i="8"/>
  <c r="FK57" i="8"/>
  <c r="FK75" i="9"/>
  <c r="BX75" i="8"/>
  <c r="FK20" i="9"/>
  <c r="BX20" i="8"/>
  <c r="FK32" i="9"/>
  <c r="BX32" i="8"/>
  <c r="FK25" i="9"/>
  <c r="BX25" i="8"/>
  <c r="FK30" i="9"/>
  <c r="BX30" i="8"/>
  <c r="Q34" i="8"/>
  <c r="BE34" i="8" s="1"/>
  <c r="W34" i="8"/>
  <c r="BK34" i="8" s="1"/>
  <c r="FK60" i="9"/>
  <c r="BX60" i="8"/>
  <c r="EA64" i="8"/>
  <c r="FU64" i="8" s="1"/>
  <c r="BY64" i="8"/>
  <c r="FK64" i="8"/>
  <c r="FK84" i="8"/>
  <c r="EA84" i="8"/>
  <c r="FU84" i="8" s="1"/>
  <c r="BY84" i="8"/>
  <c r="Q18" i="8"/>
  <c r="BE18" i="8" s="1"/>
  <c r="W18" i="8"/>
  <c r="BK18" i="8" s="1"/>
  <c r="Q23" i="8"/>
  <c r="BE23" i="8" s="1"/>
  <c r="FK58" i="9"/>
  <c r="BX58" i="8"/>
  <c r="P7" i="8"/>
  <c r="CW7" i="9"/>
  <c r="AI7" i="8" s="1"/>
  <c r="BX34" i="8"/>
  <c r="FK34" i="9"/>
  <c r="AO16" i="9"/>
  <c r="BK25" i="9"/>
  <c r="P25" i="8" s="1"/>
  <c r="Q47" i="8"/>
  <c r="BE47" i="8" s="1"/>
  <c r="Q65" i="8"/>
  <c r="BE65" i="8" s="1"/>
  <c r="W65" i="8"/>
  <c r="BK65" i="8" s="1"/>
  <c r="BX11" i="8"/>
  <c r="FK11" i="9"/>
  <c r="AK67" i="9"/>
  <c r="BX17" i="8"/>
  <c r="FK17" i="9"/>
  <c r="FK32" i="8"/>
  <c r="EA32" i="8"/>
  <c r="FU32" i="8" s="1"/>
  <c r="BY32" i="8"/>
  <c r="Q62" i="8"/>
  <c r="W62" i="8"/>
  <c r="BK62" i="8" s="1"/>
  <c r="FK71" i="9"/>
  <c r="BX71" i="8"/>
  <c r="Q32" i="8"/>
  <c r="BE32" i="8" s="1"/>
  <c r="W32" i="8"/>
  <c r="BK32" i="8" s="1"/>
  <c r="AJ84" i="8"/>
  <c r="BI84" i="9"/>
  <c r="BX18" i="8"/>
  <c r="FK18" i="9"/>
  <c r="FK22" i="9"/>
  <c r="BX22" i="8"/>
  <c r="FK23" i="9"/>
  <c r="BX23" i="8"/>
  <c r="AJ35" i="8"/>
  <c r="BI35" i="9"/>
  <c r="W42" i="8"/>
  <c r="BK42" i="8" s="1"/>
  <c r="Q42" i="8"/>
  <c r="BE42" i="8" s="1"/>
  <c r="EA44" i="8"/>
  <c r="FU44" i="8" s="1"/>
  <c r="BY44" i="8"/>
  <c r="FK44" i="8"/>
  <c r="FK57" i="9"/>
  <c r="BX57" i="8"/>
  <c r="EA79" i="8"/>
  <c r="BY79" i="8"/>
  <c r="FK79" i="8"/>
  <c r="EA6" i="8"/>
  <c r="FU6" i="8" s="1"/>
  <c r="BY6" i="8"/>
  <c r="FK6" i="8"/>
  <c r="FK73" i="8"/>
  <c r="EA73" i="8"/>
  <c r="BY73" i="8"/>
  <c r="P5" i="8"/>
  <c r="BD5" i="8" s="1"/>
  <c r="CW14" i="9"/>
  <c r="AI14" i="8" s="1"/>
  <c r="P21" i="8"/>
  <c r="AV4" i="8"/>
  <c r="P64" i="8"/>
  <c r="CV64" i="9"/>
  <c r="V64" i="8" s="1"/>
  <c r="BJ64" i="8" s="1"/>
  <c r="CW64" i="9"/>
  <c r="AI64" i="8" s="1"/>
  <c r="CW8" i="9"/>
  <c r="AI8" i="8" s="1"/>
  <c r="P80" i="8"/>
  <c r="CV80" i="9"/>
  <c r="V80" i="8" s="1"/>
  <c r="BJ80" i="8" s="1"/>
  <c r="CW80" i="9"/>
  <c r="AI80" i="8" s="1"/>
  <c r="BY50" i="8"/>
  <c r="FK50" i="8"/>
  <c r="EA50" i="8"/>
  <c r="CV37" i="9"/>
  <c r="V37" i="8" s="1"/>
  <c r="BJ37" i="8" s="1"/>
  <c r="EA62" i="8"/>
  <c r="FU62" i="8" s="1"/>
  <c r="BY62" i="8"/>
  <c r="FK62" i="8"/>
  <c r="FK76" i="8"/>
  <c r="EA76" i="8"/>
  <c r="BY76" i="8"/>
  <c r="EA49" i="8"/>
  <c r="FK49" i="8"/>
  <c r="BY49" i="8"/>
  <c r="BY56" i="8"/>
  <c r="FK56" i="8"/>
  <c r="EA56" i="8"/>
  <c r="FU56" i="8" s="1"/>
  <c r="BV62" i="8"/>
  <c r="FH62" i="8"/>
  <c r="BY74" i="8"/>
  <c r="FK74" i="8"/>
  <c r="EA74" i="8"/>
  <c r="EA77" i="8"/>
  <c r="BY77" i="8"/>
  <c r="FK77" i="8"/>
  <c r="EA35" i="8"/>
  <c r="FU35" i="8" s="1"/>
  <c r="FK35" i="8"/>
  <c r="BY35" i="8"/>
  <c r="EA36" i="8"/>
  <c r="FU36" i="8" s="1"/>
  <c r="BY36" i="8"/>
  <c r="FK36" i="8"/>
  <c r="EA42" i="8"/>
  <c r="FU42" i="8" s="1"/>
  <c r="BY42" i="8"/>
  <c r="FK42" i="8"/>
  <c r="FK8" i="9"/>
  <c r="BX8" i="8"/>
  <c r="EA46" i="8"/>
  <c r="FU46" i="8" s="1"/>
  <c r="BY46" i="8"/>
  <c r="FK46" i="8"/>
  <c r="Q66" i="8"/>
  <c r="BE66" i="8" s="1"/>
  <c r="W66" i="8"/>
  <c r="BK66" i="8" s="1"/>
  <c r="Q73" i="8"/>
  <c r="BE73" i="8" s="1"/>
  <c r="W73" i="8"/>
  <c r="BK73" i="8" s="1"/>
  <c r="W14" i="8"/>
  <c r="BK14" i="8" s="1"/>
  <c r="Q14" i="8"/>
  <c r="BE14" i="8" s="1"/>
  <c r="FK16" i="9"/>
  <c r="BX16" i="8"/>
  <c r="FK34" i="8"/>
  <c r="EA34" i="8"/>
  <c r="FU34" i="8" s="1"/>
  <c r="BY34" i="8"/>
  <c r="Q56" i="8"/>
  <c r="BE56" i="8" s="1"/>
  <c r="W56" i="8"/>
  <c r="BK56" i="8" s="1"/>
  <c r="CV30" i="9"/>
  <c r="V30" i="8" s="1"/>
  <c r="BJ30" i="8" s="1"/>
  <c r="P30" i="8"/>
  <c r="CV59" i="9"/>
  <c r="V59" i="8" s="1"/>
  <c r="BJ59" i="8" s="1"/>
  <c r="P59" i="8"/>
  <c r="CW59" i="9"/>
  <c r="AI59" i="8" s="1"/>
  <c r="BX12" i="8"/>
  <c r="FK12" i="9"/>
  <c r="FK62" i="9"/>
  <c r="BY29" i="8"/>
  <c r="FK29" i="8"/>
  <c r="EA29" i="8"/>
  <c r="FU29" i="8" s="1"/>
  <c r="CV34" i="9"/>
  <c r="V34" i="8" s="1"/>
  <c r="BJ34" i="8" s="1"/>
  <c r="CW31" i="9"/>
  <c r="AI31" i="8" s="1"/>
  <c r="FK61" i="8"/>
  <c r="EA61" i="8"/>
  <c r="FU61" i="8" s="1"/>
  <c r="BY61" i="8"/>
  <c r="BY38" i="8"/>
  <c r="EA38" i="8"/>
  <c r="FK38" i="8"/>
  <c r="EA39" i="8"/>
  <c r="FU39" i="8" s="1"/>
  <c r="BY39" i="8"/>
  <c r="FK39" i="8"/>
  <c r="FK54" i="8"/>
  <c r="EA54" i="8"/>
  <c r="FU54" i="8" s="1"/>
  <c r="BY54" i="8"/>
  <c r="EA10" i="8"/>
  <c r="FU10" i="8" s="1"/>
  <c r="FK10" i="8"/>
  <c r="BY10" i="8"/>
  <c r="EA11" i="8"/>
  <c r="FU11" i="8" s="1"/>
  <c r="BY11" i="8"/>
  <c r="FK11" i="8"/>
  <c r="BY30" i="8"/>
  <c r="EA30" i="8"/>
  <c r="FK30" i="8"/>
  <c r="BY68" i="8"/>
  <c r="EA68" i="8"/>
  <c r="FK68" i="8"/>
  <c r="CW72" i="9"/>
  <c r="AI72" i="8" s="1"/>
  <c r="CV72" i="9"/>
  <c r="V72" i="8" s="1"/>
  <c r="BJ72" i="8" s="1"/>
  <c r="P72" i="8"/>
  <c r="EA8" i="8"/>
  <c r="FU8" i="8" s="1"/>
  <c r="FK8" i="8"/>
  <c r="BY8" i="8"/>
  <c r="W10" i="8"/>
  <c r="BK10" i="8" s="1"/>
  <c r="BK10" i="9"/>
  <c r="Q10" i="8"/>
  <c r="BE10" i="8" s="1"/>
  <c r="BD15" i="8"/>
  <c r="BY14" i="8"/>
  <c r="EA14" i="8"/>
  <c r="FU14" i="8" s="1"/>
  <c r="FK14" i="8"/>
  <c r="BY18" i="8"/>
  <c r="EA18" i="8"/>
  <c r="FU18" i="8" s="1"/>
  <c r="FK18" i="8"/>
  <c r="FK22" i="8"/>
  <c r="EA22" i="8"/>
  <c r="FU22" i="8" s="1"/>
  <c r="BY22" i="8"/>
  <c r="CW6" i="9"/>
  <c r="AI6" i="8" s="1"/>
  <c r="P6" i="8"/>
  <c r="Q75" i="8"/>
  <c r="BE75" i="8" s="1"/>
  <c r="BK75" i="9"/>
  <c r="W75" i="8"/>
  <c r="BK75" i="8" s="1"/>
  <c r="P54" i="8"/>
  <c r="BY71" i="8"/>
  <c r="FK71" i="8"/>
  <c r="EA71" i="8"/>
  <c r="P61" i="8"/>
  <c r="CW61" i="9"/>
  <c r="AI61" i="8" s="1"/>
  <c r="D61" i="27" s="1"/>
  <c r="BY33" i="8"/>
  <c r="EA33" i="8"/>
  <c r="FU33" i="8" s="1"/>
  <c r="FK33" i="8"/>
  <c r="CV6" i="9"/>
  <c r="V6" i="8" s="1"/>
  <c r="BJ6" i="8" s="1"/>
  <c r="CW5" i="9"/>
  <c r="AI5" i="8" s="1"/>
  <c r="P14" i="8"/>
  <c r="BD14" i="8" s="1"/>
  <c r="CW79" i="9"/>
  <c r="AI79" i="8" s="1"/>
  <c r="CW54" i="9"/>
  <c r="AI54" i="8" s="1"/>
  <c r="CV28" i="9"/>
  <c r="V28" i="8" s="1"/>
  <c r="BJ28" i="8" s="1"/>
  <c r="EA70" i="8"/>
  <c r="FU70" i="8" s="1"/>
  <c r="BY70" i="8"/>
  <c r="FK70" i="8"/>
  <c r="BY69" i="8"/>
  <c r="EA69" i="8"/>
  <c r="FK69" i="8"/>
  <c r="FK15" i="9"/>
  <c r="BX15" i="8"/>
  <c r="CW20" i="9"/>
  <c r="AI20" i="8" s="1"/>
  <c r="P60" i="8"/>
  <c r="EA17" i="8"/>
  <c r="FU17" i="8" s="1"/>
  <c r="BY17" i="8"/>
  <c r="FK17" i="8"/>
  <c r="BY48" i="8"/>
  <c r="FK48" i="8"/>
  <c r="EA48" i="8"/>
  <c r="FK78" i="8"/>
  <c r="EA78" i="8"/>
  <c r="BY78" i="8"/>
  <c r="EA7" i="8"/>
  <c r="FU7" i="8" s="1"/>
  <c r="FK7" i="8"/>
  <c r="BY7" i="8"/>
  <c r="EA9" i="8"/>
  <c r="FU9" i="8" s="1"/>
  <c r="BY9" i="8"/>
  <c r="FK9" i="8"/>
  <c r="FK55" i="9"/>
  <c r="BX55" i="8"/>
  <c r="EA66" i="8"/>
  <c r="FU66" i="8" s="1"/>
  <c r="FK66" i="8"/>
  <c r="BY66" i="8"/>
  <c r="BY67" i="8"/>
  <c r="EA67" i="8"/>
  <c r="FU67" i="8" s="1"/>
  <c r="FK67" i="8"/>
  <c r="EA72" i="8"/>
  <c r="BY72" i="8"/>
  <c r="FK72" i="8"/>
  <c r="EA12" i="8"/>
  <c r="FU12" i="8" s="1"/>
  <c r="FK47" i="8"/>
  <c r="BY47" i="8"/>
  <c r="EA47" i="8"/>
  <c r="FH19" i="8"/>
  <c r="BV19" i="8"/>
  <c r="BV60" i="8"/>
  <c r="FH60" i="8"/>
  <c r="ES15" i="9"/>
  <c r="ER15" i="9"/>
  <c r="EQ23" i="9"/>
  <c r="EQ15" i="9"/>
  <c r="BV20" i="8"/>
  <c r="FH20" i="8"/>
  <c r="FH11" i="8"/>
  <c r="BV11" i="8"/>
  <c r="BV79" i="8"/>
  <c r="FH79" i="8"/>
  <c r="ER44" i="9"/>
  <c r="ES44" i="9"/>
  <c r="BV54" i="8"/>
  <c r="FH54" i="8"/>
  <c r="ES53" i="9"/>
  <c r="ER53" i="9"/>
  <c r="FH6" i="8"/>
  <c r="BV6" i="8"/>
  <c r="ER29" i="9"/>
  <c r="EQ29" i="9"/>
  <c r="ES29" i="9"/>
  <c r="ER23" i="9"/>
  <c r="FH81" i="8"/>
  <c r="BV81" i="8"/>
  <c r="BV37" i="8"/>
  <c r="FH37" i="8"/>
  <c r="EP26" i="9"/>
  <c r="ER26" i="9"/>
  <c r="EQ26" i="9"/>
  <c r="ES26" i="9"/>
  <c r="EP57" i="9"/>
  <c r="ES57" i="9"/>
  <c r="ER57" i="9"/>
  <c r="BV9" i="8"/>
  <c r="FH9" i="8"/>
  <c r="BV69" i="8"/>
  <c r="FH69" i="8"/>
  <c r="BV73" i="8"/>
  <c r="FH73" i="8"/>
  <c r="EP29" i="9"/>
  <c r="ES5" i="9"/>
  <c r="EP15" i="9"/>
  <c r="EQ5" i="9"/>
  <c r="FH39" i="8"/>
  <c r="BV39" i="8"/>
  <c r="BV21" i="8"/>
  <c r="FH21" i="8"/>
  <c r="BV77" i="8"/>
  <c r="FH77" i="8"/>
  <c r="BV8" i="8"/>
  <c r="FH8" i="8"/>
  <c r="BV18" i="8"/>
  <c r="FH18" i="8"/>
  <c r="BV56" i="8"/>
  <c r="FH56" i="8"/>
  <c r="FH24" i="8"/>
  <c r="BV24" i="8"/>
  <c r="EQ55" i="9"/>
  <c r="EP55" i="9"/>
  <c r="ER79" i="9"/>
  <c r="EP79" i="9"/>
  <c r="ER55" i="9"/>
  <c r="CR10" i="11"/>
  <c r="BV23" i="8"/>
  <c r="FH23" i="8"/>
  <c r="D58" i="24"/>
  <c r="FH67" i="8"/>
  <c r="BV67" i="8"/>
  <c r="C58" i="22"/>
  <c r="FH83" i="8"/>
  <c r="BV83" i="8"/>
  <c r="AU70" i="8"/>
  <c r="BV29" i="8"/>
  <c r="FH29" i="8"/>
  <c r="BV22" i="8"/>
  <c r="FH22" i="8"/>
  <c r="BV68" i="8"/>
  <c r="FH68" i="8"/>
  <c r="BV46" i="8"/>
  <c r="FH46" i="8"/>
  <c r="BV15" i="8"/>
  <c r="FH15" i="8"/>
  <c r="EQ79" i="9"/>
  <c r="FA38" i="9"/>
  <c r="C77" i="22"/>
  <c r="BV71" i="8"/>
  <c r="FH71" i="8"/>
  <c r="C57" i="22"/>
  <c r="AU15" i="8"/>
  <c r="ER16" i="9"/>
  <c r="EQ16" i="9"/>
  <c r="AU16" i="9"/>
  <c r="ES16" i="9"/>
  <c r="ES73" i="9"/>
  <c r="EQ73" i="9"/>
  <c r="ER73" i="9"/>
  <c r="EP73" i="9"/>
  <c r="ES77" i="9"/>
  <c r="ER77" i="9"/>
  <c r="EP77" i="9"/>
  <c r="EP82" i="9"/>
  <c r="EQ82" i="9"/>
  <c r="BV5" i="8"/>
  <c r="FH5" i="8"/>
  <c r="AU23" i="8"/>
  <c r="ER25" i="9"/>
  <c r="ES25" i="9"/>
  <c r="ER64" i="9"/>
  <c r="ES76" i="9"/>
  <c r="ER76" i="9"/>
  <c r="ER84" i="9"/>
  <c r="ES84" i="9"/>
  <c r="EP84" i="9"/>
  <c r="EQ84" i="9"/>
  <c r="ES55" i="9"/>
  <c r="FH4" i="8"/>
  <c r="BV4" i="8"/>
  <c r="D57" i="24"/>
  <c r="FH75" i="8"/>
  <c r="BV75" i="8"/>
  <c r="AU46" i="8"/>
  <c r="BV70" i="8"/>
  <c r="FH70" i="8"/>
  <c r="ER6" i="9"/>
  <c r="EQ6" i="9"/>
  <c r="ES6" i="9"/>
  <c r="EP6" i="9"/>
  <c r="R31" i="8"/>
  <c r="BD31" i="8"/>
  <c r="R57" i="8"/>
  <c r="BD57" i="8"/>
  <c r="BF57" i="8" s="1"/>
  <c r="BD20" i="8"/>
  <c r="BD8" i="8"/>
  <c r="BF8" i="8" s="1"/>
  <c r="R8" i="8"/>
  <c r="BD51" i="8"/>
  <c r="BF51" i="8" s="1"/>
  <c r="R51" i="8"/>
  <c r="CW25" i="9"/>
  <c r="AI25" i="8" s="1"/>
  <c r="P12" i="8"/>
  <c r="CV12" i="9"/>
  <c r="V12" i="8" s="1"/>
  <c r="BJ12" i="8" s="1"/>
  <c r="AA29" i="9"/>
  <c r="CQ29" i="9" s="1"/>
  <c r="AA54" i="9"/>
  <c r="CQ54" i="9" s="1"/>
  <c r="U58" i="9"/>
  <c r="U76" i="9"/>
  <c r="U49" i="9"/>
  <c r="AF49" i="9" s="1"/>
  <c r="AP49" i="9" s="1"/>
  <c r="M49" i="8" s="1"/>
  <c r="AZ49" i="8" s="1"/>
  <c r="AA57" i="9"/>
  <c r="CZ31" i="9"/>
  <c r="CY31" i="9"/>
  <c r="AE31" i="9"/>
  <c r="AA55" i="9"/>
  <c r="CQ55" i="9" s="1"/>
  <c r="CY47" i="9"/>
  <c r="AE47" i="9"/>
  <c r="CZ47" i="9"/>
  <c r="DB47" i="9" s="1"/>
  <c r="AD47" i="9"/>
  <c r="AC47" i="9"/>
  <c r="AA48" i="9"/>
  <c r="CQ48" i="9" s="1"/>
  <c r="AJ76" i="9"/>
  <c r="CZ49" i="9"/>
  <c r="AD49" i="9"/>
  <c r="CY49" i="9"/>
  <c r="AE49" i="9"/>
  <c r="DC49" i="9" s="1"/>
  <c r="AC49" i="9"/>
  <c r="U56" i="9"/>
  <c r="AF56" i="9" s="1"/>
  <c r="AJ56" i="9"/>
  <c r="CY56" i="9"/>
  <c r="CZ56" i="9"/>
  <c r="AC56" i="9"/>
  <c r="AE56" i="9"/>
  <c r="AD56" i="9"/>
  <c r="AK56" i="9" s="1"/>
  <c r="AL73" i="9"/>
  <c r="U73" i="9"/>
  <c r="DL73" i="9" s="1"/>
  <c r="AO73" i="8" s="1"/>
  <c r="AE73" i="9"/>
  <c r="AA31" i="9"/>
  <c r="CQ31" i="9" s="1"/>
  <c r="AJ55" i="9"/>
  <c r="U55" i="9"/>
  <c r="DK55" i="9" s="1"/>
  <c r="AB55" i="8" s="1"/>
  <c r="BP55" i="8" s="1"/>
  <c r="U68" i="9"/>
  <c r="AC68" i="9"/>
  <c r="CZ71" i="9"/>
  <c r="CY71" i="9"/>
  <c r="AC71" i="9"/>
  <c r="AD71" i="9"/>
  <c r="AE71" i="9"/>
  <c r="AL47" i="9"/>
  <c r="U47" i="9"/>
  <c r="CY79" i="9"/>
  <c r="CZ79" i="9"/>
  <c r="AC79" i="9"/>
  <c r="AL54" i="9"/>
  <c r="AA58" i="9"/>
  <c r="CQ58" i="9" s="1"/>
  <c r="U78" i="9"/>
  <c r="AC78" i="9"/>
  <c r="AA56" i="9"/>
  <c r="U57" i="9"/>
  <c r="AF57" i="9" s="1"/>
  <c r="AP57" i="9" s="1"/>
  <c r="M57" i="8" s="1"/>
  <c r="AZ57" i="8" s="1"/>
  <c r="AL83" i="9"/>
  <c r="BE40" i="8"/>
  <c r="R40" i="8"/>
  <c r="AL31" i="9"/>
  <c r="CZ55" i="9"/>
  <c r="CY55" i="9"/>
  <c r="AC55" i="9"/>
  <c r="AE55" i="9"/>
  <c r="AD55" i="9"/>
  <c r="AL68" i="9"/>
  <c r="AA47" i="9"/>
  <c r="CQ47" i="9" s="1"/>
  <c r="AJ48" i="9"/>
  <c r="AL79" i="9"/>
  <c r="DL77" i="9"/>
  <c r="M9" i="8"/>
  <c r="AZ9" i="8" s="1"/>
  <c r="AL29" i="9"/>
  <c r="CZ58" i="9"/>
  <c r="AC58" i="9"/>
  <c r="CY58" i="9"/>
  <c r="AE58" i="9"/>
  <c r="AD58" i="9"/>
  <c r="AK58" i="9" s="1"/>
  <c r="AL76" i="9"/>
  <c r="AL78" i="9"/>
  <c r="CY57" i="9"/>
  <c r="CZ57" i="9"/>
  <c r="AC57" i="9"/>
  <c r="AD57" i="9"/>
  <c r="AE57" i="9"/>
  <c r="AA83" i="9"/>
  <c r="CQ83" i="9" s="1"/>
  <c r="BK40" i="8"/>
  <c r="AO81" i="9"/>
  <c r="FH74" i="8"/>
  <c r="BV74" i="8"/>
  <c r="DA67" i="9"/>
  <c r="DD10" i="9"/>
  <c r="DC10" i="9"/>
  <c r="AN10" i="9"/>
  <c r="AU10" i="9" s="1"/>
  <c r="BV84" i="8"/>
  <c r="FH84" i="8"/>
  <c r="DB67" i="9"/>
  <c r="AB7" i="8"/>
  <c r="BP7" i="8" s="1"/>
  <c r="DK6" i="9"/>
  <c r="AB6" i="8" s="1"/>
  <c r="BP6" i="8" s="1"/>
  <c r="DL6" i="9"/>
  <c r="AO6" i="8" s="1"/>
  <c r="FO6" i="8" s="1"/>
  <c r="V15" i="8"/>
  <c r="BJ15" i="8" s="1"/>
  <c r="FU80" i="8"/>
  <c r="FU31" i="8"/>
  <c r="BU42" i="9"/>
  <c r="FU81" i="8"/>
  <c r="DB65" i="9"/>
  <c r="FX27" i="8"/>
  <c r="EN27" i="8"/>
  <c r="AK19" i="9"/>
  <c r="DB19" i="9"/>
  <c r="EN36" i="8"/>
  <c r="FX36" i="8"/>
  <c r="AO37" i="8"/>
  <c r="FO37" i="8" s="1"/>
  <c r="CV14" i="9"/>
  <c r="V14" i="8" s="1"/>
  <c r="BJ14" i="8" s="1"/>
  <c r="FH82" i="8"/>
  <c r="BV82" i="8"/>
  <c r="FX55" i="8"/>
  <c r="EN55" i="8"/>
  <c r="FX66" i="8"/>
  <c r="EN66" i="8"/>
  <c r="CV66" i="9"/>
  <c r="V66" i="8" s="1"/>
  <c r="BJ66" i="8" s="1"/>
  <c r="EN31" i="8"/>
  <c r="FX31" i="8"/>
  <c r="EN37" i="8"/>
  <c r="FX37" i="8"/>
  <c r="DA61" i="9"/>
  <c r="U12" i="9"/>
  <c r="AF12" i="9" s="1"/>
  <c r="DL61" i="9"/>
  <c r="AO61" i="8" s="1"/>
  <c r="AF58" i="9"/>
  <c r="DK61" i="9"/>
  <c r="AF32" i="9"/>
  <c r="DC17" i="9"/>
  <c r="DD17" i="9"/>
  <c r="AK17" i="9"/>
  <c r="DB17" i="9"/>
  <c r="DA17" i="9"/>
  <c r="AK74" i="9"/>
  <c r="AO74" i="9" s="1"/>
  <c r="L74" i="8" s="1"/>
  <c r="AY74" i="8" s="1"/>
  <c r="DB74" i="9"/>
  <c r="DA74" i="9"/>
  <c r="AK61" i="9"/>
  <c r="AK59" i="9"/>
  <c r="DA59" i="9"/>
  <c r="DB59" i="9"/>
  <c r="DC59" i="9"/>
  <c r="DD59" i="9"/>
  <c r="DH74" i="9"/>
  <c r="DG74" i="9"/>
  <c r="K74" i="8"/>
  <c r="AX74" i="8" s="1"/>
  <c r="DG59" i="9"/>
  <c r="DH59" i="9"/>
  <c r="AN59" i="9"/>
  <c r="AU59" i="9" s="1"/>
  <c r="K59" i="8"/>
  <c r="AX59" i="8" s="1"/>
  <c r="DG23" i="9"/>
  <c r="Z23" i="8" s="1"/>
  <c r="CS23" i="8" s="1"/>
  <c r="CY23" i="8" s="1"/>
  <c r="AF63" i="9"/>
  <c r="AP63" i="9" s="1"/>
  <c r="M63" i="8" s="1"/>
  <c r="AZ63" i="8" s="1"/>
  <c r="AM8" i="8"/>
  <c r="AJ46" i="9"/>
  <c r="U46" i="9"/>
  <c r="AF46" i="9" s="1"/>
  <c r="AJ39" i="9"/>
  <c r="U39" i="9"/>
  <c r="AD34" i="9"/>
  <c r="U22" i="9"/>
  <c r="DL22" i="9" s="1"/>
  <c r="AO22" i="8" s="1"/>
  <c r="CC22" i="8" s="1"/>
  <c r="DB32" i="9"/>
  <c r="DA32" i="9"/>
  <c r="AK32" i="9"/>
  <c r="AO77" i="8"/>
  <c r="FO77" i="8" s="1"/>
  <c r="FM25" i="8"/>
  <c r="CA25" i="8"/>
  <c r="DD66" i="9"/>
  <c r="DC66" i="9"/>
  <c r="AE14" i="9"/>
  <c r="AC14" i="9"/>
  <c r="CZ14" i="9"/>
  <c r="CY14" i="9"/>
  <c r="DC72" i="9"/>
  <c r="DD72" i="9"/>
  <c r="DH52" i="9"/>
  <c r="AN52" i="9"/>
  <c r="AU52" i="9" s="1"/>
  <c r="K52" i="8"/>
  <c r="AX52" i="8" s="1"/>
  <c r="AA22" i="9"/>
  <c r="CQ22" i="9" s="1"/>
  <c r="CY26" i="9"/>
  <c r="CZ26" i="9"/>
  <c r="AD26" i="9"/>
  <c r="AL84" i="9"/>
  <c r="Z9" i="8"/>
  <c r="BN9" i="8" s="1"/>
  <c r="AL24" i="9"/>
  <c r="DC63" i="9"/>
  <c r="DD63" i="9"/>
  <c r="DC6" i="9"/>
  <c r="DD6" i="9"/>
  <c r="DH62" i="9"/>
  <c r="DG62" i="9"/>
  <c r="K62" i="8"/>
  <c r="AX62" i="8" s="1"/>
  <c r="CY46" i="9"/>
  <c r="AE46" i="9"/>
  <c r="AC46" i="9"/>
  <c r="AA35" i="9"/>
  <c r="U14" i="9"/>
  <c r="DL14" i="9" s="1"/>
  <c r="AA14" i="9"/>
  <c r="CQ14" i="9" s="1"/>
  <c r="CY54" i="9"/>
  <c r="CZ54" i="9"/>
  <c r="AD54" i="9"/>
  <c r="AE22" i="9"/>
  <c r="AC22" i="9"/>
  <c r="CZ22" i="9"/>
  <c r="DB22" i="9" s="1"/>
  <c r="AD22" i="9"/>
  <c r="AK22" i="9" s="1"/>
  <c r="CY22" i="9"/>
  <c r="AM9" i="8"/>
  <c r="DH51" i="9"/>
  <c r="K51" i="8"/>
  <c r="AX51" i="8" s="1"/>
  <c r="DD36" i="9"/>
  <c r="AA12" i="9"/>
  <c r="CQ12" i="9" s="1"/>
  <c r="CZ24" i="9"/>
  <c r="AE24" i="9"/>
  <c r="CY24" i="9"/>
  <c r="AD24" i="9"/>
  <c r="AA26" i="9"/>
  <c r="CQ26" i="9" s="1"/>
  <c r="DD11" i="9"/>
  <c r="DC11" i="9"/>
  <c r="DH32" i="9"/>
  <c r="DG32" i="9"/>
  <c r="AN32" i="9"/>
  <c r="AU32" i="9" s="1"/>
  <c r="K32" i="8"/>
  <c r="AX32" i="8" s="1"/>
  <c r="DB77" i="9"/>
  <c r="AK77" i="9"/>
  <c r="DA77" i="9"/>
  <c r="AB38" i="8"/>
  <c r="BP38" i="8" s="1"/>
  <c r="K6" i="8"/>
  <c r="AX6" i="8" s="1"/>
  <c r="DH6" i="9"/>
  <c r="DG6" i="9"/>
  <c r="Z6" i="8" s="1"/>
  <c r="AN6" i="9"/>
  <c r="AU6" i="9" s="1"/>
  <c r="AA46" i="9"/>
  <c r="CQ46" i="9" s="1"/>
  <c r="U35" i="9"/>
  <c r="AF35" i="9" s="1"/>
  <c r="AP35" i="9" s="1"/>
  <c r="DD69" i="9"/>
  <c r="DC69" i="9"/>
  <c r="DC23" i="9"/>
  <c r="DD23" i="9"/>
  <c r="DH23" i="9"/>
  <c r="K67" i="8"/>
  <c r="AX67" i="8" s="1"/>
  <c r="DH67" i="9"/>
  <c r="AN67" i="9"/>
  <c r="AU67" i="9" s="1"/>
  <c r="DG67" i="9"/>
  <c r="AF65" i="9"/>
  <c r="DC65" i="9"/>
  <c r="DD65" i="9"/>
  <c r="AE12" i="9"/>
  <c r="AD12" i="9"/>
  <c r="AC12" i="9"/>
  <c r="CZ12" i="9"/>
  <c r="CY12" i="9"/>
  <c r="DG12" i="9" s="1"/>
  <c r="AE39" i="9"/>
  <c r="AC39" i="9"/>
  <c r="AD39" i="9"/>
  <c r="CZ39" i="9"/>
  <c r="CY39" i="9"/>
  <c r="DD5" i="9"/>
  <c r="DC5" i="9"/>
  <c r="DD77" i="9"/>
  <c r="DC77" i="9"/>
  <c r="DH63" i="9"/>
  <c r="AN63" i="9"/>
  <c r="AU63" i="9" s="1"/>
  <c r="DG63" i="9"/>
  <c r="K63" i="8"/>
  <c r="AX63" i="8" s="1"/>
  <c r="DL69" i="9"/>
  <c r="AF69" i="9"/>
  <c r="AP69" i="9" s="1"/>
  <c r="DK69" i="9"/>
  <c r="AB69" i="8" s="1"/>
  <c r="BP69" i="8" s="1"/>
  <c r="CZ84" i="9"/>
  <c r="AE84" i="9"/>
  <c r="CY84" i="9"/>
  <c r="Z8" i="8"/>
  <c r="DH66" i="9"/>
  <c r="DG66" i="9"/>
  <c r="Z66" i="8" s="1"/>
  <c r="BN66" i="8" s="1"/>
  <c r="K66" i="8"/>
  <c r="AX66" i="8" s="1"/>
  <c r="DA6" i="9"/>
  <c r="DB6" i="9"/>
  <c r="AK6" i="9"/>
  <c r="CC5" i="8"/>
  <c r="FO5" i="8"/>
  <c r="DB62" i="9"/>
  <c r="AK62" i="9"/>
  <c r="AC35" i="9"/>
  <c r="AD35" i="9"/>
  <c r="AE35" i="9"/>
  <c r="CY35" i="9"/>
  <c r="CZ35" i="9"/>
  <c r="AG9" i="8"/>
  <c r="FG9" i="8" s="1"/>
  <c r="FM9" i="9"/>
  <c r="EI9" i="9"/>
  <c r="EZ9" i="9" s="1"/>
  <c r="EH9" i="9"/>
  <c r="EY9" i="9" s="1"/>
  <c r="EJ9" i="9"/>
  <c r="G9" i="8"/>
  <c r="AT9" i="8" s="1"/>
  <c r="EK9" i="9"/>
  <c r="FB9" i="9" s="1"/>
  <c r="T9" i="8"/>
  <c r="BH9" i="8" s="1"/>
  <c r="CB9" i="9"/>
  <c r="CG9" i="9" s="1"/>
  <c r="X9" i="8" s="1"/>
  <c r="BL9" i="8" s="1"/>
  <c r="AK51" i="9"/>
  <c r="DB51" i="9"/>
  <c r="DA51" i="9"/>
  <c r="DC33" i="9"/>
  <c r="DD33" i="9"/>
  <c r="DG65" i="9"/>
  <c r="Z65" i="8" s="1"/>
  <c r="BN65" i="8" s="1"/>
  <c r="DH65" i="9"/>
  <c r="AN65" i="9"/>
  <c r="AU65" i="9" s="1"/>
  <c r="CC65" i="9" s="1"/>
  <c r="CE65" i="9" s="1"/>
  <c r="K65" i="8"/>
  <c r="AX65" i="8" s="1"/>
  <c r="DD74" i="9"/>
  <c r="DC74" i="9"/>
  <c r="AN74" i="9"/>
  <c r="AU74" i="9" s="1"/>
  <c r="DD52" i="9"/>
  <c r="DC52" i="9"/>
  <c r="AK69" i="9"/>
  <c r="AO69" i="9" s="1"/>
  <c r="L69" i="8" s="1"/>
  <c r="AY69" i="8" s="1"/>
  <c r="DB69" i="9"/>
  <c r="DA69" i="9"/>
  <c r="DD37" i="9"/>
  <c r="DC37" i="9"/>
  <c r="K11" i="8"/>
  <c r="AX11" i="8" s="1"/>
  <c r="DG11" i="9"/>
  <c r="AK5" i="9"/>
  <c r="AO5" i="9" s="1"/>
  <c r="DB5" i="9"/>
  <c r="DA5" i="9"/>
  <c r="DH5" i="9"/>
  <c r="AN5" i="9"/>
  <c r="AU5" i="9" s="1"/>
  <c r="EK5" i="9" s="1"/>
  <c r="FB5" i="9" s="1"/>
  <c r="DG5" i="9"/>
  <c r="K5" i="8"/>
  <c r="AX5" i="8" s="1"/>
  <c r="DC32" i="9"/>
  <c r="DD32" i="9"/>
  <c r="DJ32" i="9" s="1"/>
  <c r="AN32" i="8" s="1"/>
  <c r="AD13" i="9"/>
  <c r="AC13" i="9"/>
  <c r="CZ13" i="9"/>
  <c r="CY13" i="9"/>
  <c r="DG13" i="9" s="1"/>
  <c r="Z13" i="8" s="1"/>
  <c r="BN13" i="8" s="1"/>
  <c r="AN77" i="9"/>
  <c r="AU77" i="9" s="1"/>
  <c r="G77" i="8" s="1"/>
  <c r="DG77" i="9"/>
  <c r="Z77" i="8" s="1"/>
  <c r="CS77" i="8" s="1"/>
  <c r="CY77" i="8" s="1"/>
  <c r="DH77" i="9"/>
  <c r="K77" i="8"/>
  <c r="AX77" i="8" s="1"/>
  <c r="DA63" i="9"/>
  <c r="DB63" i="9"/>
  <c r="DJ63" i="9" s="1"/>
  <c r="AN63" i="8" s="1"/>
  <c r="AK63" i="9"/>
  <c r="DH69" i="9"/>
  <c r="K69" i="8"/>
  <c r="AX69" i="8" s="1"/>
  <c r="AN69" i="9"/>
  <c r="AU69" i="9" s="1"/>
  <c r="FM69" i="9" s="1"/>
  <c r="DG69" i="9"/>
  <c r="AO38" i="8"/>
  <c r="CC38" i="8" s="1"/>
  <c r="BU64" i="9"/>
  <c r="BG63" i="8"/>
  <c r="EX63" i="9"/>
  <c r="EW63" i="9"/>
  <c r="U86" i="8"/>
  <c r="BI86" i="8" s="1"/>
  <c r="U70" i="8"/>
  <c r="BI70" i="8" s="1"/>
  <c r="EA64" i="9"/>
  <c r="EB64" i="9"/>
  <c r="DV10" i="9"/>
  <c r="DU10" i="9"/>
  <c r="EB63" i="9"/>
  <c r="EA63" i="9"/>
  <c r="EX56" i="9"/>
  <c r="EW56" i="9"/>
  <c r="BG56" i="8"/>
  <c r="BU86" i="9"/>
  <c r="EA70" i="9"/>
  <c r="EB70" i="9"/>
  <c r="U64" i="8"/>
  <c r="BI64" i="8" s="1"/>
  <c r="DU24" i="9"/>
  <c r="DV24" i="9"/>
  <c r="BU30" i="9"/>
  <c r="EA10" i="9"/>
  <c r="EB10" i="9"/>
  <c r="DV70" i="9"/>
  <c r="DU70" i="9"/>
  <c r="DU64" i="9"/>
  <c r="DV64" i="9"/>
  <c r="EA24" i="9"/>
  <c r="EB24" i="9"/>
  <c r="U30" i="8"/>
  <c r="BI30" i="8" s="1"/>
  <c r="U10" i="8"/>
  <c r="BI10" i="8" s="1"/>
  <c r="U63" i="8"/>
  <c r="BI63" i="8" s="1"/>
  <c r="EB56" i="9"/>
  <c r="EA56" i="9"/>
  <c r="U24" i="8"/>
  <c r="BI24" i="8" s="1"/>
  <c r="BG30" i="8"/>
  <c r="EX30" i="9"/>
  <c r="EA30" i="9"/>
  <c r="EB30" i="9"/>
  <c r="BU10" i="9"/>
  <c r="U62" i="8"/>
  <c r="BI62" i="8" s="1"/>
  <c r="U56" i="8"/>
  <c r="BI56" i="8" s="1"/>
  <c r="BU47" i="9"/>
  <c r="DU63" i="9"/>
  <c r="DV63" i="9"/>
  <c r="DU56" i="9"/>
  <c r="DV56" i="9"/>
  <c r="EW70" i="9"/>
  <c r="EX70" i="9"/>
  <c r="BG70" i="8"/>
  <c r="BG64" i="8"/>
  <c r="BG24" i="8"/>
  <c r="DV30" i="9"/>
  <c r="DU30" i="9"/>
  <c r="EX10" i="9"/>
  <c r="BG10" i="8"/>
  <c r="EW10" i="9"/>
  <c r="BU24" i="9"/>
  <c r="DV58" i="9"/>
  <c r="DU58" i="9"/>
  <c r="DU84" i="9"/>
  <c r="DV84" i="9"/>
  <c r="BU75" i="9"/>
  <c r="EB47" i="9"/>
  <c r="EA47" i="9"/>
  <c r="U42" i="8"/>
  <c r="BI42" i="8" s="1"/>
  <c r="DV18" i="9"/>
  <c r="DU18" i="9"/>
  <c r="U18" i="8"/>
  <c r="BI18" i="8" s="1"/>
  <c r="EW72" i="9"/>
  <c r="BG72" i="8"/>
  <c r="EX72" i="9"/>
  <c r="EB34" i="9"/>
  <c r="EA34" i="9"/>
  <c r="EA58" i="9"/>
  <c r="EB58" i="9"/>
  <c r="U84" i="8"/>
  <c r="BI84" i="8" s="1"/>
  <c r="DU75" i="9"/>
  <c r="DV75" i="9"/>
  <c r="U75" i="8"/>
  <c r="BI75" i="8" s="1"/>
  <c r="U47" i="8"/>
  <c r="BI47" i="8" s="1"/>
  <c r="EW59" i="9"/>
  <c r="EX59" i="9"/>
  <c r="BG59" i="8"/>
  <c r="DV34" i="9"/>
  <c r="DU34" i="9"/>
  <c r="U58" i="8"/>
  <c r="BU58" i="9"/>
  <c r="BG84" i="8"/>
  <c r="EX84" i="9"/>
  <c r="EW75" i="9"/>
  <c r="EX75" i="9"/>
  <c r="BG75" i="8"/>
  <c r="DU47" i="9"/>
  <c r="DV47" i="9"/>
  <c r="BG18" i="8"/>
  <c r="EW18" i="9"/>
  <c r="EX18" i="9"/>
  <c r="U72" i="8"/>
  <c r="BI72" i="8" s="1"/>
  <c r="EX34" i="9"/>
  <c r="BG34" i="8"/>
  <c r="EW34" i="9"/>
  <c r="BU34" i="9"/>
  <c r="DU42" i="9"/>
  <c r="DV42" i="9"/>
  <c r="EA18" i="9"/>
  <c r="EB18" i="9"/>
  <c r="BU72" i="9"/>
  <c r="BG58" i="8"/>
  <c r="EW58" i="9"/>
  <c r="EX58" i="9"/>
  <c r="BU84" i="9"/>
  <c r="EB84" i="9"/>
  <c r="EA84" i="9"/>
  <c r="EA75" i="9"/>
  <c r="EB75" i="9"/>
  <c r="EW47" i="9"/>
  <c r="EX47" i="9"/>
  <c r="BG47" i="8"/>
  <c r="EA42" i="9"/>
  <c r="EB42" i="9"/>
  <c r="BU18" i="9"/>
  <c r="DU72" i="9"/>
  <c r="U34" i="8"/>
  <c r="BI34" i="8" s="1"/>
  <c r="AB61" i="8"/>
  <c r="D7" i="27"/>
  <c r="FI7" i="8"/>
  <c r="BW7" i="8"/>
  <c r="AI78" i="8"/>
  <c r="BW78" i="8" s="1"/>
  <c r="CW71" i="9"/>
  <c r="AI71" i="8" s="1"/>
  <c r="CV71" i="9"/>
  <c r="V71" i="8" s="1"/>
  <c r="P71" i="8"/>
  <c r="BD71" i="8" s="1"/>
  <c r="BF71" i="8" s="1"/>
  <c r="CV25" i="9"/>
  <c r="V25" i="8" s="1"/>
  <c r="BJ25" i="8" s="1"/>
  <c r="BF34" i="8"/>
  <c r="BW34" i="8"/>
  <c r="FU79" i="8"/>
  <c r="Q35" i="8"/>
  <c r="BE35" i="8" s="1"/>
  <c r="W35" i="8"/>
  <c r="BK35" i="8" s="1"/>
  <c r="BK35" i="9"/>
  <c r="L16" i="8"/>
  <c r="AY16" i="8" s="1"/>
  <c r="BD7" i="8"/>
  <c r="BF7" i="8" s="1"/>
  <c r="R7" i="8"/>
  <c r="CW22" i="9"/>
  <c r="AI22" i="8" s="1"/>
  <c r="BW22" i="8" s="1"/>
  <c r="P22" i="8"/>
  <c r="R22" i="8" s="1"/>
  <c r="CV22" i="9"/>
  <c r="V22" i="8" s="1"/>
  <c r="BJ22" i="8" s="1"/>
  <c r="P47" i="8"/>
  <c r="CV47" i="9"/>
  <c r="CW47" i="9"/>
  <c r="AI47" i="8" s="1"/>
  <c r="BW47" i="8" s="1"/>
  <c r="R34" i="8"/>
  <c r="EC34" i="8"/>
  <c r="FK35" i="9"/>
  <c r="BX35" i="8"/>
  <c r="W84" i="8"/>
  <c r="BK84" i="8" s="1"/>
  <c r="Q84" i="8"/>
  <c r="BE84" i="8" s="1"/>
  <c r="AO67" i="9"/>
  <c r="L67" i="8" s="1"/>
  <c r="AY67" i="8" s="1"/>
  <c r="BK58" i="8"/>
  <c r="IG71" i="8"/>
  <c r="BK71" i="8"/>
  <c r="BD21" i="8"/>
  <c r="CW66" i="9"/>
  <c r="AI66" i="8" s="1"/>
  <c r="FK84" i="9"/>
  <c r="BX84" i="8"/>
  <c r="AA16" i="8"/>
  <c r="BO16" i="8" s="1"/>
  <c r="V78" i="8"/>
  <c r="BJ78" i="8" s="1"/>
  <c r="P43" i="8"/>
  <c r="BD43" i="8" s="1"/>
  <c r="BF43" i="8" s="1"/>
  <c r="CW43" i="9"/>
  <c r="CV43" i="9"/>
  <c r="V43" i="8" s="1"/>
  <c r="BJ43" i="8" s="1"/>
  <c r="BW14" i="8"/>
  <c r="FU47" i="8"/>
  <c r="FU48" i="8"/>
  <c r="BD60" i="8"/>
  <c r="BF60" i="8" s="1"/>
  <c r="R60" i="8"/>
  <c r="CW75" i="9"/>
  <c r="AI75" i="8" s="1"/>
  <c r="D75" i="27" s="1"/>
  <c r="P75" i="8"/>
  <c r="BD75" i="8" s="1"/>
  <c r="BF75" i="8" s="1"/>
  <c r="CV75" i="9"/>
  <c r="V75" i="8" s="1"/>
  <c r="BJ75" i="8" s="1"/>
  <c r="BD6" i="8"/>
  <c r="EC6" i="8"/>
  <c r="D6" i="27"/>
  <c r="FI6" i="8"/>
  <c r="BW6" i="8"/>
  <c r="FU30" i="8"/>
  <c r="BW31" i="8"/>
  <c r="D31" i="27"/>
  <c r="EC31" i="8"/>
  <c r="FI31" i="8"/>
  <c r="R30" i="8"/>
  <c r="FU76" i="8"/>
  <c r="R64" i="8"/>
  <c r="BD64" i="8"/>
  <c r="BF64" i="8" s="1"/>
  <c r="FU73" i="8"/>
  <c r="FU72" i="8"/>
  <c r="FU69" i="8"/>
  <c r="R54" i="8"/>
  <c r="BD54" i="8"/>
  <c r="BF54" i="8" s="1"/>
  <c r="BD59" i="8"/>
  <c r="BF59" i="8" s="1"/>
  <c r="R59" i="8"/>
  <c r="FI64" i="8"/>
  <c r="BW64" i="8"/>
  <c r="D64" i="27"/>
  <c r="FI14" i="8"/>
  <c r="FU78" i="8"/>
  <c r="BW61" i="8"/>
  <c r="FI61" i="8"/>
  <c r="BD61" i="8"/>
  <c r="BF61" i="8" s="1"/>
  <c r="R61" i="8"/>
  <c r="FU71" i="8"/>
  <c r="P10" i="8"/>
  <c r="CW10" i="9"/>
  <c r="AI10" i="8" s="1"/>
  <c r="BW10" i="8" s="1"/>
  <c r="CV10" i="9"/>
  <c r="V10" i="8" s="1"/>
  <c r="BJ10" i="8" s="1"/>
  <c r="FU68" i="8"/>
  <c r="FU38" i="8"/>
  <c r="FU77" i="8"/>
  <c r="FU50" i="8"/>
  <c r="R66" i="8"/>
  <c r="BD66" i="8"/>
  <c r="BF66" i="8" s="1"/>
  <c r="BW20" i="8"/>
  <c r="BW72" i="8"/>
  <c r="FI72" i="8"/>
  <c r="D72" i="27"/>
  <c r="FI54" i="8"/>
  <c r="BW54" i="8"/>
  <c r="D54" i="27"/>
  <c r="R72" i="8"/>
  <c r="BD72" i="8"/>
  <c r="BF72" i="8" s="1"/>
  <c r="D59" i="27"/>
  <c r="BW59" i="8"/>
  <c r="FI59" i="8"/>
  <c r="FU74" i="8"/>
  <c r="FU49" i="8"/>
  <c r="BD80" i="8"/>
  <c r="BF80" i="8" s="1"/>
  <c r="R80" i="8"/>
  <c r="BL38" i="8"/>
  <c r="CL38" i="8"/>
  <c r="EK16" i="9"/>
  <c r="FB16" i="9" s="1"/>
  <c r="CD16" i="9"/>
  <c r="CF16" i="9" s="1"/>
  <c r="T16" i="8"/>
  <c r="BH16" i="8" s="1"/>
  <c r="CB16" i="9"/>
  <c r="CG16" i="9" s="1"/>
  <c r="X16" i="8" s="1"/>
  <c r="EH16" i="9"/>
  <c r="EY16" i="9" s="1"/>
  <c r="FM16" i="9"/>
  <c r="G16" i="8"/>
  <c r="AT16" i="8" s="1"/>
  <c r="EI16" i="9"/>
  <c r="EZ16" i="9" s="1"/>
  <c r="BD12" i="8"/>
  <c r="BF12" i="8" s="1"/>
  <c r="R12" i="8"/>
  <c r="DD57" i="9"/>
  <c r="DC57" i="9"/>
  <c r="AK57" i="9"/>
  <c r="DA57" i="9"/>
  <c r="DI57" i="9" s="1"/>
  <c r="AA57" i="8" s="1"/>
  <c r="BO57" i="8" s="1"/>
  <c r="K55" i="8"/>
  <c r="AX55" i="8" s="1"/>
  <c r="DG55" i="9"/>
  <c r="Z55" i="8" s="1"/>
  <c r="AN55" i="9"/>
  <c r="AU55" i="9" s="1"/>
  <c r="EK55" i="9" s="1"/>
  <c r="FB55" i="9" s="1"/>
  <c r="DH55" i="9"/>
  <c r="AM55" i="8" s="1"/>
  <c r="CA55" i="8" s="1"/>
  <c r="CQ56" i="9"/>
  <c r="K78" i="8"/>
  <c r="AX78" i="8" s="1"/>
  <c r="K56" i="8"/>
  <c r="AX56" i="8" s="1"/>
  <c r="DH56" i="9"/>
  <c r="AM56" i="8" s="1"/>
  <c r="CA56" i="8" s="1"/>
  <c r="AN56" i="9"/>
  <c r="AU56" i="9" s="1"/>
  <c r="EJ56" i="9" s="1"/>
  <c r="FA56" i="9" s="1"/>
  <c r="DG56" i="9"/>
  <c r="DD49" i="9"/>
  <c r="DG47" i="9"/>
  <c r="K47" i="8"/>
  <c r="AX47" i="8" s="1"/>
  <c r="DH47" i="9"/>
  <c r="AM47" i="8" s="1"/>
  <c r="FM47" i="8" s="1"/>
  <c r="AN47" i="9"/>
  <c r="AU47" i="9" s="1"/>
  <c r="DC31" i="9"/>
  <c r="DD31" i="9"/>
  <c r="CQ57" i="9"/>
  <c r="K58" i="8"/>
  <c r="AX58" i="8" s="1"/>
  <c r="DG58" i="9"/>
  <c r="Z58" i="8" s="1"/>
  <c r="DH58" i="9"/>
  <c r="AN58" i="9"/>
  <c r="AU58" i="9" s="1"/>
  <c r="EI58" i="9" s="1"/>
  <c r="EZ58" i="9" s="1"/>
  <c r="AF78" i="9"/>
  <c r="K79" i="8"/>
  <c r="AX79" i="8" s="1"/>
  <c r="DH79" i="9"/>
  <c r="DD71" i="9"/>
  <c r="DC71" i="9"/>
  <c r="DA47" i="9"/>
  <c r="DI47" i="9" s="1"/>
  <c r="AA47" i="8" s="1"/>
  <c r="BO47" i="8" s="1"/>
  <c r="AK47" i="9"/>
  <c r="DA58" i="9"/>
  <c r="DA55" i="9"/>
  <c r="DB55" i="9"/>
  <c r="DJ55" i="9" s="1"/>
  <c r="AN55" i="8" s="1"/>
  <c r="FN55" i="8" s="1"/>
  <c r="AK55" i="9"/>
  <c r="DB71" i="9"/>
  <c r="AK71" i="9"/>
  <c r="K68" i="8"/>
  <c r="AX68" i="8" s="1"/>
  <c r="DC73" i="9"/>
  <c r="DD73" i="9"/>
  <c r="DB56" i="9"/>
  <c r="DA56" i="9"/>
  <c r="AK49" i="9"/>
  <c r="AO49" i="9" s="1"/>
  <c r="DA49" i="9"/>
  <c r="DB49" i="9"/>
  <c r="DJ49" i="9" s="1"/>
  <c r="AN49" i="8" s="1"/>
  <c r="FN49" i="8" s="1"/>
  <c r="K57" i="8"/>
  <c r="AX57" i="8" s="1"/>
  <c r="DG57" i="9"/>
  <c r="AN57" i="9"/>
  <c r="AU57" i="9" s="1"/>
  <c r="DH57" i="9"/>
  <c r="AM57" i="8" s="1"/>
  <c r="CA57" i="8" s="1"/>
  <c r="DD58" i="9"/>
  <c r="DC58" i="9"/>
  <c r="DD55" i="9"/>
  <c r="DC55" i="9"/>
  <c r="DI55" i="9" s="1"/>
  <c r="AA55" i="8" s="1"/>
  <c r="BO55" i="8" s="1"/>
  <c r="K71" i="8"/>
  <c r="AX71" i="8" s="1"/>
  <c r="DH71" i="9"/>
  <c r="DG71" i="9"/>
  <c r="Z71" i="8" s="1"/>
  <c r="IJ71" i="8" s="1"/>
  <c r="AN71" i="9"/>
  <c r="AU71" i="9" s="1"/>
  <c r="DL68" i="9"/>
  <c r="DK68" i="9"/>
  <c r="AB68" i="8" s="1"/>
  <c r="BP68" i="8" s="1"/>
  <c r="AF68" i="9"/>
  <c r="AP68" i="9" s="1"/>
  <c r="M68" i="8" s="1"/>
  <c r="AZ68" i="8" s="1"/>
  <c r="AF73" i="9"/>
  <c r="AP73" i="9" s="1"/>
  <c r="M73" i="8" s="1"/>
  <c r="AZ73" i="8" s="1"/>
  <c r="DK73" i="9"/>
  <c r="AB73" i="8" s="1"/>
  <c r="BP73" i="8" s="1"/>
  <c r="DD56" i="9"/>
  <c r="DC56" i="9"/>
  <c r="K49" i="8"/>
  <c r="AX49" i="8" s="1"/>
  <c r="DH49" i="9"/>
  <c r="DG49" i="9"/>
  <c r="Z49" i="8" s="1"/>
  <c r="BN49" i="8" s="1"/>
  <c r="AF47" i="9"/>
  <c r="DD47" i="9"/>
  <c r="DC47" i="9"/>
  <c r="L81" i="8"/>
  <c r="AY81" i="8" s="1"/>
  <c r="CC6" i="8"/>
  <c r="DI74" i="9"/>
  <c r="AA74" i="8" s="1"/>
  <c r="BO74" i="8" s="1"/>
  <c r="Z59" i="8"/>
  <c r="CS59" i="8" s="1"/>
  <c r="CY59" i="8" s="1"/>
  <c r="Z74" i="8"/>
  <c r="AM74" i="8"/>
  <c r="FM74" i="8" s="1"/>
  <c r="DI17" i="9"/>
  <c r="DJ17" i="9"/>
  <c r="AO17" i="9"/>
  <c r="AM59" i="8"/>
  <c r="DJ59" i="9"/>
  <c r="AO59" i="9"/>
  <c r="DI59" i="9"/>
  <c r="DJ69" i="9"/>
  <c r="AN69" i="8" s="1"/>
  <c r="CB69" i="8" s="1"/>
  <c r="DH35" i="9"/>
  <c r="AM35" i="8" s="1"/>
  <c r="CA35" i="8" s="1"/>
  <c r="DG35" i="9"/>
  <c r="K35" i="8"/>
  <c r="AX35" i="8" s="1"/>
  <c r="DA24" i="9"/>
  <c r="AK24" i="9"/>
  <c r="AO24" i="9" s="1"/>
  <c r="AO68" i="8"/>
  <c r="FO68" i="8" s="1"/>
  <c r="AM6" i="8"/>
  <c r="CA6" i="8" s="1"/>
  <c r="AM32" i="8"/>
  <c r="FM32" i="8" s="1"/>
  <c r="AK54" i="9"/>
  <c r="DA54" i="9"/>
  <c r="DB54" i="9"/>
  <c r="AK26" i="9"/>
  <c r="DB26" i="9"/>
  <c r="DA26" i="9"/>
  <c r="DL39" i="9"/>
  <c r="AO39" i="8" s="1"/>
  <c r="CC39" i="8" s="1"/>
  <c r="DK39" i="9"/>
  <c r="DH12" i="9"/>
  <c r="AN12" i="9"/>
  <c r="AU12" i="9" s="1"/>
  <c r="AG12" i="8" s="1"/>
  <c r="BU12" i="8" s="1"/>
  <c r="K12" i="8"/>
  <c r="AX12" i="8" s="1"/>
  <c r="AM23" i="8"/>
  <c r="DL35" i="9"/>
  <c r="AO35" i="8" s="1"/>
  <c r="FO35" i="8" s="1"/>
  <c r="DK35" i="9"/>
  <c r="AM62" i="8"/>
  <c r="CA62" i="8" s="1"/>
  <c r="AM63" i="8"/>
  <c r="G69" i="8"/>
  <c r="AT69" i="8" s="1"/>
  <c r="AM69" i="8"/>
  <c r="FM69" i="8" s="1"/>
  <c r="DB13" i="9"/>
  <c r="AK13" i="9"/>
  <c r="AM5" i="8"/>
  <c r="CA5" i="8" s="1"/>
  <c r="AO6" i="9"/>
  <c r="L6" i="8" s="1"/>
  <c r="AY6" i="8" s="1"/>
  <c r="DJ6" i="9"/>
  <c r="DI6" i="9"/>
  <c r="AA6" i="8" s="1"/>
  <c r="BO6" i="8" s="1"/>
  <c r="AF39" i="9"/>
  <c r="AP39" i="9" s="1"/>
  <c r="M39" i="8" s="1"/>
  <c r="AZ39" i="8" s="1"/>
  <c r="AN39" i="9"/>
  <c r="AU39" i="9" s="1"/>
  <c r="EI39" i="9" s="1"/>
  <c r="EZ39" i="9" s="1"/>
  <c r="DG39" i="9"/>
  <c r="K39" i="8"/>
  <c r="AX39" i="8" s="1"/>
  <c r="CQ35" i="9"/>
  <c r="CC77" i="8"/>
  <c r="AF22" i="9"/>
  <c r="AP22" i="9" s="1"/>
  <c r="M22" i="8" s="1"/>
  <c r="AZ22" i="8" s="1"/>
  <c r="DK22" i="9"/>
  <c r="AB22" i="8" s="1"/>
  <c r="BP22" i="8" s="1"/>
  <c r="Z69" i="8"/>
  <c r="BN69" i="8" s="1"/>
  <c r="DI63" i="9"/>
  <c r="AA63" i="8" s="1"/>
  <c r="BO63" i="8" s="1"/>
  <c r="AM77" i="8"/>
  <c r="DH13" i="9"/>
  <c r="K13" i="8"/>
  <c r="AX13" i="8" s="1"/>
  <c r="FM5" i="9"/>
  <c r="T74" i="8"/>
  <c r="BH74" i="8" s="1"/>
  <c r="AK35" i="9"/>
  <c r="DB35" i="9"/>
  <c r="DJ35" i="9" s="1"/>
  <c r="AN35" i="8" s="1"/>
  <c r="FN35" i="8" s="1"/>
  <c r="DB39" i="9"/>
  <c r="AK39" i="9"/>
  <c r="DJ39" i="9" s="1"/>
  <c r="AN39" i="8" s="1"/>
  <c r="FN39" i="8" s="1"/>
  <c r="DA39" i="9"/>
  <c r="AM67" i="8"/>
  <c r="CA67" i="8" s="1"/>
  <c r="Z32" i="8"/>
  <c r="AM51" i="8"/>
  <c r="CA51" i="8" s="1"/>
  <c r="FM9" i="8"/>
  <c r="CA9" i="8"/>
  <c r="DA22" i="9"/>
  <c r="DC22" i="9"/>
  <c r="DD22" i="9"/>
  <c r="DG46" i="9"/>
  <c r="Z46" i="8" s="1"/>
  <c r="K46" i="8"/>
  <c r="AX46" i="8" s="1"/>
  <c r="AM52" i="8"/>
  <c r="CA52" i="8" s="1"/>
  <c r="DH14" i="9"/>
  <c r="DG14" i="9"/>
  <c r="Z14" i="8" s="1"/>
  <c r="K14" i="8"/>
  <c r="AX14" i="8" s="1"/>
  <c r="AO32" i="9"/>
  <c r="L32" i="8" s="1"/>
  <c r="AY32" i="8" s="1"/>
  <c r="DI32" i="9"/>
  <c r="AK34" i="9"/>
  <c r="FO38" i="8"/>
  <c r="AO63" i="9"/>
  <c r="FM77" i="9"/>
  <c r="CC77" i="9"/>
  <c r="CE77" i="9" s="1"/>
  <c r="AT77" i="8"/>
  <c r="AG77" i="8"/>
  <c r="BU77" i="8" s="1"/>
  <c r="Z11" i="8"/>
  <c r="AG65" i="8"/>
  <c r="FG65" i="8" s="1"/>
  <c r="CD65" i="9"/>
  <c r="CF65" i="9" s="1"/>
  <c r="CJ65" i="9" s="1"/>
  <c r="BN23" i="8"/>
  <c r="AM66" i="8"/>
  <c r="BN8" i="8"/>
  <c r="CS8" i="8"/>
  <c r="CY8" i="8" s="1"/>
  <c r="DD84" i="9"/>
  <c r="DC84" i="9"/>
  <c r="DJ5" i="9"/>
  <c r="AN5" i="8" s="1"/>
  <c r="FN5" i="8" s="1"/>
  <c r="DD39" i="9"/>
  <c r="Z67" i="8"/>
  <c r="CS67" i="8" s="1"/>
  <c r="CY67" i="8" s="1"/>
  <c r="DJ77" i="9"/>
  <c r="AN77" i="8" s="1"/>
  <c r="AO77" i="9"/>
  <c r="AQ77" i="9" s="1"/>
  <c r="DK14" i="9"/>
  <c r="AB14" i="8" s="1"/>
  <c r="BP14" i="8" s="1"/>
  <c r="DC14" i="9"/>
  <c r="DD14" i="9"/>
  <c r="Z5" i="8"/>
  <c r="CS5" i="8" s="1"/>
  <c r="CY5" i="8" s="1"/>
  <c r="AM65" i="8"/>
  <c r="CA65" i="8" s="1"/>
  <c r="DD35" i="9"/>
  <c r="DC35" i="9"/>
  <c r="AO69" i="8"/>
  <c r="Z63" i="8"/>
  <c r="CS63" i="8" s="1"/>
  <c r="CY63" i="8" s="1"/>
  <c r="DD12" i="9"/>
  <c r="DC12" i="9"/>
  <c r="CD67" i="9"/>
  <c r="CF67" i="9" s="1"/>
  <c r="CB67" i="9"/>
  <c r="CG67" i="9" s="1"/>
  <c r="X67" i="8" s="1"/>
  <c r="EJ67" i="9"/>
  <c r="FA67" i="9" s="1"/>
  <c r="FM67" i="9"/>
  <c r="G67" i="8"/>
  <c r="AT67" i="8" s="1"/>
  <c r="EK67" i="9"/>
  <c r="FB67" i="9" s="1"/>
  <c r="EH67" i="9"/>
  <c r="EY67" i="9" s="1"/>
  <c r="T67" i="8"/>
  <c r="BH67" i="8" s="1"/>
  <c r="CC67" i="9"/>
  <c r="CE67" i="9" s="1"/>
  <c r="EI67" i="9"/>
  <c r="EZ67" i="9" s="1"/>
  <c r="AG32" i="8"/>
  <c r="FG32" i="8" s="1"/>
  <c r="FM32" i="9"/>
  <c r="G32" i="8"/>
  <c r="AT32" i="8" s="1"/>
  <c r="DC24" i="9"/>
  <c r="DD24" i="9"/>
  <c r="DG22" i="9"/>
  <c r="DH22" i="9"/>
  <c r="AN22" i="9"/>
  <c r="AU22" i="9" s="1"/>
  <c r="K22" i="8"/>
  <c r="AX22" i="8" s="1"/>
  <c r="AO14" i="8"/>
  <c r="CC14" i="8" s="1"/>
  <c r="DC46" i="9"/>
  <c r="DD46" i="9"/>
  <c r="Z62" i="8"/>
  <c r="BN62" i="8" s="1"/>
  <c r="EK52" i="9"/>
  <c r="FB52" i="9" s="1"/>
  <c r="G52" i="8"/>
  <c r="AT52" i="8" s="1"/>
  <c r="EH52" i="9"/>
  <c r="EY52" i="9" s="1"/>
  <c r="EI52" i="9"/>
  <c r="EZ52" i="9" s="1"/>
  <c r="FM52" i="9"/>
  <c r="AG52" i="8"/>
  <c r="BU52" i="8" s="1"/>
  <c r="FM8" i="8"/>
  <c r="CA8" i="8"/>
  <c r="T10" i="8"/>
  <c r="BH10" i="8" s="1"/>
  <c r="T63" i="8"/>
  <c r="BH63" i="8" s="1"/>
  <c r="BP61" i="8"/>
  <c r="BI58" i="8"/>
  <c r="R43" i="8"/>
  <c r="AI43" i="8"/>
  <c r="R47" i="8"/>
  <c r="BD47" i="8"/>
  <c r="BF47" i="8" s="1"/>
  <c r="BD22" i="8"/>
  <c r="BF22" i="8" s="1"/>
  <c r="BW71" i="8"/>
  <c r="CV35" i="9"/>
  <c r="V35" i="8" s="1"/>
  <c r="BJ35" i="8" s="1"/>
  <c r="CW35" i="9"/>
  <c r="P35" i="8"/>
  <c r="R35" i="8" s="1"/>
  <c r="BJ71" i="8"/>
  <c r="IF71" i="8"/>
  <c r="EC22" i="8"/>
  <c r="FI78" i="8"/>
  <c r="D78" i="27"/>
  <c r="EC78" i="8"/>
  <c r="V47" i="8"/>
  <c r="BJ47" i="8" s="1"/>
  <c r="Z56" i="8"/>
  <c r="EC75" i="8"/>
  <c r="AM71" i="8"/>
  <c r="FM71" i="8" s="1"/>
  <c r="AM79" i="8"/>
  <c r="Z57" i="8"/>
  <c r="CS57" i="8" s="1"/>
  <c r="AM58" i="8"/>
  <c r="Z47" i="8"/>
  <c r="BN47" i="8" s="1"/>
  <c r="AM49" i="8"/>
  <c r="FM49" i="8" s="1"/>
  <c r="EC10" i="8"/>
  <c r="D10" i="27"/>
  <c r="FI10" i="8"/>
  <c r="BD10" i="8"/>
  <c r="BF10" i="8" s="1"/>
  <c r="R10" i="8"/>
  <c r="T56" i="8"/>
  <c r="AG56" i="8"/>
  <c r="BU56" i="8" s="1"/>
  <c r="EH56" i="9"/>
  <c r="EY56" i="9" s="1"/>
  <c r="G56" i="8"/>
  <c r="AT56" i="8" s="1"/>
  <c r="EI56" i="9"/>
  <c r="EZ56" i="9" s="1"/>
  <c r="EK56" i="9"/>
  <c r="FB56" i="9" s="1"/>
  <c r="FM56" i="9"/>
  <c r="CB56" i="9"/>
  <c r="CG56" i="9" s="1"/>
  <c r="X56" i="8" s="1"/>
  <c r="CD56" i="9"/>
  <c r="CF56" i="9" s="1"/>
  <c r="CC56" i="9"/>
  <c r="CE56" i="9" s="1"/>
  <c r="AO57" i="9"/>
  <c r="L57" i="8" s="1"/>
  <c r="AY57" i="8" s="1"/>
  <c r="EJ55" i="9"/>
  <c r="FA55" i="9" s="1"/>
  <c r="T55" i="8"/>
  <c r="BH55" i="8" s="1"/>
  <c r="EH55" i="9"/>
  <c r="EY55" i="9" s="1"/>
  <c r="EI55" i="9"/>
  <c r="EZ55" i="9" s="1"/>
  <c r="FM55" i="9"/>
  <c r="G55" i="8"/>
  <c r="AT55" i="8" s="1"/>
  <c r="CC55" i="9"/>
  <c r="CE55" i="9" s="1"/>
  <c r="CB55" i="9"/>
  <c r="CG55" i="9" s="1"/>
  <c r="X55" i="8" s="1"/>
  <c r="CD55" i="9"/>
  <c r="CF55" i="9" s="1"/>
  <c r="AO47" i="9"/>
  <c r="EJ58" i="9"/>
  <c r="FA58" i="9" s="1"/>
  <c r="T58" i="8"/>
  <c r="G58" i="8"/>
  <c r="AT58" i="8" s="1"/>
  <c r="EH58" i="9"/>
  <c r="EY58" i="9" s="1"/>
  <c r="FM58" i="9"/>
  <c r="EK58" i="9"/>
  <c r="FB58" i="9" s="1"/>
  <c r="CC58" i="9"/>
  <c r="CE58" i="9" s="1"/>
  <c r="CD58" i="9"/>
  <c r="CF58" i="9" s="1"/>
  <c r="DJ71" i="9"/>
  <c r="AN71" i="8" s="1"/>
  <c r="CB71" i="8" s="1"/>
  <c r="AO55" i="9"/>
  <c r="L55" i="8" s="1"/>
  <c r="AY55" i="8" s="1"/>
  <c r="AG47" i="8"/>
  <c r="BU47" i="8" s="1"/>
  <c r="EJ47" i="9"/>
  <c r="FA47" i="9" s="1"/>
  <c r="T47" i="8"/>
  <c r="BH47" i="8" s="1"/>
  <c r="G47" i="8"/>
  <c r="AT47" i="8" s="1"/>
  <c r="EI47" i="9"/>
  <c r="EZ47" i="9" s="1"/>
  <c r="EK47" i="9"/>
  <c r="FB47" i="9" s="1"/>
  <c r="FM47" i="9"/>
  <c r="EH47" i="9"/>
  <c r="EY47" i="9" s="1"/>
  <c r="CC47" i="9"/>
  <c r="CE47" i="9" s="1"/>
  <c r="CB47" i="9"/>
  <c r="CG47" i="9" s="1"/>
  <c r="X47" i="8" s="1"/>
  <c r="CD47" i="9"/>
  <c r="CF47" i="9" s="1"/>
  <c r="AN17" i="8"/>
  <c r="CB17" i="8" s="1"/>
  <c r="AA59" i="8"/>
  <c r="BO59" i="8" s="1"/>
  <c r="AA17" i="8"/>
  <c r="BO17" i="8" s="1"/>
  <c r="L59" i="8"/>
  <c r="AY59" i="8" s="1"/>
  <c r="BN74" i="8"/>
  <c r="CS74" i="8"/>
  <c r="CY74" i="8" s="1"/>
  <c r="AN59" i="8"/>
  <c r="CB59" i="8" s="1"/>
  <c r="L17" i="8"/>
  <c r="AY17" i="8" s="1"/>
  <c r="CC68" i="8"/>
  <c r="AM13" i="8"/>
  <c r="FM13" i="8" s="1"/>
  <c r="AB35" i="8"/>
  <c r="BP35" i="8" s="1"/>
  <c r="FO14" i="8"/>
  <c r="L63" i="8"/>
  <c r="AY63" i="8" s="1"/>
  <c r="AQ63" i="9"/>
  <c r="BA63" i="9" s="1"/>
  <c r="AM14" i="8"/>
  <c r="FM14" i="8" s="1"/>
  <c r="CA77" i="8"/>
  <c r="FM77" i="8"/>
  <c r="Z39" i="8"/>
  <c r="CS39" i="8" s="1"/>
  <c r="CY39" i="8" s="1"/>
  <c r="FM62" i="8"/>
  <c r="FM6" i="8"/>
  <c r="AM22" i="8"/>
  <c r="AN6" i="8"/>
  <c r="FM56" i="8"/>
  <c r="Z22" i="8"/>
  <c r="BN5" i="8"/>
  <c r="BN67" i="8"/>
  <c r="CA66" i="8"/>
  <c r="FM66" i="8"/>
  <c r="FM52" i="8"/>
  <c r="AO39" i="9"/>
  <c r="L39" i="8" s="1"/>
  <c r="AY39" i="8" s="1"/>
  <c r="AO35" i="9"/>
  <c r="CA69" i="8"/>
  <c r="FM23" i="8"/>
  <c r="CA23" i="8"/>
  <c r="AM12" i="8"/>
  <c r="CA12" i="8" s="1"/>
  <c r="AB39" i="8"/>
  <c r="BP39" i="8" s="1"/>
  <c r="CA32" i="8"/>
  <c r="FM51" i="8"/>
  <c r="CS69" i="8"/>
  <c r="CY69" i="8" s="1"/>
  <c r="G39" i="8"/>
  <c r="AT39" i="8" s="1"/>
  <c r="FM39" i="9"/>
  <c r="EH39" i="9"/>
  <c r="EY39" i="9" s="1"/>
  <c r="EK39" i="9"/>
  <c r="FB39" i="9" s="1"/>
  <c r="FM12" i="9"/>
  <c r="G12" i="8"/>
  <c r="AT12" i="8" s="1"/>
  <c r="CC12" i="9"/>
  <c r="CE12" i="9" s="1"/>
  <c r="BN63" i="8"/>
  <c r="CL9" i="8"/>
  <c r="BN11" i="8"/>
  <c r="CS11" i="8"/>
  <c r="CY11" i="8" s="1"/>
  <c r="AA32" i="8"/>
  <c r="BO32" i="8" s="1"/>
  <c r="CD12" i="9"/>
  <c r="CF12" i="9" s="1"/>
  <c r="BN6" i="8"/>
  <c r="CS6" i="8"/>
  <c r="CY6" i="8" s="1"/>
  <c r="FM67" i="8"/>
  <c r="FM5" i="8"/>
  <c r="CA63" i="8"/>
  <c r="FM63" i="8"/>
  <c r="Z12" i="8"/>
  <c r="CS12" i="8" s="1"/>
  <c r="CY12" i="8" s="1"/>
  <c r="Z35" i="8"/>
  <c r="CS35" i="8" s="1"/>
  <c r="CY35" i="8" s="1"/>
  <c r="CS71" i="8"/>
  <c r="CY71" i="8" s="1"/>
  <c r="AI35" i="8"/>
  <c r="BW35" i="8" s="1"/>
  <c r="D47" i="27"/>
  <c r="FI47" i="8"/>
  <c r="EC47" i="8"/>
  <c r="BW43" i="8"/>
  <c r="BD35" i="8"/>
  <c r="BH56" i="8"/>
  <c r="BH58" i="8"/>
  <c r="CY57" i="8"/>
  <c r="FN59" i="8"/>
  <c r="FN6" i="8"/>
  <c r="CB6" i="8"/>
  <c r="DZ6" i="8"/>
  <c r="FT6" i="8" s="1"/>
  <c r="GA6" i="8" s="1"/>
  <c r="CL67" i="8"/>
  <c r="BL67" i="8"/>
  <c r="CA13" i="8"/>
  <c r="CC35" i="8"/>
  <c r="L35" i="8"/>
  <c r="AY35" i="8" s="1"/>
  <c r="FO22" i="8"/>
  <c r="CS22" i="8"/>
  <c r="CY22" i="8" s="1"/>
  <c r="BN22" i="8"/>
  <c r="BN39" i="8"/>
  <c r="CA14" i="8"/>
  <c r="D35" i="27"/>
  <c r="EC35" i="8"/>
  <c r="AF7" i="11"/>
  <c r="AF69" i="11"/>
  <c r="AE7" i="11"/>
  <c r="AF32" i="11"/>
  <c r="AF60" i="11"/>
  <c r="AF50" i="11"/>
  <c r="AF80" i="11"/>
  <c r="AE50" i="11"/>
  <c r="AF21" i="11"/>
  <c r="AG50" i="11"/>
  <c r="AE69" i="11"/>
  <c r="AE32" i="11"/>
  <c r="AE72" i="11"/>
  <c r="AF9" i="11"/>
  <c r="AE21" i="11"/>
  <c r="AF4" i="11"/>
  <c r="AF65" i="11"/>
  <c r="AE9" i="11"/>
  <c r="AE80" i="11"/>
  <c r="AE60" i="11"/>
  <c r="AG9" i="11"/>
  <c r="AF74" i="11"/>
  <c r="AG19" i="11"/>
  <c r="AF5" i="11"/>
  <c r="AE74" i="11"/>
  <c r="AF70" i="11"/>
  <c r="AF77" i="11"/>
  <c r="AE65" i="11"/>
  <c r="AE4" i="11"/>
  <c r="AE5" i="11"/>
  <c r="AF19" i="11"/>
  <c r="AE70" i="11"/>
  <c r="AE77" i="11"/>
  <c r="AF82" i="11"/>
  <c r="AF43" i="11"/>
  <c r="AF83" i="11"/>
  <c r="AF73" i="11"/>
  <c r="AF68" i="11"/>
  <c r="AF48" i="11"/>
  <c r="AF49" i="11"/>
  <c r="AF78" i="11"/>
  <c r="AF56" i="11"/>
  <c r="AF47" i="11"/>
  <c r="AF29" i="11"/>
  <c r="AF58" i="11"/>
  <c r="AF31" i="11"/>
  <c r="AE19" i="11"/>
  <c r="AE35" i="11"/>
  <c r="AE82" i="11"/>
  <c r="AE31" i="11"/>
  <c r="AE47" i="11"/>
  <c r="AF71" i="11"/>
  <c r="AE29" i="11"/>
  <c r="AE78" i="11"/>
  <c r="AF76" i="11"/>
  <c r="AE48" i="11"/>
  <c r="AE73" i="11"/>
  <c r="AE83" i="11"/>
  <c r="AE58" i="11"/>
  <c r="AE49" i="11"/>
  <c r="AE43" i="11"/>
  <c r="AF79" i="11"/>
  <c r="AE56" i="11"/>
  <c r="AE68" i="11"/>
  <c r="AF59" i="11"/>
  <c r="AF20" i="11"/>
  <c r="AG35" i="11"/>
  <c r="AF72" i="11"/>
  <c r="AF6" i="11"/>
  <c r="AF18" i="11"/>
  <c r="AF33" i="11"/>
  <c r="AF11" i="11"/>
  <c r="AF67" i="11"/>
  <c r="AE76" i="11"/>
  <c r="AE79" i="11"/>
  <c r="AE71" i="11"/>
  <c r="AE20" i="11"/>
  <c r="AE59" i="11"/>
  <c r="AE6" i="11"/>
  <c r="AG72" i="11"/>
  <c r="AE33" i="11"/>
  <c r="AF34" i="11"/>
  <c r="AF30" i="11"/>
  <c r="AF35" i="11"/>
  <c r="AE11" i="11"/>
  <c r="AE18" i="11"/>
  <c r="AE67" i="11"/>
  <c r="AG82" i="11"/>
  <c r="AF84" i="11"/>
  <c r="AF75" i="11"/>
  <c r="AE30" i="11"/>
  <c r="AE34" i="11"/>
  <c r="AE75" i="11"/>
  <c r="AG84" i="11"/>
  <c r="AG75" i="11"/>
  <c r="AE84" i="11"/>
  <c r="FN77" i="8" l="1"/>
  <c r="CB77" i="8"/>
  <c r="BN55" i="8"/>
  <c r="CS55" i="8"/>
  <c r="CY55" i="8" s="1"/>
  <c r="L49" i="8"/>
  <c r="AY49" i="8" s="1"/>
  <c r="AQ49" i="9"/>
  <c r="BN58" i="8"/>
  <c r="CS58" i="8"/>
  <c r="CY58" i="8" s="1"/>
  <c r="CB32" i="8"/>
  <c r="FN32" i="8"/>
  <c r="AQ39" i="9"/>
  <c r="FN17" i="8"/>
  <c r="EJ39" i="9"/>
  <c r="FA39" i="9" s="1"/>
  <c r="AG39" i="8"/>
  <c r="BN57" i="8"/>
  <c r="AO71" i="9"/>
  <c r="L71" i="8" s="1"/>
  <c r="AY71" i="8" s="1"/>
  <c r="CS47" i="8"/>
  <c r="CY47" i="8" s="1"/>
  <c r="BW75" i="8"/>
  <c r="FI43" i="8"/>
  <c r="AG5" i="8"/>
  <c r="FG5" i="8" s="1"/>
  <c r="DI5" i="9"/>
  <c r="AA5" i="8" s="1"/>
  <c r="BO5" i="8" s="1"/>
  <c r="DI77" i="9"/>
  <c r="AA77" i="8" s="1"/>
  <c r="BO77" i="8" s="1"/>
  <c r="DG52" i="9"/>
  <c r="Z52" i="8" s="1"/>
  <c r="CS52" i="8" s="1"/>
  <c r="CY52" i="8" s="1"/>
  <c r="BK11" i="9"/>
  <c r="CV11" i="9" s="1"/>
  <c r="V11" i="8" s="1"/>
  <c r="BJ11" i="8" s="1"/>
  <c r="FF80" i="8"/>
  <c r="ED80" i="8"/>
  <c r="FX80" i="8" s="1"/>
  <c r="EE35" i="9"/>
  <c r="ED35" i="9"/>
  <c r="U36" i="8"/>
  <c r="BI36" i="8" s="1"/>
  <c r="BU36" i="9"/>
  <c r="DX69" i="9"/>
  <c r="DY69" i="9"/>
  <c r="DH10" i="9"/>
  <c r="AM10" i="8" s="1"/>
  <c r="AJ8" i="9"/>
  <c r="AD8" i="9"/>
  <c r="AN8" i="9" s="1"/>
  <c r="CA71" i="8"/>
  <c r="DI49" i="9"/>
  <c r="AA49" i="8" s="1"/>
  <c r="BO49" i="8" s="1"/>
  <c r="DJ47" i="9"/>
  <c r="AN47" i="8" s="1"/>
  <c r="EC7" i="8"/>
  <c r="BK62" i="9"/>
  <c r="FX60" i="8"/>
  <c r="EN60" i="8"/>
  <c r="FX82" i="8"/>
  <c r="EN82" i="8"/>
  <c r="DG73" i="9"/>
  <c r="Z73" i="8" s="1"/>
  <c r="BV57" i="8"/>
  <c r="FH57" i="8"/>
  <c r="FG56" i="8"/>
  <c r="FM12" i="8"/>
  <c r="FG47" i="8"/>
  <c r="BU32" i="8"/>
  <c r="CS62" i="8"/>
  <c r="CY62" i="8" s="1"/>
  <c r="BN59" i="8"/>
  <c r="BU65" i="8"/>
  <c r="T39" i="8"/>
  <c r="BH39" i="8" s="1"/>
  <c r="FG77" i="8"/>
  <c r="CA74" i="8"/>
  <c r="CB58" i="9"/>
  <c r="CG58" i="9" s="1"/>
  <c r="X58" i="8" s="1"/>
  <c r="AG58" i="8"/>
  <c r="DI22" i="9"/>
  <c r="AA22" i="8" s="1"/>
  <c r="BO22" i="8" s="1"/>
  <c r="EC15" i="8"/>
  <c r="BK32" i="9"/>
  <c r="BK73" i="9"/>
  <c r="AC19" i="9"/>
  <c r="K19" i="8" s="1"/>
  <c r="AX19" i="8" s="1"/>
  <c r="EN22" i="8"/>
  <c r="FX20" i="8"/>
  <c r="EN20" i="8"/>
  <c r="BG26" i="8"/>
  <c r="EX26" i="9"/>
  <c r="DB57" i="9"/>
  <c r="DJ57" i="9" s="1"/>
  <c r="AN57" i="8" s="1"/>
  <c r="DG79" i="9"/>
  <c r="Z79" i="8" s="1"/>
  <c r="DA71" i="9"/>
  <c r="DI71" i="9" s="1"/>
  <c r="AA71" i="8" s="1"/>
  <c r="BU70" i="9"/>
  <c r="DH11" i="9"/>
  <c r="AM11" i="8" s="1"/>
  <c r="CA11" i="8" s="1"/>
  <c r="BU50" i="9"/>
  <c r="DA8" i="9"/>
  <c r="BX21" i="8"/>
  <c r="FK21" i="9"/>
  <c r="FF10" i="8"/>
  <c r="ED10" i="8"/>
  <c r="EN10" i="8" s="1"/>
  <c r="DY22" i="9"/>
  <c r="DX22" i="9"/>
  <c r="DX62" i="9"/>
  <c r="DY62" i="9"/>
  <c r="FK33" i="9"/>
  <c r="BX33" i="8"/>
  <c r="EW80" i="9"/>
  <c r="AJ4" i="9"/>
  <c r="U4" i="9"/>
  <c r="ES59" i="9"/>
  <c r="U78" i="8"/>
  <c r="BI78" i="8" s="1"/>
  <c r="EC30" i="9"/>
  <c r="EW22" i="9"/>
  <c r="EC77" i="9"/>
  <c r="ER59" i="9"/>
  <c r="EG73" i="9"/>
  <c r="EK44" i="8"/>
  <c r="AA73" i="9"/>
  <c r="CQ73" i="9" s="1"/>
  <c r="U79" i="9"/>
  <c r="AF79" i="9" s="1"/>
  <c r="AP79" i="9" s="1"/>
  <c r="M79" i="8" s="1"/>
  <c r="AZ79" i="8" s="1"/>
  <c r="AF24" i="8"/>
  <c r="BU48" i="9"/>
  <c r="AR15" i="9"/>
  <c r="F15" i="8" s="1"/>
  <c r="AS15" i="8" s="1"/>
  <c r="DG10" i="9"/>
  <c r="Z10" i="8" s="1"/>
  <c r="O40" i="11"/>
  <c r="EA65" i="8"/>
  <c r="FU65" i="8" s="1"/>
  <c r="FK65" i="8"/>
  <c r="BR79" i="8"/>
  <c r="DY80" i="8"/>
  <c r="FS9" i="8"/>
  <c r="EK9" i="8"/>
  <c r="DY48" i="8"/>
  <c r="DY64" i="8"/>
  <c r="BU54" i="9"/>
  <c r="FP64" i="8"/>
  <c r="FP80" i="8"/>
  <c r="FX48" i="8"/>
  <c r="AC80" i="9"/>
  <c r="K80" i="8" s="1"/>
  <c r="AX80" i="8" s="1"/>
  <c r="ED12" i="8"/>
  <c r="FX12" i="8" s="1"/>
  <c r="BT19" i="8"/>
  <c r="DX63" i="9"/>
  <c r="DU76" i="9"/>
  <c r="DX37" i="9"/>
  <c r="DY65" i="9"/>
  <c r="BT84" i="8"/>
  <c r="BT7" i="8"/>
  <c r="BV43" i="8"/>
  <c r="FF35" i="8"/>
  <c r="AC7" i="9"/>
  <c r="FK59" i="9"/>
  <c r="AR12" i="9"/>
  <c r="F12" i="8" s="1"/>
  <c r="AS12" i="8" s="1"/>
  <c r="AR6" i="9"/>
  <c r="F6" i="8" s="1"/>
  <c r="AS6" i="8" s="1"/>
  <c r="AR25" i="9"/>
  <c r="F25" i="8" s="1"/>
  <c r="AS25" i="8" s="1"/>
  <c r="Z81" i="9"/>
  <c r="BR16" i="9"/>
  <c r="EV81" i="9"/>
  <c r="U16" i="8"/>
  <c r="BI16" i="8" s="1"/>
  <c r="EC59" i="9"/>
  <c r="EU16" i="9"/>
  <c r="EW16" i="9" s="1"/>
  <c r="BT81" i="9"/>
  <c r="BT77" i="9"/>
  <c r="CD77" i="9" s="1"/>
  <c r="CF77" i="9" s="1"/>
  <c r="EU12" i="9"/>
  <c r="AF50" i="8"/>
  <c r="EK41" i="8"/>
  <c r="AC36" i="9"/>
  <c r="EU30" i="9"/>
  <c r="EW30" i="9" s="1"/>
  <c r="M16" i="11"/>
  <c r="M24" i="11"/>
  <c r="O24" i="11"/>
  <c r="CH59" i="8"/>
  <c r="CW59" i="8" s="1"/>
  <c r="FS71" i="8"/>
  <c r="EK71" i="8"/>
  <c r="CE32" i="8"/>
  <c r="CA15" i="9"/>
  <c r="BA75" i="10"/>
  <c r="BC75" i="10" s="1"/>
  <c r="BA71" i="10"/>
  <c r="BC71" i="10" s="1"/>
  <c r="BA55" i="10"/>
  <c r="BC55" i="10" s="1"/>
  <c r="FF32" i="8"/>
  <c r="DH81" i="9"/>
  <c r="AM81" i="8" s="1"/>
  <c r="EV24" i="9"/>
  <c r="EX24" i="9" s="1"/>
  <c r="EX16" i="9"/>
  <c r="EU84" i="9"/>
  <c r="EW84" i="9" s="1"/>
  <c r="EK75" i="8"/>
  <c r="EK61" i="8"/>
  <c r="H16" i="8"/>
  <c r="AU16" i="8" s="1"/>
  <c r="Z15" i="9"/>
  <c r="BI13" i="9"/>
  <c r="AJ13" i="8"/>
  <c r="BX13" i="8" s="1"/>
  <c r="FS22" i="8"/>
  <c r="EK22" i="8"/>
  <c r="FS47" i="8"/>
  <c r="EK47" i="8"/>
  <c r="CE84" i="8"/>
  <c r="DY84" i="8"/>
  <c r="BR83" i="8"/>
  <c r="CH83" i="8"/>
  <c r="CW83" i="8" s="1"/>
  <c r="CE76" i="8"/>
  <c r="FP76" i="8"/>
  <c r="DY76" i="8"/>
  <c r="BR75" i="8"/>
  <c r="CH75" i="8"/>
  <c r="CW75" i="8" s="1"/>
  <c r="CE72" i="8"/>
  <c r="DY72" i="8"/>
  <c r="CH71" i="8"/>
  <c r="IM71" i="8"/>
  <c r="BR71" i="8"/>
  <c r="CE68" i="8"/>
  <c r="DY68" i="8"/>
  <c r="FP60" i="8"/>
  <c r="CE60" i="8"/>
  <c r="DY60" i="8"/>
  <c r="CE52" i="8"/>
  <c r="FP52" i="8"/>
  <c r="DY52" i="8"/>
  <c r="BR51" i="8"/>
  <c r="CH51" i="8"/>
  <c r="CW51" i="8" s="1"/>
  <c r="BR43" i="8"/>
  <c r="CH43" i="8"/>
  <c r="CW43" i="8" s="1"/>
  <c r="FP40" i="8"/>
  <c r="CE40" i="8"/>
  <c r="DY40" i="8"/>
  <c r="CE36" i="8"/>
  <c r="FP36" i="8"/>
  <c r="DY36" i="8"/>
  <c r="BR35" i="8"/>
  <c r="CH35" i="8"/>
  <c r="CW35" i="8" s="1"/>
  <c r="BR27" i="8"/>
  <c r="CH27" i="8"/>
  <c r="CW27" i="8" s="1"/>
  <c r="CE24" i="8"/>
  <c r="DY24" i="8"/>
  <c r="CE20" i="8"/>
  <c r="DY20" i="8"/>
  <c r="BR19" i="8"/>
  <c r="CH19" i="8"/>
  <c r="CW19" i="8" s="1"/>
  <c r="FP16" i="8"/>
  <c r="CE16" i="8"/>
  <c r="DY16" i="8"/>
  <c r="CE12" i="8"/>
  <c r="FP12" i="8"/>
  <c r="FP90" i="8" s="1"/>
  <c r="DY12" i="8"/>
  <c r="BR11" i="8"/>
  <c r="CH11" i="8"/>
  <c r="CW11" i="8" s="1"/>
  <c r="CE4" i="8"/>
  <c r="DY4" i="8"/>
  <c r="Q82" i="9"/>
  <c r="BP79" i="9"/>
  <c r="EG79" i="9"/>
  <c r="BT75" i="9"/>
  <c r="BR75" i="9"/>
  <c r="L55" i="11"/>
  <c r="J55" i="11"/>
  <c r="EV67" i="9"/>
  <c r="EX67" i="9" s="1"/>
  <c r="S67" i="8"/>
  <c r="BG67" i="8" s="1"/>
  <c r="EV69" i="9"/>
  <c r="Y69" i="9"/>
  <c r="CC69" i="9" s="1"/>
  <c r="CE69" i="9" s="1"/>
  <c r="AR69" i="9"/>
  <c r="F69" i="8" s="1"/>
  <c r="AS69" i="8" s="1"/>
  <c r="O83" i="11"/>
  <c r="N83" i="11"/>
  <c r="M83" i="11"/>
  <c r="N42" i="11"/>
  <c r="O42" i="11"/>
  <c r="M42" i="11"/>
  <c r="M38" i="11"/>
  <c r="O38" i="11"/>
  <c r="O34" i="11"/>
  <c r="M34" i="11"/>
  <c r="O32" i="11"/>
  <c r="M32" i="11"/>
  <c r="N32" i="11"/>
  <c r="N30" i="11"/>
  <c r="M30" i="11"/>
  <c r="M28" i="11"/>
  <c r="N28" i="11"/>
  <c r="O28" i="11"/>
  <c r="O26" i="11"/>
  <c r="M26" i="11"/>
  <c r="O22" i="11"/>
  <c r="M22" i="11"/>
  <c r="N22" i="11"/>
  <c r="N20" i="11"/>
  <c r="M20" i="11"/>
  <c r="O20" i="11"/>
  <c r="N18" i="11"/>
  <c r="M18" i="11"/>
  <c r="O18" i="11"/>
  <c r="M14" i="11"/>
  <c r="O14" i="11"/>
  <c r="N10" i="11"/>
  <c r="M10" i="11"/>
  <c r="BQ78" i="10"/>
  <c r="BS78" i="10" s="1"/>
  <c r="BQ77" i="10"/>
  <c r="BS77" i="10" s="1"/>
  <c r="CD71" i="10"/>
  <c r="CF71" i="10" s="1"/>
  <c r="BQ71" i="10"/>
  <c r="BS71" i="10" s="1"/>
  <c r="CD70" i="10"/>
  <c r="CF70" i="10" s="1"/>
  <c r="CD69" i="10"/>
  <c r="CF69" i="10" s="1"/>
  <c r="BA66" i="10"/>
  <c r="BC66" i="10" s="1"/>
  <c r="BQ64" i="10"/>
  <c r="BA64" i="10"/>
  <c r="BC64" i="10" s="1"/>
  <c r="BQ63" i="10"/>
  <c r="BS63" i="10" s="1"/>
  <c r="BA60" i="10"/>
  <c r="BC60" i="10" s="1"/>
  <c r="BA58" i="10"/>
  <c r="BQ55" i="10"/>
  <c r="BS55" i="10" s="1"/>
  <c r="CD51" i="10"/>
  <c r="CF51" i="10" s="1"/>
  <c r="BQ51" i="10"/>
  <c r="BS51" i="10" s="1"/>
  <c r="BQ50" i="10"/>
  <c r="BS50" i="10" s="1"/>
  <c r="BA48" i="10"/>
  <c r="BC48" i="10" s="1"/>
  <c r="BQ45" i="10"/>
  <c r="BS45" i="10" s="1"/>
  <c r="BA40" i="10"/>
  <c r="BC40" i="10" s="1"/>
  <c r="BQ29" i="10"/>
  <c r="BS29" i="10" s="1"/>
  <c r="CD28" i="10"/>
  <c r="CF28" i="10" s="1"/>
  <c r="CD25" i="10"/>
  <c r="CF25" i="10" s="1"/>
  <c r="CD23" i="10"/>
  <c r="CF23" i="10" s="1"/>
  <c r="BC17" i="10"/>
  <c r="BQ11" i="10"/>
  <c r="BS11" i="10" s="1"/>
  <c r="EG69" i="9"/>
  <c r="K48" i="11"/>
  <c r="N62" i="11"/>
  <c r="O74" i="11"/>
  <c r="M52" i="11"/>
  <c r="O46" i="11"/>
  <c r="N68" i="11"/>
  <c r="CA67" i="9"/>
  <c r="AG67" i="8" s="1"/>
  <c r="FK13" i="9"/>
  <c r="CA83" i="9"/>
  <c r="S68" i="8"/>
  <c r="BI46" i="9"/>
  <c r="O64" i="11"/>
  <c r="CA54" i="9"/>
  <c r="ER65" i="9"/>
  <c r="CA73" i="9"/>
  <c r="BI52" i="9"/>
  <c r="BK52" i="9" s="1"/>
  <c r="EP63" i="9"/>
  <c r="CA40" i="9"/>
  <c r="CA79" i="9"/>
  <c r="DY79" i="8"/>
  <c r="O50" i="11"/>
  <c r="CA75" i="9"/>
  <c r="BE70" i="9"/>
  <c r="BK70" i="9" s="1"/>
  <c r="BQ48" i="10"/>
  <c r="BA32" i="10"/>
  <c r="BC32" i="10" s="1"/>
  <c r="BF20" i="10"/>
  <c r="CD15" i="10"/>
  <c r="CF15" i="10" s="1"/>
  <c r="BA11" i="10"/>
  <c r="BC11" i="10" s="1"/>
  <c r="CV39" i="10"/>
  <c r="CV56" i="10"/>
  <c r="BE76" i="9"/>
  <c r="M78" i="11"/>
  <c r="BX50" i="9"/>
  <c r="CA50" i="9" s="1"/>
  <c r="EG77" i="9"/>
  <c r="EG63" i="9"/>
  <c r="BE58" i="9"/>
  <c r="BK58" i="9" s="1"/>
  <c r="CA49" i="9"/>
  <c r="EG61" i="9"/>
  <c r="CD52" i="10"/>
  <c r="CF52" i="10" s="1"/>
  <c r="BQ38" i="10"/>
  <c r="BF15" i="10"/>
  <c r="CV67" i="10"/>
  <c r="EJ67" i="10"/>
  <c r="CV75" i="10"/>
  <c r="EJ75" i="10"/>
  <c r="EK76" i="10"/>
  <c r="CV76" i="10"/>
  <c r="CD55" i="10"/>
  <c r="CF55" i="10" s="1"/>
  <c r="BF51" i="10"/>
  <c r="BA46" i="10"/>
  <c r="BF43" i="10"/>
  <c r="BA35" i="10"/>
  <c r="EL26" i="10"/>
  <c r="CV26" i="10"/>
  <c r="EL43" i="10"/>
  <c r="CV43" i="10"/>
  <c r="C88" i="24"/>
  <c r="E88" i="24" s="1"/>
  <c r="A89" i="24"/>
  <c r="EP23" i="10"/>
  <c r="CV23" i="10"/>
  <c r="A59" i="24"/>
  <c r="BI4" i="9"/>
  <c r="CV57" i="10"/>
  <c r="ER57" i="10" s="1"/>
  <c r="EJ56" i="10"/>
  <c r="A6" i="22"/>
  <c r="A59" i="22"/>
  <c r="A86" i="22"/>
  <c r="A87" i="22" s="1"/>
  <c r="C85" i="24"/>
  <c r="E85" i="24" s="1"/>
  <c r="CM45" i="11"/>
  <c r="BT52" i="11"/>
  <c r="BT12" i="11"/>
  <c r="B58" i="24"/>
  <c r="AD90" i="8"/>
  <c r="BR90" i="8" s="1"/>
  <c r="AQ90" i="8"/>
  <c r="CE90" i="8" s="1"/>
  <c r="D90" i="8"/>
  <c r="BG82" i="9"/>
  <c r="BP76" i="9"/>
  <c r="BG76" i="9"/>
  <c r="BJ4" i="9"/>
  <c r="BC4" i="9"/>
  <c r="BE4" i="9" s="1"/>
  <c r="CV72" i="10"/>
  <c r="CV83" i="10"/>
  <c r="CV30" i="10"/>
  <c r="CV13" i="10"/>
  <c r="C84" i="24"/>
  <c r="E84" i="24" s="1"/>
  <c r="BT26" i="11"/>
  <c r="N81" i="9"/>
  <c r="N65" i="9"/>
  <c r="A8" i="24"/>
  <c r="DA14" i="7"/>
  <c r="DJ14" i="11" s="1"/>
  <c r="DH46" i="7"/>
  <c r="DL46" i="7" s="1"/>
  <c r="CT46" i="11" s="1"/>
  <c r="DB12" i="7"/>
  <c r="DK12" i="11" s="1"/>
  <c r="DJ14" i="7"/>
  <c r="DF22" i="7"/>
  <c r="CZ38" i="7"/>
  <c r="DH53" i="7"/>
  <c r="DL53" i="7" s="1"/>
  <c r="CT53" i="11" s="1"/>
  <c r="DC53" i="11" s="1"/>
  <c r="DG63" i="7"/>
  <c r="CY61" i="7"/>
  <c r="DC54" i="7"/>
  <c r="CP54" i="11" s="1"/>
  <c r="DG51" i="7"/>
  <c r="CY45" i="7"/>
  <c r="DC41" i="7"/>
  <c r="CP41" i="11" s="1"/>
  <c r="CY39" i="7"/>
  <c r="CY37" i="7"/>
  <c r="CY35" i="7"/>
  <c r="DG28" i="7"/>
  <c r="DK28" i="7" s="1"/>
  <c r="CS28" i="11" s="1"/>
  <c r="BY28" i="11" s="1"/>
  <c r="DC27" i="7"/>
  <c r="CP27" i="11" s="1"/>
  <c r="CY26" i="7"/>
  <c r="DG24" i="7"/>
  <c r="DK24" i="7" s="1"/>
  <c r="CS24" i="11" s="1"/>
  <c r="BY24" i="11" s="1"/>
  <c r="DC23" i="7"/>
  <c r="CP23" i="11" s="1"/>
  <c r="DB81" i="7"/>
  <c r="DK81" i="11" s="1"/>
  <c r="DJ61" i="7"/>
  <c r="DB57" i="7"/>
  <c r="DK57" i="11" s="1"/>
  <c r="DB54" i="7"/>
  <c r="DK54" i="11" s="1"/>
  <c r="DJ52" i="7"/>
  <c r="DL52" i="7" s="1"/>
  <c r="CT52" i="11" s="1"/>
  <c r="DF51" i="7"/>
  <c r="DL51" i="7" s="1"/>
  <c r="CT51" i="11" s="1"/>
  <c r="DB46" i="7"/>
  <c r="DK46" i="11" s="1"/>
  <c r="DJ44" i="7"/>
  <c r="DL44" i="7" s="1"/>
  <c r="CT44" i="11" s="1"/>
  <c r="DC44" i="11" s="1"/>
  <c r="DF42" i="7"/>
  <c r="DL42" i="7" s="1"/>
  <c r="CT42" i="11" s="1"/>
  <c r="CY42" i="11" s="1"/>
  <c r="DB41" i="7"/>
  <c r="DK41" i="11" s="1"/>
  <c r="DJ39" i="7"/>
  <c r="DL39" i="7" s="1"/>
  <c r="CT39" i="11" s="1"/>
  <c r="DF38" i="7"/>
  <c r="DL38" i="7" s="1"/>
  <c r="CT38" i="11" s="1"/>
  <c r="DB37" i="7"/>
  <c r="DK37" i="11" s="1"/>
  <c r="DJ35" i="7"/>
  <c r="DL35" i="7" s="1"/>
  <c r="CT35" i="11" s="1"/>
  <c r="DF34" i="7"/>
  <c r="DL34" i="7" s="1"/>
  <c r="CT34" i="11" s="1"/>
  <c r="DB28" i="7"/>
  <c r="DK28" i="11" s="1"/>
  <c r="DJ26" i="7"/>
  <c r="DL26" i="7" s="1"/>
  <c r="CT26" i="11" s="1"/>
  <c r="DF25" i="7"/>
  <c r="DL25" i="7" s="1"/>
  <c r="CT25" i="11" s="1"/>
  <c r="DA25" i="11" s="1"/>
  <c r="DB24" i="7"/>
  <c r="DK24" i="11" s="1"/>
  <c r="DJ22" i="7"/>
  <c r="DL22" i="7" s="1"/>
  <c r="CT22" i="11" s="1"/>
  <c r="DI63" i="7"/>
  <c r="DK63" i="7" s="1"/>
  <c r="CS63" i="11" s="1"/>
  <c r="BY63" i="11" s="1"/>
  <c r="DE62" i="7"/>
  <c r="DI55" i="7"/>
  <c r="DK55" i="7" s="1"/>
  <c r="CS55" i="11" s="1"/>
  <c r="BY55" i="11" s="1"/>
  <c r="DE54" i="7"/>
  <c r="DI51" i="7"/>
  <c r="DK51" i="7" s="1"/>
  <c r="CS51" i="11" s="1"/>
  <c r="BY51" i="11" s="1"/>
  <c r="DE46" i="7"/>
  <c r="CY12" i="7"/>
  <c r="CY13" i="7"/>
  <c r="CY14" i="7"/>
  <c r="CY15" i="7"/>
  <c r="CY16" i="7"/>
  <c r="CY22" i="7"/>
  <c r="CZ24" i="7"/>
  <c r="CZ28" i="7"/>
  <c r="CZ37" i="7"/>
  <c r="CZ46" i="7"/>
  <c r="DI10" i="7"/>
  <c r="DK10" i="7" s="1"/>
  <c r="CS10" i="11" s="1"/>
  <c r="BY10" i="11" s="1"/>
  <c r="CZ57" i="7"/>
  <c r="DF12" i="7"/>
  <c r="DB15" i="7"/>
  <c r="DK15" i="11" s="1"/>
  <c r="DH23" i="7"/>
  <c r="DL23" i="7" s="1"/>
  <c r="CT23" i="11" s="1"/>
  <c r="CZ55" i="7"/>
  <c r="DE10" i="7"/>
  <c r="BT62" i="11"/>
  <c r="DA10" i="7"/>
  <c r="DJ10" i="11" s="1"/>
  <c r="DA8" i="7"/>
  <c r="DJ8" i="11" s="1"/>
  <c r="DH54" i="7"/>
  <c r="DL54" i="7" s="1"/>
  <c r="CT54" i="11" s="1"/>
  <c r="DA13" i="7"/>
  <c r="DJ13" i="11" s="1"/>
  <c r="DI13" i="11" s="1"/>
  <c r="DN13" i="11" s="1"/>
  <c r="DI14" i="7"/>
  <c r="DK14" i="7" s="1"/>
  <c r="CS14" i="11" s="1"/>
  <c r="BY14" i="11" s="1"/>
  <c r="CZ44" i="7"/>
  <c r="DD26" i="7"/>
  <c r="CQ26" i="11" s="1"/>
  <c r="DE26" i="11" s="1"/>
  <c r="DD35" i="7"/>
  <c r="CQ35" i="11" s="1"/>
  <c r="DD39" i="7"/>
  <c r="CQ39" i="11" s="1"/>
  <c r="DD44" i="7"/>
  <c r="CQ44" i="11" s="1"/>
  <c r="DH44" i="11" s="1"/>
  <c r="DD52" i="7"/>
  <c r="CQ52" i="11" s="1"/>
  <c r="DD57" i="7"/>
  <c r="CQ57" i="11" s="1"/>
  <c r="DI12" i="7"/>
  <c r="DK12" i="7" s="1"/>
  <c r="CS12" i="11" s="1"/>
  <c r="BY12" i="11" s="1"/>
  <c r="DA16" i="7"/>
  <c r="DJ16" i="11" s="1"/>
  <c r="DH24" i="7"/>
  <c r="DL24" i="7" s="1"/>
  <c r="CT24" i="11" s="1"/>
  <c r="DD40" i="7"/>
  <c r="CQ40" i="11" s="1"/>
  <c r="CZ52" i="7"/>
  <c r="DC81" i="7"/>
  <c r="DI8" i="7"/>
  <c r="DK8" i="7" s="1"/>
  <c r="CS8" i="11" s="1"/>
  <c r="BY8" i="11" s="1"/>
  <c r="DI16" i="7"/>
  <c r="DK16" i="7" s="1"/>
  <c r="CS16" i="11" s="1"/>
  <c r="BY16" i="11" s="1"/>
  <c r="CZ39" i="7"/>
  <c r="DF8" i="7"/>
  <c r="DL8" i="7" s="1"/>
  <c r="CT8" i="11" s="1"/>
  <c r="DJ10" i="7"/>
  <c r="DL10" i="7" s="1"/>
  <c r="CT10" i="11" s="1"/>
  <c r="DB13" i="7"/>
  <c r="DK13" i="11" s="1"/>
  <c r="DF14" i="7"/>
  <c r="DJ15" i="7"/>
  <c r="DB22" i="7"/>
  <c r="DK22" i="11" s="1"/>
  <c r="DH36" i="7"/>
  <c r="DL36" i="7" s="1"/>
  <c r="CT36" i="11" s="1"/>
  <c r="CZ42" i="7"/>
  <c r="DH61" i="7"/>
  <c r="DH28" i="7"/>
  <c r="DL28" i="7" s="1"/>
  <c r="CT28" i="11" s="1"/>
  <c r="DD45" i="7"/>
  <c r="CQ45" i="11" s="1"/>
  <c r="DH45" i="11" s="1"/>
  <c r="DD61" i="7"/>
  <c r="CQ61" i="11" s="1"/>
  <c r="CY81" i="7"/>
  <c r="DG62" i="7"/>
  <c r="DK62" i="7" s="1"/>
  <c r="CS62" i="11" s="1"/>
  <c r="BY62" i="11" s="1"/>
  <c r="DC61" i="7"/>
  <c r="CP61" i="11" s="1"/>
  <c r="CY57" i="7"/>
  <c r="DG54" i="7"/>
  <c r="DC53" i="7"/>
  <c r="CP53" i="11" s="1"/>
  <c r="CY52" i="7"/>
  <c r="DG46" i="7"/>
  <c r="DK46" i="7" s="1"/>
  <c r="CS46" i="11" s="1"/>
  <c r="BY46" i="11" s="1"/>
  <c r="DC45" i="7"/>
  <c r="CP45" i="11" s="1"/>
  <c r="CY44" i="7"/>
  <c r="DG41" i="7"/>
  <c r="DK41" i="7" s="1"/>
  <c r="CS41" i="11" s="1"/>
  <c r="BY41" i="11" s="1"/>
  <c r="DC40" i="7"/>
  <c r="CP40" i="11" s="1"/>
  <c r="DF81" i="7"/>
  <c r="DL81" i="7" s="1"/>
  <c r="DF63" i="7"/>
  <c r="DL63" i="7" s="1"/>
  <c r="CT63" i="11" s="1"/>
  <c r="DF62" i="7"/>
  <c r="DL62" i="7" s="1"/>
  <c r="CT62" i="11" s="1"/>
  <c r="DF61" i="7"/>
  <c r="DF57" i="7"/>
  <c r="DL57" i="7" s="1"/>
  <c r="CT57" i="11" s="1"/>
  <c r="DF55" i="7"/>
  <c r="DL55" i="7" s="1"/>
  <c r="CT55" i="11" s="1"/>
  <c r="DA81" i="7"/>
  <c r="DJ81" i="11" s="1"/>
  <c r="DA63" i="7"/>
  <c r="DJ63" i="11" s="1"/>
  <c r="DA62" i="7"/>
  <c r="DJ62" i="11" s="1"/>
  <c r="DA61" i="7"/>
  <c r="DJ61" i="11" s="1"/>
  <c r="DA57" i="7"/>
  <c r="DJ57" i="11" s="1"/>
  <c r="DA55" i="7"/>
  <c r="DJ55" i="11" s="1"/>
  <c r="DA54" i="7"/>
  <c r="DJ54" i="11" s="1"/>
  <c r="DA53" i="7"/>
  <c r="DJ53" i="11" s="1"/>
  <c r="DI53" i="11" s="1"/>
  <c r="DP53" i="11" s="1"/>
  <c r="DA52" i="7"/>
  <c r="DJ52" i="11" s="1"/>
  <c r="DA51" i="7"/>
  <c r="DJ51" i="11" s="1"/>
  <c r="DA46" i="7"/>
  <c r="DJ46" i="11" s="1"/>
  <c r="DA45" i="7"/>
  <c r="DJ45" i="11" s="1"/>
  <c r="DD81" i="7"/>
  <c r="DI15" i="7"/>
  <c r="DK15" i="7" s="1"/>
  <c r="CS15" i="11" s="1"/>
  <c r="BY15" i="11" s="1"/>
  <c r="CZ35" i="7"/>
  <c r="DB8" i="7"/>
  <c r="DK8" i="11" s="1"/>
  <c r="DF10" i="7"/>
  <c r="DJ12" i="7"/>
  <c r="DL12" i="7" s="1"/>
  <c r="CT12" i="11" s="1"/>
  <c r="DA12" i="11" s="1"/>
  <c r="DB14" i="7"/>
  <c r="DK14" i="11" s="1"/>
  <c r="DF15" i="7"/>
  <c r="DJ16" i="7"/>
  <c r="DL16" i="7" s="1"/>
  <c r="CT16" i="11" s="1"/>
  <c r="CZ25" i="7"/>
  <c r="DH40" i="7"/>
  <c r="DL40" i="7" s="1"/>
  <c r="CT40" i="11" s="1"/>
  <c r="CZ51" i="7"/>
  <c r="DA15" i="7"/>
  <c r="DJ15" i="11" s="1"/>
  <c r="DG81" i="7"/>
  <c r="DK81" i="7" s="1"/>
  <c r="CY63" i="7"/>
  <c r="DG61" i="7"/>
  <c r="DK61" i="7" s="1"/>
  <c r="CS61" i="11" s="1"/>
  <c r="BY61" i="11" s="1"/>
  <c r="DC57" i="7"/>
  <c r="CP57" i="11" s="1"/>
  <c r="CY55" i="7"/>
  <c r="DG53" i="7"/>
  <c r="DK53" i="7" s="1"/>
  <c r="CS53" i="11" s="1"/>
  <c r="BY53" i="11" s="1"/>
  <c r="DC52" i="7"/>
  <c r="CP52" i="11" s="1"/>
  <c r="CY51" i="7"/>
  <c r="DG45" i="7"/>
  <c r="DK45" i="7" s="1"/>
  <c r="CS45" i="11" s="1"/>
  <c r="BY45" i="11" s="1"/>
  <c r="DC44" i="7"/>
  <c r="CP44" i="11" s="1"/>
  <c r="CY42" i="7"/>
  <c r="DG40" i="7"/>
  <c r="DK40" i="7" s="1"/>
  <c r="CS40" i="11" s="1"/>
  <c r="BY40" i="11" s="1"/>
  <c r="DC39" i="7"/>
  <c r="CP39" i="11" s="1"/>
  <c r="DC38" i="7"/>
  <c r="CP38" i="11" s="1"/>
  <c r="DC37" i="7"/>
  <c r="CP37" i="11" s="1"/>
  <c r="DC36" i="7"/>
  <c r="CP36" i="11" s="1"/>
  <c r="DC35" i="7"/>
  <c r="CP35" i="11" s="1"/>
  <c r="AW88" i="9"/>
  <c r="BG88" i="9"/>
  <c r="L87" i="9"/>
  <c r="M87" i="9" s="1"/>
  <c r="F87" i="9"/>
  <c r="AR87" i="9" s="1"/>
  <c r="F87" i="8" s="1"/>
  <c r="AS87" i="8" s="1"/>
  <c r="D87" i="11"/>
  <c r="G87" i="11" s="1"/>
  <c r="D88" i="11"/>
  <c r="F88" i="9"/>
  <c r="BV88" i="7"/>
  <c r="L88" i="9" s="1"/>
  <c r="M88" i="9" s="1"/>
  <c r="Y85" i="9"/>
  <c r="F85" i="9"/>
  <c r="AR85" i="9" s="1"/>
  <c r="F85" i="8" s="1"/>
  <c r="AS85" i="8" s="1"/>
  <c r="S86" i="11"/>
  <c r="G87" i="9"/>
  <c r="CA87" i="9" s="1"/>
  <c r="CO87" i="9"/>
  <c r="CX87" i="9"/>
  <c r="AK87" i="8"/>
  <c r="BY87" i="8" s="1"/>
  <c r="BX85" i="9"/>
  <c r="DE87" i="9"/>
  <c r="DE86" i="9"/>
  <c r="BY85" i="9"/>
  <c r="G88" i="9"/>
  <c r="D87" i="8"/>
  <c r="H87" i="9"/>
  <c r="Q87" i="9" s="1"/>
  <c r="R87" i="9" s="1"/>
  <c r="AS86" i="9"/>
  <c r="AT86" i="9" s="1"/>
  <c r="BF86" i="9"/>
  <c r="BZ88" i="9"/>
  <c r="J88" i="9"/>
  <c r="CP86" i="9"/>
  <c r="I85" i="9"/>
  <c r="CL88" i="7"/>
  <c r="CN88" i="7"/>
  <c r="BQ25" i="10"/>
  <c r="AI88" i="9"/>
  <c r="O86" i="9"/>
  <c r="P86" i="9" s="1"/>
  <c r="BV85" i="7"/>
  <c r="L85" i="9" s="1"/>
  <c r="M85" i="9" s="1"/>
  <c r="BG87" i="9"/>
  <c r="BI87" i="9" s="1"/>
  <c r="CO88" i="9"/>
  <c r="DF87" i="9"/>
  <c r="BY87" i="9"/>
  <c r="CO86" i="9"/>
  <c r="G85" i="9"/>
  <c r="BJ85" i="9" s="1"/>
  <c r="I88" i="9"/>
  <c r="J87" i="9"/>
  <c r="N87" i="9" s="1"/>
  <c r="CL87" i="7"/>
  <c r="AB88" i="9"/>
  <c r="K88" i="9"/>
  <c r="N88" i="9" s="1"/>
  <c r="P85" i="11"/>
  <c r="BY88" i="9"/>
  <c r="DF85" i="9"/>
  <c r="DE85" i="9"/>
  <c r="D86" i="8"/>
  <c r="CX88" i="9"/>
  <c r="CL86" i="7"/>
  <c r="AZ85" i="9"/>
  <c r="AZ88" i="9"/>
  <c r="I88" i="8" s="1"/>
  <c r="AV88" i="8" s="1"/>
  <c r="N85" i="9"/>
  <c r="O85" i="9" s="1"/>
  <c r="P85" i="9" s="1"/>
  <c r="BB86" i="8"/>
  <c r="CL85" i="7"/>
  <c r="BA6" i="10"/>
  <c r="BQ26" i="10"/>
  <c r="CD43" i="10"/>
  <c r="AZ86" i="9"/>
  <c r="CS46" i="8"/>
  <c r="CY46" i="8" s="1"/>
  <c r="BN46" i="8"/>
  <c r="CS13" i="8"/>
  <c r="CY13" i="8" s="1"/>
  <c r="L47" i="8"/>
  <c r="AY47" i="8" s="1"/>
  <c r="AO58" i="9"/>
  <c r="DI58" i="9"/>
  <c r="AA58" i="8" s="1"/>
  <c r="BO58" i="8" s="1"/>
  <c r="DZ77" i="8"/>
  <c r="FT77" i="8" s="1"/>
  <c r="GA77" i="8" s="1"/>
  <c r="CA22" i="8"/>
  <c r="FM22" i="8"/>
  <c r="L77" i="8"/>
  <c r="AY77" i="8" s="1"/>
  <c r="EG6" i="8"/>
  <c r="EM6" i="8" s="1"/>
  <c r="D43" i="27"/>
  <c r="BU5" i="8"/>
  <c r="BN32" i="8"/>
  <c r="CS32" i="8"/>
  <c r="CY32" i="8" s="1"/>
  <c r="CB63" i="8"/>
  <c r="FN63" i="8"/>
  <c r="FM59" i="8"/>
  <c r="CA59" i="8"/>
  <c r="FN57" i="8"/>
  <c r="CB57" i="8"/>
  <c r="EC43" i="8"/>
  <c r="FM11" i="8"/>
  <c r="EC71" i="8"/>
  <c r="D71" i="27"/>
  <c r="DI56" i="9"/>
  <c r="AA56" i="8" s="1"/>
  <c r="BO56" i="8" s="1"/>
  <c r="DJ56" i="9"/>
  <c r="AN56" i="8" s="1"/>
  <c r="AO56" i="9"/>
  <c r="L56" i="8" s="1"/>
  <c r="AY56" i="8" s="1"/>
  <c r="AQ57" i="9"/>
  <c r="DZ5" i="8"/>
  <c r="CB5" i="8"/>
  <c r="EH5" i="9"/>
  <c r="EY5" i="9" s="1"/>
  <c r="U88" i="8"/>
  <c r="BI88" i="8" s="1"/>
  <c r="CZ34" i="9"/>
  <c r="DB34" i="9" s="1"/>
  <c r="AC34" i="9"/>
  <c r="CY34" i="9"/>
  <c r="DA34" i="9" s="1"/>
  <c r="DH20" i="9"/>
  <c r="AM20" i="8" s="1"/>
  <c r="DG20" i="9"/>
  <c r="Z20" i="8" s="1"/>
  <c r="CS20" i="8" s="1"/>
  <c r="CY20" i="8" s="1"/>
  <c r="FX79" i="8"/>
  <c r="EN79" i="8"/>
  <c r="DG19" i="9"/>
  <c r="Z19" i="8" s="1"/>
  <c r="DA19" i="9"/>
  <c r="FK56" i="9"/>
  <c r="BX56" i="8"/>
  <c r="P26" i="8"/>
  <c r="CW26" i="9"/>
  <c r="AI26" i="8" s="1"/>
  <c r="CV26" i="9"/>
  <c r="V26" i="8" s="1"/>
  <c r="BJ26" i="8" s="1"/>
  <c r="CW18" i="9"/>
  <c r="AI18" i="8" s="1"/>
  <c r="P18" i="8"/>
  <c r="BD18" i="8" s="1"/>
  <c r="BY12" i="8"/>
  <c r="FK12" i="8"/>
  <c r="DT59" i="9"/>
  <c r="BS59" i="9"/>
  <c r="U59" i="8" s="1"/>
  <c r="BI59" i="8" s="1"/>
  <c r="BQ59" i="9"/>
  <c r="DZ59" i="9"/>
  <c r="FM73" i="8"/>
  <c r="CA73" i="8"/>
  <c r="AC17" i="9"/>
  <c r="U17" i="9"/>
  <c r="AF17" i="9" s="1"/>
  <c r="AM27" i="9"/>
  <c r="O27" i="9"/>
  <c r="P27" i="9" s="1"/>
  <c r="O83" i="9"/>
  <c r="AM83" i="9"/>
  <c r="EJ5" i="9"/>
  <c r="FA5" i="9" s="1"/>
  <c r="CC16" i="9"/>
  <c r="CE16" i="9" s="1"/>
  <c r="EJ16" i="9"/>
  <c r="FA16" i="9" s="1"/>
  <c r="AG16" i="8"/>
  <c r="D20" i="27"/>
  <c r="EC20" i="8"/>
  <c r="BU38" i="8"/>
  <c r="FG38" i="8"/>
  <c r="EP25" i="9"/>
  <c r="EQ25" i="9"/>
  <c r="EQ64" i="9"/>
  <c r="EP64" i="9"/>
  <c r="ES64" i="9"/>
  <c r="BW30" i="8"/>
  <c r="D30" i="27"/>
  <c r="BU5" i="9"/>
  <c r="T5" i="8" s="1"/>
  <c r="BH5" i="8" s="1"/>
  <c r="U5" i="8"/>
  <c r="BI5" i="8" s="1"/>
  <c r="U38" i="8"/>
  <c r="BI38" i="8" s="1"/>
  <c r="BU38" i="9"/>
  <c r="T38" i="8" s="1"/>
  <c r="BH38" i="8" s="1"/>
  <c r="EA80" i="9"/>
  <c r="EB80" i="9"/>
  <c r="DV57" i="9"/>
  <c r="DU57" i="9"/>
  <c r="DG7" i="9"/>
  <c r="Z7" i="8" s="1"/>
  <c r="DH7" i="9"/>
  <c r="AM7" i="8" s="1"/>
  <c r="K7" i="8"/>
  <c r="AX7" i="8" s="1"/>
  <c r="DX84" i="9"/>
  <c r="DY84" i="9"/>
  <c r="DY6" i="9"/>
  <c r="DX6" i="9"/>
  <c r="FK4" i="9"/>
  <c r="BX4" i="8"/>
  <c r="BX51" i="8"/>
  <c r="FK51" i="9"/>
  <c r="AE78" i="9"/>
  <c r="CY78" i="9"/>
  <c r="DG78" i="9" s="1"/>
  <c r="Z78" i="8" s="1"/>
  <c r="CS78" i="8" s="1"/>
  <c r="CY78" i="8" s="1"/>
  <c r="CZ78" i="9"/>
  <c r="CY68" i="9"/>
  <c r="DG68" i="9" s="1"/>
  <c r="Z68" i="8" s="1"/>
  <c r="CZ68" i="9"/>
  <c r="DH68" i="9" s="1"/>
  <c r="AM68" i="8" s="1"/>
  <c r="AE68" i="9"/>
  <c r="CZ64" i="9"/>
  <c r="AC64" i="9"/>
  <c r="CY64" i="9"/>
  <c r="AE64" i="9"/>
  <c r="AD64" i="9"/>
  <c r="CY15" i="9"/>
  <c r="CZ15" i="9"/>
  <c r="AC15" i="9"/>
  <c r="AD15" i="9"/>
  <c r="FK64" i="9"/>
  <c r="EC64" i="8" s="1"/>
  <c r="BX64" i="8"/>
  <c r="CD5" i="9"/>
  <c r="CF5" i="9" s="1"/>
  <c r="CV18" i="9"/>
  <c r="V18" i="8" s="1"/>
  <c r="BJ18" i="8" s="1"/>
  <c r="FH14" i="8"/>
  <c r="BV14" i="8"/>
  <c r="BN16" i="8"/>
  <c r="CS16" i="8"/>
  <c r="CY16" i="8" s="1"/>
  <c r="W39" i="8"/>
  <c r="BK39" i="8" s="1"/>
  <c r="Q39" i="8"/>
  <c r="BE39" i="8" s="1"/>
  <c r="BK39" i="9"/>
  <c r="FK58" i="8"/>
  <c r="EA58" i="8"/>
  <c r="FU58" i="8" s="1"/>
  <c r="BY58" i="8"/>
  <c r="FK75" i="8"/>
  <c r="EA75" i="8"/>
  <c r="FU75" i="8" s="1"/>
  <c r="BY75" i="8"/>
  <c r="T70" i="9"/>
  <c r="AL70" i="9" s="1"/>
  <c r="S70" i="9"/>
  <c r="AJ70" i="9" s="1"/>
  <c r="R70" i="9"/>
  <c r="AB70" i="9"/>
  <c r="Y70" i="9"/>
  <c r="R30" i="9"/>
  <c r="T30" i="9"/>
  <c r="AL30" i="9" s="1"/>
  <c r="S30" i="9"/>
  <c r="AJ30" i="9" s="1"/>
  <c r="AB30" i="9"/>
  <c r="Z30" i="9"/>
  <c r="AA30" i="9" s="1"/>
  <c r="CQ30" i="9" s="1"/>
  <c r="AA63" i="9"/>
  <c r="CQ63" i="9"/>
  <c r="U72" i="9"/>
  <c r="AF72" i="9" s="1"/>
  <c r="AC72" i="9"/>
  <c r="R18" i="9"/>
  <c r="S18" i="9"/>
  <c r="AJ18" i="9" s="1"/>
  <c r="AB18" i="9"/>
  <c r="Z18" i="9"/>
  <c r="AA18" i="9" s="1"/>
  <c r="CQ18" i="9" s="1"/>
  <c r="T18" i="9"/>
  <c r="AL18" i="9" s="1"/>
  <c r="U62" i="9"/>
  <c r="AF62" i="9" s="1"/>
  <c r="AL62" i="9"/>
  <c r="AE62" i="9"/>
  <c r="T75" i="9"/>
  <c r="AL75" i="9" s="1"/>
  <c r="S75" i="9"/>
  <c r="AJ75" i="9" s="1"/>
  <c r="Y75" i="9"/>
  <c r="R75" i="9"/>
  <c r="AB75" i="9"/>
  <c r="AJ11" i="9"/>
  <c r="U11" i="9"/>
  <c r="AF11" i="9" s="1"/>
  <c r="AD37" i="9"/>
  <c r="AC37" i="9"/>
  <c r="CY37" i="9"/>
  <c r="CZ37" i="9"/>
  <c r="AJ66" i="9"/>
  <c r="U66" i="9"/>
  <c r="AF66" i="9" s="1"/>
  <c r="AD66" i="9"/>
  <c r="FM35" i="8"/>
  <c r="BN52" i="8"/>
  <c r="AN49" i="9"/>
  <c r="AU49" i="9" s="1"/>
  <c r="BA49" i="9" s="1"/>
  <c r="DA62" i="9"/>
  <c r="FH28" i="8"/>
  <c r="AO38" i="9"/>
  <c r="DJ38" i="9"/>
  <c r="AN38" i="8" s="1"/>
  <c r="AE79" i="9"/>
  <c r="AD79" i="9"/>
  <c r="BG49" i="8"/>
  <c r="EW49" i="9"/>
  <c r="EX49" i="9"/>
  <c r="AK78" i="9"/>
  <c r="AO78" i="9" s="1"/>
  <c r="L78" i="8" s="1"/>
  <c r="AY78" i="8" s="1"/>
  <c r="DA78" i="9"/>
  <c r="G5" i="8"/>
  <c r="AT5" i="8" s="1"/>
  <c r="DB58" i="9"/>
  <c r="DJ58" i="9" s="1"/>
  <c r="AN58" i="8" s="1"/>
  <c r="DA52" i="9"/>
  <c r="R5" i="8"/>
  <c r="BD50" i="8"/>
  <c r="BF50" i="8" s="1"/>
  <c r="W23" i="8"/>
  <c r="BK23" i="8" s="1"/>
  <c r="BK23" i="9"/>
  <c r="EA37" i="9"/>
  <c r="EB37" i="9"/>
  <c r="EX25" i="9"/>
  <c r="EW25" i="9"/>
  <c r="EP65" i="9"/>
  <c r="EQ65" i="9"/>
  <c r="AH65" i="8"/>
  <c r="H65" i="8"/>
  <c r="AU65" i="8" s="1"/>
  <c r="AF14" i="9"/>
  <c r="AP14" i="9" s="1"/>
  <c r="M14" i="8" s="1"/>
  <c r="AZ14" i="8" s="1"/>
  <c r="AK52" i="9"/>
  <c r="AE34" i="9"/>
  <c r="K20" i="8"/>
  <c r="AX20" i="8" s="1"/>
  <c r="CZ46" i="9"/>
  <c r="DH46" i="9" s="1"/>
  <c r="AM46" i="8" s="1"/>
  <c r="AD46" i="9"/>
  <c r="AJ14" i="9"/>
  <c r="AD14" i="9"/>
  <c r="AK65" i="9"/>
  <c r="AO65" i="9" s="1"/>
  <c r="DA65" i="9"/>
  <c r="AN51" i="9"/>
  <c r="AU51" i="9" s="1"/>
  <c r="AN23" i="9"/>
  <c r="AU23" i="9" s="1"/>
  <c r="K23" i="8"/>
  <c r="AX23" i="8" s="1"/>
  <c r="DD67" i="9"/>
  <c r="DC67" i="9"/>
  <c r="DI67" i="9" s="1"/>
  <c r="AA67" i="8" s="1"/>
  <c r="BO67" i="8" s="1"/>
  <c r="BY25" i="8"/>
  <c r="EA25" i="8"/>
  <c r="FU25" i="8" s="1"/>
  <c r="EA5" i="9"/>
  <c r="EB5" i="9"/>
  <c r="CW11" i="9"/>
  <c r="AI11" i="8" s="1"/>
  <c r="P11" i="8"/>
  <c r="W19" i="8"/>
  <c r="BK19" i="8" s="1"/>
  <c r="BK19" i="9"/>
  <c r="BK44" i="9"/>
  <c r="W44" i="8"/>
  <c r="BK44" i="8" s="1"/>
  <c r="Q44" i="8"/>
  <c r="BE44" i="8" s="1"/>
  <c r="AH64" i="8"/>
  <c r="H64" i="8"/>
  <c r="AU64" i="8" s="1"/>
  <c r="CY28" i="9"/>
  <c r="DA28" i="9" s="1"/>
  <c r="CZ28" i="9"/>
  <c r="DB28" i="9" s="1"/>
  <c r="AE28" i="9"/>
  <c r="AC28" i="9"/>
  <c r="AD68" i="9"/>
  <c r="AN68" i="9" s="1"/>
  <c r="AU68" i="9" s="1"/>
  <c r="CW37" i="9"/>
  <c r="AI37" i="8" s="1"/>
  <c r="R54" i="9"/>
  <c r="Y54" i="9"/>
  <c r="R48" i="9"/>
  <c r="U48" i="9" s="1"/>
  <c r="AB48" i="9"/>
  <c r="EQ78" i="9"/>
  <c r="AH78" i="8"/>
  <c r="EW71" i="9"/>
  <c r="BG71" i="8"/>
  <c r="FX68" i="8"/>
  <c r="EN68" i="8"/>
  <c r="DJ16" i="9"/>
  <c r="AN16" i="8" s="1"/>
  <c r="FX62" i="8"/>
  <c r="EN62" i="8"/>
  <c r="DV9" i="9"/>
  <c r="DU9" i="9"/>
  <c r="ED67" i="9"/>
  <c r="EE67" i="9"/>
  <c r="R24" i="9"/>
  <c r="Z24" i="9"/>
  <c r="R84" i="9"/>
  <c r="S84" i="9"/>
  <c r="AL51" i="9"/>
  <c r="U51" i="9"/>
  <c r="AF51" i="9" s="1"/>
  <c r="AP51" i="9" s="1"/>
  <c r="M51" i="8" s="1"/>
  <c r="AZ51" i="8" s="1"/>
  <c r="H10" i="8"/>
  <c r="AU10" i="8" s="1"/>
  <c r="AH10" i="8"/>
  <c r="DA81" i="9"/>
  <c r="DI81" i="9" s="1"/>
  <c r="AA81" i="8" s="1"/>
  <c r="BO81" i="8" s="1"/>
  <c r="W6" i="8"/>
  <c r="BK6" i="8" s="1"/>
  <c r="Q6" i="8"/>
  <c r="DX4" i="9"/>
  <c r="DY4" i="9"/>
  <c r="AO22" i="9"/>
  <c r="AP6" i="9"/>
  <c r="ES23" i="9"/>
  <c r="ER61" i="9"/>
  <c r="EP81" i="9"/>
  <c r="AU81" i="9"/>
  <c r="EH38" i="9"/>
  <c r="EY38" i="9" s="1"/>
  <c r="EI38" i="9"/>
  <c r="U20" i="9"/>
  <c r="AF20" i="9" s="1"/>
  <c r="EA15" i="8"/>
  <c r="FU15" i="8" s="1"/>
  <c r="BY15" i="8"/>
  <c r="BX66" i="8"/>
  <c r="FK66" i="9"/>
  <c r="EX57" i="9"/>
  <c r="BG57" i="8"/>
  <c r="DU29" i="9"/>
  <c r="DV29" i="9"/>
  <c r="DX19" i="9"/>
  <c r="DY19" i="9"/>
  <c r="EQ4" i="9"/>
  <c r="ER4" i="9"/>
  <c r="AL20" i="9"/>
  <c r="AE20" i="9"/>
  <c r="FK28" i="8"/>
  <c r="EA28" i="8"/>
  <c r="FU28" i="8" s="1"/>
  <c r="BY28" i="8"/>
  <c r="BX38" i="8"/>
  <c r="FK38" i="9"/>
  <c r="EP61" i="9"/>
  <c r="DH50" i="9"/>
  <c r="AM50" i="8" s="1"/>
  <c r="DG50" i="9"/>
  <c r="Z50" i="8" s="1"/>
  <c r="K50" i="8"/>
  <c r="AX50" i="8" s="1"/>
  <c r="BT46" i="8"/>
  <c r="ED46" i="8"/>
  <c r="FX46" i="8" s="1"/>
  <c r="FF46" i="8"/>
  <c r="FF75" i="8"/>
  <c r="BT75" i="8"/>
  <c r="ED75" i="8"/>
  <c r="FX75" i="8" s="1"/>
  <c r="FF6" i="8"/>
  <c r="BT6" i="8"/>
  <c r="EE51" i="9"/>
  <c r="ED51" i="9"/>
  <c r="DT62" i="9"/>
  <c r="S62" i="8"/>
  <c r="AN25" i="9"/>
  <c r="AU25" i="9" s="1"/>
  <c r="DG38" i="9"/>
  <c r="Z38" i="8" s="1"/>
  <c r="DH38" i="9"/>
  <c r="AM38" i="8" s="1"/>
  <c r="K38" i="8"/>
  <c r="AX38" i="8" s="1"/>
  <c r="FI30" i="8"/>
  <c r="EC30" i="8"/>
  <c r="EP62" i="9"/>
  <c r="EQ62" i="9"/>
  <c r="P79" i="8"/>
  <c r="CV79" i="9"/>
  <c r="V79" i="8" s="1"/>
  <c r="BJ79" i="8" s="1"/>
  <c r="AD11" i="9"/>
  <c r="R26" i="9"/>
  <c r="AC26" i="9" s="1"/>
  <c r="T26" i="9"/>
  <c r="FX8" i="8"/>
  <c r="EN8" i="8"/>
  <c r="FF9" i="8"/>
  <c r="BT9" i="8"/>
  <c r="BK69" i="9"/>
  <c r="BU22" i="9"/>
  <c r="AP38" i="9"/>
  <c r="M38" i="8" s="1"/>
  <c r="AZ38" i="8" s="1"/>
  <c r="Q33" i="8"/>
  <c r="BE33" i="8" s="1"/>
  <c r="DC38" i="9"/>
  <c r="DI38" i="9" s="1"/>
  <c r="AA38" i="8" s="1"/>
  <c r="BO38" i="8" s="1"/>
  <c r="DD25" i="9"/>
  <c r="DA10" i="9"/>
  <c r="DG81" i="9"/>
  <c r="Z81" i="8" s="1"/>
  <c r="EE39" i="9"/>
  <c r="BR39" i="9"/>
  <c r="EE14" i="9"/>
  <c r="ED14" i="9"/>
  <c r="EE83" i="9"/>
  <c r="ED83" i="9"/>
  <c r="EE44" i="9"/>
  <c r="ED44" i="9"/>
  <c r="EC84" i="9"/>
  <c r="K81" i="8"/>
  <c r="AX81" i="8" s="1"/>
  <c r="H32" i="8"/>
  <c r="AU32" i="8" s="1"/>
  <c r="AF4" i="9"/>
  <c r="AC21" i="9"/>
  <c r="K21" i="8" s="1"/>
  <c r="AX21" i="8" s="1"/>
  <c r="AD73" i="9"/>
  <c r="ED61" i="8"/>
  <c r="FX61" i="8" s="1"/>
  <c r="BT80" i="8"/>
  <c r="DX44" i="9"/>
  <c r="EE68" i="9"/>
  <c r="EX7" i="9"/>
  <c r="BU78" i="9"/>
  <c r="AE15" i="9"/>
  <c r="EN83" i="8"/>
  <c r="DX7" i="9"/>
  <c r="AH72" i="8"/>
  <c r="BG27" i="8"/>
  <c r="EW27" i="9"/>
  <c r="BT56" i="8"/>
  <c r="FF56" i="8"/>
  <c r="ED56" i="8"/>
  <c r="FX56" i="8" s="1"/>
  <c r="DH72" i="9"/>
  <c r="AM72" i="8" s="1"/>
  <c r="FH34" i="8"/>
  <c r="BV34" i="8"/>
  <c r="EW9" i="9"/>
  <c r="EA68" i="9"/>
  <c r="EB68" i="9"/>
  <c r="EA14" i="9"/>
  <c r="EB14" i="9"/>
  <c r="DU38" i="9"/>
  <c r="DV38" i="9"/>
  <c r="FF69" i="8"/>
  <c r="ED69" i="8"/>
  <c r="DW76" i="9"/>
  <c r="EC76" i="9"/>
  <c r="BR76" i="9"/>
  <c r="BT76" i="9"/>
  <c r="DG21" i="9"/>
  <c r="Z21" i="8" s="1"/>
  <c r="ED47" i="9"/>
  <c r="EE47" i="9"/>
  <c r="FX54" i="8"/>
  <c r="EN54" i="8"/>
  <c r="EF17" i="9"/>
  <c r="EG17" i="9"/>
  <c r="AR9" i="9"/>
  <c r="F9" i="8" s="1"/>
  <c r="AS9" i="8" s="1"/>
  <c r="Z9" i="9"/>
  <c r="AA9" i="9" s="1"/>
  <c r="Y80" i="9"/>
  <c r="EV80" i="9"/>
  <c r="EX80" i="9" s="1"/>
  <c r="Z80" i="9"/>
  <c r="AA80" i="9" s="1"/>
  <c r="CQ80" i="9" s="1"/>
  <c r="DZ73" i="9"/>
  <c r="BS73" i="9"/>
  <c r="U73" i="8" s="1"/>
  <c r="BI73" i="8" s="1"/>
  <c r="DT73" i="9"/>
  <c r="S73" i="8"/>
  <c r="BT31" i="9"/>
  <c r="EC31" i="9"/>
  <c r="DW31" i="9"/>
  <c r="DY31" i="9" s="1"/>
  <c r="BR48" i="9"/>
  <c r="EC48" i="9"/>
  <c r="DW48" i="9"/>
  <c r="BT48" i="9"/>
  <c r="AR64" i="9"/>
  <c r="F64" i="8" s="1"/>
  <c r="AS64" i="8" s="1"/>
  <c r="Z64" i="9"/>
  <c r="AA64" i="9" s="1"/>
  <c r="EV64" i="9"/>
  <c r="EX64" i="9" s="1"/>
  <c r="EU64" i="9"/>
  <c r="EW64" i="9" s="1"/>
  <c r="EC50" i="9"/>
  <c r="DW50" i="9"/>
  <c r="S78" i="8"/>
  <c r="AR78" i="9"/>
  <c r="F78" i="8" s="1"/>
  <c r="AS78" i="8" s="1"/>
  <c r="EV78" i="9"/>
  <c r="Z78" i="9"/>
  <c r="EU78" i="9"/>
  <c r="AF78" i="8"/>
  <c r="EU17" i="9"/>
  <c r="EW17" i="9" s="1"/>
  <c r="AF17" i="8"/>
  <c r="CA74" i="9"/>
  <c r="ED84" i="8"/>
  <c r="FF51" i="8"/>
  <c r="BR33" i="9"/>
  <c r="AF76" i="8"/>
  <c r="AF26" i="8"/>
  <c r="BR54" i="9"/>
  <c r="BT11" i="9"/>
  <c r="DW41" i="9"/>
  <c r="EU76" i="9"/>
  <c r="EW76" i="9" s="1"/>
  <c r="EF74" i="9"/>
  <c r="ES33" i="9"/>
  <c r="EQ63" i="9"/>
  <c r="EC25" i="9"/>
  <c r="EV68" i="9"/>
  <c r="EX68" i="9" s="1"/>
  <c r="EU24" i="9"/>
  <c r="EW24" i="9" s="1"/>
  <c r="EG83" i="9"/>
  <c r="EC9" i="9"/>
  <c r="BT80" i="9"/>
  <c r="EG4" i="9"/>
  <c r="AF39" i="8"/>
  <c r="AF13" i="8"/>
  <c r="EU67" i="9"/>
  <c r="N47" i="9"/>
  <c r="AO9" i="9"/>
  <c r="L9" i="8" s="1"/>
  <c r="AY9" i="8" s="1"/>
  <c r="H34" i="8"/>
  <c r="AU34" i="8" s="1"/>
  <c r="AR76" i="9"/>
  <c r="F76" i="8" s="1"/>
  <c r="AS76" i="8" s="1"/>
  <c r="AR26" i="9"/>
  <c r="F26" i="8" s="1"/>
  <c r="AS26" i="8" s="1"/>
  <c r="EW36" i="9"/>
  <c r="BR25" i="9"/>
  <c r="EG31" i="9"/>
  <c r="ES63" i="9"/>
  <c r="EV8" i="9"/>
  <c r="EU68" i="9"/>
  <c r="DZ27" i="9"/>
  <c r="BR9" i="9"/>
  <c r="CC9" i="9" s="1"/>
  <c r="CE9" i="9" s="1"/>
  <c r="EG14" i="9"/>
  <c r="EF77" i="9"/>
  <c r="AR56" i="9"/>
  <c r="F56" i="8" s="1"/>
  <c r="AS56" i="8" s="1"/>
  <c r="Z85" i="9"/>
  <c r="EC13" i="9"/>
  <c r="EU8" i="9"/>
  <c r="DW21" i="9"/>
  <c r="DT27" i="9"/>
  <c r="FK80" i="9"/>
  <c r="BR74" i="9"/>
  <c r="ES70" i="9"/>
  <c r="EG33" i="9"/>
  <c r="AF15" i="8"/>
  <c r="L48" i="11"/>
  <c r="N58" i="9"/>
  <c r="N50" i="9"/>
  <c r="N32" i="9"/>
  <c r="N28" i="9"/>
  <c r="N24" i="9"/>
  <c r="N8" i="9"/>
  <c r="N4" i="9"/>
  <c r="R85" i="9"/>
  <c r="BT72" i="9"/>
  <c r="DZ76" i="9"/>
  <c r="EW31" i="9"/>
  <c r="EU13" i="9"/>
  <c r="DW74" i="9"/>
  <c r="BT13" i="9"/>
  <c r="EC37" i="9"/>
  <c r="EC54" i="9"/>
  <c r="EU61" i="9"/>
  <c r="EW61" i="9" s="1"/>
  <c r="EV33" i="9"/>
  <c r="EG11" i="9"/>
  <c r="H66" i="8"/>
  <c r="AU66" i="8" s="1"/>
  <c r="ER9" i="9"/>
  <c r="FA9" i="9" s="1"/>
  <c r="AJ9" i="8"/>
  <c r="BY65" i="8"/>
  <c r="Y8" i="9"/>
  <c r="AR77" i="9"/>
  <c r="F77" i="8" s="1"/>
  <c r="AS77" i="8" s="1"/>
  <c r="AF67" i="8"/>
  <c r="BC84" i="9"/>
  <c r="BE84" i="9" s="1"/>
  <c r="BK84" i="9" s="1"/>
  <c r="X72" i="9"/>
  <c r="AF85" i="8"/>
  <c r="BT85" i="8" s="1"/>
  <c r="S33" i="8"/>
  <c r="AR8" i="9"/>
  <c r="F8" i="8" s="1"/>
  <c r="AS8" i="8" s="1"/>
  <c r="BR4" i="9"/>
  <c r="EC74" i="9"/>
  <c r="AF77" i="8"/>
  <c r="AF87" i="8"/>
  <c r="BT87" i="8" s="1"/>
  <c r="N44" i="9"/>
  <c r="O44" i="9" s="1"/>
  <c r="P44" i="9" s="1"/>
  <c r="O29" i="9"/>
  <c r="P29" i="9" s="1"/>
  <c r="AI43" i="9"/>
  <c r="BN77" i="8"/>
  <c r="FN69" i="8"/>
  <c r="BN20" i="8"/>
  <c r="FI75" i="8"/>
  <c r="D22" i="27"/>
  <c r="BU9" i="8"/>
  <c r="EL6" i="8"/>
  <c r="CS49" i="8"/>
  <c r="CY49" i="8" s="1"/>
  <c r="CS65" i="8"/>
  <c r="CY65" i="8" s="1"/>
  <c r="CA49" i="8"/>
  <c r="EN9" i="8"/>
  <c r="CA47" i="8"/>
  <c r="DZ69" i="8"/>
  <c r="FT69" i="8" s="1"/>
  <c r="GA69" i="8" s="1"/>
  <c r="FG12" i="8"/>
  <c r="BN14" i="8"/>
  <c r="R75" i="8"/>
  <c r="CS9" i="8"/>
  <c r="CY9" i="8" s="1"/>
  <c r="FI15" i="8"/>
  <c r="CI22" i="8"/>
  <c r="CX22" i="8" s="1"/>
  <c r="FI35" i="8"/>
  <c r="CS14" i="8"/>
  <c r="CY14" i="8" s="1"/>
  <c r="CS66" i="8"/>
  <c r="CY66" i="8" s="1"/>
  <c r="R71" i="8"/>
  <c r="BW15" i="8"/>
  <c r="BD30" i="8"/>
  <c r="BV63" i="8"/>
  <c r="FM55" i="8"/>
  <c r="D15" i="27"/>
  <c r="EN21" i="8"/>
  <c r="AJ53" i="23"/>
  <c r="DW61" i="7" s="1"/>
  <c r="DZ61" i="7" s="1"/>
  <c r="AJ71" i="23"/>
  <c r="DW35" i="7" s="1"/>
  <c r="DZ35" i="7" s="1"/>
  <c r="AJ19" i="23"/>
  <c r="DW23" i="7" s="1"/>
  <c r="DT41" i="7"/>
  <c r="AJ10" i="23"/>
  <c r="DW38" i="7" s="1"/>
  <c r="DZ38" i="7" s="1"/>
  <c r="BF88" i="10"/>
  <c r="BC86" i="10"/>
  <c r="M86" i="11"/>
  <c r="CD84" i="10"/>
  <c r="CF84" i="10" s="1"/>
  <c r="CD83" i="10"/>
  <c r="CF83" i="10" s="1"/>
  <c r="BQ83" i="10"/>
  <c r="BS83" i="10" s="1"/>
  <c r="BF83" i="10"/>
  <c r="CF82" i="10"/>
  <c r="CD81" i="10"/>
  <c r="CF81" i="10" s="1"/>
  <c r="BQ81" i="10"/>
  <c r="BS81" i="10" s="1"/>
  <c r="Q25" i="21"/>
  <c r="CV79" i="10"/>
  <c r="K75" i="11"/>
  <c r="L75" i="11"/>
  <c r="BA69" i="10"/>
  <c r="BC69" i="10" s="1"/>
  <c r="CV68" i="10"/>
  <c r="BQ68" i="10"/>
  <c r="BS68" i="10" s="1"/>
  <c r="CD67" i="10"/>
  <c r="CF67" i="10" s="1"/>
  <c r="BA67" i="10"/>
  <c r="BC67" i="10" s="1"/>
  <c r="CD62" i="10"/>
  <c r="CF62" i="10" s="1"/>
  <c r="ER62" i="10"/>
  <c r="CD61" i="10"/>
  <c r="CF61" i="10" s="1"/>
  <c r="CV61" i="10"/>
  <c r="Q23" i="21"/>
  <c r="CD60" i="10"/>
  <c r="CF60" i="10" s="1"/>
  <c r="BQ60" i="10"/>
  <c r="BS60" i="10" s="1"/>
  <c r="BS59" i="10"/>
  <c r="ER58" i="10"/>
  <c r="CD58" i="10"/>
  <c r="CF58" i="10" s="1"/>
  <c r="M58" i="11"/>
  <c r="CD57" i="10"/>
  <c r="CF57" i="10" s="1"/>
  <c r="CW57" i="10"/>
  <c r="ES57" i="10" s="1"/>
  <c r="CD56" i="10"/>
  <c r="CF56" i="10" s="1"/>
  <c r="BQ56" i="10"/>
  <c r="BS56" i="10" s="1"/>
  <c r="ER55" i="10"/>
  <c r="Q21" i="21"/>
  <c r="CV53" i="10"/>
  <c r="BQ53" i="10"/>
  <c r="BS53" i="10" s="1"/>
  <c r="BA53" i="10"/>
  <c r="BC53" i="10" s="1"/>
  <c r="CV52" i="10"/>
  <c r="BA52" i="10"/>
  <c r="BC52" i="10" s="1"/>
  <c r="Q19" i="21"/>
  <c r="CV51" i="10"/>
  <c r="BA51" i="10"/>
  <c r="BC51" i="10" s="1"/>
  <c r="Q18" i="21"/>
  <c r="CD50" i="10"/>
  <c r="CF50" i="10" s="1"/>
  <c r="N49" i="11"/>
  <c r="BS48" i="10"/>
  <c r="CD47" i="10"/>
  <c r="CF47" i="10" s="1"/>
  <c r="CV47" i="10"/>
  <c r="CD46" i="10"/>
  <c r="CF46" i="10" s="1"/>
  <c r="BC46" i="10"/>
  <c r="Q17" i="21"/>
  <c r="Q16" i="21"/>
  <c r="BQ44" i="10"/>
  <c r="BS44" i="10" s="1"/>
  <c r="BA44" i="10"/>
  <c r="BC44" i="10" s="1"/>
  <c r="M44" i="11"/>
  <c r="O44" i="11"/>
  <c r="CF43" i="10"/>
  <c r="BQ43" i="10"/>
  <c r="BS43" i="10" s="1"/>
  <c r="CD42" i="10"/>
  <c r="CF42" i="10" s="1"/>
  <c r="CV42" i="10"/>
  <c r="CW42" i="10" s="1"/>
  <c r="ES42" i="10" s="1"/>
  <c r="BQ42" i="10"/>
  <c r="BS42" i="10" s="1"/>
  <c r="BA42" i="10"/>
  <c r="BC42" i="10" s="1"/>
  <c r="ER41" i="10"/>
  <c r="CD41" i="10"/>
  <c r="CF41" i="10" s="1"/>
  <c r="Q15" i="21"/>
  <c r="CD40" i="10"/>
  <c r="CF40" i="10" s="1"/>
  <c r="CV40" i="10"/>
  <c r="CW40" i="10" s="1"/>
  <c r="ES40" i="10" s="1"/>
  <c r="EJ40" i="10"/>
  <c r="BQ40" i="10"/>
  <c r="BS40" i="10" s="1"/>
  <c r="Q14" i="21"/>
  <c r="CD39" i="10"/>
  <c r="CF39" i="10" s="1"/>
  <c r="BQ39" i="10"/>
  <c r="BS39" i="10" s="1"/>
  <c r="BF39" i="10"/>
  <c r="Q13" i="21"/>
  <c r="CV38" i="10"/>
  <c r="BS38" i="10"/>
  <c r="BA38" i="10"/>
  <c r="BC38" i="10" s="1"/>
  <c r="CD37" i="10"/>
  <c r="CF37" i="10" s="1"/>
  <c r="BA37" i="10"/>
  <c r="BC37" i="10" s="1"/>
  <c r="Q12" i="21"/>
  <c r="CD36" i="10"/>
  <c r="CF36" i="10" s="1"/>
  <c r="Q11" i="21"/>
  <c r="BQ35" i="10"/>
  <c r="BS35" i="10" s="1"/>
  <c r="BC35" i="10"/>
  <c r="CD34" i="10"/>
  <c r="CF34" i="10" s="1"/>
  <c r="CV33" i="10"/>
  <c r="BA33" i="10"/>
  <c r="BC33" i="10" s="1"/>
  <c r="BQ31" i="10"/>
  <c r="BS31" i="10" s="1"/>
  <c r="BA31" i="10"/>
  <c r="BC31" i="10" s="1"/>
  <c r="CD30" i="10"/>
  <c r="CF30" i="10" s="1"/>
  <c r="BQ28" i="10"/>
  <c r="BS28" i="10" s="1"/>
  <c r="BQ27" i="10"/>
  <c r="BS27" i="10" s="1"/>
  <c r="BS26" i="10"/>
  <c r="Q10" i="21"/>
  <c r="Q9" i="21"/>
  <c r="Q8" i="21"/>
  <c r="BF21" i="10"/>
  <c r="BA20" i="10"/>
  <c r="BA19" i="10"/>
  <c r="BQ19" i="10"/>
  <c r="BS19" i="10" s="1"/>
  <c r="ER15" i="10"/>
  <c r="BA15" i="10"/>
  <c r="BC15" i="10" s="1"/>
  <c r="CD14" i="10"/>
  <c r="CF14" i="10" s="1"/>
  <c r="BQ14" i="10"/>
  <c r="BS14" i="10" s="1"/>
  <c r="CD13" i="10"/>
  <c r="CF13" i="10" s="1"/>
  <c r="CW13" i="10"/>
  <c r="ES13" i="10" s="1"/>
  <c r="ER13" i="10"/>
  <c r="CN86" i="10"/>
  <c r="EJ13" i="10"/>
  <c r="BQ13" i="10"/>
  <c r="BS13" i="10" s="1"/>
  <c r="BC13" i="10"/>
  <c r="CD12" i="10"/>
  <c r="CF12" i="10" s="1"/>
  <c r="BQ12" i="10"/>
  <c r="BS12" i="10" s="1"/>
  <c r="BF12" i="10"/>
  <c r="BA12" i="10"/>
  <c r="BC12" i="10" s="1"/>
  <c r="CD11" i="10"/>
  <c r="CF11" i="10" s="1"/>
  <c r="BF11" i="10"/>
  <c r="CD9" i="10"/>
  <c r="CF9" i="10" s="1"/>
  <c r="BQ9" i="10"/>
  <c r="BS9" i="10" s="1"/>
  <c r="CV9" i="10"/>
  <c r="CD8" i="10"/>
  <c r="CF8" i="10" s="1"/>
  <c r="CV7" i="10"/>
  <c r="ER7" i="10" s="1"/>
  <c r="BA7" i="10"/>
  <c r="BC7" i="10" s="1"/>
  <c r="BQ6" i="10"/>
  <c r="BS6" i="10" s="1"/>
  <c r="BC6" i="10"/>
  <c r="BA4" i="10"/>
  <c r="BC4" i="10" s="1"/>
  <c r="EW39" i="9"/>
  <c r="FF39" i="8"/>
  <c r="AA39" i="9"/>
  <c r="CQ39" i="9" s="1"/>
  <c r="Y39" i="9"/>
  <c r="AR39" i="9"/>
  <c r="F39" i="8" s="1"/>
  <c r="AS39" i="8" s="1"/>
  <c r="EV39" i="9"/>
  <c r="EX39" i="9" s="1"/>
  <c r="L41" i="11"/>
  <c r="H41" i="11"/>
  <c r="T24" i="21"/>
  <c r="Y24" i="21" s="1"/>
  <c r="Z24" i="21" s="1"/>
  <c r="AN30" i="18"/>
  <c r="T25" i="21"/>
  <c r="Y25" i="21" s="1"/>
  <c r="Z25" i="21" s="1"/>
  <c r="T22" i="21"/>
  <c r="T20" i="21"/>
  <c r="T18" i="21"/>
  <c r="T16" i="21"/>
  <c r="Y16" i="21" s="1"/>
  <c r="Z16" i="21" s="1"/>
  <c r="T14" i="21"/>
  <c r="T12" i="21"/>
  <c r="T10" i="21"/>
  <c r="T8" i="21"/>
  <c r="Y8" i="21" s="1"/>
  <c r="Z8" i="21" s="1"/>
  <c r="T6" i="21"/>
  <c r="T4" i="21"/>
  <c r="AN29" i="18"/>
  <c r="T19" i="21"/>
  <c r="T17" i="21"/>
  <c r="T15" i="21"/>
  <c r="T13" i="21"/>
  <c r="Y13" i="21" s="1"/>
  <c r="Z13" i="21" s="1"/>
  <c r="T11" i="21"/>
  <c r="T9" i="21"/>
  <c r="T7" i="21"/>
  <c r="Y7" i="21" s="1"/>
  <c r="Z7" i="21" s="1"/>
  <c r="T5" i="21"/>
  <c r="T23" i="21"/>
  <c r="BY4" i="18"/>
  <c r="F42" i="9"/>
  <c r="AJ13" i="23"/>
  <c r="AJ2" i="23"/>
  <c r="AJ3" i="23"/>
  <c r="AJ7" i="23"/>
  <c r="AJ23" i="23"/>
  <c r="AJ26" i="23"/>
  <c r="AJ30" i="23"/>
  <c r="AJ34" i="23"/>
  <c r="AJ43" i="23"/>
  <c r="AJ44" i="23"/>
  <c r="AJ48" i="23"/>
  <c r="AJ56" i="23"/>
  <c r="AJ31" i="23"/>
  <c r="AJ41" i="23"/>
  <c r="AJ50" i="23"/>
  <c r="AJ63" i="23"/>
  <c r="DW15" i="7" s="1"/>
  <c r="DZ15" i="7" s="1"/>
  <c r="AJ65" i="23"/>
  <c r="AJ6" i="23"/>
  <c r="AJ24" i="23"/>
  <c r="DW63" i="7" s="1"/>
  <c r="DZ63" i="7" s="1"/>
  <c r="AJ72" i="23"/>
  <c r="AJ70" i="23"/>
  <c r="AJ25" i="23"/>
  <c r="DW52" i="7" s="1"/>
  <c r="DZ52" i="7" s="1"/>
  <c r="AJ37" i="23"/>
  <c r="DZ46" i="7" s="1"/>
  <c r="AJ52" i="23"/>
  <c r="AJ9" i="23"/>
  <c r="AJ16" i="23"/>
  <c r="N61" i="11"/>
  <c r="M69" i="11"/>
  <c r="I12" i="11"/>
  <c r="K50" i="11"/>
  <c r="K58" i="11"/>
  <c r="M73" i="11"/>
  <c r="L20" i="11"/>
  <c r="N79" i="11"/>
  <c r="L21" i="11"/>
  <c r="J38" i="11"/>
  <c r="M43" i="11"/>
  <c r="M59" i="11"/>
  <c r="M65" i="11"/>
  <c r="N55" i="11"/>
  <c r="N8" i="11"/>
  <c r="J36" i="11"/>
  <c r="N51" i="11"/>
  <c r="M57" i="11"/>
  <c r="M81" i="11"/>
  <c r="L17" i="11"/>
  <c r="CH38" i="11"/>
  <c r="GD38" i="8" s="1"/>
  <c r="BT54" i="11"/>
  <c r="BT14" i="11"/>
  <c r="CM64" i="11"/>
  <c r="BT64" i="11"/>
  <c r="I15" i="11"/>
  <c r="O61" i="11"/>
  <c r="K20" i="11"/>
  <c r="O79" i="11"/>
  <c r="N43" i="11"/>
  <c r="J44" i="11"/>
  <c r="M49" i="11"/>
  <c r="N75" i="11"/>
  <c r="N71" i="11"/>
  <c r="N59" i="11"/>
  <c r="O53" i="11"/>
  <c r="J28" i="11"/>
  <c r="L39" i="11"/>
  <c r="M51" i="11"/>
  <c r="J32" i="11"/>
  <c r="M6" i="11"/>
  <c r="J42" i="11"/>
  <c r="N81" i="11"/>
  <c r="K17" i="11"/>
  <c r="M77" i="11"/>
  <c r="J41" i="11"/>
  <c r="N53" i="11"/>
  <c r="CM46" i="11"/>
  <c r="CM17" i="11"/>
  <c r="BT17" i="11"/>
  <c r="CM66" i="11"/>
  <c r="BT66" i="11"/>
  <c r="G15" i="11"/>
  <c r="J50" i="11"/>
  <c r="L58" i="11"/>
  <c r="L45" i="11"/>
  <c r="J53" i="11"/>
  <c r="N73" i="11"/>
  <c r="N47" i="11"/>
  <c r="O57" i="11"/>
  <c r="M67" i="11"/>
  <c r="M63" i="11"/>
  <c r="N45" i="11"/>
  <c r="CM22" i="11"/>
  <c r="EG77" i="8"/>
  <c r="EM77" i="8" s="1"/>
  <c r="DZ35" i="8"/>
  <c r="BN12" i="8"/>
  <c r="FG52" i="8"/>
  <c r="BN71" i="8"/>
  <c r="FM65" i="8"/>
  <c r="FM57" i="8"/>
  <c r="FM79" i="8"/>
  <c r="CA79" i="8"/>
  <c r="BN56" i="8"/>
  <c r="CS56" i="8"/>
  <c r="CY56" i="8" s="1"/>
  <c r="R81" i="8"/>
  <c r="BD81" i="8"/>
  <c r="BF81" i="8" s="1"/>
  <c r="CS10" i="8"/>
  <c r="CY10" i="8" s="1"/>
  <c r="BN10" i="8"/>
  <c r="CA58" i="8"/>
  <c r="FM58" i="8"/>
  <c r="CC69" i="8"/>
  <c r="FO69" i="8"/>
  <c r="BD55" i="8"/>
  <c r="BF55" i="8" s="1"/>
  <c r="R55" i="8"/>
  <c r="CB16" i="8"/>
  <c r="FN16" i="8"/>
  <c r="CA81" i="8"/>
  <c r="FM81" i="8"/>
  <c r="DB80" i="9"/>
  <c r="DH80" i="9"/>
  <c r="AM80" i="8" s="1"/>
  <c r="DX27" i="9"/>
  <c r="DY27" i="9"/>
  <c r="BG68" i="8"/>
  <c r="EW68" i="9"/>
  <c r="BD25" i="8"/>
  <c r="BF25" i="8" s="1"/>
  <c r="R25" i="8"/>
  <c r="CS21" i="8"/>
  <c r="CY21" i="8" s="1"/>
  <c r="BN21" i="8"/>
  <c r="CI6" i="8"/>
  <c r="CX6" i="8" s="1"/>
  <c r="DL71" i="9"/>
  <c r="AO71" i="8" s="1"/>
  <c r="AF71" i="9"/>
  <c r="AP71" i="9" s="1"/>
  <c r="DK71" i="9"/>
  <c r="AB71" i="8" s="1"/>
  <c r="EC37" i="8"/>
  <c r="BW37" i="8"/>
  <c r="D37" i="27"/>
  <c r="DL11" i="9"/>
  <c r="AO11" i="8" s="1"/>
  <c r="DK11" i="9"/>
  <c r="AB11" i="8" s="1"/>
  <c r="CV55" i="9"/>
  <c r="V55" i="8" s="1"/>
  <c r="BJ55" i="8" s="1"/>
  <c r="BK65" i="9"/>
  <c r="DA9" i="9"/>
  <c r="DI9" i="9" s="1"/>
  <c r="AA9" i="8" s="1"/>
  <c r="BO9" i="8" s="1"/>
  <c r="CY72" i="9"/>
  <c r="DG72" i="9" s="1"/>
  <c r="Z72" i="8" s="1"/>
  <c r="Q38" i="8"/>
  <c r="BE38" i="8" s="1"/>
  <c r="AD4" i="9"/>
  <c r="W63" i="8"/>
  <c r="BK63" i="8" s="1"/>
  <c r="EW26" i="9"/>
  <c r="ED64" i="8"/>
  <c r="FX64" i="8" s="1"/>
  <c r="ED6" i="8"/>
  <c r="FX6" i="8" s="1"/>
  <c r="DX31" i="9"/>
  <c r="EE19" i="9"/>
  <c r="DX51" i="9"/>
  <c r="EE24" i="9"/>
  <c r="FF11" i="8"/>
  <c r="EC59" i="8"/>
  <c r="Y68" i="9"/>
  <c r="O90" i="8"/>
  <c r="BB90" i="8" s="1"/>
  <c r="BO12" i="9"/>
  <c r="C86" i="22"/>
  <c r="E86" i="22" s="1"/>
  <c r="C83" i="22"/>
  <c r="E83" i="22" s="1"/>
  <c r="C86" i="24"/>
  <c r="E86" i="24" s="1"/>
  <c r="C103" i="24"/>
  <c r="E103" i="24" s="1"/>
  <c r="CM10" i="11"/>
  <c r="BT41" i="11"/>
  <c r="BQ85" i="9"/>
  <c r="BU85" i="9" s="1"/>
  <c r="BB87" i="11"/>
  <c r="BU29" i="9"/>
  <c r="DI24" i="9"/>
  <c r="AA24" i="8" s="1"/>
  <c r="BO24" i="8" s="1"/>
  <c r="DJ9" i="9"/>
  <c r="AN9" i="8" s="1"/>
  <c r="EZ38" i="9"/>
  <c r="CW55" i="9"/>
  <c r="AI55" i="8" s="1"/>
  <c r="U29" i="8"/>
  <c r="BI29" i="8" s="1"/>
  <c r="EN56" i="8"/>
  <c r="EN63" i="8"/>
  <c r="DD81" i="9"/>
  <c r="DJ81" i="9" s="1"/>
  <c r="AN81" i="8" s="1"/>
  <c r="CZ21" i="9"/>
  <c r="W17" i="8"/>
  <c r="BK17" i="8" s="1"/>
  <c r="CY80" i="9"/>
  <c r="DG80" i="9" s="1"/>
  <c r="Z80" i="8" s="1"/>
  <c r="EX9" i="9"/>
  <c r="EX76" i="9"/>
  <c r="ED11" i="8"/>
  <c r="ED4" i="8"/>
  <c r="BT61" i="8"/>
  <c r="DY75" i="9"/>
  <c r="DX11" i="9"/>
  <c r="DY61" i="9"/>
  <c r="DX55" i="9"/>
  <c r="FH55" i="8"/>
  <c r="DB8" i="9"/>
  <c r="CY4" i="9"/>
  <c r="DG4" i="9" s="1"/>
  <c r="Z4" i="8" s="1"/>
  <c r="S29" i="8"/>
  <c r="BK17" i="9"/>
  <c r="CW17" i="9" s="1"/>
  <c r="AI17" i="8" s="1"/>
  <c r="DH39" i="9"/>
  <c r="AM39" i="8" s="1"/>
  <c r="DZ39" i="8" s="1"/>
  <c r="EG39" i="8" s="1"/>
  <c r="EM39" i="8" s="1"/>
  <c r="FX51" i="8"/>
  <c r="EN29" i="8"/>
  <c r="AE4" i="9"/>
  <c r="DD4" i="9" s="1"/>
  <c r="BG76" i="8"/>
  <c r="BG9" i="8"/>
  <c r="BT4" i="8"/>
  <c r="EG69" i="8"/>
  <c r="EM69" i="8" s="1"/>
  <c r="EL69" i="8"/>
  <c r="CS25" i="8"/>
  <c r="CY25" i="8" s="1"/>
  <c r="BN25" i="8"/>
  <c r="CV17" i="9"/>
  <c r="V17" i="8" s="1"/>
  <c r="BJ17" i="8" s="1"/>
  <c r="FF59" i="8"/>
  <c r="ED59" i="8"/>
  <c r="BT59" i="8"/>
  <c r="EL77" i="8"/>
  <c r="FO61" i="8"/>
  <c r="CC61" i="8"/>
  <c r="FI5" i="8"/>
  <c r="D5" i="27"/>
  <c r="BW5" i="8"/>
  <c r="EC5" i="8"/>
  <c r="BF20" i="8"/>
  <c r="AI40" i="8"/>
  <c r="BU79" i="9"/>
  <c r="FX5" i="8"/>
  <c r="FF33" i="8"/>
  <c r="DA13" i="9"/>
  <c r="DK5" i="9"/>
  <c r="AB5" i="8" s="1"/>
  <c r="EN81" i="8"/>
  <c r="EN64" i="8"/>
  <c r="FX35" i="8"/>
  <c r="BT53" i="11"/>
  <c r="CM37" i="11"/>
  <c r="AN35" i="9"/>
  <c r="AU35" i="9" s="1"/>
  <c r="DJ67" i="9"/>
  <c r="AN67" i="8" s="1"/>
  <c r="AF5" i="9"/>
  <c r="AP5" i="9" s="1"/>
  <c r="M5" i="8" s="1"/>
  <c r="AZ5" i="8" s="1"/>
  <c r="CW60" i="9"/>
  <c r="AI60" i="8" s="1"/>
  <c r="U15" i="9"/>
  <c r="EN80" i="8"/>
  <c r="EN25" i="8"/>
  <c r="EN32" i="8"/>
  <c r="EN58" i="8"/>
  <c r="EN47" i="8"/>
  <c r="AF25" i="9"/>
  <c r="AP25" i="9" s="1"/>
  <c r="M25" i="8" s="1"/>
  <c r="AZ25" i="8" s="1"/>
  <c r="BI83" i="9"/>
  <c r="AJ83" i="8"/>
  <c r="CW42" i="8"/>
  <c r="CH90" i="8"/>
  <c r="CM13" i="11"/>
  <c r="DB24" i="9"/>
  <c r="DJ24" i="9" s="1"/>
  <c r="AN24" i="8" s="1"/>
  <c r="CB39" i="8"/>
  <c r="DI69" i="9"/>
  <c r="AA69" i="8" s="1"/>
  <c r="DJ65" i="9"/>
  <c r="AN65" i="8" s="1"/>
  <c r="DC39" i="9"/>
  <c r="DI39" i="9" s="1"/>
  <c r="AA39" i="8" s="1"/>
  <c r="BK42" i="9"/>
  <c r="CV42" i="9" s="1"/>
  <c r="V42" i="8" s="1"/>
  <c r="BJ42" i="8" s="1"/>
  <c r="DA15" i="9"/>
  <c r="CB35" i="8"/>
  <c r="BN35" i="8"/>
  <c r="CB55" i="8"/>
  <c r="BK29" i="9"/>
  <c r="P29" i="8" s="1"/>
  <c r="BK68" i="9"/>
  <c r="CV68" i="9" s="1"/>
  <c r="V68" i="8" s="1"/>
  <c r="BJ68" i="8" s="1"/>
  <c r="CB47" i="8"/>
  <c r="BD37" i="8"/>
  <c r="BF37" i="8" s="1"/>
  <c r="R37" i="8"/>
  <c r="FI37" i="8"/>
  <c r="CW33" i="9"/>
  <c r="AI33" i="8" s="1"/>
  <c r="EC33" i="8" s="1"/>
  <c r="P33" i="8"/>
  <c r="CV33" i="9"/>
  <c r="V33" i="8" s="1"/>
  <c r="BJ33" i="8" s="1"/>
  <c r="FH32" i="8"/>
  <c r="BV32" i="8"/>
  <c r="AK83" i="8"/>
  <c r="I83" i="8"/>
  <c r="AV83" i="8" s="1"/>
  <c r="FN58" i="8"/>
  <c r="DZ71" i="8"/>
  <c r="BD79" i="8"/>
  <c r="BF79" i="8" s="1"/>
  <c r="R79" i="8"/>
  <c r="CC5" i="9"/>
  <c r="CE5" i="9" s="1"/>
  <c r="CJ5" i="9" s="1"/>
  <c r="CB5" i="9"/>
  <c r="CG5" i="9" s="1"/>
  <c r="X5" i="8" s="1"/>
  <c r="EI5" i="9"/>
  <c r="EZ5" i="9" s="1"/>
  <c r="BW11" i="8"/>
  <c r="D11" i="27"/>
  <c r="P42" i="8"/>
  <c r="DL59" i="9"/>
  <c r="AO59" i="8" s="1"/>
  <c r="DK59" i="9"/>
  <c r="AB59" i="8" s="1"/>
  <c r="FO39" i="8"/>
  <c r="L24" i="8"/>
  <c r="AY24" i="8" s="1"/>
  <c r="BE21" i="8"/>
  <c r="BF21" i="8" s="1"/>
  <c r="R21" i="8"/>
  <c r="AK13" i="8"/>
  <c r="I13" i="8"/>
  <c r="AV13" i="8" s="1"/>
  <c r="DK9" i="9"/>
  <c r="AB9" i="8" s="1"/>
  <c r="BE62" i="8"/>
  <c r="EC11" i="8"/>
  <c r="AE54" i="9"/>
  <c r="CV70" i="9"/>
  <c r="V70" i="8" s="1"/>
  <c r="BJ70" i="8" s="1"/>
  <c r="CW28" i="9"/>
  <c r="AI28" i="8" s="1"/>
  <c r="ER62" i="9"/>
  <c r="BK41" i="9"/>
  <c r="P41" i="8" s="1"/>
  <c r="AC18" i="9"/>
  <c r="AE7" i="9"/>
  <c r="AN7" i="9" s="1"/>
  <c r="AU7" i="9" s="1"/>
  <c r="BE16" i="9"/>
  <c r="BK16" i="9" s="1"/>
  <c r="BT27" i="11"/>
  <c r="G6" i="22" s="1"/>
  <c r="S87" i="8"/>
  <c r="BG87" i="8" s="1"/>
  <c r="AE88" i="11"/>
  <c r="FI11" i="8"/>
  <c r="FK44" i="9"/>
  <c r="AN50" i="9"/>
  <c r="AU50" i="9" s="1"/>
  <c r="FM50" i="9" s="1"/>
  <c r="DH36" i="9"/>
  <c r="AM36" i="8" s="1"/>
  <c r="CA36" i="8" s="1"/>
  <c r="BO43" i="9"/>
  <c r="BT23" i="11"/>
  <c r="DA35" i="9"/>
  <c r="DI35" i="9" s="1"/>
  <c r="AA35" i="8" s="1"/>
  <c r="DI65" i="9"/>
  <c r="AA65" i="8" s="1"/>
  <c r="ER81" i="9"/>
  <c r="BV51" i="8"/>
  <c r="BU80" i="9"/>
  <c r="DH21" i="9"/>
  <c r="AM21" i="8" s="1"/>
  <c r="AI84" i="9"/>
  <c r="AM85" i="9"/>
  <c r="CD6" i="9"/>
  <c r="CF6" i="9" s="1"/>
  <c r="FM6" i="9"/>
  <c r="CC6" i="9"/>
  <c r="CE6" i="9" s="1"/>
  <c r="AG6" i="8"/>
  <c r="G6" i="8"/>
  <c r="T57" i="8"/>
  <c r="BH57" i="8" s="1"/>
  <c r="G57" i="8"/>
  <c r="AT57" i="8" s="1"/>
  <c r="EJ57" i="9"/>
  <c r="FA57" i="9" s="1"/>
  <c r="EI57" i="9"/>
  <c r="EZ57" i="9" s="1"/>
  <c r="CC57" i="9"/>
  <c r="CE57" i="9" s="1"/>
  <c r="EH57" i="9"/>
  <c r="EY57" i="9" s="1"/>
  <c r="AG57" i="8"/>
  <c r="CD57" i="9"/>
  <c r="CF57" i="9" s="1"/>
  <c r="EK57" i="9"/>
  <c r="FB57" i="9" s="1"/>
  <c r="FM57" i="9"/>
  <c r="CB57" i="9"/>
  <c r="CG57" i="9" s="1"/>
  <c r="X57" i="8" s="1"/>
  <c r="M35" i="8"/>
  <c r="AZ35" i="8" s="1"/>
  <c r="AQ35" i="9"/>
  <c r="BA57" i="9"/>
  <c r="DL55" i="9"/>
  <c r="AO55" i="8" s="1"/>
  <c r="DZ55" i="8" s="1"/>
  <c r="AF55" i="9"/>
  <c r="AP55" i="9" s="1"/>
  <c r="AL34" i="9"/>
  <c r="U34" i="9"/>
  <c r="AK59" i="8"/>
  <c r="I59" i="8"/>
  <c r="AV59" i="8" s="1"/>
  <c r="G34" i="11"/>
  <c r="I34" i="11"/>
  <c r="H34" i="11"/>
  <c r="I47" i="11"/>
  <c r="G47" i="11"/>
  <c r="H47" i="11"/>
  <c r="CJ77" i="9"/>
  <c r="CJ16" i="9"/>
  <c r="AG50" i="8"/>
  <c r="EI50" i="9"/>
  <c r="EZ50" i="9" s="1"/>
  <c r="AK52" i="8"/>
  <c r="I52" i="8"/>
  <c r="AV52" i="8" s="1"/>
  <c r="FN71" i="8"/>
  <c r="GZ71" i="8" s="1"/>
  <c r="FI22" i="8"/>
  <c r="AK51" i="8"/>
  <c r="I51" i="8"/>
  <c r="J33" i="11"/>
  <c r="L33" i="11"/>
  <c r="K33" i="11"/>
  <c r="DK25" i="9"/>
  <c r="AB25" i="8" s="1"/>
  <c r="BP25" i="8" s="1"/>
  <c r="DL25" i="9"/>
  <c r="AO25" i="8" s="1"/>
  <c r="S44" i="9"/>
  <c r="R44" i="9"/>
  <c r="R18" i="8"/>
  <c r="FI20" i="8"/>
  <c r="DG51" i="9"/>
  <c r="Z51" i="8" s="1"/>
  <c r="DL9" i="9"/>
  <c r="AO9" i="8" s="1"/>
  <c r="CW42" i="9"/>
  <c r="AI42" i="8" s="1"/>
  <c r="CV81" i="9"/>
  <c r="V81" i="8" s="1"/>
  <c r="BJ81" i="8" s="1"/>
  <c r="ER7" i="9"/>
  <c r="FK61" i="9"/>
  <c r="EC61" i="8" s="1"/>
  <c r="AE19" i="9"/>
  <c r="AO19" i="9" s="1"/>
  <c r="DG36" i="9"/>
  <c r="Z36" i="8" s="1"/>
  <c r="CA86" i="9"/>
  <c r="EW67" i="9"/>
  <c r="BG86" i="9"/>
  <c r="BI86" i="9" s="1"/>
  <c r="AK45" i="8"/>
  <c r="CW81" i="9"/>
  <c r="AI81" i="8" s="1"/>
  <c r="EP7" i="9"/>
  <c r="U19" i="9"/>
  <c r="AF19" i="9" s="1"/>
  <c r="AP19" i="9" s="1"/>
  <c r="M19" i="8" s="1"/>
  <c r="AZ19" i="8" s="1"/>
  <c r="AL7" i="9"/>
  <c r="EN65" i="8"/>
  <c r="FX14" i="8"/>
  <c r="AK63" i="8"/>
  <c r="BO32" i="9"/>
  <c r="BO13" i="9"/>
  <c r="CM15" i="11"/>
  <c r="BC88" i="11"/>
  <c r="AP11" i="9"/>
  <c r="AP59" i="9"/>
  <c r="CJ38" i="9"/>
  <c r="ES7" i="9"/>
  <c r="BQ62" i="9"/>
  <c r="BU62" i="9" s="1"/>
  <c r="EN23" i="8"/>
  <c r="EN30" i="8"/>
  <c r="AO10" i="9"/>
  <c r="L10" i="8" s="1"/>
  <c r="AY10" i="8" s="1"/>
  <c r="BX68" i="9"/>
  <c r="AI25" i="9"/>
  <c r="AK25" i="9" s="1"/>
  <c r="AJ85" i="8"/>
  <c r="BX85" i="8" s="1"/>
  <c r="EG35" i="8"/>
  <c r="EM35" i="8" s="1"/>
  <c r="BN78" i="8"/>
  <c r="CJ56" i="9"/>
  <c r="D25" i="27"/>
  <c r="FI25" i="8"/>
  <c r="EC25" i="8"/>
  <c r="BW25" i="8"/>
  <c r="EC80" i="8"/>
  <c r="BW80" i="8"/>
  <c r="FI80" i="8"/>
  <c r="GU80" i="8" s="1"/>
  <c r="D80" i="27"/>
  <c r="AG69" i="8"/>
  <c r="CD69" i="9"/>
  <c r="CF69" i="9" s="1"/>
  <c r="CJ69" i="9" s="1"/>
  <c r="D18" i="27"/>
  <c r="FI18" i="8"/>
  <c r="BW18" i="8"/>
  <c r="BN73" i="8"/>
  <c r="CS73" i="8"/>
  <c r="CY73" i="8" s="1"/>
  <c r="EC79" i="8"/>
  <c r="FI79" i="8"/>
  <c r="BW79" i="8"/>
  <c r="D79" i="27"/>
  <c r="FN47" i="8"/>
  <c r="CI55" i="8"/>
  <c r="CX55" i="8" s="1"/>
  <c r="BW8" i="8"/>
  <c r="FI8" i="8"/>
  <c r="EC8" i="8"/>
  <c r="D8" i="27"/>
  <c r="DI10" i="9"/>
  <c r="AA10" i="8" s="1"/>
  <c r="BO10" i="8" s="1"/>
  <c r="C6" i="22"/>
  <c r="AK8" i="9"/>
  <c r="DJ8" i="9" s="1"/>
  <c r="AN8" i="8" s="1"/>
  <c r="G30" i="11"/>
  <c r="H30" i="11"/>
  <c r="DJ74" i="9"/>
  <c r="AN74" i="8" s="1"/>
  <c r="GM74" i="8" s="1"/>
  <c r="BF18" i="8"/>
  <c r="BK56" i="9"/>
  <c r="H9" i="11"/>
  <c r="G9" i="11"/>
  <c r="DJ10" i="9"/>
  <c r="AN10" i="8" s="1"/>
  <c r="BF30" i="8"/>
  <c r="EC18" i="8"/>
  <c r="DK49" i="9"/>
  <c r="AB49" i="8" s="1"/>
  <c r="O79" i="9"/>
  <c r="P79" i="9" s="1"/>
  <c r="H60" i="11"/>
  <c r="G60" i="11"/>
  <c r="J29" i="11"/>
  <c r="K29" i="11"/>
  <c r="BT8" i="11"/>
  <c r="N36" i="9"/>
  <c r="N26" i="9"/>
  <c r="N12" i="9"/>
  <c r="N10" i="9"/>
  <c r="AJ87" i="8"/>
  <c r="BX87" i="8" s="1"/>
  <c r="Y87" i="9"/>
  <c r="AF88" i="8"/>
  <c r="BT88" i="8" s="1"/>
  <c r="F86" i="9"/>
  <c r="Y86" i="9" s="1"/>
  <c r="I85" i="11"/>
  <c r="F45" i="9"/>
  <c r="N42" i="9"/>
  <c r="O42" i="9" s="1"/>
  <c r="P42" i="9" s="1"/>
  <c r="BO69" i="9"/>
  <c r="BI85" i="9"/>
  <c r="AI36" i="9"/>
  <c r="BO28" i="9"/>
  <c r="BO20" i="9"/>
  <c r="BO15" i="9"/>
  <c r="N74" i="9"/>
  <c r="AI85" i="9"/>
  <c r="F41" i="9"/>
  <c r="CB58" i="8"/>
  <c r="EI68" i="9"/>
  <c r="EZ68" i="9" s="1"/>
  <c r="EK68" i="9"/>
  <c r="FB68" i="9" s="1"/>
  <c r="CD68" i="9"/>
  <c r="CF68" i="9" s="1"/>
  <c r="FM68" i="9"/>
  <c r="EH68" i="9"/>
  <c r="EY68" i="9" s="1"/>
  <c r="EJ68" i="9"/>
  <c r="FA68" i="9" s="1"/>
  <c r="CB68" i="9"/>
  <c r="CG68" i="9" s="1"/>
  <c r="X68" i="8" s="1"/>
  <c r="CC68" i="9"/>
  <c r="CE68" i="9" s="1"/>
  <c r="G68" i="8"/>
  <c r="AT68" i="8" s="1"/>
  <c r="BL16" i="8"/>
  <c r="CL16" i="8"/>
  <c r="D66" i="27"/>
  <c r="EC66" i="8"/>
  <c r="BW66" i="8"/>
  <c r="CC73" i="8"/>
  <c r="FO73" i="8"/>
  <c r="AG71" i="8"/>
  <c r="EI71" i="9"/>
  <c r="EZ71" i="9" s="1"/>
  <c r="EK71" i="9"/>
  <c r="FB71" i="9" s="1"/>
  <c r="EJ71" i="9"/>
  <c r="FA71" i="9" s="1"/>
  <c r="CB71" i="9"/>
  <c r="CG71" i="9" s="1"/>
  <c r="X71" i="8" s="1"/>
  <c r="G71" i="8"/>
  <c r="AT71" i="8" s="1"/>
  <c r="CD71" i="9"/>
  <c r="CF71" i="9" s="1"/>
  <c r="EH71" i="9"/>
  <c r="EY71" i="9" s="1"/>
  <c r="CC71" i="9"/>
  <c r="CE71" i="9" s="1"/>
  <c r="FM71" i="9"/>
  <c r="BF35" i="8"/>
  <c r="CJ57" i="9"/>
  <c r="DJ22" i="9"/>
  <c r="AN22" i="8" s="1"/>
  <c r="FI71" i="8"/>
  <c r="DK67" i="9"/>
  <c r="AB67" i="8" s="1"/>
  <c r="D33" i="27"/>
  <c r="BW33" i="8"/>
  <c r="EC14" i="8"/>
  <c r="D14" i="27"/>
  <c r="CJ12" i="9"/>
  <c r="CC37" i="8"/>
  <c r="DL49" i="9"/>
  <c r="AO49" i="8" s="1"/>
  <c r="R14" i="8"/>
  <c r="AF23" i="9"/>
  <c r="AP23" i="9" s="1"/>
  <c r="M23" i="8" s="1"/>
  <c r="AZ23" i="8" s="1"/>
  <c r="DL51" i="9"/>
  <c r="AO51" i="8" s="1"/>
  <c r="AP17" i="9"/>
  <c r="CV62" i="9"/>
  <c r="BF5" i="8"/>
  <c r="AF37" i="9"/>
  <c r="AP37" i="9" s="1"/>
  <c r="DA50" i="9"/>
  <c r="DB50" i="9"/>
  <c r="BF14" i="8"/>
  <c r="DL67" i="9"/>
  <c r="AO67" i="8" s="1"/>
  <c r="DH4" i="9"/>
  <c r="AM4" i="8" s="1"/>
  <c r="DB4" i="9"/>
  <c r="DA7" i="9"/>
  <c r="AK7" i="9"/>
  <c r="DL23" i="9"/>
  <c r="AO23" i="8" s="1"/>
  <c r="AF67" i="9"/>
  <c r="AP67" i="9" s="1"/>
  <c r="DK57" i="9"/>
  <c r="AB57" i="8" s="1"/>
  <c r="EK38" i="9"/>
  <c r="FB38" i="9" s="1"/>
  <c r="CQ67" i="9"/>
  <c r="AE61" i="9"/>
  <c r="AP7" i="9"/>
  <c r="M7" i="8" s="1"/>
  <c r="AZ7" i="8" s="1"/>
  <c r="BX43" i="8"/>
  <c r="DD50" i="9"/>
  <c r="FX10" i="8"/>
  <c r="CA68" i="9"/>
  <c r="AG68" i="8" s="1"/>
  <c r="H25" i="11"/>
  <c r="G25" i="11"/>
  <c r="G4" i="22"/>
  <c r="AK50" i="9"/>
  <c r="BU82" i="9"/>
  <c r="S21" i="9"/>
  <c r="T21" i="9"/>
  <c r="Q15" i="8"/>
  <c r="G51" i="11"/>
  <c r="H51" i="11"/>
  <c r="BU68" i="9"/>
  <c r="T68" i="8" s="1"/>
  <c r="BH68" i="8" s="1"/>
  <c r="DB7" i="9"/>
  <c r="Y62" i="9"/>
  <c r="Z62" i="9"/>
  <c r="H66" i="11"/>
  <c r="G66" i="11"/>
  <c r="L24" i="11"/>
  <c r="K24" i="11"/>
  <c r="EC55" i="9"/>
  <c r="BI49" i="9"/>
  <c r="BK49" i="9" s="1"/>
  <c r="N52" i="9"/>
  <c r="CA88" i="9"/>
  <c r="BC85" i="11"/>
  <c r="AI87" i="9"/>
  <c r="F44" i="9"/>
  <c r="N45" i="9"/>
  <c r="O45" i="9" s="1"/>
  <c r="P45" i="9" s="1"/>
  <c r="BI74" i="9"/>
  <c r="BK74" i="9" s="1"/>
  <c r="AK82" i="8"/>
  <c r="AI72" i="9"/>
  <c r="AJ54" i="8"/>
  <c r="AI21" i="9"/>
  <c r="BO81" i="9"/>
  <c r="BO77" i="9"/>
  <c r="N76" i="9"/>
  <c r="ES24" i="9"/>
  <c r="N72" i="9"/>
  <c r="N66" i="9"/>
  <c r="N64" i="9"/>
  <c r="N60" i="9"/>
  <c r="H85" i="11"/>
  <c r="T53" i="9"/>
  <c r="AL53" i="9" s="1"/>
  <c r="EC46" i="9"/>
  <c r="AI12" i="9"/>
  <c r="AK5" i="8"/>
  <c r="BO83" i="9"/>
  <c r="BO46" i="9"/>
  <c r="BO8" i="9"/>
  <c r="BO4" i="9"/>
  <c r="N16" i="9"/>
  <c r="CA85" i="9"/>
  <c r="AI86" i="9"/>
  <c r="T44" i="9"/>
  <c r="U44" i="9" s="1"/>
  <c r="DL44" i="9" s="1"/>
  <c r="AO44" i="8" s="1"/>
  <c r="N41" i="9"/>
  <c r="O41" i="9" s="1"/>
  <c r="P41" i="9" s="1"/>
  <c r="EH22" i="9"/>
  <c r="EY22" i="9" s="1"/>
  <c r="FM22" i="9"/>
  <c r="EJ22" i="9"/>
  <c r="FA22" i="9" s="1"/>
  <c r="EI22" i="9"/>
  <c r="EZ22" i="9" s="1"/>
  <c r="CD22" i="9"/>
  <c r="CF22" i="9" s="1"/>
  <c r="EK22" i="9"/>
  <c r="FB22" i="9" s="1"/>
  <c r="T22" i="8"/>
  <c r="AG22" i="8"/>
  <c r="G22" i="8"/>
  <c r="CB22" i="9"/>
  <c r="CG22" i="9" s="1"/>
  <c r="X22" i="8" s="1"/>
  <c r="CC22" i="9"/>
  <c r="CE22" i="9" s="1"/>
  <c r="CB74" i="9"/>
  <c r="CG74" i="9" s="1"/>
  <c r="X74" i="8" s="1"/>
  <c r="AG74" i="8"/>
  <c r="EH74" i="9"/>
  <c r="EY74" i="9" s="1"/>
  <c r="CC74" i="9"/>
  <c r="CE74" i="9" s="1"/>
  <c r="EI74" i="9"/>
  <c r="EZ74" i="9" s="1"/>
  <c r="CD74" i="9"/>
  <c r="CF74" i="9" s="1"/>
  <c r="EK74" i="9"/>
  <c r="FB74" i="9" s="1"/>
  <c r="G74" i="8"/>
  <c r="FM74" i="9"/>
  <c r="EJ74" i="9"/>
  <c r="FA74" i="9" s="1"/>
  <c r="CJ47" i="9"/>
  <c r="EH23" i="9"/>
  <c r="EY23" i="9" s="1"/>
  <c r="EI23" i="9"/>
  <c r="EZ23" i="9" s="1"/>
  <c r="EK23" i="9"/>
  <c r="FB23" i="9" s="1"/>
  <c r="EJ23" i="9"/>
  <c r="FA23" i="9" s="1"/>
  <c r="T23" i="8"/>
  <c r="BH23" i="8" s="1"/>
  <c r="G23" i="8"/>
  <c r="AG23" i="8"/>
  <c r="FM23" i="9"/>
  <c r="FO71" i="8"/>
  <c r="HA71" i="8" s="1"/>
  <c r="CC71" i="8"/>
  <c r="CJ67" i="9"/>
  <c r="D34" i="27"/>
  <c r="FI34" i="8"/>
  <c r="DK17" i="9"/>
  <c r="AB17" i="8" s="1"/>
  <c r="DL17" i="9"/>
  <c r="AO17" i="8" s="1"/>
  <c r="BW51" i="8"/>
  <c r="FI51" i="8"/>
  <c r="EC51" i="8"/>
  <c r="D51" i="27"/>
  <c r="FI66" i="8"/>
  <c r="D55" i="27"/>
  <c r="FI55" i="8"/>
  <c r="BW55" i="8"/>
  <c r="BW57" i="8"/>
  <c r="FI57" i="8"/>
  <c r="D57" i="27"/>
  <c r="EC57" i="8"/>
  <c r="DK37" i="9"/>
  <c r="AB37" i="8" s="1"/>
  <c r="BF31" i="8"/>
  <c r="AQ9" i="9"/>
  <c r="BA9" i="9" s="1"/>
  <c r="DK77" i="9"/>
  <c r="AB77" i="8" s="1"/>
  <c r="EQ81" i="9"/>
  <c r="EC55" i="8"/>
  <c r="DK51" i="9"/>
  <c r="AB51" i="8" s="1"/>
  <c r="DL57" i="9"/>
  <c r="AO57" i="8" s="1"/>
  <c r="BU71" i="9"/>
  <c r="T71" i="8" s="1"/>
  <c r="DZ62" i="9"/>
  <c r="T13" i="9"/>
  <c r="CZ61" i="9"/>
  <c r="DB61" i="9" s="1"/>
  <c r="O63" i="9"/>
  <c r="P63" i="9" s="1"/>
  <c r="DK63" i="9" s="1"/>
  <c r="AB63" i="8" s="1"/>
  <c r="EN33" i="8"/>
  <c r="DH64" i="9"/>
  <c r="AM64" i="8" s="1"/>
  <c r="ER54" i="9"/>
  <c r="ES54" i="9"/>
  <c r="AJ53" i="8"/>
  <c r="BI53" i="9"/>
  <c r="Y32" i="9"/>
  <c r="CC32" i="9" s="1"/>
  <c r="Z32" i="9"/>
  <c r="CQ37" i="9"/>
  <c r="ES83" i="9"/>
  <c r="ER83" i="9"/>
  <c r="Z60" i="9"/>
  <c r="R60" i="9"/>
  <c r="Y60" i="9"/>
  <c r="S60" i="9"/>
  <c r="AJ60" i="9" s="1"/>
  <c r="AB60" i="9"/>
  <c r="EQ48" i="9"/>
  <c r="ER48" i="9"/>
  <c r="ES48" i="9"/>
  <c r="Z23" i="9"/>
  <c r="Y23" i="9"/>
  <c r="AC61" i="9"/>
  <c r="DB73" i="9"/>
  <c r="S83" i="9"/>
  <c r="AB83" i="9"/>
  <c r="Y76" i="9"/>
  <c r="Z76" i="9"/>
  <c r="AB76" i="9"/>
  <c r="AJ48" i="8"/>
  <c r="GI48" i="8" s="1"/>
  <c r="BI48" i="9"/>
  <c r="BK48" i="9" s="1"/>
  <c r="AJ36" i="8"/>
  <c r="BI36" i="9"/>
  <c r="Z33" i="9"/>
  <c r="R33" i="9"/>
  <c r="Y33" i="9"/>
  <c r="S31" i="9"/>
  <c r="R31" i="9"/>
  <c r="Y27" i="9"/>
  <c r="R27" i="9"/>
  <c r="Z27" i="9"/>
  <c r="S27" i="9"/>
  <c r="AJ27" i="9" s="1"/>
  <c r="AB27" i="9"/>
  <c r="AJ77" i="8"/>
  <c r="GI77" i="8" s="1"/>
  <c r="BI77" i="9"/>
  <c r="Y49" i="9"/>
  <c r="Z49" i="9"/>
  <c r="AJ45" i="8"/>
  <c r="BI45" i="9"/>
  <c r="Y29" i="9"/>
  <c r="S29" i="9"/>
  <c r="AJ29" i="9" s="1"/>
  <c r="AB29" i="9"/>
  <c r="R29" i="9"/>
  <c r="BI27" i="9"/>
  <c r="AJ27" i="8"/>
  <c r="AJ24" i="8"/>
  <c r="BI24" i="9"/>
  <c r="AJ49" i="8"/>
  <c r="T80" i="9"/>
  <c r="AW76" i="9"/>
  <c r="BE53" i="9"/>
  <c r="BK53" i="9" s="1"/>
  <c r="BW46" i="9"/>
  <c r="CA46" i="9" s="1"/>
  <c r="AI33" i="9"/>
  <c r="Q87" i="8"/>
  <c r="BE87" i="8" s="1"/>
  <c r="W87" i="8"/>
  <c r="BK87" i="8" s="1"/>
  <c r="CQ16" i="9"/>
  <c r="AI68" i="9"/>
  <c r="AI60" i="9"/>
  <c r="BW36" i="9"/>
  <c r="CA36" i="9" s="1"/>
  <c r="AI23" i="9"/>
  <c r="O88" i="9"/>
  <c r="P88" i="9" s="1"/>
  <c r="AM88" i="9"/>
  <c r="CQ64" i="9"/>
  <c r="AA8" i="9"/>
  <c r="CQ8" i="9" s="1"/>
  <c r="T60" i="9"/>
  <c r="AL60" i="9" s="1"/>
  <c r="AB86" i="9"/>
  <c r="S86" i="9"/>
  <c r="AJ86" i="9" s="1"/>
  <c r="R86" i="9"/>
  <c r="T86" i="9"/>
  <c r="AL86" i="9" s="1"/>
  <c r="BO65" i="9"/>
  <c r="BO35" i="9"/>
  <c r="N70" i="9"/>
  <c r="N62" i="9"/>
  <c r="H87" i="11"/>
  <c r="I87" i="11"/>
  <c r="AK88" i="8"/>
  <c r="BY88" i="8" s="1"/>
  <c r="BC85" i="9"/>
  <c r="BE85" i="9" s="1"/>
  <c r="N40" i="9"/>
  <c r="O40" i="9" s="1"/>
  <c r="P40" i="9" s="1"/>
  <c r="N53" i="9"/>
  <c r="O53" i="9" s="1"/>
  <c r="P53" i="9" s="1"/>
  <c r="F53" i="9"/>
  <c r="AR53" i="9" s="1"/>
  <c r="F53" i="8" s="1"/>
  <c r="S53" i="9"/>
  <c r="AJ53" i="9" s="1"/>
  <c r="BR87" i="9"/>
  <c r="BR86" i="9"/>
  <c r="X85" i="9"/>
  <c r="AA85" i="9" s="1"/>
  <c r="CQ85" i="9" s="1"/>
  <c r="AW85" i="9"/>
  <c r="U85" i="8" s="1"/>
  <c r="BI85" i="8" s="1"/>
  <c r="AK19" i="8"/>
  <c r="BO40" i="9"/>
  <c r="T87" i="9"/>
  <c r="AL87" i="9" s="1"/>
  <c r="BC86" i="9"/>
  <c r="BE86" i="9" s="1"/>
  <c r="BR88" i="9"/>
  <c r="BB86" i="11"/>
  <c r="T40" i="9"/>
  <c r="AL40" i="9" s="1"/>
  <c r="F40" i="9"/>
  <c r="AR40" i="9" s="1"/>
  <c r="AI41" i="9"/>
  <c r="F43" i="9"/>
  <c r="AR43" i="9" s="1"/>
  <c r="AI20" i="9"/>
  <c r="AI18" i="9"/>
  <c r="BO11" i="9"/>
  <c r="BO6" i="9"/>
  <c r="N82" i="9"/>
  <c r="N78" i="9"/>
  <c r="N56" i="9"/>
  <c r="N48" i="9"/>
  <c r="N46" i="9"/>
  <c r="N20" i="9"/>
  <c r="BR85" i="9"/>
  <c r="Z45" i="9"/>
  <c r="AA45" i="9" s="1"/>
  <c r="CQ45" i="9" s="1"/>
  <c r="AJ40" i="9"/>
  <c r="CJ55" i="9"/>
  <c r="BL47" i="8"/>
  <c r="CL47" i="8"/>
  <c r="CJ58" i="9"/>
  <c r="J63" i="8"/>
  <c r="AL63" i="8"/>
  <c r="BB63" i="9"/>
  <c r="CL55" i="8"/>
  <c r="BL55" i="8"/>
  <c r="CL56" i="8"/>
  <c r="BL56" i="8"/>
  <c r="M69" i="8"/>
  <c r="AZ69" i="8" s="1"/>
  <c r="AQ69" i="9"/>
  <c r="BA69" i="9" s="1"/>
  <c r="T52" i="8"/>
  <c r="BH52" i="8" s="1"/>
  <c r="EJ52" i="9"/>
  <c r="FA52" i="9" s="1"/>
  <c r="FM59" i="9"/>
  <c r="EJ59" i="9"/>
  <c r="FA59" i="9" s="1"/>
  <c r="EK59" i="9"/>
  <c r="FB59" i="9" s="1"/>
  <c r="CD59" i="9"/>
  <c r="CF59" i="9" s="1"/>
  <c r="AG59" i="8"/>
  <c r="CB59" i="9"/>
  <c r="CG59" i="9" s="1"/>
  <c r="X59" i="8" s="1"/>
  <c r="CC59" i="9"/>
  <c r="CE59" i="9" s="1"/>
  <c r="EH59" i="9"/>
  <c r="EY59" i="9" s="1"/>
  <c r="EI59" i="9"/>
  <c r="EZ59" i="9" s="1"/>
  <c r="G59" i="8"/>
  <c r="EK63" i="9"/>
  <c r="FB63" i="9" s="1"/>
  <c r="EJ63" i="9"/>
  <c r="FA63" i="9" s="1"/>
  <c r="CD63" i="9"/>
  <c r="CF63" i="9" s="1"/>
  <c r="EI63" i="9"/>
  <c r="EZ63" i="9" s="1"/>
  <c r="CC63" i="9"/>
  <c r="CE63" i="9" s="1"/>
  <c r="EH63" i="9"/>
  <c r="EY63" i="9" s="1"/>
  <c r="G63" i="8"/>
  <c r="CB63" i="9"/>
  <c r="CG63" i="9" s="1"/>
  <c r="X63" i="8" s="1"/>
  <c r="FM63" i="9"/>
  <c r="AG63" i="8"/>
  <c r="CB49" i="8"/>
  <c r="FM65" i="9"/>
  <c r="G65" i="8"/>
  <c r="EJ10" i="9"/>
  <c r="FA10" i="9" s="1"/>
  <c r="AG10" i="8"/>
  <c r="EK10" i="9"/>
  <c r="FB10" i="9" s="1"/>
  <c r="EH10" i="9"/>
  <c r="EY10" i="9" s="1"/>
  <c r="CC10" i="9"/>
  <c r="CE10" i="9" s="1"/>
  <c r="CD10" i="9"/>
  <c r="CF10" i="9" s="1"/>
  <c r="CB10" i="9"/>
  <c r="CG10" i="9" s="1"/>
  <c r="X10" i="8" s="1"/>
  <c r="EI10" i="9"/>
  <c r="EZ10" i="9" s="1"/>
  <c r="FM10" i="9"/>
  <c r="G10" i="8"/>
  <c r="CC55" i="8"/>
  <c r="FO55" i="8"/>
  <c r="L5" i="8"/>
  <c r="AQ5" i="9"/>
  <c r="BA5" i="9" s="1"/>
  <c r="T51" i="8"/>
  <c r="G51" i="8"/>
  <c r="FM51" i="9"/>
  <c r="CC51" i="9"/>
  <c r="CE51" i="9" s="1"/>
  <c r="BF40" i="8"/>
  <c r="EC26" i="8"/>
  <c r="FI26" i="8"/>
  <c r="D26" i="27"/>
  <c r="BW26" i="8"/>
  <c r="CV63" i="9"/>
  <c r="V63" i="8" s="1"/>
  <c r="P63" i="8"/>
  <c r="CW63" i="9"/>
  <c r="AI63" i="8" s="1"/>
  <c r="D50" i="27"/>
  <c r="FI50" i="8"/>
  <c r="BW50" i="8"/>
  <c r="EC50" i="8"/>
  <c r="BD78" i="8"/>
  <c r="BF78" i="8" s="1"/>
  <c r="R78" i="8"/>
  <c r="P9" i="8"/>
  <c r="CV9" i="9"/>
  <c r="V9" i="8" s="1"/>
  <c r="CW9" i="9"/>
  <c r="AI9" i="8" s="1"/>
  <c r="BI71" i="8"/>
  <c r="IE71" i="8"/>
  <c r="EK7" i="9"/>
  <c r="FB7" i="9" s="1"/>
  <c r="CB7" i="9"/>
  <c r="CG7" i="9" s="1"/>
  <c r="X7" i="8" s="1"/>
  <c r="BD28" i="8"/>
  <c r="BF28" i="8" s="1"/>
  <c r="R28" i="8"/>
  <c r="CW65" i="9"/>
  <c r="AI65" i="8" s="1"/>
  <c r="CV65" i="9"/>
  <c r="V65" i="8" s="1"/>
  <c r="BJ65" i="8" s="1"/>
  <c r="P65" i="8"/>
  <c r="FI21" i="8"/>
  <c r="D21" i="27"/>
  <c r="BW21" i="8"/>
  <c r="EC21" i="8"/>
  <c r="FI28" i="8"/>
  <c r="D28" i="27"/>
  <c r="EC28" i="8"/>
  <c r="BW28" i="8"/>
  <c r="CV38" i="9"/>
  <c r="V38" i="8" s="1"/>
  <c r="P38" i="8"/>
  <c r="CW38" i="9"/>
  <c r="AI38" i="8" s="1"/>
  <c r="FI40" i="8"/>
  <c r="D40" i="27"/>
  <c r="BW40" i="8"/>
  <c r="FI60" i="8"/>
  <c r="BW60" i="8"/>
  <c r="EC60" i="8"/>
  <c r="D60" i="27"/>
  <c r="FI81" i="8"/>
  <c r="GU81" i="8" s="1"/>
  <c r="EC81" i="8"/>
  <c r="HI81" i="8" s="1"/>
  <c r="BW81" i="8"/>
  <c r="D81" i="27"/>
  <c r="CV32" i="9"/>
  <c r="V32" i="8" s="1"/>
  <c r="BJ32" i="8" s="1"/>
  <c r="CW32" i="9"/>
  <c r="AI32" i="8" s="1"/>
  <c r="P32" i="8"/>
  <c r="CW67" i="9"/>
  <c r="AI67" i="8" s="1"/>
  <c r="P67" i="8"/>
  <c r="CV67" i="9"/>
  <c r="V67" i="8" s="1"/>
  <c r="U26" i="9"/>
  <c r="V62" i="8"/>
  <c r="ES81" i="9"/>
  <c r="V5" i="8"/>
  <c r="AI12" i="8"/>
  <c r="CQ69" i="9"/>
  <c r="DL7" i="9"/>
  <c r="AO7" i="8" s="1"/>
  <c r="P83" i="9"/>
  <c r="CW29" i="9"/>
  <c r="AI29" i="8" s="1"/>
  <c r="CQ19" i="9"/>
  <c r="IB58" i="8"/>
  <c r="EN12" i="8"/>
  <c r="EN46" i="8"/>
  <c r="EN61" i="8"/>
  <c r="FK40" i="9"/>
  <c r="EC40" i="8" s="1"/>
  <c r="DG64" i="9"/>
  <c r="Z64" i="8" s="1"/>
  <c r="EB19" i="9"/>
  <c r="EA19" i="9"/>
  <c r="DX76" i="9"/>
  <c r="DY76" i="9"/>
  <c r="BR43" i="9"/>
  <c r="BT43" i="9"/>
  <c r="BR42" i="9"/>
  <c r="BT42" i="9"/>
  <c r="BT44" i="9"/>
  <c r="BR44" i="9"/>
  <c r="BT45" i="9"/>
  <c r="BR45" i="9"/>
  <c r="CQ77" i="9"/>
  <c r="BR53" i="9"/>
  <c r="BT53" i="9"/>
  <c r="BR41" i="9"/>
  <c r="BT41" i="9"/>
  <c r="BX55" i="9"/>
  <c r="CA55" i="9" s="1"/>
  <c r="AG55" i="8" s="1"/>
  <c r="BX30" i="9"/>
  <c r="CA30" i="9" s="1"/>
  <c r="AW44" i="9"/>
  <c r="Y44" i="9"/>
  <c r="BO45" i="9"/>
  <c r="T85" i="9"/>
  <c r="AL85" i="9" s="1"/>
  <c r="S85" i="9"/>
  <c r="AJ85" i="9" s="1"/>
  <c r="CZ86" i="9"/>
  <c r="T88" i="9"/>
  <c r="AL88" i="9" s="1"/>
  <c r="R88" i="9"/>
  <c r="AC88" i="9" s="1"/>
  <c r="S88" i="9"/>
  <c r="AJ88" i="9" s="1"/>
  <c r="Z88" i="9"/>
  <c r="Y88" i="9"/>
  <c r="AK85" i="8"/>
  <c r="I85" i="8"/>
  <c r="AV85" i="8" s="1"/>
  <c r="AC87" i="9"/>
  <c r="BI88" i="9"/>
  <c r="AJ88" i="8"/>
  <c r="BX88" i="8" s="1"/>
  <c r="AH88" i="8"/>
  <c r="BV88" i="8" s="1"/>
  <c r="H88" i="8"/>
  <c r="AU88" i="8" s="1"/>
  <c r="H85" i="8"/>
  <c r="AU85" i="8" s="1"/>
  <c r="AH85" i="8"/>
  <c r="BV85" i="8" s="1"/>
  <c r="I86" i="8"/>
  <c r="AV86" i="8" s="1"/>
  <c r="AK86" i="8"/>
  <c r="BY86" i="8" s="1"/>
  <c r="AM45" i="9"/>
  <c r="AH86" i="8"/>
  <c r="BV86" i="8" s="1"/>
  <c r="H86" i="8"/>
  <c r="AU86" i="8" s="1"/>
  <c r="AC85" i="9"/>
  <c r="CY85" i="9"/>
  <c r="BK85" i="9"/>
  <c r="G86" i="11"/>
  <c r="I86" i="11"/>
  <c r="H86" i="11"/>
  <c r="S87" i="9"/>
  <c r="AD87" i="9" s="1"/>
  <c r="S85" i="8"/>
  <c r="BJ87" i="9"/>
  <c r="BJ86" i="9"/>
  <c r="BC86" i="11"/>
  <c r="AF85" i="11"/>
  <c r="AJ44" i="9"/>
  <c r="AL44" i="9"/>
  <c r="AR45" i="9"/>
  <c r="Y45" i="9"/>
  <c r="AI45" i="9"/>
  <c r="F52" i="9"/>
  <c r="AW40" i="9"/>
  <c r="AM41" i="9"/>
  <c r="Q42" i="9"/>
  <c r="T42" i="9" s="1"/>
  <c r="AL42" i="9" s="1"/>
  <c r="Y53" i="9"/>
  <c r="AI44" i="9"/>
  <c r="AB45" i="9"/>
  <c r="S41" i="9"/>
  <c r="AD41" i="9" s="1"/>
  <c r="AR42" i="9"/>
  <c r="Z87" i="9"/>
  <c r="X87" i="9"/>
  <c r="AE87" i="11"/>
  <c r="AB44" i="9"/>
  <c r="T45" i="9"/>
  <c r="AL45" i="9" s="1"/>
  <c r="R45" i="9"/>
  <c r="BR40" i="9"/>
  <c r="Y40" i="9"/>
  <c r="N43" i="9"/>
  <c r="Q43" i="9"/>
  <c r="R43" i="9" s="1"/>
  <c r="AW53" i="9"/>
  <c r="AM44" i="9"/>
  <c r="AJ45" i="9"/>
  <c r="R40" i="9"/>
  <c r="U40" i="9" s="1"/>
  <c r="DL40" i="9" s="1"/>
  <c r="AO40" i="8" s="1"/>
  <c r="AB40" i="9"/>
  <c r="AR41" i="9"/>
  <c r="F41" i="8" s="1"/>
  <c r="Z41" i="9"/>
  <c r="Y41" i="9"/>
  <c r="AM42" i="9"/>
  <c r="R41" i="9"/>
  <c r="AC41" i="9" s="1"/>
  <c r="AB53" i="9"/>
  <c r="T41" i="9"/>
  <c r="AL41" i="9" s="1"/>
  <c r="BA85" i="11"/>
  <c r="AJ11" i="23"/>
  <c r="AJ17" i="23"/>
  <c r="AJ21" i="23"/>
  <c r="AJ27" i="23"/>
  <c r="AJ64" i="23"/>
  <c r="AJ35" i="23"/>
  <c r="AJ51" i="23"/>
  <c r="AJ20" i="23"/>
  <c r="DW24" i="7" s="1"/>
  <c r="DZ24" i="7" s="1"/>
  <c r="AJ28" i="23"/>
  <c r="AJ32" i="23"/>
  <c r="AJ33" i="23"/>
  <c r="AJ36" i="23"/>
  <c r="AJ54" i="23"/>
  <c r="AJ55" i="23"/>
  <c r="AJ58" i="23"/>
  <c r="AJ59" i="23"/>
  <c r="AJ60" i="23"/>
  <c r="AJ61" i="23"/>
  <c r="AJ62" i="23"/>
  <c r="C49" i="22"/>
  <c r="C44" i="24"/>
  <c r="C43" i="22"/>
  <c r="C39" i="24"/>
  <c r="C42" i="22"/>
  <c r="C46" i="24"/>
  <c r="C37" i="24"/>
  <c r="C40" i="24"/>
  <c r="C45" i="22"/>
  <c r="C35" i="24"/>
  <c r="C38" i="22"/>
  <c r="C34" i="24"/>
  <c r="C39" i="22"/>
  <c r="C49" i="24"/>
  <c r="C33" i="22"/>
  <c r="C32" i="22"/>
  <c r="C30" i="24"/>
  <c r="D77" i="24"/>
  <c r="Y22" i="21"/>
  <c r="Z22" i="21" s="1"/>
  <c r="C37" i="22"/>
  <c r="C36" i="22"/>
  <c r="C36" i="24"/>
  <c r="C41" i="24"/>
  <c r="C35" i="22"/>
  <c r="C47" i="24"/>
  <c r="C31" i="24"/>
  <c r="C45" i="24"/>
  <c r="C46" i="22"/>
  <c r="C42" i="24"/>
  <c r="C29" i="22"/>
  <c r="C48" i="22"/>
  <c r="C48" i="24"/>
  <c r="C32" i="24"/>
  <c r="C29" i="24"/>
  <c r="C47" i="22"/>
  <c r="C43" i="24"/>
  <c r="C33" i="24"/>
  <c r="C34" i="22"/>
  <c r="C38" i="24"/>
  <c r="Y20" i="21"/>
  <c r="Z20" i="21" s="1"/>
  <c r="Y18" i="21"/>
  <c r="Z18" i="21" s="1"/>
  <c r="Y14" i="21"/>
  <c r="Z14" i="21" s="1"/>
  <c r="Y12" i="21"/>
  <c r="Z12" i="21" s="1"/>
  <c r="Y10" i="21"/>
  <c r="Z10" i="21" s="1"/>
  <c r="Y6" i="21"/>
  <c r="Z6" i="21" s="1"/>
  <c r="Y4" i="21"/>
  <c r="Z4" i="21" s="1"/>
  <c r="Z27" i="21" s="1"/>
  <c r="DZ45" i="7"/>
  <c r="DW45" i="7"/>
  <c r="DX40" i="7"/>
  <c r="DZ40" i="7"/>
  <c r="DZ41" i="7"/>
  <c r="DX41" i="7"/>
  <c r="AJ68" i="23"/>
  <c r="DW51" i="7" s="1"/>
  <c r="DZ51" i="7" s="1"/>
  <c r="AJ73" i="23"/>
  <c r="DW25" i="7" s="1"/>
  <c r="DZ25" i="7" s="1"/>
  <c r="DU24" i="7"/>
  <c r="DU63" i="7"/>
  <c r="DU52" i="7"/>
  <c r="DT15" i="7"/>
  <c r="Y23" i="21"/>
  <c r="Z23" i="21" s="1"/>
  <c r="Y19" i="21"/>
  <c r="Z19" i="21" s="1"/>
  <c r="Y17" i="21"/>
  <c r="Z17" i="21" s="1"/>
  <c r="Y15" i="21"/>
  <c r="Z15" i="21" s="1"/>
  <c r="K88" i="11"/>
  <c r="BA88" i="10"/>
  <c r="BC88" i="10" s="1"/>
  <c r="N86" i="11"/>
  <c r="M85" i="11"/>
  <c r="CV84" i="10"/>
  <c r="CV81" i="10"/>
  <c r="BA80" i="10"/>
  <c r="BC80" i="10" s="1"/>
  <c r="BA73" i="10"/>
  <c r="BC73" i="10" s="1"/>
  <c r="CD68" i="10"/>
  <c r="BA68" i="10"/>
  <c r="BC68" i="10" s="1"/>
  <c r="CW66" i="10"/>
  <c r="ES66" i="10" s="1"/>
  <c r="BA65" i="10"/>
  <c r="BQ65" i="10"/>
  <c r="BS65" i="10" s="1"/>
  <c r="BS64" i="10"/>
  <c r="CV63" i="10"/>
  <c r="CV60" i="10"/>
  <c r="BQ49" i="10"/>
  <c r="BS49" i="10" s="1"/>
  <c r="CV48" i="10"/>
  <c r="ER48" i="10" s="1"/>
  <c r="EJ48" i="10"/>
  <c r="BA45" i="10"/>
  <c r="BA41" i="10"/>
  <c r="BC41" i="10" s="1"/>
  <c r="CD38" i="10"/>
  <c r="CF38" i="10" s="1"/>
  <c r="CV36" i="10"/>
  <c r="CV35" i="10"/>
  <c r="CW35" i="10" s="1"/>
  <c r="ES35" i="10" s="1"/>
  <c r="BF35" i="10"/>
  <c r="BF34" i="10"/>
  <c r="ER33" i="10"/>
  <c r="CW33" i="10"/>
  <c r="ES33" i="10" s="1"/>
  <c r="EL33" i="10"/>
  <c r="BQ33" i="10"/>
  <c r="BF32" i="10"/>
  <c r="BF27" i="10"/>
  <c r="BF24" i="10"/>
  <c r="D6" i="24"/>
  <c r="CD22" i="10"/>
  <c r="CF22" i="10" s="1"/>
  <c r="CV22" i="10"/>
  <c r="CO22" i="11"/>
  <c r="BQ21" i="10"/>
  <c r="BS21" i="10" s="1"/>
  <c r="CD20" i="10"/>
  <c r="CF20" i="10" s="1"/>
  <c r="CV20" i="10"/>
  <c r="ER20" i="10" s="1"/>
  <c r="BQ20" i="10"/>
  <c r="BS20" i="10" s="1"/>
  <c r="BC20" i="10"/>
  <c r="CD19" i="10"/>
  <c r="CF19" i="10" s="1"/>
  <c r="BF19" i="10"/>
  <c r="BC19" i="10"/>
  <c r="CD18" i="10"/>
  <c r="CF18" i="10" s="1"/>
  <c r="BA18" i="10"/>
  <c r="BC18" i="10" s="1"/>
  <c r="BQ17" i="10"/>
  <c r="CV14" i="10"/>
  <c r="CD10" i="10"/>
  <c r="CV8" i="10"/>
  <c r="CW7" i="10"/>
  <c r="ES7" i="10" s="1"/>
  <c r="BF7" i="10"/>
  <c r="CV6" i="10"/>
  <c r="CV5" i="10"/>
  <c r="Y11" i="21"/>
  <c r="Z11" i="21" s="1"/>
  <c r="Y9" i="21"/>
  <c r="Z9" i="21" s="1"/>
  <c r="Y5" i="21"/>
  <c r="Z5" i="21" s="1"/>
  <c r="E103" i="11"/>
  <c r="D103" i="11"/>
  <c r="CD88" i="10"/>
  <c r="CF88" i="10" s="1"/>
  <c r="BQ88" i="10"/>
  <c r="BS88" i="10" s="1"/>
  <c r="L88" i="11"/>
  <c r="BC87" i="10"/>
  <c r="BQ85" i="10"/>
  <c r="BS85" i="10" s="1"/>
  <c r="HQ83" i="8"/>
  <c r="HJ83" i="8"/>
  <c r="GR83" i="8"/>
  <c r="GE83" i="8"/>
  <c r="GG83" i="8"/>
  <c r="HE83" i="8"/>
  <c r="GJ83" i="8"/>
  <c r="HB83" i="8"/>
  <c r="GT83" i="8"/>
  <c r="GI83" i="8"/>
  <c r="GO83" i="8"/>
  <c r="HV83" i="8"/>
  <c r="GV83" i="8"/>
  <c r="BA83" i="10"/>
  <c r="BC83" i="10" s="1"/>
  <c r="GE82" i="8"/>
  <c r="HQ82" i="8"/>
  <c r="HJ82" i="8"/>
  <c r="HB82" i="8"/>
  <c r="GG82" i="8"/>
  <c r="GV82" i="8"/>
  <c r="HE82" i="8"/>
  <c r="HV82" i="8"/>
  <c r="GO82" i="8"/>
  <c r="GR82" i="8"/>
  <c r="GJ82" i="8"/>
  <c r="GT82" i="8"/>
  <c r="GJ81" i="8"/>
  <c r="GO81" i="8"/>
  <c r="HB81" i="8"/>
  <c r="GW81" i="8"/>
  <c r="HG81" i="8"/>
  <c r="GL81" i="8"/>
  <c r="GH81" i="8"/>
  <c r="GE81" i="8"/>
  <c r="HQ81" i="8"/>
  <c r="GR81" i="8"/>
  <c r="GI81" i="8"/>
  <c r="HJ81" i="8"/>
  <c r="GV81" i="8"/>
  <c r="GY81" i="8"/>
  <c r="HV81" i="8"/>
  <c r="HE81" i="8"/>
  <c r="GG81" i="8"/>
  <c r="GT81" i="8"/>
  <c r="HS81" i="8"/>
  <c r="GM81" i="8"/>
  <c r="HV80" i="8"/>
  <c r="GG80" i="8"/>
  <c r="HE80" i="8"/>
  <c r="GJ80" i="8"/>
  <c r="GT80" i="8"/>
  <c r="GI80" i="8"/>
  <c r="GL80" i="8"/>
  <c r="HS80" i="8"/>
  <c r="HI80" i="8"/>
  <c r="HB80" i="8"/>
  <c r="HJ80" i="8"/>
  <c r="GE80" i="8"/>
  <c r="HG80" i="8"/>
  <c r="GH80" i="8"/>
  <c r="GR80" i="8"/>
  <c r="GO80" i="8"/>
  <c r="GV80" i="8"/>
  <c r="GW80" i="8"/>
  <c r="BF80" i="10"/>
  <c r="GV79" i="8"/>
  <c r="GR79" i="8"/>
  <c r="HG79" i="8"/>
  <c r="GL79" i="8"/>
  <c r="GO79" i="8"/>
  <c r="HB79" i="8"/>
  <c r="GH79" i="8"/>
  <c r="GE79" i="8"/>
  <c r="GI79" i="8"/>
  <c r="GW79" i="8"/>
  <c r="GT79" i="8"/>
  <c r="HV79" i="8"/>
  <c r="GU79" i="8"/>
  <c r="GG79" i="8"/>
  <c r="HE79" i="8"/>
  <c r="GJ79" i="8"/>
  <c r="HJ79" i="8"/>
  <c r="HS79" i="8"/>
  <c r="HI79" i="8"/>
  <c r="GY79" i="8"/>
  <c r="CD78" i="10"/>
  <c r="CF78" i="10" s="1"/>
  <c r="GO78" i="8"/>
  <c r="GW78" i="8"/>
  <c r="GU78" i="8"/>
  <c r="GE78" i="8"/>
  <c r="HQ78" i="8"/>
  <c r="GH78" i="8"/>
  <c r="HE78" i="8"/>
  <c r="HB78" i="8"/>
  <c r="GV78" i="8"/>
  <c r="GI78" i="8"/>
  <c r="HS78" i="8"/>
  <c r="GJ78" i="8"/>
  <c r="GG78" i="8"/>
  <c r="HG78" i="8"/>
  <c r="HI78" i="8"/>
  <c r="CD77" i="10"/>
  <c r="CF77" i="10" s="1"/>
  <c r="GE77" i="8"/>
  <c r="HE77" i="8"/>
  <c r="HA77" i="8"/>
  <c r="HF77" i="8"/>
  <c r="GJ77" i="8"/>
  <c r="HQ77" i="8"/>
  <c r="GO77" i="8"/>
  <c r="HS77" i="8"/>
  <c r="GM77" i="8"/>
  <c r="HR77" i="8"/>
  <c r="GG77" i="8"/>
  <c r="GW77" i="8"/>
  <c r="GT77" i="8"/>
  <c r="HG77" i="8"/>
  <c r="GY77" i="8"/>
  <c r="GS77" i="8"/>
  <c r="HB77" i="8"/>
  <c r="GV77" i="8"/>
  <c r="GN77" i="8"/>
  <c r="GL77" i="8"/>
  <c r="GF77" i="8"/>
  <c r="GZ77" i="8"/>
  <c r="HM77" i="8"/>
  <c r="HY77" i="8"/>
  <c r="BQ76" i="10"/>
  <c r="BS76" i="10" s="1"/>
  <c r="BA76" i="10"/>
  <c r="BC76" i="10" s="1"/>
  <c r="GJ76" i="8"/>
  <c r="HE76" i="8"/>
  <c r="GO76" i="8"/>
  <c r="HB76" i="8"/>
  <c r="GW76" i="8"/>
  <c r="HS76" i="8"/>
  <c r="GE76" i="8"/>
  <c r="GV76" i="8"/>
  <c r="HG76" i="8"/>
  <c r="CD75" i="10"/>
  <c r="CF75" i="10" s="1"/>
  <c r="GR75" i="8"/>
  <c r="HB75" i="8"/>
  <c r="HS75" i="8"/>
  <c r="GO75" i="8"/>
  <c r="GJ75" i="8"/>
  <c r="HG75" i="8"/>
  <c r="GH75" i="8"/>
  <c r="GE75" i="8"/>
  <c r="GV75" i="8"/>
  <c r="GI75" i="8"/>
  <c r="HE75" i="8"/>
  <c r="GW75" i="8"/>
  <c r="HJ75" i="8"/>
  <c r="HV75" i="8"/>
  <c r="HQ75" i="8"/>
  <c r="GG75" i="8"/>
  <c r="GT75" i="8"/>
  <c r="HI75" i="8"/>
  <c r="GU75" i="8"/>
  <c r="GV74" i="8"/>
  <c r="HQ74" i="8"/>
  <c r="HG74" i="8"/>
  <c r="GJ74" i="8"/>
  <c r="GI74" i="8"/>
  <c r="GG74" i="8"/>
  <c r="GY74" i="8"/>
  <c r="GR74" i="8"/>
  <c r="HJ74" i="8"/>
  <c r="HB74" i="8"/>
  <c r="GL74" i="8"/>
  <c r="GE74" i="8"/>
  <c r="HV74" i="8"/>
  <c r="HE74" i="8"/>
  <c r="GO74" i="8"/>
  <c r="GW74" i="8"/>
  <c r="GT74" i="8"/>
  <c r="HS74" i="8"/>
  <c r="GF74" i="8"/>
  <c r="GE73" i="8"/>
  <c r="GI73" i="8"/>
  <c r="GT73" i="8"/>
  <c r="HS73" i="8"/>
  <c r="HJ73" i="8"/>
  <c r="GL73" i="8"/>
  <c r="HB73" i="8"/>
  <c r="HQ73" i="8"/>
  <c r="GW73" i="8"/>
  <c r="HG73" i="8"/>
  <c r="HA73" i="8"/>
  <c r="HE73" i="8"/>
  <c r="GO73" i="8"/>
  <c r="GY73" i="8"/>
  <c r="GN73" i="8"/>
  <c r="GG73" i="8"/>
  <c r="GR73" i="8"/>
  <c r="GV73" i="8"/>
  <c r="HV73" i="8"/>
  <c r="GJ73" i="8"/>
  <c r="GE72" i="8"/>
  <c r="GV72" i="8"/>
  <c r="GH72" i="8"/>
  <c r="GR72" i="8"/>
  <c r="HE72" i="8"/>
  <c r="GG72" i="8"/>
  <c r="GJ72" i="8"/>
  <c r="HS72" i="8"/>
  <c r="GL72" i="8"/>
  <c r="GI72" i="8"/>
  <c r="HB72" i="8"/>
  <c r="HG72" i="8"/>
  <c r="GU72" i="8"/>
  <c r="HJ72" i="8"/>
  <c r="GO72" i="8"/>
  <c r="HV72" i="8"/>
  <c r="GW72" i="8"/>
  <c r="CV71" i="10"/>
  <c r="GJ71" i="8"/>
  <c r="HQ71" i="8"/>
  <c r="HB71" i="8"/>
  <c r="GO71" i="8"/>
  <c r="GL71" i="8"/>
  <c r="HE71" i="8"/>
  <c r="GI71" i="8"/>
  <c r="GE71" i="8"/>
  <c r="HV71" i="8"/>
  <c r="HS71" i="8"/>
  <c r="HI71" i="8"/>
  <c r="GF71" i="8"/>
  <c r="GG71" i="8"/>
  <c r="HG71" i="8"/>
  <c r="GN71" i="8"/>
  <c r="GH71" i="8"/>
  <c r="GY71" i="8"/>
  <c r="GM71" i="8"/>
  <c r="HF71" i="8"/>
  <c r="GR71" i="8"/>
  <c r="GV71" i="8"/>
  <c r="HJ71" i="8"/>
  <c r="GW71" i="8"/>
  <c r="GT71" i="8"/>
  <c r="GU71" i="8"/>
  <c r="BQ70" i="10"/>
  <c r="BS70" i="10" s="1"/>
  <c r="HE70" i="8"/>
  <c r="GG70" i="8"/>
  <c r="GJ70" i="8"/>
  <c r="HS70" i="8"/>
  <c r="HQ70" i="8"/>
  <c r="GE70" i="8"/>
  <c r="GW70" i="8"/>
  <c r="GO70" i="8"/>
  <c r="GI70" i="8"/>
  <c r="HJ70" i="8"/>
  <c r="HV70" i="8"/>
  <c r="GT70" i="8"/>
  <c r="HG70" i="8"/>
  <c r="HB70" i="8"/>
  <c r="GR70" i="8"/>
  <c r="GV70" i="8"/>
  <c r="BQ69" i="10"/>
  <c r="BS69" i="10" s="1"/>
  <c r="GV69" i="8"/>
  <c r="GW69" i="8"/>
  <c r="HG69" i="8"/>
  <c r="GM69" i="8"/>
  <c r="HQ69" i="8"/>
  <c r="GR69" i="8"/>
  <c r="GN69" i="8"/>
  <c r="GL69" i="8"/>
  <c r="GY69" i="8"/>
  <c r="HF69" i="8"/>
  <c r="HB69" i="8"/>
  <c r="GI69" i="8"/>
  <c r="GT69" i="8"/>
  <c r="GF69" i="8"/>
  <c r="HY69" i="8"/>
  <c r="GG69" i="8"/>
  <c r="HE69" i="8"/>
  <c r="GE69" i="8"/>
  <c r="GO69" i="8"/>
  <c r="HJ69" i="8"/>
  <c r="GJ69" i="8"/>
  <c r="HS69" i="8"/>
  <c r="HA69" i="8"/>
  <c r="GZ69" i="8"/>
  <c r="HM69" i="8"/>
  <c r="HR69" i="8"/>
  <c r="CF68" i="10"/>
  <c r="CW68" i="10"/>
  <c r="ES68" i="10" s="1"/>
  <c r="ER68" i="10"/>
  <c r="EL68" i="10"/>
  <c r="HJ68" i="8"/>
  <c r="GG68" i="8"/>
  <c r="GV68" i="8"/>
  <c r="GW68" i="8"/>
  <c r="HE68" i="8"/>
  <c r="GO68" i="8"/>
  <c r="HV68" i="8"/>
  <c r="GT68" i="8"/>
  <c r="HS68" i="8"/>
  <c r="HA68" i="8"/>
  <c r="GF68" i="8"/>
  <c r="GJ68" i="8"/>
  <c r="HG68" i="8"/>
  <c r="GN68" i="8"/>
  <c r="GE68" i="8"/>
  <c r="GI68" i="8"/>
  <c r="GR68" i="8"/>
  <c r="HB68" i="8"/>
  <c r="BQ67" i="10"/>
  <c r="BS67" i="10" s="1"/>
  <c r="BC65" i="10"/>
  <c r="CW64" i="10"/>
  <c r="ES64" i="10" s="1"/>
  <c r="ER63" i="10"/>
  <c r="CW63" i="10"/>
  <c r="ES63" i="10" s="1"/>
  <c r="BA62" i="10"/>
  <c r="BC62" i="10" s="1"/>
  <c r="BQ61" i="10"/>
  <c r="BS61" i="10" s="1"/>
  <c r="BA61" i="10"/>
  <c r="BC61" i="10" s="1"/>
  <c r="CW60" i="10"/>
  <c r="ES60" i="10" s="1"/>
  <c r="ER60" i="10"/>
  <c r="EL60" i="10"/>
  <c r="BF59" i="10"/>
  <c r="CV59" i="10"/>
  <c r="BQ58" i="10"/>
  <c r="BS58" i="10" s="1"/>
  <c r="BC58" i="10"/>
  <c r="BQ57" i="10"/>
  <c r="BS57" i="10" s="1"/>
  <c r="BF57" i="10"/>
  <c r="BA57" i="10"/>
  <c r="BC57" i="10" s="1"/>
  <c r="BF56" i="10"/>
  <c r="CW52" i="10"/>
  <c r="ES52" i="10" s="1"/>
  <c r="ER52" i="10"/>
  <c r="CV50" i="10"/>
  <c r="CW50" i="10" s="1"/>
  <c r="ES50" i="10" s="1"/>
  <c r="EK50" i="10"/>
  <c r="GG50" i="8"/>
  <c r="HB50" i="8"/>
  <c r="GO50" i="8"/>
  <c r="GL50" i="8"/>
  <c r="HQ50" i="8"/>
  <c r="GE50" i="8"/>
  <c r="GW50" i="8"/>
  <c r="HI50" i="8"/>
  <c r="HS50" i="8"/>
  <c r="GJ50" i="8"/>
  <c r="GH50" i="8"/>
  <c r="HG50" i="8"/>
  <c r="GF50" i="8"/>
  <c r="GI50" i="8"/>
  <c r="GV50" i="8"/>
  <c r="HE50" i="8"/>
  <c r="GT50" i="8"/>
  <c r="GU50" i="8"/>
  <c r="HV49" i="8"/>
  <c r="HB49" i="8"/>
  <c r="GT49" i="8"/>
  <c r="GV49" i="8"/>
  <c r="HE49" i="8"/>
  <c r="GJ49" i="8"/>
  <c r="GG49" i="8"/>
  <c r="HS49" i="8"/>
  <c r="GY49" i="8"/>
  <c r="GZ49" i="8"/>
  <c r="GR49" i="8"/>
  <c r="HQ49" i="8"/>
  <c r="GO49" i="8"/>
  <c r="HG49" i="8"/>
  <c r="GI49" i="8"/>
  <c r="GE49" i="8"/>
  <c r="HJ49" i="8"/>
  <c r="GW49" i="8"/>
  <c r="GN49" i="8"/>
  <c r="GL49" i="8"/>
  <c r="GM49" i="8"/>
  <c r="GE48" i="8"/>
  <c r="HB48" i="8"/>
  <c r="HJ48" i="8"/>
  <c r="GT48" i="8"/>
  <c r="GW48" i="8"/>
  <c r="GO48" i="8"/>
  <c r="GR48" i="8"/>
  <c r="HS48" i="8"/>
  <c r="GV48" i="8"/>
  <c r="GJ48" i="8"/>
  <c r="HG48" i="8"/>
  <c r="HV48" i="8"/>
  <c r="GG48" i="8"/>
  <c r="HE48" i="8"/>
  <c r="BQ47" i="10"/>
  <c r="BS47" i="10" s="1"/>
  <c r="BA47" i="10"/>
  <c r="BC47" i="10" s="1"/>
  <c r="GO47" i="8"/>
  <c r="GV47" i="8"/>
  <c r="HG47" i="8"/>
  <c r="GJ47" i="8"/>
  <c r="GR47" i="8"/>
  <c r="HV47" i="8"/>
  <c r="GY47" i="8"/>
  <c r="GU47" i="8"/>
  <c r="GH47" i="8"/>
  <c r="GF47" i="8"/>
  <c r="GM47" i="8"/>
  <c r="HB47" i="8"/>
  <c r="GG47" i="8"/>
  <c r="GT47" i="8"/>
  <c r="HE47" i="8"/>
  <c r="GI47" i="8"/>
  <c r="GW47" i="8"/>
  <c r="GL47" i="8"/>
  <c r="HJ47" i="8"/>
  <c r="HQ47" i="8"/>
  <c r="GE47" i="8"/>
  <c r="HS47" i="8"/>
  <c r="HI47" i="8"/>
  <c r="GZ47" i="8"/>
  <c r="GS47" i="8"/>
  <c r="ER46" i="10"/>
  <c r="CD45" i="10"/>
  <c r="CF45" i="10" s="1"/>
  <c r="CV45" i="10"/>
  <c r="ER45" i="10" s="1"/>
  <c r="BC45" i="10"/>
  <c r="CW44" i="10"/>
  <c r="ES44" i="10" s="1"/>
  <c r="CD44" i="10"/>
  <c r="CF44" i="10" s="1"/>
  <c r="D4" i="24"/>
  <c r="D8" i="24"/>
  <c r="C5" i="22"/>
  <c r="C4" i="22"/>
  <c r="D7" i="24"/>
  <c r="D5" i="24"/>
  <c r="D24" i="24"/>
  <c r="C24" i="22"/>
  <c r="HE38" i="8"/>
  <c r="GT38" i="8"/>
  <c r="HJ38" i="8"/>
  <c r="GG38" i="8"/>
  <c r="GR38" i="8"/>
  <c r="GJ38" i="8"/>
  <c r="GL38" i="8"/>
  <c r="HG38" i="8"/>
  <c r="GE38" i="8"/>
  <c r="HB38" i="8"/>
  <c r="GO38" i="8"/>
  <c r="HA38" i="8"/>
  <c r="GM38" i="8"/>
  <c r="GI38" i="8"/>
  <c r="GF38" i="8"/>
  <c r="GW38" i="8"/>
  <c r="GS38" i="8"/>
  <c r="GN38" i="8"/>
  <c r="HQ38" i="8"/>
  <c r="GV38" i="8"/>
  <c r="HV38" i="8"/>
  <c r="HS38" i="8"/>
  <c r="CV37" i="10"/>
  <c r="CW36" i="10"/>
  <c r="ES36" i="10" s="1"/>
  <c r="ER36" i="10"/>
  <c r="EL36" i="10"/>
  <c r="BQ36" i="10"/>
  <c r="BS36" i="10" s="1"/>
  <c r="BA36" i="10"/>
  <c r="BC36" i="10" s="1"/>
  <c r="CD35" i="10"/>
  <c r="CF35" i="10" s="1"/>
  <c r="EL35" i="10"/>
  <c r="BS33" i="10"/>
  <c r="CF32" i="10"/>
  <c r="ER32" i="10"/>
  <c r="CV31" i="10"/>
  <c r="CD31" i="10"/>
  <c r="CF31" i="10" s="1"/>
  <c r="GO31" i="8"/>
  <c r="HB31" i="8"/>
  <c r="GJ31" i="8"/>
  <c r="HJ31" i="8"/>
  <c r="GU31" i="8"/>
  <c r="GV31" i="8"/>
  <c r="GG31" i="8"/>
  <c r="GR31" i="8"/>
  <c r="HI31" i="8"/>
  <c r="HQ31" i="8"/>
  <c r="GI31" i="8"/>
  <c r="GW31" i="8"/>
  <c r="HS31" i="8"/>
  <c r="GH31" i="8"/>
  <c r="GT31" i="8"/>
  <c r="GE31" i="8"/>
  <c r="HE31" i="8"/>
  <c r="HG31" i="8"/>
  <c r="HV31" i="8"/>
  <c r="GV30" i="8"/>
  <c r="HE30" i="8"/>
  <c r="GH30" i="8"/>
  <c r="GT30" i="8"/>
  <c r="GW30" i="8"/>
  <c r="HB30" i="8"/>
  <c r="GE30" i="8"/>
  <c r="GG30" i="8"/>
  <c r="GJ30" i="8"/>
  <c r="HJ30" i="8"/>
  <c r="GO30" i="8"/>
  <c r="GI30" i="8"/>
  <c r="HI30" i="8"/>
  <c r="HS30" i="8"/>
  <c r="HV30" i="8"/>
  <c r="GR30" i="8"/>
  <c r="HQ30" i="8"/>
  <c r="GU30" i="8"/>
  <c r="HG30" i="8"/>
  <c r="ER29" i="10"/>
  <c r="CV28" i="10"/>
  <c r="ER27" i="10"/>
  <c r="CD27" i="10"/>
  <c r="CF27" i="10" s="1"/>
  <c r="BA27" i="10"/>
  <c r="BC27" i="10" s="1"/>
  <c r="BS25" i="10"/>
  <c r="CV25" i="10"/>
  <c r="BC25" i="10"/>
  <c r="CD24" i="10"/>
  <c r="CF24" i="10" s="1"/>
  <c r="CQ88" i="10"/>
  <c r="CQ86" i="10"/>
  <c r="CQ87" i="10"/>
  <c r="CV24" i="10"/>
  <c r="BA22" i="10"/>
  <c r="BC22" i="10" s="1"/>
  <c r="CD21" i="10"/>
  <c r="CF21" i="10" s="1"/>
  <c r="CN88" i="10"/>
  <c r="CN87" i="10"/>
  <c r="CV21" i="10"/>
  <c r="CV19" i="10"/>
  <c r="ER19" i="10" s="1"/>
  <c r="CO86" i="10"/>
  <c r="CV18" i="10"/>
  <c r="CO87" i="10"/>
  <c r="CO88" i="10"/>
  <c r="CV17" i="10"/>
  <c r="BS17" i="10"/>
  <c r="CD16" i="10"/>
  <c r="CF16" i="10" s="1"/>
  <c r="BQ15" i="10"/>
  <c r="BS15" i="10" s="1"/>
  <c r="BA14" i="10"/>
  <c r="BC14" i="10" s="1"/>
  <c r="CV12" i="10"/>
  <c r="CF10" i="10"/>
  <c r="CV10" i="10"/>
  <c r="BQ8" i="10"/>
  <c r="BS8" i="10" s="1"/>
  <c r="BA8" i="10"/>
  <c r="BC8" i="10" s="1"/>
  <c r="ER6" i="10"/>
  <c r="CW6" i="10"/>
  <c r="ES6" i="10" s="1"/>
  <c r="BQ5" i="10"/>
  <c r="BS5" i="10" s="1"/>
  <c r="CP88" i="10"/>
  <c r="CV4" i="10"/>
  <c r="CP86" i="10"/>
  <c r="CP87" i="10"/>
  <c r="BQ4" i="10"/>
  <c r="BS4" i="10" s="1"/>
  <c r="EQ8" i="9"/>
  <c r="EP8" i="9"/>
  <c r="ER8" i="9"/>
  <c r="AU8" i="9"/>
  <c r="ES8" i="9"/>
  <c r="BO71" i="8" l="1"/>
  <c r="IK71" i="8"/>
  <c r="O87" i="9"/>
  <c r="P87" i="9" s="1"/>
  <c r="AM87" i="9"/>
  <c r="CW52" i="9"/>
  <c r="AI52" i="8" s="1"/>
  <c r="P52" i="8"/>
  <c r="CV52" i="9"/>
  <c r="V52" i="8" s="1"/>
  <c r="BJ52" i="8" s="1"/>
  <c r="AE87" i="9"/>
  <c r="H5" i="24"/>
  <c r="G24" i="22"/>
  <c r="BU59" i="9"/>
  <c r="T59" i="8" s="1"/>
  <c r="BH59" i="8" s="1"/>
  <c r="I88" i="11"/>
  <c r="G88" i="11"/>
  <c r="H88" i="11"/>
  <c r="AM81" i="9"/>
  <c r="AP81" i="9" s="1"/>
  <c r="O81" i="9"/>
  <c r="P81" i="9" s="1"/>
  <c r="ER30" i="10"/>
  <c r="CW30" i="10"/>
  <c r="ES30" i="10" s="1"/>
  <c r="BK4" i="9"/>
  <c r="C87" i="22"/>
  <c r="E87" i="22" s="1"/>
  <c r="A88" i="22"/>
  <c r="ER39" i="10"/>
  <c r="CW39" i="10"/>
  <c r="ES39" i="10" s="1"/>
  <c r="Z82" i="9"/>
  <c r="AA82" i="9" s="1"/>
  <c r="CQ82" i="9" s="1"/>
  <c r="Y82" i="9"/>
  <c r="AB82" i="9"/>
  <c r="S82" i="9"/>
  <c r="AJ82" i="9" s="1"/>
  <c r="R82" i="9"/>
  <c r="U82" i="9" s="1"/>
  <c r="FS16" i="8"/>
  <c r="EK16" i="8"/>
  <c r="FS40" i="8"/>
  <c r="EK40" i="8"/>
  <c r="K36" i="8"/>
  <c r="AX36" i="8" s="1"/>
  <c r="AN36" i="9"/>
  <c r="AU36" i="9" s="1"/>
  <c r="BU58" i="8"/>
  <c r="FG58" i="8"/>
  <c r="CA10" i="8"/>
  <c r="FM10" i="8"/>
  <c r="CW83" i="10"/>
  <c r="ES83" i="10" s="1"/>
  <c r="ER83" i="10"/>
  <c r="AJ76" i="8"/>
  <c r="BI76" i="9"/>
  <c r="E59" i="22"/>
  <c r="G59" i="22"/>
  <c r="A60" i="22"/>
  <c r="C59" i="22"/>
  <c r="W4" i="8"/>
  <c r="BK4" i="8" s="1"/>
  <c r="Q4" i="8"/>
  <c r="BE4" i="8" s="1"/>
  <c r="C89" i="24"/>
  <c r="E89" i="24" s="1"/>
  <c r="A90" i="24"/>
  <c r="ER26" i="10"/>
  <c r="CW26" i="10"/>
  <c r="ES26" i="10" s="1"/>
  <c r="ER75" i="10"/>
  <c r="CW75" i="10"/>
  <c r="ES75" i="10" s="1"/>
  <c r="CV58" i="9"/>
  <c r="V58" i="8" s="1"/>
  <c r="BJ58" i="8" s="1"/>
  <c r="P58" i="8"/>
  <c r="CW58" i="9"/>
  <c r="AI58" i="8" s="1"/>
  <c r="FS79" i="8"/>
  <c r="HQ79" i="8" s="1"/>
  <c r="EK79" i="8"/>
  <c r="Q52" i="8"/>
  <c r="BE52" i="8" s="1"/>
  <c r="W52" i="8"/>
  <c r="BK52" i="8" s="1"/>
  <c r="FS4" i="8"/>
  <c r="DY90" i="8"/>
  <c r="EK4" i="8"/>
  <c r="FS12" i="8"/>
  <c r="EK12" i="8"/>
  <c r="FS20" i="8"/>
  <c r="EK20" i="8"/>
  <c r="FS36" i="8"/>
  <c r="EK36" i="8"/>
  <c r="FS68" i="8"/>
  <c r="HQ68" i="8" s="1"/>
  <c r="EK68" i="8"/>
  <c r="IP71" i="8"/>
  <c r="CW71" i="8"/>
  <c r="FS64" i="8"/>
  <c r="EK64" i="8"/>
  <c r="FS80" i="8"/>
  <c r="HQ80" i="8" s="1"/>
  <c r="EK80" i="8"/>
  <c r="ED24" i="8"/>
  <c r="FF24" i="8"/>
  <c r="BT24" i="8"/>
  <c r="ED30" i="9"/>
  <c r="EE30" i="9"/>
  <c r="CL58" i="8"/>
  <c r="BL58" i="8"/>
  <c r="FG39" i="8"/>
  <c r="BU39" i="8"/>
  <c r="AG36" i="8"/>
  <c r="CJ68" i="9"/>
  <c r="EN6" i="8"/>
  <c r="CV29" i="9"/>
  <c r="V29" i="8" s="1"/>
  <c r="BJ29" i="8" s="1"/>
  <c r="P17" i="8"/>
  <c r="U18" i="9"/>
  <c r="DL18" i="9" s="1"/>
  <c r="AO18" i="8" s="1"/>
  <c r="U70" i="9"/>
  <c r="CY88" i="9"/>
  <c r="CZ88" i="9"/>
  <c r="BJ88" i="9"/>
  <c r="BC88" i="9"/>
  <c r="BE88" i="9" s="1"/>
  <c r="X88" i="9"/>
  <c r="BQ88" i="9"/>
  <c r="BU88" i="9" s="1"/>
  <c r="BC87" i="9"/>
  <c r="BE87" i="9" s="1"/>
  <c r="BK87" i="9" s="1"/>
  <c r="BQ87" i="9"/>
  <c r="BU87" i="9" s="1"/>
  <c r="DK54" i="7"/>
  <c r="CS54" i="11" s="1"/>
  <c r="BY54" i="11" s="1"/>
  <c r="DL15" i="7"/>
  <c r="CT15" i="11" s="1"/>
  <c r="DL14" i="7"/>
  <c r="CT14" i="11" s="1"/>
  <c r="DA14" i="11" s="1"/>
  <c r="A9" i="24"/>
  <c r="B8" i="24"/>
  <c r="F8" i="24"/>
  <c r="CW72" i="10"/>
  <c r="ES72" i="10" s="1"/>
  <c r="ER72" i="10"/>
  <c r="A7" i="22"/>
  <c r="E6" i="22"/>
  <c r="F59" i="24"/>
  <c r="A60" i="24"/>
  <c r="B59" i="24"/>
  <c r="H59" i="24"/>
  <c r="D59" i="24"/>
  <c r="CW23" i="10"/>
  <c r="ES23" i="10" s="1"/>
  <c r="ER23" i="10"/>
  <c r="ER76" i="10"/>
  <c r="CW76" i="10"/>
  <c r="ES76" i="10" s="1"/>
  <c r="BK76" i="9"/>
  <c r="CW70" i="9"/>
  <c r="AI70" i="8" s="1"/>
  <c r="P70" i="8"/>
  <c r="Q46" i="8"/>
  <c r="BE46" i="8" s="1"/>
  <c r="W46" i="8"/>
  <c r="BK46" i="8" s="1"/>
  <c r="BK46" i="9"/>
  <c r="BU67" i="8"/>
  <c r="FG67" i="8"/>
  <c r="DW79" i="9"/>
  <c r="BT79" i="9"/>
  <c r="EC79" i="9"/>
  <c r="BR79" i="9"/>
  <c r="FS60" i="8"/>
  <c r="EK60" i="8"/>
  <c r="FS72" i="8"/>
  <c r="HQ72" i="8" s="1"/>
  <c r="EK72" i="8"/>
  <c r="FS76" i="8"/>
  <c r="HQ76" i="8" s="1"/>
  <c r="EK76" i="8"/>
  <c r="Q13" i="8"/>
  <c r="BE13" i="8" s="1"/>
  <c r="W13" i="8"/>
  <c r="BK13" i="8" s="1"/>
  <c r="BK13" i="9"/>
  <c r="ED50" i="8"/>
  <c r="FF50" i="8"/>
  <c r="GR50" i="8" s="1"/>
  <c r="BT50" i="8"/>
  <c r="FS48" i="8"/>
  <c r="HQ48" i="8" s="1"/>
  <c r="EK48" i="8"/>
  <c r="DH19" i="9"/>
  <c r="AM19" i="8" s="1"/>
  <c r="BK88" i="9"/>
  <c r="DA80" i="9"/>
  <c r="BU73" i="9"/>
  <c r="U75" i="9"/>
  <c r="AR88" i="9"/>
  <c r="F88" i="8" s="1"/>
  <c r="AS88" i="8" s="1"/>
  <c r="S88" i="8"/>
  <c r="BG88" i="8" s="1"/>
  <c r="DL61" i="7"/>
  <c r="CT61" i="11" s="1"/>
  <c r="O65" i="9"/>
  <c r="P65" i="9" s="1"/>
  <c r="AM65" i="9"/>
  <c r="AP65" i="9" s="1"/>
  <c r="M65" i="8" s="1"/>
  <c r="AZ65" i="8" s="1"/>
  <c r="AJ82" i="8"/>
  <c r="BI82" i="9"/>
  <c r="ER43" i="10"/>
  <c r="CW43" i="10"/>
  <c r="ES43" i="10" s="1"/>
  <c r="CW67" i="10"/>
  <c r="ES67" i="10" s="1"/>
  <c r="ER67" i="10"/>
  <c r="CW56" i="10"/>
  <c r="ES56" i="10" s="1"/>
  <c r="ER56" i="10"/>
  <c r="T82" i="9"/>
  <c r="AL82" i="9" s="1"/>
  <c r="FS24" i="8"/>
  <c r="EK24" i="8"/>
  <c r="FS52" i="8"/>
  <c r="EK52" i="8"/>
  <c r="FS84" i="8"/>
  <c r="EK84" i="8"/>
  <c r="AA15" i="9"/>
  <c r="CQ15" i="9" s="1"/>
  <c r="ED59" i="9"/>
  <c r="EE59" i="9"/>
  <c r="AA81" i="9"/>
  <c r="CD81" i="9" s="1"/>
  <c r="CF81" i="9" s="1"/>
  <c r="EE77" i="9"/>
  <c r="ED77" i="9"/>
  <c r="CS79" i="8"/>
  <c r="CY79" i="8" s="1"/>
  <c r="BN79" i="8"/>
  <c r="CW73" i="9"/>
  <c r="AI73" i="8" s="1"/>
  <c r="P73" i="8"/>
  <c r="CV73" i="9"/>
  <c r="V73" i="8" s="1"/>
  <c r="BJ73" i="8" s="1"/>
  <c r="P62" i="8"/>
  <c r="CW62" i="9"/>
  <c r="AI62" i="8" s="1"/>
  <c r="FM68" i="8"/>
  <c r="GY68" i="8" s="1"/>
  <c r="GL68" i="8"/>
  <c r="CA68" i="8"/>
  <c r="CV84" i="9"/>
  <c r="V84" i="8" s="1"/>
  <c r="BJ84" i="8" s="1"/>
  <c r="P84" i="8"/>
  <c r="CW84" i="9"/>
  <c r="AI84" i="8" s="1"/>
  <c r="AL49" i="8"/>
  <c r="GK49" i="8" s="1"/>
  <c r="J49" i="8"/>
  <c r="CC18" i="8"/>
  <c r="FO18" i="8"/>
  <c r="DC4" i="9"/>
  <c r="EE54" i="9"/>
  <c r="ED54" i="9"/>
  <c r="EE9" i="9"/>
  <c r="ED9" i="9"/>
  <c r="FX84" i="8"/>
  <c r="EN84" i="8"/>
  <c r="DV73" i="9"/>
  <c r="DU73" i="9"/>
  <c r="DU62" i="9"/>
  <c r="DV62" i="9"/>
  <c r="FM81" i="9"/>
  <c r="G81" i="8"/>
  <c r="AG81" i="8"/>
  <c r="CC81" i="9"/>
  <c r="CE81" i="9" s="1"/>
  <c r="DC51" i="9"/>
  <c r="DI51" i="9" s="1"/>
  <c r="AA51" i="8" s="1"/>
  <c r="BO51" i="8" s="1"/>
  <c r="AO51" i="9"/>
  <c r="U54" i="9"/>
  <c r="AC54" i="9"/>
  <c r="FM46" i="8"/>
  <c r="CA46" i="8"/>
  <c r="CW23" i="9"/>
  <c r="AI23" i="8" s="1"/>
  <c r="P23" i="8"/>
  <c r="CV23" i="9"/>
  <c r="V23" i="8" s="1"/>
  <c r="BJ23" i="8" s="1"/>
  <c r="DD79" i="9"/>
  <c r="DC79" i="9"/>
  <c r="AK37" i="9"/>
  <c r="DA37" i="9"/>
  <c r="DB37" i="9"/>
  <c r="DD62" i="9"/>
  <c r="DC62" i="9"/>
  <c r="DI62" i="9" s="1"/>
  <c r="AA62" i="8" s="1"/>
  <c r="BO62" i="8" s="1"/>
  <c r="AO62" i="9"/>
  <c r="L62" i="8" s="1"/>
  <c r="AY62" i="8" s="1"/>
  <c r="DD78" i="9"/>
  <c r="DC78" i="9"/>
  <c r="DI78" i="9" s="1"/>
  <c r="AA78" i="8" s="1"/>
  <c r="BO78" i="8" s="1"/>
  <c r="AN78" i="9"/>
  <c r="AU78" i="9" s="1"/>
  <c r="T78" i="8" s="1"/>
  <c r="BH78" i="8" s="1"/>
  <c r="Z86" i="9"/>
  <c r="BA35" i="9"/>
  <c r="BG33" i="8"/>
  <c r="EX33" i="9"/>
  <c r="EW33" i="9"/>
  <c r="EE37" i="9"/>
  <c r="ED37" i="9"/>
  <c r="AM4" i="9"/>
  <c r="AP4" i="9" s="1"/>
  <c r="M4" i="8" s="1"/>
  <c r="AZ4" i="8" s="1"/>
  <c r="O4" i="9"/>
  <c r="P4" i="9" s="1"/>
  <c r="FF15" i="8"/>
  <c r="BT15" i="8"/>
  <c r="ED15" i="8"/>
  <c r="EE13" i="9"/>
  <c r="ED13" i="9"/>
  <c r="DY41" i="9"/>
  <c r="DX41" i="9"/>
  <c r="EX78" i="9"/>
  <c r="BG78" i="8"/>
  <c r="EW78" i="9"/>
  <c r="DY48" i="9"/>
  <c r="DX48" i="9"/>
  <c r="EE76" i="9"/>
  <c r="ED76" i="9"/>
  <c r="AL26" i="9"/>
  <c r="AE26" i="9"/>
  <c r="BE6" i="8"/>
  <c r="BF6" i="8" s="1"/>
  <c r="R6" i="8"/>
  <c r="AJ84" i="9"/>
  <c r="AD84" i="9"/>
  <c r="BV64" i="8"/>
  <c r="FH64" i="8"/>
  <c r="DD51" i="9"/>
  <c r="DJ51" i="9" s="1"/>
  <c r="AN51" i="8" s="1"/>
  <c r="BV65" i="8"/>
  <c r="FH65" i="8"/>
  <c r="DZ38" i="8"/>
  <c r="CB38" i="8"/>
  <c r="FN38" i="8"/>
  <c r="GZ38" i="8" s="1"/>
  <c r="AN72" i="9"/>
  <c r="AU72" i="9" s="1"/>
  <c r="K72" i="8"/>
  <c r="AX72" i="8" s="1"/>
  <c r="U30" i="9"/>
  <c r="K64" i="8"/>
  <c r="AX64" i="8" s="1"/>
  <c r="AN64" i="9"/>
  <c r="AU64" i="9" s="1"/>
  <c r="DG17" i="9"/>
  <c r="Z17" i="8" s="1"/>
  <c r="DH17" i="9"/>
  <c r="AM17" i="8" s="1"/>
  <c r="K17" i="8"/>
  <c r="AX17" i="8" s="1"/>
  <c r="AN17" i="9"/>
  <c r="AU17" i="9" s="1"/>
  <c r="DH34" i="9"/>
  <c r="AM34" i="8" s="1"/>
  <c r="DG34" i="9"/>
  <c r="Z34" i="8" s="1"/>
  <c r="K34" i="8"/>
  <c r="AX34" i="8" s="1"/>
  <c r="AN34" i="9"/>
  <c r="AU34" i="9" s="1"/>
  <c r="BA77" i="9"/>
  <c r="DJ62" i="9"/>
  <c r="AN62" i="8" s="1"/>
  <c r="FK9" i="9"/>
  <c r="BX9" i="8"/>
  <c r="AM8" i="9"/>
  <c r="AP8" i="9" s="1"/>
  <c r="M8" i="8" s="1"/>
  <c r="AZ8" i="8" s="1"/>
  <c r="O8" i="9"/>
  <c r="P8" i="9" s="1"/>
  <c r="O47" i="9"/>
  <c r="P47" i="9" s="1"/>
  <c r="AM47" i="9"/>
  <c r="AP47" i="9" s="1"/>
  <c r="FF17" i="8"/>
  <c r="BT17" i="8"/>
  <c r="ED17" i="8"/>
  <c r="DY50" i="9"/>
  <c r="DX50" i="9"/>
  <c r="EE48" i="9"/>
  <c r="ED48" i="9"/>
  <c r="EB73" i="9"/>
  <c r="EA73" i="9"/>
  <c r="K26" i="8"/>
  <c r="AX26" i="8" s="1"/>
  <c r="DH26" i="9"/>
  <c r="AM26" i="8" s="1"/>
  <c r="DG26" i="9"/>
  <c r="Z26" i="8" s="1"/>
  <c r="U84" i="9"/>
  <c r="AC84" i="9"/>
  <c r="EH51" i="9"/>
  <c r="EY51" i="9" s="1"/>
  <c r="CB51" i="9"/>
  <c r="CG51" i="9" s="1"/>
  <c r="X51" i="8" s="1"/>
  <c r="EJ51" i="9"/>
  <c r="FA51" i="9" s="1"/>
  <c r="AG51" i="8"/>
  <c r="CD51" i="9"/>
  <c r="CF51" i="9" s="1"/>
  <c r="EI51" i="9"/>
  <c r="EZ51" i="9" s="1"/>
  <c r="EK51" i="9"/>
  <c r="FB51" i="9" s="1"/>
  <c r="AQ38" i="9"/>
  <c r="BA38" i="9" s="1"/>
  <c r="L38" i="8"/>
  <c r="AY38" i="8" s="1"/>
  <c r="DB66" i="9"/>
  <c r="DA66" i="9"/>
  <c r="AN66" i="9"/>
  <c r="AU66" i="9" s="1"/>
  <c r="AK66" i="9"/>
  <c r="AK15" i="9"/>
  <c r="DB15" i="9"/>
  <c r="CA7" i="8"/>
  <c r="FM7" i="8"/>
  <c r="CS19" i="8"/>
  <c r="CY19" i="8" s="1"/>
  <c r="BN19" i="8"/>
  <c r="DX74" i="9"/>
  <c r="DY74" i="9"/>
  <c r="AM24" i="9"/>
  <c r="O24" i="9"/>
  <c r="P24" i="9" s="1"/>
  <c r="EE50" i="9"/>
  <c r="ED50" i="9"/>
  <c r="FX69" i="8"/>
  <c r="HV69" i="8" s="1"/>
  <c r="EN69" i="8"/>
  <c r="AN11" i="9"/>
  <c r="AU11" i="9" s="1"/>
  <c r="AK11" i="9"/>
  <c r="DA11" i="9"/>
  <c r="DB11" i="9"/>
  <c r="AA24" i="9"/>
  <c r="CQ24" i="9" s="1"/>
  <c r="BV78" i="8"/>
  <c r="FH78" i="8"/>
  <c r="GT78" i="8" s="1"/>
  <c r="AC75" i="9"/>
  <c r="CY75" i="9"/>
  <c r="CZ75" i="9"/>
  <c r="AE75" i="9"/>
  <c r="AD75" i="9"/>
  <c r="K15" i="8"/>
  <c r="AX15" i="8" s="1"/>
  <c r="AN15" i="9"/>
  <c r="AU15" i="9" s="1"/>
  <c r="DG15" i="9"/>
  <c r="Z15" i="8" s="1"/>
  <c r="DH15" i="9"/>
  <c r="AM15" i="8" s="1"/>
  <c r="DC68" i="9"/>
  <c r="DD68" i="9"/>
  <c r="CS7" i="8"/>
  <c r="CY7" i="8" s="1"/>
  <c r="BN7" i="8"/>
  <c r="CB56" i="8"/>
  <c r="FN56" i="8"/>
  <c r="AD86" i="9"/>
  <c r="EJ50" i="9"/>
  <c r="FA50" i="9" s="1"/>
  <c r="ES72" i="9"/>
  <c r="ER72" i="9"/>
  <c r="FK72" i="9"/>
  <c r="EC72" i="8" s="1"/>
  <c r="HI72" i="8" s="1"/>
  <c r="EF72" i="9"/>
  <c r="EC72" i="9"/>
  <c r="EG72" i="9"/>
  <c r="AA72" i="9"/>
  <c r="DZ72" i="9"/>
  <c r="AM28" i="9"/>
  <c r="AP28" i="9" s="1"/>
  <c r="O28" i="9"/>
  <c r="P28" i="9" s="1"/>
  <c r="BT13" i="8"/>
  <c r="FF13" i="8"/>
  <c r="ED13" i="8"/>
  <c r="ED25" i="9"/>
  <c r="EE25" i="9"/>
  <c r="FF26" i="8"/>
  <c r="ED26" i="8"/>
  <c r="BT26" i="8"/>
  <c r="FF78" i="8"/>
  <c r="GR78" i="8" s="1"/>
  <c r="ED78" i="8"/>
  <c r="BT78" i="8"/>
  <c r="FH72" i="8"/>
  <c r="GT72" i="8" s="1"/>
  <c r="BV72" i="8"/>
  <c r="EE84" i="9"/>
  <c r="ED84" i="9"/>
  <c r="P69" i="8"/>
  <c r="CV69" i="9"/>
  <c r="V69" i="8" s="1"/>
  <c r="BJ69" i="8" s="1"/>
  <c r="CW69" i="9"/>
  <c r="AI69" i="8" s="1"/>
  <c r="CA38" i="8"/>
  <c r="FM38" i="8"/>
  <c r="GY38" i="8" s="1"/>
  <c r="BN50" i="8"/>
  <c r="CS50" i="8"/>
  <c r="CY50" i="8" s="1"/>
  <c r="M6" i="8"/>
  <c r="AZ6" i="8" s="1"/>
  <c r="AQ6" i="9"/>
  <c r="BA6" i="9" s="1"/>
  <c r="U24" i="9"/>
  <c r="AC24" i="9"/>
  <c r="DH28" i="9"/>
  <c r="AM28" i="8" s="1"/>
  <c r="DG28" i="9"/>
  <c r="Z28" i="8" s="1"/>
  <c r="K28" i="8"/>
  <c r="AX28" i="8" s="1"/>
  <c r="AN28" i="9"/>
  <c r="AU28" i="9" s="1"/>
  <c r="CV44" i="9"/>
  <c r="V44" i="8" s="1"/>
  <c r="BJ44" i="8" s="1"/>
  <c r="P44" i="8"/>
  <c r="CW44" i="9"/>
  <c r="AI44" i="8" s="1"/>
  <c r="L65" i="8"/>
  <c r="AY65" i="8" s="1"/>
  <c r="DI52" i="9"/>
  <c r="AA52" i="8" s="1"/>
  <c r="BO52" i="8" s="1"/>
  <c r="DJ52" i="9"/>
  <c r="AN52" i="8" s="1"/>
  <c r="AO52" i="9"/>
  <c r="L52" i="8" s="1"/>
  <c r="AY52" i="8" s="1"/>
  <c r="AF75" i="9"/>
  <c r="AP75" i="9" s="1"/>
  <c r="M75" i="8" s="1"/>
  <c r="AZ75" i="8" s="1"/>
  <c r="AD70" i="9"/>
  <c r="CY70" i="9"/>
  <c r="AF70" i="9"/>
  <c r="AC70" i="9"/>
  <c r="AE70" i="9"/>
  <c r="CZ70" i="9"/>
  <c r="EB59" i="9"/>
  <c r="EA59" i="9"/>
  <c r="CJ51" i="9"/>
  <c r="ED77" i="8"/>
  <c r="BT77" i="8"/>
  <c r="FF77" i="8"/>
  <c r="GR77" i="8" s="1"/>
  <c r="AM32" i="9"/>
  <c r="AP32" i="9" s="1"/>
  <c r="O32" i="9"/>
  <c r="P32" i="9" s="1"/>
  <c r="BT39" i="8"/>
  <c r="ED39" i="8"/>
  <c r="BT76" i="8"/>
  <c r="ED76" i="8"/>
  <c r="FF76" i="8"/>
  <c r="GR76" i="8" s="1"/>
  <c r="EE31" i="9"/>
  <c r="ED31" i="9"/>
  <c r="BN81" i="8"/>
  <c r="CS81" i="8"/>
  <c r="CY81" i="8" s="1"/>
  <c r="CS38" i="8"/>
  <c r="CY38" i="8" s="1"/>
  <c r="CI38" i="8"/>
  <c r="CX38" i="8" s="1"/>
  <c r="BN38" i="8"/>
  <c r="CA50" i="8"/>
  <c r="FM50" i="8"/>
  <c r="GY50" i="8" s="1"/>
  <c r="BV10" i="8"/>
  <c r="FH10" i="8"/>
  <c r="CZ48" i="9"/>
  <c r="AE48" i="9"/>
  <c r="CY48" i="9"/>
  <c r="AD48" i="9"/>
  <c r="AC48" i="9"/>
  <c r="AF48" i="9"/>
  <c r="DC28" i="9"/>
  <c r="DD28" i="9"/>
  <c r="DJ28" i="9" s="1"/>
  <c r="AN28" i="8" s="1"/>
  <c r="AO28" i="9"/>
  <c r="L28" i="8" s="1"/>
  <c r="AY28" i="8" s="1"/>
  <c r="P19" i="8"/>
  <c r="CV19" i="9"/>
  <c r="V19" i="8" s="1"/>
  <c r="BJ19" i="8" s="1"/>
  <c r="CW19" i="9"/>
  <c r="AI19" i="8" s="1"/>
  <c r="DA14" i="9"/>
  <c r="AN14" i="9"/>
  <c r="AU14" i="9" s="1"/>
  <c r="AK14" i="9"/>
  <c r="DB14" i="9"/>
  <c r="CZ18" i="9"/>
  <c r="CY18" i="9"/>
  <c r="DK18" i="9"/>
  <c r="AB18" i="8" s="1"/>
  <c r="BP18" i="8" s="1"/>
  <c r="AE18" i="9"/>
  <c r="AD18" i="9"/>
  <c r="AF18" i="9"/>
  <c r="AP18" i="9" s="1"/>
  <c r="M18" i="8" s="1"/>
  <c r="AZ18" i="8" s="1"/>
  <c r="BN68" i="8"/>
  <c r="CS68" i="8"/>
  <c r="CY68" i="8" s="1"/>
  <c r="CB50" i="9"/>
  <c r="CG50" i="9" s="1"/>
  <c r="X50" i="8" s="1"/>
  <c r="ED74" i="9"/>
  <c r="EE74" i="9"/>
  <c r="FF67" i="8"/>
  <c r="BT67" i="8"/>
  <c r="ED67" i="8"/>
  <c r="EA76" i="9"/>
  <c r="EB76" i="9"/>
  <c r="AM50" i="9"/>
  <c r="AP50" i="9" s="1"/>
  <c r="M50" i="8" s="1"/>
  <c r="AZ50" i="8" s="1"/>
  <c r="O50" i="9"/>
  <c r="P50" i="9" s="1"/>
  <c r="DU27" i="9"/>
  <c r="DV27" i="9"/>
  <c r="AA78" i="9"/>
  <c r="CQ9" i="9"/>
  <c r="CD9" i="9"/>
  <c r="CF9" i="9" s="1"/>
  <c r="CJ9" i="9" s="1"/>
  <c r="CA72" i="8"/>
  <c r="FM72" i="8"/>
  <c r="GY72" i="8" s="1"/>
  <c r="DA73" i="9"/>
  <c r="AK73" i="9"/>
  <c r="DJ73" i="9" s="1"/>
  <c r="AN73" i="8" s="1"/>
  <c r="AN73" i="9"/>
  <c r="AU73" i="9" s="1"/>
  <c r="G25" i="8"/>
  <c r="AT25" i="8" s="1"/>
  <c r="EH25" i="9"/>
  <c r="EY25" i="9" s="1"/>
  <c r="EI25" i="9"/>
  <c r="EZ25" i="9" s="1"/>
  <c r="FM25" i="9"/>
  <c r="AG25" i="8"/>
  <c r="CB25" i="9"/>
  <c r="CG25" i="9" s="1"/>
  <c r="X25" i="8" s="1"/>
  <c r="CC25" i="9"/>
  <c r="CE25" i="9" s="1"/>
  <c r="EK25" i="9"/>
  <c r="FB25" i="9" s="1"/>
  <c r="T25" i="8"/>
  <c r="BH25" i="8" s="1"/>
  <c r="CD25" i="9"/>
  <c r="CF25" i="9" s="1"/>
  <c r="EJ25" i="9"/>
  <c r="FA25" i="9" s="1"/>
  <c r="DC20" i="9"/>
  <c r="DD20" i="9"/>
  <c r="AN20" i="9"/>
  <c r="AU20" i="9" s="1"/>
  <c r="AQ22" i="9"/>
  <c r="BA22" i="9" s="1"/>
  <c r="L22" i="8"/>
  <c r="AY22" i="8" s="1"/>
  <c r="EK49" i="9"/>
  <c r="FB49" i="9" s="1"/>
  <c r="T49" i="8"/>
  <c r="BH49" i="8" s="1"/>
  <c r="EJ49" i="9"/>
  <c r="FA49" i="9" s="1"/>
  <c r="EI49" i="9"/>
  <c r="EZ49" i="9" s="1"/>
  <c r="G49" i="8"/>
  <c r="AT49" i="8" s="1"/>
  <c r="FM49" i="9"/>
  <c r="EH49" i="9"/>
  <c r="EY49" i="9" s="1"/>
  <c r="AG49" i="8"/>
  <c r="AD30" i="9"/>
  <c r="CY30" i="9"/>
  <c r="AC30" i="9"/>
  <c r="AF30" i="9"/>
  <c r="AP30" i="9" s="1"/>
  <c r="M30" i="8" s="1"/>
  <c r="AZ30" i="8" s="1"/>
  <c r="CZ30" i="9"/>
  <c r="AE30" i="9"/>
  <c r="CV39" i="9"/>
  <c r="V39" i="8" s="1"/>
  <c r="BJ39" i="8" s="1"/>
  <c r="P39" i="8"/>
  <c r="CW39" i="9"/>
  <c r="AI39" i="8" s="1"/>
  <c r="DB64" i="9"/>
  <c r="DA64" i="9"/>
  <c r="AK64" i="9"/>
  <c r="DB78" i="9"/>
  <c r="DH78" i="9"/>
  <c r="AM78" i="8" s="1"/>
  <c r="BD26" i="8"/>
  <c r="BF26" i="8" s="1"/>
  <c r="R26" i="8"/>
  <c r="CA20" i="8"/>
  <c r="FM20" i="8"/>
  <c r="T50" i="8"/>
  <c r="BH50" i="8" s="1"/>
  <c r="EN75" i="8"/>
  <c r="AM58" i="9"/>
  <c r="AP58" i="9" s="1"/>
  <c r="M58" i="8" s="1"/>
  <c r="AZ58" i="8" s="1"/>
  <c r="O58" i="9"/>
  <c r="P58" i="9" s="1"/>
  <c r="DY21" i="9"/>
  <c r="DX21" i="9"/>
  <c r="EA27" i="9"/>
  <c r="EB27" i="9"/>
  <c r="EW73" i="9"/>
  <c r="BG73" i="8"/>
  <c r="EX73" i="9"/>
  <c r="DC15" i="9"/>
  <c r="DD15" i="9"/>
  <c r="EW62" i="9"/>
  <c r="BG62" i="8"/>
  <c r="EX62" i="9"/>
  <c r="DI28" i="9"/>
  <c r="AA28" i="8" s="1"/>
  <c r="BO28" i="8" s="1"/>
  <c r="R11" i="8"/>
  <c r="BD11" i="8"/>
  <c r="BF11" i="8" s="1"/>
  <c r="AN46" i="9"/>
  <c r="AU46" i="9" s="1"/>
  <c r="DB46" i="9"/>
  <c r="DA46" i="9"/>
  <c r="AK46" i="9"/>
  <c r="AK79" i="9"/>
  <c r="DA79" i="9"/>
  <c r="AN79" i="9"/>
  <c r="AU79" i="9" s="1"/>
  <c r="DB79" i="9"/>
  <c r="AN37" i="9"/>
  <c r="AU37" i="9" s="1"/>
  <c r="K37" i="8"/>
  <c r="AX37" i="8" s="1"/>
  <c r="DG37" i="9"/>
  <c r="Z37" i="8" s="1"/>
  <c r="DH37" i="9"/>
  <c r="AM37" i="8" s="1"/>
  <c r="DD64" i="9"/>
  <c r="DC64" i="9"/>
  <c r="BU16" i="8"/>
  <c r="FG16" i="8"/>
  <c r="DU59" i="9"/>
  <c r="DV59" i="9"/>
  <c r="AN62" i="9"/>
  <c r="AU62" i="9" s="1"/>
  <c r="T62" i="8" s="1"/>
  <c r="BH62" i="8" s="1"/>
  <c r="EG5" i="8"/>
  <c r="EM5" i="8" s="1"/>
  <c r="FT5" i="8"/>
  <c r="GA5" i="8" s="1"/>
  <c r="EL5" i="8"/>
  <c r="AQ58" i="9"/>
  <c r="BA58" i="9" s="1"/>
  <c r="L58" i="8"/>
  <c r="AY58" i="8" s="1"/>
  <c r="CW79" i="10"/>
  <c r="ES79" i="10" s="1"/>
  <c r="ER79" i="10"/>
  <c r="ER61" i="10"/>
  <c r="CW61" i="10"/>
  <c r="ES61" i="10" s="1"/>
  <c r="Q22" i="21"/>
  <c r="CW53" i="10"/>
  <c r="ES53" i="10" s="1"/>
  <c r="ER53" i="10"/>
  <c r="CW51" i="10"/>
  <c r="ES51" i="10" s="1"/>
  <c r="ER51" i="10"/>
  <c r="ER47" i="10"/>
  <c r="CW47" i="10"/>
  <c r="ES47" i="10" s="1"/>
  <c r="ER42" i="10"/>
  <c r="ER40" i="10"/>
  <c r="CW38" i="10"/>
  <c r="ES38" i="10" s="1"/>
  <c r="ER38" i="10"/>
  <c r="ER35" i="10"/>
  <c r="CW9" i="10"/>
  <c r="ES9" i="10" s="1"/>
  <c r="ER9" i="10"/>
  <c r="Z40" i="9"/>
  <c r="CC39" i="9"/>
  <c r="CE39" i="9" s="1"/>
  <c r="CB39" i="9"/>
  <c r="CG39" i="9" s="1"/>
  <c r="X39" i="8" s="1"/>
  <c r="BA39" i="9"/>
  <c r="CD39" i="9"/>
  <c r="CF39" i="9" s="1"/>
  <c r="T21" i="21"/>
  <c r="Y21" i="21" s="1"/>
  <c r="Z21" i="21" s="1"/>
  <c r="EU42" i="9"/>
  <c r="EV42" i="9"/>
  <c r="AF42" i="8"/>
  <c r="S42" i="8"/>
  <c r="Z28" i="21"/>
  <c r="H8" i="24"/>
  <c r="H9" i="24"/>
  <c r="G7" i="22"/>
  <c r="H7" i="24"/>
  <c r="H6" i="24"/>
  <c r="CS4" i="8"/>
  <c r="CY4" i="8" s="1"/>
  <c r="BN4" i="8"/>
  <c r="EC17" i="8"/>
  <c r="BW17" i="8"/>
  <c r="D17" i="27"/>
  <c r="FI17" i="8"/>
  <c r="G5" i="22"/>
  <c r="H24" i="24"/>
  <c r="H4" i="24"/>
  <c r="EH50" i="9"/>
  <c r="EY50" i="9" s="1"/>
  <c r="CD50" i="9"/>
  <c r="CF50" i="9" s="1"/>
  <c r="FI33" i="8"/>
  <c r="FM39" i="8"/>
  <c r="CA39" i="8"/>
  <c r="EN4" i="8"/>
  <c r="FX4" i="8"/>
  <c r="BN80" i="8"/>
  <c r="CS80" i="8"/>
  <c r="CY80" i="8" s="1"/>
  <c r="BQ12" i="9"/>
  <c r="S12" i="8"/>
  <c r="BS12" i="9"/>
  <c r="DT12" i="9"/>
  <c r="DZ12" i="9"/>
  <c r="CC50" i="9"/>
  <c r="CE50" i="9" s="1"/>
  <c r="CJ50" i="9" s="1"/>
  <c r="G50" i="8"/>
  <c r="AT50" i="8" s="1"/>
  <c r="EK50" i="9"/>
  <c r="FB50" i="9" s="1"/>
  <c r="FX11" i="8"/>
  <c r="EN11" i="8"/>
  <c r="AK4" i="9"/>
  <c r="AO4" i="9" s="1"/>
  <c r="DA4" i="9"/>
  <c r="AN4" i="9"/>
  <c r="AU4" i="9" s="1"/>
  <c r="BP11" i="8"/>
  <c r="EX29" i="9"/>
  <c r="BG29" i="8"/>
  <c r="EW29" i="9"/>
  <c r="FN9" i="8"/>
  <c r="CB9" i="8"/>
  <c r="FO11" i="8"/>
  <c r="CC11" i="8"/>
  <c r="IL71" i="8"/>
  <c r="BP71" i="8"/>
  <c r="CI71" i="8"/>
  <c r="FM80" i="8"/>
  <c r="GY80" i="8" s="1"/>
  <c r="CA80" i="8"/>
  <c r="CB81" i="8"/>
  <c r="FN81" i="8"/>
  <c r="GZ81" i="8" s="1"/>
  <c r="CS72" i="8"/>
  <c r="CY72" i="8" s="1"/>
  <c r="BN72" i="8"/>
  <c r="M71" i="8"/>
  <c r="AZ71" i="8" s="1"/>
  <c r="AQ71" i="9"/>
  <c r="BA71" i="9" s="1"/>
  <c r="BD84" i="8"/>
  <c r="BF84" i="8" s="1"/>
  <c r="R84" i="8"/>
  <c r="FT35" i="8"/>
  <c r="GA35" i="8" s="1"/>
  <c r="EL35" i="8"/>
  <c r="DK15" i="9"/>
  <c r="AB15" i="8" s="1"/>
  <c r="BP15" i="8" s="1"/>
  <c r="AF15" i="9"/>
  <c r="AP15" i="9" s="1"/>
  <c r="DL15" i="9"/>
  <c r="AO15" i="8" s="1"/>
  <c r="FN67" i="8"/>
  <c r="CB67" i="8"/>
  <c r="BP5" i="8"/>
  <c r="CI5" i="8"/>
  <c r="CX5" i="8" s="1"/>
  <c r="R17" i="8"/>
  <c r="BD17" i="8"/>
  <c r="BF17" i="8" s="1"/>
  <c r="CC35" i="9"/>
  <c r="CE35" i="9" s="1"/>
  <c r="FM35" i="9"/>
  <c r="G35" i="8"/>
  <c r="AT35" i="8" s="1"/>
  <c r="AG35" i="8"/>
  <c r="CD35" i="9"/>
  <c r="CF35" i="9" s="1"/>
  <c r="FN51" i="8"/>
  <c r="CB51" i="8"/>
  <c r="EN59" i="8"/>
  <c r="FX59" i="8"/>
  <c r="P68" i="8"/>
  <c r="R68" i="8" s="1"/>
  <c r="BO69" i="8"/>
  <c r="CI69" i="8"/>
  <c r="CX69" i="8" s="1"/>
  <c r="CJ6" i="9"/>
  <c r="CW68" i="9"/>
  <c r="AI68" i="8" s="1"/>
  <c r="GH68" i="8" s="1"/>
  <c r="CI39" i="8"/>
  <c r="CX39" i="8" s="1"/>
  <c r="BO39" i="8"/>
  <c r="FN24" i="8"/>
  <c r="CB24" i="8"/>
  <c r="FK83" i="9"/>
  <c r="BX83" i="8"/>
  <c r="EL39" i="8"/>
  <c r="FT39" i="8"/>
  <c r="GA39" i="8" s="1"/>
  <c r="CB65" i="8"/>
  <c r="FN65" i="8"/>
  <c r="W83" i="8"/>
  <c r="BK83" i="8" s="1"/>
  <c r="BK83" i="9"/>
  <c r="Q83" i="8"/>
  <c r="BE83" i="8" s="1"/>
  <c r="FM36" i="8"/>
  <c r="FM21" i="8"/>
  <c r="CA21" i="8"/>
  <c r="AC86" i="9"/>
  <c r="DL19" i="9"/>
  <c r="AO19" i="8" s="1"/>
  <c r="DZ19" i="8" s="1"/>
  <c r="AL35" i="8"/>
  <c r="AK84" i="9"/>
  <c r="DB84" i="9"/>
  <c r="DA84" i="9"/>
  <c r="BS43" i="9"/>
  <c r="U43" i="8" s="1"/>
  <c r="BI43" i="8" s="1"/>
  <c r="DT43" i="9"/>
  <c r="DZ43" i="9"/>
  <c r="BQ43" i="9"/>
  <c r="DH18" i="9"/>
  <c r="AM18" i="8" s="1"/>
  <c r="DG18" i="9"/>
  <c r="Z18" i="8" s="1"/>
  <c r="AN18" i="9"/>
  <c r="AU18" i="9" s="1"/>
  <c r="K18" i="8"/>
  <c r="AX18" i="8" s="1"/>
  <c r="BD29" i="8"/>
  <c r="BF29" i="8" s="1"/>
  <c r="R29" i="8"/>
  <c r="BL5" i="8"/>
  <c r="CL5" i="8"/>
  <c r="CW41" i="9"/>
  <c r="AI41" i="8" s="1"/>
  <c r="CV41" i="9"/>
  <c r="V41" i="8" s="1"/>
  <c r="BJ41" i="8" s="1"/>
  <c r="AN54" i="9"/>
  <c r="AU54" i="9" s="1"/>
  <c r="DD54" i="9"/>
  <c r="DJ54" i="9" s="1"/>
  <c r="AN54" i="8" s="1"/>
  <c r="DC54" i="9"/>
  <c r="DI54" i="9" s="1"/>
  <c r="AA54" i="8" s="1"/>
  <c r="D84" i="27"/>
  <c r="EC84" i="8"/>
  <c r="BW84" i="8"/>
  <c r="FI84" i="8"/>
  <c r="BP59" i="8"/>
  <c r="CI59" i="8"/>
  <c r="CX59" i="8" s="1"/>
  <c r="FT71" i="8"/>
  <c r="EL71" i="8"/>
  <c r="EG71" i="8"/>
  <c r="AO54" i="9"/>
  <c r="AE86" i="9"/>
  <c r="AJ86" i="8"/>
  <c r="BX86" i="8" s="1"/>
  <c r="BO35" i="8"/>
  <c r="CI35" i="8"/>
  <c r="CX35" i="8" s="1"/>
  <c r="CW16" i="9"/>
  <c r="AI16" i="8" s="1"/>
  <c r="CV16" i="9"/>
  <c r="V16" i="8" s="1"/>
  <c r="BJ16" i="8" s="1"/>
  <c r="P16" i="8"/>
  <c r="BP9" i="8"/>
  <c r="CI9" i="8"/>
  <c r="CX9" i="8" s="1"/>
  <c r="FK13" i="8"/>
  <c r="BY13" i="8"/>
  <c r="EA13" i="8"/>
  <c r="FU13" i="8" s="1"/>
  <c r="FO59" i="8"/>
  <c r="CC59" i="8"/>
  <c r="DZ59" i="8"/>
  <c r="EA83" i="8"/>
  <c r="BY83" i="8"/>
  <c r="FK83" i="8"/>
  <c r="GW83" i="8" s="1"/>
  <c r="BD33" i="8"/>
  <c r="BF33" i="8" s="1"/>
  <c r="R33" i="8"/>
  <c r="BO65" i="8"/>
  <c r="AE85" i="9"/>
  <c r="DD85" i="9" s="1"/>
  <c r="DK19" i="9"/>
  <c r="AB19" i="8" s="1"/>
  <c r="AM53" i="9"/>
  <c r="FM7" i="9"/>
  <c r="CD7" i="9"/>
  <c r="CF7" i="9" s="1"/>
  <c r="EH7" i="9"/>
  <c r="EY7" i="9" s="1"/>
  <c r="AG7" i="8"/>
  <c r="EI7" i="9"/>
  <c r="EZ7" i="9" s="1"/>
  <c r="CC7" i="9"/>
  <c r="CE7" i="9" s="1"/>
  <c r="EJ7" i="9"/>
  <c r="FA7" i="9" s="1"/>
  <c r="G7" i="8"/>
  <c r="AT7" i="8" s="1"/>
  <c r="T7" i="8"/>
  <c r="BH7" i="8" s="1"/>
  <c r="BD42" i="8"/>
  <c r="BF42" i="8" s="1"/>
  <c r="R42" i="8"/>
  <c r="AO25" i="9"/>
  <c r="L19" i="8"/>
  <c r="AY19" i="8" s="1"/>
  <c r="AQ19" i="9"/>
  <c r="BW42" i="8"/>
  <c r="EC42" i="8"/>
  <c r="D42" i="27"/>
  <c r="FI42" i="8"/>
  <c r="W86" i="8"/>
  <c r="BK86" i="8" s="1"/>
  <c r="Q86" i="8"/>
  <c r="BE86" i="8" s="1"/>
  <c r="DT32" i="9"/>
  <c r="BQ32" i="9"/>
  <c r="DZ32" i="9"/>
  <c r="BS32" i="9"/>
  <c r="S32" i="8"/>
  <c r="DD7" i="9"/>
  <c r="DC7" i="9"/>
  <c r="R41" i="8"/>
  <c r="BD41" i="8"/>
  <c r="BF41" i="8" s="1"/>
  <c r="FK51" i="8"/>
  <c r="EA51" i="8"/>
  <c r="FU51" i="8" s="1"/>
  <c r="BY51" i="8"/>
  <c r="AF34" i="9"/>
  <c r="AP34" i="9" s="1"/>
  <c r="M34" i="8" s="1"/>
  <c r="AZ34" i="8" s="1"/>
  <c r="DL34" i="9"/>
  <c r="AO34" i="8" s="1"/>
  <c r="DK34" i="9"/>
  <c r="AB34" i="8" s="1"/>
  <c r="BP34" i="8" s="1"/>
  <c r="BL57" i="8"/>
  <c r="CL57" i="8"/>
  <c r="BU57" i="8"/>
  <c r="FG57" i="8"/>
  <c r="AT6" i="8"/>
  <c r="BK86" i="9"/>
  <c r="CJ71" i="9"/>
  <c r="AQ59" i="9"/>
  <c r="BA59" i="9" s="1"/>
  <c r="M59" i="8"/>
  <c r="AZ59" i="8" s="1"/>
  <c r="FK63" i="8"/>
  <c r="EA63" i="8"/>
  <c r="FU63" i="8" s="1"/>
  <c r="BY63" i="8"/>
  <c r="CC9" i="8"/>
  <c r="FO9" i="8"/>
  <c r="DZ9" i="8"/>
  <c r="DC34" i="9"/>
  <c r="DI34" i="9" s="1"/>
  <c r="AA34" i="8" s="1"/>
  <c r="AO34" i="9"/>
  <c r="DD34" i="9"/>
  <c r="DJ34" i="9" s="1"/>
  <c r="AN34" i="8" s="1"/>
  <c r="J57" i="8"/>
  <c r="AL57" i="8"/>
  <c r="BB57" i="9"/>
  <c r="CL57" i="9" s="1"/>
  <c r="FG6" i="8"/>
  <c r="BU6" i="8"/>
  <c r="DA25" i="9"/>
  <c r="DI25" i="9" s="1"/>
  <c r="AA25" i="8" s="1"/>
  <c r="DB25" i="9"/>
  <c r="DJ25" i="9" s="1"/>
  <c r="AN25" i="8" s="1"/>
  <c r="M11" i="8"/>
  <c r="AZ11" i="8" s="1"/>
  <c r="EA45" i="8"/>
  <c r="FU45" i="8" s="1"/>
  <c r="BY45" i="8"/>
  <c r="FK45" i="8"/>
  <c r="BN36" i="8"/>
  <c r="CS36" i="8"/>
  <c r="CY36" i="8" s="1"/>
  <c r="FO25" i="8"/>
  <c r="CC25" i="8"/>
  <c r="FK52" i="8"/>
  <c r="BY52" i="8"/>
  <c r="EA52" i="8"/>
  <c r="FU52" i="8" s="1"/>
  <c r="BU50" i="8"/>
  <c r="FG50" i="8"/>
  <c r="GS50" i="8" s="1"/>
  <c r="M55" i="8"/>
  <c r="AZ55" i="8" s="1"/>
  <c r="AQ55" i="9"/>
  <c r="BA55" i="9" s="1"/>
  <c r="DZ13" i="9"/>
  <c r="BQ13" i="9"/>
  <c r="S13" i="8"/>
  <c r="DT13" i="9"/>
  <c r="BS13" i="9"/>
  <c r="U13" i="8" s="1"/>
  <c r="BI13" i="8" s="1"/>
  <c r="DC19" i="9"/>
  <c r="DI19" i="9" s="1"/>
  <c r="AA19" i="8" s="1"/>
  <c r="DD19" i="9"/>
  <c r="DJ19" i="9" s="1"/>
  <c r="AN19" i="8" s="1"/>
  <c r="AN19" i="9"/>
  <c r="AU19" i="9" s="1"/>
  <c r="CS51" i="8"/>
  <c r="CY51" i="8" s="1"/>
  <c r="BN51" i="8"/>
  <c r="AV51" i="8"/>
  <c r="I90" i="8"/>
  <c r="AV90" i="8" s="1"/>
  <c r="BL50" i="8"/>
  <c r="CL50" i="8"/>
  <c r="BY59" i="8"/>
  <c r="FK59" i="8"/>
  <c r="EA59" i="8"/>
  <c r="FU59" i="8" s="1"/>
  <c r="FT55" i="8"/>
  <c r="GA55" i="8" s="1"/>
  <c r="EL55" i="8"/>
  <c r="EG55" i="8"/>
  <c r="EM55" i="8" s="1"/>
  <c r="CB8" i="8"/>
  <c r="FN8" i="8"/>
  <c r="AJ90" i="8"/>
  <c r="BX90" i="8" s="1"/>
  <c r="DT28" i="9"/>
  <c r="S28" i="8"/>
  <c r="DZ28" i="9"/>
  <c r="BS28" i="9"/>
  <c r="BQ28" i="9"/>
  <c r="AM10" i="9"/>
  <c r="AP10" i="9" s="1"/>
  <c r="O10" i="9"/>
  <c r="P10" i="9" s="1"/>
  <c r="N49" i="8"/>
  <c r="E49" i="8" s="1"/>
  <c r="FJ49" i="9"/>
  <c r="AW49" i="8"/>
  <c r="BA49" i="8" s="1"/>
  <c r="BC49" i="8" s="1"/>
  <c r="U86" i="9"/>
  <c r="AF86" i="9" s="1"/>
  <c r="AP86" i="9" s="1"/>
  <c r="M86" i="8" s="1"/>
  <c r="AZ86" i="8" s="1"/>
  <c r="U27" i="9"/>
  <c r="AM74" i="9"/>
  <c r="AP74" i="9" s="1"/>
  <c r="AQ74" i="9" s="1"/>
  <c r="BA74" i="9" s="1"/>
  <c r="O74" i="9"/>
  <c r="P74" i="9" s="1"/>
  <c r="DA36" i="9"/>
  <c r="DB36" i="9"/>
  <c r="AK36" i="9"/>
  <c r="EV45" i="9"/>
  <c r="EU45" i="9"/>
  <c r="AF45" i="8"/>
  <c r="O12" i="9"/>
  <c r="P12" i="9" s="1"/>
  <c r="AM12" i="9"/>
  <c r="AP12" i="9" s="1"/>
  <c r="M12" i="8" s="1"/>
  <c r="AZ12" i="8" s="1"/>
  <c r="CB10" i="8"/>
  <c r="FN10" i="8"/>
  <c r="DI8" i="9"/>
  <c r="AA8" i="8" s="1"/>
  <c r="AO8" i="9"/>
  <c r="FL49" i="8"/>
  <c r="GX49" i="8" s="1"/>
  <c r="BZ49" i="8"/>
  <c r="EU41" i="9"/>
  <c r="EV41" i="9"/>
  <c r="AF41" i="8"/>
  <c r="S41" i="8"/>
  <c r="BS15" i="9"/>
  <c r="DZ15" i="9"/>
  <c r="BQ15" i="9"/>
  <c r="S15" i="8"/>
  <c r="DT15" i="9"/>
  <c r="W85" i="8"/>
  <c r="BK85" i="8" s="1"/>
  <c r="Q85" i="8"/>
  <c r="BE85" i="8" s="1"/>
  <c r="AM26" i="9"/>
  <c r="O26" i="9"/>
  <c r="P26" i="9" s="1"/>
  <c r="BP49" i="8"/>
  <c r="CI49" i="8"/>
  <c r="CX49" i="8" s="1"/>
  <c r="CW56" i="9"/>
  <c r="AI56" i="8" s="1"/>
  <c r="P56" i="8"/>
  <c r="CV56" i="9"/>
  <c r="V56" i="8" s="1"/>
  <c r="BJ56" i="8" s="1"/>
  <c r="Y42" i="9"/>
  <c r="R42" i="9"/>
  <c r="DZ20" i="9"/>
  <c r="BQ20" i="9"/>
  <c r="BS20" i="9"/>
  <c r="S20" i="8"/>
  <c r="DT20" i="9"/>
  <c r="DT69" i="9"/>
  <c r="DZ69" i="9"/>
  <c r="BS69" i="9"/>
  <c r="BQ69" i="9"/>
  <c r="S69" i="8"/>
  <c r="AR86" i="9"/>
  <c r="F86" i="8" s="1"/>
  <c r="AS86" i="8" s="1"/>
  <c r="AF86" i="8"/>
  <c r="BT86" i="8" s="1"/>
  <c r="S86" i="8"/>
  <c r="BG86" i="8" s="1"/>
  <c r="AM36" i="9"/>
  <c r="AP36" i="9" s="1"/>
  <c r="M36" i="8" s="1"/>
  <c r="AZ36" i="8" s="1"/>
  <c r="O36" i="9"/>
  <c r="P36" i="9" s="1"/>
  <c r="M28" i="8"/>
  <c r="AZ28" i="8" s="1"/>
  <c r="AQ28" i="9"/>
  <c r="BA28" i="9" s="1"/>
  <c r="FN74" i="8"/>
  <c r="GZ74" i="8" s="1"/>
  <c r="CB74" i="8"/>
  <c r="FG69" i="8"/>
  <c r="GS69" i="8" s="1"/>
  <c r="BU69" i="8"/>
  <c r="CV74" i="9"/>
  <c r="V74" i="8" s="1"/>
  <c r="BJ74" i="8" s="1"/>
  <c r="P74" i="8"/>
  <c r="CW74" i="9"/>
  <c r="AI74" i="8" s="1"/>
  <c r="FI74" i="8" s="1"/>
  <c r="CV49" i="9"/>
  <c r="V49" i="8" s="1"/>
  <c r="BJ49" i="8" s="1"/>
  <c r="CW49" i="9"/>
  <c r="AI49" i="8" s="1"/>
  <c r="P49" i="8"/>
  <c r="AE88" i="9"/>
  <c r="DD88" i="9" s="1"/>
  <c r="U29" i="9"/>
  <c r="DL29" i="9" s="1"/>
  <c r="AO29" i="8" s="1"/>
  <c r="FO29" i="8" s="1"/>
  <c r="CJ74" i="9"/>
  <c r="BS46" i="9"/>
  <c r="DT46" i="9"/>
  <c r="BQ46" i="9"/>
  <c r="S46" i="8"/>
  <c r="DZ46" i="9"/>
  <c r="ED46" i="9"/>
  <c r="EE46" i="9"/>
  <c r="AM64" i="9"/>
  <c r="AP64" i="9" s="1"/>
  <c r="O64" i="9"/>
  <c r="P64" i="9" s="1"/>
  <c r="AM76" i="9"/>
  <c r="O76" i="9"/>
  <c r="P76" i="9" s="1"/>
  <c r="DL76" i="9" s="1"/>
  <c r="AO76" i="8" s="1"/>
  <c r="FK54" i="9"/>
  <c r="EC54" i="8" s="1"/>
  <c r="BX54" i="8"/>
  <c r="AA62" i="9"/>
  <c r="CQ62" i="9" s="1"/>
  <c r="DI50" i="9"/>
  <c r="AA50" i="8" s="1"/>
  <c r="DJ50" i="9"/>
  <c r="AN50" i="8" s="1"/>
  <c r="AO50" i="9"/>
  <c r="AQ67" i="9"/>
  <c r="BA67" i="9" s="1"/>
  <c r="M67" i="8"/>
  <c r="AZ67" i="8" s="1"/>
  <c r="FO67" i="8"/>
  <c r="CC67" i="8"/>
  <c r="DZ67" i="8"/>
  <c r="U60" i="9"/>
  <c r="AF60" i="9" s="1"/>
  <c r="AP60" i="9" s="1"/>
  <c r="M60" i="8" s="1"/>
  <c r="AZ60" i="8" s="1"/>
  <c r="AM16" i="9"/>
  <c r="AP16" i="9" s="1"/>
  <c r="O16" i="9"/>
  <c r="P16" i="9" s="1"/>
  <c r="DT83" i="9"/>
  <c r="S83" i="8"/>
  <c r="BS83" i="9"/>
  <c r="U83" i="8" s="1"/>
  <c r="BI83" i="8" s="1"/>
  <c r="DZ83" i="9"/>
  <c r="BQ83" i="9"/>
  <c r="AM66" i="9"/>
  <c r="AP66" i="9" s="1"/>
  <c r="O66" i="9"/>
  <c r="P66" i="9" s="1"/>
  <c r="DT77" i="9"/>
  <c r="DZ77" i="9"/>
  <c r="BQ77" i="9"/>
  <c r="BS77" i="9"/>
  <c r="S77" i="8"/>
  <c r="AK72" i="9"/>
  <c r="DA72" i="9"/>
  <c r="DB72" i="9"/>
  <c r="Z44" i="9"/>
  <c r="AF44" i="8"/>
  <c r="AR44" i="9"/>
  <c r="F44" i="8" s="1"/>
  <c r="AS44" i="8" s="1"/>
  <c r="EV44" i="9"/>
  <c r="S44" i="8"/>
  <c r="EU44" i="9"/>
  <c r="O52" i="9"/>
  <c r="P52" i="9" s="1"/>
  <c r="AM52" i="9"/>
  <c r="AP52" i="9" s="1"/>
  <c r="CB62" i="9"/>
  <c r="CG62" i="9" s="1"/>
  <c r="X62" i="8" s="1"/>
  <c r="CC62" i="9"/>
  <c r="AL21" i="9"/>
  <c r="AE21" i="9"/>
  <c r="CC23" i="8"/>
  <c r="FO23" i="8"/>
  <c r="CA4" i="8"/>
  <c r="FM4" i="8"/>
  <c r="DZ51" i="8"/>
  <c r="CC51" i="8"/>
  <c r="FO51" i="8"/>
  <c r="FO49" i="8"/>
  <c r="HA49" i="8" s="1"/>
  <c r="CC49" i="8"/>
  <c r="BP67" i="8"/>
  <c r="CI67" i="8"/>
  <c r="CX67" i="8" s="1"/>
  <c r="CK57" i="9"/>
  <c r="CM57" i="9" s="1"/>
  <c r="Y57" i="8" s="1"/>
  <c r="BS4" i="9"/>
  <c r="S4" i="8"/>
  <c r="BQ4" i="9"/>
  <c r="DT4" i="9"/>
  <c r="DZ4" i="9"/>
  <c r="EA5" i="8"/>
  <c r="FU5" i="8" s="1"/>
  <c r="BY5" i="8"/>
  <c r="FK5" i="8"/>
  <c r="AM72" i="9"/>
  <c r="AP72" i="9" s="1"/>
  <c r="M72" i="8" s="1"/>
  <c r="AZ72" i="8" s="1"/>
  <c r="O72" i="9"/>
  <c r="P72" i="9" s="1"/>
  <c r="S81" i="8"/>
  <c r="DT81" i="9"/>
  <c r="BS81" i="9"/>
  <c r="DZ81" i="9"/>
  <c r="BQ81" i="9"/>
  <c r="BY82" i="8"/>
  <c r="EA82" i="8"/>
  <c r="FK82" i="8"/>
  <c r="GW82" i="8" s="1"/>
  <c r="Q49" i="8"/>
  <c r="BE49" i="8" s="1"/>
  <c r="W49" i="8"/>
  <c r="BK49" i="8" s="1"/>
  <c r="AJ21" i="9"/>
  <c r="U21" i="9"/>
  <c r="AD21" i="9"/>
  <c r="FG68" i="8"/>
  <c r="GS68" i="8" s="1"/>
  <c r="BU68" i="8"/>
  <c r="BP57" i="8"/>
  <c r="CI57" i="8"/>
  <c r="CX57" i="8" s="1"/>
  <c r="DI7" i="9"/>
  <c r="AA7" i="8" s="1"/>
  <c r="AO7" i="9"/>
  <c r="DJ7" i="9"/>
  <c r="AN7" i="8" s="1"/>
  <c r="M74" i="8"/>
  <c r="AZ74" i="8" s="1"/>
  <c r="CL71" i="8"/>
  <c r="IT71" i="8" s="1"/>
  <c r="BL71" i="8"/>
  <c r="IH71" i="8"/>
  <c r="BU71" i="8"/>
  <c r="FG71" i="8"/>
  <c r="GS71" i="8" s="1"/>
  <c r="BL68" i="8"/>
  <c r="CL68" i="8"/>
  <c r="AM40" i="9"/>
  <c r="S8" i="8"/>
  <c r="BQ8" i="9"/>
  <c r="CB8" i="9" s="1"/>
  <c r="CG8" i="9" s="1"/>
  <c r="X8" i="8" s="1"/>
  <c r="DZ8" i="9"/>
  <c r="BS8" i="9"/>
  <c r="U8" i="8" s="1"/>
  <c r="BI8" i="8" s="1"/>
  <c r="DT8" i="9"/>
  <c r="AK12" i="9"/>
  <c r="DA12" i="9"/>
  <c r="DB12" i="9"/>
  <c r="AM60" i="9"/>
  <c r="O60" i="9"/>
  <c r="P60" i="9" s="1"/>
  <c r="DK60" i="9" s="1"/>
  <c r="AB60" i="8" s="1"/>
  <c r="BP60" i="8" s="1"/>
  <c r="W74" i="8"/>
  <c r="BK74" i="8" s="1"/>
  <c r="Q74" i="8"/>
  <c r="BE74" i="8" s="1"/>
  <c r="EE55" i="9"/>
  <c r="ED55" i="9"/>
  <c r="BE15" i="8"/>
  <c r="BF15" i="8" s="1"/>
  <c r="R15" i="8"/>
  <c r="DC61" i="9"/>
  <c r="DI61" i="9" s="1"/>
  <c r="AA61" i="8" s="1"/>
  <c r="BO61" i="8" s="1"/>
  <c r="DD61" i="9"/>
  <c r="DJ61" i="9" s="1"/>
  <c r="AN61" i="8" s="1"/>
  <c r="M37" i="8"/>
  <c r="AZ37" i="8" s="1"/>
  <c r="M17" i="8"/>
  <c r="AZ17" i="8" s="1"/>
  <c r="AQ17" i="9"/>
  <c r="BA17" i="9" s="1"/>
  <c r="AO61" i="9"/>
  <c r="L61" i="8" s="1"/>
  <c r="AY61" i="8" s="1"/>
  <c r="FN22" i="8"/>
  <c r="CB22" i="8"/>
  <c r="DZ22" i="8"/>
  <c r="J71" i="8"/>
  <c r="BB71" i="9"/>
  <c r="DZ49" i="8"/>
  <c r="P48" i="8"/>
  <c r="CV48" i="9"/>
  <c r="V48" i="8" s="1"/>
  <c r="CW48" i="9"/>
  <c r="AI48" i="8" s="1"/>
  <c r="Z42" i="9"/>
  <c r="AA42" i="9" s="1"/>
  <c r="CQ42" i="9" s="1"/>
  <c r="AM46" i="9"/>
  <c r="AP46" i="9" s="1"/>
  <c r="O46" i="9"/>
  <c r="P46" i="9" s="1"/>
  <c r="O82" i="9"/>
  <c r="P82" i="9" s="1"/>
  <c r="AM82" i="9"/>
  <c r="AK20" i="9"/>
  <c r="DB20" i="9"/>
  <c r="DA20" i="9"/>
  <c r="U53" i="9"/>
  <c r="DL53" i="9" s="1"/>
  <c r="AO53" i="8" s="1"/>
  <c r="S35" i="8"/>
  <c r="BQ35" i="9"/>
  <c r="DZ35" i="9"/>
  <c r="BS35" i="9"/>
  <c r="DT35" i="9"/>
  <c r="CY86" i="9"/>
  <c r="FK49" i="9"/>
  <c r="EE49" i="8" s="1"/>
  <c r="BX49" i="8"/>
  <c r="FK27" i="9"/>
  <c r="BX27" i="8"/>
  <c r="AA49" i="9"/>
  <c r="CQ49" i="9" s="1"/>
  <c r="BB49" i="9"/>
  <c r="DL79" i="9"/>
  <c r="AO79" i="8" s="1"/>
  <c r="DK79" i="9"/>
  <c r="AB79" i="8" s="1"/>
  <c r="AA27" i="9"/>
  <c r="CQ27" i="9" s="1"/>
  <c r="AJ31" i="9"/>
  <c r="AD31" i="9"/>
  <c r="Q36" i="8"/>
  <c r="BE36" i="8" s="1"/>
  <c r="W36" i="8"/>
  <c r="BK36" i="8" s="1"/>
  <c r="CZ76" i="9"/>
  <c r="CY76" i="9"/>
  <c r="AD76" i="9"/>
  <c r="AC76" i="9"/>
  <c r="AE76" i="9"/>
  <c r="AF76" i="9"/>
  <c r="AJ83" i="9"/>
  <c r="U83" i="9"/>
  <c r="CB23" i="9"/>
  <c r="CG23" i="9" s="1"/>
  <c r="X23" i="8" s="1"/>
  <c r="CC23" i="9"/>
  <c r="CB32" i="9"/>
  <c r="CG32" i="9" s="1"/>
  <c r="X32" i="8" s="1"/>
  <c r="BP63" i="8"/>
  <c r="CI63" i="8"/>
  <c r="CX63" i="8" s="1"/>
  <c r="ID71" i="8"/>
  <c r="BH71" i="8"/>
  <c r="DL63" i="9"/>
  <c r="AO63" i="8" s="1"/>
  <c r="BK36" i="9"/>
  <c r="J9" i="8"/>
  <c r="AL9" i="8"/>
  <c r="BB9" i="9"/>
  <c r="FG23" i="8"/>
  <c r="BU23" i="8"/>
  <c r="FG74" i="8"/>
  <c r="GS74" i="8" s="1"/>
  <c r="BU74" i="8"/>
  <c r="CJ22" i="9"/>
  <c r="BH22" i="8"/>
  <c r="AP35" i="8"/>
  <c r="AR35" i="8" s="1"/>
  <c r="FL35" i="8"/>
  <c r="BZ35" i="8"/>
  <c r="Z43" i="9"/>
  <c r="T43" i="9"/>
  <c r="AL43" i="9" s="1"/>
  <c r="U45" i="9"/>
  <c r="DL45" i="9" s="1"/>
  <c r="AO45" i="8" s="1"/>
  <c r="CC45" i="8" s="1"/>
  <c r="U41" i="9"/>
  <c r="DL41" i="9" s="1"/>
  <c r="AO41" i="8" s="1"/>
  <c r="AE41" i="9"/>
  <c r="AM48" i="9"/>
  <c r="AP48" i="9" s="1"/>
  <c r="O48" i="9"/>
  <c r="P48" i="9" s="1"/>
  <c r="BQ6" i="9"/>
  <c r="BS6" i="9"/>
  <c r="DZ6" i="9"/>
  <c r="S6" i="8"/>
  <c r="DT6" i="9"/>
  <c r="EU43" i="9"/>
  <c r="EV43" i="9"/>
  <c r="AF43" i="8"/>
  <c r="S43" i="8"/>
  <c r="S65" i="8"/>
  <c r="BQ65" i="9"/>
  <c r="DZ65" i="9"/>
  <c r="BS65" i="9"/>
  <c r="DT65" i="9"/>
  <c r="P53" i="8"/>
  <c r="CV53" i="9"/>
  <c r="V53" i="8" s="1"/>
  <c r="BJ53" i="8" s="1"/>
  <c r="CW53" i="9"/>
  <c r="AI53" i="8" s="1"/>
  <c r="BK27" i="9"/>
  <c r="W27" i="8"/>
  <c r="BK27" i="8" s="1"/>
  <c r="Q27" i="8"/>
  <c r="BE27" i="8" s="1"/>
  <c r="CC49" i="9"/>
  <c r="CB49" i="9"/>
  <c r="CG49" i="9" s="1"/>
  <c r="X49" i="8" s="1"/>
  <c r="AF27" i="9"/>
  <c r="AP27" i="9" s="1"/>
  <c r="M27" i="8" s="1"/>
  <c r="AZ27" i="8" s="1"/>
  <c r="DL27" i="9"/>
  <c r="AO27" i="8" s="1"/>
  <c r="BX36" i="8"/>
  <c r="FK36" i="9"/>
  <c r="AA76" i="9"/>
  <c r="CQ76" i="9" s="1"/>
  <c r="AA23" i="9"/>
  <c r="CQ23" i="9" s="1"/>
  <c r="CZ60" i="9"/>
  <c r="AE60" i="9"/>
  <c r="AC60" i="9"/>
  <c r="CY60" i="9"/>
  <c r="AD60" i="9"/>
  <c r="W53" i="8"/>
  <c r="BK53" i="8" s="1"/>
  <c r="Q53" i="8"/>
  <c r="BE53" i="8" s="1"/>
  <c r="FM64" i="8"/>
  <c r="CA64" i="8"/>
  <c r="CC57" i="8"/>
  <c r="FO57" i="8"/>
  <c r="AP57" i="8"/>
  <c r="AR57" i="8" s="1"/>
  <c r="FN19" i="8"/>
  <c r="CB19" i="8"/>
  <c r="AT23" i="8"/>
  <c r="AT74" i="8"/>
  <c r="CL74" i="8"/>
  <c r="BL74" i="8"/>
  <c r="CL22" i="8"/>
  <c r="BL22" i="8"/>
  <c r="J22" i="8"/>
  <c r="N22" i="8" s="1"/>
  <c r="E22" i="8" s="1"/>
  <c r="AL22" i="8"/>
  <c r="AP22" i="8" s="1"/>
  <c r="AR22" i="8" s="1"/>
  <c r="BB22" i="9"/>
  <c r="AM56" i="9"/>
  <c r="AP56" i="9" s="1"/>
  <c r="O56" i="9"/>
  <c r="P56" i="9" s="1"/>
  <c r="BQ11" i="9"/>
  <c r="DZ11" i="9"/>
  <c r="S11" i="8"/>
  <c r="BS11" i="9"/>
  <c r="DT11" i="9"/>
  <c r="DT40" i="9"/>
  <c r="BS40" i="9"/>
  <c r="U40" i="8" s="1"/>
  <c r="BQ40" i="9"/>
  <c r="DZ40" i="9"/>
  <c r="Z53" i="9"/>
  <c r="AA53" i="9" s="1"/>
  <c r="CQ53" i="9" s="1"/>
  <c r="EV53" i="9"/>
  <c r="S53" i="8"/>
  <c r="AF53" i="8"/>
  <c r="EU53" i="9"/>
  <c r="AM62" i="9"/>
  <c r="AP62" i="9" s="1"/>
  <c r="O62" i="9"/>
  <c r="P62" i="9" s="1"/>
  <c r="DA68" i="9"/>
  <c r="AK68" i="9"/>
  <c r="DB68" i="9"/>
  <c r="AK33" i="9"/>
  <c r="DA33" i="9"/>
  <c r="DB33" i="9"/>
  <c r="AH76" i="8"/>
  <c r="U76" i="8"/>
  <c r="BI76" i="8" s="1"/>
  <c r="H76" i="8"/>
  <c r="AU76" i="8" s="1"/>
  <c r="EP76" i="9"/>
  <c r="EQ76" i="9"/>
  <c r="W24" i="8"/>
  <c r="Q24" i="8"/>
  <c r="BK24" i="9"/>
  <c r="W45" i="8"/>
  <c r="BK45" i="8" s="1"/>
  <c r="Q45" i="8"/>
  <c r="BE45" i="8" s="1"/>
  <c r="BK45" i="9"/>
  <c r="Q77" i="8"/>
  <c r="BE77" i="8" s="1"/>
  <c r="W77" i="8"/>
  <c r="BK77" i="9"/>
  <c r="CY27" i="9"/>
  <c r="CZ27" i="9"/>
  <c r="AC27" i="9"/>
  <c r="AD27" i="9"/>
  <c r="AE27" i="9"/>
  <c r="DK27" i="9"/>
  <c r="AB27" i="8" s="1"/>
  <c r="BP27" i="8" s="1"/>
  <c r="AC33" i="9"/>
  <c r="U33" i="9"/>
  <c r="W48" i="8"/>
  <c r="BK48" i="8" s="1"/>
  <c r="Q48" i="8"/>
  <c r="BE48" i="8" s="1"/>
  <c r="AA60" i="9"/>
  <c r="CQ60" i="9" s="1"/>
  <c r="FK53" i="9"/>
  <c r="BX53" i="8"/>
  <c r="AL13" i="9"/>
  <c r="AE13" i="9"/>
  <c r="U13" i="9"/>
  <c r="BP51" i="8"/>
  <c r="CI51" i="8"/>
  <c r="CX51" i="8" s="1"/>
  <c r="BP37" i="8"/>
  <c r="FO17" i="8"/>
  <c r="CC17" i="8"/>
  <c r="DZ17" i="8"/>
  <c r="AT22" i="8"/>
  <c r="CJ63" i="9"/>
  <c r="CL63" i="9" s="1"/>
  <c r="O20" i="9"/>
  <c r="P20" i="9" s="1"/>
  <c r="AM20" i="9"/>
  <c r="AP20" i="9" s="1"/>
  <c r="M20" i="8" s="1"/>
  <c r="AZ20" i="8" s="1"/>
  <c r="O78" i="9"/>
  <c r="P78" i="9" s="1"/>
  <c r="AM78" i="9"/>
  <c r="AP78" i="9" s="1"/>
  <c r="AK18" i="9"/>
  <c r="DA18" i="9"/>
  <c r="DB18" i="9"/>
  <c r="AF40" i="8"/>
  <c r="EU40" i="9"/>
  <c r="EV40" i="9"/>
  <c r="S40" i="8"/>
  <c r="BY19" i="8"/>
  <c r="FK19" i="8"/>
  <c r="EA19" i="8"/>
  <c r="AK90" i="8"/>
  <c r="BY90" i="8" s="1"/>
  <c r="AM70" i="9"/>
  <c r="AP70" i="9" s="1"/>
  <c r="O70" i="9"/>
  <c r="P70" i="9" s="1"/>
  <c r="AA86" i="9"/>
  <c r="CQ86" i="9" s="1"/>
  <c r="AK23" i="9"/>
  <c r="DA23" i="9"/>
  <c r="DB23" i="9"/>
  <c r="AL80" i="9"/>
  <c r="U80" i="9"/>
  <c r="AE80" i="9"/>
  <c r="BX24" i="8"/>
  <c r="FK24" i="9"/>
  <c r="CY29" i="9"/>
  <c r="AD29" i="9"/>
  <c r="CZ29" i="9"/>
  <c r="AC29" i="9"/>
  <c r="AE29" i="9"/>
  <c r="BX45" i="8"/>
  <c r="FK45" i="9"/>
  <c r="BX77" i="8"/>
  <c r="FK77" i="9"/>
  <c r="AC31" i="9"/>
  <c r="U31" i="9"/>
  <c r="AA33" i="9"/>
  <c r="CQ33" i="9" s="1"/>
  <c r="FK48" i="9"/>
  <c r="BX48" i="8"/>
  <c r="AD83" i="9"/>
  <c r="CZ83" i="9"/>
  <c r="CY83" i="9"/>
  <c r="AC83" i="9"/>
  <c r="AE83" i="9"/>
  <c r="AF83" i="9"/>
  <c r="AP83" i="9" s="1"/>
  <c r="M83" i="8" s="1"/>
  <c r="AZ83" i="8" s="1"/>
  <c r="K61" i="8"/>
  <c r="AX61" i="8" s="1"/>
  <c r="DG61" i="9"/>
  <c r="Z61" i="8" s="1"/>
  <c r="AN61" i="9"/>
  <c r="AU61" i="9" s="1"/>
  <c r="DH61" i="9"/>
  <c r="AM61" i="8" s="1"/>
  <c r="AA32" i="9"/>
  <c r="CQ32" i="9" s="1"/>
  <c r="EB62" i="9"/>
  <c r="EA62" i="9"/>
  <c r="BP77" i="8"/>
  <c r="CI77" i="8"/>
  <c r="BP17" i="8"/>
  <c r="CI17" i="8"/>
  <c r="CX17" i="8" s="1"/>
  <c r="DZ57" i="8"/>
  <c r="BU22" i="8"/>
  <c r="FG22" i="8"/>
  <c r="FI49" i="8"/>
  <c r="D49" i="27"/>
  <c r="BW49" i="8"/>
  <c r="AP49" i="8"/>
  <c r="AR49" i="8" s="1"/>
  <c r="GH49" i="8"/>
  <c r="D52" i="27"/>
  <c r="BW52" i="8"/>
  <c r="FI52" i="8"/>
  <c r="EC52" i="8"/>
  <c r="BJ9" i="8"/>
  <c r="AN41" i="9"/>
  <c r="AU41" i="9" s="1"/>
  <c r="CD41" i="9" s="1"/>
  <c r="CF41" i="9" s="1"/>
  <c r="K41" i="8"/>
  <c r="AX41" i="8" s="1"/>
  <c r="DG41" i="9"/>
  <c r="Z41" i="8" s="1"/>
  <c r="DH41" i="9"/>
  <c r="AM41" i="8" s="1"/>
  <c r="FG55" i="8"/>
  <c r="BU55" i="8"/>
  <c r="BJ67" i="8"/>
  <c r="BJ38" i="8"/>
  <c r="D63" i="27"/>
  <c r="EC63" i="8"/>
  <c r="BW63" i="8"/>
  <c r="FI63" i="8"/>
  <c r="FO45" i="8"/>
  <c r="EC74" i="8"/>
  <c r="HI74" i="8" s="1"/>
  <c r="GH74" i="8"/>
  <c r="D38" i="27"/>
  <c r="BW38" i="8"/>
  <c r="FI38" i="8"/>
  <c r="EC38" i="8"/>
  <c r="HI38" i="8" s="1"/>
  <c r="GH38" i="8"/>
  <c r="BW65" i="8"/>
  <c r="EC65" i="8"/>
  <c r="FI65" i="8"/>
  <c r="D65" i="27"/>
  <c r="AA41" i="9"/>
  <c r="AD88" i="9"/>
  <c r="AB43" i="9"/>
  <c r="S43" i="9"/>
  <c r="AJ43" i="9" s="1"/>
  <c r="CC44" i="8"/>
  <c r="FO44" i="8"/>
  <c r="Y43" i="9"/>
  <c r="AB42" i="9"/>
  <c r="S42" i="9"/>
  <c r="AJ42" i="9" s="1"/>
  <c r="DD87" i="9"/>
  <c r="DC87" i="9"/>
  <c r="AN87" i="9"/>
  <c r="AU87" i="9" s="1"/>
  <c r="DG87" i="9"/>
  <c r="Z87" i="8" s="1"/>
  <c r="BN87" i="8" s="1"/>
  <c r="K87" i="8"/>
  <c r="AX87" i="8" s="1"/>
  <c r="DH87" i="9"/>
  <c r="AM87" i="8" s="1"/>
  <c r="CA87" i="8" s="1"/>
  <c r="AA88" i="9"/>
  <c r="CQ88" i="9" s="1"/>
  <c r="DH86" i="9"/>
  <c r="AM86" i="8" s="1"/>
  <c r="CA86" i="8" s="1"/>
  <c r="K86" i="8"/>
  <c r="AX86" i="8" s="1"/>
  <c r="DG86" i="9"/>
  <c r="Z86" i="8" s="1"/>
  <c r="BN86" i="8" s="1"/>
  <c r="H44" i="8"/>
  <c r="AU44" i="8" s="1"/>
  <c r="U44" i="8"/>
  <c r="BI44" i="8" s="1"/>
  <c r="EQ44" i="9"/>
  <c r="AH44" i="8"/>
  <c r="EP44" i="9"/>
  <c r="BW29" i="8"/>
  <c r="D29" i="27"/>
  <c r="FI29" i="8"/>
  <c r="EC29" i="8"/>
  <c r="BJ5" i="8"/>
  <c r="BJ62" i="8"/>
  <c r="R49" i="8"/>
  <c r="BD49" i="8"/>
  <c r="BF49" i="8" s="1"/>
  <c r="D32" i="27"/>
  <c r="FI32" i="8"/>
  <c r="BW32" i="8"/>
  <c r="EC32" i="8"/>
  <c r="R38" i="8"/>
  <c r="BD38" i="8"/>
  <c r="BF38" i="8" s="1"/>
  <c r="R65" i="8"/>
  <c r="BD65" i="8"/>
  <c r="BF65" i="8" s="1"/>
  <c r="BD63" i="8"/>
  <c r="BF63" i="8" s="1"/>
  <c r="R63" i="8"/>
  <c r="BP19" i="8"/>
  <c r="BH51" i="8"/>
  <c r="AY5" i="8"/>
  <c r="CJ10" i="9"/>
  <c r="BU63" i="8"/>
  <c r="FG63" i="8"/>
  <c r="AP63" i="8"/>
  <c r="AR63" i="8" s="1"/>
  <c r="CJ59" i="9"/>
  <c r="AW63" i="8"/>
  <c r="FJ63" i="9"/>
  <c r="EB63" i="8" s="1"/>
  <c r="FV63" i="8" s="1"/>
  <c r="AC53" i="9"/>
  <c r="AD53" i="9"/>
  <c r="AE53" i="9"/>
  <c r="CZ53" i="9"/>
  <c r="CY53" i="9"/>
  <c r="AA43" i="9"/>
  <c r="CQ43" i="9" s="1"/>
  <c r="AS41" i="8"/>
  <c r="AA40" i="9"/>
  <c r="CQ40" i="9" s="1"/>
  <c r="F43" i="8"/>
  <c r="AC45" i="9"/>
  <c r="AD45" i="9"/>
  <c r="AE45" i="9"/>
  <c r="AF45" i="9"/>
  <c r="AP45" i="9" s="1"/>
  <c r="M45" i="8" s="1"/>
  <c r="AZ45" i="8" s="1"/>
  <c r="CZ45" i="9"/>
  <c r="CY45" i="9"/>
  <c r="EP40" i="9"/>
  <c r="EQ40" i="9"/>
  <c r="H40" i="8"/>
  <c r="AH40" i="8"/>
  <c r="F45" i="8"/>
  <c r="BG85" i="8"/>
  <c r="DH85" i="9"/>
  <c r="AM85" i="8" s="1"/>
  <c r="CA85" i="8" s="1"/>
  <c r="K85" i="8"/>
  <c r="AX85" i="8" s="1"/>
  <c r="DG85" i="9"/>
  <c r="Z85" i="8" s="1"/>
  <c r="BN85" i="8" s="1"/>
  <c r="DC41" i="9"/>
  <c r="DD41" i="9"/>
  <c r="FG36" i="8"/>
  <c r="BU36" i="8"/>
  <c r="DK83" i="9"/>
  <c r="AB83" i="8" s="1"/>
  <c r="DL83" i="9"/>
  <c r="AO83" i="8" s="1"/>
  <c r="DK26" i="9"/>
  <c r="AB26" i="8" s="1"/>
  <c r="AF26" i="9"/>
  <c r="DL26" i="9"/>
  <c r="AO26" i="8" s="1"/>
  <c r="BJ63" i="8"/>
  <c r="AT59" i="8"/>
  <c r="BL59" i="8"/>
  <c r="CL59" i="8"/>
  <c r="AC40" i="9"/>
  <c r="AD40" i="9"/>
  <c r="AE40" i="9"/>
  <c r="AF40" i="9"/>
  <c r="AP40" i="9" s="1"/>
  <c r="M40" i="8" s="1"/>
  <c r="AZ40" i="8" s="1"/>
  <c r="CY40" i="9"/>
  <c r="DK40" i="9"/>
  <c r="AB40" i="8" s="1"/>
  <c r="BP40" i="8" s="1"/>
  <c r="CZ40" i="9"/>
  <c r="AH53" i="8"/>
  <c r="EP53" i="9"/>
  <c r="EQ53" i="9"/>
  <c r="U53" i="8"/>
  <c r="BI53" i="8" s="1"/>
  <c r="H53" i="8"/>
  <c r="AU53" i="8" s="1"/>
  <c r="AM43" i="9"/>
  <c r="O43" i="9"/>
  <c r="P43" i="9" s="1"/>
  <c r="AA87" i="9"/>
  <c r="AS53" i="8"/>
  <c r="Z52" i="9"/>
  <c r="AR52" i="9"/>
  <c r="S52" i="8"/>
  <c r="EV52" i="9"/>
  <c r="EU52" i="9"/>
  <c r="AF52" i="8"/>
  <c r="Y52" i="9"/>
  <c r="U87" i="9"/>
  <c r="AJ87" i="9"/>
  <c r="DA87" i="9" s="1"/>
  <c r="CV85" i="9"/>
  <c r="V85" i="8" s="1"/>
  <c r="BJ85" i="8" s="1"/>
  <c r="CW85" i="9"/>
  <c r="AI85" i="8" s="1"/>
  <c r="P85" i="8"/>
  <c r="BY85" i="8"/>
  <c r="EA85" i="8"/>
  <c r="U88" i="9"/>
  <c r="DD86" i="9"/>
  <c r="U85" i="9"/>
  <c r="BS45" i="9"/>
  <c r="U45" i="8" s="1"/>
  <c r="BI45" i="8" s="1"/>
  <c r="S45" i="8"/>
  <c r="DT45" i="9"/>
  <c r="DZ45" i="9"/>
  <c r="BQ45" i="9"/>
  <c r="BN64" i="8"/>
  <c r="CS64" i="8"/>
  <c r="CY64" i="8" s="1"/>
  <c r="IP58" i="8"/>
  <c r="IM58" i="8"/>
  <c r="IC58" i="8"/>
  <c r="IF58" i="8"/>
  <c r="IG58" i="8"/>
  <c r="ID58" i="8"/>
  <c r="IH58" i="8"/>
  <c r="IE58" i="8"/>
  <c r="IJ58" i="8"/>
  <c r="IK58" i="8"/>
  <c r="CC7" i="8"/>
  <c r="FO7" i="8"/>
  <c r="DZ7" i="8"/>
  <c r="D16" i="27"/>
  <c r="EC16" i="8"/>
  <c r="BW16" i="8"/>
  <c r="EC67" i="8"/>
  <c r="FI67" i="8"/>
  <c r="BW67" i="8"/>
  <c r="D67" i="27"/>
  <c r="BD74" i="8"/>
  <c r="BF74" i="8" s="1"/>
  <c r="R74" i="8"/>
  <c r="BD9" i="8"/>
  <c r="BF9" i="8" s="1"/>
  <c r="R9" i="8"/>
  <c r="CL10" i="8"/>
  <c r="BL10" i="8"/>
  <c r="CL63" i="8"/>
  <c r="BL63" i="8"/>
  <c r="FG59" i="8"/>
  <c r="BU59" i="8"/>
  <c r="CK63" i="9"/>
  <c r="CM63" i="9" s="1"/>
  <c r="Y63" i="8" s="1"/>
  <c r="EN63" i="9"/>
  <c r="EO63" i="9" s="1"/>
  <c r="ET63" i="9" s="1"/>
  <c r="CP63" i="8" s="1"/>
  <c r="DG63" i="8" s="1"/>
  <c r="Q63" i="11"/>
  <c r="CI63" i="9"/>
  <c r="CB41" i="9"/>
  <c r="CG41" i="9" s="1"/>
  <c r="X41" i="8" s="1"/>
  <c r="FO40" i="8"/>
  <c r="CC40" i="8"/>
  <c r="F40" i="8"/>
  <c r="AC44" i="9"/>
  <c r="AD44" i="9"/>
  <c r="AE44" i="9"/>
  <c r="AF44" i="9"/>
  <c r="AP44" i="9" s="1"/>
  <c r="M44" i="8" s="1"/>
  <c r="AZ44" i="8" s="1"/>
  <c r="CZ44" i="9"/>
  <c r="CY44" i="9"/>
  <c r="DK44" i="9"/>
  <c r="AB44" i="8" s="1"/>
  <c r="BP44" i="8" s="1"/>
  <c r="F42" i="8"/>
  <c r="AS42" i="8" s="1"/>
  <c r="AJ41" i="9"/>
  <c r="AK41" i="9" s="1"/>
  <c r="K88" i="8"/>
  <c r="AX88" i="8" s="1"/>
  <c r="DG88" i="9"/>
  <c r="Z88" i="8" s="1"/>
  <c r="BN88" i="8" s="1"/>
  <c r="DH88" i="9"/>
  <c r="AM88" i="8" s="1"/>
  <c r="CA88" i="8" s="1"/>
  <c r="CW86" i="9"/>
  <c r="AI86" i="8" s="1"/>
  <c r="P86" i="8"/>
  <c r="CV86" i="9"/>
  <c r="V86" i="8" s="1"/>
  <c r="BJ86" i="8" s="1"/>
  <c r="CV88" i="9"/>
  <c r="V88" i="8" s="1"/>
  <c r="BJ88" i="8" s="1"/>
  <c r="CW88" i="9"/>
  <c r="AI88" i="8" s="1"/>
  <c r="P88" i="8"/>
  <c r="AD85" i="9"/>
  <c r="W88" i="8"/>
  <c r="BK88" i="8" s="1"/>
  <c r="Q88" i="8"/>
  <c r="BE88" i="8" s="1"/>
  <c r="AK86" i="9"/>
  <c r="DB86" i="9"/>
  <c r="DA86" i="9"/>
  <c r="EC12" i="8"/>
  <c r="D12" i="27"/>
  <c r="BW12" i="8"/>
  <c r="FI12" i="8"/>
  <c r="BD67" i="8"/>
  <c r="BF67" i="8" s="1"/>
  <c r="R67" i="8"/>
  <c r="R32" i="8"/>
  <c r="BD32" i="8"/>
  <c r="BF32" i="8" s="1"/>
  <c r="R52" i="8"/>
  <c r="BD52" i="8"/>
  <c r="BF52" i="8" s="1"/>
  <c r="BL7" i="8"/>
  <c r="CL7" i="8"/>
  <c r="BW9" i="8"/>
  <c r="D9" i="27"/>
  <c r="EC9" i="8"/>
  <c r="FI9" i="8"/>
  <c r="AP9" i="8"/>
  <c r="AR9" i="8" s="1"/>
  <c r="AT51" i="8"/>
  <c r="AL5" i="8"/>
  <c r="BB5" i="9"/>
  <c r="J5" i="8"/>
  <c r="AT10" i="8"/>
  <c r="BU10" i="8"/>
  <c r="FG10" i="8"/>
  <c r="AT65" i="8"/>
  <c r="AT63" i="8"/>
  <c r="N63" i="8"/>
  <c r="E63" i="8" s="1"/>
  <c r="BB69" i="9"/>
  <c r="J69" i="8"/>
  <c r="FL63" i="8"/>
  <c r="BZ63" i="8"/>
  <c r="IT58" i="8"/>
  <c r="CW84" i="10"/>
  <c r="ES84" i="10" s="1"/>
  <c r="ER84" i="10"/>
  <c r="CW81" i="10"/>
  <c r="ES81" i="10" s="1"/>
  <c r="ER81" i="10"/>
  <c r="CW48" i="10"/>
  <c r="ES48" i="10" s="1"/>
  <c r="ER22" i="10"/>
  <c r="CW22" i="10"/>
  <c r="ES22" i="10" s="1"/>
  <c r="CW20" i="10"/>
  <c r="ES20" i="10" s="1"/>
  <c r="CW14" i="10"/>
  <c r="ES14" i="10" s="1"/>
  <c r="ER14" i="10"/>
  <c r="CW8" i="10"/>
  <c r="ES8" i="10" s="1"/>
  <c r="ER8" i="10"/>
  <c r="CW5" i="10"/>
  <c r="ES5" i="10" s="1"/>
  <c r="ER5" i="10"/>
  <c r="ER71" i="10"/>
  <c r="CW71" i="10"/>
  <c r="ES71" i="10" s="1"/>
  <c r="ER59" i="10"/>
  <c r="CW59" i="10"/>
  <c r="ES59" i="10" s="1"/>
  <c r="ER50" i="10"/>
  <c r="CW45" i="10"/>
  <c r="ES45" i="10" s="1"/>
  <c r="CW37" i="10"/>
  <c r="ES37" i="10" s="1"/>
  <c r="ER37" i="10"/>
  <c r="CW31" i="10"/>
  <c r="ES31" i="10" s="1"/>
  <c r="ER31" i="10"/>
  <c r="ER28" i="10"/>
  <c r="CW28" i="10"/>
  <c r="ES28" i="10" s="1"/>
  <c r="ER25" i="10"/>
  <c r="CW25" i="10"/>
  <c r="ES25" i="10" s="1"/>
  <c r="ER24" i="10"/>
  <c r="CW24" i="10"/>
  <c r="ES24" i="10" s="1"/>
  <c r="ER21" i="10"/>
  <c r="CW21" i="10"/>
  <c r="ES21" i="10" s="1"/>
  <c r="CW19" i="10"/>
  <c r="ES19" i="10" s="1"/>
  <c r="CW18" i="10"/>
  <c r="ES18" i="10" s="1"/>
  <c r="ER18" i="10"/>
  <c r="CW17" i="10"/>
  <c r="ES17" i="10" s="1"/>
  <c r="ER17" i="10"/>
  <c r="ER12" i="10"/>
  <c r="CW12" i="10"/>
  <c r="ES12" i="10" s="1"/>
  <c r="ER10" i="10"/>
  <c r="CW10" i="10"/>
  <c r="ES10" i="10" s="1"/>
  <c r="ER4" i="10"/>
  <c r="CW4" i="10"/>
  <c r="ES4" i="10" s="1"/>
  <c r="G8" i="8"/>
  <c r="EH8" i="9"/>
  <c r="EY8" i="9" s="1"/>
  <c r="CC8" i="9"/>
  <c r="CE8" i="9" s="1"/>
  <c r="FM8" i="9"/>
  <c r="EK8" i="9"/>
  <c r="FB8" i="9" s="1"/>
  <c r="CD8" i="9"/>
  <c r="CF8" i="9" s="1"/>
  <c r="EJ8" i="9"/>
  <c r="FA8" i="9" s="1"/>
  <c r="AG8" i="8"/>
  <c r="EI8" i="9"/>
  <c r="EZ8" i="9" s="1"/>
  <c r="CV87" i="9" l="1"/>
  <c r="V87" i="8" s="1"/>
  <c r="BJ87" i="8" s="1"/>
  <c r="P87" i="8"/>
  <c r="CW87" i="9"/>
  <c r="AI87" i="8" s="1"/>
  <c r="BA63" i="8"/>
  <c r="BC63" i="8" s="1"/>
  <c r="CC41" i="9"/>
  <c r="FO19" i="8"/>
  <c r="DC85" i="9"/>
  <c r="DC88" i="9"/>
  <c r="BW74" i="8"/>
  <c r="DK86" i="9"/>
  <c r="AB86" i="8" s="1"/>
  <c r="BP86" i="8" s="1"/>
  <c r="BW68" i="8"/>
  <c r="CD78" i="9"/>
  <c r="CF78" i="9" s="1"/>
  <c r="BD62" i="8"/>
  <c r="BF62" i="8" s="1"/>
  <c r="R62" i="8"/>
  <c r="CQ81" i="9"/>
  <c r="BX82" i="8"/>
  <c r="FK82" i="9"/>
  <c r="GI82" i="8"/>
  <c r="FM19" i="8"/>
  <c r="CA19" i="8"/>
  <c r="EE79" i="9"/>
  <c r="ED79" i="9"/>
  <c r="BD70" i="8"/>
  <c r="BF70" i="8" s="1"/>
  <c r="R70" i="8"/>
  <c r="BD58" i="8"/>
  <c r="BF58" i="8" s="1"/>
  <c r="R58" i="8"/>
  <c r="C88" i="22"/>
  <c r="E88" i="22" s="1"/>
  <c r="A89" i="22"/>
  <c r="AN88" i="9"/>
  <c r="AU88" i="9" s="1"/>
  <c r="CB88" i="9" s="1"/>
  <c r="CG88" i="9" s="1"/>
  <c r="X88" i="8" s="1"/>
  <c r="BL88" i="8" s="1"/>
  <c r="CC19" i="8"/>
  <c r="D74" i="27"/>
  <c r="AP76" i="9"/>
  <c r="M76" i="8" s="1"/>
  <c r="AZ76" i="8" s="1"/>
  <c r="CJ81" i="9"/>
  <c r="EN50" i="8"/>
  <c r="FX50" i="8"/>
  <c r="HV50" i="8" s="1"/>
  <c r="HJ50" i="8"/>
  <c r="P46" i="8"/>
  <c r="CV46" i="9"/>
  <c r="V46" i="8" s="1"/>
  <c r="BJ46" i="8" s="1"/>
  <c r="CW46" i="9"/>
  <c r="AI46" i="8" s="1"/>
  <c r="FI70" i="8"/>
  <c r="GU70" i="8" s="1"/>
  <c r="GH70" i="8"/>
  <c r="D70" i="27"/>
  <c r="EC70" i="8"/>
  <c r="HI70" i="8" s="1"/>
  <c r="BW70" i="8"/>
  <c r="A8" i="22"/>
  <c r="E7" i="22"/>
  <c r="C7" i="22"/>
  <c r="FX24" i="8"/>
  <c r="EN24" i="8"/>
  <c r="DL81" i="9"/>
  <c r="AO81" i="8" s="1"/>
  <c r="DK81" i="9"/>
  <c r="AB81" i="8" s="1"/>
  <c r="CJ25" i="9"/>
  <c r="BD73" i="8"/>
  <c r="BF73" i="8" s="1"/>
  <c r="R73" i="8"/>
  <c r="DK65" i="9"/>
  <c r="AB65" i="8" s="1"/>
  <c r="DL65" i="9"/>
  <c r="AO65" i="8" s="1"/>
  <c r="DL75" i="9"/>
  <c r="AO75" i="8" s="1"/>
  <c r="DK75" i="9"/>
  <c r="AB75" i="8" s="1"/>
  <c r="BP75" i="8" s="1"/>
  <c r="P13" i="8"/>
  <c r="CV13" i="9"/>
  <c r="V13" i="8" s="1"/>
  <c r="BJ13" i="8" s="1"/>
  <c r="CW13" i="9"/>
  <c r="AI13" i="8" s="1"/>
  <c r="DY79" i="9"/>
  <c r="DX79" i="9"/>
  <c r="CW76" i="9"/>
  <c r="AI76" i="8" s="1"/>
  <c r="CV76" i="9"/>
  <c r="V76" i="8" s="1"/>
  <c r="BJ76" i="8" s="1"/>
  <c r="P76" i="8"/>
  <c r="A61" i="24"/>
  <c r="H60" i="24"/>
  <c r="B60" i="24"/>
  <c r="F60" i="24"/>
  <c r="D60" i="24"/>
  <c r="A10" i="24"/>
  <c r="B9" i="24"/>
  <c r="F9" i="24"/>
  <c r="D9" i="24"/>
  <c r="FS90" i="8"/>
  <c r="A91" i="24"/>
  <c r="C90" i="24"/>
  <c r="E90" i="24" s="1"/>
  <c r="W76" i="8"/>
  <c r="BK76" i="8" s="1"/>
  <c r="Q76" i="8"/>
  <c r="BE76" i="8" s="1"/>
  <c r="CB36" i="9"/>
  <c r="CG36" i="9" s="1"/>
  <c r="X36" i="8" s="1"/>
  <c r="CD36" i="9"/>
  <c r="CF36" i="9" s="1"/>
  <c r="EJ36" i="9"/>
  <c r="FA36" i="9" s="1"/>
  <c r="FM36" i="9"/>
  <c r="EI36" i="9"/>
  <c r="EZ36" i="9" s="1"/>
  <c r="CC36" i="9"/>
  <c r="CE36" i="9" s="1"/>
  <c r="CJ36" i="9" s="1"/>
  <c r="T36" i="8"/>
  <c r="BH36" i="8" s="1"/>
  <c r="G36" i="8"/>
  <c r="AT36" i="8" s="1"/>
  <c r="EH36" i="9"/>
  <c r="EY36" i="9" s="1"/>
  <c r="EK36" i="9"/>
  <c r="FB36" i="9" s="1"/>
  <c r="CW4" i="9"/>
  <c r="AI4" i="8" s="1"/>
  <c r="P4" i="8"/>
  <c r="CV4" i="9"/>
  <c r="V4" i="8" s="1"/>
  <c r="BJ4" i="8" s="1"/>
  <c r="M81" i="8"/>
  <c r="AZ81" i="8" s="1"/>
  <c r="AQ81" i="9"/>
  <c r="BA81" i="9" s="1"/>
  <c r="J81" i="8" s="1"/>
  <c r="N81" i="8" s="1"/>
  <c r="E81" i="8" s="1"/>
  <c r="AF41" i="9"/>
  <c r="AP41" i="9" s="1"/>
  <c r="M41" i="8" s="1"/>
  <c r="AZ41" i="8" s="1"/>
  <c r="EF49" i="8"/>
  <c r="DL86" i="9"/>
  <c r="AO86" i="8" s="1"/>
  <c r="CC86" i="8" s="1"/>
  <c r="D68" i="27"/>
  <c r="AQ65" i="9"/>
  <c r="BA65" i="9" s="1"/>
  <c r="J65" i="8" s="1"/>
  <c r="EC62" i="8"/>
  <c r="BW62" i="8"/>
  <c r="D62" i="27"/>
  <c r="FI62" i="8"/>
  <c r="D73" i="27"/>
  <c r="BW73" i="8"/>
  <c r="EC73" i="8"/>
  <c r="HI73" i="8" s="1"/>
  <c r="FI73" i="8"/>
  <c r="GU73" i="8" s="1"/>
  <c r="GH73" i="8"/>
  <c r="W82" i="8"/>
  <c r="BK82" i="8" s="1"/>
  <c r="BK82" i="9"/>
  <c r="Q82" i="8"/>
  <c r="BE82" i="8" s="1"/>
  <c r="BW58" i="8"/>
  <c r="D58" i="27"/>
  <c r="FI58" i="8"/>
  <c r="EC58" i="8"/>
  <c r="E60" i="22"/>
  <c r="G60" i="22"/>
  <c r="A61" i="22"/>
  <c r="C60" i="22"/>
  <c r="FK76" i="9"/>
  <c r="BX76" i="8"/>
  <c r="GI76" i="8"/>
  <c r="AC82" i="9"/>
  <c r="AF82" i="9"/>
  <c r="AP82" i="9" s="1"/>
  <c r="M82" i="8" s="1"/>
  <c r="AZ82" i="8" s="1"/>
  <c r="AD82" i="9"/>
  <c r="CY82" i="9"/>
  <c r="CZ82" i="9"/>
  <c r="AE82" i="9"/>
  <c r="BB74" i="9"/>
  <c r="CI74" i="9" s="1"/>
  <c r="J74" i="8"/>
  <c r="FN28" i="8"/>
  <c r="CB28" i="8"/>
  <c r="EC19" i="8"/>
  <c r="D19" i="27"/>
  <c r="BW19" i="8"/>
  <c r="FI19" i="8"/>
  <c r="GM73" i="8"/>
  <c r="DZ73" i="8"/>
  <c r="FN73" i="8"/>
  <c r="CB73" i="8"/>
  <c r="DK45" i="9"/>
  <c r="AB45" i="8" s="1"/>
  <c r="BP45" i="8" s="1"/>
  <c r="DI46" i="9"/>
  <c r="AA46" i="8" s="1"/>
  <c r="BO46" i="8" s="1"/>
  <c r="AO46" i="9"/>
  <c r="L46" i="8" s="1"/>
  <c r="AY46" i="8" s="1"/>
  <c r="DJ46" i="9"/>
  <c r="AN46" i="8" s="1"/>
  <c r="K48" i="8"/>
  <c r="AX48" i="8" s="1"/>
  <c r="AN48" i="9"/>
  <c r="AU48" i="9" s="1"/>
  <c r="DH48" i="9"/>
  <c r="AM48" i="8" s="1"/>
  <c r="DG48" i="9"/>
  <c r="Z48" i="8" s="1"/>
  <c r="DH70" i="9"/>
  <c r="AM70" i="8" s="1"/>
  <c r="DG70" i="9"/>
  <c r="Z70" i="8" s="1"/>
  <c r="K70" i="8"/>
  <c r="AX70" i="8" s="1"/>
  <c r="AN70" i="9"/>
  <c r="AU70" i="9" s="1"/>
  <c r="BB65" i="9"/>
  <c r="CA28" i="8"/>
  <c r="FM28" i="8"/>
  <c r="FX13" i="8"/>
  <c r="EN13" i="8"/>
  <c r="EE72" i="9"/>
  <c r="ED72" i="9"/>
  <c r="AO11" i="9"/>
  <c r="DJ11" i="9"/>
  <c r="AN11" i="8" s="1"/>
  <c r="DI11" i="9"/>
  <c r="AA11" i="8" s="1"/>
  <c r="DD26" i="9"/>
  <c r="DJ26" i="9" s="1"/>
  <c r="AN26" i="8" s="1"/>
  <c r="DC26" i="9"/>
  <c r="DI26" i="9" s="1"/>
  <c r="AA26" i="8" s="1"/>
  <c r="AO26" i="9"/>
  <c r="L26" i="8" s="1"/>
  <c r="AY26" i="8" s="1"/>
  <c r="DL4" i="9"/>
  <c r="AO4" i="8" s="1"/>
  <c r="DK4" i="9"/>
  <c r="AB4" i="8" s="1"/>
  <c r="BP4" i="8" s="1"/>
  <c r="J35" i="8"/>
  <c r="BB35" i="9"/>
  <c r="T37" i="8"/>
  <c r="BH37" i="8" s="1"/>
  <c r="EJ37" i="9"/>
  <c r="FA37" i="9" s="1"/>
  <c r="EI37" i="9"/>
  <c r="EZ37" i="9" s="1"/>
  <c r="AG37" i="8"/>
  <c r="FM37" i="9"/>
  <c r="EK37" i="9"/>
  <c r="FB37" i="9" s="1"/>
  <c r="CD37" i="9"/>
  <c r="CF37" i="9" s="1"/>
  <c r="CB37" i="9"/>
  <c r="CG37" i="9" s="1"/>
  <c r="X37" i="8" s="1"/>
  <c r="EH37" i="9"/>
  <c r="EY37" i="9" s="1"/>
  <c r="CC37" i="9"/>
  <c r="CE37" i="9" s="1"/>
  <c r="G37" i="8"/>
  <c r="AT37" i="8" s="1"/>
  <c r="EC39" i="8"/>
  <c r="BW39" i="8"/>
  <c r="D39" i="27"/>
  <c r="FI39" i="8"/>
  <c r="AK30" i="9"/>
  <c r="DA30" i="9"/>
  <c r="DB30" i="9"/>
  <c r="CQ78" i="9"/>
  <c r="FX67" i="8"/>
  <c r="EN67" i="8"/>
  <c r="DB48" i="9"/>
  <c r="DA48" i="9"/>
  <c r="AK48" i="9"/>
  <c r="FX76" i="8"/>
  <c r="HV76" i="8" s="1"/>
  <c r="EN76" i="8"/>
  <c r="HJ76" i="8"/>
  <c r="FX77" i="8"/>
  <c r="HV77" i="8" s="1"/>
  <c r="EN77" i="8"/>
  <c r="HJ77" i="8"/>
  <c r="AN24" i="9"/>
  <c r="AU24" i="9" s="1"/>
  <c r="CD24" i="9" s="1"/>
  <c r="CF24" i="9" s="1"/>
  <c r="DG24" i="9"/>
  <c r="Z24" i="8" s="1"/>
  <c r="DH24" i="9"/>
  <c r="AM24" i="8" s="1"/>
  <c r="K24" i="8"/>
  <c r="AX24" i="8" s="1"/>
  <c r="BW69" i="8"/>
  <c r="FI69" i="8"/>
  <c r="GU69" i="8" s="1"/>
  <c r="D69" i="27"/>
  <c r="GH69" i="8"/>
  <c r="EC69" i="8"/>
  <c r="HI69" i="8" s="1"/>
  <c r="FX78" i="8"/>
  <c r="HV78" i="8" s="1"/>
  <c r="EN78" i="8"/>
  <c r="HJ78" i="8"/>
  <c r="FM15" i="8"/>
  <c r="CA15" i="8"/>
  <c r="DG75" i="9"/>
  <c r="Z75" i="8" s="1"/>
  <c r="AN75" i="9"/>
  <c r="AU75" i="9" s="1"/>
  <c r="DH75" i="9"/>
  <c r="AM75" i="8" s="1"/>
  <c r="K75" i="8"/>
  <c r="AX75" i="8" s="1"/>
  <c r="CD11" i="9"/>
  <c r="CF11" i="9" s="1"/>
  <c r="G11" i="8"/>
  <c r="AT11" i="8" s="1"/>
  <c r="CC11" i="9"/>
  <c r="CE11" i="9" s="1"/>
  <c r="FM11" i="9"/>
  <c r="AG11" i="8"/>
  <c r="DI15" i="9"/>
  <c r="AA15" i="8" s="1"/>
  <c r="DJ15" i="9"/>
  <c r="AN15" i="8" s="1"/>
  <c r="AO15" i="9"/>
  <c r="L15" i="8" s="1"/>
  <c r="AY15" i="8" s="1"/>
  <c r="K84" i="8"/>
  <c r="AX84" i="8" s="1"/>
  <c r="AN84" i="9"/>
  <c r="AU84" i="9" s="1"/>
  <c r="DG84" i="9"/>
  <c r="Z84" i="8" s="1"/>
  <c r="DH84" i="9"/>
  <c r="AM84" i="8" s="1"/>
  <c r="M47" i="8"/>
  <c r="AZ47" i="8" s="1"/>
  <c r="AQ47" i="9"/>
  <c r="BA47" i="9" s="1"/>
  <c r="CB62" i="8"/>
  <c r="FN62" i="8"/>
  <c r="FM17" i="8"/>
  <c r="CA17" i="8"/>
  <c r="BD23" i="8"/>
  <c r="BF23" i="8" s="1"/>
  <c r="R23" i="8"/>
  <c r="CJ7" i="9"/>
  <c r="BD39" i="8"/>
  <c r="BF39" i="8" s="1"/>
  <c r="R39" i="8"/>
  <c r="BU49" i="8"/>
  <c r="FG49" i="8"/>
  <c r="GS49" i="8" s="1"/>
  <c r="GF49" i="8"/>
  <c r="GP49" i="8" s="1"/>
  <c r="AG73" i="8"/>
  <c r="EJ73" i="9"/>
  <c r="FA73" i="9" s="1"/>
  <c r="CD73" i="9"/>
  <c r="CF73" i="9" s="1"/>
  <c r="CC73" i="9"/>
  <c r="CE73" i="9" s="1"/>
  <c r="CJ73" i="9" s="1"/>
  <c r="EI73" i="9"/>
  <c r="EZ73" i="9" s="1"/>
  <c r="G73" i="8"/>
  <c r="AT73" i="8" s="1"/>
  <c r="EK73" i="9"/>
  <c r="FB73" i="9" s="1"/>
  <c r="EH73" i="9"/>
  <c r="EY73" i="9" s="1"/>
  <c r="FM73" i="9"/>
  <c r="CB73" i="9"/>
  <c r="CG73" i="9" s="1"/>
  <c r="X73" i="8" s="1"/>
  <c r="FI44" i="8"/>
  <c r="BW44" i="8"/>
  <c r="D44" i="27"/>
  <c r="AF24" i="9"/>
  <c r="AP24" i="9" s="1"/>
  <c r="M24" i="8" s="1"/>
  <c r="AZ24" i="8" s="1"/>
  <c r="DL24" i="9"/>
  <c r="AO24" i="8" s="1"/>
  <c r="DK24" i="9"/>
  <c r="AB24" i="8" s="1"/>
  <c r="BP24" i="8" s="1"/>
  <c r="BN15" i="8"/>
  <c r="CS15" i="8"/>
  <c r="CY15" i="8" s="1"/>
  <c r="AO66" i="9"/>
  <c r="L66" i="8" s="1"/>
  <c r="AY66" i="8" s="1"/>
  <c r="DJ66" i="9"/>
  <c r="AN66" i="8" s="1"/>
  <c r="DI66" i="9"/>
  <c r="AA66" i="8" s="1"/>
  <c r="BO66" i="8" s="1"/>
  <c r="AF84" i="9"/>
  <c r="AP84" i="9" s="1"/>
  <c r="M84" i="8" s="1"/>
  <c r="AZ84" i="8" s="1"/>
  <c r="DK84" i="9"/>
  <c r="AB84" i="8" s="1"/>
  <c r="BP84" i="8" s="1"/>
  <c r="DL84" i="9"/>
  <c r="AO84" i="8" s="1"/>
  <c r="DK47" i="9"/>
  <c r="AB47" i="8" s="1"/>
  <c r="DL47" i="9"/>
  <c r="AO47" i="8" s="1"/>
  <c r="BB77" i="9"/>
  <c r="J77" i="8"/>
  <c r="BN17" i="8"/>
  <c r="CS17" i="8"/>
  <c r="CY17" i="8" s="1"/>
  <c r="FT38" i="8"/>
  <c r="EG38" i="8"/>
  <c r="EL38" i="8"/>
  <c r="HF38" i="8"/>
  <c r="EC23" i="8"/>
  <c r="BW23" i="8"/>
  <c r="FI23" i="8"/>
  <c r="D23" i="27"/>
  <c r="BB58" i="9"/>
  <c r="AL58" i="8"/>
  <c r="J58" i="8"/>
  <c r="G46" i="8"/>
  <c r="AT46" i="8" s="1"/>
  <c r="CC46" i="9"/>
  <c r="CE46" i="9" s="1"/>
  <c r="FM46" i="9"/>
  <c r="CD46" i="9"/>
  <c r="CF46" i="9" s="1"/>
  <c r="DL58" i="9"/>
  <c r="AO58" i="8" s="1"/>
  <c r="DK58" i="9"/>
  <c r="AB58" i="8" s="1"/>
  <c r="AO73" i="9"/>
  <c r="DI73" i="9"/>
  <c r="AA73" i="8" s="1"/>
  <c r="R19" i="8"/>
  <c r="BD19" i="8"/>
  <c r="BF19" i="8" s="1"/>
  <c r="DD48" i="9"/>
  <c r="DC48" i="9"/>
  <c r="FX39" i="8"/>
  <c r="EN39" i="8"/>
  <c r="DA70" i="9"/>
  <c r="AK70" i="9"/>
  <c r="DB70" i="9"/>
  <c r="BD44" i="8"/>
  <c r="BF44" i="8" s="1"/>
  <c r="R44" i="8"/>
  <c r="AL6" i="8"/>
  <c r="BB6" i="9"/>
  <c r="J6" i="8"/>
  <c r="R69" i="8"/>
  <c r="BD69" i="8"/>
  <c r="BF69" i="8" s="1"/>
  <c r="DL28" i="9"/>
  <c r="AO28" i="8" s="1"/>
  <c r="DK28" i="9"/>
  <c r="AB28" i="8" s="1"/>
  <c r="AG15" i="8"/>
  <c r="CD15" i="9"/>
  <c r="CF15" i="9" s="1"/>
  <c r="FM15" i="9"/>
  <c r="CC15" i="9"/>
  <c r="CE15" i="9" s="1"/>
  <c r="G15" i="8"/>
  <c r="AT15" i="8" s="1"/>
  <c r="EH66" i="9"/>
  <c r="EY66" i="9" s="1"/>
  <c r="AG66" i="8"/>
  <c r="CD66" i="9"/>
  <c r="CF66" i="9" s="1"/>
  <c r="FM66" i="9"/>
  <c r="EJ66" i="9"/>
  <c r="FA66" i="9" s="1"/>
  <c r="CB66" i="9"/>
  <c r="CG66" i="9" s="1"/>
  <c r="X66" i="8" s="1"/>
  <c r="EI66" i="9"/>
  <c r="EZ66" i="9" s="1"/>
  <c r="CC66" i="9"/>
  <c r="CE66" i="9" s="1"/>
  <c r="CJ66" i="9" s="1"/>
  <c r="T66" i="8"/>
  <c r="BH66" i="8" s="1"/>
  <c r="G66" i="8"/>
  <c r="AT66" i="8" s="1"/>
  <c r="EK66" i="9"/>
  <c r="FB66" i="9" s="1"/>
  <c r="FG51" i="8"/>
  <c r="BU51" i="8"/>
  <c r="BN26" i="8"/>
  <c r="CS26" i="8"/>
  <c r="CY26" i="8" s="1"/>
  <c r="DK8" i="9"/>
  <c r="AB8" i="8" s="1"/>
  <c r="BP8" i="8" s="1"/>
  <c r="DL8" i="9"/>
  <c r="AO8" i="8" s="1"/>
  <c r="EK34" i="9"/>
  <c r="FB34" i="9" s="1"/>
  <c r="G34" i="8"/>
  <c r="AT34" i="8" s="1"/>
  <c r="EI34" i="9"/>
  <c r="EZ34" i="9" s="1"/>
  <c r="EH34" i="9"/>
  <c r="EY34" i="9" s="1"/>
  <c r="FM34" i="9"/>
  <c r="CB34" i="9"/>
  <c r="CG34" i="9" s="1"/>
  <c r="X34" i="8" s="1"/>
  <c r="CD34" i="9"/>
  <c r="CF34" i="9" s="1"/>
  <c r="AG34" i="8"/>
  <c r="CC34" i="9"/>
  <c r="CE34" i="9" s="1"/>
  <c r="T34" i="8"/>
  <c r="BH34" i="8" s="1"/>
  <c r="EJ34" i="9"/>
  <c r="FA34" i="9" s="1"/>
  <c r="EJ64" i="9"/>
  <c r="FA64" i="9" s="1"/>
  <c r="G64" i="8"/>
  <c r="AT64" i="8" s="1"/>
  <c r="CC64" i="9"/>
  <c r="CE64" i="9" s="1"/>
  <c r="FM64" i="9"/>
  <c r="CB64" i="9"/>
  <c r="CG64" i="9" s="1"/>
  <c r="X64" i="8" s="1"/>
  <c r="AG64" i="8"/>
  <c r="EK64" i="9"/>
  <c r="FB64" i="9" s="1"/>
  <c r="EI64" i="9"/>
  <c r="EZ64" i="9" s="1"/>
  <c r="T64" i="8"/>
  <c r="BH64" i="8" s="1"/>
  <c r="EH64" i="9"/>
  <c r="EY64" i="9" s="1"/>
  <c r="CD64" i="9"/>
  <c r="CF64" i="9" s="1"/>
  <c r="BU81" i="8"/>
  <c r="FG81" i="8"/>
  <c r="GS81" i="8" s="1"/>
  <c r="GF81" i="8"/>
  <c r="EC49" i="8"/>
  <c r="HI49" i="8" s="1"/>
  <c r="CB79" i="9"/>
  <c r="CG79" i="9" s="1"/>
  <c r="X79" i="8" s="1"/>
  <c r="FM79" i="9"/>
  <c r="AG79" i="8"/>
  <c r="EI79" i="9"/>
  <c r="EZ79" i="9" s="1"/>
  <c r="CC79" i="9"/>
  <c r="CE79" i="9" s="1"/>
  <c r="G79" i="8"/>
  <c r="EH79" i="9"/>
  <c r="EY79" i="9" s="1"/>
  <c r="EJ79" i="9"/>
  <c r="FA79" i="9" s="1"/>
  <c r="CD79" i="9"/>
  <c r="CF79" i="9" s="1"/>
  <c r="EK79" i="9"/>
  <c r="FB79" i="9" s="1"/>
  <c r="CA78" i="8"/>
  <c r="FM78" i="8"/>
  <c r="GY78" i="8" s="1"/>
  <c r="GL78" i="8"/>
  <c r="DD30" i="9"/>
  <c r="DC30" i="9"/>
  <c r="AG20" i="8"/>
  <c r="CC20" i="9"/>
  <c r="CE20" i="9" s="1"/>
  <c r="CJ20" i="9" s="1"/>
  <c r="CD20" i="9"/>
  <c r="CF20" i="9" s="1"/>
  <c r="FM20" i="9"/>
  <c r="G20" i="8"/>
  <c r="AT20" i="8" s="1"/>
  <c r="BL25" i="8"/>
  <c r="CL25" i="8"/>
  <c r="FX26" i="8"/>
  <c r="EN26" i="8"/>
  <c r="CA26" i="8"/>
  <c r="FM26" i="8"/>
  <c r="EH78" i="9"/>
  <c r="EY78" i="9" s="1"/>
  <c r="G78" i="8"/>
  <c r="AT78" i="8" s="1"/>
  <c r="CB78" i="9"/>
  <c r="CG78" i="9" s="1"/>
  <c r="X78" i="8" s="1"/>
  <c r="AG78" i="8"/>
  <c r="EK78" i="9"/>
  <c r="FB78" i="9" s="1"/>
  <c r="EJ78" i="9"/>
  <c r="FA78" i="9" s="1"/>
  <c r="CC78" i="9"/>
  <c r="CE78" i="9" s="1"/>
  <c r="CJ78" i="9" s="1"/>
  <c r="EI78" i="9"/>
  <c r="EZ78" i="9" s="1"/>
  <c r="FM78" i="9"/>
  <c r="DJ37" i="9"/>
  <c r="AN37" i="8" s="1"/>
  <c r="DI37" i="9"/>
  <c r="AA37" i="8" s="1"/>
  <c r="AO37" i="9"/>
  <c r="AT81" i="8"/>
  <c r="AG46" i="8"/>
  <c r="BU25" i="8"/>
  <c r="FG25" i="8"/>
  <c r="DL50" i="9"/>
  <c r="AO50" i="8" s="1"/>
  <c r="DK50" i="9"/>
  <c r="AB50" i="8" s="1"/>
  <c r="BP50" i="8" s="1"/>
  <c r="DD18" i="9"/>
  <c r="DC18" i="9"/>
  <c r="AO14" i="9"/>
  <c r="DJ14" i="9"/>
  <c r="AN14" i="8" s="1"/>
  <c r="DI14" i="9"/>
  <c r="AA14" i="8" s="1"/>
  <c r="DL32" i="9"/>
  <c r="AO32" i="8" s="1"/>
  <c r="DK32" i="9"/>
  <c r="AB32" i="8" s="1"/>
  <c r="FM28" i="9"/>
  <c r="CC28" i="9"/>
  <c r="CE28" i="9" s="1"/>
  <c r="G28" i="8"/>
  <c r="AT28" i="8" s="1"/>
  <c r="CD28" i="9"/>
  <c r="CF28" i="9" s="1"/>
  <c r="AG28" i="8"/>
  <c r="EB72" i="9"/>
  <c r="EA72" i="9"/>
  <c r="T79" i="8"/>
  <c r="BH79" i="8" s="1"/>
  <c r="DB75" i="9"/>
  <c r="DA75" i="9"/>
  <c r="AK75" i="9"/>
  <c r="CL51" i="8"/>
  <c r="BL51" i="8"/>
  <c r="BN34" i="8"/>
  <c r="CS34" i="8"/>
  <c r="CY34" i="8" s="1"/>
  <c r="DL30" i="9"/>
  <c r="AO30" i="8" s="1"/>
  <c r="DK30" i="9"/>
  <c r="AB30" i="8" s="1"/>
  <c r="BP30" i="8" s="1"/>
  <c r="FX15" i="8"/>
  <c r="EN15" i="8"/>
  <c r="DG54" i="9"/>
  <c r="Z54" i="8" s="1"/>
  <c r="CI54" i="8" s="1"/>
  <c r="CX54" i="8" s="1"/>
  <c r="DH54" i="9"/>
  <c r="AM54" i="8" s="1"/>
  <c r="K54" i="8"/>
  <c r="AX54" i="8" s="1"/>
  <c r="AN86" i="9"/>
  <c r="AU86" i="9" s="1"/>
  <c r="CA37" i="8"/>
  <c r="FM37" i="8"/>
  <c r="DJ79" i="9"/>
  <c r="AN79" i="8" s="1"/>
  <c r="DI79" i="9"/>
  <c r="AA79" i="8" s="1"/>
  <c r="BO79" i="8" s="1"/>
  <c r="AO79" i="9"/>
  <c r="AO64" i="9"/>
  <c r="L64" i="8" s="1"/>
  <c r="AY64" i="8" s="1"/>
  <c r="DJ64" i="9"/>
  <c r="AN64" i="8" s="1"/>
  <c r="DI64" i="9"/>
  <c r="AA64" i="8" s="1"/>
  <c r="BO64" i="8" s="1"/>
  <c r="T14" i="8"/>
  <c r="BH14" i="8" s="1"/>
  <c r="EJ14" i="9"/>
  <c r="FA14" i="9" s="1"/>
  <c r="CC14" i="9"/>
  <c r="CE14" i="9" s="1"/>
  <c r="AG14" i="8"/>
  <c r="CD14" i="9"/>
  <c r="CF14" i="9" s="1"/>
  <c r="CB14" i="9"/>
  <c r="CG14" i="9" s="1"/>
  <c r="X14" i="8" s="1"/>
  <c r="EI14" i="9"/>
  <c r="EZ14" i="9" s="1"/>
  <c r="EH14" i="9"/>
  <c r="EY14" i="9" s="1"/>
  <c r="FM14" i="9"/>
  <c r="EK14" i="9"/>
  <c r="FB14" i="9" s="1"/>
  <c r="G14" i="8"/>
  <c r="M32" i="8"/>
  <c r="AZ32" i="8" s="1"/>
  <c r="AQ32" i="9"/>
  <c r="BA32" i="9" s="1"/>
  <c r="FN52" i="8"/>
  <c r="CB52" i="8"/>
  <c r="CQ72" i="9"/>
  <c r="CD72" i="9"/>
  <c r="CF72" i="9" s="1"/>
  <c r="EC44" i="8"/>
  <c r="DC75" i="9"/>
  <c r="DD75" i="9"/>
  <c r="AN26" i="9"/>
  <c r="AU26" i="9" s="1"/>
  <c r="FX17" i="8"/>
  <c r="EN17" i="8"/>
  <c r="CA34" i="8"/>
  <c r="FM34" i="8"/>
  <c r="DJ78" i="9"/>
  <c r="AN78" i="8" s="1"/>
  <c r="AF54" i="9"/>
  <c r="AP54" i="9" s="1"/>
  <c r="M54" i="8" s="1"/>
  <c r="AZ54" i="8" s="1"/>
  <c r="DK54" i="9"/>
  <c r="AB54" i="8" s="1"/>
  <c r="BP54" i="8" s="1"/>
  <c r="DL54" i="9"/>
  <c r="AO54" i="8" s="1"/>
  <c r="DZ54" i="8" s="1"/>
  <c r="DK41" i="9"/>
  <c r="AB41" i="8" s="1"/>
  <c r="BP41" i="8" s="1"/>
  <c r="FM62" i="9"/>
  <c r="EJ62" i="9"/>
  <c r="FA62" i="9" s="1"/>
  <c r="G62" i="8"/>
  <c r="AT62" i="8" s="1"/>
  <c r="EH62" i="9"/>
  <c r="EY62" i="9" s="1"/>
  <c r="EI62" i="9"/>
  <c r="EZ62" i="9" s="1"/>
  <c r="EK62" i="9"/>
  <c r="FB62" i="9" s="1"/>
  <c r="AG62" i="8"/>
  <c r="CS37" i="8"/>
  <c r="CY37" i="8" s="1"/>
  <c r="BN37" i="8"/>
  <c r="DG30" i="9"/>
  <c r="Z30" i="8" s="1"/>
  <c r="DH30" i="9"/>
  <c r="AM30" i="8" s="1"/>
  <c r="K30" i="8"/>
  <c r="AX30" i="8" s="1"/>
  <c r="AN30" i="9"/>
  <c r="AU30" i="9" s="1"/>
  <c r="DC70" i="9"/>
  <c r="DD70" i="9"/>
  <c r="CS28" i="8"/>
  <c r="CY28" i="8" s="1"/>
  <c r="BN28" i="8"/>
  <c r="AL38" i="8"/>
  <c r="J38" i="8"/>
  <c r="BB38" i="9"/>
  <c r="T73" i="8"/>
  <c r="BH73" i="8" s="1"/>
  <c r="G17" i="8"/>
  <c r="AT17" i="8" s="1"/>
  <c r="T17" i="8"/>
  <c r="BH17" i="8" s="1"/>
  <c r="FM17" i="9"/>
  <c r="EH17" i="9"/>
  <c r="EY17" i="9" s="1"/>
  <c r="AG17" i="8"/>
  <c r="CD17" i="9"/>
  <c r="CF17" i="9" s="1"/>
  <c r="CC17" i="9"/>
  <c r="CE17" i="9" s="1"/>
  <c r="EI17" i="9"/>
  <c r="EZ17" i="9" s="1"/>
  <c r="EJ17" i="9"/>
  <c r="FA17" i="9" s="1"/>
  <c r="EK17" i="9"/>
  <c r="FB17" i="9" s="1"/>
  <c r="CB17" i="9"/>
  <c r="CG17" i="9" s="1"/>
  <c r="X17" i="8" s="1"/>
  <c r="CC72" i="9"/>
  <c r="CE72" i="9" s="1"/>
  <c r="FM72" i="9"/>
  <c r="AG72" i="8"/>
  <c r="EJ72" i="9"/>
  <c r="FA72" i="9" s="1"/>
  <c r="CB72" i="9"/>
  <c r="CG72" i="9" s="1"/>
  <c r="X72" i="8" s="1"/>
  <c r="EH72" i="9"/>
  <c r="EY72" i="9" s="1"/>
  <c r="EK72" i="9"/>
  <c r="FB72" i="9" s="1"/>
  <c r="G72" i="8"/>
  <c r="AT72" i="8" s="1"/>
  <c r="T72" i="8"/>
  <c r="BH72" i="8" s="1"/>
  <c r="EI72" i="9"/>
  <c r="EZ72" i="9" s="1"/>
  <c r="L51" i="8"/>
  <c r="AY51" i="8" s="1"/>
  <c r="AQ51" i="9"/>
  <c r="BA51" i="9" s="1"/>
  <c r="BB39" i="9"/>
  <c r="J39" i="8"/>
  <c r="AL39" i="8"/>
  <c r="CL39" i="8"/>
  <c r="BL39" i="8"/>
  <c r="CJ39" i="9"/>
  <c r="EX42" i="9"/>
  <c r="EW42" i="9"/>
  <c r="BG42" i="8"/>
  <c r="FF42" i="8"/>
  <c r="BT42" i="8"/>
  <c r="ED42" i="8"/>
  <c r="FI16" i="8"/>
  <c r="U12" i="8"/>
  <c r="BI12" i="8" s="1"/>
  <c r="EH12" i="9"/>
  <c r="EY12" i="9" s="1"/>
  <c r="EK12" i="9"/>
  <c r="FB12" i="9" s="1"/>
  <c r="EJ12" i="9"/>
  <c r="FA12" i="9" s="1"/>
  <c r="EI12" i="9"/>
  <c r="EZ12" i="9" s="1"/>
  <c r="DI4" i="9"/>
  <c r="AA4" i="8" s="1"/>
  <c r="L4" i="8"/>
  <c r="AY4" i="8" s="1"/>
  <c r="AQ4" i="9"/>
  <c r="BA4" i="9" s="1"/>
  <c r="EW12" i="9"/>
  <c r="EX12" i="9"/>
  <c r="BG12" i="8"/>
  <c r="EA12" i="9"/>
  <c r="EB12" i="9"/>
  <c r="CB12" i="9"/>
  <c r="CG12" i="9" s="1"/>
  <c r="X12" i="8" s="1"/>
  <c r="BU12" i="9"/>
  <c r="T12" i="8" s="1"/>
  <c r="BH12" i="8" s="1"/>
  <c r="DJ4" i="9"/>
  <c r="AN4" i="8" s="1"/>
  <c r="CE62" i="9"/>
  <c r="IQ71" i="8"/>
  <c r="CX71" i="8"/>
  <c r="G4" i="8"/>
  <c r="AG4" i="8"/>
  <c r="FM4" i="9"/>
  <c r="CC4" i="9"/>
  <c r="CE4" i="9" s="1"/>
  <c r="CD4" i="9"/>
  <c r="CF4" i="9" s="1"/>
  <c r="DV12" i="9"/>
  <c r="DU12" i="9"/>
  <c r="FI68" i="8"/>
  <c r="GU68" i="8" s="1"/>
  <c r="BD68" i="8"/>
  <c r="BF68" i="8" s="1"/>
  <c r="BU35" i="8"/>
  <c r="CD35" i="8" s="1"/>
  <c r="CF35" i="8" s="1"/>
  <c r="FG35" i="8"/>
  <c r="FQ35" i="8" s="1"/>
  <c r="FO15" i="8"/>
  <c r="CC15" i="8"/>
  <c r="DZ15" i="8"/>
  <c r="CJ35" i="9"/>
  <c r="M15" i="8"/>
  <c r="AZ15" i="8" s="1"/>
  <c r="AQ15" i="9"/>
  <c r="BA15" i="9" s="1"/>
  <c r="CD62" i="9"/>
  <c r="CF62" i="9" s="1"/>
  <c r="CK6" i="9"/>
  <c r="CM6" i="9" s="1"/>
  <c r="EC68" i="8"/>
  <c r="HI68" i="8" s="1"/>
  <c r="FD57" i="8"/>
  <c r="CF57" i="11" s="1"/>
  <c r="P83" i="8"/>
  <c r="CW83" i="9"/>
  <c r="AI83" i="8" s="1"/>
  <c r="CV83" i="9"/>
  <c r="V83" i="8" s="1"/>
  <c r="BJ83" i="8" s="1"/>
  <c r="BO19" i="8"/>
  <c r="CI19" i="8"/>
  <c r="CX19" i="8" s="1"/>
  <c r="EK54" i="9"/>
  <c r="FB54" i="9" s="1"/>
  <c r="EH54" i="9"/>
  <c r="EY54" i="9" s="1"/>
  <c r="CB54" i="9"/>
  <c r="CG54" i="9" s="1"/>
  <c r="X54" i="8" s="1"/>
  <c r="G54" i="8"/>
  <c r="EI54" i="9"/>
  <c r="EZ54" i="9" s="1"/>
  <c r="FM54" i="9"/>
  <c r="EJ54" i="9"/>
  <c r="FA54" i="9" s="1"/>
  <c r="CD54" i="9"/>
  <c r="CF54" i="9" s="1"/>
  <c r="T54" i="8"/>
  <c r="BH54" i="8" s="1"/>
  <c r="AG54" i="8"/>
  <c r="CC54" i="9"/>
  <c r="CE54" i="9" s="1"/>
  <c r="AP26" i="9"/>
  <c r="M26" i="8" s="1"/>
  <c r="DK53" i="9"/>
  <c r="AB53" i="8" s="1"/>
  <c r="BP53" i="8" s="1"/>
  <c r="CD49" i="8"/>
  <c r="CF49" i="8" s="1"/>
  <c r="CC29" i="8"/>
  <c r="DK76" i="9"/>
  <c r="AB76" i="8" s="1"/>
  <c r="BP76" i="8" s="1"/>
  <c r="BU7" i="8"/>
  <c r="FG7" i="8"/>
  <c r="GA71" i="8"/>
  <c r="HY71" i="8" s="1"/>
  <c r="HR71" i="8"/>
  <c r="BU43" i="9"/>
  <c r="EL59" i="8"/>
  <c r="EG59" i="8"/>
  <c r="EM59" i="8" s="1"/>
  <c r="FT59" i="8"/>
  <c r="GA59" i="8" s="1"/>
  <c r="R16" i="8"/>
  <c r="BD16" i="8"/>
  <c r="BF16" i="8" s="1"/>
  <c r="FM18" i="8"/>
  <c r="CA18" i="8"/>
  <c r="CD87" i="9"/>
  <c r="CF87" i="9" s="1"/>
  <c r="AQ61" i="9"/>
  <c r="AF29" i="9"/>
  <c r="AP29" i="9" s="1"/>
  <c r="M29" i="8" s="1"/>
  <c r="AZ29" i="8" s="1"/>
  <c r="FK90" i="8"/>
  <c r="AQ54" i="9"/>
  <c r="BA54" i="9" s="1"/>
  <c r="L54" i="8"/>
  <c r="AY54" i="8" s="1"/>
  <c r="FN54" i="8"/>
  <c r="CB54" i="8"/>
  <c r="BW41" i="8"/>
  <c r="D41" i="27"/>
  <c r="EC41" i="8"/>
  <c r="FI41" i="8"/>
  <c r="EI18" i="9"/>
  <c r="EZ18" i="9" s="1"/>
  <c r="G18" i="8"/>
  <c r="AT18" i="8" s="1"/>
  <c r="CB18" i="9"/>
  <c r="CG18" i="9" s="1"/>
  <c r="X18" i="8" s="1"/>
  <c r="EJ18" i="9"/>
  <c r="FA18" i="9" s="1"/>
  <c r="EH18" i="9"/>
  <c r="EY18" i="9" s="1"/>
  <c r="EK18" i="9"/>
  <c r="FB18" i="9" s="1"/>
  <c r="CD18" i="9"/>
  <c r="CF18" i="9" s="1"/>
  <c r="CC18" i="9"/>
  <c r="CE18" i="9" s="1"/>
  <c r="AG18" i="8"/>
  <c r="T18" i="8"/>
  <c r="BH18" i="8" s="1"/>
  <c r="FM18" i="9"/>
  <c r="EA43" i="9"/>
  <c r="EB43" i="9"/>
  <c r="BO54" i="8"/>
  <c r="DC86" i="9"/>
  <c r="DI86" i="9" s="1"/>
  <c r="AA86" i="8" s="1"/>
  <c r="BO86" i="8" s="1"/>
  <c r="AF53" i="9"/>
  <c r="AP53" i="9" s="1"/>
  <c r="M53" i="8" s="1"/>
  <c r="AZ53" i="8" s="1"/>
  <c r="DK29" i="9"/>
  <c r="AB29" i="8" s="1"/>
  <c r="BP29" i="8" s="1"/>
  <c r="BU8" i="9"/>
  <c r="T8" i="8" s="1"/>
  <c r="EW44" i="9"/>
  <c r="FU83" i="8"/>
  <c r="HS83" i="8" s="1"/>
  <c r="HG83" i="8"/>
  <c r="EM71" i="8"/>
  <c r="HM71" i="8"/>
  <c r="CS18" i="8"/>
  <c r="CY18" i="8" s="1"/>
  <c r="BN18" i="8"/>
  <c r="DU43" i="9"/>
  <c r="DV43" i="9"/>
  <c r="DJ84" i="9"/>
  <c r="AN84" i="8" s="1"/>
  <c r="AO84" i="9"/>
  <c r="DI84" i="9"/>
  <c r="AA84" i="8" s="1"/>
  <c r="BO34" i="8"/>
  <c r="CI34" i="8"/>
  <c r="CX34" i="8" s="1"/>
  <c r="CB25" i="8"/>
  <c r="FN25" i="8"/>
  <c r="DZ25" i="8"/>
  <c r="BO25" i="8"/>
  <c r="CI25" i="8"/>
  <c r="CX25" i="8" s="1"/>
  <c r="CD49" i="9"/>
  <c r="CF49" i="9" s="1"/>
  <c r="BU13" i="9"/>
  <c r="FJ57" i="9"/>
  <c r="AW57" i="8"/>
  <c r="BA57" i="8" s="1"/>
  <c r="BC57" i="8" s="1"/>
  <c r="N57" i="8"/>
  <c r="E57" i="8" s="1"/>
  <c r="AQ34" i="9"/>
  <c r="BA34" i="9" s="1"/>
  <c r="L34" i="8"/>
  <c r="AY34" i="8" s="1"/>
  <c r="BU32" i="9"/>
  <c r="T32" i="8" s="1"/>
  <c r="BH32" i="8" s="1"/>
  <c r="EA13" i="9"/>
  <c r="EB13" i="9"/>
  <c r="CC34" i="8"/>
  <c r="FO34" i="8"/>
  <c r="BG32" i="8"/>
  <c r="EX32" i="9"/>
  <c r="EW32" i="9"/>
  <c r="DV32" i="9"/>
  <c r="DU32" i="9"/>
  <c r="L25" i="8"/>
  <c r="AY25" i="8" s="1"/>
  <c r="AQ25" i="9"/>
  <c r="BA25" i="9" s="1"/>
  <c r="G19" i="8"/>
  <c r="AT19" i="8" s="1"/>
  <c r="EK19" i="9"/>
  <c r="FB19" i="9" s="1"/>
  <c r="EH19" i="9"/>
  <c r="EY19" i="9" s="1"/>
  <c r="FM19" i="9"/>
  <c r="EJ19" i="9"/>
  <c r="FA19" i="9" s="1"/>
  <c r="CC19" i="9"/>
  <c r="CE19" i="9" s="1"/>
  <c r="CD19" i="9"/>
  <c r="CF19" i="9" s="1"/>
  <c r="EI19" i="9"/>
  <c r="EZ19" i="9" s="1"/>
  <c r="T19" i="8"/>
  <c r="BH19" i="8" s="1"/>
  <c r="CB19" i="9"/>
  <c r="CG19" i="9" s="1"/>
  <c r="X19" i="8" s="1"/>
  <c r="AG19" i="8"/>
  <c r="DV13" i="9"/>
  <c r="DU13" i="9"/>
  <c r="CI57" i="9"/>
  <c r="EN57" i="9"/>
  <c r="EO57" i="9" s="1"/>
  <c r="ET57" i="9" s="1"/>
  <c r="CP57" i="8" s="1"/>
  <c r="DG57" i="8" s="1"/>
  <c r="Q57" i="11"/>
  <c r="FT9" i="8"/>
  <c r="GA9" i="8" s="1"/>
  <c r="EL9" i="8"/>
  <c r="EG9" i="8"/>
  <c r="EM9" i="8" s="1"/>
  <c r="U32" i="8"/>
  <c r="BI32" i="8" s="1"/>
  <c r="EI32" i="9"/>
  <c r="EZ32" i="9" s="1"/>
  <c r="EJ32" i="9"/>
  <c r="FA32" i="9" s="1"/>
  <c r="EH32" i="9"/>
  <c r="EY32" i="9" s="1"/>
  <c r="EK32" i="9"/>
  <c r="FB32" i="9" s="1"/>
  <c r="BU45" i="9"/>
  <c r="EX13" i="9"/>
  <c r="EW13" i="9"/>
  <c r="BG13" i="8"/>
  <c r="AL55" i="8"/>
  <c r="BB55" i="9"/>
  <c r="J55" i="8"/>
  <c r="FL57" i="8"/>
  <c r="FQ57" i="8" s="1"/>
  <c r="BZ57" i="8"/>
  <c r="CD57" i="8" s="1"/>
  <c r="CF57" i="8" s="1"/>
  <c r="DZ34" i="8"/>
  <c r="CB34" i="8"/>
  <c r="FN34" i="8"/>
  <c r="J59" i="8"/>
  <c r="AL59" i="8"/>
  <c r="BB59" i="9"/>
  <c r="CK59" i="9" s="1"/>
  <c r="CM59" i="9" s="1"/>
  <c r="Y59" i="8" s="1"/>
  <c r="EB32" i="9"/>
  <c r="EA32" i="9"/>
  <c r="BA19" i="9"/>
  <c r="CJ62" i="9"/>
  <c r="U69" i="8"/>
  <c r="BI69" i="8" s="1"/>
  <c r="EI69" i="9"/>
  <c r="EZ69" i="9" s="1"/>
  <c r="EH69" i="9"/>
  <c r="EY69" i="9" s="1"/>
  <c r="EK69" i="9"/>
  <c r="FB69" i="9" s="1"/>
  <c r="EJ69" i="9"/>
  <c r="FA69" i="9" s="1"/>
  <c r="EW20" i="9"/>
  <c r="EX20" i="9"/>
  <c r="BG20" i="8"/>
  <c r="EA15" i="9"/>
  <c r="EB15" i="9"/>
  <c r="BO8" i="8"/>
  <c r="FY49" i="8"/>
  <c r="HW49" i="8" s="1"/>
  <c r="EB49" i="8"/>
  <c r="CB28" i="9"/>
  <c r="CG28" i="9" s="1"/>
  <c r="X28" i="8" s="1"/>
  <c r="BU28" i="9"/>
  <c r="T28" i="8" s="1"/>
  <c r="BH28" i="8" s="1"/>
  <c r="DV28" i="9"/>
  <c r="DU28" i="9"/>
  <c r="DK36" i="9"/>
  <c r="AB36" i="8" s="1"/>
  <c r="BP36" i="8" s="1"/>
  <c r="DL36" i="9"/>
  <c r="AO36" i="8" s="1"/>
  <c r="EA69" i="9"/>
  <c r="EB69" i="9"/>
  <c r="U20" i="8"/>
  <c r="BI20" i="8" s="1"/>
  <c r="EJ20" i="9"/>
  <c r="FA20" i="9" s="1"/>
  <c r="EI20" i="9"/>
  <c r="EZ20" i="9" s="1"/>
  <c r="EK20" i="9"/>
  <c r="FB20" i="9" s="1"/>
  <c r="EH20" i="9"/>
  <c r="EY20" i="9" s="1"/>
  <c r="R56" i="8"/>
  <c r="BD56" i="8"/>
  <c r="BF56" i="8" s="1"/>
  <c r="DV15" i="9"/>
  <c r="DU15" i="9"/>
  <c r="EJ15" i="9"/>
  <c r="FA15" i="9" s="1"/>
  <c r="U15" i="8"/>
  <c r="BI15" i="8" s="1"/>
  <c r="EH15" i="9"/>
  <c r="EY15" i="9" s="1"/>
  <c r="EI15" i="9"/>
  <c r="EZ15" i="9" s="1"/>
  <c r="EK15" i="9"/>
  <c r="FB15" i="9" s="1"/>
  <c r="DL12" i="9"/>
  <c r="AO12" i="8" s="1"/>
  <c r="DK12" i="9"/>
  <c r="AB12" i="8" s="1"/>
  <c r="BP12" i="8" s="1"/>
  <c r="AO36" i="9"/>
  <c r="DI36" i="9"/>
  <c r="AA36" i="8" s="1"/>
  <c r="DJ36" i="9"/>
  <c r="AN36" i="8" s="1"/>
  <c r="EI28" i="9"/>
  <c r="EZ28" i="9" s="1"/>
  <c r="EK28" i="9"/>
  <c r="FB28" i="9" s="1"/>
  <c r="U28" i="8"/>
  <c r="BI28" i="8" s="1"/>
  <c r="EH28" i="9"/>
  <c r="EY28" i="9" s="1"/>
  <c r="EJ28" i="9"/>
  <c r="FA28" i="9" s="1"/>
  <c r="EX69" i="9"/>
  <c r="BG69" i="8"/>
  <c r="EW69" i="9"/>
  <c r="DU69" i="9"/>
  <c r="DV69" i="9"/>
  <c r="BU20" i="9"/>
  <c r="T20" i="8" s="1"/>
  <c r="BH20" i="8" s="1"/>
  <c r="CB20" i="9"/>
  <c r="CG20" i="9" s="1"/>
  <c r="X20" i="8" s="1"/>
  <c r="BW56" i="8"/>
  <c r="D56" i="27"/>
  <c r="EC56" i="8"/>
  <c r="FI56" i="8"/>
  <c r="EX15" i="9"/>
  <c r="BG15" i="8"/>
  <c r="EW15" i="9"/>
  <c r="EW41" i="9"/>
  <c r="BG41" i="8"/>
  <c r="EX41" i="9"/>
  <c r="ED45" i="8"/>
  <c r="FF45" i="8"/>
  <c r="BT45" i="8"/>
  <c r="DK74" i="9"/>
  <c r="AB74" i="8" s="1"/>
  <c r="DL74" i="9"/>
  <c r="AO74" i="8" s="1"/>
  <c r="DL10" i="9"/>
  <c r="AO10" i="8" s="1"/>
  <c r="DK10" i="9"/>
  <c r="AB10" i="8" s="1"/>
  <c r="EA28" i="9"/>
  <c r="EB28" i="9"/>
  <c r="BB28" i="9"/>
  <c r="AL28" i="8"/>
  <c r="J28" i="8"/>
  <c r="BU69" i="9"/>
  <c r="T69" i="8" s="1"/>
  <c r="BH69" i="8" s="1"/>
  <c r="CB69" i="9"/>
  <c r="CG69" i="9" s="1"/>
  <c r="X69" i="8" s="1"/>
  <c r="DV20" i="9"/>
  <c r="DU20" i="9"/>
  <c r="EB20" i="9"/>
  <c r="EA20" i="9"/>
  <c r="CB15" i="9"/>
  <c r="CG15" i="9" s="1"/>
  <c r="X15" i="8" s="1"/>
  <c r="BU15" i="9"/>
  <c r="T15" i="8" s="1"/>
  <c r="BH15" i="8" s="1"/>
  <c r="BT41" i="8"/>
  <c r="FF41" i="8"/>
  <c r="ED41" i="8"/>
  <c r="L8" i="8"/>
  <c r="AY8" i="8" s="1"/>
  <c r="AQ8" i="9"/>
  <c r="BA8" i="9" s="1"/>
  <c r="M10" i="8"/>
  <c r="AZ10" i="8" s="1"/>
  <c r="AQ10" i="9"/>
  <c r="BA10" i="9" s="1"/>
  <c r="BG28" i="8"/>
  <c r="EX28" i="9"/>
  <c r="EW28" i="9"/>
  <c r="FN61" i="8"/>
  <c r="CB61" i="8"/>
  <c r="BU40" i="9"/>
  <c r="EL49" i="8"/>
  <c r="FT49" i="8"/>
  <c r="EG49" i="8"/>
  <c r="EH49" i="8" s="1"/>
  <c r="HF49" i="8"/>
  <c r="EA8" i="9"/>
  <c r="EB8" i="9"/>
  <c r="DB21" i="9"/>
  <c r="DA21" i="9"/>
  <c r="AN21" i="9"/>
  <c r="AU21" i="9" s="1"/>
  <c r="AK21" i="9"/>
  <c r="BU81" i="9"/>
  <c r="T81" i="8" s="1"/>
  <c r="BH81" i="8" s="1"/>
  <c r="CB81" i="9"/>
  <c r="CG81" i="9" s="1"/>
  <c r="X81" i="8" s="1"/>
  <c r="BG81" i="8"/>
  <c r="EW81" i="9"/>
  <c r="EX81" i="9"/>
  <c r="BU4" i="9"/>
  <c r="T4" i="8" s="1"/>
  <c r="CB4" i="9"/>
  <c r="CG4" i="9" s="1"/>
  <c r="X4" i="8" s="1"/>
  <c r="D57" i="28"/>
  <c r="BM57" i="8"/>
  <c r="BQ57" i="8" s="1"/>
  <c r="BS57" i="8" s="1"/>
  <c r="AC57" i="8"/>
  <c r="AE57" i="8" s="1"/>
  <c r="DD21" i="9"/>
  <c r="DC21" i="9"/>
  <c r="CL62" i="8"/>
  <c r="BL62" i="8"/>
  <c r="BG44" i="8"/>
  <c r="EX44" i="9"/>
  <c r="AA44" i="9"/>
  <c r="CQ44" i="9" s="1"/>
  <c r="EX77" i="9"/>
  <c r="EW77" i="9"/>
  <c r="BG77" i="8"/>
  <c r="DU77" i="9"/>
  <c r="DV77" i="9"/>
  <c r="EA83" i="9"/>
  <c r="EB83" i="9"/>
  <c r="DK16" i="9"/>
  <c r="AB16" i="8" s="1"/>
  <c r="DL16" i="9"/>
  <c r="AO16" i="8" s="1"/>
  <c r="EG67" i="8"/>
  <c r="EM67" i="8" s="1"/>
  <c r="EL67" i="8"/>
  <c r="FT67" i="8"/>
  <c r="GA67" i="8" s="1"/>
  <c r="FN50" i="8"/>
  <c r="GZ50" i="8" s="1"/>
  <c r="CB50" i="8"/>
  <c r="DZ50" i="8"/>
  <c r="GM50" i="8"/>
  <c r="CC76" i="8"/>
  <c r="FO76" i="8"/>
  <c r="HA76" i="8" s="1"/>
  <c r="GN76" i="8"/>
  <c r="BU46" i="9"/>
  <c r="T46" i="8" s="1"/>
  <c r="BH46" i="8" s="1"/>
  <c r="CB46" i="9"/>
  <c r="CG46" i="9" s="1"/>
  <c r="X46" i="8" s="1"/>
  <c r="EN71" i="9"/>
  <c r="EO71" i="9" s="1"/>
  <c r="ET71" i="9" s="1"/>
  <c r="CP71" i="8" s="1"/>
  <c r="CI71" i="9"/>
  <c r="CK71" i="9"/>
  <c r="CL71" i="9"/>
  <c r="Q71" i="11"/>
  <c r="BB17" i="9"/>
  <c r="J17" i="8"/>
  <c r="AL17" i="8"/>
  <c r="DI12" i="9"/>
  <c r="AA12" i="8" s="1"/>
  <c r="DJ12" i="9"/>
  <c r="AN12" i="8" s="1"/>
  <c r="AO12" i="9"/>
  <c r="FN7" i="8"/>
  <c r="CB7" i="8"/>
  <c r="AF21" i="9"/>
  <c r="AP21" i="9" s="1"/>
  <c r="M21" i="8" s="1"/>
  <c r="AZ21" i="8" s="1"/>
  <c r="DK21" i="9"/>
  <c r="AB21" i="8" s="1"/>
  <c r="BP21" i="8" s="1"/>
  <c r="DL21" i="9"/>
  <c r="AO21" i="8" s="1"/>
  <c r="EB81" i="9"/>
  <c r="EA81" i="9"/>
  <c r="DL72" i="9"/>
  <c r="AO72" i="8" s="1"/>
  <c r="DK72" i="9"/>
  <c r="AB72" i="8" s="1"/>
  <c r="BP72" i="8" s="1"/>
  <c r="BG4" i="8"/>
  <c r="EW4" i="9"/>
  <c r="EX4" i="9"/>
  <c r="EL51" i="8"/>
  <c r="EG51" i="8"/>
  <c r="EM51" i="8" s="1"/>
  <c r="FT51" i="8"/>
  <c r="GA51" i="8" s="1"/>
  <c r="AQ52" i="9"/>
  <c r="M52" i="8"/>
  <c r="AZ52" i="8" s="1"/>
  <c r="U77" i="8"/>
  <c r="BI77" i="8" s="1"/>
  <c r="EK77" i="9"/>
  <c r="FB77" i="9" s="1"/>
  <c r="EH77" i="9"/>
  <c r="EY77" i="9" s="1"/>
  <c r="EJ77" i="9"/>
  <c r="FA77" i="9" s="1"/>
  <c r="EI77" i="9"/>
  <c r="EZ77" i="9" s="1"/>
  <c r="DK66" i="9"/>
  <c r="AB66" i="8" s="1"/>
  <c r="DL66" i="9"/>
  <c r="AO66" i="8" s="1"/>
  <c r="M16" i="8"/>
  <c r="AZ16" i="8" s="1"/>
  <c r="AQ16" i="9"/>
  <c r="BA16" i="9" s="1"/>
  <c r="BO50" i="8"/>
  <c r="DU46" i="9"/>
  <c r="DV46" i="9"/>
  <c r="N71" i="8"/>
  <c r="E71" i="8" s="1"/>
  <c r="FJ71" i="9"/>
  <c r="AW71" i="8"/>
  <c r="BA71" i="8" s="1"/>
  <c r="BC71" i="8" s="1"/>
  <c r="DU8" i="9"/>
  <c r="DV8" i="9"/>
  <c r="EX8" i="9"/>
  <c r="BG8" i="8"/>
  <c r="EW8" i="9"/>
  <c r="AQ7" i="9"/>
  <c r="BA7" i="9" s="1"/>
  <c r="L7" i="8"/>
  <c r="AY7" i="8" s="1"/>
  <c r="FU82" i="8"/>
  <c r="HS82" i="8" s="1"/>
  <c r="HG82" i="8"/>
  <c r="U81" i="8"/>
  <c r="BI81" i="8" s="1"/>
  <c r="EK81" i="9"/>
  <c r="FB81" i="9" s="1"/>
  <c r="EI81" i="9"/>
  <c r="EZ81" i="9" s="1"/>
  <c r="EJ81" i="9"/>
  <c r="FA81" i="9" s="1"/>
  <c r="EH81" i="9"/>
  <c r="EY81" i="9" s="1"/>
  <c r="EB4" i="9"/>
  <c r="EA4" i="9"/>
  <c r="U4" i="8"/>
  <c r="BI4" i="8" s="1"/>
  <c r="EH4" i="9"/>
  <c r="EY4" i="9" s="1"/>
  <c r="EJ4" i="9"/>
  <c r="FA4" i="9" s="1"/>
  <c r="EI4" i="9"/>
  <c r="EZ4" i="9" s="1"/>
  <c r="EK4" i="9"/>
  <c r="FB4" i="9" s="1"/>
  <c r="DL52" i="9"/>
  <c r="AO52" i="8" s="1"/>
  <c r="DK52" i="9"/>
  <c r="AB52" i="8" s="1"/>
  <c r="BU77" i="9"/>
  <c r="T77" i="8" s="1"/>
  <c r="BH77" i="8" s="1"/>
  <c r="CB77" i="9"/>
  <c r="CG77" i="9" s="1"/>
  <c r="X77" i="8" s="1"/>
  <c r="AQ66" i="9"/>
  <c r="BA66" i="9" s="1"/>
  <c r="M66" i="8"/>
  <c r="AZ66" i="8" s="1"/>
  <c r="BG83" i="8"/>
  <c r="EW83" i="9"/>
  <c r="EX83" i="9"/>
  <c r="J67" i="8"/>
  <c r="BB67" i="9"/>
  <c r="DL64" i="9"/>
  <c r="AO64" i="8" s="1"/>
  <c r="DK64" i="9"/>
  <c r="AB64" i="8" s="1"/>
  <c r="EB46" i="9"/>
  <c r="EA46" i="9"/>
  <c r="U46" i="8"/>
  <c r="BI46" i="8" s="1"/>
  <c r="EH46" i="9"/>
  <c r="EY46" i="9" s="1"/>
  <c r="EI46" i="9"/>
  <c r="EZ46" i="9" s="1"/>
  <c r="EJ46" i="9"/>
  <c r="FA46" i="9" s="1"/>
  <c r="EK46" i="9"/>
  <c r="FB46" i="9" s="1"/>
  <c r="EL22" i="8"/>
  <c r="FT22" i="8"/>
  <c r="GA22" i="8" s="1"/>
  <c r="EG22" i="8"/>
  <c r="EM22" i="8" s="1"/>
  <c r="BO7" i="8"/>
  <c r="CI7" i="8"/>
  <c r="CX7" i="8" s="1"/>
  <c r="DV81" i="9"/>
  <c r="DU81" i="9"/>
  <c r="DV4" i="9"/>
  <c r="DU4" i="9"/>
  <c r="H57" i="28"/>
  <c r="DS57" i="11"/>
  <c r="BT44" i="8"/>
  <c r="ED44" i="8"/>
  <c r="FF44" i="8"/>
  <c r="AO72" i="9"/>
  <c r="DI72" i="9"/>
  <c r="AA72" i="8" s="1"/>
  <c r="DJ72" i="9"/>
  <c r="AN72" i="8" s="1"/>
  <c r="EA77" i="9"/>
  <c r="EB77" i="9"/>
  <c r="BU83" i="9"/>
  <c r="DU83" i="9"/>
  <c r="DV83" i="9"/>
  <c r="DL60" i="9"/>
  <c r="AO60" i="8" s="1"/>
  <c r="AQ50" i="9"/>
  <c r="BA50" i="9" s="1"/>
  <c r="L50" i="8"/>
  <c r="AY50" i="8" s="1"/>
  <c r="M64" i="8"/>
  <c r="AZ64" i="8" s="1"/>
  <c r="AQ64" i="9"/>
  <c r="BA64" i="9" s="1"/>
  <c r="EW46" i="9"/>
  <c r="BG46" i="8"/>
  <c r="EX46" i="9"/>
  <c r="DL78" i="9"/>
  <c r="AO78" i="8" s="1"/>
  <c r="DK78" i="9"/>
  <c r="AB78" i="8" s="1"/>
  <c r="EG57" i="8"/>
  <c r="FT57" i="8"/>
  <c r="GA57" i="8" s="1"/>
  <c r="EL57" i="8"/>
  <c r="BA61" i="9"/>
  <c r="AN31" i="9"/>
  <c r="AU31" i="9" s="1"/>
  <c r="K31" i="8"/>
  <c r="AX31" i="8" s="1"/>
  <c r="DH31" i="9"/>
  <c r="AM31" i="8" s="1"/>
  <c r="DG31" i="9"/>
  <c r="Z31" i="8" s="1"/>
  <c r="DH29" i="9"/>
  <c r="AM29" i="8" s="1"/>
  <c r="DG29" i="9"/>
  <c r="Z29" i="8" s="1"/>
  <c r="K29" i="8"/>
  <c r="AX29" i="8" s="1"/>
  <c r="AN29" i="9"/>
  <c r="AU29" i="9" s="1"/>
  <c r="DK70" i="9"/>
  <c r="AB70" i="8" s="1"/>
  <c r="DL70" i="9"/>
  <c r="AO70" i="8" s="1"/>
  <c r="AO18" i="9"/>
  <c r="DI18" i="9"/>
  <c r="AA18" i="8" s="1"/>
  <c r="DJ18" i="9"/>
  <c r="AN18" i="8" s="1"/>
  <c r="DD27" i="9"/>
  <c r="DC27" i="9"/>
  <c r="CV45" i="9"/>
  <c r="V45" i="8" s="1"/>
  <c r="BJ45" i="8" s="1"/>
  <c r="P45" i="8"/>
  <c r="CW45" i="9"/>
  <c r="AI45" i="8" s="1"/>
  <c r="BV76" i="8"/>
  <c r="FH76" i="8"/>
  <c r="GT76" i="8" s="1"/>
  <c r="GG76" i="8"/>
  <c r="M62" i="8"/>
  <c r="AZ62" i="8" s="1"/>
  <c r="AQ62" i="9"/>
  <c r="BA62" i="9" s="1"/>
  <c r="EW11" i="9"/>
  <c r="EX11" i="9"/>
  <c r="BG11" i="8"/>
  <c r="M56" i="8"/>
  <c r="AZ56" i="8" s="1"/>
  <c r="AQ56" i="9"/>
  <c r="BA56" i="9" s="1"/>
  <c r="FJ22" i="9"/>
  <c r="AW22" i="8"/>
  <c r="BA22" i="8" s="1"/>
  <c r="BC22" i="8" s="1"/>
  <c r="E57" i="27"/>
  <c r="T57" i="11"/>
  <c r="EI57" i="8"/>
  <c r="ER57" i="8" s="1"/>
  <c r="K60" i="8"/>
  <c r="AX60" i="8" s="1"/>
  <c r="DG60" i="9"/>
  <c r="Z60" i="8" s="1"/>
  <c r="DH60" i="9"/>
  <c r="AM60" i="8" s="1"/>
  <c r="AN60" i="9"/>
  <c r="AU60" i="9" s="1"/>
  <c r="FO27" i="8"/>
  <c r="CC27" i="8"/>
  <c r="CE49" i="9"/>
  <c r="CJ49" i="9" s="1"/>
  <c r="CL49" i="9" s="1"/>
  <c r="U65" i="8"/>
  <c r="BI65" i="8" s="1"/>
  <c r="EJ65" i="9"/>
  <c r="FA65" i="9" s="1"/>
  <c r="EK65" i="9"/>
  <c r="FB65" i="9" s="1"/>
  <c r="EI65" i="9"/>
  <c r="EZ65" i="9" s="1"/>
  <c r="EH65" i="9"/>
  <c r="EY65" i="9" s="1"/>
  <c r="EW43" i="9"/>
  <c r="EX43" i="9"/>
  <c r="BG43" i="8"/>
  <c r="DV6" i="9"/>
  <c r="DU6" i="9"/>
  <c r="BU6" i="9"/>
  <c r="T6" i="8" s="1"/>
  <c r="BH6" i="8" s="1"/>
  <c r="CB6" i="9"/>
  <c r="CG6" i="9" s="1"/>
  <c r="X6" i="8" s="1"/>
  <c r="T35" i="11"/>
  <c r="E35" i="27"/>
  <c r="EI35" i="8"/>
  <c r="ER35" i="8" s="1"/>
  <c r="BZ9" i="8"/>
  <c r="CD9" i="8" s="1"/>
  <c r="CF9" i="8" s="1"/>
  <c r="FL9" i="8"/>
  <c r="FQ9" i="8" s="1"/>
  <c r="CD60" i="9"/>
  <c r="CF60" i="9" s="1"/>
  <c r="CD23" i="9"/>
  <c r="CF23" i="9" s="1"/>
  <c r="DA31" i="9"/>
  <c r="AK31" i="9"/>
  <c r="DB31" i="9"/>
  <c r="DU35" i="9"/>
  <c r="DV35" i="9"/>
  <c r="BG35" i="8"/>
  <c r="EW35" i="9"/>
  <c r="EX35" i="9"/>
  <c r="DJ20" i="9"/>
  <c r="AN20" i="8" s="1"/>
  <c r="AO20" i="9"/>
  <c r="DI20" i="9"/>
  <c r="AA20" i="8" s="1"/>
  <c r="M46" i="8"/>
  <c r="AZ46" i="8" s="1"/>
  <c r="AQ46" i="9"/>
  <c r="BA46" i="9" s="1"/>
  <c r="CC88" i="9"/>
  <c r="CE88" i="9" s="1"/>
  <c r="CE41" i="9"/>
  <c r="CJ41" i="9" s="1"/>
  <c r="FJ74" i="9"/>
  <c r="AW74" i="8"/>
  <c r="BA74" i="8" s="1"/>
  <c r="BC74" i="8" s="1"/>
  <c r="CA61" i="8"/>
  <c r="FM61" i="8"/>
  <c r="DZ61" i="8"/>
  <c r="M70" i="8"/>
  <c r="AZ70" i="8" s="1"/>
  <c r="BT40" i="8"/>
  <c r="ED40" i="8"/>
  <c r="FF40" i="8"/>
  <c r="DK20" i="9"/>
  <c r="AB20" i="8" s="1"/>
  <c r="BP20" i="8" s="1"/>
  <c r="DL20" i="9"/>
  <c r="AO20" i="8" s="1"/>
  <c r="DK33" i="9"/>
  <c r="AB33" i="8" s="1"/>
  <c r="BP33" i="8" s="1"/>
  <c r="AF33" i="9"/>
  <c r="AP33" i="9" s="1"/>
  <c r="M33" i="8" s="1"/>
  <c r="AZ33" i="8" s="1"/>
  <c r="DL33" i="9"/>
  <c r="AO33" i="8" s="1"/>
  <c r="AK27" i="9"/>
  <c r="AO27" i="9" s="1"/>
  <c r="L27" i="8" s="1"/>
  <c r="AY27" i="8" s="1"/>
  <c r="DA27" i="9"/>
  <c r="DB27" i="9"/>
  <c r="CV77" i="9"/>
  <c r="V77" i="8" s="1"/>
  <c r="P77" i="8"/>
  <c r="CW77" i="9"/>
  <c r="AI77" i="8" s="1"/>
  <c r="CW24" i="9"/>
  <c r="AI24" i="8" s="1"/>
  <c r="CV24" i="9"/>
  <c r="V24" i="8" s="1"/>
  <c r="P24" i="8"/>
  <c r="AO68" i="9"/>
  <c r="DI68" i="9"/>
  <c r="AA68" i="8" s="1"/>
  <c r="DJ68" i="9"/>
  <c r="AN68" i="8" s="1"/>
  <c r="DV40" i="9"/>
  <c r="DU40" i="9"/>
  <c r="EB11" i="9"/>
  <c r="EA11" i="9"/>
  <c r="N74" i="8"/>
  <c r="E74" i="8" s="1"/>
  <c r="DD60" i="9"/>
  <c r="DC60" i="9"/>
  <c r="CE23" i="9"/>
  <c r="CJ23" i="9" s="1"/>
  <c r="GZ73" i="8"/>
  <c r="EA65" i="9"/>
  <c r="EB65" i="9"/>
  <c r="FF43" i="8"/>
  <c r="BT43" i="8"/>
  <c r="ED43" i="8"/>
  <c r="EW6" i="9"/>
  <c r="EX6" i="9"/>
  <c r="BG6" i="8"/>
  <c r="DK48" i="9"/>
  <c r="AB48" i="8" s="1"/>
  <c r="DL48" i="9"/>
  <c r="AO48" i="8" s="1"/>
  <c r="FJ9" i="9"/>
  <c r="N9" i="8"/>
  <c r="E9" i="8" s="1"/>
  <c r="AW9" i="8"/>
  <c r="BA9" i="8" s="1"/>
  <c r="BC9" i="8" s="1"/>
  <c r="CL32" i="8"/>
  <c r="BL32" i="8"/>
  <c r="DC76" i="9"/>
  <c r="DD76" i="9"/>
  <c r="BP79" i="8"/>
  <c r="CI79" i="8"/>
  <c r="EP49" i="8"/>
  <c r="HK49" i="8"/>
  <c r="U35" i="8"/>
  <c r="BI35" i="8" s="1"/>
  <c r="EI35" i="9"/>
  <c r="EZ35" i="9" s="1"/>
  <c r="EH35" i="9"/>
  <c r="EY35" i="9" s="1"/>
  <c r="EK35" i="9"/>
  <c r="FB35" i="9" s="1"/>
  <c r="EJ35" i="9"/>
  <c r="FA35" i="9" s="1"/>
  <c r="CC53" i="8"/>
  <c r="FO53" i="8"/>
  <c r="R48" i="8"/>
  <c r="BD48" i="8"/>
  <c r="BF48" i="8" s="1"/>
  <c r="CD88" i="9"/>
  <c r="CF88" i="9" s="1"/>
  <c r="T22" i="11"/>
  <c r="E22" i="27"/>
  <c r="EI22" i="8"/>
  <c r="ER22" i="8" s="1"/>
  <c r="CK74" i="9"/>
  <c r="CX77" i="8"/>
  <c r="CB61" i="9"/>
  <c r="CG61" i="9" s="1"/>
  <c r="X61" i="8" s="1"/>
  <c r="CC61" i="9"/>
  <c r="CE61" i="9" s="1"/>
  <c r="G61" i="8"/>
  <c r="EJ61" i="9"/>
  <c r="FA61" i="9" s="1"/>
  <c r="EK61" i="9"/>
  <c r="FB61" i="9" s="1"/>
  <c r="EI61" i="9"/>
  <c r="EZ61" i="9" s="1"/>
  <c r="EH61" i="9"/>
  <c r="EY61" i="9" s="1"/>
  <c r="CD61" i="9"/>
  <c r="CF61" i="9" s="1"/>
  <c r="T61" i="8"/>
  <c r="BH61" i="8" s="1"/>
  <c r="AG61" i="8"/>
  <c r="FM61" i="9"/>
  <c r="DD83" i="9"/>
  <c r="DC83" i="9"/>
  <c r="AK83" i="9"/>
  <c r="DB83" i="9"/>
  <c r="DA83" i="9"/>
  <c r="AK29" i="9"/>
  <c r="DB29" i="9"/>
  <c r="DA29" i="9"/>
  <c r="DD80" i="9"/>
  <c r="DJ80" i="9" s="1"/>
  <c r="AN80" i="8" s="1"/>
  <c r="DC80" i="9"/>
  <c r="DI80" i="9" s="1"/>
  <c r="AA80" i="8" s="1"/>
  <c r="AN80" i="9"/>
  <c r="AU80" i="9" s="1"/>
  <c r="AO80" i="9"/>
  <c r="EW40" i="9"/>
  <c r="BG40" i="8"/>
  <c r="EX40" i="9"/>
  <c r="AQ78" i="9"/>
  <c r="BA78" i="9" s="1"/>
  <c r="M78" i="8"/>
  <c r="AZ78" i="8" s="1"/>
  <c r="DK13" i="9"/>
  <c r="AB13" i="8" s="1"/>
  <c r="BP13" i="8" s="1"/>
  <c r="AF13" i="9"/>
  <c r="AP13" i="9" s="1"/>
  <c r="M13" i="8" s="1"/>
  <c r="AZ13" i="8" s="1"/>
  <c r="DL13" i="9"/>
  <c r="AO13" i="8" s="1"/>
  <c r="DH33" i="9"/>
  <c r="AM33" i="8" s="1"/>
  <c r="K33" i="8"/>
  <c r="AX33" i="8" s="1"/>
  <c r="DG33" i="9"/>
  <c r="Z33" i="8" s="1"/>
  <c r="AN33" i="9"/>
  <c r="AU33" i="9" s="1"/>
  <c r="DG27" i="9"/>
  <c r="Z27" i="8" s="1"/>
  <c r="K27" i="8"/>
  <c r="AX27" i="8" s="1"/>
  <c r="DH27" i="9"/>
  <c r="AM27" i="8" s="1"/>
  <c r="AN27" i="9"/>
  <c r="AU27" i="9" s="1"/>
  <c r="CD27" i="9" s="1"/>
  <c r="CF27" i="9" s="1"/>
  <c r="BK77" i="8"/>
  <c r="BE24" i="8"/>
  <c r="Q90" i="8"/>
  <c r="BE90" i="8" s="1"/>
  <c r="ED53" i="8"/>
  <c r="BT53" i="8"/>
  <c r="FF53" i="8"/>
  <c r="EB40" i="9"/>
  <c r="EA40" i="9"/>
  <c r="DU11" i="9"/>
  <c r="DV11" i="9"/>
  <c r="BU11" i="9"/>
  <c r="T11" i="8" s="1"/>
  <c r="BH11" i="8" s="1"/>
  <c r="CB11" i="9"/>
  <c r="CG11" i="9" s="1"/>
  <c r="X11" i="8" s="1"/>
  <c r="CK22" i="9"/>
  <c r="CM22" i="9" s="1"/>
  <c r="Y22" i="8" s="1"/>
  <c r="Q22" i="11"/>
  <c r="EN22" i="9"/>
  <c r="EO22" i="9" s="1"/>
  <c r="ET22" i="9" s="1"/>
  <c r="CP22" i="8" s="1"/>
  <c r="DG22" i="8" s="1"/>
  <c r="CI22" i="9"/>
  <c r="CL22" i="9"/>
  <c r="FD22" i="8" s="1"/>
  <c r="CF22" i="11" s="1"/>
  <c r="AK60" i="9"/>
  <c r="DA60" i="9"/>
  <c r="DB60" i="9"/>
  <c r="FT73" i="8"/>
  <c r="EG73" i="8"/>
  <c r="EL73" i="8"/>
  <c r="HF73" i="8"/>
  <c r="CD33" i="9"/>
  <c r="CF33" i="9" s="1"/>
  <c r="P27" i="8"/>
  <c r="CW27" i="9"/>
  <c r="AI27" i="8" s="1"/>
  <c r="CV27" i="9"/>
  <c r="V27" i="8" s="1"/>
  <c r="BJ27" i="8" s="1"/>
  <c r="BD53" i="8"/>
  <c r="BF53" i="8" s="1"/>
  <c r="R53" i="8"/>
  <c r="BU65" i="9"/>
  <c r="T65" i="8" s="1"/>
  <c r="CB65" i="9"/>
  <c r="CG65" i="9" s="1"/>
  <c r="X65" i="8" s="1"/>
  <c r="EB6" i="9"/>
  <c r="EA6" i="9"/>
  <c r="M48" i="8"/>
  <c r="AZ48" i="8" s="1"/>
  <c r="CV36" i="9"/>
  <c r="V36" i="8" s="1"/>
  <c r="BJ36" i="8" s="1"/>
  <c r="P36" i="8"/>
  <c r="CW36" i="9"/>
  <c r="AI36" i="8" s="1"/>
  <c r="CD32" i="9"/>
  <c r="CF32" i="9" s="1"/>
  <c r="DG76" i="9"/>
  <c r="Z76" i="8" s="1"/>
  <c r="K76" i="8"/>
  <c r="AX76" i="8" s="1"/>
  <c r="AN76" i="9"/>
  <c r="AU76" i="9" s="1"/>
  <c r="DH76" i="9"/>
  <c r="AM76" i="8" s="1"/>
  <c r="DZ79" i="8"/>
  <c r="FO79" i="8"/>
  <c r="HA79" i="8" s="1"/>
  <c r="CC79" i="8"/>
  <c r="GN79" i="8"/>
  <c r="EA35" i="9"/>
  <c r="EB35" i="9"/>
  <c r="DL82" i="9"/>
  <c r="AO82" i="8" s="1"/>
  <c r="DK82" i="9"/>
  <c r="AB82" i="8" s="1"/>
  <c r="D48" i="27"/>
  <c r="EC48" i="8"/>
  <c r="HI48" i="8" s="1"/>
  <c r="BW48" i="8"/>
  <c r="FI48" i="8"/>
  <c r="GH48" i="8"/>
  <c r="BN61" i="8"/>
  <c r="CS61" i="8"/>
  <c r="CY61" i="8" s="1"/>
  <c r="CI61" i="8"/>
  <c r="CX61" i="8" s="1"/>
  <c r="K83" i="8"/>
  <c r="AX83" i="8" s="1"/>
  <c r="DG83" i="9"/>
  <c r="Z83" i="8" s="1"/>
  <c r="DH83" i="9"/>
  <c r="AM83" i="8" s="1"/>
  <c r="AN83" i="9"/>
  <c r="AU83" i="9" s="1"/>
  <c r="DL31" i="9"/>
  <c r="AO31" i="8" s="1"/>
  <c r="DK31" i="9"/>
  <c r="AB31" i="8" s="1"/>
  <c r="BP31" i="8" s="1"/>
  <c r="AF31" i="9"/>
  <c r="AP31" i="9" s="1"/>
  <c r="M31" i="8" s="1"/>
  <c r="AZ31" i="8" s="1"/>
  <c r="DC29" i="9"/>
  <c r="DD29" i="9"/>
  <c r="AF80" i="9"/>
  <c r="AP80" i="9" s="1"/>
  <c r="M80" i="8" s="1"/>
  <c r="AZ80" i="8" s="1"/>
  <c r="DL80" i="9"/>
  <c r="AO80" i="8" s="1"/>
  <c r="DK80" i="9"/>
  <c r="AB80" i="8" s="1"/>
  <c r="BP80" i="8" s="1"/>
  <c r="DI23" i="9"/>
  <c r="AA23" i="8" s="1"/>
  <c r="DJ23" i="9"/>
  <c r="AN23" i="8" s="1"/>
  <c r="AO23" i="9"/>
  <c r="FU19" i="8"/>
  <c r="FU90" i="8" s="1"/>
  <c r="EA90" i="8"/>
  <c r="EG17" i="8"/>
  <c r="EM17" i="8" s="1"/>
  <c r="EL17" i="8"/>
  <c r="FT17" i="8"/>
  <c r="GA17" i="8" s="1"/>
  <c r="DD13" i="9"/>
  <c r="DJ13" i="9" s="1"/>
  <c r="AN13" i="8" s="1"/>
  <c r="AN13" i="9"/>
  <c r="AU13" i="9" s="1"/>
  <c r="DC13" i="9"/>
  <c r="DI13" i="9" s="1"/>
  <c r="AA13" i="8" s="1"/>
  <c r="AO13" i="9"/>
  <c r="BK24" i="8"/>
  <c r="W90" i="8"/>
  <c r="BK90" i="8" s="1"/>
  <c r="DI33" i="9"/>
  <c r="AA33" i="8" s="1"/>
  <c r="BO33" i="8" s="1"/>
  <c r="DJ33" i="9"/>
  <c r="AN33" i="8" s="1"/>
  <c r="AO33" i="9"/>
  <c r="L33" i="8" s="1"/>
  <c r="AY33" i="8" s="1"/>
  <c r="DK62" i="9"/>
  <c r="AB62" i="8" s="1"/>
  <c r="DL62" i="9"/>
  <c r="AO62" i="8" s="1"/>
  <c r="EX53" i="9"/>
  <c r="EW53" i="9"/>
  <c r="BG53" i="8"/>
  <c r="U11" i="8"/>
  <c r="BI11" i="8" s="1"/>
  <c r="EK11" i="9"/>
  <c r="FB11" i="9" s="1"/>
  <c r="EH11" i="9"/>
  <c r="EY11" i="9" s="1"/>
  <c r="EI11" i="9"/>
  <c r="EZ11" i="9" s="1"/>
  <c r="EJ11" i="9"/>
  <c r="FA11" i="9" s="1"/>
  <c r="DK56" i="9"/>
  <c r="AB56" i="8" s="1"/>
  <c r="DL56" i="9"/>
  <c r="AO56" i="8" s="1"/>
  <c r="FL22" i="8"/>
  <c r="FQ22" i="8" s="1"/>
  <c r="BZ22" i="8"/>
  <c r="CD22" i="8" s="1"/>
  <c r="CF22" i="8" s="1"/>
  <c r="CL49" i="8"/>
  <c r="BL49" i="8"/>
  <c r="D53" i="27"/>
  <c r="FI53" i="8"/>
  <c r="BW53" i="8"/>
  <c r="EC53" i="8"/>
  <c r="DU65" i="9"/>
  <c r="DV65" i="9"/>
  <c r="EW65" i="9"/>
  <c r="BG65" i="8"/>
  <c r="EX65" i="9"/>
  <c r="U6" i="8"/>
  <c r="BI6" i="8" s="1"/>
  <c r="EK6" i="9"/>
  <c r="FB6" i="9" s="1"/>
  <c r="EH6" i="9"/>
  <c r="EY6" i="9" s="1"/>
  <c r="EI6" i="9"/>
  <c r="EZ6" i="9" s="1"/>
  <c r="EJ6" i="9"/>
  <c r="FA6" i="9" s="1"/>
  <c r="CE32" i="9"/>
  <c r="EN9" i="9"/>
  <c r="EO9" i="9" s="1"/>
  <c r="ET9" i="9" s="1"/>
  <c r="CP9" i="8" s="1"/>
  <c r="DG9" i="8" s="1"/>
  <c r="CL9" i="9"/>
  <c r="CK9" i="9"/>
  <c r="CM9" i="9" s="1"/>
  <c r="Y9" i="8" s="1"/>
  <c r="Q9" i="11"/>
  <c r="CI9" i="9"/>
  <c r="FO63" i="8"/>
  <c r="FQ63" i="8" s="1"/>
  <c r="CC63" i="8"/>
  <c r="CD63" i="8" s="1"/>
  <c r="CF63" i="8" s="1"/>
  <c r="DZ63" i="8"/>
  <c r="CL23" i="8"/>
  <c r="BL23" i="8"/>
  <c r="AK76" i="9"/>
  <c r="DB76" i="9"/>
  <c r="DA76" i="9"/>
  <c r="EN49" i="9"/>
  <c r="EO49" i="9" s="1"/>
  <c r="ET49" i="9" s="1"/>
  <c r="CP49" i="8" s="1"/>
  <c r="DG49" i="8" s="1"/>
  <c r="CI49" i="9"/>
  <c r="Q49" i="11"/>
  <c r="BU35" i="9"/>
  <c r="T35" i="8" s="1"/>
  <c r="BH35" i="8" s="1"/>
  <c r="CB35" i="9"/>
  <c r="CG35" i="9" s="1"/>
  <c r="X35" i="8" s="1"/>
  <c r="DK46" i="9"/>
  <c r="AB46" i="8" s="1"/>
  <c r="DL46" i="9"/>
  <c r="AO46" i="8" s="1"/>
  <c r="BJ48" i="8"/>
  <c r="AO41" i="9"/>
  <c r="D87" i="27"/>
  <c r="BW87" i="8"/>
  <c r="AP5" i="8"/>
  <c r="AR5" i="8" s="1"/>
  <c r="FL5" i="8"/>
  <c r="FQ5" i="8" s="1"/>
  <c r="BZ5" i="8"/>
  <c r="CD5" i="8" s="1"/>
  <c r="CF5" i="8" s="1"/>
  <c r="E9" i="27"/>
  <c r="T9" i="11"/>
  <c r="EI9" i="8"/>
  <c r="ER9" i="8" s="1"/>
  <c r="DD44" i="9"/>
  <c r="DC44" i="9"/>
  <c r="DV45" i="9"/>
  <c r="DU45" i="9"/>
  <c r="DL87" i="9"/>
  <c r="AO87" i="8" s="1"/>
  <c r="CC87" i="8" s="1"/>
  <c r="DK87" i="9"/>
  <c r="AB87" i="8" s="1"/>
  <c r="BP87" i="8" s="1"/>
  <c r="AF87" i="9"/>
  <c r="AP87" i="9" s="1"/>
  <c r="M87" i="8" s="1"/>
  <c r="AZ87" i="8" s="1"/>
  <c r="BV53" i="8"/>
  <c r="FH53" i="8"/>
  <c r="FO83" i="8"/>
  <c r="HA83" i="8" s="1"/>
  <c r="CC83" i="8"/>
  <c r="GN83" i="8"/>
  <c r="BI40" i="8"/>
  <c r="DC45" i="9"/>
  <c r="DD45" i="9"/>
  <c r="CC41" i="8"/>
  <c r="FO41" i="8"/>
  <c r="DB87" i="9"/>
  <c r="AN53" i="9"/>
  <c r="AU53" i="9" s="1"/>
  <c r="DG53" i="9"/>
  <c r="Z53" i="8" s="1"/>
  <c r="K53" i="8"/>
  <c r="AX53" i="8" s="1"/>
  <c r="DH53" i="9"/>
  <c r="AM53" i="8" s="1"/>
  <c r="CL59" i="9"/>
  <c r="G87" i="8"/>
  <c r="CB87" i="9"/>
  <c r="CG87" i="9" s="1"/>
  <c r="X87" i="8" s="1"/>
  <c r="BL87" i="8" s="1"/>
  <c r="T87" i="8"/>
  <c r="AG87" i="8"/>
  <c r="CC87" i="9"/>
  <c r="CE87" i="9" s="1"/>
  <c r="CJ87" i="9" s="1"/>
  <c r="AD42" i="9"/>
  <c r="AE42" i="9"/>
  <c r="AC42" i="9"/>
  <c r="CZ42" i="9"/>
  <c r="CY42" i="9"/>
  <c r="U43" i="9"/>
  <c r="DL43" i="9" s="1"/>
  <c r="AO43" i="8" s="1"/>
  <c r="CQ41" i="9"/>
  <c r="GU38" i="8"/>
  <c r="EO49" i="8"/>
  <c r="HL49" i="8"/>
  <c r="AK85" i="9"/>
  <c r="DB85" i="9"/>
  <c r="DA85" i="9"/>
  <c r="D86" i="27"/>
  <c r="BW86" i="8"/>
  <c r="AK44" i="9"/>
  <c r="DB44" i="9"/>
  <c r="DA44" i="9"/>
  <c r="FC63" i="9"/>
  <c r="D63" i="28"/>
  <c r="BM63" i="8"/>
  <c r="BQ63" i="8" s="1"/>
  <c r="BS63" i="8" s="1"/>
  <c r="BG45" i="8"/>
  <c r="EW45" i="9"/>
  <c r="EX45" i="9"/>
  <c r="S90" i="8"/>
  <c r="BG90" i="8" s="1"/>
  <c r="CC52" i="9"/>
  <c r="CB52" i="9"/>
  <c r="CG52" i="9" s="1"/>
  <c r="X52" i="8" s="1"/>
  <c r="EW52" i="9"/>
  <c r="EX52" i="9"/>
  <c r="BG52" i="8"/>
  <c r="DC40" i="9"/>
  <c r="DD40" i="9"/>
  <c r="CC26" i="8"/>
  <c r="FO26" i="8"/>
  <c r="BP83" i="8"/>
  <c r="AN85" i="9"/>
  <c r="AU85" i="9" s="1"/>
  <c r="BV40" i="8"/>
  <c r="FH40" i="8"/>
  <c r="AH90" i="8"/>
  <c r="BV90" i="8" s="1"/>
  <c r="AK45" i="9"/>
  <c r="DA45" i="9"/>
  <c r="DB45" i="9"/>
  <c r="AS43" i="8"/>
  <c r="AK87" i="9"/>
  <c r="G86" i="8"/>
  <c r="AG86" i="8"/>
  <c r="CB86" i="9"/>
  <c r="CG86" i="9" s="1"/>
  <c r="X86" i="8" s="1"/>
  <c r="BL86" i="8" s="1"/>
  <c r="T86" i="8"/>
  <c r="CD86" i="9"/>
  <c r="CF86" i="9" s="1"/>
  <c r="CC86" i="9"/>
  <c r="CE86" i="9" s="1"/>
  <c r="DA41" i="9"/>
  <c r="DI41" i="9" s="1"/>
  <c r="AA41" i="8" s="1"/>
  <c r="FM41" i="8"/>
  <c r="CA41" i="8"/>
  <c r="FM41" i="9"/>
  <c r="EK41" i="9"/>
  <c r="FB41" i="9" s="1"/>
  <c r="T41" i="8"/>
  <c r="BH41" i="8" s="1"/>
  <c r="EI41" i="9"/>
  <c r="EZ41" i="9" s="1"/>
  <c r="AG41" i="8"/>
  <c r="EJ41" i="9"/>
  <c r="FA41" i="9" s="1"/>
  <c r="EH41" i="9"/>
  <c r="EY41" i="9" s="1"/>
  <c r="G41" i="8"/>
  <c r="EI49" i="8"/>
  <c r="T49" i="11"/>
  <c r="E49" i="27"/>
  <c r="FQ49" i="8"/>
  <c r="GU49" i="8"/>
  <c r="FJ69" i="9"/>
  <c r="N69" i="8"/>
  <c r="E69" i="8" s="1"/>
  <c r="AW69" i="8"/>
  <c r="BA69" i="8" s="1"/>
  <c r="BC69" i="8" s="1"/>
  <c r="AW5" i="8"/>
  <c r="BA5" i="8" s="1"/>
  <c r="BC5" i="8" s="1"/>
  <c r="N5" i="8"/>
  <c r="E5" i="8" s="1"/>
  <c r="FJ5" i="9"/>
  <c r="EB5" i="8" s="1"/>
  <c r="FV5" i="8" s="1"/>
  <c r="D88" i="27"/>
  <c r="BW88" i="8"/>
  <c r="R86" i="8"/>
  <c r="BD86" i="8"/>
  <c r="BF86" i="8" s="1"/>
  <c r="AN44" i="9"/>
  <c r="AU44" i="9" s="1"/>
  <c r="K44" i="8"/>
  <c r="AX44" i="8" s="1"/>
  <c r="DG44" i="9"/>
  <c r="Z44" i="8" s="1"/>
  <c r="DH44" i="9"/>
  <c r="AM44" i="8" s="1"/>
  <c r="DL88" i="9"/>
  <c r="AO88" i="8" s="1"/>
  <c r="CC88" i="8" s="1"/>
  <c r="DK88" i="9"/>
  <c r="AB88" i="8" s="1"/>
  <c r="BP88" i="8" s="1"/>
  <c r="AF88" i="9"/>
  <c r="AP88" i="9" s="1"/>
  <c r="M88" i="8" s="1"/>
  <c r="AZ88" i="8" s="1"/>
  <c r="EC85" i="8"/>
  <c r="BW85" i="8"/>
  <c r="D85" i="27"/>
  <c r="ED52" i="8"/>
  <c r="BT52" i="8"/>
  <c r="FF52" i="8"/>
  <c r="AF90" i="8"/>
  <c r="BT90" i="8" s="1"/>
  <c r="F52" i="8"/>
  <c r="F90" i="8" s="1"/>
  <c r="AS90" i="8" s="1"/>
  <c r="BA52" i="9"/>
  <c r="BB52" i="9" s="1"/>
  <c r="CQ87" i="9"/>
  <c r="AK40" i="9"/>
  <c r="DA40" i="9"/>
  <c r="DB40" i="9"/>
  <c r="AQ26" i="9"/>
  <c r="BA26" i="9" s="1"/>
  <c r="AS45" i="8"/>
  <c r="AU40" i="8"/>
  <c r="H90" i="8"/>
  <c r="AU90" i="8" s="1"/>
  <c r="AN45" i="9"/>
  <c r="AU45" i="9" s="1"/>
  <c r="DH45" i="9"/>
  <c r="AM45" i="8" s="1"/>
  <c r="DG45" i="9"/>
  <c r="Z45" i="8" s="1"/>
  <c r="K45" i="8"/>
  <c r="AX45" i="8" s="1"/>
  <c r="DC53" i="9"/>
  <c r="DD53" i="9"/>
  <c r="EE63" i="8"/>
  <c r="FY63" i="8"/>
  <c r="BV44" i="8"/>
  <c r="FH44" i="8"/>
  <c r="U42" i="9"/>
  <c r="DL42" i="9" s="1"/>
  <c r="AO42" i="8" s="1"/>
  <c r="AD43" i="9"/>
  <c r="AE43" i="9"/>
  <c r="AC43" i="9"/>
  <c r="CY43" i="9"/>
  <c r="CZ43" i="9"/>
  <c r="DK43" i="9"/>
  <c r="AB43" i="8" s="1"/>
  <c r="BP43" i="8" s="1"/>
  <c r="DB41" i="9"/>
  <c r="DJ41" i="9" s="1"/>
  <c r="AN41" i="8" s="1"/>
  <c r="BD87" i="8"/>
  <c r="BF87" i="8" s="1"/>
  <c r="R87" i="8"/>
  <c r="BN41" i="8"/>
  <c r="CS41" i="8"/>
  <c r="CY41" i="8" s="1"/>
  <c r="Q69" i="11"/>
  <c r="CK69" i="9"/>
  <c r="EN69" i="9"/>
  <c r="EO69" i="9" s="1"/>
  <c r="ET69" i="9" s="1"/>
  <c r="CP69" i="8" s="1"/>
  <c r="CI69" i="9"/>
  <c r="CL69" i="9"/>
  <c r="CK5" i="9"/>
  <c r="CM5" i="9" s="1"/>
  <c r="Y5" i="8" s="1"/>
  <c r="CI5" i="9"/>
  <c r="EN5" i="9"/>
  <c r="EO5" i="9" s="1"/>
  <c r="ET5" i="9" s="1"/>
  <c r="CP5" i="8" s="1"/>
  <c r="DG5" i="8" s="1"/>
  <c r="Q5" i="11"/>
  <c r="CL5" i="9"/>
  <c r="AO86" i="9"/>
  <c r="DJ86" i="9"/>
  <c r="AN86" i="8" s="1"/>
  <c r="CB86" i="8" s="1"/>
  <c r="R88" i="8"/>
  <c r="BD88" i="8"/>
  <c r="BF88" i="8" s="1"/>
  <c r="G88" i="8"/>
  <c r="AG88" i="8"/>
  <c r="T88" i="8"/>
  <c r="AS40" i="8"/>
  <c r="BL41" i="8"/>
  <c r="CL41" i="8"/>
  <c r="FD63" i="8"/>
  <c r="CF63" i="11" s="1"/>
  <c r="EG7" i="8"/>
  <c r="EL7" i="8"/>
  <c r="FT7" i="8"/>
  <c r="EA45" i="9"/>
  <c r="EB45" i="9"/>
  <c r="DL85" i="9"/>
  <c r="AO85" i="8" s="1"/>
  <c r="CC85" i="8" s="1"/>
  <c r="DK85" i="9"/>
  <c r="AB85" i="8" s="1"/>
  <c r="BP85" i="8" s="1"/>
  <c r="AF85" i="9"/>
  <c r="AP85" i="9" s="1"/>
  <c r="M85" i="8" s="1"/>
  <c r="AZ85" i="8" s="1"/>
  <c r="R85" i="8"/>
  <c r="BD85" i="8"/>
  <c r="BF85" i="8" s="1"/>
  <c r="AA52" i="9"/>
  <c r="CD52" i="9" s="1"/>
  <c r="CF52" i="9" s="1"/>
  <c r="AN40" i="9"/>
  <c r="AU40" i="9" s="1"/>
  <c r="DG40" i="9"/>
  <c r="Z40" i="8" s="1"/>
  <c r="DH40" i="9"/>
  <c r="AM40" i="8" s="1"/>
  <c r="K40" i="8"/>
  <c r="FT19" i="8"/>
  <c r="GA19" i="8" s="1"/>
  <c r="EG19" i="8"/>
  <c r="EL19" i="8"/>
  <c r="AC63" i="8"/>
  <c r="AE63" i="8" s="1"/>
  <c r="BP26" i="8"/>
  <c r="AK53" i="9"/>
  <c r="DB53" i="9"/>
  <c r="DA53" i="9"/>
  <c r="E63" i="27"/>
  <c r="EI63" i="8"/>
  <c r="ER63" i="8" s="1"/>
  <c r="T63" i="11"/>
  <c r="AK88" i="9"/>
  <c r="DA88" i="9"/>
  <c r="DB88" i="9"/>
  <c r="GU74" i="8"/>
  <c r="BL8" i="8"/>
  <c r="CL8" i="8"/>
  <c r="CJ8" i="9"/>
  <c r="AL8" i="8"/>
  <c r="AP8" i="8" s="1"/>
  <c r="J8" i="8"/>
  <c r="N8" i="8" s="1"/>
  <c r="BB8" i="9"/>
  <c r="AT8" i="8"/>
  <c r="BH8" i="8"/>
  <c r="FG8" i="8"/>
  <c r="BU8" i="8"/>
  <c r="D4" i="27" l="1"/>
  <c r="FI4" i="8"/>
  <c r="BW4" i="8"/>
  <c r="EC4" i="8"/>
  <c r="BO26" i="8"/>
  <c r="CI26" i="8"/>
  <c r="CX26" i="8" s="1"/>
  <c r="A90" i="22"/>
  <c r="C89" i="22"/>
  <c r="E89" i="22" s="1"/>
  <c r="EN74" i="9"/>
  <c r="EO74" i="9" s="1"/>
  <c r="ET74" i="9" s="1"/>
  <c r="CP74" i="8" s="1"/>
  <c r="DG74" i="8" s="1"/>
  <c r="CI8" i="8"/>
  <c r="CX8" i="8" s="1"/>
  <c r="CJ15" i="9"/>
  <c r="BB81" i="9"/>
  <c r="CJ37" i="9"/>
  <c r="DC82" i="9"/>
  <c r="DD82" i="9"/>
  <c r="F61" i="24"/>
  <c r="H61" i="24"/>
  <c r="B61" i="24"/>
  <c r="A62" i="24"/>
  <c r="D61" i="24"/>
  <c r="BD13" i="8"/>
  <c r="BF13" i="8" s="1"/>
  <c r="R13" i="8"/>
  <c r="BP65" i="8"/>
  <c r="CI65" i="8"/>
  <c r="CX65" i="8" s="1"/>
  <c r="BP81" i="8"/>
  <c r="CI81" i="8"/>
  <c r="CX81" i="8" s="1"/>
  <c r="EC46" i="8"/>
  <c r="D46" i="27"/>
  <c r="FI46" i="8"/>
  <c r="BW46" i="8"/>
  <c r="B10" i="24"/>
  <c r="F10" i="24"/>
  <c r="A11" i="24"/>
  <c r="D10" i="24"/>
  <c r="H10" i="24"/>
  <c r="BW76" i="8"/>
  <c r="D76" i="27"/>
  <c r="EC76" i="8"/>
  <c r="HI76" i="8" s="1"/>
  <c r="FI76" i="8"/>
  <c r="GU76" i="8" s="1"/>
  <c r="GH76" i="8"/>
  <c r="CK49" i="9"/>
  <c r="CM49" i="9" s="1"/>
  <c r="Y49" i="8" s="1"/>
  <c r="CL74" i="9"/>
  <c r="Q74" i="11"/>
  <c r="CI50" i="8"/>
  <c r="CX50" i="8" s="1"/>
  <c r="CJ17" i="9"/>
  <c r="K82" i="8"/>
  <c r="AX82" i="8" s="1"/>
  <c r="DG82" i="9"/>
  <c r="Z82" i="8" s="1"/>
  <c r="AN82" i="9"/>
  <c r="AU82" i="9" s="1"/>
  <c r="DH82" i="9"/>
  <c r="AM82" i="8" s="1"/>
  <c r="BD76" i="8"/>
  <c r="BF76" i="8" s="1"/>
  <c r="R76" i="8"/>
  <c r="GN81" i="8"/>
  <c r="CC81" i="8"/>
  <c r="FO81" i="8"/>
  <c r="HA81" i="8" s="1"/>
  <c r="DZ81" i="8"/>
  <c r="AK82" i="9"/>
  <c r="DA82" i="9"/>
  <c r="DB82" i="9"/>
  <c r="FO65" i="8"/>
  <c r="DZ65" i="8"/>
  <c r="CC65" i="8"/>
  <c r="E61" i="22"/>
  <c r="A62" i="22"/>
  <c r="G61" i="22"/>
  <c r="C61" i="22"/>
  <c r="P82" i="8"/>
  <c r="CW82" i="9"/>
  <c r="AI82" i="8" s="1"/>
  <c r="CV82" i="9"/>
  <c r="V82" i="8" s="1"/>
  <c r="BJ82" i="8" s="1"/>
  <c r="BD4" i="8"/>
  <c r="BF4" i="8" s="1"/>
  <c r="R4" i="8"/>
  <c r="CL36" i="8"/>
  <c r="BL36" i="8"/>
  <c r="A92" i="24"/>
  <c r="C91" i="24"/>
  <c r="E91" i="24" s="1"/>
  <c r="FI13" i="8"/>
  <c r="D13" i="27"/>
  <c r="BW13" i="8"/>
  <c r="EC13" i="8"/>
  <c r="GN75" i="8"/>
  <c r="CC75" i="8"/>
  <c r="FO75" i="8"/>
  <c r="HA75" i="8" s="1"/>
  <c r="A9" i="22"/>
  <c r="E8" i="22"/>
  <c r="C8" i="22"/>
  <c r="G8" i="22"/>
  <c r="R46" i="8"/>
  <c r="BD46" i="8"/>
  <c r="BF46" i="8" s="1"/>
  <c r="CB26" i="8"/>
  <c r="FN26" i="8"/>
  <c r="DZ26" i="8"/>
  <c r="FF90" i="8"/>
  <c r="CB78" i="8"/>
  <c r="GM78" i="8"/>
  <c r="FN78" i="8"/>
  <c r="GZ78" i="8" s="1"/>
  <c r="CJ28" i="9"/>
  <c r="L37" i="8"/>
  <c r="AY37" i="8" s="1"/>
  <c r="AQ37" i="9"/>
  <c r="BA37" i="9" s="1"/>
  <c r="BU78" i="8"/>
  <c r="FG78" i="8"/>
  <c r="GS78" i="8" s="1"/>
  <c r="GF78" i="8"/>
  <c r="AT79" i="8"/>
  <c r="BU64" i="8"/>
  <c r="FG64" i="8"/>
  <c r="CJ34" i="9"/>
  <c r="BU66" i="8"/>
  <c r="FG66" i="8"/>
  <c r="CC28" i="8"/>
  <c r="FO28" i="8"/>
  <c r="FO47" i="8"/>
  <c r="HA47" i="8" s="1"/>
  <c r="CC47" i="8"/>
  <c r="DZ47" i="8"/>
  <c r="GN47" i="8"/>
  <c r="CL73" i="8"/>
  <c r="BL73" i="8"/>
  <c r="FJ81" i="9"/>
  <c r="AW81" i="8"/>
  <c r="BA81" i="8" s="1"/>
  <c r="BC81" i="8" s="1"/>
  <c r="AG84" i="8"/>
  <c r="EI84" i="9"/>
  <c r="EZ84" i="9" s="1"/>
  <c r="G84" i="8"/>
  <c r="AT84" i="8" s="1"/>
  <c r="CB84" i="9"/>
  <c r="CG84" i="9" s="1"/>
  <c r="X84" i="8" s="1"/>
  <c r="EH84" i="9"/>
  <c r="EY84" i="9" s="1"/>
  <c r="T84" i="8"/>
  <c r="BH84" i="8" s="1"/>
  <c r="CD84" i="9"/>
  <c r="CF84" i="9" s="1"/>
  <c r="EJ84" i="9"/>
  <c r="FA84" i="9" s="1"/>
  <c r="FM84" i="9"/>
  <c r="CC84" i="9"/>
  <c r="CE84" i="9" s="1"/>
  <c r="CJ84" i="9" s="1"/>
  <c r="EK84" i="9"/>
  <c r="FB84" i="9" s="1"/>
  <c r="BU37" i="8"/>
  <c r="FG37" i="8"/>
  <c r="BN70" i="8"/>
  <c r="CS70" i="8"/>
  <c r="CY70" i="8" s="1"/>
  <c r="CJ72" i="9"/>
  <c r="FO30" i="8"/>
  <c r="HA30" i="8" s="1"/>
  <c r="CC30" i="8"/>
  <c r="GN30" i="8"/>
  <c r="BO37" i="8"/>
  <c r="CI37" i="8"/>
  <c r="CX37" i="8" s="1"/>
  <c r="CL78" i="8"/>
  <c r="BL78" i="8"/>
  <c r="CJ79" i="9"/>
  <c r="BL64" i="8"/>
  <c r="CL64" i="8"/>
  <c r="FG34" i="8"/>
  <c r="BU34" i="8"/>
  <c r="FO8" i="8"/>
  <c r="CC8" i="8"/>
  <c r="DZ8" i="8"/>
  <c r="AO70" i="9"/>
  <c r="DJ70" i="9"/>
  <c r="AN70" i="8" s="1"/>
  <c r="DI70" i="9"/>
  <c r="AA70" i="8" s="1"/>
  <c r="BO70" i="8" s="1"/>
  <c r="CI73" i="8"/>
  <c r="CX73" i="8" s="1"/>
  <c r="BO73" i="8"/>
  <c r="FJ58" i="9"/>
  <c r="N58" i="8"/>
  <c r="E58" i="8" s="1"/>
  <c r="AW58" i="8"/>
  <c r="BA58" i="8" s="1"/>
  <c r="BC58" i="8" s="1"/>
  <c r="BP47" i="8"/>
  <c r="CI47" i="8"/>
  <c r="CX47" i="8" s="1"/>
  <c r="FG73" i="8"/>
  <c r="GS73" i="8" s="1"/>
  <c r="BU73" i="8"/>
  <c r="GF73" i="8"/>
  <c r="AQ24" i="9"/>
  <c r="BA24" i="9" s="1"/>
  <c r="FO4" i="8"/>
  <c r="CC4" i="8"/>
  <c r="DZ28" i="8"/>
  <c r="CA70" i="8"/>
  <c r="FM70" i="8"/>
  <c r="GY70" i="8" s="1"/>
  <c r="GL70" i="8"/>
  <c r="CL72" i="8"/>
  <c r="BL72" i="8"/>
  <c r="BU62" i="8"/>
  <c r="FG62" i="8"/>
  <c r="CI32" i="8"/>
  <c r="CX32" i="8" s="1"/>
  <c r="BP32" i="8"/>
  <c r="CC50" i="8"/>
  <c r="FO50" i="8"/>
  <c r="HA50" i="8" s="1"/>
  <c r="GN50" i="8"/>
  <c r="DZ37" i="8"/>
  <c r="CB37" i="8"/>
  <c r="FN37" i="8"/>
  <c r="AQ73" i="9"/>
  <c r="BA73" i="9" s="1"/>
  <c r="L73" i="8"/>
  <c r="AY73" i="8" s="1"/>
  <c r="BZ58" i="8"/>
  <c r="FL58" i="8"/>
  <c r="AP58" i="8"/>
  <c r="AR58" i="8" s="1"/>
  <c r="EM38" i="8"/>
  <c r="HM38" i="8"/>
  <c r="FO84" i="8"/>
  <c r="CC84" i="8"/>
  <c r="DJ30" i="9"/>
  <c r="AN30" i="8" s="1"/>
  <c r="DZ30" i="8" s="1"/>
  <c r="BO11" i="8"/>
  <c r="CI11" i="8"/>
  <c r="CX11" i="8" s="1"/>
  <c r="CS48" i="8"/>
  <c r="CY48" i="8" s="1"/>
  <c r="BN48" i="8"/>
  <c r="J51" i="8"/>
  <c r="BB51" i="9"/>
  <c r="AL51" i="8"/>
  <c r="CC30" i="9"/>
  <c r="CE30" i="9" s="1"/>
  <c r="EH30" i="9"/>
  <c r="EY30" i="9" s="1"/>
  <c r="CB30" i="9"/>
  <c r="CG30" i="9" s="1"/>
  <c r="X30" i="8" s="1"/>
  <c r="G30" i="8"/>
  <c r="EK30" i="9"/>
  <c r="FB30" i="9" s="1"/>
  <c r="EJ30" i="9"/>
  <c r="FA30" i="9" s="1"/>
  <c r="T30" i="8"/>
  <c r="FM30" i="9"/>
  <c r="CD30" i="9"/>
  <c r="CF30" i="9" s="1"/>
  <c r="EI30" i="9"/>
  <c r="EZ30" i="9" s="1"/>
  <c r="AG30" i="8"/>
  <c r="CB64" i="8"/>
  <c r="FN64" i="8"/>
  <c r="FO32" i="8"/>
  <c r="CC32" i="8"/>
  <c r="DZ32" i="8"/>
  <c r="BU79" i="8"/>
  <c r="FG79" i="8"/>
  <c r="GS79" i="8" s="1"/>
  <c r="GF79" i="8"/>
  <c r="CJ64" i="9"/>
  <c r="CL34" i="8"/>
  <c r="BL34" i="8"/>
  <c r="N6" i="8"/>
  <c r="E6" i="8" s="1"/>
  <c r="FJ6" i="9"/>
  <c r="AW6" i="8"/>
  <c r="BA6" i="8" s="1"/>
  <c r="BC6" i="8" s="1"/>
  <c r="BP58" i="8"/>
  <c r="IL58" i="8"/>
  <c r="CI58" i="8"/>
  <c r="EN58" i="9"/>
  <c r="EO58" i="9" s="1"/>
  <c r="ET58" i="9" s="1"/>
  <c r="CP58" i="8" s="1"/>
  <c r="CI58" i="9"/>
  <c r="Q58" i="11"/>
  <c r="CL58" i="9"/>
  <c r="FD58" i="8" s="1"/>
  <c r="CF58" i="11" s="1"/>
  <c r="CK58" i="9"/>
  <c r="CM58" i="9" s="1"/>
  <c r="Y58" i="8" s="1"/>
  <c r="GA38" i="8"/>
  <c r="HY38" i="8" s="1"/>
  <c r="HR38" i="8"/>
  <c r="CC24" i="8"/>
  <c r="FO24" i="8"/>
  <c r="CB15" i="8"/>
  <c r="FN15" i="8"/>
  <c r="FM24" i="8"/>
  <c r="CA24" i="8"/>
  <c r="DZ24" i="8"/>
  <c r="CB11" i="8"/>
  <c r="FN11" i="8"/>
  <c r="DZ11" i="8"/>
  <c r="CA48" i="8"/>
  <c r="FM48" i="8"/>
  <c r="GY48" i="8" s="1"/>
  <c r="GL48" i="8"/>
  <c r="BU72" i="8"/>
  <c r="FG72" i="8"/>
  <c r="GS72" i="8" s="1"/>
  <c r="GF72" i="8"/>
  <c r="CI38" i="9"/>
  <c r="EN38" i="9"/>
  <c r="EO38" i="9" s="1"/>
  <c r="ET38" i="9" s="1"/>
  <c r="CP38" i="8" s="1"/>
  <c r="DG38" i="8" s="1"/>
  <c r="Q38" i="11"/>
  <c r="CL38" i="9"/>
  <c r="CK38" i="9"/>
  <c r="CM38" i="9" s="1"/>
  <c r="Y38" i="8" s="1"/>
  <c r="CL14" i="8"/>
  <c r="BL14" i="8"/>
  <c r="FM54" i="8"/>
  <c r="CA54" i="8"/>
  <c r="BO14" i="8"/>
  <c r="CI14" i="8"/>
  <c r="CX14" i="8" s="1"/>
  <c r="BL66" i="8"/>
  <c r="CL66" i="8"/>
  <c r="EN6" i="9"/>
  <c r="EO6" i="9" s="1"/>
  <c r="ET6" i="9" s="1"/>
  <c r="CP6" i="8" s="1"/>
  <c r="DG6" i="8" s="1"/>
  <c r="Q6" i="11"/>
  <c r="CI6" i="9"/>
  <c r="FO58" i="8"/>
  <c r="CC58" i="8"/>
  <c r="DZ58" i="8"/>
  <c r="AL47" i="8"/>
  <c r="J47" i="8"/>
  <c r="BB47" i="9"/>
  <c r="BO15" i="8"/>
  <c r="CI15" i="8"/>
  <c r="CX15" i="8" s="1"/>
  <c r="CA75" i="8"/>
  <c r="FM75" i="8"/>
  <c r="GY75" i="8" s="1"/>
  <c r="GL75" i="8"/>
  <c r="CS24" i="8"/>
  <c r="CY24" i="8" s="1"/>
  <c r="BN24" i="8"/>
  <c r="CI24" i="8"/>
  <c r="CX24" i="8" s="1"/>
  <c r="DI48" i="9"/>
  <c r="AA48" i="8" s="1"/>
  <c r="BO48" i="8" s="1"/>
  <c r="AO48" i="9"/>
  <c r="DJ48" i="9"/>
  <c r="AN48" i="8" s="1"/>
  <c r="DI30" i="9"/>
  <c r="AA30" i="8" s="1"/>
  <c r="BO30" i="8" s="1"/>
  <c r="AO30" i="9"/>
  <c r="BL37" i="8"/>
  <c r="CL37" i="8"/>
  <c r="CL6" i="9"/>
  <c r="L11" i="8"/>
  <c r="AY11" i="8" s="1"/>
  <c r="AQ11" i="9"/>
  <c r="BA11" i="9" s="1"/>
  <c r="AW65" i="8"/>
  <c r="BA65" i="8" s="1"/>
  <c r="BC65" i="8" s="1"/>
  <c r="FJ65" i="9"/>
  <c r="N65" i="8"/>
  <c r="E65" i="8" s="1"/>
  <c r="EH48" i="9"/>
  <c r="EY48" i="9" s="1"/>
  <c r="EK48" i="9"/>
  <c r="FB48" i="9" s="1"/>
  <c r="CC48" i="9"/>
  <c r="CE48" i="9" s="1"/>
  <c r="EJ48" i="9"/>
  <c r="FA48" i="9" s="1"/>
  <c r="EI48" i="9"/>
  <c r="EZ48" i="9" s="1"/>
  <c r="G48" i="8"/>
  <c r="AT48" i="8" s="1"/>
  <c r="AG48" i="8"/>
  <c r="T48" i="8"/>
  <c r="BH48" i="8" s="1"/>
  <c r="FM48" i="9"/>
  <c r="CB48" i="9"/>
  <c r="CG48" i="9" s="1"/>
  <c r="X48" i="8" s="1"/>
  <c r="CD48" i="9"/>
  <c r="CF48" i="9" s="1"/>
  <c r="BU17" i="8"/>
  <c r="FG17" i="8"/>
  <c r="FJ38" i="9"/>
  <c r="EB38" i="8" s="1"/>
  <c r="AW38" i="8"/>
  <c r="BA38" i="8" s="1"/>
  <c r="BC38" i="8" s="1"/>
  <c r="N38" i="8"/>
  <c r="E38" i="8" s="1"/>
  <c r="CC54" i="8"/>
  <c r="FO54" i="8"/>
  <c r="AG26" i="8"/>
  <c r="CC26" i="9"/>
  <c r="CE26" i="9" s="1"/>
  <c r="EH26" i="9"/>
  <c r="EY26" i="9" s="1"/>
  <c r="CD26" i="9"/>
  <c r="CF26" i="9" s="1"/>
  <c r="CJ26" i="9" s="1"/>
  <c r="EJ26" i="9"/>
  <c r="FA26" i="9" s="1"/>
  <c r="T26" i="8"/>
  <c r="BH26" i="8" s="1"/>
  <c r="CB26" i="9"/>
  <c r="CG26" i="9" s="1"/>
  <c r="X26" i="8" s="1"/>
  <c r="FM26" i="9"/>
  <c r="EK26" i="9"/>
  <c r="FB26" i="9" s="1"/>
  <c r="EI26" i="9"/>
  <c r="EZ26" i="9" s="1"/>
  <c r="G26" i="8"/>
  <c r="AT26" i="8" s="1"/>
  <c r="AL32" i="8"/>
  <c r="J32" i="8"/>
  <c r="BB32" i="9"/>
  <c r="L79" i="8"/>
  <c r="AY79" i="8" s="1"/>
  <c r="AQ79" i="9"/>
  <c r="BA79" i="9" s="1"/>
  <c r="CS54" i="8"/>
  <c r="CY54" i="8" s="1"/>
  <c r="BN54" i="8"/>
  <c r="FG28" i="8"/>
  <c r="BU28" i="8"/>
  <c r="DZ14" i="8"/>
  <c r="CB14" i="8"/>
  <c r="FN14" i="8"/>
  <c r="FG46" i="8"/>
  <c r="BU46" i="8"/>
  <c r="CL79" i="8"/>
  <c r="BL79" i="8"/>
  <c r="BZ6" i="8"/>
  <c r="CD6" i="8" s="1"/>
  <c r="CF6" i="8" s="1"/>
  <c r="FL6" i="8"/>
  <c r="FQ6" i="8" s="1"/>
  <c r="AP6" i="8"/>
  <c r="AR6" i="8" s="1"/>
  <c r="BU11" i="8"/>
  <c r="FG11" i="8"/>
  <c r="T75" i="8"/>
  <c r="BH75" i="8" s="1"/>
  <c r="AG75" i="8"/>
  <c r="EK75" i="9"/>
  <c r="FB75" i="9" s="1"/>
  <c r="FM75" i="9"/>
  <c r="EI75" i="9"/>
  <c r="EZ75" i="9" s="1"/>
  <c r="EJ75" i="9"/>
  <c r="FA75" i="9" s="1"/>
  <c r="EH75" i="9"/>
  <c r="EY75" i="9" s="1"/>
  <c r="G75" i="8"/>
  <c r="CD75" i="9"/>
  <c r="CF75" i="9" s="1"/>
  <c r="CB75" i="9"/>
  <c r="CG75" i="9" s="1"/>
  <c r="X75" i="8" s="1"/>
  <c r="CC75" i="9"/>
  <c r="CE75" i="9" s="1"/>
  <c r="CJ75" i="9" s="1"/>
  <c r="EI24" i="9"/>
  <c r="EZ24" i="9" s="1"/>
  <c r="CC24" i="9"/>
  <c r="CE24" i="9" s="1"/>
  <c r="CJ24" i="9" s="1"/>
  <c r="T24" i="8"/>
  <c r="BH24" i="8" s="1"/>
  <c r="EJ24" i="9"/>
  <c r="FA24" i="9" s="1"/>
  <c r="FM24" i="9"/>
  <c r="EK24" i="9"/>
  <c r="FB24" i="9" s="1"/>
  <c r="EH24" i="9"/>
  <c r="EY24" i="9" s="1"/>
  <c r="G24" i="8"/>
  <c r="CB24" i="9"/>
  <c r="CG24" i="9" s="1"/>
  <c r="X24" i="8" s="1"/>
  <c r="AG24" i="8"/>
  <c r="CI65" i="9"/>
  <c r="EN65" i="9"/>
  <c r="EO65" i="9" s="1"/>
  <c r="ET65" i="9" s="1"/>
  <c r="CP65" i="8" s="1"/>
  <c r="DG65" i="8" s="1"/>
  <c r="CK65" i="9"/>
  <c r="CL65" i="9"/>
  <c r="Q65" i="11"/>
  <c r="FL38" i="8"/>
  <c r="BZ38" i="8"/>
  <c r="CD38" i="8" s="1"/>
  <c r="CF38" i="8" s="1"/>
  <c r="GK38" i="8"/>
  <c r="GP38" i="8" s="1"/>
  <c r="AP38" i="8"/>
  <c r="AR38" i="8" s="1"/>
  <c r="CA30" i="8"/>
  <c r="FM30" i="8"/>
  <c r="GY30" i="8" s="1"/>
  <c r="GL30" i="8"/>
  <c r="BU14" i="8"/>
  <c r="FG14" i="8"/>
  <c r="AQ14" i="9"/>
  <c r="BA14" i="9" s="1"/>
  <c r="L14" i="8"/>
  <c r="AY14" i="8" s="1"/>
  <c r="FG20" i="8"/>
  <c r="BU20" i="8"/>
  <c r="BU15" i="8"/>
  <c r="FG15" i="8"/>
  <c r="FJ77" i="9"/>
  <c r="N77" i="8"/>
  <c r="E77" i="8" s="1"/>
  <c r="AW77" i="8"/>
  <c r="BA77" i="8" s="1"/>
  <c r="BC77" i="8" s="1"/>
  <c r="CB66" i="8"/>
  <c r="FN66" i="8"/>
  <c r="FM84" i="8"/>
  <c r="CA84" i="8"/>
  <c r="BN75" i="8"/>
  <c r="CS75" i="8"/>
  <c r="CY75" i="8" s="1"/>
  <c r="EN35" i="9"/>
  <c r="EO35" i="9" s="1"/>
  <c r="ET35" i="9" s="1"/>
  <c r="CP35" i="8" s="1"/>
  <c r="DG35" i="8" s="1"/>
  <c r="Q35" i="11"/>
  <c r="CI35" i="9"/>
  <c r="AG70" i="8"/>
  <c r="CD70" i="9"/>
  <c r="CF70" i="9" s="1"/>
  <c r="EI70" i="9"/>
  <c r="EZ70" i="9" s="1"/>
  <c r="EH70" i="9"/>
  <c r="EY70" i="9" s="1"/>
  <c r="G70" i="8"/>
  <c r="AT70" i="8" s="1"/>
  <c r="EK70" i="9"/>
  <c r="FB70" i="9" s="1"/>
  <c r="CC70" i="9"/>
  <c r="CE70" i="9" s="1"/>
  <c r="EJ70" i="9"/>
  <c r="FA70" i="9" s="1"/>
  <c r="T70" i="8"/>
  <c r="BH70" i="8" s="1"/>
  <c r="CB70" i="9"/>
  <c r="CG70" i="9" s="1"/>
  <c r="X70" i="8" s="1"/>
  <c r="FM70" i="9"/>
  <c r="CB46" i="8"/>
  <c r="FN46" i="8"/>
  <c r="FC57" i="9"/>
  <c r="FG57" i="9" s="1"/>
  <c r="CO57" i="8" s="1"/>
  <c r="DA57" i="8" s="1"/>
  <c r="CL17" i="8"/>
  <c r="BL17" i="8"/>
  <c r="CS30" i="8"/>
  <c r="CY30" i="8" s="1"/>
  <c r="BN30" i="8"/>
  <c r="CI30" i="8"/>
  <c r="CX30" i="8" s="1"/>
  <c r="AT14" i="8"/>
  <c r="CJ14" i="9"/>
  <c r="CB79" i="8"/>
  <c r="GM79" i="8"/>
  <c r="FN79" i="8"/>
  <c r="GZ79" i="8" s="1"/>
  <c r="DJ75" i="9"/>
  <c r="AN75" i="8" s="1"/>
  <c r="DI75" i="9"/>
  <c r="AA75" i="8" s="1"/>
  <c r="BO75" i="8" s="1"/>
  <c r="AO75" i="9"/>
  <c r="BP28" i="8"/>
  <c r="CI28" i="8"/>
  <c r="CX28" i="8" s="1"/>
  <c r="CJ46" i="9"/>
  <c r="Q77" i="11"/>
  <c r="CI77" i="9"/>
  <c r="EN77" i="9"/>
  <c r="EO77" i="9" s="1"/>
  <c r="ET77" i="9" s="1"/>
  <c r="CP77" i="8" s="1"/>
  <c r="CL77" i="9"/>
  <c r="CK77" i="9"/>
  <c r="EN81" i="9"/>
  <c r="EO81" i="9" s="1"/>
  <c r="ET81" i="9" s="1"/>
  <c r="CP81" i="8" s="1"/>
  <c r="DG81" i="8" s="1"/>
  <c r="CI81" i="9"/>
  <c r="Q81" i="11"/>
  <c r="CL81" i="9"/>
  <c r="CK81" i="9"/>
  <c r="CM81" i="9" s="1"/>
  <c r="Y81" i="8" s="1"/>
  <c r="CS84" i="8"/>
  <c r="CY84" i="8" s="1"/>
  <c r="BN84" i="8"/>
  <c r="CJ11" i="9"/>
  <c r="AW35" i="8"/>
  <c r="BA35" i="8" s="1"/>
  <c r="BC35" i="8" s="1"/>
  <c r="FJ35" i="9"/>
  <c r="N35" i="8"/>
  <c r="E35" i="8" s="1"/>
  <c r="FL39" i="8"/>
  <c r="FQ39" i="8" s="1"/>
  <c r="BZ39" i="8"/>
  <c r="CD39" i="8" s="1"/>
  <c r="CF39" i="8" s="1"/>
  <c r="AP39" i="8"/>
  <c r="AR39" i="8" s="1"/>
  <c r="FJ39" i="9"/>
  <c r="AW39" i="8"/>
  <c r="BA39" i="8" s="1"/>
  <c r="BC39" i="8" s="1"/>
  <c r="N39" i="8"/>
  <c r="E39" i="8" s="1"/>
  <c r="CI39" i="9"/>
  <c r="Q39" i="11"/>
  <c r="CK39" i="9"/>
  <c r="CM39" i="9" s="1"/>
  <c r="Y39" i="8" s="1"/>
  <c r="EN39" i="9"/>
  <c r="EO39" i="9" s="1"/>
  <c r="ET39" i="9" s="1"/>
  <c r="CP39" i="8" s="1"/>
  <c r="DG39" i="8" s="1"/>
  <c r="CL39" i="9"/>
  <c r="FX42" i="8"/>
  <c r="EN42" i="8"/>
  <c r="AF43" i="9"/>
  <c r="AP43" i="9" s="1"/>
  <c r="M43" i="8" s="1"/>
  <c r="AZ43" i="8" s="1"/>
  <c r="CJ4" i="9"/>
  <c r="J4" i="8"/>
  <c r="N4" i="8" s="1"/>
  <c r="E4" i="8" s="1"/>
  <c r="BB4" i="9"/>
  <c r="AL4" i="8"/>
  <c r="BO4" i="8"/>
  <c r="CI4" i="8"/>
  <c r="CX4" i="8" s="1"/>
  <c r="CL12" i="8"/>
  <c r="BL12" i="8"/>
  <c r="BU4" i="8"/>
  <c r="FG4" i="8"/>
  <c r="AT4" i="8"/>
  <c r="CB4" i="8"/>
  <c r="DZ4" i="8"/>
  <c r="FN4" i="8"/>
  <c r="EL15" i="8"/>
  <c r="EG15" i="8"/>
  <c r="EM15" i="8" s="1"/>
  <c r="FT15" i="8"/>
  <c r="GA15" i="8" s="1"/>
  <c r="CK35" i="9"/>
  <c r="CM35" i="9" s="1"/>
  <c r="Y35" i="8" s="1"/>
  <c r="CL35" i="9"/>
  <c r="J15" i="8"/>
  <c r="AL15" i="8"/>
  <c r="BB15" i="9"/>
  <c r="CJ18" i="9"/>
  <c r="BW83" i="8"/>
  <c r="GH83" i="8"/>
  <c r="D83" i="27"/>
  <c r="EC83" i="8"/>
  <c r="HI83" i="8" s="1"/>
  <c r="FI83" i="8"/>
  <c r="GU83" i="8" s="1"/>
  <c r="Y6" i="8"/>
  <c r="FD6" i="8"/>
  <c r="CF6" i="11" s="1"/>
  <c r="CJ54" i="9"/>
  <c r="R83" i="8"/>
  <c r="BD83" i="8"/>
  <c r="BF83" i="8" s="1"/>
  <c r="FD5" i="8"/>
  <c r="CF5" i="11" s="1"/>
  <c r="U90" i="8"/>
  <c r="BI90" i="8" s="1"/>
  <c r="BO84" i="8"/>
  <c r="CI84" i="8"/>
  <c r="CX84" i="8" s="1"/>
  <c r="FG18" i="8"/>
  <c r="BU18" i="8"/>
  <c r="BU54" i="8"/>
  <c r="FG54" i="8"/>
  <c r="L84" i="8"/>
  <c r="AY84" i="8" s="1"/>
  <c r="AQ84" i="9"/>
  <c r="BA84" i="9" s="1"/>
  <c r="BB54" i="9"/>
  <c r="AL54" i="8"/>
  <c r="J54" i="8"/>
  <c r="CR81" i="9"/>
  <c r="AL81" i="8" s="1"/>
  <c r="FN84" i="8"/>
  <c r="DZ84" i="8"/>
  <c r="CB84" i="8"/>
  <c r="CL18" i="8"/>
  <c r="BL18" i="8"/>
  <c r="AT54" i="8"/>
  <c r="N54" i="8"/>
  <c r="E54" i="8" s="1"/>
  <c r="FT54" i="8"/>
  <c r="GA54" i="8" s="1"/>
  <c r="EG54" i="8"/>
  <c r="EM54" i="8" s="1"/>
  <c r="EL54" i="8"/>
  <c r="BL54" i="8"/>
  <c r="CL54" i="8"/>
  <c r="CI59" i="9"/>
  <c r="EN59" i="9"/>
  <c r="EO59" i="9" s="1"/>
  <c r="ET59" i="9" s="1"/>
  <c r="CP59" i="8" s="1"/>
  <c r="DG59" i="8" s="1"/>
  <c r="Q59" i="11"/>
  <c r="BL19" i="8"/>
  <c r="CL19" i="8"/>
  <c r="CJ19" i="9"/>
  <c r="EE57" i="8"/>
  <c r="FY57" i="8"/>
  <c r="EB57" i="8"/>
  <c r="FV57" i="8" s="1"/>
  <c r="BZ59" i="8"/>
  <c r="CD59" i="8" s="1"/>
  <c r="CF59" i="8" s="1"/>
  <c r="FL59" i="8"/>
  <c r="FQ59" i="8" s="1"/>
  <c r="AP59" i="8"/>
  <c r="AR59" i="8" s="1"/>
  <c r="EL34" i="8"/>
  <c r="EG34" i="8"/>
  <c r="FT34" i="8"/>
  <c r="GA34" i="8" s="1"/>
  <c r="AW55" i="8"/>
  <c r="BA55" i="8" s="1"/>
  <c r="BC55" i="8" s="1"/>
  <c r="N55" i="8"/>
  <c r="E55" i="8" s="1"/>
  <c r="FJ55" i="9"/>
  <c r="EB55" i="8" s="1"/>
  <c r="FV55" i="8" s="1"/>
  <c r="AL34" i="8"/>
  <c r="BB34" i="9"/>
  <c r="J34" i="8"/>
  <c r="FJ59" i="9"/>
  <c r="EB59" i="8" s="1"/>
  <c r="FV59" i="8" s="1"/>
  <c r="AW59" i="8"/>
  <c r="BA59" i="8" s="1"/>
  <c r="BC59" i="8" s="1"/>
  <c r="N59" i="8"/>
  <c r="E59" i="8" s="1"/>
  <c r="CI55" i="9"/>
  <c r="EN55" i="9"/>
  <c r="EO55" i="9" s="1"/>
  <c r="ET55" i="9" s="1"/>
  <c r="CP55" i="8" s="1"/>
  <c r="DG55" i="8" s="1"/>
  <c r="Q55" i="11"/>
  <c r="CL55" i="9"/>
  <c r="CK55" i="9"/>
  <c r="CM55" i="9" s="1"/>
  <c r="Y55" i="8" s="1"/>
  <c r="J25" i="8"/>
  <c r="AL25" i="8"/>
  <c r="BB25" i="9"/>
  <c r="BM81" i="8"/>
  <c r="D81" i="28"/>
  <c r="FC81" i="9"/>
  <c r="BB19" i="9"/>
  <c r="AL19" i="8"/>
  <c r="J19" i="8"/>
  <c r="FL55" i="8"/>
  <c r="FQ55" i="8" s="1"/>
  <c r="BZ55" i="8"/>
  <c r="CD55" i="8" s="1"/>
  <c r="CF55" i="8" s="1"/>
  <c r="AP55" i="8"/>
  <c r="AR55" i="8" s="1"/>
  <c r="BU19" i="8"/>
  <c r="FG19" i="8"/>
  <c r="FT25" i="8"/>
  <c r="GA25" i="8" s="1"/>
  <c r="EG25" i="8"/>
  <c r="EM25" i="8" s="1"/>
  <c r="EL25" i="8"/>
  <c r="FL28" i="8"/>
  <c r="FQ28" i="8" s="1"/>
  <c r="AP28" i="8"/>
  <c r="AR28" i="8" s="1"/>
  <c r="BZ28" i="8"/>
  <c r="CD28" i="8" s="1"/>
  <c r="CF28" i="8" s="1"/>
  <c r="BP74" i="8"/>
  <c r="CI74" i="8"/>
  <c r="CX74" i="8" s="1"/>
  <c r="BL20" i="8"/>
  <c r="CL20" i="8"/>
  <c r="CL69" i="8"/>
  <c r="BL69" i="8"/>
  <c r="EN28" i="9"/>
  <c r="EO28" i="9" s="1"/>
  <c r="ET28" i="9" s="1"/>
  <c r="CP28" i="8" s="1"/>
  <c r="DG28" i="8" s="1"/>
  <c r="CI28" i="9"/>
  <c r="Q28" i="11"/>
  <c r="CL28" i="9"/>
  <c r="CK28" i="9"/>
  <c r="CM28" i="9" s="1"/>
  <c r="Y28" i="8" s="1"/>
  <c r="BP10" i="8"/>
  <c r="CI10" i="8"/>
  <c r="CX10" i="8" s="1"/>
  <c r="FN36" i="8"/>
  <c r="CB36" i="8"/>
  <c r="DZ36" i="8"/>
  <c r="FO12" i="8"/>
  <c r="CC12" i="8"/>
  <c r="BB10" i="9"/>
  <c r="J10" i="8"/>
  <c r="AL10" i="8"/>
  <c r="EN41" i="8"/>
  <c r="FX41" i="8"/>
  <c r="BL15" i="8"/>
  <c r="CL15" i="8"/>
  <c r="FO10" i="8"/>
  <c r="CC10" i="8"/>
  <c r="DZ10" i="8"/>
  <c r="BO36" i="8"/>
  <c r="CI36" i="8"/>
  <c r="CX36" i="8" s="1"/>
  <c r="FO36" i="8"/>
  <c r="CC36" i="8"/>
  <c r="CL28" i="8"/>
  <c r="BL28" i="8"/>
  <c r="FD9" i="8"/>
  <c r="CF9" i="11" s="1"/>
  <c r="H9" i="28" s="1"/>
  <c r="AW28" i="8"/>
  <c r="BA28" i="8" s="1"/>
  <c r="BC28" i="8" s="1"/>
  <c r="N28" i="8"/>
  <c r="E28" i="8" s="1"/>
  <c r="FJ28" i="9"/>
  <c r="CC74" i="8"/>
  <c r="FO74" i="8"/>
  <c r="HA74" i="8" s="1"/>
  <c r="GN74" i="8"/>
  <c r="DZ74" i="8"/>
  <c r="FX45" i="8"/>
  <c r="EN45" i="8"/>
  <c r="L36" i="8"/>
  <c r="AY36" i="8" s="1"/>
  <c r="AQ36" i="9"/>
  <c r="BA36" i="9" s="1"/>
  <c r="FV49" i="8"/>
  <c r="HT49" i="8" s="1"/>
  <c r="HH49" i="8"/>
  <c r="EQ49" i="8"/>
  <c r="HN49" i="8"/>
  <c r="AQ27" i="9"/>
  <c r="BA27" i="9" s="1"/>
  <c r="CC64" i="8"/>
  <c r="FO64" i="8"/>
  <c r="DZ64" i="8"/>
  <c r="J66" i="8"/>
  <c r="BB66" i="9"/>
  <c r="DZ52" i="8"/>
  <c r="FO52" i="8"/>
  <c r="CC52" i="8"/>
  <c r="AL16" i="8"/>
  <c r="BB16" i="9"/>
  <c r="J16" i="8"/>
  <c r="L12" i="8"/>
  <c r="AY12" i="8" s="1"/>
  <c r="AQ12" i="9"/>
  <c r="BA12" i="9" s="1"/>
  <c r="FJ17" i="9"/>
  <c r="AW17" i="8"/>
  <c r="BA17" i="8" s="1"/>
  <c r="BC17" i="8" s="1"/>
  <c r="N17" i="8"/>
  <c r="E17" i="8" s="1"/>
  <c r="CM71" i="9"/>
  <c r="Y71" i="8" s="1"/>
  <c r="FT50" i="8"/>
  <c r="EL50" i="8"/>
  <c r="EG50" i="8"/>
  <c r="HF50" i="8"/>
  <c r="BP16" i="8"/>
  <c r="CI16" i="8"/>
  <c r="CX16" i="8" s="1"/>
  <c r="FD57" i="9"/>
  <c r="CJ57" i="8" s="1"/>
  <c r="DC57" i="8" s="1"/>
  <c r="FE57" i="9"/>
  <c r="CN57" i="8" s="1"/>
  <c r="BH4" i="8"/>
  <c r="CD21" i="9"/>
  <c r="CF21" i="9" s="1"/>
  <c r="T21" i="8"/>
  <c r="BH21" i="8" s="1"/>
  <c r="G21" i="8"/>
  <c r="EH21" i="9"/>
  <c r="EY21" i="9" s="1"/>
  <c r="EK21" i="9"/>
  <c r="FB21" i="9" s="1"/>
  <c r="FM21" i="9"/>
  <c r="EJ21" i="9"/>
  <c r="FA21" i="9" s="1"/>
  <c r="EI21" i="9"/>
  <c r="EZ21" i="9" s="1"/>
  <c r="CC21" i="9"/>
  <c r="CE21" i="9" s="1"/>
  <c r="CJ21" i="9" s="1"/>
  <c r="CB21" i="9"/>
  <c r="CG21" i="9" s="1"/>
  <c r="X21" i="8" s="1"/>
  <c r="AG21" i="8"/>
  <c r="CJ32" i="9"/>
  <c r="DZ72" i="8"/>
  <c r="FN72" i="8"/>
  <c r="GZ72" i="8" s="1"/>
  <c r="CB72" i="8"/>
  <c r="GM72" i="8"/>
  <c r="FX44" i="8"/>
  <c r="EN44" i="8"/>
  <c r="EN67" i="9"/>
  <c r="EO67" i="9" s="1"/>
  <c r="ET67" i="9" s="1"/>
  <c r="CP67" i="8" s="1"/>
  <c r="DG67" i="8" s="1"/>
  <c r="CI67" i="9"/>
  <c r="Q67" i="11"/>
  <c r="CK67" i="9"/>
  <c r="CM67" i="9" s="1"/>
  <c r="Y67" i="8" s="1"/>
  <c r="CL67" i="9"/>
  <c r="BL77" i="8"/>
  <c r="CL77" i="8"/>
  <c r="DZ12" i="8"/>
  <c r="CB12" i="8"/>
  <c r="FN12" i="8"/>
  <c r="Q17" i="11"/>
  <c r="CI17" i="9"/>
  <c r="EN17" i="9"/>
  <c r="EO17" i="9" s="1"/>
  <c r="ET17" i="9" s="1"/>
  <c r="CP17" i="8" s="1"/>
  <c r="DG17" i="8" s="1"/>
  <c r="CL17" i="9"/>
  <c r="CK17" i="9"/>
  <c r="CM17" i="9" s="1"/>
  <c r="Y17" i="8" s="1"/>
  <c r="R57" i="11"/>
  <c r="E57" i="28"/>
  <c r="CV57" i="8"/>
  <c r="DI57" i="8" s="1"/>
  <c r="AC81" i="8"/>
  <c r="AE81" i="8" s="1"/>
  <c r="CL81" i="8"/>
  <c r="BL81" i="8"/>
  <c r="BQ81" i="8" s="1"/>
  <c r="BS81" i="8" s="1"/>
  <c r="BB50" i="9"/>
  <c r="AL50" i="8"/>
  <c r="J50" i="8"/>
  <c r="BO72" i="8"/>
  <c r="CI72" i="8"/>
  <c r="CX72" i="8" s="1"/>
  <c r="FJ67" i="9"/>
  <c r="AW67" i="8"/>
  <c r="BA67" i="8" s="1"/>
  <c r="BC67" i="8" s="1"/>
  <c r="N67" i="8"/>
  <c r="E67" i="8" s="1"/>
  <c r="CC66" i="8"/>
  <c r="FO66" i="8"/>
  <c r="DZ66" i="8"/>
  <c r="CC21" i="8"/>
  <c r="FO21" i="8"/>
  <c r="BO12" i="8"/>
  <c r="CI12" i="8"/>
  <c r="CX12" i="8" s="1"/>
  <c r="DG71" i="8"/>
  <c r="IX71" i="8"/>
  <c r="BL46" i="8"/>
  <c r="CL46" i="8"/>
  <c r="HM49" i="8"/>
  <c r="EM49" i="8"/>
  <c r="J64" i="8"/>
  <c r="BB64" i="9"/>
  <c r="FO60" i="8"/>
  <c r="CC60" i="8"/>
  <c r="L72" i="8"/>
  <c r="AY72" i="8" s="1"/>
  <c r="AQ72" i="9"/>
  <c r="BA72" i="9" s="1"/>
  <c r="BP64" i="8"/>
  <c r="CI64" i="8"/>
  <c r="CI52" i="8"/>
  <c r="CX52" i="8" s="1"/>
  <c r="BP52" i="8"/>
  <c r="AL7" i="8"/>
  <c r="BB7" i="9"/>
  <c r="J7" i="8"/>
  <c r="FY71" i="8"/>
  <c r="EE71" i="8"/>
  <c r="BP66" i="8"/>
  <c r="CI66" i="8"/>
  <c r="CX66" i="8" s="1"/>
  <c r="FO72" i="8"/>
  <c r="HA72" i="8" s="1"/>
  <c r="CC72" i="8"/>
  <c r="GN72" i="8"/>
  <c r="FL17" i="8"/>
  <c r="FQ17" i="8" s="1"/>
  <c r="BZ17" i="8"/>
  <c r="CD17" i="8" s="1"/>
  <c r="CF17" i="8" s="1"/>
  <c r="AP17" i="8"/>
  <c r="AR17" i="8" s="1"/>
  <c r="EB17" i="8"/>
  <c r="FV17" i="8" s="1"/>
  <c r="FD71" i="8"/>
  <c r="CF71" i="11" s="1"/>
  <c r="FO16" i="8"/>
  <c r="CC16" i="8"/>
  <c r="DZ16" i="8"/>
  <c r="BL4" i="8"/>
  <c r="CL4" i="8"/>
  <c r="AO21" i="9"/>
  <c r="DJ21" i="9"/>
  <c r="AN21" i="8" s="1"/>
  <c r="DI21" i="9"/>
  <c r="AA21" i="8" s="1"/>
  <c r="GA49" i="8"/>
  <c r="HY49" i="8" s="1"/>
  <c r="HR49" i="8"/>
  <c r="BJ24" i="8"/>
  <c r="V90" i="8"/>
  <c r="BJ90" i="8" s="1"/>
  <c r="BO13" i="8"/>
  <c r="CI13" i="8"/>
  <c r="CX13" i="8" s="1"/>
  <c r="BW36" i="8"/>
  <c r="FI36" i="8"/>
  <c r="EC36" i="8"/>
  <c r="D36" i="27"/>
  <c r="D24" i="27"/>
  <c r="BW24" i="8"/>
  <c r="EC24" i="8"/>
  <c r="FI24" i="8"/>
  <c r="AI90" i="8"/>
  <c r="BW90" i="8" s="1"/>
  <c r="DZ80" i="8"/>
  <c r="FN80" i="8"/>
  <c r="GZ80" i="8" s="1"/>
  <c r="CB80" i="8"/>
  <c r="GM80" i="8"/>
  <c r="CJ86" i="9"/>
  <c r="FD59" i="8"/>
  <c r="CF59" i="11" s="1"/>
  <c r="CL35" i="8"/>
  <c r="BL35" i="8"/>
  <c r="FD49" i="8"/>
  <c r="CF49" i="11" s="1"/>
  <c r="EG63" i="8"/>
  <c r="EM63" i="8" s="1"/>
  <c r="FT63" i="8"/>
  <c r="GA63" i="8" s="1"/>
  <c r="EL63" i="8"/>
  <c r="BP62" i="8"/>
  <c r="CI62" i="8"/>
  <c r="AQ13" i="9"/>
  <c r="BA13" i="9" s="1"/>
  <c r="L13" i="8"/>
  <c r="AY13" i="8" s="1"/>
  <c r="BO23" i="8"/>
  <c r="CI23" i="8"/>
  <c r="CX23" i="8" s="1"/>
  <c r="CC31" i="8"/>
  <c r="FO31" i="8"/>
  <c r="HA31" i="8" s="1"/>
  <c r="GN31" i="8"/>
  <c r="CS83" i="8"/>
  <c r="CY83" i="8" s="1"/>
  <c r="BN83" i="8"/>
  <c r="GU48" i="8"/>
  <c r="BP82" i="8"/>
  <c r="CS76" i="8"/>
  <c r="CY76" i="8" s="1"/>
  <c r="BN76" i="8"/>
  <c r="R27" i="8"/>
  <c r="BD27" i="8"/>
  <c r="BF27" i="8" s="1"/>
  <c r="H22" i="28"/>
  <c r="DS22" i="11"/>
  <c r="BM22" i="8"/>
  <c r="BQ22" i="8" s="1"/>
  <c r="BS22" i="8" s="1"/>
  <c r="FC22" i="9"/>
  <c r="D22" i="28"/>
  <c r="AC22" i="8"/>
  <c r="AE22" i="8" s="1"/>
  <c r="CS27" i="8"/>
  <c r="CY27" i="8" s="1"/>
  <c r="BN27" i="8"/>
  <c r="FM80" i="9"/>
  <c r="EI80" i="9"/>
  <c r="EZ80" i="9" s="1"/>
  <c r="G80" i="8"/>
  <c r="AG80" i="8"/>
  <c r="CD80" i="9"/>
  <c r="CF80" i="9" s="1"/>
  <c r="EK80" i="9"/>
  <c r="FB80" i="9" s="1"/>
  <c r="T80" i="8"/>
  <c r="BH80" i="8" s="1"/>
  <c r="EH80" i="9"/>
  <c r="EY80" i="9" s="1"/>
  <c r="CC80" i="9"/>
  <c r="CE80" i="9" s="1"/>
  <c r="CB80" i="9"/>
  <c r="CG80" i="9" s="1"/>
  <c r="X80" i="8" s="1"/>
  <c r="EJ80" i="9"/>
  <c r="FA80" i="9" s="1"/>
  <c r="AO83" i="9"/>
  <c r="DJ83" i="9"/>
  <c r="AN83" i="8" s="1"/>
  <c r="DI83" i="9"/>
  <c r="AA83" i="8" s="1"/>
  <c r="BU61" i="8"/>
  <c r="FG61" i="8"/>
  <c r="CJ61" i="9"/>
  <c r="CC48" i="8"/>
  <c r="FO48" i="8"/>
  <c r="HA48" i="8" s="1"/>
  <c r="GN48" i="8"/>
  <c r="DZ48" i="8"/>
  <c r="AQ68" i="9"/>
  <c r="BA68" i="9" s="1"/>
  <c r="L68" i="8"/>
  <c r="AY68" i="8" s="1"/>
  <c r="BJ77" i="8"/>
  <c r="CC20" i="8"/>
  <c r="FO20" i="8"/>
  <c r="AQ20" i="9"/>
  <c r="BA20" i="9" s="1"/>
  <c r="L20" i="8"/>
  <c r="AY20" i="8" s="1"/>
  <c r="CS60" i="8"/>
  <c r="BN60" i="8"/>
  <c r="AK57" i="11"/>
  <c r="W57" i="11"/>
  <c r="D45" i="27"/>
  <c r="FI45" i="8"/>
  <c r="BW45" i="8"/>
  <c r="EC45" i="8"/>
  <c r="DJ27" i="9"/>
  <c r="AN27" i="8" s="1"/>
  <c r="DZ27" i="8" s="1"/>
  <c r="L18" i="8"/>
  <c r="AY18" i="8" s="1"/>
  <c r="AQ18" i="9"/>
  <c r="BA18" i="9" s="1"/>
  <c r="EI29" i="9"/>
  <c r="EZ29" i="9" s="1"/>
  <c r="EH29" i="9"/>
  <c r="EY29" i="9" s="1"/>
  <c r="EJ29" i="9"/>
  <c r="FA29" i="9" s="1"/>
  <c r="G29" i="8"/>
  <c r="AG29" i="8"/>
  <c r="T29" i="8"/>
  <c r="EK29" i="9"/>
  <c r="FB29" i="9" s="1"/>
  <c r="FM29" i="9"/>
  <c r="CB29" i="9"/>
  <c r="CG29" i="9" s="1"/>
  <c r="X29" i="8" s="1"/>
  <c r="CC29" i="9"/>
  <c r="CE29" i="9" s="1"/>
  <c r="CD29" i="9"/>
  <c r="CF29" i="9" s="1"/>
  <c r="EI31" i="9"/>
  <c r="EZ31" i="9" s="1"/>
  <c r="T31" i="8"/>
  <c r="CD31" i="9"/>
  <c r="CF31" i="9" s="1"/>
  <c r="AG31" i="8"/>
  <c r="G31" i="8"/>
  <c r="CB31" i="9"/>
  <c r="CG31" i="9" s="1"/>
  <c r="X31" i="8" s="1"/>
  <c r="FM31" i="9"/>
  <c r="EH31" i="9"/>
  <c r="EY31" i="9" s="1"/>
  <c r="EK31" i="9"/>
  <c r="FB31" i="9" s="1"/>
  <c r="EJ31" i="9"/>
  <c r="FA31" i="9" s="1"/>
  <c r="CC31" i="9"/>
  <c r="CE31" i="9" s="1"/>
  <c r="CJ31" i="9" s="1"/>
  <c r="EM57" i="8"/>
  <c r="EV57" i="8" s="1"/>
  <c r="FW57" i="8"/>
  <c r="CE52" i="9"/>
  <c r="CJ52" i="9" s="1"/>
  <c r="AO76" i="9"/>
  <c r="DJ76" i="9"/>
  <c r="AN76" i="8" s="1"/>
  <c r="DI76" i="9"/>
  <c r="AA76" i="8" s="1"/>
  <c r="BO76" i="8" s="1"/>
  <c r="D9" i="28"/>
  <c r="BM9" i="8"/>
  <c r="BQ9" i="8" s="1"/>
  <c r="BS9" i="8" s="1"/>
  <c r="FC9" i="9"/>
  <c r="AC9" i="8"/>
  <c r="AE9" i="8" s="1"/>
  <c r="CK32" i="9"/>
  <c r="CM32" i="9" s="1"/>
  <c r="Y32" i="8" s="1"/>
  <c r="CL32" i="9"/>
  <c r="FO56" i="8"/>
  <c r="CC56" i="8"/>
  <c r="DZ56" i="8"/>
  <c r="CB13" i="8"/>
  <c r="FN13" i="8"/>
  <c r="DZ13" i="8"/>
  <c r="FO82" i="8"/>
  <c r="HA82" i="8" s="1"/>
  <c r="CC82" i="8"/>
  <c r="GN82" i="8"/>
  <c r="CA76" i="8"/>
  <c r="FM76" i="8"/>
  <c r="GY76" i="8" s="1"/>
  <c r="GL76" i="8"/>
  <c r="EM73" i="8"/>
  <c r="HM73" i="8"/>
  <c r="AO60" i="9"/>
  <c r="DI60" i="9"/>
  <c r="AA60" i="8" s="1"/>
  <c r="BO60" i="8" s="1"/>
  <c r="DJ60" i="9"/>
  <c r="AN60" i="8" s="1"/>
  <c r="DZ60" i="8" s="1"/>
  <c r="T27" i="8"/>
  <c r="BH27" i="8" s="1"/>
  <c r="G27" i="8"/>
  <c r="EI27" i="9"/>
  <c r="EZ27" i="9" s="1"/>
  <c r="EK27" i="9"/>
  <c r="FB27" i="9" s="1"/>
  <c r="EH27" i="9"/>
  <c r="EY27" i="9" s="1"/>
  <c r="EJ27" i="9"/>
  <c r="FA27" i="9" s="1"/>
  <c r="AG27" i="8"/>
  <c r="FM27" i="9"/>
  <c r="CB27" i="9"/>
  <c r="CG27" i="9" s="1"/>
  <c r="X27" i="8" s="1"/>
  <c r="CC27" i="9"/>
  <c r="CE27" i="9" s="1"/>
  <c r="CJ27" i="9" s="1"/>
  <c r="AQ33" i="9"/>
  <c r="BA33" i="9" s="1"/>
  <c r="FM33" i="8"/>
  <c r="CA33" i="8"/>
  <c r="J78" i="8"/>
  <c r="BB78" i="9"/>
  <c r="AO29" i="9"/>
  <c r="DI29" i="9"/>
  <c r="AA29" i="8" s="1"/>
  <c r="BO29" i="8" s="1"/>
  <c r="DJ29" i="9"/>
  <c r="AN29" i="8" s="1"/>
  <c r="BL61" i="8"/>
  <c r="CL61" i="8"/>
  <c r="CM74" i="9"/>
  <c r="Y74" i="8" s="1"/>
  <c r="EV22" i="8"/>
  <c r="ET22" i="8"/>
  <c r="EW22" i="8"/>
  <c r="FA22" i="8"/>
  <c r="EU22" i="8"/>
  <c r="BP48" i="8"/>
  <c r="CI48" i="8"/>
  <c r="CX48" i="8" s="1"/>
  <c r="BW77" i="8"/>
  <c r="D77" i="27"/>
  <c r="EC77" i="8"/>
  <c r="HI77" i="8" s="1"/>
  <c r="GH77" i="8"/>
  <c r="FO33" i="8"/>
  <c r="CC33" i="8"/>
  <c r="BB46" i="9"/>
  <c r="AL46" i="8"/>
  <c r="J46" i="8"/>
  <c r="DZ20" i="8"/>
  <c r="FN20" i="8"/>
  <c r="CB20" i="8"/>
  <c r="ET35" i="8"/>
  <c r="EV35" i="8"/>
  <c r="EU35" i="8"/>
  <c r="EW35" i="8"/>
  <c r="FA35" i="8"/>
  <c r="CL6" i="8"/>
  <c r="BL6" i="8"/>
  <c r="BD45" i="8"/>
  <c r="BF45" i="8" s="1"/>
  <c r="R45" i="8"/>
  <c r="FO70" i="8"/>
  <c r="HA70" i="8" s="1"/>
  <c r="CC70" i="8"/>
  <c r="DZ70" i="8"/>
  <c r="GN70" i="8"/>
  <c r="BN31" i="8"/>
  <c r="CS31" i="8"/>
  <c r="CY31" i="8" s="1"/>
  <c r="AL61" i="8"/>
  <c r="AP61" i="8" s="1"/>
  <c r="AR61" i="8" s="1"/>
  <c r="BB61" i="9"/>
  <c r="J61" i="8"/>
  <c r="N61" i="8" s="1"/>
  <c r="E61" i="8" s="1"/>
  <c r="CC46" i="8"/>
  <c r="FO46" i="8"/>
  <c r="DZ46" i="8"/>
  <c r="DS9" i="11"/>
  <c r="D35" i="28"/>
  <c r="BM35" i="8"/>
  <c r="BQ35" i="8" s="1"/>
  <c r="BS35" i="8" s="1"/>
  <c r="FC35" i="9"/>
  <c r="BP56" i="8"/>
  <c r="CI56" i="8"/>
  <c r="CX56" i="8" s="1"/>
  <c r="DZ33" i="8"/>
  <c r="FN33" i="8"/>
  <c r="CB33" i="8"/>
  <c r="AQ23" i="9"/>
  <c r="BA23" i="9" s="1"/>
  <c r="L23" i="8"/>
  <c r="AY23" i="8" s="1"/>
  <c r="FO80" i="8"/>
  <c r="HA80" i="8" s="1"/>
  <c r="CC80" i="8"/>
  <c r="GN80" i="8"/>
  <c r="FM83" i="9"/>
  <c r="EK83" i="9"/>
  <c r="FB83" i="9" s="1"/>
  <c r="G83" i="8"/>
  <c r="CD83" i="9"/>
  <c r="CF83" i="9" s="1"/>
  <c r="EJ83" i="9"/>
  <c r="FA83" i="9" s="1"/>
  <c r="CC83" i="9"/>
  <c r="CE83" i="9" s="1"/>
  <c r="EI83" i="9"/>
  <c r="EZ83" i="9" s="1"/>
  <c r="CB83" i="9"/>
  <c r="CG83" i="9" s="1"/>
  <c r="X83" i="8" s="1"/>
  <c r="EH83" i="9"/>
  <c r="EY83" i="9" s="1"/>
  <c r="AG83" i="8"/>
  <c r="T83" i="8"/>
  <c r="BH83" i="8" s="1"/>
  <c r="FM76" i="9"/>
  <c r="EH76" i="9"/>
  <c r="EY76" i="9" s="1"/>
  <c r="G76" i="8"/>
  <c r="AG76" i="8"/>
  <c r="EI76" i="9"/>
  <c r="EZ76" i="9" s="1"/>
  <c r="EK76" i="9"/>
  <c r="FB76" i="9" s="1"/>
  <c r="T76" i="8"/>
  <c r="EJ76" i="9"/>
  <c r="FA76" i="9" s="1"/>
  <c r="CB76" i="9"/>
  <c r="CG76" i="9" s="1"/>
  <c r="X76" i="8" s="1"/>
  <c r="CD76" i="9"/>
  <c r="CF76" i="9" s="1"/>
  <c r="CC76" i="9"/>
  <c r="CE76" i="9" s="1"/>
  <c r="BL65" i="8"/>
  <c r="CL65" i="8"/>
  <c r="GA73" i="8"/>
  <c r="HY73" i="8" s="1"/>
  <c r="HR73" i="8"/>
  <c r="FC67" i="9"/>
  <c r="D67" i="28"/>
  <c r="BM67" i="8"/>
  <c r="BQ67" i="8" s="1"/>
  <c r="BS67" i="8" s="1"/>
  <c r="AC67" i="8"/>
  <c r="AE67" i="8" s="1"/>
  <c r="DG77" i="8"/>
  <c r="CA27" i="8"/>
  <c r="FM27" i="8"/>
  <c r="G33" i="8"/>
  <c r="EJ33" i="9"/>
  <c r="FA33" i="9" s="1"/>
  <c r="T33" i="8"/>
  <c r="EK33" i="9"/>
  <c r="FB33" i="9" s="1"/>
  <c r="EI33" i="9"/>
  <c r="EZ33" i="9" s="1"/>
  <c r="FM33" i="9"/>
  <c r="EH33" i="9"/>
  <c r="EY33" i="9" s="1"/>
  <c r="AG33" i="8"/>
  <c r="CC33" i="9"/>
  <c r="CE33" i="9" s="1"/>
  <c r="CJ33" i="9" s="1"/>
  <c r="CB33" i="9"/>
  <c r="CG33" i="9" s="1"/>
  <c r="X33" i="8" s="1"/>
  <c r="CC13" i="8"/>
  <c r="FO13" i="8"/>
  <c r="AQ80" i="9"/>
  <c r="BA80" i="9" s="1"/>
  <c r="L80" i="8"/>
  <c r="AY80" i="8" s="1"/>
  <c r="CX79" i="8"/>
  <c r="EB9" i="8"/>
  <c r="FV9" i="8" s="1"/>
  <c r="FY9" i="8"/>
  <c r="EE9" i="8"/>
  <c r="FN68" i="8"/>
  <c r="GZ68" i="8" s="1"/>
  <c r="CB68" i="8"/>
  <c r="DZ68" i="8"/>
  <c r="GM68" i="8"/>
  <c r="R24" i="8"/>
  <c r="BD24" i="8"/>
  <c r="BF24" i="8" s="1"/>
  <c r="P90" i="8"/>
  <c r="BD90" i="8" s="1"/>
  <c r="EG61" i="8"/>
  <c r="FT61" i="8"/>
  <c r="GA61" i="8" s="1"/>
  <c r="EL61" i="8"/>
  <c r="FY74" i="8"/>
  <c r="HW74" i="8" s="1"/>
  <c r="EE74" i="8"/>
  <c r="CJ88" i="9"/>
  <c r="AC35" i="8"/>
  <c r="AE35" i="8" s="1"/>
  <c r="DJ31" i="9"/>
  <c r="AN31" i="8" s="1"/>
  <c r="DI31" i="9"/>
  <c r="AA31" i="8" s="1"/>
  <c r="BO31" i="8" s="1"/>
  <c r="AO31" i="9"/>
  <c r="AG60" i="8"/>
  <c r="EI60" i="9"/>
  <c r="EZ60" i="9" s="1"/>
  <c r="FM60" i="9"/>
  <c r="G60" i="8"/>
  <c r="EK60" i="9"/>
  <c r="FB60" i="9" s="1"/>
  <c r="EJ60" i="9"/>
  <c r="FA60" i="9" s="1"/>
  <c r="T60" i="8"/>
  <c r="EH60" i="9"/>
  <c r="EY60" i="9" s="1"/>
  <c r="CB60" i="9"/>
  <c r="CG60" i="9" s="1"/>
  <c r="X60" i="8" s="1"/>
  <c r="CC60" i="9"/>
  <c r="CE60" i="9" s="1"/>
  <c r="CJ60" i="9" s="1"/>
  <c r="BB56" i="9"/>
  <c r="J56" i="8"/>
  <c r="AL56" i="8"/>
  <c r="DZ18" i="8"/>
  <c r="CB18" i="8"/>
  <c r="FN18" i="8"/>
  <c r="BP70" i="8"/>
  <c r="CI70" i="8"/>
  <c r="CX70" i="8" s="1"/>
  <c r="CS29" i="8"/>
  <c r="BN29" i="8"/>
  <c r="FM31" i="8"/>
  <c r="GY31" i="8" s="1"/>
  <c r="CA31" i="8"/>
  <c r="GL31" i="8"/>
  <c r="EU57" i="8"/>
  <c r="BP78" i="8"/>
  <c r="CI78" i="8"/>
  <c r="BP46" i="8"/>
  <c r="CI46" i="8"/>
  <c r="CX46" i="8" s="1"/>
  <c r="FC49" i="9"/>
  <c r="D49" i="28"/>
  <c r="BM49" i="8"/>
  <c r="BQ49" i="8" s="1"/>
  <c r="BS49" i="8" s="1"/>
  <c r="AC49" i="8"/>
  <c r="AE49" i="8" s="1"/>
  <c r="CC62" i="8"/>
  <c r="DZ62" i="8"/>
  <c r="FO62" i="8"/>
  <c r="EH13" i="9"/>
  <c r="EY13" i="9" s="1"/>
  <c r="T13" i="8"/>
  <c r="EK13" i="9"/>
  <c r="FB13" i="9" s="1"/>
  <c r="CC13" i="9"/>
  <c r="CE13" i="9" s="1"/>
  <c r="CB13" i="9"/>
  <c r="CG13" i="9" s="1"/>
  <c r="X13" i="8" s="1"/>
  <c r="AG13" i="8"/>
  <c r="EJ13" i="9"/>
  <c r="FA13" i="9" s="1"/>
  <c r="EI13" i="9"/>
  <c r="EZ13" i="9" s="1"/>
  <c r="FM13" i="9"/>
  <c r="G13" i="8"/>
  <c r="CD13" i="9"/>
  <c r="CF13" i="9" s="1"/>
  <c r="FN23" i="8"/>
  <c r="DZ23" i="8"/>
  <c r="CB23" i="8"/>
  <c r="CA83" i="8"/>
  <c r="FM83" i="8"/>
  <c r="GY83" i="8" s="1"/>
  <c r="GL83" i="8"/>
  <c r="EG79" i="8"/>
  <c r="EL79" i="8"/>
  <c r="HF79" i="8"/>
  <c r="FT79" i="8"/>
  <c r="R36" i="8"/>
  <c r="BD36" i="8"/>
  <c r="BF36" i="8" s="1"/>
  <c r="BH65" i="8"/>
  <c r="FI27" i="8"/>
  <c r="EC27" i="8"/>
  <c r="BW27" i="8"/>
  <c r="D27" i="27"/>
  <c r="CR67" i="9"/>
  <c r="CL11" i="8"/>
  <c r="BL11" i="8"/>
  <c r="FX53" i="8"/>
  <c r="EN53" i="8"/>
  <c r="BN33" i="8"/>
  <c r="CI33" i="8"/>
  <c r="CX33" i="8" s="1"/>
  <c r="CS33" i="8"/>
  <c r="CY33" i="8" s="1"/>
  <c r="BO80" i="8"/>
  <c r="CI80" i="8"/>
  <c r="CX80" i="8" s="1"/>
  <c r="AT61" i="8"/>
  <c r="FD74" i="8"/>
  <c r="CF74" i="11" s="1"/>
  <c r="W22" i="11"/>
  <c r="AK22" i="11"/>
  <c r="AC6" i="8"/>
  <c r="AE6" i="8" s="1"/>
  <c r="FX43" i="8"/>
  <c r="EN43" i="8"/>
  <c r="BO68" i="8"/>
  <c r="CI68" i="8"/>
  <c r="CX68" i="8" s="1"/>
  <c r="FI77" i="8"/>
  <c r="GU77" i="8" s="1"/>
  <c r="BD77" i="8"/>
  <c r="BF77" i="8" s="1"/>
  <c r="R77" i="8"/>
  <c r="EN40" i="8"/>
  <c r="FX40" i="8"/>
  <c r="BO20" i="8"/>
  <c r="CI20" i="8"/>
  <c r="CX20" i="8" s="1"/>
  <c r="W35" i="11"/>
  <c r="AK35" i="11"/>
  <c r="CA60" i="8"/>
  <c r="FM60" i="8"/>
  <c r="FA57" i="8"/>
  <c r="EW57" i="8"/>
  <c r="ET57" i="8"/>
  <c r="EB22" i="8"/>
  <c r="FV22" i="8" s="1"/>
  <c r="FY22" i="8"/>
  <c r="EE22" i="8"/>
  <c r="BB62" i="9"/>
  <c r="AL62" i="8"/>
  <c r="J62" i="8"/>
  <c r="DI27" i="9"/>
  <c r="AA27" i="8" s="1"/>
  <c r="BO27" i="8" s="1"/>
  <c r="BO18" i="8"/>
  <c r="CI18" i="8"/>
  <c r="CX18" i="8" s="1"/>
  <c r="CA29" i="8"/>
  <c r="FM29" i="8"/>
  <c r="DZ29" i="8"/>
  <c r="FO78" i="8"/>
  <c r="HA78" i="8" s="1"/>
  <c r="DZ78" i="8"/>
  <c r="CC78" i="8"/>
  <c r="GN78" i="8"/>
  <c r="BO41" i="8"/>
  <c r="CI41" i="8"/>
  <c r="CX41" i="8" s="1"/>
  <c r="FN41" i="8"/>
  <c r="CB41" i="8"/>
  <c r="DZ41" i="8"/>
  <c r="EV63" i="8"/>
  <c r="EW63" i="8"/>
  <c r="EU63" i="8"/>
  <c r="FA63" i="8"/>
  <c r="ET63" i="8"/>
  <c r="AO53" i="9"/>
  <c r="DJ53" i="9"/>
  <c r="AN53" i="8" s="1"/>
  <c r="DZ53" i="8" s="1"/>
  <c r="DI53" i="9"/>
  <c r="AA53" i="8" s="1"/>
  <c r="BO53" i="8" s="1"/>
  <c r="EM19" i="8"/>
  <c r="BN40" i="8"/>
  <c r="CS40" i="8"/>
  <c r="CL52" i="9"/>
  <c r="CK52" i="9"/>
  <c r="CM52" i="9" s="1"/>
  <c r="Y52" i="8" s="1"/>
  <c r="Q52" i="11"/>
  <c r="EN52" i="9"/>
  <c r="EO52" i="9" s="1"/>
  <c r="ET52" i="9" s="1"/>
  <c r="CP52" i="8" s="1"/>
  <c r="CI52" i="9"/>
  <c r="DS63" i="11"/>
  <c r="H63" i="28"/>
  <c r="L86" i="8"/>
  <c r="AY86" i="8" s="1"/>
  <c r="AQ86" i="9"/>
  <c r="BA86" i="9" s="1"/>
  <c r="AN43" i="9"/>
  <c r="AU43" i="9" s="1"/>
  <c r="DH43" i="9"/>
  <c r="AM43" i="8" s="1"/>
  <c r="DG43" i="9"/>
  <c r="Z43" i="8" s="1"/>
  <c r="K43" i="8"/>
  <c r="AX43" i="8" s="1"/>
  <c r="CC42" i="8"/>
  <c r="FO42" i="8"/>
  <c r="AO90" i="8"/>
  <c r="CC90" i="8" s="1"/>
  <c r="CA45" i="8"/>
  <c r="FM45" i="8"/>
  <c r="BB26" i="9"/>
  <c r="J26" i="8"/>
  <c r="AL26" i="8"/>
  <c r="EK44" i="9"/>
  <c r="FB44" i="9" s="1"/>
  <c r="G44" i="8"/>
  <c r="EH44" i="9"/>
  <c r="EY44" i="9" s="1"/>
  <c r="AG44" i="8"/>
  <c r="T44" i="8"/>
  <c r="BH44" i="8" s="1"/>
  <c r="EI44" i="9"/>
  <c r="EZ44" i="9" s="1"/>
  <c r="FM44" i="9"/>
  <c r="EJ44" i="9"/>
  <c r="FA44" i="9" s="1"/>
  <c r="CD44" i="9"/>
  <c r="CF44" i="9" s="1"/>
  <c r="CB44" i="9"/>
  <c r="CG44" i="9" s="1"/>
  <c r="X44" i="8" s="1"/>
  <c r="CC44" i="9"/>
  <c r="CE44" i="9" s="1"/>
  <c r="AK49" i="11"/>
  <c r="W49" i="11"/>
  <c r="BH86" i="8"/>
  <c r="G85" i="8"/>
  <c r="CB85" i="9"/>
  <c r="CG85" i="9" s="1"/>
  <c r="X85" i="8" s="1"/>
  <c r="BL85" i="8" s="1"/>
  <c r="AG85" i="8"/>
  <c r="T85" i="8"/>
  <c r="CD85" i="9"/>
  <c r="CF85" i="9" s="1"/>
  <c r="CC85" i="9"/>
  <c r="CE85" i="9" s="1"/>
  <c r="BL52" i="8"/>
  <c r="CL52" i="8"/>
  <c r="FD63" i="9"/>
  <c r="CJ63" i="8" s="1"/>
  <c r="FF63" i="9"/>
  <c r="CK63" i="8" s="1"/>
  <c r="FG63" i="9"/>
  <c r="CO63" i="8" s="1"/>
  <c r="FE63" i="9"/>
  <c r="CN63" i="8" s="1"/>
  <c r="AO44" i="9"/>
  <c r="DI44" i="9"/>
  <c r="AA44" i="8" s="1"/>
  <c r="BO44" i="8" s="1"/>
  <c r="DJ44" i="9"/>
  <c r="AN44" i="8" s="1"/>
  <c r="DZ44" i="8" s="1"/>
  <c r="DK42" i="9"/>
  <c r="AB42" i="8" s="1"/>
  <c r="AF42" i="9"/>
  <c r="AP42" i="9" s="1"/>
  <c r="M42" i="8" s="1"/>
  <c r="AZ42" i="8" s="1"/>
  <c r="BU87" i="8"/>
  <c r="BM59" i="8"/>
  <c r="BQ59" i="8" s="1"/>
  <c r="BS59" i="8" s="1"/>
  <c r="FC59" i="9"/>
  <c r="D59" i="28"/>
  <c r="AC59" i="8"/>
  <c r="AE59" i="8" s="1"/>
  <c r="CA53" i="8"/>
  <c r="FM53" i="8"/>
  <c r="EH53" i="9"/>
  <c r="EY53" i="9" s="1"/>
  <c r="FM53" i="9"/>
  <c r="EK53" i="9"/>
  <c r="FB53" i="9" s="1"/>
  <c r="AG53" i="8"/>
  <c r="T53" i="8"/>
  <c r="EJ53" i="9"/>
  <c r="FA53" i="9" s="1"/>
  <c r="G53" i="8"/>
  <c r="EI53" i="9"/>
  <c r="EZ53" i="9" s="1"/>
  <c r="CC53" i="9"/>
  <c r="CE53" i="9" s="1"/>
  <c r="CD53" i="9"/>
  <c r="CF53" i="9" s="1"/>
  <c r="CB53" i="9"/>
  <c r="CG53" i="9" s="1"/>
  <c r="X53" i="8" s="1"/>
  <c r="EW9" i="8"/>
  <c r="EV9" i="8"/>
  <c r="FA9" i="8"/>
  <c r="ET9" i="8"/>
  <c r="EU9" i="8"/>
  <c r="GA7" i="8"/>
  <c r="BH88" i="8"/>
  <c r="DG69" i="8"/>
  <c r="EP63" i="8"/>
  <c r="EY63" i="8" s="1"/>
  <c r="EF63" i="8"/>
  <c r="EJ45" i="9"/>
  <c r="FA45" i="9" s="1"/>
  <c r="FM45" i="9"/>
  <c r="G45" i="8"/>
  <c r="AG45" i="8"/>
  <c r="EH45" i="9"/>
  <c r="EY45" i="9" s="1"/>
  <c r="EK45" i="9"/>
  <c r="FB45" i="9" s="1"/>
  <c r="EI45" i="9"/>
  <c r="EZ45" i="9" s="1"/>
  <c r="CB45" i="9"/>
  <c r="CG45" i="9" s="1"/>
  <c r="X45" i="8" s="1"/>
  <c r="CC45" i="9"/>
  <c r="CE45" i="9" s="1"/>
  <c r="CD45" i="9"/>
  <c r="CF45" i="9" s="1"/>
  <c r="AZ26" i="8"/>
  <c r="J52" i="8"/>
  <c r="N52" i="8" s="1"/>
  <c r="E52" i="8" s="1"/>
  <c r="AL52" i="8"/>
  <c r="FM44" i="8"/>
  <c r="CA44" i="8"/>
  <c r="FW49" i="8"/>
  <c r="HC49" i="8"/>
  <c r="ER49" i="8"/>
  <c r="EX49" i="8" s="1"/>
  <c r="HO49" i="8"/>
  <c r="FH90" i="8"/>
  <c r="AO85" i="9"/>
  <c r="DI85" i="9"/>
  <c r="AA85" i="8" s="1"/>
  <c r="BO85" i="8" s="1"/>
  <c r="DJ85" i="9"/>
  <c r="AN85" i="8" s="1"/>
  <c r="CB85" i="8" s="1"/>
  <c r="DC42" i="9"/>
  <c r="DD42" i="9"/>
  <c r="BH87" i="8"/>
  <c r="H59" i="28"/>
  <c r="DS59" i="11"/>
  <c r="W9" i="11"/>
  <c r="AK9" i="11"/>
  <c r="CV63" i="8"/>
  <c r="R63" i="11"/>
  <c r="E63" i="28"/>
  <c r="AX40" i="8"/>
  <c r="AG40" i="8"/>
  <c r="EI40" i="9"/>
  <c r="EZ40" i="9" s="1"/>
  <c r="EK40" i="9"/>
  <c r="FB40" i="9" s="1"/>
  <c r="T40" i="8"/>
  <c r="G40" i="8"/>
  <c r="FM40" i="9"/>
  <c r="EJ40" i="9"/>
  <c r="FA40" i="9" s="1"/>
  <c r="EH40" i="9"/>
  <c r="EY40" i="9" s="1"/>
  <c r="CD40" i="9"/>
  <c r="CF40" i="9" s="1"/>
  <c r="CB40" i="9"/>
  <c r="CG40" i="9" s="1"/>
  <c r="X40" i="8" s="1"/>
  <c r="CC40" i="9"/>
  <c r="CE40" i="9" s="1"/>
  <c r="CQ52" i="9"/>
  <c r="BU88" i="8"/>
  <c r="CM69" i="9"/>
  <c r="Y69" i="8" s="1"/>
  <c r="DD43" i="9"/>
  <c r="DC43" i="9"/>
  <c r="AS52" i="8"/>
  <c r="T45" i="8"/>
  <c r="BN44" i="8"/>
  <c r="CS44" i="8"/>
  <c r="CY44" i="8" s="1"/>
  <c r="CI44" i="8"/>
  <c r="CX44" i="8" s="1"/>
  <c r="EE5" i="8"/>
  <c r="FY5" i="8"/>
  <c r="FW5" i="8" s="1"/>
  <c r="FZ5" i="8" s="1"/>
  <c r="GB5" i="8" s="1"/>
  <c r="FY69" i="8"/>
  <c r="EE69" i="8"/>
  <c r="BU41" i="8"/>
  <c r="FG41" i="8"/>
  <c r="BU86" i="8"/>
  <c r="AO87" i="9"/>
  <c r="DJ87" i="9"/>
  <c r="AN87" i="8" s="1"/>
  <c r="CB87" i="8" s="1"/>
  <c r="DI87" i="9"/>
  <c r="AA87" i="8" s="1"/>
  <c r="BO87" i="8" s="1"/>
  <c r="FT26" i="8"/>
  <c r="GA26" i="8" s="1"/>
  <c r="EG26" i="8"/>
  <c r="EL26" i="8"/>
  <c r="AK42" i="9"/>
  <c r="DA42" i="9"/>
  <c r="DB42" i="9"/>
  <c r="BN53" i="8"/>
  <c r="CS53" i="8"/>
  <c r="CY53" i="8" s="1"/>
  <c r="CI53" i="8"/>
  <c r="CX53" i="8" s="1"/>
  <c r="L41" i="8"/>
  <c r="AY41" i="8" s="1"/>
  <c r="AQ41" i="9"/>
  <c r="BA41" i="9" s="1"/>
  <c r="AO88" i="9"/>
  <c r="DJ88" i="9"/>
  <c r="AN88" i="8" s="1"/>
  <c r="CB88" i="8" s="1"/>
  <c r="DI88" i="9"/>
  <c r="AA88" i="8" s="1"/>
  <c r="BO88" i="8" s="1"/>
  <c r="AK63" i="11"/>
  <c r="W63" i="11"/>
  <c r="CA40" i="8"/>
  <c r="FM40" i="8"/>
  <c r="EM7" i="8"/>
  <c r="AT88" i="8"/>
  <c r="DS5" i="11"/>
  <c r="H5" i="28"/>
  <c r="FC5" i="9"/>
  <c r="BM5" i="8"/>
  <c r="BQ5" i="8" s="1"/>
  <c r="BS5" i="8" s="1"/>
  <c r="AC5" i="8"/>
  <c r="AE5" i="8" s="1"/>
  <c r="D5" i="28"/>
  <c r="AK43" i="9"/>
  <c r="DB43" i="9"/>
  <c r="DA43" i="9"/>
  <c r="BN45" i="8"/>
  <c r="CS45" i="8"/>
  <c r="CY45" i="8" s="1"/>
  <c r="AO40" i="9"/>
  <c r="DJ40" i="9"/>
  <c r="AN40" i="8" s="1"/>
  <c r="DI40" i="9"/>
  <c r="AA40" i="8" s="1"/>
  <c r="FX52" i="8"/>
  <c r="EN52" i="8"/>
  <c r="ED90" i="8"/>
  <c r="AT41" i="8"/>
  <c r="AT86" i="8"/>
  <c r="AO45" i="9"/>
  <c r="DJ45" i="9"/>
  <c r="AN45" i="8" s="1"/>
  <c r="DZ45" i="8" s="1"/>
  <c r="DI45" i="9"/>
  <c r="AA45" i="8" s="1"/>
  <c r="BO45" i="8" s="1"/>
  <c r="FO43" i="8"/>
  <c r="CC43" i="8"/>
  <c r="AN42" i="9"/>
  <c r="AU42" i="9" s="1"/>
  <c r="DH42" i="9"/>
  <c r="AM42" i="8" s="1"/>
  <c r="AM90" i="8" s="1"/>
  <c r="CA90" i="8" s="1"/>
  <c r="DG42" i="9"/>
  <c r="Z42" i="8" s="1"/>
  <c r="Z90" i="8" s="1"/>
  <c r="BN90" i="8" s="1"/>
  <c r="K42" i="8"/>
  <c r="AX42" i="8" s="1"/>
  <c r="AT87" i="8"/>
  <c r="EI5" i="8"/>
  <c r="ER5" i="8" s="1"/>
  <c r="E5" i="27"/>
  <c r="T5" i="11"/>
  <c r="BZ8" i="8"/>
  <c r="CD8" i="8" s="1"/>
  <c r="CF8" i="8" s="1"/>
  <c r="FL8" i="8"/>
  <c r="E8" i="8"/>
  <c r="EN8" i="9"/>
  <c r="EO8" i="9" s="1"/>
  <c r="ET8" i="9" s="1"/>
  <c r="CP8" i="8" s="1"/>
  <c r="Q8" i="11"/>
  <c r="CL8" i="9"/>
  <c r="CI8" i="9"/>
  <c r="CK8" i="9"/>
  <c r="CM8" i="9" s="1"/>
  <c r="Y8" i="8" s="1"/>
  <c r="AR8" i="8"/>
  <c r="AW8" i="8"/>
  <c r="BA8" i="8" s="1"/>
  <c r="BC8" i="8" s="1"/>
  <c r="FJ8" i="9"/>
  <c r="FT65" i="8" l="1"/>
  <c r="GA65" i="8" s="1"/>
  <c r="EG65" i="8"/>
  <c r="EM65" i="8" s="1"/>
  <c r="EL65" i="8"/>
  <c r="AO82" i="9"/>
  <c r="DJ82" i="9"/>
  <c r="AN82" i="8" s="1"/>
  <c r="EK82" i="9"/>
  <c r="FB82" i="9" s="1"/>
  <c r="T82" i="8"/>
  <c r="BH82" i="8" s="1"/>
  <c r="FM82" i="9"/>
  <c r="EH82" i="9"/>
  <c r="EY82" i="9" s="1"/>
  <c r="EI82" i="9"/>
  <c r="EZ82" i="9" s="1"/>
  <c r="AG82" i="8"/>
  <c r="CC82" i="9"/>
  <c r="CE82" i="9" s="1"/>
  <c r="CJ82" i="9" s="1"/>
  <c r="EJ82" i="9"/>
  <c r="FA82" i="9" s="1"/>
  <c r="CD82" i="9"/>
  <c r="CF82" i="9" s="1"/>
  <c r="CB82" i="9"/>
  <c r="CG82" i="9" s="1"/>
  <c r="X82" i="8" s="1"/>
  <c r="G82" i="8"/>
  <c r="AT82" i="8" s="1"/>
  <c r="FF57" i="9"/>
  <c r="CK57" i="8" s="1"/>
  <c r="DD57" i="8" s="1"/>
  <c r="D82" i="27"/>
  <c r="GH82" i="8"/>
  <c r="EC82" i="8"/>
  <c r="HI82" i="8" s="1"/>
  <c r="BW82" i="8"/>
  <c r="FI82" i="8"/>
  <c r="GU82" i="8" s="1"/>
  <c r="E62" i="22"/>
  <c r="G62" i="22"/>
  <c r="A63" i="22"/>
  <c r="C62" i="22"/>
  <c r="FT81" i="8"/>
  <c r="EG81" i="8"/>
  <c r="EL81" i="8"/>
  <c r="HF81" i="8"/>
  <c r="BN82" i="8"/>
  <c r="CS82" i="8"/>
  <c r="CY82" i="8" s="1"/>
  <c r="B62" i="24"/>
  <c r="H62" i="24"/>
  <c r="F62" i="24"/>
  <c r="A63" i="24"/>
  <c r="D62" i="24"/>
  <c r="A91" i="22"/>
  <c r="C90" i="22"/>
  <c r="E90" i="22" s="1"/>
  <c r="A10" i="22"/>
  <c r="E9" i="22"/>
  <c r="C9" i="22"/>
  <c r="G9" i="22"/>
  <c r="BD82" i="8"/>
  <c r="BF82" i="8" s="1"/>
  <c r="R82" i="8"/>
  <c r="DI82" i="9"/>
  <c r="AA82" i="8" s="1"/>
  <c r="FW63" i="8"/>
  <c r="FZ63" i="8" s="1"/>
  <c r="GB63" i="8" s="1"/>
  <c r="A93" i="24"/>
  <c r="C92" i="24"/>
  <c r="E92" i="24" s="1"/>
  <c r="GL82" i="8"/>
  <c r="CA82" i="8"/>
  <c r="FM82" i="8"/>
  <c r="GY82" i="8" s="1"/>
  <c r="A12" i="24"/>
  <c r="F11" i="24"/>
  <c r="B11" i="24"/>
  <c r="D11" i="24"/>
  <c r="H11" i="24"/>
  <c r="FV38" i="8"/>
  <c r="HT38" i="8" s="1"/>
  <c r="HH38" i="8"/>
  <c r="FY77" i="8"/>
  <c r="HW77" i="8" s="1"/>
  <c r="EE77" i="8"/>
  <c r="CM65" i="9"/>
  <c r="Y65" i="8" s="1"/>
  <c r="AT75" i="8"/>
  <c r="J79" i="8"/>
  <c r="BB79" i="9"/>
  <c r="CL48" i="8"/>
  <c r="BL48" i="8"/>
  <c r="CI47" i="9"/>
  <c r="CK47" i="9"/>
  <c r="CM47" i="9" s="1"/>
  <c r="Y47" i="8" s="1"/>
  <c r="CL47" i="9"/>
  <c r="EN47" i="9"/>
  <c r="EO47" i="9" s="1"/>
  <c r="ET47" i="9" s="1"/>
  <c r="CP47" i="8" s="1"/>
  <c r="DG47" i="8" s="1"/>
  <c r="Q47" i="11"/>
  <c r="CX58" i="8"/>
  <c r="IQ58" i="8"/>
  <c r="AT30" i="8"/>
  <c r="CI51" i="9"/>
  <c r="CK51" i="9"/>
  <c r="CM51" i="9" s="1"/>
  <c r="Y51" i="8" s="1"/>
  <c r="EN51" i="9"/>
  <c r="EO51" i="9" s="1"/>
  <c r="ET51" i="9" s="1"/>
  <c r="CP51" i="8" s="1"/>
  <c r="DG51" i="8" s="1"/>
  <c r="CL51" i="9"/>
  <c r="Q51" i="11"/>
  <c r="FN75" i="8"/>
  <c r="GZ75" i="8" s="1"/>
  <c r="CB75" i="8"/>
  <c r="GM75" i="8"/>
  <c r="CL70" i="8"/>
  <c r="BL70" i="8"/>
  <c r="T38" i="11"/>
  <c r="E38" i="27"/>
  <c r="EI38" i="8"/>
  <c r="CL26" i="8"/>
  <c r="BL26" i="8"/>
  <c r="N47" i="8"/>
  <c r="E47" i="8" s="1"/>
  <c r="AW47" i="8"/>
  <c r="BA47" i="8" s="1"/>
  <c r="BC47" i="8" s="1"/>
  <c r="FJ47" i="9"/>
  <c r="BU30" i="8"/>
  <c r="FG30" i="8"/>
  <c r="GF30" i="8"/>
  <c r="CL30" i="8"/>
  <c r="BL30" i="8"/>
  <c r="FJ51" i="9"/>
  <c r="AW51" i="8"/>
  <c r="BA51" i="8" s="1"/>
  <c r="BC51" i="8" s="1"/>
  <c r="N51" i="8"/>
  <c r="E51" i="8" s="1"/>
  <c r="BB73" i="9"/>
  <c r="J73" i="8"/>
  <c r="EE58" i="8"/>
  <c r="FY58" i="8"/>
  <c r="DZ81" i="11"/>
  <c r="GF70" i="8"/>
  <c r="FG70" i="8"/>
  <c r="GS70" i="8" s="1"/>
  <c r="BU70" i="8"/>
  <c r="T6" i="11"/>
  <c r="E6" i="27"/>
  <c r="EI6" i="8"/>
  <c r="ER6" i="8" s="1"/>
  <c r="CI32" i="9"/>
  <c r="Q32" i="11"/>
  <c r="EN32" i="9"/>
  <c r="EO32" i="9" s="1"/>
  <c r="ET32" i="9" s="1"/>
  <c r="CP32" i="8" s="1"/>
  <c r="DG32" i="8" s="1"/>
  <c r="L30" i="8"/>
  <c r="AY30" i="8" s="1"/>
  <c r="AQ30" i="9"/>
  <c r="BA30" i="9" s="1"/>
  <c r="DZ75" i="8"/>
  <c r="AP47" i="8"/>
  <c r="AR47" i="8" s="1"/>
  <c r="BZ47" i="8"/>
  <c r="CD47" i="8" s="1"/>
  <c r="CF47" i="8" s="1"/>
  <c r="FL47" i="8"/>
  <c r="GK47" i="8"/>
  <c r="GP47" i="8" s="1"/>
  <c r="EB47" i="8"/>
  <c r="EL24" i="8"/>
  <c r="EG24" i="8"/>
  <c r="EM24" i="8" s="1"/>
  <c r="FT24" i="8"/>
  <c r="GA24" i="8" s="1"/>
  <c r="CL84" i="8"/>
  <c r="BL84" i="8"/>
  <c r="AL37" i="8"/>
  <c r="BB37" i="9"/>
  <c r="J37" i="8"/>
  <c r="FD81" i="8"/>
  <c r="CF81" i="11" s="1"/>
  <c r="BU24" i="8"/>
  <c r="FG24" i="8"/>
  <c r="FT14" i="8"/>
  <c r="GA14" i="8" s="1"/>
  <c r="EG14" i="8"/>
  <c r="EL14" i="8"/>
  <c r="AW32" i="8"/>
  <c r="BA32" i="8" s="1"/>
  <c r="BC32" i="8" s="1"/>
  <c r="N32" i="8"/>
  <c r="E32" i="8" s="1"/>
  <c r="FJ32" i="9"/>
  <c r="BU48" i="8"/>
  <c r="FG48" i="8"/>
  <c r="GS48" i="8" s="1"/>
  <c r="GF48" i="8"/>
  <c r="EE65" i="8"/>
  <c r="EP65" i="8" s="1"/>
  <c r="FY65" i="8"/>
  <c r="AC58" i="8"/>
  <c r="AE58" i="8" s="1"/>
  <c r="D58" i="28"/>
  <c r="FC58" i="9"/>
  <c r="II58" i="8"/>
  <c r="BM58" i="8"/>
  <c r="BQ58" i="8" s="1"/>
  <c r="BS58" i="8" s="1"/>
  <c r="CJ30" i="9"/>
  <c r="EL28" i="8"/>
  <c r="FT28" i="8"/>
  <c r="GA28" i="8" s="1"/>
  <c r="EG28" i="8"/>
  <c r="EM28" i="8" s="1"/>
  <c r="FT47" i="8"/>
  <c r="HF47" i="8"/>
  <c r="EG47" i="8"/>
  <c r="EL47" i="8"/>
  <c r="CJ80" i="9"/>
  <c r="CJ70" i="9"/>
  <c r="CL24" i="8"/>
  <c r="BL24" i="8"/>
  <c r="FL32" i="8"/>
  <c r="FQ32" i="8" s="1"/>
  <c r="EB32" i="8"/>
  <c r="FV32" i="8" s="1"/>
  <c r="BZ32" i="8"/>
  <c r="CD32" i="8" s="1"/>
  <c r="CF32" i="8" s="1"/>
  <c r="AP32" i="8"/>
  <c r="AR32" i="8" s="1"/>
  <c r="FY38" i="8"/>
  <c r="HW38" i="8" s="1"/>
  <c r="EE38" i="8"/>
  <c r="FN48" i="8"/>
  <c r="GZ48" i="8" s="1"/>
  <c r="CB48" i="8"/>
  <c r="GM48" i="8"/>
  <c r="AC38" i="8"/>
  <c r="AE38" i="8" s="1"/>
  <c r="BM38" i="8"/>
  <c r="BQ38" i="8" s="1"/>
  <c r="BS38" i="8" s="1"/>
  <c r="FC38" i="9"/>
  <c r="D38" i="28"/>
  <c r="H58" i="28"/>
  <c r="DS58" i="11"/>
  <c r="EB6" i="8"/>
  <c r="FV6" i="8" s="1"/>
  <c r="EE6" i="8"/>
  <c r="FY6" i="8"/>
  <c r="EG32" i="8"/>
  <c r="EL32" i="8"/>
  <c r="FT32" i="8"/>
  <c r="GA32" i="8" s="1"/>
  <c r="EB58" i="8"/>
  <c r="FV58" i="8" s="1"/>
  <c r="FT37" i="8"/>
  <c r="GA37" i="8" s="1"/>
  <c r="EL37" i="8"/>
  <c r="EG37" i="8"/>
  <c r="EM37" i="8" s="1"/>
  <c r="EB35" i="8"/>
  <c r="FV35" i="8" s="1"/>
  <c r="FY35" i="8"/>
  <c r="EE35" i="8"/>
  <c r="HF30" i="8"/>
  <c r="FT30" i="8"/>
  <c r="EG30" i="8"/>
  <c r="EL30" i="8"/>
  <c r="GX38" i="8"/>
  <c r="FQ38" i="8"/>
  <c r="AT24" i="8"/>
  <c r="BB11" i="9"/>
  <c r="AL11" i="8"/>
  <c r="J11" i="8"/>
  <c r="L48" i="8"/>
  <c r="AY48" i="8" s="1"/>
  <c r="AQ48" i="9"/>
  <c r="BA48" i="9" s="1"/>
  <c r="FD38" i="8"/>
  <c r="CF38" i="11" s="1"/>
  <c r="BH30" i="8"/>
  <c r="T58" i="11"/>
  <c r="EI58" i="8"/>
  <c r="ER58" i="8" s="1"/>
  <c r="E58" i="27"/>
  <c r="CB70" i="8"/>
  <c r="FN70" i="8"/>
  <c r="GZ70" i="8" s="1"/>
  <c r="GM70" i="8"/>
  <c r="FG84" i="8"/>
  <c r="BU84" i="8"/>
  <c r="CI75" i="8"/>
  <c r="CX75" i="8" s="1"/>
  <c r="AL14" i="8"/>
  <c r="J14" i="8"/>
  <c r="BB14" i="9"/>
  <c r="CL75" i="8"/>
  <c r="BL75" i="8"/>
  <c r="BU75" i="8"/>
  <c r="FG75" i="8"/>
  <c r="GS75" i="8" s="1"/>
  <c r="GF75" i="8"/>
  <c r="EG58" i="8"/>
  <c r="EL58" i="8"/>
  <c r="FT58" i="8"/>
  <c r="GA58" i="8" s="1"/>
  <c r="FQ58" i="8"/>
  <c r="FW58" i="8" s="1"/>
  <c r="FZ58" i="8" s="1"/>
  <c r="BB24" i="9"/>
  <c r="J24" i="8"/>
  <c r="AL24" i="8"/>
  <c r="L70" i="8"/>
  <c r="AY70" i="8" s="1"/>
  <c r="AQ70" i="9"/>
  <c r="BA70" i="9" s="1"/>
  <c r="CM77" i="9"/>
  <c r="Y77" i="8" s="1"/>
  <c r="L75" i="8"/>
  <c r="AY75" i="8" s="1"/>
  <c r="AQ75" i="9"/>
  <c r="BA75" i="9" s="1"/>
  <c r="FD65" i="8"/>
  <c r="CF65" i="11" s="1"/>
  <c r="BU26" i="8"/>
  <c r="FG26" i="8"/>
  <c r="CJ48" i="9"/>
  <c r="EL11" i="8"/>
  <c r="FT11" i="8"/>
  <c r="GA11" i="8" s="1"/>
  <c r="EG11" i="8"/>
  <c r="EM11" i="8" s="1"/>
  <c r="DG58" i="8"/>
  <c r="IX58" i="8"/>
  <c r="AP51" i="8"/>
  <c r="AR51" i="8" s="1"/>
  <c r="FL51" i="8"/>
  <c r="FQ51" i="8" s="1"/>
  <c r="BZ51" i="8"/>
  <c r="CD51" i="8" s="1"/>
  <c r="CF51" i="8" s="1"/>
  <c r="EB51" i="8"/>
  <c r="FV51" i="8" s="1"/>
  <c r="GM30" i="8"/>
  <c r="CB30" i="8"/>
  <c r="FN30" i="8"/>
  <c r="GZ30" i="8" s="1"/>
  <c r="CD58" i="8"/>
  <c r="CF58" i="8" s="1"/>
  <c r="EG8" i="8"/>
  <c r="EM8" i="8" s="1"/>
  <c r="EL8" i="8"/>
  <c r="FT8" i="8"/>
  <c r="GA8" i="8" s="1"/>
  <c r="FY81" i="8"/>
  <c r="HW81" i="8" s="1"/>
  <c r="EE81" i="8"/>
  <c r="FD39" i="8"/>
  <c r="CF39" i="11" s="1"/>
  <c r="EI39" i="8"/>
  <c r="ER39" i="8" s="1"/>
  <c r="E39" i="27"/>
  <c r="T39" i="11"/>
  <c r="BM39" i="8"/>
  <c r="BQ39" i="8" s="1"/>
  <c r="BS39" i="8" s="1"/>
  <c r="AC39" i="8"/>
  <c r="AE39" i="8" s="1"/>
  <c r="FC39" i="9"/>
  <c r="D39" i="28"/>
  <c r="EE39" i="8"/>
  <c r="FY39" i="8"/>
  <c r="EB39" i="8"/>
  <c r="FV39" i="8" s="1"/>
  <c r="FD35" i="8"/>
  <c r="CF35" i="11" s="1"/>
  <c r="CL4" i="9"/>
  <c r="CI4" i="9"/>
  <c r="EN4" i="9"/>
  <c r="EO4" i="9" s="1"/>
  <c r="ET4" i="9" s="1"/>
  <c r="CP4" i="8" s="1"/>
  <c r="DG4" i="8" s="1"/>
  <c r="Q4" i="11"/>
  <c r="CK4" i="9"/>
  <c r="CM4" i="9" s="1"/>
  <c r="Y4" i="8" s="1"/>
  <c r="FT4" i="8"/>
  <c r="GA4" i="8" s="1"/>
  <c r="EL4" i="8"/>
  <c r="EG4" i="8"/>
  <c r="AP4" i="8"/>
  <c r="AR4" i="8" s="1"/>
  <c r="AW4" i="8"/>
  <c r="BA4" i="8" s="1"/>
  <c r="BC4" i="8" s="1"/>
  <c r="FJ4" i="9"/>
  <c r="FW22" i="8"/>
  <c r="FZ22" i="8" s="1"/>
  <c r="BZ4" i="8"/>
  <c r="CD4" i="8" s="1"/>
  <c r="CF4" i="8" s="1"/>
  <c r="FL4" i="8"/>
  <c r="FQ4" i="8" s="1"/>
  <c r="BZ15" i="8"/>
  <c r="CD15" i="8" s="1"/>
  <c r="CF15" i="8" s="1"/>
  <c r="AP15" i="8"/>
  <c r="AR15" i="8" s="1"/>
  <c r="FL15" i="8"/>
  <c r="FQ15" i="8" s="1"/>
  <c r="N15" i="8"/>
  <c r="E15" i="8" s="1"/>
  <c r="AW15" i="8"/>
  <c r="BA15" i="8" s="1"/>
  <c r="BC15" i="8" s="1"/>
  <c r="FJ15" i="9"/>
  <c r="EB15" i="8" s="1"/>
  <c r="FV15" i="8" s="1"/>
  <c r="Q15" i="11"/>
  <c r="EN15" i="9"/>
  <c r="EO15" i="9" s="1"/>
  <c r="ET15" i="9" s="1"/>
  <c r="CP15" i="8" s="1"/>
  <c r="DG15" i="8" s="1"/>
  <c r="CI15" i="9"/>
  <c r="CK15" i="9"/>
  <c r="CM15" i="9" s="1"/>
  <c r="Y15" i="8" s="1"/>
  <c r="CL15" i="9"/>
  <c r="M90" i="8"/>
  <c r="AZ90" i="8" s="1"/>
  <c r="FD52" i="8"/>
  <c r="CF52" i="11" s="1"/>
  <c r="DS6" i="11"/>
  <c r="H6" i="28"/>
  <c r="D6" i="28"/>
  <c r="BM6" i="8"/>
  <c r="BQ6" i="8" s="1"/>
  <c r="BS6" i="8" s="1"/>
  <c r="FC6" i="9"/>
  <c r="FD67" i="8"/>
  <c r="CF67" i="11" s="1"/>
  <c r="EL84" i="8"/>
  <c r="EG84" i="8"/>
  <c r="FT84" i="8"/>
  <c r="GA84" i="8" s="1"/>
  <c r="FL54" i="8"/>
  <c r="FQ54" i="8" s="1"/>
  <c r="BZ54" i="8"/>
  <c r="CD54" i="8" s="1"/>
  <c r="CF54" i="8" s="1"/>
  <c r="AP54" i="8"/>
  <c r="AR54" i="8" s="1"/>
  <c r="Q54" i="11"/>
  <c r="CK54" i="9"/>
  <c r="CM54" i="9" s="1"/>
  <c r="Y54" i="8" s="1"/>
  <c r="EN54" i="9"/>
  <c r="EO54" i="9" s="1"/>
  <c r="ET54" i="9" s="1"/>
  <c r="CP54" i="8" s="1"/>
  <c r="DG54" i="8" s="1"/>
  <c r="CI54" i="9"/>
  <c r="CL54" i="9"/>
  <c r="CJ13" i="9"/>
  <c r="J84" i="8"/>
  <c r="BB84" i="9"/>
  <c r="FJ54" i="9"/>
  <c r="EB54" i="8" s="1"/>
  <c r="FV54" i="8" s="1"/>
  <c r="AW54" i="8"/>
  <c r="BA54" i="8" s="1"/>
  <c r="BC54" i="8" s="1"/>
  <c r="FF81" i="9"/>
  <c r="CK81" i="8" s="1"/>
  <c r="DD81" i="8" s="1"/>
  <c r="FE81" i="9"/>
  <c r="CN81" i="8" s="1"/>
  <c r="FD81" i="9"/>
  <c r="CJ81" i="8" s="1"/>
  <c r="DC81" i="8" s="1"/>
  <c r="FG81" i="9"/>
  <c r="CO81" i="8" s="1"/>
  <c r="DA81" i="8" s="1"/>
  <c r="N25" i="8"/>
  <c r="E25" i="8" s="1"/>
  <c r="AW25" i="8"/>
  <c r="BA25" i="8" s="1"/>
  <c r="BC25" i="8" s="1"/>
  <c r="FJ25" i="9"/>
  <c r="FD55" i="8"/>
  <c r="CF55" i="11" s="1"/>
  <c r="BZ34" i="8"/>
  <c r="CD34" i="8" s="1"/>
  <c r="CF34" i="8" s="1"/>
  <c r="AP34" i="8"/>
  <c r="AR34" i="8" s="1"/>
  <c r="FL34" i="8"/>
  <c r="FQ34" i="8" s="1"/>
  <c r="N19" i="8"/>
  <c r="E19" i="8" s="1"/>
  <c r="AW19" i="8"/>
  <c r="BA19" i="8" s="1"/>
  <c r="BC19" i="8" s="1"/>
  <c r="FJ19" i="9"/>
  <c r="EB19" i="8" s="1"/>
  <c r="FV19" i="8" s="1"/>
  <c r="FL81" i="8"/>
  <c r="GK81" i="8"/>
  <c r="GP81" i="8" s="1"/>
  <c r="EB81" i="8"/>
  <c r="EF81" i="8"/>
  <c r="BZ81" i="8"/>
  <c r="CD81" i="8" s="1"/>
  <c r="CF81" i="8" s="1"/>
  <c r="AP81" i="8"/>
  <c r="AR81" i="8" s="1"/>
  <c r="EE55" i="8"/>
  <c r="FY55" i="8"/>
  <c r="FW55" i="8" s="1"/>
  <c r="FZ55" i="8" s="1"/>
  <c r="GB55" i="8" s="1"/>
  <c r="EM34" i="8"/>
  <c r="T55" i="11"/>
  <c r="E55" i="27"/>
  <c r="EI55" i="8"/>
  <c r="ER55" i="8" s="1"/>
  <c r="BZ19" i="8"/>
  <c r="CD19" i="8" s="1"/>
  <c r="CF19" i="8" s="1"/>
  <c r="FL19" i="8"/>
  <c r="FQ19" i="8" s="1"/>
  <c r="AP19" i="8"/>
  <c r="AR19" i="8" s="1"/>
  <c r="CI25" i="9"/>
  <c r="Q25" i="11"/>
  <c r="EN25" i="9"/>
  <c r="EO25" i="9" s="1"/>
  <c r="ET25" i="9" s="1"/>
  <c r="CP25" i="8" s="1"/>
  <c r="DG25" i="8" s="1"/>
  <c r="CK25" i="9"/>
  <c r="CM25" i="9" s="1"/>
  <c r="Y25" i="8" s="1"/>
  <c r="CL25" i="9"/>
  <c r="FY59" i="8"/>
  <c r="FW59" i="8" s="1"/>
  <c r="FZ59" i="8" s="1"/>
  <c r="GB59" i="8" s="1"/>
  <c r="EE59" i="8"/>
  <c r="FJ34" i="9"/>
  <c r="AW34" i="8"/>
  <c r="BA34" i="8" s="1"/>
  <c r="BC34" i="8" s="1"/>
  <c r="N34" i="8"/>
  <c r="E34" i="8" s="1"/>
  <c r="EP57" i="8"/>
  <c r="EY57" i="8" s="1"/>
  <c r="EF57" i="8"/>
  <c r="FD17" i="8"/>
  <c r="CF17" i="11" s="1"/>
  <c r="EN19" i="9"/>
  <c r="EO19" i="9" s="1"/>
  <c r="ET19" i="9" s="1"/>
  <c r="CP19" i="8" s="1"/>
  <c r="DG19" i="8" s="1"/>
  <c r="CI19" i="9"/>
  <c r="CL19" i="9"/>
  <c r="Q19" i="11"/>
  <c r="CK19" i="9"/>
  <c r="CM19" i="9" s="1"/>
  <c r="Y19" i="8" s="1"/>
  <c r="AP25" i="8"/>
  <c r="AR25" i="8" s="1"/>
  <c r="BZ25" i="8"/>
  <c r="CD25" i="8" s="1"/>
  <c r="CF25" i="8" s="1"/>
  <c r="FL25" i="8"/>
  <c r="FQ25" i="8" s="1"/>
  <c r="D55" i="28"/>
  <c r="AC55" i="8"/>
  <c r="AE55" i="8" s="1"/>
  <c r="BM55" i="8"/>
  <c r="BQ55" i="8" s="1"/>
  <c r="BS55" i="8" s="1"/>
  <c r="FC55" i="9"/>
  <c r="Q34" i="11"/>
  <c r="CI34" i="9"/>
  <c r="EN34" i="9"/>
  <c r="EO34" i="9" s="1"/>
  <c r="ET34" i="9" s="1"/>
  <c r="CP34" i="8" s="1"/>
  <c r="DG34" i="8" s="1"/>
  <c r="CL34" i="9"/>
  <c r="CK34" i="9"/>
  <c r="CM34" i="9" s="1"/>
  <c r="Y34" i="8" s="1"/>
  <c r="E59" i="27"/>
  <c r="T59" i="11"/>
  <c r="EI59" i="8"/>
  <c r="ER59" i="8" s="1"/>
  <c r="FD69" i="8"/>
  <c r="CF69" i="11" s="1"/>
  <c r="EZ49" i="8"/>
  <c r="CI29" i="8"/>
  <c r="CR71" i="9"/>
  <c r="AL71" i="8" s="1"/>
  <c r="EL10" i="8"/>
  <c r="FT10" i="8"/>
  <c r="GA10" i="8" s="1"/>
  <c r="EG10" i="8"/>
  <c r="EM10" i="8" s="1"/>
  <c r="CJ85" i="9"/>
  <c r="AP10" i="8"/>
  <c r="AR10" i="8" s="1"/>
  <c r="FL10" i="8"/>
  <c r="FQ10" i="8" s="1"/>
  <c r="BZ10" i="8"/>
  <c r="CD10" i="8" s="1"/>
  <c r="CF10" i="8" s="1"/>
  <c r="EI28" i="8"/>
  <c r="ER28" i="8" s="1"/>
  <c r="T28" i="11"/>
  <c r="E28" i="27"/>
  <c r="FJ10" i="9"/>
  <c r="EB10" i="8" s="1"/>
  <c r="FV10" i="8" s="1"/>
  <c r="AW10" i="8"/>
  <c r="BA10" i="8" s="1"/>
  <c r="BC10" i="8" s="1"/>
  <c r="N10" i="8"/>
  <c r="E10" i="8" s="1"/>
  <c r="EL36" i="8"/>
  <c r="EG36" i="8"/>
  <c r="EM36" i="8" s="1"/>
  <c r="FT36" i="8"/>
  <c r="GA36" i="8" s="1"/>
  <c r="BM28" i="8"/>
  <c r="BQ28" i="8" s="1"/>
  <c r="BS28" i="8" s="1"/>
  <c r="AC28" i="8"/>
  <c r="AE28" i="8" s="1"/>
  <c r="D28" i="28"/>
  <c r="FC28" i="9"/>
  <c r="CJ45" i="9"/>
  <c r="AL36" i="8"/>
  <c r="J36" i="8"/>
  <c r="BB36" i="9"/>
  <c r="EL74" i="8"/>
  <c r="EG74" i="8"/>
  <c r="FT74" i="8"/>
  <c r="HF74" i="8"/>
  <c r="EB28" i="8"/>
  <c r="FV28" i="8" s="1"/>
  <c r="EE28" i="8"/>
  <c r="FY28" i="8"/>
  <c r="EN10" i="9"/>
  <c r="EO10" i="9" s="1"/>
  <c r="ET10" i="9" s="1"/>
  <c r="CP10" i="8" s="1"/>
  <c r="DG10" i="8" s="1"/>
  <c r="CK10" i="9"/>
  <c r="CM10" i="9" s="1"/>
  <c r="Y10" i="8" s="1"/>
  <c r="CI10" i="9"/>
  <c r="Q10" i="11"/>
  <c r="CL10" i="9"/>
  <c r="FD28" i="8"/>
  <c r="CF28" i="11" s="1"/>
  <c r="CR74" i="9"/>
  <c r="HW71" i="8"/>
  <c r="AW50" i="8"/>
  <c r="BA50" i="8" s="1"/>
  <c r="BC50" i="8" s="1"/>
  <c r="FJ50" i="9"/>
  <c r="EB50" i="8" s="1"/>
  <c r="N50" i="8"/>
  <c r="E50" i="8" s="1"/>
  <c r="AJ57" i="11"/>
  <c r="U57" i="11"/>
  <c r="V57" i="11"/>
  <c r="Y57" i="11" s="1"/>
  <c r="FC17" i="9"/>
  <c r="BM17" i="8"/>
  <c r="BQ17" i="8" s="1"/>
  <c r="BS17" i="8" s="1"/>
  <c r="AC17" i="8"/>
  <c r="AE17" i="8" s="1"/>
  <c r="D17" i="28"/>
  <c r="CZ57" i="8"/>
  <c r="CQ57" i="8"/>
  <c r="CM57" i="8"/>
  <c r="GA50" i="8"/>
  <c r="HY50" i="8" s="1"/>
  <c r="HR50" i="8"/>
  <c r="FT64" i="8"/>
  <c r="GA64" i="8" s="1"/>
  <c r="EG64" i="8"/>
  <c r="EL64" i="8"/>
  <c r="BO21" i="8"/>
  <c r="CI21" i="8"/>
  <c r="CX21" i="8" s="1"/>
  <c r="H71" i="28"/>
  <c r="DS71" i="11"/>
  <c r="AW7" i="8"/>
  <c r="BA7" i="8" s="1"/>
  <c r="BC7" i="8" s="1"/>
  <c r="FJ7" i="9"/>
  <c r="EB7" i="8" s="1"/>
  <c r="FV7" i="8" s="1"/>
  <c r="N7" i="8"/>
  <c r="E7" i="8" s="1"/>
  <c r="CX64" i="8"/>
  <c r="BB72" i="9"/>
  <c r="J72" i="8"/>
  <c r="CL64" i="9"/>
  <c r="EN64" i="9"/>
  <c r="EO64" i="9" s="1"/>
  <c r="ET64" i="9" s="1"/>
  <c r="CP64" i="8" s="1"/>
  <c r="Q64" i="11"/>
  <c r="CI64" i="9"/>
  <c r="CK64" i="9"/>
  <c r="EG66" i="8"/>
  <c r="EM66" i="8" s="1"/>
  <c r="EL66" i="8"/>
  <c r="FT66" i="8"/>
  <c r="GA66" i="8" s="1"/>
  <c r="EE67" i="8"/>
  <c r="EP67" i="8" s="1"/>
  <c r="FY67" i="8"/>
  <c r="AP50" i="8"/>
  <c r="AR50" i="8" s="1"/>
  <c r="FL50" i="8"/>
  <c r="GK50" i="8"/>
  <c r="GP50" i="8" s="1"/>
  <c r="BZ50" i="8"/>
  <c r="CD50" i="8" s="1"/>
  <c r="CF50" i="8" s="1"/>
  <c r="CV81" i="8"/>
  <c r="DI81" i="8" s="1"/>
  <c r="E81" i="28"/>
  <c r="R81" i="11"/>
  <c r="FG21" i="8"/>
  <c r="BU21" i="8"/>
  <c r="AT21" i="8"/>
  <c r="BM71" i="8"/>
  <c r="BQ71" i="8" s="1"/>
  <c r="BS71" i="8" s="1"/>
  <c r="D71" i="28"/>
  <c r="FC71" i="9"/>
  <c r="II71" i="8"/>
  <c r="AC71" i="8"/>
  <c r="AE71" i="8" s="1"/>
  <c r="EE17" i="8"/>
  <c r="FY17" i="8"/>
  <c r="FW17" i="8" s="1"/>
  <c r="FZ17" i="8" s="1"/>
  <c r="N16" i="8"/>
  <c r="E16" i="8" s="1"/>
  <c r="FJ16" i="9"/>
  <c r="EB16" i="8" s="1"/>
  <c r="FV16" i="8" s="1"/>
  <c r="AW16" i="8"/>
  <c r="BA16" i="8" s="1"/>
  <c r="BC16" i="8" s="1"/>
  <c r="EL52" i="8"/>
  <c r="FT52" i="8"/>
  <c r="GA52" i="8" s="1"/>
  <c r="EG52" i="8"/>
  <c r="EM52" i="8" s="1"/>
  <c r="FN21" i="8"/>
  <c r="CB21" i="8"/>
  <c r="DZ21" i="8"/>
  <c r="FT16" i="8"/>
  <c r="GA16" i="8" s="1"/>
  <c r="EG16" i="8"/>
  <c r="EL16" i="8"/>
  <c r="CI7" i="9"/>
  <c r="Q7" i="11"/>
  <c r="CK7" i="9"/>
  <c r="CM7" i="9" s="1"/>
  <c r="Y7" i="8" s="1"/>
  <c r="EN7" i="9"/>
  <c r="EO7" i="9" s="1"/>
  <c r="ET7" i="9" s="1"/>
  <c r="CP7" i="8" s="1"/>
  <c r="DG7" i="8" s="1"/>
  <c r="CL7" i="9"/>
  <c r="N64" i="8"/>
  <c r="E64" i="8" s="1"/>
  <c r="AW64" i="8"/>
  <c r="BA64" i="8" s="1"/>
  <c r="BC64" i="8" s="1"/>
  <c r="FJ64" i="9"/>
  <c r="CK50" i="9"/>
  <c r="CM50" i="9" s="1"/>
  <c r="Y50" i="8" s="1"/>
  <c r="Q50" i="11"/>
  <c r="EN50" i="9"/>
  <c r="EO50" i="9" s="1"/>
  <c r="ET50" i="9" s="1"/>
  <c r="CP50" i="8" s="1"/>
  <c r="DG50" i="8" s="1"/>
  <c r="CI50" i="9"/>
  <c r="CL50" i="9"/>
  <c r="EL72" i="8"/>
  <c r="EG72" i="8"/>
  <c r="FT72" i="8"/>
  <c r="HF72" i="8"/>
  <c r="BL21" i="8"/>
  <c r="CL21" i="8"/>
  <c r="EM50" i="8"/>
  <c r="HM50" i="8"/>
  <c r="J12" i="8"/>
  <c r="AL12" i="8"/>
  <c r="BB12" i="9"/>
  <c r="EN16" i="9"/>
  <c r="EO16" i="9" s="1"/>
  <c r="ET16" i="9" s="1"/>
  <c r="CP16" i="8" s="1"/>
  <c r="DG16" i="8" s="1"/>
  <c r="CL16" i="9"/>
  <c r="CI16" i="9"/>
  <c r="CK16" i="9"/>
  <c r="CM16" i="9" s="1"/>
  <c r="Y16" i="8" s="1"/>
  <c r="Q16" i="11"/>
  <c r="Q66" i="11"/>
  <c r="CL66" i="9"/>
  <c r="CK66" i="9"/>
  <c r="CM66" i="9" s="1"/>
  <c r="Y66" i="8" s="1"/>
  <c r="CI66" i="9"/>
  <c r="EN66" i="9"/>
  <c r="EO66" i="9" s="1"/>
  <c r="ET66" i="9" s="1"/>
  <c r="CP66" i="8" s="1"/>
  <c r="DG66" i="8" s="1"/>
  <c r="FW9" i="8"/>
  <c r="FZ9" i="8" s="1"/>
  <c r="GB9" i="8" s="1"/>
  <c r="CJ83" i="9"/>
  <c r="CI76" i="8"/>
  <c r="CX76" i="8" s="1"/>
  <c r="L21" i="8"/>
  <c r="AY21" i="8" s="1"/>
  <c r="AQ21" i="9"/>
  <c r="BA21" i="9" s="1"/>
  <c r="EI17" i="8"/>
  <c r="ER17" i="8" s="1"/>
  <c r="T17" i="11"/>
  <c r="E17" i="27"/>
  <c r="EP71" i="8"/>
  <c r="HK71" i="8"/>
  <c r="AP7" i="8"/>
  <c r="AR7" i="8" s="1"/>
  <c r="BZ7" i="8"/>
  <c r="CD7" i="8" s="1"/>
  <c r="CF7" i="8" s="1"/>
  <c r="FL7" i="8"/>
  <c r="FQ7" i="8" s="1"/>
  <c r="EG12" i="8"/>
  <c r="EL12" i="8"/>
  <c r="FT12" i="8"/>
  <c r="GA12" i="8" s="1"/>
  <c r="FH57" i="9"/>
  <c r="FL16" i="8"/>
  <c r="FQ16" i="8" s="1"/>
  <c r="BZ16" i="8"/>
  <c r="CD16" i="8" s="1"/>
  <c r="CF16" i="8" s="1"/>
  <c r="AP16" i="8"/>
  <c r="AR16" i="8" s="1"/>
  <c r="FJ66" i="9"/>
  <c r="N66" i="8"/>
  <c r="E66" i="8" s="1"/>
  <c r="AW66" i="8"/>
  <c r="BA66" i="8" s="1"/>
  <c r="BC66" i="8" s="1"/>
  <c r="EG29" i="8"/>
  <c r="FT29" i="8"/>
  <c r="GA29" i="8" s="1"/>
  <c r="EL29" i="8"/>
  <c r="N62" i="8"/>
  <c r="E62" i="8" s="1"/>
  <c r="FJ62" i="9"/>
  <c r="EB62" i="8" s="1"/>
  <c r="FV62" i="8" s="1"/>
  <c r="AW62" i="8"/>
  <c r="BA62" i="8" s="1"/>
  <c r="BC62" i="8" s="1"/>
  <c r="R6" i="11"/>
  <c r="E6" i="28"/>
  <c r="CV6" i="8"/>
  <c r="GA79" i="8"/>
  <c r="HY79" i="8" s="1"/>
  <c r="HR79" i="8"/>
  <c r="FT23" i="8"/>
  <c r="EL23" i="8"/>
  <c r="EG23" i="8"/>
  <c r="CL13" i="8"/>
  <c r="BL13" i="8"/>
  <c r="CX29" i="8"/>
  <c r="BZ56" i="8"/>
  <c r="CD56" i="8" s="1"/>
  <c r="CF56" i="8" s="1"/>
  <c r="AP56" i="8"/>
  <c r="AR56" i="8" s="1"/>
  <c r="FL56" i="8"/>
  <c r="FQ56" i="8" s="1"/>
  <c r="CL60" i="8"/>
  <c r="BL60" i="8"/>
  <c r="FG60" i="8"/>
  <c r="BU60" i="8"/>
  <c r="R35" i="11"/>
  <c r="CV35" i="8"/>
  <c r="DI35" i="8" s="1"/>
  <c r="E35" i="28"/>
  <c r="EP74" i="8"/>
  <c r="HK74" i="8"/>
  <c r="EM61" i="8"/>
  <c r="EP9" i="8"/>
  <c r="EY9" i="8" s="1"/>
  <c r="EF9" i="8"/>
  <c r="BH33" i="8"/>
  <c r="CJ76" i="9"/>
  <c r="EL33" i="8"/>
  <c r="EG33" i="8"/>
  <c r="EM33" i="8" s="1"/>
  <c r="FT33" i="8"/>
  <c r="GA33" i="8" s="1"/>
  <c r="FL61" i="8"/>
  <c r="BZ61" i="8"/>
  <c r="EG20" i="8"/>
  <c r="FT20" i="8"/>
  <c r="GA20" i="8" s="1"/>
  <c r="EL20" i="8"/>
  <c r="BM74" i="8"/>
  <c r="BQ74" i="8" s="1"/>
  <c r="BS74" i="8" s="1"/>
  <c r="D74" i="28"/>
  <c r="FC74" i="9"/>
  <c r="AC74" i="8"/>
  <c r="AE74" i="8" s="1"/>
  <c r="CL27" i="8"/>
  <c r="BL27" i="8"/>
  <c r="E9" i="28"/>
  <c r="CV9" i="8"/>
  <c r="DI9" i="8" s="1"/>
  <c r="R9" i="11"/>
  <c r="AT31" i="8"/>
  <c r="AT29" i="8"/>
  <c r="J18" i="8"/>
  <c r="AL18" i="8"/>
  <c r="BB18" i="9"/>
  <c r="EG48" i="8"/>
  <c r="EL48" i="8"/>
  <c r="FT48" i="8"/>
  <c r="HF48" i="8"/>
  <c r="BO83" i="8"/>
  <c r="CI83" i="8"/>
  <c r="CX83" i="8" s="1"/>
  <c r="CL80" i="8"/>
  <c r="BL80" i="8"/>
  <c r="FE22" i="9"/>
  <c r="CN22" i="8" s="1"/>
  <c r="FF22" i="9"/>
  <c r="CK22" i="8" s="1"/>
  <c r="FG22" i="9"/>
  <c r="CO22" i="8" s="1"/>
  <c r="FD22" i="9"/>
  <c r="CJ22" i="8" s="1"/>
  <c r="DS49" i="11"/>
  <c r="H49" i="28"/>
  <c r="FI90" i="8"/>
  <c r="CR69" i="9"/>
  <c r="AP62" i="8"/>
  <c r="AR62" i="8" s="1"/>
  <c r="FL62" i="8"/>
  <c r="FQ62" i="8" s="1"/>
  <c r="BZ62" i="8"/>
  <c r="CD62" i="8" s="1"/>
  <c r="CF62" i="8" s="1"/>
  <c r="EP22" i="8"/>
  <c r="EY22" i="8" s="1"/>
  <c r="EF22" i="8"/>
  <c r="AL67" i="8"/>
  <c r="DZ67" i="11"/>
  <c r="CX78" i="8"/>
  <c r="N56" i="8"/>
  <c r="E56" i="8" s="1"/>
  <c r="FJ56" i="9"/>
  <c r="AW56" i="8"/>
  <c r="BA56" i="8" s="1"/>
  <c r="BC56" i="8" s="1"/>
  <c r="AT60" i="8"/>
  <c r="L31" i="8"/>
  <c r="AY31" i="8" s="1"/>
  <c r="AQ31" i="9"/>
  <c r="BA31" i="9" s="1"/>
  <c r="R90" i="8"/>
  <c r="BF90" i="8" s="1"/>
  <c r="BL33" i="8"/>
  <c r="CL33" i="8"/>
  <c r="R67" i="11"/>
  <c r="E67" i="28"/>
  <c r="CV67" i="8"/>
  <c r="DI67" i="8" s="1"/>
  <c r="FG67" i="9"/>
  <c r="CO67" i="8" s="1"/>
  <c r="DA67" i="8" s="1"/>
  <c r="FD67" i="9"/>
  <c r="CJ67" i="8" s="1"/>
  <c r="DC67" i="8" s="1"/>
  <c r="FF67" i="9"/>
  <c r="CK67" i="8" s="1"/>
  <c r="DD67" i="8" s="1"/>
  <c r="FE67" i="9"/>
  <c r="CN67" i="8" s="1"/>
  <c r="BL76" i="8"/>
  <c r="CL76" i="8"/>
  <c r="BL83" i="8"/>
  <c r="CL83" i="8"/>
  <c r="J23" i="8"/>
  <c r="AL23" i="8"/>
  <c r="BB23" i="9"/>
  <c r="EG46" i="8"/>
  <c r="EL46" i="8"/>
  <c r="FT46" i="8"/>
  <c r="GA46" i="8" s="1"/>
  <c r="CI31" i="8"/>
  <c r="CX31" i="8" s="1"/>
  <c r="FT70" i="8"/>
  <c r="EG70" i="8"/>
  <c r="EL70" i="8"/>
  <c r="HF70" i="8"/>
  <c r="FJ46" i="9"/>
  <c r="EB46" i="8" s="1"/>
  <c r="FV46" i="8" s="1"/>
  <c r="AW46" i="8"/>
  <c r="BA46" i="8" s="1"/>
  <c r="BC46" i="8" s="1"/>
  <c r="N46" i="8"/>
  <c r="E46" i="8" s="1"/>
  <c r="L29" i="8"/>
  <c r="AY29" i="8" s="1"/>
  <c r="AQ29" i="9"/>
  <c r="BA29" i="9" s="1"/>
  <c r="FN60" i="8"/>
  <c r="CB60" i="8"/>
  <c r="FT13" i="8"/>
  <c r="EL13" i="8"/>
  <c r="EG13" i="8"/>
  <c r="EL56" i="8"/>
  <c r="EG56" i="8"/>
  <c r="FT56" i="8"/>
  <c r="FD9" i="9"/>
  <c r="CJ9" i="8" s="1"/>
  <c r="DC9" i="8" s="1"/>
  <c r="FE9" i="9"/>
  <c r="CN9" i="8" s="1"/>
  <c r="FF9" i="9"/>
  <c r="CK9" i="8" s="1"/>
  <c r="DD9" i="8" s="1"/>
  <c r="FG9" i="9"/>
  <c r="CO9" i="8" s="1"/>
  <c r="DA9" i="8" s="1"/>
  <c r="DZ76" i="8"/>
  <c r="FN76" i="8"/>
  <c r="GZ76" i="8" s="1"/>
  <c r="CB76" i="8"/>
  <c r="GM76" i="8"/>
  <c r="BU31" i="8"/>
  <c r="FG31" i="8"/>
  <c r="GF31" i="8"/>
  <c r="Z57" i="11"/>
  <c r="AI57" i="11"/>
  <c r="CY60" i="8"/>
  <c r="EI61" i="8"/>
  <c r="ER61" i="8" s="1"/>
  <c r="EU61" i="8" s="1"/>
  <c r="T61" i="11"/>
  <c r="E61" i="27"/>
  <c r="CB83" i="8"/>
  <c r="FN83" i="8"/>
  <c r="GZ83" i="8" s="1"/>
  <c r="GM83" i="8"/>
  <c r="DZ83" i="8"/>
  <c r="J27" i="8"/>
  <c r="AL27" i="8"/>
  <c r="AP27" i="8" s="1"/>
  <c r="AR27" i="8" s="1"/>
  <c r="BB27" i="9"/>
  <c r="CV22" i="8"/>
  <c r="R22" i="11"/>
  <c r="E22" i="28"/>
  <c r="BB13" i="9"/>
  <c r="J13" i="8"/>
  <c r="AL13" i="8"/>
  <c r="EC90" i="8"/>
  <c r="FO90" i="8"/>
  <c r="CK62" i="9"/>
  <c r="CM62" i="9" s="1"/>
  <c r="Y62" i="8" s="1"/>
  <c r="EN62" i="9"/>
  <c r="EO62" i="9" s="1"/>
  <c r="ET62" i="9" s="1"/>
  <c r="CP62" i="8" s="1"/>
  <c r="CL62" i="9"/>
  <c r="CI62" i="9"/>
  <c r="Q62" i="11"/>
  <c r="GB22" i="8"/>
  <c r="EL60" i="8"/>
  <c r="FT60" i="8"/>
  <c r="EG60" i="8"/>
  <c r="Z22" i="11"/>
  <c r="AG22" i="11" s="1"/>
  <c r="AI22" i="11"/>
  <c r="EL62" i="8"/>
  <c r="EG62" i="8"/>
  <c r="FT62" i="8"/>
  <c r="GA62" i="8" s="1"/>
  <c r="CY29" i="8"/>
  <c r="EN56" i="9"/>
  <c r="EO56" i="9" s="1"/>
  <c r="ET56" i="9" s="1"/>
  <c r="CP56" i="8" s="1"/>
  <c r="Q56" i="11"/>
  <c r="CI56" i="9"/>
  <c r="CK56" i="9"/>
  <c r="CM56" i="9" s="1"/>
  <c r="Y56" i="8" s="1"/>
  <c r="CL56" i="9"/>
  <c r="BH60" i="8"/>
  <c r="J80" i="8"/>
  <c r="N80" i="8" s="1"/>
  <c r="E80" i="8" s="1"/>
  <c r="BB80" i="9"/>
  <c r="AT33" i="8"/>
  <c r="FG76" i="8"/>
  <c r="BU76" i="8"/>
  <c r="GF76" i="8"/>
  <c r="AT83" i="8"/>
  <c r="FJ61" i="9"/>
  <c r="EB61" i="8" s="1"/>
  <c r="FV61" i="8" s="1"/>
  <c r="AW61" i="8"/>
  <c r="BA61" i="8" s="1"/>
  <c r="BC61" i="8" s="1"/>
  <c r="BZ46" i="8"/>
  <c r="CD46" i="8" s="1"/>
  <c r="CF46" i="8" s="1"/>
  <c r="FL46" i="8"/>
  <c r="FQ46" i="8" s="1"/>
  <c r="AP46" i="8"/>
  <c r="AR46" i="8" s="1"/>
  <c r="CL78" i="9"/>
  <c r="CI78" i="9"/>
  <c r="EN78" i="9"/>
  <c r="EO78" i="9" s="1"/>
  <c r="ET78" i="9" s="1"/>
  <c r="CP78" i="8" s="1"/>
  <c r="CK78" i="9"/>
  <c r="Q78" i="11"/>
  <c r="AL33" i="8"/>
  <c r="AP33" i="8" s="1"/>
  <c r="AR33" i="8" s="1"/>
  <c r="J33" i="8"/>
  <c r="N33" i="8" s="1"/>
  <c r="E33" i="8" s="1"/>
  <c r="BB33" i="9"/>
  <c r="FG27" i="8"/>
  <c r="BU27" i="8"/>
  <c r="FD32" i="8"/>
  <c r="CF32" i="11" s="1"/>
  <c r="L76" i="8"/>
  <c r="AY76" i="8" s="1"/>
  <c r="AQ76" i="9"/>
  <c r="BA76" i="9" s="1"/>
  <c r="CJ29" i="9"/>
  <c r="BH29" i="8"/>
  <c r="FN27" i="8"/>
  <c r="CB27" i="8"/>
  <c r="J68" i="8"/>
  <c r="BB68" i="9"/>
  <c r="FQ61" i="8"/>
  <c r="L83" i="8"/>
  <c r="AY83" i="8" s="1"/>
  <c r="AQ83" i="9"/>
  <c r="BA83" i="9" s="1"/>
  <c r="GF80" i="8"/>
  <c r="FG80" i="8"/>
  <c r="GS80" i="8" s="1"/>
  <c r="BU80" i="8"/>
  <c r="CI27" i="8"/>
  <c r="CX27" i="8" s="1"/>
  <c r="CX62" i="8"/>
  <c r="EG80" i="8"/>
  <c r="FT80" i="8"/>
  <c r="EL80" i="8"/>
  <c r="HF80" i="8"/>
  <c r="EG78" i="8"/>
  <c r="EL78" i="8"/>
  <c r="FT78" i="8"/>
  <c r="HF78" i="8"/>
  <c r="Z35" i="11"/>
  <c r="AI35" i="11"/>
  <c r="DS74" i="11"/>
  <c r="H74" i="28"/>
  <c r="HM79" i="8"/>
  <c r="EM79" i="8"/>
  <c r="N13" i="8"/>
  <c r="E13" i="8" s="1"/>
  <c r="AT13" i="8"/>
  <c r="FG13" i="8"/>
  <c r="BU13" i="8"/>
  <c r="AP13" i="8"/>
  <c r="AR13" i="8" s="1"/>
  <c r="BH13" i="8"/>
  <c r="E49" i="28"/>
  <c r="CV49" i="8"/>
  <c r="R49" i="11"/>
  <c r="FG49" i="9"/>
  <c r="CO49" i="8" s="1"/>
  <c r="FF49" i="9"/>
  <c r="CK49" i="8" s="1"/>
  <c r="FE49" i="9"/>
  <c r="CN49" i="8" s="1"/>
  <c r="FD49" i="9"/>
  <c r="CJ49" i="8" s="1"/>
  <c r="FT18" i="8"/>
  <c r="GA18" i="8" s="1"/>
  <c r="EL18" i="8"/>
  <c r="EG18" i="8"/>
  <c r="EM18" i="8" s="1"/>
  <c r="DZ31" i="8"/>
  <c r="FN31" i="8"/>
  <c r="GZ31" i="8" s="1"/>
  <c r="CB31" i="8"/>
  <c r="GM31" i="8"/>
  <c r="EG68" i="8"/>
  <c r="FT68" i="8"/>
  <c r="EL68" i="8"/>
  <c r="HF68" i="8"/>
  <c r="FG33" i="8"/>
  <c r="BU33" i="8"/>
  <c r="FT27" i="8"/>
  <c r="GA27" i="8" s="1"/>
  <c r="EL27" i="8"/>
  <c r="EG27" i="8"/>
  <c r="BH76" i="8"/>
  <c r="AT76" i="8"/>
  <c r="FG83" i="8"/>
  <c r="GS83" i="8" s="1"/>
  <c r="BU83" i="8"/>
  <c r="GF83" i="8"/>
  <c r="FE35" i="9"/>
  <c r="CN35" i="8" s="1"/>
  <c r="FF35" i="9"/>
  <c r="CK35" i="8" s="1"/>
  <c r="DD35" i="8" s="1"/>
  <c r="FD35" i="9"/>
  <c r="CJ35" i="8" s="1"/>
  <c r="DC35" i="8" s="1"/>
  <c r="FG35" i="9"/>
  <c r="CO35" i="8" s="1"/>
  <c r="DA35" i="8" s="1"/>
  <c r="CI61" i="9"/>
  <c r="EN61" i="9"/>
  <c r="EO61" i="9" s="1"/>
  <c r="ET61" i="9" s="1"/>
  <c r="CP61" i="8" s="1"/>
  <c r="DG61" i="8" s="1"/>
  <c r="Q61" i="11"/>
  <c r="CL61" i="9"/>
  <c r="CK61" i="9"/>
  <c r="CM61" i="9" s="1"/>
  <c r="Y61" i="8" s="1"/>
  <c r="Q46" i="11"/>
  <c r="CK46" i="9"/>
  <c r="CM46" i="9" s="1"/>
  <c r="CI46" i="9"/>
  <c r="CL46" i="9"/>
  <c r="EN46" i="9"/>
  <c r="EO46" i="9" s="1"/>
  <c r="ET46" i="9" s="1"/>
  <c r="CP46" i="8" s="1"/>
  <c r="DG46" i="8" s="1"/>
  <c r="DZ74" i="11"/>
  <c r="AL74" i="8"/>
  <c r="FN29" i="8"/>
  <c r="CB29" i="8"/>
  <c r="AW78" i="8"/>
  <c r="BA78" i="8" s="1"/>
  <c r="BC78" i="8" s="1"/>
  <c r="FJ78" i="9"/>
  <c r="N78" i="8"/>
  <c r="E78" i="8" s="1"/>
  <c r="AT27" i="8"/>
  <c r="N27" i="8"/>
  <c r="E27" i="8" s="1"/>
  <c r="L60" i="8"/>
  <c r="AY60" i="8" s="1"/>
  <c r="AQ60" i="9"/>
  <c r="BA60" i="9" s="1"/>
  <c r="AC32" i="8"/>
  <c r="AE32" i="8" s="1"/>
  <c r="D32" i="28"/>
  <c r="BM32" i="8"/>
  <c r="BQ32" i="8" s="1"/>
  <c r="BS32" i="8" s="1"/>
  <c r="FC32" i="9"/>
  <c r="FZ57" i="8"/>
  <c r="BL31" i="8"/>
  <c r="CL31" i="8"/>
  <c r="BH31" i="8"/>
  <c r="CL29" i="8"/>
  <c r="BL29" i="8"/>
  <c r="FG29" i="8"/>
  <c r="BU29" i="8"/>
  <c r="CI60" i="8"/>
  <c r="J20" i="8"/>
  <c r="BB20" i="9"/>
  <c r="AL20" i="8"/>
  <c r="H67" i="28"/>
  <c r="DS67" i="11"/>
  <c r="CD61" i="8"/>
  <c r="CF61" i="8" s="1"/>
  <c r="AT80" i="8"/>
  <c r="D90" i="27"/>
  <c r="EG45" i="8"/>
  <c r="FT45" i="8"/>
  <c r="GA45" i="8" s="1"/>
  <c r="EL45" i="8"/>
  <c r="AK5" i="11"/>
  <c r="W5" i="11"/>
  <c r="L45" i="8"/>
  <c r="AY45" i="8" s="1"/>
  <c r="AQ45" i="9"/>
  <c r="BA45" i="9" s="1"/>
  <c r="FN40" i="8"/>
  <c r="CB40" i="8"/>
  <c r="DZ40" i="8"/>
  <c r="AO42" i="9"/>
  <c r="DJ42" i="9"/>
  <c r="AN42" i="8" s="1"/>
  <c r="DI42" i="9"/>
  <c r="AA42" i="8" s="1"/>
  <c r="BO42" i="8" s="1"/>
  <c r="AC69" i="8"/>
  <c r="AE69" i="8" s="1"/>
  <c r="D69" i="28"/>
  <c r="FC69" i="9"/>
  <c r="BM69" i="8"/>
  <c r="BQ69" i="8" s="1"/>
  <c r="BS69" i="8" s="1"/>
  <c r="BH40" i="8"/>
  <c r="K90" i="8"/>
  <c r="AX90" i="8" s="1"/>
  <c r="Z9" i="11"/>
  <c r="AI9" i="11"/>
  <c r="BZ52" i="8"/>
  <c r="CD52" i="8" s="1"/>
  <c r="CF52" i="8" s="1"/>
  <c r="FL52" i="8"/>
  <c r="FQ52" i="8" s="1"/>
  <c r="AP52" i="8"/>
  <c r="AR52" i="8" s="1"/>
  <c r="AT45" i="8"/>
  <c r="FG53" i="8"/>
  <c r="BU53" i="8"/>
  <c r="FT53" i="8"/>
  <c r="GA53" i="8" s="1"/>
  <c r="EG53" i="8"/>
  <c r="EL53" i="8"/>
  <c r="FD59" i="9"/>
  <c r="CJ59" i="8" s="1"/>
  <c r="FE59" i="9"/>
  <c r="CN59" i="8" s="1"/>
  <c r="FF59" i="9"/>
  <c r="CK59" i="8" s="1"/>
  <c r="FG59" i="9"/>
  <c r="CO59" i="8" s="1"/>
  <c r="L44" i="8"/>
  <c r="AY44" i="8" s="1"/>
  <c r="AQ44" i="9"/>
  <c r="BA44" i="9" s="1"/>
  <c r="DA63" i="8"/>
  <c r="BH85" i="8"/>
  <c r="Z49" i="11"/>
  <c r="AI49" i="11"/>
  <c r="CJ44" i="9"/>
  <c r="BZ26" i="8"/>
  <c r="CD26" i="8" s="1"/>
  <c r="CF26" i="8" s="1"/>
  <c r="AP26" i="8"/>
  <c r="AR26" i="8" s="1"/>
  <c r="FL26" i="8"/>
  <c r="FQ26" i="8" s="1"/>
  <c r="J86" i="8"/>
  <c r="BB86" i="9"/>
  <c r="DG52" i="8"/>
  <c r="FN53" i="8"/>
  <c r="CB53" i="8"/>
  <c r="AG42" i="8"/>
  <c r="EH42" i="9"/>
  <c r="EY42" i="9" s="1"/>
  <c r="FM42" i="9"/>
  <c r="EJ42" i="9"/>
  <c r="FA42" i="9" s="1"/>
  <c r="T42" i="8"/>
  <c r="G42" i="8"/>
  <c r="EK42" i="9"/>
  <c r="FB42" i="9" s="1"/>
  <c r="EI42" i="9"/>
  <c r="EZ42" i="9" s="1"/>
  <c r="CC42" i="9"/>
  <c r="CE42" i="9" s="1"/>
  <c r="CB42" i="9"/>
  <c r="CG42" i="9" s="1"/>
  <c r="X42" i="8" s="1"/>
  <c r="CD42" i="9"/>
  <c r="CF42" i="9" s="1"/>
  <c r="L40" i="8"/>
  <c r="AQ40" i="9"/>
  <c r="BA40" i="9" s="1"/>
  <c r="FG5" i="9"/>
  <c r="CO5" i="8" s="1"/>
  <c r="DA5" i="8" s="1"/>
  <c r="FD5" i="9"/>
  <c r="FE5" i="9"/>
  <c r="CN5" i="8" s="1"/>
  <c r="FF5" i="9"/>
  <c r="CK5" i="8" s="1"/>
  <c r="DD5" i="8" s="1"/>
  <c r="AI63" i="11"/>
  <c r="Z63" i="11"/>
  <c r="BB41" i="9"/>
  <c r="AL41" i="8"/>
  <c r="J41" i="8"/>
  <c r="EP5" i="8"/>
  <c r="EY5" i="8" s="1"/>
  <c r="EF5" i="8"/>
  <c r="CJ40" i="9"/>
  <c r="FA49" i="8"/>
  <c r="ET49" i="8"/>
  <c r="EY49" i="8"/>
  <c r="EU49" i="8"/>
  <c r="EW49" i="8"/>
  <c r="EV49" i="8"/>
  <c r="AW52" i="8"/>
  <c r="BA52" i="8" s="1"/>
  <c r="BC52" i="8" s="1"/>
  <c r="FJ52" i="9"/>
  <c r="EB52" i="8" s="1"/>
  <c r="FV52" i="8" s="1"/>
  <c r="FD66" i="8"/>
  <c r="CF66" i="11" s="1"/>
  <c r="BL53" i="8"/>
  <c r="CL53" i="8"/>
  <c r="AT53" i="8"/>
  <c r="CV59" i="8"/>
  <c r="R59" i="11"/>
  <c r="E59" i="28"/>
  <c r="FH63" i="9"/>
  <c r="BU85" i="8"/>
  <c r="CL44" i="8"/>
  <c r="BL44" i="8"/>
  <c r="AT44" i="8"/>
  <c r="FJ26" i="9"/>
  <c r="N26" i="8"/>
  <c r="AW26" i="8"/>
  <c r="BA26" i="8" s="1"/>
  <c r="BC26" i="8" s="1"/>
  <c r="FM43" i="9"/>
  <c r="EK43" i="9"/>
  <c r="FB43" i="9" s="1"/>
  <c r="EJ43" i="9"/>
  <c r="FA43" i="9" s="1"/>
  <c r="EI43" i="9"/>
  <c r="EZ43" i="9" s="1"/>
  <c r="EH43" i="9"/>
  <c r="EY43" i="9" s="1"/>
  <c r="T43" i="8"/>
  <c r="G43" i="8"/>
  <c r="AG43" i="8"/>
  <c r="CB43" i="9"/>
  <c r="CG43" i="9" s="1"/>
  <c r="X43" i="8" s="1"/>
  <c r="CD43" i="9"/>
  <c r="CF43" i="9" s="1"/>
  <c r="CC43" i="9"/>
  <c r="CE43" i="9" s="1"/>
  <c r="CY40" i="8"/>
  <c r="L53" i="8"/>
  <c r="AY53" i="8" s="1"/>
  <c r="AQ53" i="9"/>
  <c r="BA53" i="9" s="1"/>
  <c r="ET5" i="8"/>
  <c r="EV5" i="8"/>
  <c r="EU5" i="8"/>
  <c r="FA5" i="8"/>
  <c r="EW5" i="8"/>
  <c r="BN42" i="8"/>
  <c r="CS42" i="8"/>
  <c r="CY42" i="8" s="1"/>
  <c r="FX90" i="8"/>
  <c r="L88" i="8"/>
  <c r="AY88" i="8" s="1"/>
  <c r="AQ88" i="9"/>
  <c r="BA88" i="9" s="1"/>
  <c r="EP69" i="8"/>
  <c r="HK69" i="8"/>
  <c r="BH45" i="8"/>
  <c r="BL40" i="8"/>
  <c r="CL40" i="8"/>
  <c r="V63" i="11"/>
  <c r="Y63" i="11" s="1"/>
  <c r="U63" i="11"/>
  <c r="AJ63" i="11"/>
  <c r="EG44" i="8"/>
  <c r="EM44" i="8" s="1"/>
  <c r="EL44" i="8"/>
  <c r="FT44" i="8"/>
  <c r="GA44" i="8" s="1"/>
  <c r="EH63" i="8"/>
  <c r="EO63" i="8"/>
  <c r="EX63" i="8" s="1"/>
  <c r="BP42" i="8"/>
  <c r="AB90" i="8"/>
  <c r="BP90" i="8" s="1"/>
  <c r="CB44" i="8"/>
  <c r="FN44" i="8"/>
  <c r="DD63" i="8"/>
  <c r="EN26" i="9"/>
  <c r="EO26" i="9" s="1"/>
  <c r="ET26" i="9" s="1"/>
  <c r="CP26" i="8" s="1"/>
  <c r="DG26" i="8" s="1"/>
  <c r="CI26" i="9"/>
  <c r="Q26" i="11"/>
  <c r="CK26" i="9"/>
  <c r="CM26" i="9" s="1"/>
  <c r="Y26" i="8" s="1"/>
  <c r="CL26" i="9"/>
  <c r="BN43" i="8"/>
  <c r="CS43" i="8"/>
  <c r="CY43" i="8" s="1"/>
  <c r="BM52" i="8"/>
  <c r="BQ52" i="8" s="1"/>
  <c r="BS52" i="8" s="1"/>
  <c r="D52" i="28"/>
  <c r="FC52" i="9"/>
  <c r="AC52" i="8"/>
  <c r="AE52" i="8" s="1"/>
  <c r="FT41" i="8"/>
  <c r="EL41" i="8"/>
  <c r="EG41" i="8"/>
  <c r="DZ42" i="8"/>
  <c r="CA42" i="8"/>
  <c r="FM42" i="8"/>
  <c r="CB45" i="8"/>
  <c r="FN45" i="8"/>
  <c r="BO40" i="8"/>
  <c r="CI45" i="8"/>
  <c r="CX45" i="8" s="1"/>
  <c r="AO43" i="9"/>
  <c r="DI43" i="9"/>
  <c r="AA43" i="8" s="1"/>
  <c r="BO43" i="8" s="1"/>
  <c r="DJ43" i="9"/>
  <c r="AN43" i="8" s="1"/>
  <c r="DZ43" i="8" s="1"/>
  <c r="DS69" i="11"/>
  <c r="H69" i="28"/>
  <c r="R5" i="11"/>
  <c r="CV5" i="8"/>
  <c r="DI5" i="8" s="1"/>
  <c r="E5" i="28"/>
  <c r="EM26" i="8"/>
  <c r="L87" i="8"/>
  <c r="AY87" i="8" s="1"/>
  <c r="AQ87" i="9"/>
  <c r="BA87" i="9" s="1"/>
  <c r="HW69" i="8"/>
  <c r="AL69" i="8"/>
  <c r="DZ69" i="11"/>
  <c r="AT40" i="8"/>
  <c r="FG40" i="8"/>
  <c r="BU40" i="8"/>
  <c r="DI63" i="8"/>
  <c r="L85" i="8"/>
  <c r="AY85" i="8" s="1"/>
  <c r="AQ85" i="9"/>
  <c r="BA85" i="9" s="1"/>
  <c r="FZ49" i="8"/>
  <c r="HU49" i="8"/>
  <c r="BL45" i="8"/>
  <c r="CL45" i="8"/>
  <c r="FG45" i="8"/>
  <c r="BU45" i="8"/>
  <c r="D66" i="28"/>
  <c r="FC66" i="9"/>
  <c r="BM66" i="8"/>
  <c r="BQ66" i="8" s="1"/>
  <c r="BS66" i="8" s="1"/>
  <c r="AC66" i="8"/>
  <c r="AE66" i="8" s="1"/>
  <c r="CJ53" i="9"/>
  <c r="BH53" i="8"/>
  <c r="CZ63" i="8"/>
  <c r="CQ63" i="8"/>
  <c r="CM63" i="8"/>
  <c r="DC63" i="8"/>
  <c r="AT85" i="8"/>
  <c r="BU44" i="8"/>
  <c r="FG44" i="8"/>
  <c r="CA43" i="8"/>
  <c r="FM43" i="8"/>
  <c r="H52" i="28"/>
  <c r="DS52" i="11"/>
  <c r="CI40" i="8"/>
  <c r="FQ8" i="8"/>
  <c r="BM8" i="8"/>
  <c r="BQ8" i="8" s="1"/>
  <c r="BS8" i="8" s="1"/>
  <c r="FC8" i="9"/>
  <c r="D8" i="28"/>
  <c r="AC8" i="8"/>
  <c r="FD8" i="8"/>
  <c r="E8" i="27"/>
  <c r="T8" i="11"/>
  <c r="EI8" i="8"/>
  <c r="FY8" i="8"/>
  <c r="EE8" i="8"/>
  <c r="EB8" i="8"/>
  <c r="DG8" i="8"/>
  <c r="CR77" i="9" l="1"/>
  <c r="A94" i="24"/>
  <c r="C93" i="24"/>
  <c r="E93" i="24" s="1"/>
  <c r="E10" i="22"/>
  <c r="A11" i="22"/>
  <c r="C10" i="22"/>
  <c r="G10" i="22"/>
  <c r="B63" i="24"/>
  <c r="F63" i="24"/>
  <c r="A64" i="24"/>
  <c r="H63" i="24"/>
  <c r="D63" i="24"/>
  <c r="EM81" i="8"/>
  <c r="HM81" i="8"/>
  <c r="L82" i="8"/>
  <c r="AY82" i="8" s="1"/>
  <c r="AQ82" i="9"/>
  <c r="BA82" i="9" s="1"/>
  <c r="GA81" i="8"/>
  <c r="HY81" i="8" s="1"/>
  <c r="HR81" i="8"/>
  <c r="BL82" i="8"/>
  <c r="CL82" i="8"/>
  <c r="GF82" i="8"/>
  <c r="FG82" i="8"/>
  <c r="GS82" i="8" s="1"/>
  <c r="BU82" i="8"/>
  <c r="BO82" i="8"/>
  <c r="CI82" i="8"/>
  <c r="CX82" i="8" s="1"/>
  <c r="A92" i="22"/>
  <c r="C91" i="22"/>
  <c r="E91" i="22" s="1"/>
  <c r="B12" i="24"/>
  <c r="F12" i="24"/>
  <c r="A13" i="24"/>
  <c r="D12" i="24"/>
  <c r="H12" i="24"/>
  <c r="E63" i="22"/>
  <c r="G63" i="22"/>
  <c r="A64" i="22"/>
  <c r="C63" i="22"/>
  <c r="CB82" i="8"/>
  <c r="DZ82" i="8"/>
  <c r="GM82" i="8"/>
  <c r="FN82" i="8"/>
  <c r="GZ82" i="8" s="1"/>
  <c r="EP81" i="8"/>
  <c r="HK81" i="8"/>
  <c r="BB75" i="9"/>
  <c r="J75" i="8"/>
  <c r="CI24" i="9"/>
  <c r="Q24" i="11"/>
  <c r="CK24" i="9"/>
  <c r="CM24" i="9" s="1"/>
  <c r="Y24" i="8" s="1"/>
  <c r="EN24" i="9"/>
  <c r="EO24" i="9" s="1"/>
  <c r="ET24" i="9" s="1"/>
  <c r="CP24" i="8" s="1"/>
  <c r="DG24" i="8" s="1"/>
  <c r="CL24" i="9"/>
  <c r="EM32" i="8"/>
  <c r="CI37" i="9"/>
  <c r="CK37" i="9"/>
  <c r="CM37" i="9" s="1"/>
  <c r="Y37" i="8" s="1"/>
  <c r="Q37" i="11"/>
  <c r="CL37" i="9"/>
  <c r="EN37" i="9"/>
  <c r="EO37" i="9" s="1"/>
  <c r="ET37" i="9" s="1"/>
  <c r="CP37" i="8" s="1"/>
  <c r="DG37" i="8" s="1"/>
  <c r="FV47" i="8"/>
  <c r="HH47" i="8"/>
  <c r="FY51" i="8"/>
  <c r="EE51" i="8"/>
  <c r="FY47" i="8"/>
  <c r="HW47" i="8" s="1"/>
  <c r="EE47" i="8"/>
  <c r="AC51" i="8"/>
  <c r="AE51" i="8" s="1"/>
  <c r="D51" i="28"/>
  <c r="FC51" i="9"/>
  <c r="BM51" i="8"/>
  <c r="BQ51" i="8" s="1"/>
  <c r="BS51" i="8" s="1"/>
  <c r="FD47" i="8"/>
  <c r="CF47" i="11" s="1"/>
  <c r="FD50" i="8"/>
  <c r="CF50" i="11" s="1"/>
  <c r="DS38" i="11"/>
  <c r="H38" i="28"/>
  <c r="FW38" i="8"/>
  <c r="HC38" i="8"/>
  <c r="FW35" i="8"/>
  <c r="FZ35" i="8" s="1"/>
  <c r="GB35" i="8" s="1"/>
  <c r="E38" i="28"/>
  <c r="R38" i="11"/>
  <c r="CV38" i="8"/>
  <c r="DI38" i="8" s="1"/>
  <c r="AP37" i="8"/>
  <c r="AR37" i="8" s="1"/>
  <c r="FL37" i="8"/>
  <c r="FQ37" i="8" s="1"/>
  <c r="BZ37" i="8"/>
  <c r="CD37" i="8" s="1"/>
  <c r="CF37" i="8" s="1"/>
  <c r="BM47" i="8"/>
  <c r="BQ47" i="8" s="1"/>
  <c r="BS47" i="8" s="1"/>
  <c r="FC47" i="9"/>
  <c r="D47" i="28"/>
  <c r="AC47" i="8"/>
  <c r="AE47" i="8" s="1"/>
  <c r="CR65" i="9"/>
  <c r="FZ51" i="8"/>
  <c r="AL77" i="8"/>
  <c r="DZ77" i="11"/>
  <c r="Q14" i="11"/>
  <c r="CI14" i="9"/>
  <c r="CL14" i="9"/>
  <c r="EN14" i="9"/>
  <c r="EO14" i="9" s="1"/>
  <c r="ET14" i="9" s="1"/>
  <c r="CP14" i="8" s="1"/>
  <c r="DG14" i="8" s="1"/>
  <c r="CK14" i="9"/>
  <c r="CM14" i="9" s="1"/>
  <c r="Y14" i="8" s="1"/>
  <c r="J48" i="8"/>
  <c r="AL48" i="8"/>
  <c r="BB48" i="9"/>
  <c r="EP6" i="8"/>
  <c r="EY6" i="8" s="1"/>
  <c r="EF6" i="8"/>
  <c r="HM47" i="8"/>
  <c r="EM47" i="8"/>
  <c r="GX47" i="8"/>
  <c r="FQ47" i="8"/>
  <c r="GB58" i="8"/>
  <c r="D65" i="28"/>
  <c r="FC65" i="9"/>
  <c r="BM65" i="8"/>
  <c r="BQ65" i="8" s="1"/>
  <c r="BS65" i="8" s="1"/>
  <c r="AC65" i="8"/>
  <c r="AE65" i="8" s="1"/>
  <c r="D77" i="28"/>
  <c r="FC77" i="9"/>
  <c r="BM77" i="8"/>
  <c r="BQ77" i="8" s="1"/>
  <c r="BS77" i="8" s="1"/>
  <c r="AC77" i="8"/>
  <c r="AE77" i="8" s="1"/>
  <c r="EU58" i="8"/>
  <c r="AW14" i="8"/>
  <c r="BA14" i="8" s="1"/>
  <c r="BC14" i="8" s="1"/>
  <c r="FJ14" i="9"/>
  <c r="N14" i="8"/>
  <c r="E14" i="8" s="1"/>
  <c r="FW6" i="8"/>
  <c r="FZ6" i="8" s="1"/>
  <c r="GB6" i="8" s="1"/>
  <c r="FE58" i="9"/>
  <c r="CN58" i="8" s="1"/>
  <c r="FD58" i="9"/>
  <c r="FF58" i="9"/>
  <c r="CK58" i="8" s="1"/>
  <c r="FG58" i="9"/>
  <c r="CO58" i="8" s="1"/>
  <c r="EE32" i="8"/>
  <c r="FY32" i="8"/>
  <c r="FW32" i="8" s="1"/>
  <c r="FZ32" i="8" s="1"/>
  <c r="GB32" i="8" s="1"/>
  <c r="FA6" i="8"/>
  <c r="EW6" i="8"/>
  <c r="EV6" i="8"/>
  <c r="ET6" i="8"/>
  <c r="EU6" i="8"/>
  <c r="EF58" i="8"/>
  <c r="EP58" i="8"/>
  <c r="EY58" i="8" s="1"/>
  <c r="EP77" i="8"/>
  <c r="HK77" i="8"/>
  <c r="FW51" i="8"/>
  <c r="J70" i="8"/>
  <c r="BB70" i="9"/>
  <c r="EM58" i="8"/>
  <c r="EV58" i="8" s="1"/>
  <c r="EH58" i="8"/>
  <c r="BZ14" i="8"/>
  <c r="CD14" i="8" s="1"/>
  <c r="CF14" i="8" s="1"/>
  <c r="FL14" i="8"/>
  <c r="FQ14" i="8" s="1"/>
  <c r="AP14" i="8"/>
  <c r="AR14" i="8" s="1"/>
  <c r="FJ11" i="9"/>
  <c r="AW11" i="8"/>
  <c r="BA11" i="8" s="1"/>
  <c r="BC11" i="8" s="1"/>
  <c r="N11" i="8"/>
  <c r="E11" i="8" s="1"/>
  <c r="EM30" i="8"/>
  <c r="HM30" i="8"/>
  <c r="GA47" i="8"/>
  <c r="HY47" i="8" s="1"/>
  <c r="HR47" i="8"/>
  <c r="DS81" i="11"/>
  <c r="H81" i="28"/>
  <c r="EI47" i="8"/>
  <c r="E47" i="27"/>
  <c r="T47" i="11"/>
  <c r="N73" i="8"/>
  <c r="E73" i="8" s="1"/>
  <c r="FJ73" i="9"/>
  <c r="AW73" i="8"/>
  <c r="BA73" i="8" s="1"/>
  <c r="BC73" i="8" s="1"/>
  <c r="T51" i="11"/>
  <c r="EI51" i="8"/>
  <c r="ER51" i="8" s="1"/>
  <c r="E51" i="27"/>
  <c r="FA58" i="8"/>
  <c r="ET58" i="8"/>
  <c r="EW58" i="8"/>
  <c r="FL11" i="8"/>
  <c r="FQ11" i="8" s="1"/>
  <c r="BZ11" i="8"/>
  <c r="CD11" i="8" s="1"/>
  <c r="CF11" i="8" s="1"/>
  <c r="AP11" i="8"/>
  <c r="AR11" i="8" s="1"/>
  <c r="GA30" i="8"/>
  <c r="HY30" i="8" s="1"/>
  <c r="HR30" i="8"/>
  <c r="EP38" i="8"/>
  <c r="HK38" i="8"/>
  <c r="EF38" i="8"/>
  <c r="E58" i="28"/>
  <c r="IN58" i="8"/>
  <c r="R58" i="11"/>
  <c r="CV58" i="8"/>
  <c r="DI58" i="8" s="1"/>
  <c r="EG75" i="8"/>
  <c r="EL75" i="8"/>
  <c r="HF75" i="8"/>
  <c r="FT75" i="8"/>
  <c r="AK6" i="11"/>
  <c r="W6" i="11"/>
  <c r="Q73" i="11"/>
  <c r="CI73" i="9"/>
  <c r="EN73" i="9"/>
  <c r="EO73" i="9" s="1"/>
  <c r="ET73" i="9" s="1"/>
  <c r="CP73" i="8" s="1"/>
  <c r="DG73" i="8" s="1"/>
  <c r="CL73" i="9"/>
  <c r="CK73" i="9"/>
  <c r="GS30" i="8"/>
  <c r="ER38" i="8"/>
  <c r="HO38" i="8"/>
  <c r="CI79" i="9"/>
  <c r="CK79" i="9"/>
  <c r="CL79" i="9"/>
  <c r="Q79" i="11"/>
  <c r="EN79" i="9"/>
  <c r="EO79" i="9" s="1"/>
  <c r="ET79" i="9" s="1"/>
  <c r="CP79" i="8" s="1"/>
  <c r="DG79" i="8" s="1"/>
  <c r="FD77" i="8"/>
  <c r="CF77" i="11" s="1"/>
  <c r="H65" i="28"/>
  <c r="DS65" i="11"/>
  <c r="FL24" i="8"/>
  <c r="FQ24" i="8" s="1"/>
  <c r="BZ24" i="8"/>
  <c r="CD24" i="8" s="1"/>
  <c r="CF24" i="8" s="1"/>
  <c r="AP24" i="8"/>
  <c r="AR24" i="8" s="1"/>
  <c r="W58" i="11"/>
  <c r="AK58" i="11"/>
  <c r="CK11" i="9"/>
  <c r="CM11" i="9" s="1"/>
  <c r="Y11" i="8" s="1"/>
  <c r="CL11" i="9"/>
  <c r="EN11" i="9"/>
  <c r="EO11" i="9" s="1"/>
  <c r="ET11" i="9" s="1"/>
  <c r="CP11" i="8" s="1"/>
  <c r="DG11" i="8" s="1"/>
  <c r="CI11" i="9"/>
  <c r="Q11" i="11"/>
  <c r="AL30" i="8"/>
  <c r="J30" i="8"/>
  <c r="BB30" i="9"/>
  <c r="FD51" i="8"/>
  <c r="CF51" i="11" s="1"/>
  <c r="AW79" i="8"/>
  <c r="BA79" i="8" s="1"/>
  <c r="BC79" i="8" s="1"/>
  <c r="FJ79" i="9"/>
  <c r="N79" i="8"/>
  <c r="E79" i="8" s="1"/>
  <c r="AW24" i="8"/>
  <c r="BA24" i="8" s="1"/>
  <c r="BC24" i="8" s="1"/>
  <c r="FJ24" i="9"/>
  <c r="N24" i="8"/>
  <c r="E24" i="8" s="1"/>
  <c r="EF35" i="8"/>
  <c r="EP35" i="8"/>
  <c r="EY35" i="8" s="1"/>
  <c r="FD38" i="9"/>
  <c r="FG38" i="9"/>
  <c r="CO38" i="8" s="1"/>
  <c r="DA38" i="8" s="1"/>
  <c r="FE38" i="9"/>
  <c r="CN38" i="8" s="1"/>
  <c r="FF38" i="9"/>
  <c r="CK38" i="8" s="1"/>
  <c r="DD38" i="8" s="1"/>
  <c r="EI32" i="8"/>
  <c r="ER32" i="8" s="1"/>
  <c r="EU32" i="8" s="1"/>
  <c r="T32" i="11"/>
  <c r="E32" i="27"/>
  <c r="EM14" i="8"/>
  <c r="FJ37" i="9"/>
  <c r="N37" i="8"/>
  <c r="E37" i="8" s="1"/>
  <c r="AW37" i="8"/>
  <c r="BA37" i="8" s="1"/>
  <c r="BC37" i="8" s="1"/>
  <c r="AK38" i="11"/>
  <c r="W38" i="11"/>
  <c r="AN27" i="18"/>
  <c r="AK39" i="11"/>
  <c r="W39" i="11"/>
  <c r="FE39" i="9"/>
  <c r="CN39" i="8" s="1"/>
  <c r="FG39" i="9"/>
  <c r="CO39" i="8" s="1"/>
  <c r="DA39" i="8" s="1"/>
  <c r="FD39" i="9"/>
  <c r="FF39" i="9"/>
  <c r="CK39" i="8" s="1"/>
  <c r="DD39" i="8" s="1"/>
  <c r="EP39" i="8"/>
  <c r="EY39" i="8" s="1"/>
  <c r="EF39" i="8"/>
  <c r="E39" i="28"/>
  <c r="R39" i="11"/>
  <c r="CV39" i="8"/>
  <c r="DI39" i="8" s="1"/>
  <c r="EW39" i="8"/>
  <c r="EV39" i="8"/>
  <c r="ET39" i="8"/>
  <c r="EU39" i="8"/>
  <c r="FA39" i="8"/>
  <c r="FW39" i="8"/>
  <c r="FZ39" i="8" s="1"/>
  <c r="GB39" i="8" s="1"/>
  <c r="DS39" i="11"/>
  <c r="H39" i="28"/>
  <c r="FD10" i="8"/>
  <c r="CF10" i="11" s="1"/>
  <c r="DS10" i="11" s="1"/>
  <c r="EM4" i="8"/>
  <c r="DS35" i="11"/>
  <c r="H35" i="28"/>
  <c r="EB4" i="8"/>
  <c r="FV4" i="8" s="1"/>
  <c r="FY4" i="8"/>
  <c r="EE4" i="8"/>
  <c r="E4" i="27"/>
  <c r="T4" i="11"/>
  <c r="EI4" i="8"/>
  <c r="ER4" i="8" s="1"/>
  <c r="FC4" i="9"/>
  <c r="D4" i="28"/>
  <c r="BM4" i="8"/>
  <c r="BQ4" i="8" s="1"/>
  <c r="BS4" i="8" s="1"/>
  <c r="AC4" i="8"/>
  <c r="AE4" i="8" s="1"/>
  <c r="FD4" i="8"/>
  <c r="CF4" i="11" s="1"/>
  <c r="DZ71" i="11"/>
  <c r="FD15" i="8"/>
  <c r="CF15" i="11" s="1"/>
  <c r="FC15" i="9"/>
  <c r="D15" i="28"/>
  <c r="BM15" i="8"/>
  <c r="BQ15" i="8" s="1"/>
  <c r="BS15" i="8" s="1"/>
  <c r="AC15" i="8"/>
  <c r="AE15" i="8" s="1"/>
  <c r="FY15" i="8"/>
  <c r="FW15" i="8" s="1"/>
  <c r="FZ15" i="8" s="1"/>
  <c r="GB15" i="8" s="1"/>
  <c r="EE15" i="8"/>
  <c r="T15" i="11"/>
  <c r="EI15" i="8"/>
  <c r="ER15" i="8" s="1"/>
  <c r="E15" i="27"/>
  <c r="G90" i="8"/>
  <c r="AT90" i="8" s="1"/>
  <c r="CR66" i="9"/>
  <c r="FE6" i="9"/>
  <c r="CN6" i="8" s="1"/>
  <c r="FD6" i="9"/>
  <c r="CJ6" i="8" s="1"/>
  <c r="DC6" i="8" s="1"/>
  <c r="FF6" i="9"/>
  <c r="CK6" i="8" s="1"/>
  <c r="DD6" i="8" s="1"/>
  <c r="FG6" i="9"/>
  <c r="CO6" i="8" s="1"/>
  <c r="DA6" i="8" s="1"/>
  <c r="FW28" i="8"/>
  <c r="FZ28" i="8" s="1"/>
  <c r="GB28" i="8" s="1"/>
  <c r="EE54" i="8"/>
  <c r="FY54" i="8"/>
  <c r="FD54" i="8"/>
  <c r="CF54" i="11" s="1"/>
  <c r="X90" i="8"/>
  <c r="BL90" i="8" s="1"/>
  <c r="EN84" i="9"/>
  <c r="EO84" i="9" s="1"/>
  <c r="ET84" i="9" s="1"/>
  <c r="CP84" i="8" s="1"/>
  <c r="Q84" i="11"/>
  <c r="CL84" i="9"/>
  <c r="CI84" i="9"/>
  <c r="CK84" i="9"/>
  <c r="E54" i="27"/>
  <c r="T54" i="11"/>
  <c r="EI54" i="8"/>
  <c r="ER54" i="8" s="1"/>
  <c r="N84" i="8"/>
  <c r="E84" i="8" s="1"/>
  <c r="FJ84" i="9"/>
  <c r="AW84" i="8"/>
  <c r="BA84" i="8" s="1"/>
  <c r="BC84" i="8" s="1"/>
  <c r="EM84" i="8"/>
  <c r="D54" i="28"/>
  <c r="BM54" i="8"/>
  <c r="BQ54" i="8" s="1"/>
  <c r="BS54" i="8" s="1"/>
  <c r="AC54" i="8"/>
  <c r="AE54" i="8" s="1"/>
  <c r="FC54" i="9"/>
  <c r="EU59" i="8"/>
  <c r="FA59" i="8"/>
  <c r="EW59" i="8"/>
  <c r="ET59" i="8"/>
  <c r="EV59" i="8"/>
  <c r="FD34" i="8"/>
  <c r="CF34" i="11" s="1"/>
  <c r="FD55" i="9"/>
  <c r="FG55" i="9"/>
  <c r="CO55" i="8" s="1"/>
  <c r="DA55" i="8" s="1"/>
  <c r="FE55" i="9"/>
  <c r="CN55" i="8" s="1"/>
  <c r="FF55" i="9"/>
  <c r="CK55" i="8" s="1"/>
  <c r="DD55" i="8" s="1"/>
  <c r="EP59" i="8"/>
  <c r="EY59" i="8" s="1"/>
  <c r="EF59" i="8"/>
  <c r="HL81" i="8"/>
  <c r="EO81" i="8"/>
  <c r="EH81" i="8"/>
  <c r="E34" i="27"/>
  <c r="T34" i="11"/>
  <c r="EI34" i="8"/>
  <c r="ER34" i="8" s="1"/>
  <c r="EV34" i="8" s="1"/>
  <c r="AK59" i="11"/>
  <c r="W59" i="11"/>
  <c r="FD19" i="8"/>
  <c r="CF19" i="11" s="1"/>
  <c r="H17" i="28"/>
  <c r="DS17" i="11"/>
  <c r="T19" i="11"/>
  <c r="EI19" i="8"/>
  <c r="ER19" i="8" s="1"/>
  <c r="E19" i="27"/>
  <c r="EU55" i="8"/>
  <c r="EW55" i="8"/>
  <c r="ET55" i="8"/>
  <c r="EV55" i="8"/>
  <c r="FA55" i="8"/>
  <c r="EP55" i="8"/>
  <c r="EY55" i="8" s="1"/>
  <c r="EF55" i="8"/>
  <c r="FV81" i="8"/>
  <c r="HH81" i="8"/>
  <c r="CZ81" i="8"/>
  <c r="CQ81" i="8"/>
  <c r="CM81" i="8"/>
  <c r="CJ43" i="9"/>
  <c r="E55" i="28"/>
  <c r="CV55" i="8"/>
  <c r="DI55" i="8" s="1"/>
  <c r="R55" i="11"/>
  <c r="T25" i="11"/>
  <c r="EI25" i="8"/>
  <c r="ER25" i="8" s="1"/>
  <c r="E25" i="27"/>
  <c r="EO57" i="8"/>
  <c r="EX57" i="8" s="1"/>
  <c r="EH57" i="8"/>
  <c r="EQ57" i="8" s="1"/>
  <c r="EZ57" i="8" s="1"/>
  <c r="FD25" i="8"/>
  <c r="CF25" i="11" s="1"/>
  <c r="E81" i="27"/>
  <c r="EI81" i="8"/>
  <c r="T81" i="11"/>
  <c r="EE19" i="8"/>
  <c r="FY19" i="8"/>
  <c r="DS55" i="11"/>
  <c r="H55" i="28"/>
  <c r="FH81" i="9"/>
  <c r="FD62" i="8"/>
  <c r="CF62" i="11" s="1"/>
  <c r="AC34" i="8"/>
  <c r="AE34" i="8" s="1"/>
  <c r="BM34" i="8"/>
  <c r="BQ34" i="8" s="1"/>
  <c r="BS34" i="8" s="1"/>
  <c r="D34" i="28"/>
  <c r="FC34" i="9"/>
  <c r="FC19" i="9"/>
  <c r="D19" i="28"/>
  <c r="AC19" i="8"/>
  <c r="AE19" i="8" s="1"/>
  <c r="BM19" i="8"/>
  <c r="BQ19" i="8" s="1"/>
  <c r="BS19" i="8" s="1"/>
  <c r="EB34" i="8"/>
  <c r="FV34" i="8" s="1"/>
  <c r="FY34" i="8"/>
  <c r="EE34" i="8"/>
  <c r="D25" i="28"/>
  <c r="FC25" i="9"/>
  <c r="BM25" i="8"/>
  <c r="BQ25" i="8" s="1"/>
  <c r="BS25" i="8" s="1"/>
  <c r="AC25" i="8"/>
  <c r="AE25" i="8" s="1"/>
  <c r="W55" i="11"/>
  <c r="AK55" i="11"/>
  <c r="GX81" i="8"/>
  <c r="FQ81" i="8"/>
  <c r="EB25" i="8"/>
  <c r="FV25" i="8" s="1"/>
  <c r="EE25" i="8"/>
  <c r="FY25" i="8"/>
  <c r="CJ42" i="9"/>
  <c r="AC10" i="8"/>
  <c r="AE10" i="8" s="1"/>
  <c r="FC10" i="9"/>
  <c r="BM10" i="8"/>
  <c r="BQ10" i="8" s="1"/>
  <c r="BS10" i="8" s="1"/>
  <c r="D10" i="28"/>
  <c r="FF28" i="9"/>
  <c r="CK28" i="8" s="1"/>
  <c r="DD28" i="8" s="1"/>
  <c r="FE28" i="9"/>
  <c r="CN28" i="8" s="1"/>
  <c r="FD28" i="9"/>
  <c r="FG28" i="9"/>
  <c r="CO28" i="8" s="1"/>
  <c r="DA28" i="8" s="1"/>
  <c r="W28" i="11"/>
  <c r="AK28" i="11"/>
  <c r="H10" i="28"/>
  <c r="EN36" i="9"/>
  <c r="EO36" i="9" s="1"/>
  <c r="ET36" i="9" s="1"/>
  <c r="CP36" i="8" s="1"/>
  <c r="DG36" i="8" s="1"/>
  <c r="CK36" i="9"/>
  <c r="CM36" i="9" s="1"/>
  <c r="Y36" i="8" s="1"/>
  <c r="CL36" i="9"/>
  <c r="Q36" i="11"/>
  <c r="CI36" i="9"/>
  <c r="EE10" i="8"/>
  <c r="FY10" i="8"/>
  <c r="FW10" i="8" s="1"/>
  <c r="FZ10" i="8" s="1"/>
  <c r="GB10" i="8" s="1"/>
  <c r="FA28" i="8"/>
  <c r="ET28" i="8"/>
  <c r="EV28" i="8"/>
  <c r="EU28" i="8"/>
  <c r="EW28" i="8"/>
  <c r="T10" i="11"/>
  <c r="E10" i="27"/>
  <c r="EI10" i="8"/>
  <c r="ER10" i="8" s="1"/>
  <c r="EV10" i="8" s="1"/>
  <c r="H28" i="28"/>
  <c r="DS28" i="11"/>
  <c r="GA74" i="8"/>
  <c r="HY74" i="8" s="1"/>
  <c r="HR74" i="8"/>
  <c r="N36" i="8"/>
  <c r="E36" i="8" s="1"/>
  <c r="AW36" i="8"/>
  <c r="BA36" i="8" s="1"/>
  <c r="BC36" i="8" s="1"/>
  <c r="FJ36" i="9"/>
  <c r="CV28" i="8"/>
  <c r="DI28" i="8" s="1"/>
  <c r="E28" i="28"/>
  <c r="R28" i="11"/>
  <c r="EP28" i="8"/>
  <c r="EY28" i="8" s="1"/>
  <c r="EF28" i="8"/>
  <c r="EM74" i="8"/>
  <c r="HM74" i="8"/>
  <c r="BZ36" i="8"/>
  <c r="CD36" i="8" s="1"/>
  <c r="CF36" i="8" s="1"/>
  <c r="FL36" i="8"/>
  <c r="FQ36" i="8" s="1"/>
  <c r="AP36" i="8"/>
  <c r="AR36" i="8" s="1"/>
  <c r="E16" i="27"/>
  <c r="T16" i="11"/>
  <c r="EI16" i="8"/>
  <c r="ER16" i="8" s="1"/>
  <c r="EU16" i="8" s="1"/>
  <c r="FD16" i="8"/>
  <c r="CF16" i="11" s="1"/>
  <c r="AW12" i="8"/>
  <c r="BA12" i="8" s="1"/>
  <c r="BC12" i="8" s="1"/>
  <c r="FJ12" i="9"/>
  <c r="N12" i="8"/>
  <c r="E12" i="8" s="1"/>
  <c r="GA72" i="8"/>
  <c r="HY72" i="8" s="1"/>
  <c r="HR72" i="8"/>
  <c r="EE64" i="8"/>
  <c r="EP64" i="8" s="1"/>
  <c r="FY64" i="8"/>
  <c r="EP17" i="8"/>
  <c r="EY17" i="8" s="1"/>
  <c r="EF17" i="8"/>
  <c r="FD71" i="9"/>
  <c r="CJ71" i="8" s="1"/>
  <c r="FG71" i="9"/>
  <c r="CO71" i="8" s="1"/>
  <c r="FE71" i="9"/>
  <c r="CN71" i="8" s="1"/>
  <c r="FF71" i="9"/>
  <c r="CK71" i="8" s="1"/>
  <c r="AJ81" i="11"/>
  <c r="U81" i="11"/>
  <c r="V81" i="11"/>
  <c r="Y81" i="11" s="1"/>
  <c r="CM64" i="9"/>
  <c r="CR64" i="9" s="1"/>
  <c r="FY7" i="8"/>
  <c r="FW7" i="8" s="1"/>
  <c r="FZ7" i="8" s="1"/>
  <c r="GB7" i="8" s="1"/>
  <c r="EE7" i="8"/>
  <c r="EM64" i="8"/>
  <c r="DE57" i="8"/>
  <c r="CR57" i="8"/>
  <c r="CT57" i="8" s="1"/>
  <c r="CV17" i="8"/>
  <c r="DI17" i="8" s="1"/>
  <c r="R17" i="11"/>
  <c r="E17" i="28"/>
  <c r="X57" i="11"/>
  <c r="AH57" i="11"/>
  <c r="FM90" i="8"/>
  <c r="AK17" i="11"/>
  <c r="W17" i="11"/>
  <c r="FL71" i="8"/>
  <c r="BZ71" i="8"/>
  <c r="CD71" i="8" s="1"/>
  <c r="CF71" i="8" s="1"/>
  <c r="GK71" i="8"/>
  <c r="GP71" i="8" s="1"/>
  <c r="EB71" i="8"/>
  <c r="AP71" i="8"/>
  <c r="AR71" i="8" s="1"/>
  <c r="EF71" i="8"/>
  <c r="EM72" i="8"/>
  <c r="HM72" i="8"/>
  <c r="FD7" i="8"/>
  <c r="CF7" i="11" s="1"/>
  <c r="EG21" i="8"/>
  <c r="EM21" i="8" s="1"/>
  <c r="EL21" i="8"/>
  <c r="FT21" i="8"/>
  <c r="GA21" i="8" s="1"/>
  <c r="FY16" i="8"/>
  <c r="FW16" i="8" s="1"/>
  <c r="FZ16" i="8" s="1"/>
  <c r="GB16" i="8" s="1"/>
  <c r="EE16" i="8"/>
  <c r="N72" i="8"/>
  <c r="E72" i="8" s="1"/>
  <c r="AW72" i="8"/>
  <c r="BA72" i="8" s="1"/>
  <c r="BC72" i="8" s="1"/>
  <c r="FJ72" i="9"/>
  <c r="DB57" i="8"/>
  <c r="EV61" i="8"/>
  <c r="T7" i="11"/>
  <c r="EI7" i="8"/>
  <c r="ER7" i="8" s="1"/>
  <c r="E7" i="27"/>
  <c r="ET17" i="8"/>
  <c r="EW17" i="8"/>
  <c r="EU17" i="8"/>
  <c r="EV17" i="8"/>
  <c r="FA17" i="8"/>
  <c r="AC16" i="8"/>
  <c r="AE16" i="8" s="1"/>
  <c r="BM16" i="8"/>
  <c r="BQ16" i="8" s="1"/>
  <c r="BS16" i="8" s="1"/>
  <c r="FC16" i="9"/>
  <c r="D16" i="28"/>
  <c r="EN12" i="9"/>
  <c r="EO12" i="9" s="1"/>
  <c r="ET12" i="9" s="1"/>
  <c r="CP12" i="8" s="1"/>
  <c r="DG12" i="8" s="1"/>
  <c r="CI12" i="9"/>
  <c r="Q12" i="11"/>
  <c r="CK12" i="9"/>
  <c r="CM12" i="9" s="1"/>
  <c r="Y12" i="8" s="1"/>
  <c r="CL12" i="9"/>
  <c r="H50" i="28"/>
  <c r="DS50" i="11"/>
  <c r="D50" i="28"/>
  <c r="BM50" i="8"/>
  <c r="BQ50" i="8" s="1"/>
  <c r="BS50" i="8" s="1"/>
  <c r="AC50" i="8"/>
  <c r="AE50" i="8" s="1"/>
  <c r="FC50" i="9"/>
  <c r="IN71" i="8"/>
  <c r="R71" i="11"/>
  <c r="E71" i="28"/>
  <c r="CV71" i="8"/>
  <c r="DI71" i="8" s="1"/>
  <c r="FQ50" i="8"/>
  <c r="GX50" i="8"/>
  <c r="CI72" i="9"/>
  <c r="CL72" i="9"/>
  <c r="Q72" i="11"/>
  <c r="EN72" i="9"/>
  <c r="EO72" i="9" s="1"/>
  <c r="ET72" i="9" s="1"/>
  <c r="CP72" i="8" s="1"/>
  <c r="DG72" i="8" s="1"/>
  <c r="CK72" i="9"/>
  <c r="FE17" i="9"/>
  <c r="CN17" i="8" s="1"/>
  <c r="FF17" i="9"/>
  <c r="CK17" i="8" s="1"/>
  <c r="DD17" i="8" s="1"/>
  <c r="FG17" i="9"/>
  <c r="CO17" i="8" s="1"/>
  <c r="DA17" i="8" s="1"/>
  <c r="FD17" i="9"/>
  <c r="FY66" i="8"/>
  <c r="EE66" i="8"/>
  <c r="EP66" i="8" s="1"/>
  <c r="EM12" i="8"/>
  <c r="BB21" i="9"/>
  <c r="AL21" i="8"/>
  <c r="J21" i="8"/>
  <c r="BZ12" i="8"/>
  <c r="CD12" i="8" s="1"/>
  <c r="CF12" i="8" s="1"/>
  <c r="FL12" i="8"/>
  <c r="FQ12" i="8" s="1"/>
  <c r="AP12" i="8"/>
  <c r="AR12" i="8" s="1"/>
  <c r="D7" i="28"/>
  <c r="BM7" i="8"/>
  <c r="BQ7" i="8" s="1"/>
  <c r="BS7" i="8" s="1"/>
  <c r="FC7" i="9"/>
  <c r="AC7" i="8"/>
  <c r="AE7" i="8" s="1"/>
  <c r="EM16" i="8"/>
  <c r="EV16" i="8" s="1"/>
  <c r="GB17" i="8"/>
  <c r="HH50" i="8"/>
  <c r="FV50" i="8"/>
  <c r="EI50" i="8"/>
  <c r="T50" i="11"/>
  <c r="E50" i="27"/>
  <c r="DG64" i="8"/>
  <c r="BW57" i="11"/>
  <c r="BF57" i="11"/>
  <c r="AF57" i="11"/>
  <c r="AY57" i="11"/>
  <c r="FY50" i="8"/>
  <c r="HW50" i="8" s="1"/>
  <c r="EE50" i="8"/>
  <c r="GB57" i="8"/>
  <c r="CV32" i="8"/>
  <c r="DI32" i="8" s="1"/>
  <c r="R32" i="11"/>
  <c r="E32" i="28"/>
  <c r="FD61" i="8"/>
  <c r="CF61" i="11" s="1"/>
  <c r="GA68" i="8"/>
  <c r="HY68" i="8" s="1"/>
  <c r="HR68" i="8"/>
  <c r="DC49" i="8"/>
  <c r="V49" i="11"/>
  <c r="Y49" i="11" s="1"/>
  <c r="U49" i="11"/>
  <c r="AJ49" i="11"/>
  <c r="J76" i="8"/>
  <c r="BB76" i="9"/>
  <c r="AW33" i="8"/>
  <c r="BA33" i="8" s="1"/>
  <c r="BC33" i="8" s="1"/>
  <c r="FJ33" i="9"/>
  <c r="DG78" i="8"/>
  <c r="GS76" i="8"/>
  <c r="AW80" i="8"/>
  <c r="BA80" i="8" s="1"/>
  <c r="BC80" i="8" s="1"/>
  <c r="FJ80" i="9"/>
  <c r="FD56" i="8"/>
  <c r="CF56" i="11" s="1"/>
  <c r="DG56" i="8"/>
  <c r="BG22" i="11"/>
  <c r="BH22" i="11" s="1"/>
  <c r="BI22" i="11" s="1"/>
  <c r="BM22" i="11" s="1"/>
  <c r="AW22" i="11"/>
  <c r="BU22" i="11"/>
  <c r="H22" i="27" s="1"/>
  <c r="AZ22" i="11"/>
  <c r="GA60" i="8"/>
  <c r="DG62" i="8"/>
  <c r="BZ13" i="8"/>
  <c r="CD13" i="8" s="1"/>
  <c r="CF13" i="8" s="1"/>
  <c r="FL13" i="8"/>
  <c r="FQ13" i="8" s="1"/>
  <c r="AJ22" i="11"/>
  <c r="U22" i="11"/>
  <c r="V22" i="11"/>
  <c r="Y22" i="11" s="1"/>
  <c r="FJ27" i="9"/>
  <c r="AW27" i="8"/>
  <c r="BA27" i="8" s="1"/>
  <c r="BC27" i="8" s="1"/>
  <c r="EW61" i="8"/>
  <c r="FA61" i="8"/>
  <c r="ET61" i="8"/>
  <c r="EG76" i="8"/>
  <c r="EL76" i="8"/>
  <c r="HF76" i="8"/>
  <c r="FT76" i="8"/>
  <c r="CZ9" i="8"/>
  <c r="CM9" i="8"/>
  <c r="CQ9" i="8"/>
  <c r="EM56" i="8"/>
  <c r="EE46" i="8"/>
  <c r="FY46" i="8"/>
  <c r="EV25" i="8"/>
  <c r="ET25" i="8"/>
  <c r="EW25" i="8"/>
  <c r="EU25" i="8"/>
  <c r="FA25" i="8"/>
  <c r="GA70" i="8"/>
  <c r="HY70" i="8" s="1"/>
  <c r="HR70" i="8"/>
  <c r="EM46" i="8"/>
  <c r="U67" i="11"/>
  <c r="AJ67" i="11"/>
  <c r="V67" i="11"/>
  <c r="Y67" i="11" s="1"/>
  <c r="BB31" i="9"/>
  <c r="J31" i="8"/>
  <c r="AL31" i="8"/>
  <c r="FH22" i="9"/>
  <c r="CZ22" i="8"/>
  <c r="CQ22" i="8"/>
  <c r="CM22" i="8"/>
  <c r="FG74" i="9"/>
  <c r="CO74" i="8" s="1"/>
  <c r="FF74" i="9"/>
  <c r="CK74" i="8" s="1"/>
  <c r="FE74" i="9"/>
  <c r="CN74" i="8" s="1"/>
  <c r="FD74" i="9"/>
  <c r="CJ74" i="8" s="1"/>
  <c r="EO9" i="8"/>
  <c r="EX9" i="8" s="1"/>
  <c r="EH9" i="8"/>
  <c r="EQ9" i="8" s="1"/>
  <c r="EZ9" i="8" s="1"/>
  <c r="AJ35" i="11"/>
  <c r="V35" i="11"/>
  <c r="Y35" i="11" s="1"/>
  <c r="U35" i="11"/>
  <c r="U6" i="11"/>
  <c r="AJ6" i="11"/>
  <c r="V6" i="11"/>
  <c r="Y6" i="11" s="1"/>
  <c r="FD26" i="8"/>
  <c r="CF26" i="11" s="1"/>
  <c r="AN90" i="8"/>
  <c r="CB90" i="8" s="1"/>
  <c r="BZ20" i="8"/>
  <c r="CD20" i="8" s="1"/>
  <c r="CF20" i="8" s="1"/>
  <c r="AP20" i="8"/>
  <c r="AR20" i="8" s="1"/>
  <c r="FL20" i="8"/>
  <c r="FQ20" i="8" s="1"/>
  <c r="FF32" i="9"/>
  <c r="CK32" i="8" s="1"/>
  <c r="DD32" i="8" s="1"/>
  <c r="FD32" i="9"/>
  <c r="CJ32" i="8" s="1"/>
  <c r="DC32" i="8" s="1"/>
  <c r="FE32" i="9"/>
  <c r="CN32" i="8" s="1"/>
  <c r="FG32" i="9"/>
  <c r="CO32" i="8" s="1"/>
  <c r="DA32" i="8" s="1"/>
  <c r="J60" i="8"/>
  <c r="AL60" i="8"/>
  <c r="BB60" i="9"/>
  <c r="FH35" i="9"/>
  <c r="CZ35" i="8"/>
  <c r="CQ35" i="8"/>
  <c r="DB35" i="8" s="1"/>
  <c r="CM35" i="8"/>
  <c r="EM68" i="8"/>
  <c r="HM68" i="8"/>
  <c r="CZ49" i="8"/>
  <c r="CQ49" i="8"/>
  <c r="CM49" i="8"/>
  <c r="DI49" i="8"/>
  <c r="GA78" i="8"/>
  <c r="HY78" i="8" s="1"/>
  <c r="HR78" i="8"/>
  <c r="CK68" i="9"/>
  <c r="Q68" i="11"/>
  <c r="CL68" i="9"/>
  <c r="EN68" i="9"/>
  <c r="EO68" i="9" s="1"/>
  <c r="ET68" i="9" s="1"/>
  <c r="CP68" i="8" s="1"/>
  <c r="CI68" i="9"/>
  <c r="BZ33" i="8"/>
  <c r="CD33" i="8" s="1"/>
  <c r="CF33" i="8" s="1"/>
  <c r="FL33" i="8"/>
  <c r="FQ33" i="8" s="1"/>
  <c r="BM56" i="8"/>
  <c r="BQ56" i="8" s="1"/>
  <c r="BS56" i="8" s="1"/>
  <c r="FC56" i="9"/>
  <c r="AC56" i="8"/>
  <c r="AE56" i="8" s="1"/>
  <c r="D56" i="28"/>
  <c r="EM62" i="8"/>
  <c r="FC62" i="9"/>
  <c r="D62" i="28"/>
  <c r="BM62" i="8"/>
  <c r="BQ62" i="8" s="1"/>
  <c r="BS62" i="8" s="1"/>
  <c r="AC62" i="8"/>
  <c r="AE62" i="8" s="1"/>
  <c r="FJ13" i="9"/>
  <c r="AW13" i="8"/>
  <c r="BA13" i="8" s="1"/>
  <c r="BC13" i="8" s="1"/>
  <c r="DI22" i="8"/>
  <c r="EG83" i="8"/>
  <c r="HF83" i="8"/>
  <c r="EL83" i="8"/>
  <c r="FT83" i="8"/>
  <c r="AO57" i="11"/>
  <c r="AQ57" i="11" s="1"/>
  <c r="AU57" i="11" s="1"/>
  <c r="AS57" i="11"/>
  <c r="FH9" i="9"/>
  <c r="GA13" i="8"/>
  <c r="CL23" i="9"/>
  <c r="Q23" i="11"/>
  <c r="CK23" i="9"/>
  <c r="CM23" i="9" s="1"/>
  <c r="Y23" i="8" s="1"/>
  <c r="CI23" i="9"/>
  <c r="EN23" i="9"/>
  <c r="EO23" i="9" s="1"/>
  <c r="ET23" i="9" s="1"/>
  <c r="CP23" i="8" s="1"/>
  <c r="DG23" i="8" s="1"/>
  <c r="FH67" i="9"/>
  <c r="EO22" i="8"/>
  <c r="EX22" i="8" s="1"/>
  <c r="EH22" i="8"/>
  <c r="E62" i="27"/>
  <c r="EI62" i="8"/>
  <c r="T62" i="11"/>
  <c r="DC22" i="8"/>
  <c r="HM48" i="8"/>
  <c r="EM48" i="8"/>
  <c r="EN18" i="9"/>
  <c r="EO18" i="9" s="1"/>
  <c r="ET18" i="9" s="1"/>
  <c r="CP18" i="8" s="1"/>
  <c r="DG18" i="8" s="1"/>
  <c r="CL18" i="9"/>
  <c r="CI18" i="9"/>
  <c r="Q18" i="11"/>
  <c r="CK18" i="9"/>
  <c r="CM18" i="9" s="1"/>
  <c r="Y18" i="8" s="1"/>
  <c r="T56" i="11"/>
  <c r="E56" i="27"/>
  <c r="EI56" i="8"/>
  <c r="GA23" i="8"/>
  <c r="AG90" i="8"/>
  <c r="BU90" i="8" s="1"/>
  <c r="CK20" i="9"/>
  <c r="CM20" i="9" s="1"/>
  <c r="Y20" i="8" s="1"/>
  <c r="CI20" i="9"/>
  <c r="EN20" i="9"/>
  <c r="EO20" i="9" s="1"/>
  <c r="ET20" i="9" s="1"/>
  <c r="CP20" i="8" s="1"/>
  <c r="DG20" i="8" s="1"/>
  <c r="Q20" i="11"/>
  <c r="CL20" i="9"/>
  <c r="FD20" i="8" s="1"/>
  <c r="CF20" i="11" s="1"/>
  <c r="CX60" i="8"/>
  <c r="FY78" i="8"/>
  <c r="EE78" i="8"/>
  <c r="FL74" i="8"/>
  <c r="BZ74" i="8"/>
  <c r="CD74" i="8" s="1"/>
  <c r="CF74" i="8" s="1"/>
  <c r="GK74" i="8"/>
  <c r="GP74" i="8" s="1"/>
  <c r="EF74" i="8"/>
  <c r="AP74" i="8"/>
  <c r="AR74" i="8" s="1"/>
  <c r="EB74" i="8"/>
  <c r="EM27" i="8"/>
  <c r="E33" i="27"/>
  <c r="T33" i="11"/>
  <c r="EI33" i="8"/>
  <c r="ER33" i="8" s="1"/>
  <c r="EU33" i="8" s="1"/>
  <c r="EG31" i="8"/>
  <c r="FT31" i="8"/>
  <c r="EL31" i="8"/>
  <c r="HF31" i="8"/>
  <c r="DD49" i="8"/>
  <c r="E13" i="27"/>
  <c r="EI13" i="8"/>
  <c r="T13" i="11"/>
  <c r="AO35" i="11"/>
  <c r="AQ35" i="11" s="1"/>
  <c r="AU35" i="11" s="1"/>
  <c r="AS35" i="11"/>
  <c r="GA80" i="8"/>
  <c r="HY80" i="8" s="1"/>
  <c r="HR80" i="8"/>
  <c r="BB83" i="9"/>
  <c r="J83" i="8"/>
  <c r="AW68" i="8"/>
  <c r="BA68" i="8" s="1"/>
  <c r="BC68" i="8" s="1"/>
  <c r="FJ68" i="9"/>
  <c r="N68" i="8"/>
  <c r="E68" i="8" s="1"/>
  <c r="DS32" i="11"/>
  <c r="H32" i="28"/>
  <c r="FW46" i="8"/>
  <c r="FZ46" i="8" s="1"/>
  <c r="GB46" i="8" s="1"/>
  <c r="CK13" i="9"/>
  <c r="CM13" i="9" s="1"/>
  <c r="Y13" i="8" s="1"/>
  <c r="CL13" i="9"/>
  <c r="EN13" i="9"/>
  <c r="EO13" i="9" s="1"/>
  <c r="ET13" i="9" s="1"/>
  <c r="CP13" i="8" s="1"/>
  <c r="CI13" i="9"/>
  <c r="Q13" i="11"/>
  <c r="EN27" i="9"/>
  <c r="EO27" i="9" s="1"/>
  <c r="ET27" i="9" s="1"/>
  <c r="CP27" i="8" s="1"/>
  <c r="DG27" i="8" s="1"/>
  <c r="Q27" i="11"/>
  <c r="CI27" i="9"/>
  <c r="CK27" i="9"/>
  <c r="CM27" i="9" s="1"/>
  <c r="Y27" i="8" s="1"/>
  <c r="CL27" i="9"/>
  <c r="AG57" i="11"/>
  <c r="AW57" i="11"/>
  <c r="BU57" i="11"/>
  <c r="H57" i="27" s="1"/>
  <c r="BG57" i="11"/>
  <c r="BH57" i="11" s="1"/>
  <c r="BI57" i="11" s="1"/>
  <c r="BM57" i="11" s="1"/>
  <c r="AZ57" i="11"/>
  <c r="GS31" i="8"/>
  <c r="AL29" i="8"/>
  <c r="BB29" i="9"/>
  <c r="J29" i="8"/>
  <c r="FL23" i="8"/>
  <c r="FQ23" i="8" s="1"/>
  <c r="BZ23" i="8"/>
  <c r="CD23" i="8" s="1"/>
  <c r="CF23" i="8" s="1"/>
  <c r="AP23" i="8"/>
  <c r="AR23" i="8" s="1"/>
  <c r="CZ67" i="8"/>
  <c r="CQ67" i="8"/>
  <c r="CM67" i="8"/>
  <c r="EB56" i="8"/>
  <c r="FY56" i="8"/>
  <c r="EE56" i="8"/>
  <c r="DA22" i="8"/>
  <c r="AP18" i="8"/>
  <c r="AR18" i="8" s="1"/>
  <c r="FL18" i="8"/>
  <c r="FQ18" i="8" s="1"/>
  <c r="BZ18" i="8"/>
  <c r="CD18" i="8" s="1"/>
  <c r="CF18" i="8" s="1"/>
  <c r="AJ9" i="11"/>
  <c r="V9" i="11"/>
  <c r="Y9" i="11" s="1"/>
  <c r="U9" i="11"/>
  <c r="DI6" i="8"/>
  <c r="FY62" i="8"/>
  <c r="EE62" i="8"/>
  <c r="EM29" i="8"/>
  <c r="AW20" i="8"/>
  <c r="BA20" i="8" s="1"/>
  <c r="BC20" i="8" s="1"/>
  <c r="FJ20" i="9"/>
  <c r="N20" i="8"/>
  <c r="E20" i="8" s="1"/>
  <c r="FD46" i="8"/>
  <c r="CF46" i="11" s="1"/>
  <c r="Y46" i="8"/>
  <c r="BM61" i="8"/>
  <c r="BQ61" i="8" s="1"/>
  <c r="BS61" i="8" s="1"/>
  <c r="FC61" i="9"/>
  <c r="D61" i="28"/>
  <c r="AC61" i="8"/>
  <c r="AE61" i="8" s="1"/>
  <c r="FH49" i="9"/>
  <c r="DA49" i="8"/>
  <c r="AW35" i="11"/>
  <c r="AZ35" i="11"/>
  <c r="BU35" i="11"/>
  <c r="H35" i="27" s="1"/>
  <c r="BG35" i="11"/>
  <c r="BH35" i="11" s="1"/>
  <c r="BI35" i="11" s="1"/>
  <c r="BM35" i="11" s="1"/>
  <c r="EM78" i="8"/>
  <c r="HM78" i="8"/>
  <c r="EM80" i="8"/>
  <c r="HM80" i="8"/>
  <c r="E27" i="27"/>
  <c r="T27" i="11"/>
  <c r="EI27" i="8"/>
  <c r="ER27" i="8" s="1"/>
  <c r="EU27" i="8" s="1"/>
  <c r="EN33" i="9"/>
  <c r="EO33" i="9" s="1"/>
  <c r="ET33" i="9" s="1"/>
  <c r="CP33" i="8" s="1"/>
  <c r="DG33" i="8" s="1"/>
  <c r="CI33" i="9"/>
  <c r="CL33" i="9"/>
  <c r="CK33" i="9"/>
  <c r="CM33" i="9" s="1"/>
  <c r="Y33" i="8" s="1"/>
  <c r="Q33" i="11"/>
  <c r="CM78" i="9"/>
  <c r="Y78" i="8" s="1"/>
  <c r="T46" i="11"/>
  <c r="EI46" i="8"/>
  <c r="ER46" i="8" s="1"/>
  <c r="EU46" i="8" s="1"/>
  <c r="E46" i="27"/>
  <c r="FY61" i="8"/>
  <c r="FW61" i="8" s="1"/>
  <c r="FZ61" i="8" s="1"/>
  <c r="GB61" i="8" s="1"/>
  <c r="EE61" i="8"/>
  <c r="EN80" i="9"/>
  <c r="EO80" i="9" s="1"/>
  <c r="ET80" i="9" s="1"/>
  <c r="CP80" i="8" s="1"/>
  <c r="DG80" i="8" s="1"/>
  <c r="CI80" i="9"/>
  <c r="Q80" i="11"/>
  <c r="CK80" i="9"/>
  <c r="CL80" i="9"/>
  <c r="AS22" i="11"/>
  <c r="AO22" i="11"/>
  <c r="AQ22" i="11" s="1"/>
  <c r="AU22" i="11" s="1"/>
  <c r="EM60" i="8"/>
  <c r="H62" i="28"/>
  <c r="DS62" i="11"/>
  <c r="BZ27" i="8"/>
  <c r="CD27" i="8" s="1"/>
  <c r="CF27" i="8" s="1"/>
  <c r="FL27" i="8"/>
  <c r="FQ27" i="8" s="1"/>
  <c r="AK61" i="11"/>
  <c r="W61" i="11"/>
  <c r="GA56" i="8"/>
  <c r="EM13" i="8"/>
  <c r="EM70" i="8"/>
  <c r="HM70" i="8"/>
  <c r="FJ23" i="9"/>
  <c r="AW23" i="8"/>
  <c r="BA23" i="8" s="1"/>
  <c r="BC23" i="8" s="1"/>
  <c r="N23" i="8"/>
  <c r="E23" i="8" s="1"/>
  <c r="BZ67" i="8"/>
  <c r="CD67" i="8" s="1"/>
  <c r="CF67" i="8" s="1"/>
  <c r="FL67" i="8"/>
  <c r="FQ67" i="8" s="1"/>
  <c r="EB67" i="8"/>
  <c r="FV67" i="8" s="1"/>
  <c r="EF67" i="8"/>
  <c r="AP67" i="8"/>
  <c r="AR67" i="8" s="1"/>
  <c r="DD22" i="8"/>
  <c r="HR48" i="8"/>
  <c r="GA48" i="8"/>
  <c r="HY48" i="8" s="1"/>
  <c r="AW18" i="8"/>
  <c r="BA18" i="8" s="1"/>
  <c r="BC18" i="8" s="1"/>
  <c r="N18" i="8"/>
  <c r="E18" i="8" s="1"/>
  <c r="FJ18" i="9"/>
  <c r="E74" i="28"/>
  <c r="R74" i="11"/>
  <c r="CV74" i="8"/>
  <c r="EM20" i="8"/>
  <c r="EM23" i="8"/>
  <c r="CX40" i="8"/>
  <c r="DB63" i="8"/>
  <c r="FD66" i="9"/>
  <c r="CJ66" i="8" s="1"/>
  <c r="FE66" i="9"/>
  <c r="CN66" i="8" s="1"/>
  <c r="FF66" i="9"/>
  <c r="CK66" i="8" s="1"/>
  <c r="FG66" i="9"/>
  <c r="CO66" i="8" s="1"/>
  <c r="L43" i="8"/>
  <c r="AY43" i="8" s="1"/>
  <c r="AQ43" i="9"/>
  <c r="BA43" i="9" s="1"/>
  <c r="GA41" i="8"/>
  <c r="R52" i="11"/>
  <c r="E52" i="28"/>
  <c r="CV52" i="8"/>
  <c r="CI43" i="8"/>
  <c r="CX43" i="8" s="1"/>
  <c r="EQ63" i="8"/>
  <c r="EZ63" i="8" s="1"/>
  <c r="AH63" i="11"/>
  <c r="X63" i="11"/>
  <c r="BL43" i="8"/>
  <c r="CL43" i="8"/>
  <c r="EE26" i="8"/>
  <c r="FY26" i="8"/>
  <c r="DS66" i="11"/>
  <c r="H66" i="28"/>
  <c r="EE52" i="8"/>
  <c r="FY52" i="8"/>
  <c r="FW52" i="8" s="1"/>
  <c r="FZ52" i="8" s="1"/>
  <c r="BZ41" i="8"/>
  <c r="CD41" i="8" s="1"/>
  <c r="CF41" i="8" s="1"/>
  <c r="FL41" i="8"/>
  <c r="FQ41" i="8" s="1"/>
  <c r="AP41" i="8"/>
  <c r="AR41" i="8" s="1"/>
  <c r="AY40" i="8"/>
  <c r="BL42" i="8"/>
  <c r="CL42" i="8"/>
  <c r="AT42" i="8"/>
  <c r="AW86" i="8"/>
  <c r="BA86" i="8" s="1"/>
  <c r="BC86" i="8" s="1"/>
  <c r="N86" i="8"/>
  <c r="E86" i="8" s="1"/>
  <c r="EB26" i="8"/>
  <c r="FH59" i="9"/>
  <c r="AS9" i="11"/>
  <c r="AO9" i="11"/>
  <c r="AQ9" i="11" s="1"/>
  <c r="AU9" i="11" s="1"/>
  <c r="FF69" i="9"/>
  <c r="CK69" i="8" s="1"/>
  <c r="FD69" i="9"/>
  <c r="CJ69" i="8" s="1"/>
  <c r="FG69" i="9"/>
  <c r="CO69" i="8" s="1"/>
  <c r="FE69" i="9"/>
  <c r="CN69" i="8" s="1"/>
  <c r="FT42" i="8"/>
  <c r="GA42" i="8" s="1"/>
  <c r="EL42" i="8"/>
  <c r="EG42" i="8"/>
  <c r="FE52" i="9"/>
  <c r="CN52" i="8" s="1"/>
  <c r="FG52" i="9"/>
  <c r="CO52" i="8" s="1"/>
  <c r="FD52" i="9"/>
  <c r="CJ52" i="8" s="1"/>
  <c r="FF52" i="9"/>
  <c r="CK52" i="8" s="1"/>
  <c r="H26" i="28"/>
  <c r="DS26" i="11"/>
  <c r="AY63" i="11"/>
  <c r="BW63" i="11"/>
  <c r="BF63" i="11"/>
  <c r="AF63" i="11"/>
  <c r="BB53" i="9"/>
  <c r="J53" i="8"/>
  <c r="CS90" i="8"/>
  <c r="FG43" i="8"/>
  <c r="BU43" i="8"/>
  <c r="AJ59" i="11"/>
  <c r="V59" i="11"/>
  <c r="Y59" i="11" s="1"/>
  <c r="U59" i="11"/>
  <c r="CL41" i="9"/>
  <c r="EN41" i="9"/>
  <c r="EO41" i="9" s="1"/>
  <c r="ET41" i="9" s="1"/>
  <c r="CP41" i="8" s="1"/>
  <c r="DG41" i="8" s="1"/>
  <c r="Q41" i="11"/>
  <c r="CI41" i="9"/>
  <c r="CK41" i="9"/>
  <c r="CM41" i="9" s="1"/>
  <c r="Y41" i="8" s="1"/>
  <c r="CZ5" i="8"/>
  <c r="CQ5" i="8"/>
  <c r="DB5" i="8" s="1"/>
  <c r="BH42" i="8"/>
  <c r="FG42" i="8"/>
  <c r="BU42" i="8"/>
  <c r="AO49" i="11"/>
  <c r="AQ49" i="11" s="1"/>
  <c r="AU49" i="11" s="1"/>
  <c r="AS49" i="11"/>
  <c r="DD59" i="8"/>
  <c r="BU9" i="11"/>
  <c r="H9" i="27" s="1"/>
  <c r="AZ9" i="11"/>
  <c r="AW9" i="11"/>
  <c r="BG9" i="11"/>
  <c r="BH9" i="11" s="1"/>
  <c r="BI9" i="11" s="1"/>
  <c r="BM9" i="11" s="1"/>
  <c r="BP9" i="11" s="1"/>
  <c r="EM45" i="8"/>
  <c r="FT43" i="8"/>
  <c r="EG43" i="8"/>
  <c r="EL43" i="8"/>
  <c r="CR63" i="8"/>
  <c r="DE63" i="8"/>
  <c r="E66" i="28"/>
  <c r="R66" i="11"/>
  <c r="CV66" i="8"/>
  <c r="J85" i="8"/>
  <c r="BB85" i="9"/>
  <c r="EF69" i="8"/>
  <c r="FL69" i="8"/>
  <c r="AP69" i="8"/>
  <c r="AR69" i="8" s="1"/>
  <c r="EB69" i="8"/>
  <c r="BZ69" i="8"/>
  <c r="CD69" i="8" s="1"/>
  <c r="CF69" i="8" s="1"/>
  <c r="GK69" i="8"/>
  <c r="GP69" i="8" s="1"/>
  <c r="CB43" i="8"/>
  <c r="FN43" i="8"/>
  <c r="EM41" i="8"/>
  <c r="D26" i="28"/>
  <c r="AC26" i="8"/>
  <c r="AE26" i="8" s="1"/>
  <c r="BM26" i="8"/>
  <c r="BQ26" i="8" s="1"/>
  <c r="BS26" i="8" s="1"/>
  <c r="FC26" i="9"/>
  <c r="AT43" i="8"/>
  <c r="DI59" i="8"/>
  <c r="AG63" i="11"/>
  <c r="AZ63" i="11"/>
  <c r="BG63" i="11"/>
  <c r="BH63" i="11" s="1"/>
  <c r="BI63" i="11" s="1"/>
  <c r="BM63" i="11" s="1"/>
  <c r="AW63" i="11"/>
  <c r="BU63" i="11"/>
  <c r="H63" i="27" s="1"/>
  <c r="CJ5" i="8"/>
  <c r="DC5" i="8" s="1"/>
  <c r="FH5" i="9"/>
  <c r="T26" i="11"/>
  <c r="E26" i="27"/>
  <c r="EI26" i="8"/>
  <c r="AZ49" i="11"/>
  <c r="BU49" i="11"/>
  <c r="H49" i="27" s="1"/>
  <c r="AW49" i="11"/>
  <c r="BG49" i="11"/>
  <c r="BH49" i="11" s="1"/>
  <c r="BI49" i="11" s="1"/>
  <c r="BM49" i="11" s="1"/>
  <c r="BP49" i="11" s="1"/>
  <c r="CZ59" i="8"/>
  <c r="CQ59" i="8"/>
  <c r="CM59" i="8"/>
  <c r="E52" i="27"/>
  <c r="EI52" i="8"/>
  <c r="T52" i="11"/>
  <c r="E69" i="28"/>
  <c r="CV69" i="8"/>
  <c r="R69" i="11"/>
  <c r="CB42" i="8"/>
  <c r="FN42" i="8"/>
  <c r="FN90" i="8" s="1"/>
  <c r="FT40" i="8"/>
  <c r="EG40" i="8"/>
  <c r="EL40" i="8"/>
  <c r="DZ90" i="8"/>
  <c r="BB45" i="9"/>
  <c r="J45" i="8"/>
  <c r="GB49" i="8"/>
  <c r="HZ49" i="8" s="1"/>
  <c r="HX49" i="8"/>
  <c r="J87" i="8"/>
  <c r="BB87" i="9"/>
  <c r="V5" i="11"/>
  <c r="Y5" i="11" s="1"/>
  <c r="U5" i="11"/>
  <c r="AJ5" i="11"/>
  <c r="AA90" i="8"/>
  <c r="BO90" i="8" s="1"/>
  <c r="J88" i="8"/>
  <c r="BB88" i="9"/>
  <c r="CI42" i="8"/>
  <c r="CX42" i="8" s="1"/>
  <c r="BH43" i="8"/>
  <c r="E26" i="8"/>
  <c r="EO5" i="8"/>
  <c r="EX5" i="8" s="1"/>
  <c r="EH5" i="8"/>
  <c r="EQ5" i="8" s="1"/>
  <c r="EZ5" i="8" s="1"/>
  <c r="AW41" i="8"/>
  <c r="BA41" i="8" s="1"/>
  <c r="BC41" i="8" s="1"/>
  <c r="FJ41" i="9"/>
  <c r="N41" i="8"/>
  <c r="E41" i="8" s="1"/>
  <c r="AS63" i="11"/>
  <c r="AO63" i="11"/>
  <c r="AQ63" i="11" s="1"/>
  <c r="AU63" i="11" s="1"/>
  <c r="BB40" i="9"/>
  <c r="AL40" i="8"/>
  <c r="J40" i="8"/>
  <c r="CK86" i="9"/>
  <c r="Q86" i="11"/>
  <c r="CI86" i="9"/>
  <c r="CL86" i="9"/>
  <c r="J44" i="8"/>
  <c r="BB44" i="9"/>
  <c r="DA59" i="8"/>
  <c r="DC59" i="8"/>
  <c r="EM53" i="8"/>
  <c r="T90" i="8"/>
  <c r="BH90" i="8" s="1"/>
  <c r="L42" i="8"/>
  <c r="AY42" i="8" s="1"/>
  <c r="AQ42" i="9"/>
  <c r="BA42" i="9" s="1"/>
  <c r="AI5" i="11"/>
  <c r="Z5" i="11"/>
  <c r="EP8" i="8"/>
  <c r="EF8" i="8"/>
  <c r="AK8" i="11"/>
  <c r="W8" i="11"/>
  <c r="FE8" i="9"/>
  <c r="CN8" i="8" s="1"/>
  <c r="FG8" i="9"/>
  <c r="CO8" i="8" s="1"/>
  <c r="FF8" i="9"/>
  <c r="CK8" i="8" s="1"/>
  <c r="FD8" i="9"/>
  <c r="CJ8" i="8" s="1"/>
  <c r="AE8" i="8"/>
  <c r="FV8" i="8"/>
  <c r="ER8" i="8"/>
  <c r="CF8" i="11"/>
  <c r="EY38" i="8" l="1"/>
  <c r="J82" i="8"/>
  <c r="BB82" i="9"/>
  <c r="G64" i="22"/>
  <c r="A65" i="22"/>
  <c r="E64" i="22"/>
  <c r="C64" i="22"/>
  <c r="EL82" i="8"/>
  <c r="FT82" i="8"/>
  <c r="HF82" i="8"/>
  <c r="EG82" i="8"/>
  <c r="B13" i="24"/>
  <c r="F13" i="24"/>
  <c r="A14" i="24"/>
  <c r="H13" i="24"/>
  <c r="D13" i="24"/>
  <c r="A93" i="22"/>
  <c r="C92" i="22"/>
  <c r="E92" i="22" s="1"/>
  <c r="B64" i="24"/>
  <c r="F64" i="24"/>
  <c r="H64" i="24"/>
  <c r="A65" i="24"/>
  <c r="D64" i="24"/>
  <c r="C94" i="24"/>
  <c r="E94" i="24" s="1"/>
  <c r="A95" i="24"/>
  <c r="E11" i="22"/>
  <c r="A12" i="22"/>
  <c r="C11" i="22"/>
  <c r="G11" i="22"/>
  <c r="EB37" i="8"/>
  <c r="FV37" i="8" s="1"/>
  <c r="EE37" i="8"/>
  <c r="FY37" i="8"/>
  <c r="AK47" i="11"/>
  <c r="W47" i="11"/>
  <c r="FF77" i="9"/>
  <c r="CK77" i="8" s="1"/>
  <c r="DD77" i="8" s="1"/>
  <c r="FD77" i="9"/>
  <c r="CJ77" i="8" s="1"/>
  <c r="DC77" i="8" s="1"/>
  <c r="FE77" i="9"/>
  <c r="CN77" i="8" s="1"/>
  <c r="FG77" i="9"/>
  <c r="CO77" i="8" s="1"/>
  <c r="DA77" i="8" s="1"/>
  <c r="FJ48" i="9"/>
  <c r="AW48" i="8"/>
  <c r="BA48" i="8" s="1"/>
  <c r="BC48" i="8" s="1"/>
  <c r="N48" i="8"/>
  <c r="E48" i="8" s="1"/>
  <c r="T37" i="11"/>
  <c r="E37" i="27"/>
  <c r="EI37" i="8"/>
  <c r="ER37" i="8" s="1"/>
  <c r="HK47" i="8"/>
  <c r="EP47" i="8"/>
  <c r="EF47" i="8"/>
  <c r="FC24" i="9"/>
  <c r="D24" i="28"/>
  <c r="BM24" i="8"/>
  <c r="BQ24" i="8" s="1"/>
  <c r="BS24" i="8" s="1"/>
  <c r="AC24" i="8"/>
  <c r="AE24" i="8" s="1"/>
  <c r="CJ38" i="8"/>
  <c r="DC38" i="8" s="1"/>
  <c r="FH38" i="9"/>
  <c r="FY79" i="8"/>
  <c r="HW79" i="8" s="1"/>
  <c r="EE79" i="8"/>
  <c r="CM79" i="9"/>
  <c r="Y79" i="8" s="1"/>
  <c r="EM75" i="8"/>
  <c r="HM75" i="8"/>
  <c r="BM14" i="8"/>
  <c r="BQ14" i="8" s="1"/>
  <c r="BS14" i="8" s="1"/>
  <c r="AC14" i="8"/>
  <c r="AE14" i="8" s="1"/>
  <c r="D14" i="28"/>
  <c r="FC14" i="9"/>
  <c r="DZ65" i="11"/>
  <c r="AL65" i="8"/>
  <c r="D37" i="28"/>
  <c r="BM37" i="8"/>
  <c r="BQ37" i="8" s="1"/>
  <c r="BS37" i="8" s="1"/>
  <c r="FC37" i="9"/>
  <c r="AC37" i="8"/>
  <c r="AE37" i="8" s="1"/>
  <c r="ET51" i="8"/>
  <c r="FA51" i="8"/>
  <c r="EU51" i="8"/>
  <c r="EV51" i="8"/>
  <c r="EW51" i="8"/>
  <c r="ER47" i="8"/>
  <c r="HO47" i="8"/>
  <c r="EQ58" i="8"/>
  <c r="EZ58" i="8" s="1"/>
  <c r="EP32" i="8"/>
  <c r="EY32" i="8" s="1"/>
  <c r="EF32" i="8"/>
  <c r="EE14" i="8"/>
  <c r="FY14" i="8"/>
  <c r="E65" i="28"/>
  <c r="CV65" i="8"/>
  <c r="DI65" i="8" s="1"/>
  <c r="R65" i="11"/>
  <c r="CV47" i="8"/>
  <c r="DI47" i="8" s="1"/>
  <c r="R47" i="11"/>
  <c r="E47" i="28"/>
  <c r="EP51" i="8"/>
  <c r="EY51" i="8" s="1"/>
  <c r="EF51" i="8"/>
  <c r="Z38" i="11"/>
  <c r="AI38" i="11"/>
  <c r="H51" i="28"/>
  <c r="DS51" i="11"/>
  <c r="FD11" i="8"/>
  <c r="CF11" i="11" s="1"/>
  <c r="AJ58" i="11"/>
  <c r="V58" i="11"/>
  <c r="Y58" i="11" s="1"/>
  <c r="U58" i="11"/>
  <c r="E11" i="27"/>
  <c r="EI11" i="8"/>
  <c r="ER11" i="8" s="1"/>
  <c r="T11" i="11"/>
  <c r="W51" i="11"/>
  <c r="AK51" i="11"/>
  <c r="EO58" i="8"/>
  <c r="EX58" i="8" s="1"/>
  <c r="IW58" i="8"/>
  <c r="DA58" i="8"/>
  <c r="FD14" i="8"/>
  <c r="CF14" i="11" s="1"/>
  <c r="V38" i="11"/>
  <c r="Y38" i="11" s="1"/>
  <c r="AJ38" i="11"/>
  <c r="U38" i="11"/>
  <c r="DS47" i="11"/>
  <c r="H47" i="28"/>
  <c r="GB51" i="8"/>
  <c r="FJ75" i="9"/>
  <c r="AW75" i="8"/>
  <c r="BA75" i="8" s="1"/>
  <c r="BC75" i="8" s="1"/>
  <c r="N75" i="8"/>
  <c r="E75" i="8" s="1"/>
  <c r="FW25" i="8"/>
  <c r="AK32" i="11"/>
  <c r="W32" i="11"/>
  <c r="EH35" i="8"/>
  <c r="EQ35" i="8" s="1"/>
  <c r="EZ35" i="8" s="1"/>
  <c r="EO35" i="8"/>
  <c r="EX35" i="8" s="1"/>
  <c r="CL30" i="9"/>
  <c r="CK30" i="9"/>
  <c r="CM30" i="9" s="1"/>
  <c r="Y30" i="8" s="1"/>
  <c r="CI30" i="9"/>
  <c r="EN30" i="9"/>
  <c r="EO30" i="9" s="1"/>
  <c r="ET30" i="9" s="1"/>
  <c r="CP30" i="8" s="1"/>
  <c r="DG30" i="8" s="1"/>
  <c r="Q30" i="11"/>
  <c r="D11" i="28"/>
  <c r="FC11" i="9"/>
  <c r="AC11" i="8"/>
  <c r="AE11" i="8" s="1"/>
  <c r="BM11" i="8"/>
  <c r="BQ11" i="8" s="1"/>
  <c r="BS11" i="8" s="1"/>
  <c r="EW38" i="8"/>
  <c r="EV38" i="8"/>
  <c r="FA38" i="8"/>
  <c r="ET38" i="8"/>
  <c r="EU38" i="8"/>
  <c r="AI6" i="11"/>
  <c r="Z6" i="11"/>
  <c r="EB11" i="8"/>
  <c r="FV11" i="8" s="1"/>
  <c r="EE11" i="8"/>
  <c r="FY11" i="8"/>
  <c r="CI70" i="9"/>
  <c r="CK70" i="9"/>
  <c r="CM70" i="9" s="1"/>
  <c r="Y70" i="8" s="1"/>
  <c r="EN70" i="9"/>
  <c r="EO70" i="9" s="1"/>
  <c r="ET70" i="9" s="1"/>
  <c r="CP70" i="8" s="1"/>
  <c r="DG70" i="8" s="1"/>
  <c r="Q70" i="11"/>
  <c r="CL70" i="9"/>
  <c r="DD58" i="8"/>
  <c r="IS58" i="8"/>
  <c r="FF65" i="9"/>
  <c r="CK65" i="8" s="1"/>
  <c r="DD65" i="8" s="1"/>
  <c r="FE65" i="9"/>
  <c r="CN65" i="8" s="1"/>
  <c r="FD65" i="9"/>
  <c r="CJ65" i="8" s="1"/>
  <c r="DC65" i="8" s="1"/>
  <c r="FG65" i="9"/>
  <c r="CO65" i="8" s="1"/>
  <c r="DA65" i="8" s="1"/>
  <c r="EO6" i="8"/>
  <c r="EX6" i="8" s="1"/>
  <c r="EH6" i="8"/>
  <c r="EQ6" i="8" s="1"/>
  <c r="EZ6" i="8" s="1"/>
  <c r="FE47" i="9"/>
  <c r="CN47" i="8" s="1"/>
  <c r="FG47" i="9"/>
  <c r="CO47" i="8" s="1"/>
  <c r="DA47" i="8" s="1"/>
  <c r="FD47" i="9"/>
  <c r="CJ47" i="8" s="1"/>
  <c r="DC47" i="8" s="1"/>
  <c r="FF47" i="9"/>
  <c r="CK47" i="8" s="1"/>
  <c r="DD47" i="8" s="1"/>
  <c r="EV32" i="8"/>
  <c r="CI75" i="9"/>
  <c r="EN75" i="9"/>
  <c r="EO75" i="9" s="1"/>
  <c r="ET75" i="9" s="1"/>
  <c r="CP75" i="8" s="1"/>
  <c r="DG75" i="8" s="1"/>
  <c r="Q75" i="11"/>
  <c r="CL75" i="9"/>
  <c r="CK75" i="9"/>
  <c r="EW32" i="8"/>
  <c r="FA32" i="8"/>
  <c r="ET32" i="8"/>
  <c r="AW30" i="8"/>
  <c r="BA30" i="8" s="1"/>
  <c r="BC30" i="8" s="1"/>
  <c r="FJ30" i="9"/>
  <c r="N30" i="8"/>
  <c r="E30" i="8" s="1"/>
  <c r="H77" i="28"/>
  <c r="DS77" i="11"/>
  <c r="FY73" i="8"/>
  <c r="HW73" i="8" s="1"/>
  <c r="EE73" i="8"/>
  <c r="EB14" i="8"/>
  <c r="FV14" i="8" s="1"/>
  <c r="FW14" i="8" s="1"/>
  <c r="FZ14" i="8" s="1"/>
  <c r="N70" i="8"/>
  <c r="E70" i="8" s="1"/>
  <c r="FJ70" i="9"/>
  <c r="AW70" i="8"/>
  <c r="BA70" i="8" s="1"/>
  <c r="BC70" i="8" s="1"/>
  <c r="CJ58" i="8"/>
  <c r="CM58" i="8" s="1"/>
  <c r="FH58" i="9"/>
  <c r="FD51" i="9"/>
  <c r="CJ51" i="8" s="1"/>
  <c r="DC51" i="8" s="1"/>
  <c r="FF51" i="9"/>
  <c r="CK51" i="8" s="1"/>
  <c r="DD51" i="8" s="1"/>
  <c r="FG51" i="9"/>
  <c r="CO51" i="8" s="1"/>
  <c r="DA51" i="8" s="1"/>
  <c r="FE51" i="9"/>
  <c r="CN51" i="8" s="1"/>
  <c r="HT47" i="8"/>
  <c r="EE24" i="8"/>
  <c r="FY24" i="8"/>
  <c r="GK30" i="8"/>
  <c r="GP30" i="8" s="1"/>
  <c r="FL30" i="8"/>
  <c r="BZ30" i="8"/>
  <c r="CD30" i="8" s="1"/>
  <c r="CF30" i="8" s="1"/>
  <c r="AP30" i="8"/>
  <c r="AR30" i="8" s="1"/>
  <c r="EB30" i="8"/>
  <c r="Z58" i="11"/>
  <c r="AI58" i="11"/>
  <c r="GA75" i="8"/>
  <c r="HY75" i="8" s="1"/>
  <c r="HR75" i="8"/>
  <c r="EH38" i="8"/>
  <c r="HL38" i="8"/>
  <c r="EO38" i="8"/>
  <c r="EX38" i="8" s="1"/>
  <c r="IV58" i="8"/>
  <c r="CQ58" i="8"/>
  <c r="DB58" i="8" s="1"/>
  <c r="CZ58" i="8"/>
  <c r="R77" i="11"/>
  <c r="E77" i="28"/>
  <c r="CV77" i="8"/>
  <c r="DI77" i="8" s="1"/>
  <c r="CI48" i="9"/>
  <c r="CK48" i="9"/>
  <c r="CM48" i="9" s="1"/>
  <c r="Y48" i="8" s="1"/>
  <c r="CL48" i="9"/>
  <c r="EN48" i="9"/>
  <c r="EO48" i="9" s="1"/>
  <c r="ET48" i="9" s="1"/>
  <c r="CP48" i="8" s="1"/>
  <c r="DG48" i="8" s="1"/>
  <c r="Q48" i="11"/>
  <c r="FD24" i="8"/>
  <c r="CF24" i="11" s="1"/>
  <c r="CZ38" i="8"/>
  <c r="CQ38" i="8"/>
  <c r="DB38" i="8" s="1"/>
  <c r="CM38" i="8"/>
  <c r="T24" i="11"/>
  <c r="E24" i="27"/>
  <c r="EI24" i="8"/>
  <c r="ER24" i="8" s="1"/>
  <c r="CM73" i="9"/>
  <c r="Y73" i="8" s="1"/>
  <c r="E14" i="27"/>
  <c r="EI14" i="8"/>
  <c r="ER14" i="8" s="1"/>
  <c r="EV14" i="8" s="1"/>
  <c r="T14" i="11"/>
  <c r="HC47" i="8"/>
  <c r="FW47" i="8"/>
  <c r="HU47" i="8" s="1"/>
  <c r="FL48" i="8"/>
  <c r="BZ48" i="8"/>
  <c r="CD48" i="8" s="1"/>
  <c r="CF48" i="8" s="1"/>
  <c r="GK48" i="8"/>
  <c r="GP48" i="8" s="1"/>
  <c r="AP48" i="8"/>
  <c r="AR48" i="8" s="1"/>
  <c r="BZ77" i="8"/>
  <c r="CD77" i="8" s="1"/>
  <c r="CF77" i="8" s="1"/>
  <c r="FL77" i="8"/>
  <c r="EB77" i="8"/>
  <c r="GK77" i="8"/>
  <c r="GP77" i="8" s="1"/>
  <c r="EF77" i="8"/>
  <c r="AP77" i="8"/>
  <c r="AR77" i="8" s="1"/>
  <c r="FZ38" i="8"/>
  <c r="HU38" i="8"/>
  <c r="R51" i="11"/>
  <c r="CV51" i="8"/>
  <c r="DI51" i="8" s="1"/>
  <c r="E51" i="28"/>
  <c r="FD37" i="8"/>
  <c r="CF37" i="11" s="1"/>
  <c r="EB24" i="8"/>
  <c r="FV24" i="8" s="1"/>
  <c r="FW24" i="8" s="1"/>
  <c r="FZ24" i="8" s="1"/>
  <c r="GB24" i="8" s="1"/>
  <c r="FG90" i="8"/>
  <c r="AN38" i="18"/>
  <c r="P22" i="21"/>
  <c r="V22" i="21" s="1"/>
  <c r="W22" i="21" s="1"/>
  <c r="AN22" i="18"/>
  <c r="P18" i="21"/>
  <c r="V18" i="21" s="1"/>
  <c r="W18" i="21" s="1"/>
  <c r="AN18" i="18"/>
  <c r="AN32" i="18"/>
  <c r="P9" i="21"/>
  <c r="V9" i="21" s="1"/>
  <c r="W9" i="21" s="1"/>
  <c r="AN28" i="18"/>
  <c r="CZ39" i="8"/>
  <c r="CQ39" i="8"/>
  <c r="DB39" i="8" s="1"/>
  <c r="AJ39" i="11"/>
  <c r="U39" i="11"/>
  <c r="V39" i="11"/>
  <c r="Y39" i="11" s="1"/>
  <c r="CJ39" i="8"/>
  <c r="DC39" i="8" s="1"/>
  <c r="FH39" i="9"/>
  <c r="AI39" i="11"/>
  <c r="Z39" i="11"/>
  <c r="EH39" i="8"/>
  <c r="EQ39" i="8" s="1"/>
  <c r="EZ39" i="8" s="1"/>
  <c r="EO39" i="8"/>
  <c r="EX39" i="8" s="1"/>
  <c r="FE4" i="9"/>
  <c r="CN4" i="8" s="1"/>
  <c r="FF4" i="9"/>
  <c r="CK4" i="8" s="1"/>
  <c r="FG4" i="9"/>
  <c r="CO4" i="8" s="1"/>
  <c r="FD4" i="9"/>
  <c r="CJ4" i="8" s="1"/>
  <c r="EP4" i="8"/>
  <c r="EY4" i="8" s="1"/>
  <c r="EF4" i="8"/>
  <c r="E4" i="28"/>
  <c r="R4" i="11"/>
  <c r="CV4" i="8"/>
  <c r="EU4" i="8"/>
  <c r="EW4" i="8"/>
  <c r="FA4" i="8"/>
  <c r="ET4" i="8"/>
  <c r="EV4" i="8"/>
  <c r="W4" i="11"/>
  <c r="AK4" i="11"/>
  <c r="FW4" i="8"/>
  <c r="FZ4" i="8" s="1"/>
  <c r="GB4" i="8" s="1"/>
  <c r="DS4" i="11"/>
  <c r="H4" i="28"/>
  <c r="EP15" i="8"/>
  <c r="EY15" i="8" s="1"/>
  <c r="EF15" i="8"/>
  <c r="FF15" i="9"/>
  <c r="CK15" i="8" s="1"/>
  <c r="DD15" i="8" s="1"/>
  <c r="FD15" i="9"/>
  <c r="FE15" i="9"/>
  <c r="CN15" i="8" s="1"/>
  <c r="FG15" i="9"/>
  <c r="CO15" i="8" s="1"/>
  <c r="DA15" i="8" s="1"/>
  <c r="ET15" i="8"/>
  <c r="EV15" i="8"/>
  <c r="EU15" i="8"/>
  <c r="EW15" i="8"/>
  <c r="FA15" i="8"/>
  <c r="E15" i="28"/>
  <c r="R15" i="11"/>
  <c r="CV15" i="8"/>
  <c r="DI15" i="8" s="1"/>
  <c r="DS15" i="11"/>
  <c r="H15" i="28"/>
  <c r="AK15" i="11"/>
  <c r="W15" i="11"/>
  <c r="CL90" i="8"/>
  <c r="AL66" i="8"/>
  <c r="DZ66" i="11"/>
  <c r="FH6" i="9"/>
  <c r="CZ6" i="8"/>
  <c r="CM6" i="8"/>
  <c r="CQ6" i="8"/>
  <c r="DB6" i="8" s="1"/>
  <c r="FY84" i="8"/>
  <c r="EE84" i="8"/>
  <c r="EP84" i="8" s="1"/>
  <c r="H54" i="28"/>
  <c r="DS54" i="11"/>
  <c r="FD54" i="9"/>
  <c r="CJ54" i="8" s="1"/>
  <c r="DC54" i="8" s="1"/>
  <c r="FG54" i="9"/>
  <c r="CO54" i="8" s="1"/>
  <c r="DA54" i="8" s="1"/>
  <c r="FE54" i="9"/>
  <c r="CN54" i="8" s="1"/>
  <c r="FF54" i="9"/>
  <c r="CK54" i="8" s="1"/>
  <c r="DD54" i="8" s="1"/>
  <c r="CM84" i="9"/>
  <c r="Y84" i="8" s="1"/>
  <c r="DG84" i="8"/>
  <c r="R54" i="11"/>
  <c r="E54" i="28"/>
  <c r="CV54" i="8"/>
  <c r="DI54" i="8" s="1"/>
  <c r="FA54" i="8"/>
  <c r="EU54" i="8"/>
  <c r="ET54" i="8"/>
  <c r="EV54" i="8"/>
  <c r="EW54" i="8"/>
  <c r="EP54" i="8"/>
  <c r="EY54" i="8" s="1"/>
  <c r="EF54" i="8"/>
  <c r="FW67" i="8"/>
  <c r="FZ67" i="8" s="1"/>
  <c r="GB67" i="8" s="1"/>
  <c r="EU10" i="8"/>
  <c r="FW34" i="8"/>
  <c r="FZ34" i="8" s="1"/>
  <c r="GB34" i="8" s="1"/>
  <c r="AK54" i="11"/>
  <c r="W54" i="11"/>
  <c r="FW54" i="8"/>
  <c r="FZ54" i="8" s="1"/>
  <c r="GB54" i="8" s="1"/>
  <c r="EF25" i="8"/>
  <c r="EP25" i="8"/>
  <c r="EY25" i="8" s="1"/>
  <c r="AI55" i="11"/>
  <c r="Z55" i="11"/>
  <c r="FW19" i="8"/>
  <c r="FZ19" i="8" s="1"/>
  <c r="GB19" i="8" s="1"/>
  <c r="AK25" i="11"/>
  <c r="W25" i="11"/>
  <c r="EH55" i="8"/>
  <c r="EQ55" i="8" s="1"/>
  <c r="EZ55" i="8" s="1"/>
  <c r="EO55" i="8"/>
  <c r="EX55" i="8" s="1"/>
  <c r="DS34" i="11"/>
  <c r="H34" i="28"/>
  <c r="CV25" i="8"/>
  <c r="DI25" i="8" s="1"/>
  <c r="R25" i="11"/>
  <c r="E25" i="28"/>
  <c r="FG19" i="9"/>
  <c r="CO19" i="8" s="1"/>
  <c r="DA19" i="8" s="1"/>
  <c r="FD19" i="9"/>
  <c r="FE19" i="9"/>
  <c r="CN19" i="8" s="1"/>
  <c r="FF19" i="9"/>
  <c r="CK19" i="8" s="1"/>
  <c r="DD19" i="8" s="1"/>
  <c r="CV34" i="8"/>
  <c r="DI34" i="8" s="1"/>
  <c r="E34" i="28"/>
  <c r="R34" i="11"/>
  <c r="EP19" i="8"/>
  <c r="EY19" i="8" s="1"/>
  <c r="EF19" i="8"/>
  <c r="H25" i="28"/>
  <c r="DS25" i="11"/>
  <c r="U55" i="11"/>
  <c r="V55" i="11"/>
  <c r="Y55" i="11" s="1"/>
  <c r="AJ55" i="11"/>
  <c r="DE81" i="8"/>
  <c r="CR81" i="8"/>
  <c r="CZ55" i="8"/>
  <c r="CQ55" i="8"/>
  <c r="DB55" i="8" s="1"/>
  <c r="FG34" i="9"/>
  <c r="CO34" i="8" s="1"/>
  <c r="DA34" i="8" s="1"/>
  <c r="FF34" i="9"/>
  <c r="CK34" i="8" s="1"/>
  <c r="DD34" i="8" s="1"/>
  <c r="FE34" i="9"/>
  <c r="CN34" i="8" s="1"/>
  <c r="FD34" i="9"/>
  <c r="CJ34" i="8" s="1"/>
  <c r="DC34" i="8" s="1"/>
  <c r="W81" i="11"/>
  <c r="AK81" i="11"/>
  <c r="DB81" i="8"/>
  <c r="EU19" i="8"/>
  <c r="EW19" i="8"/>
  <c r="ET19" i="8"/>
  <c r="FA19" i="8"/>
  <c r="EV19" i="8"/>
  <c r="H19" i="28"/>
  <c r="DS19" i="11"/>
  <c r="ET34" i="8"/>
  <c r="FA34" i="8"/>
  <c r="EW34" i="8"/>
  <c r="EU34" i="8"/>
  <c r="EO59" i="8"/>
  <c r="EX59" i="8" s="1"/>
  <c r="EH59" i="8"/>
  <c r="EQ59" i="8" s="1"/>
  <c r="EZ59" i="8" s="1"/>
  <c r="HC81" i="8"/>
  <c r="FW81" i="8"/>
  <c r="HU81" i="8" s="1"/>
  <c r="FF25" i="9"/>
  <c r="CK25" i="8" s="1"/>
  <c r="DD25" i="8" s="1"/>
  <c r="FG25" i="9"/>
  <c r="CO25" i="8" s="1"/>
  <c r="DA25" i="8" s="1"/>
  <c r="FD25" i="9"/>
  <c r="FE25" i="9"/>
  <c r="CN25" i="8" s="1"/>
  <c r="EP34" i="8"/>
  <c r="EY34" i="8" s="1"/>
  <c r="EF34" i="8"/>
  <c r="E19" i="28"/>
  <c r="CV19" i="8"/>
  <c r="DI19" i="8" s="1"/>
  <c r="R19" i="11"/>
  <c r="ER81" i="8"/>
  <c r="HO81" i="8"/>
  <c r="HT81" i="8"/>
  <c r="AK19" i="11"/>
  <c r="W19" i="11"/>
  <c r="Z59" i="11"/>
  <c r="AI59" i="11"/>
  <c r="W34" i="11"/>
  <c r="AK34" i="11"/>
  <c r="EQ81" i="8"/>
  <c r="HN81" i="8"/>
  <c r="CJ55" i="8"/>
  <c r="DC55" i="8" s="1"/>
  <c r="FH55" i="9"/>
  <c r="FD12" i="8"/>
  <c r="CF12" i="11" s="1"/>
  <c r="DS12" i="11" s="1"/>
  <c r="T36" i="11"/>
  <c r="E36" i="27"/>
  <c r="EI36" i="8"/>
  <c r="ER36" i="8" s="1"/>
  <c r="CJ28" i="8"/>
  <c r="DC28" i="8" s="1"/>
  <c r="FH28" i="9"/>
  <c r="EV33" i="8"/>
  <c r="ET10" i="8"/>
  <c r="FA10" i="8"/>
  <c r="EW10" i="8"/>
  <c r="CQ28" i="8"/>
  <c r="DB28" i="8" s="1"/>
  <c r="CZ28" i="8"/>
  <c r="FE10" i="9"/>
  <c r="CN10" i="8" s="1"/>
  <c r="FF10" i="9"/>
  <c r="CK10" i="8" s="1"/>
  <c r="DD10" i="8" s="1"/>
  <c r="FG10" i="9"/>
  <c r="CO10" i="8" s="1"/>
  <c r="DA10" i="8" s="1"/>
  <c r="FD10" i="9"/>
  <c r="CJ10" i="8" s="1"/>
  <c r="DC10" i="8" s="1"/>
  <c r="EH28" i="8"/>
  <c r="EQ28" i="8" s="1"/>
  <c r="EZ28" i="8" s="1"/>
  <c r="EO28" i="8"/>
  <c r="EX28" i="8" s="1"/>
  <c r="EB36" i="8"/>
  <c r="FV36" i="8" s="1"/>
  <c r="FY36" i="8"/>
  <c r="EE36" i="8"/>
  <c r="FD36" i="8"/>
  <c r="CF36" i="11" s="1"/>
  <c r="Z28" i="11"/>
  <c r="AG28" i="11" s="1"/>
  <c r="AI28" i="11"/>
  <c r="CV10" i="8"/>
  <c r="DI10" i="8" s="1"/>
  <c r="E10" i="28"/>
  <c r="R10" i="11"/>
  <c r="AJ28" i="11"/>
  <c r="U28" i="11"/>
  <c r="V28" i="11"/>
  <c r="Y28" i="11" s="1"/>
  <c r="AK10" i="11"/>
  <c r="W10" i="11"/>
  <c r="EP10" i="8"/>
  <c r="EY10" i="8" s="1"/>
  <c r="EF10" i="8"/>
  <c r="D36" i="28"/>
  <c r="BM36" i="8"/>
  <c r="BQ36" i="8" s="1"/>
  <c r="BS36" i="8" s="1"/>
  <c r="FC36" i="9"/>
  <c r="AC36" i="8"/>
  <c r="AE36" i="8" s="1"/>
  <c r="DK57" i="8"/>
  <c r="DU57" i="8"/>
  <c r="DO57" i="8"/>
  <c r="DH57" i="8"/>
  <c r="DW57" i="8"/>
  <c r="DR57" i="8"/>
  <c r="DV57" i="8"/>
  <c r="DL57" i="8"/>
  <c r="DM57" i="8"/>
  <c r="DQ57" i="8"/>
  <c r="DN57" i="8"/>
  <c r="DP57" i="8"/>
  <c r="DS57" i="8"/>
  <c r="FH74" i="9"/>
  <c r="CV7" i="8"/>
  <c r="DI7" i="8" s="1"/>
  <c r="R7" i="11"/>
  <c r="E7" i="28"/>
  <c r="E12" i="27"/>
  <c r="EI12" i="8"/>
  <c r="ER12" i="8" s="1"/>
  <c r="EV12" i="8" s="1"/>
  <c r="T12" i="11"/>
  <c r="FJ21" i="9"/>
  <c r="AW21" i="8"/>
  <c r="BA21" i="8" s="1"/>
  <c r="BC21" i="8" s="1"/>
  <c r="N21" i="8"/>
  <c r="E21" i="8" s="1"/>
  <c r="CJ17" i="8"/>
  <c r="DC17" i="8" s="1"/>
  <c r="FH17" i="9"/>
  <c r="V71" i="11"/>
  <c r="Y71" i="11" s="1"/>
  <c r="AJ71" i="11"/>
  <c r="U71" i="11"/>
  <c r="R50" i="11"/>
  <c r="CV50" i="8"/>
  <c r="DI50" i="8" s="1"/>
  <c r="E50" i="28"/>
  <c r="FD16" i="9"/>
  <c r="CJ16" i="8" s="1"/>
  <c r="FF16" i="9"/>
  <c r="CK16" i="8" s="1"/>
  <c r="FE16" i="9"/>
  <c r="CN16" i="8" s="1"/>
  <c r="FG16" i="9"/>
  <c r="CO16" i="8" s="1"/>
  <c r="FV71" i="8"/>
  <c r="HT71" i="8" s="1"/>
  <c r="HH71" i="8"/>
  <c r="AE57" i="11"/>
  <c r="AX57" i="11"/>
  <c r="AV57" i="11"/>
  <c r="FD64" i="8"/>
  <c r="CF64" i="11" s="1"/>
  <c r="Y64" i="8"/>
  <c r="X81" i="11"/>
  <c r="AH81" i="11"/>
  <c r="IS71" i="8"/>
  <c r="DD71" i="8"/>
  <c r="IR71" i="8"/>
  <c r="DC71" i="8"/>
  <c r="W16" i="11"/>
  <c r="AK16" i="11"/>
  <c r="CR78" i="9"/>
  <c r="FD18" i="8"/>
  <c r="CF18" i="11" s="1"/>
  <c r="H18" i="28" s="1"/>
  <c r="FH32" i="9"/>
  <c r="W50" i="11"/>
  <c r="AK50" i="11"/>
  <c r="FD7" i="9"/>
  <c r="CJ7" i="8" s="1"/>
  <c r="DC7" i="8" s="1"/>
  <c r="FE7" i="9"/>
  <c r="CN7" i="8" s="1"/>
  <c r="FG7" i="9"/>
  <c r="CO7" i="8" s="1"/>
  <c r="DA7" i="8" s="1"/>
  <c r="FF7" i="9"/>
  <c r="CK7" i="8" s="1"/>
  <c r="DD7" i="8" s="1"/>
  <c r="FL21" i="8"/>
  <c r="FQ21" i="8" s="1"/>
  <c r="BZ21" i="8"/>
  <c r="CD21" i="8" s="1"/>
  <c r="CF21" i="8" s="1"/>
  <c r="AP21" i="8"/>
  <c r="AR21" i="8" s="1"/>
  <c r="CM72" i="9"/>
  <c r="Y72" i="8" s="1"/>
  <c r="HC50" i="8"/>
  <c r="FW50" i="8"/>
  <c r="HU50" i="8" s="1"/>
  <c r="ET7" i="8"/>
  <c r="EW7" i="8"/>
  <c r="EU7" i="8"/>
  <c r="FA7" i="8"/>
  <c r="EV7" i="8"/>
  <c r="EP16" i="8"/>
  <c r="EY16" i="8" s="1"/>
  <c r="EF16" i="8"/>
  <c r="DF57" i="8"/>
  <c r="DT57" i="8"/>
  <c r="EF7" i="8"/>
  <c r="EP7" i="8"/>
  <c r="EY7" i="8" s="1"/>
  <c r="FH71" i="9"/>
  <c r="EH17" i="8"/>
  <c r="EQ17" i="8" s="1"/>
  <c r="EZ17" i="8" s="1"/>
  <c r="EO17" i="8"/>
  <c r="EX17" i="8" s="1"/>
  <c r="EB12" i="8"/>
  <c r="FV12" i="8" s="1"/>
  <c r="FY12" i="8"/>
  <c r="EE12" i="8"/>
  <c r="EF50" i="8"/>
  <c r="EP50" i="8"/>
  <c r="HK50" i="8"/>
  <c r="ER50" i="8"/>
  <c r="HO50" i="8"/>
  <c r="CI21" i="9"/>
  <c r="EN21" i="9"/>
  <c r="EO21" i="9" s="1"/>
  <c r="ET21" i="9" s="1"/>
  <c r="CP21" i="8" s="1"/>
  <c r="DG21" i="8" s="1"/>
  <c r="CK21" i="9"/>
  <c r="CM21" i="9" s="1"/>
  <c r="Y21" i="8" s="1"/>
  <c r="Q21" i="11"/>
  <c r="CL21" i="9"/>
  <c r="D12" i="28"/>
  <c r="AC12" i="8"/>
  <c r="AE12" i="8" s="1"/>
  <c r="BM12" i="8"/>
  <c r="BQ12" i="8" s="1"/>
  <c r="BS12" i="8" s="1"/>
  <c r="FC12" i="9"/>
  <c r="R16" i="11"/>
  <c r="CV16" i="8"/>
  <c r="E16" i="28"/>
  <c r="W7" i="11"/>
  <c r="AK7" i="11"/>
  <c r="EE72" i="8"/>
  <c r="FY72" i="8"/>
  <c r="HW72" i="8" s="1"/>
  <c r="EH71" i="8"/>
  <c r="EO71" i="8"/>
  <c r="HL71" i="8"/>
  <c r="AI17" i="11"/>
  <c r="Z17" i="11"/>
  <c r="AG17" i="11" s="1"/>
  <c r="AJ17" i="11"/>
  <c r="U17" i="11"/>
  <c r="V17" i="11"/>
  <c r="Y17" i="11" s="1"/>
  <c r="AF17" i="11" s="1"/>
  <c r="CZ71" i="8"/>
  <c r="IV71" i="8"/>
  <c r="CQ71" i="8"/>
  <c r="CM71" i="8"/>
  <c r="F57" i="28"/>
  <c r="BZ57" i="11"/>
  <c r="CV57" i="11"/>
  <c r="HT50" i="8"/>
  <c r="CQ17" i="8"/>
  <c r="CZ17" i="8"/>
  <c r="FF50" i="9"/>
  <c r="CK50" i="8" s="1"/>
  <c r="DD50" i="8" s="1"/>
  <c r="FG50" i="9"/>
  <c r="CO50" i="8" s="1"/>
  <c r="DA50" i="8" s="1"/>
  <c r="FD50" i="9"/>
  <c r="CJ50" i="8" s="1"/>
  <c r="DC50" i="8" s="1"/>
  <c r="FE50" i="9"/>
  <c r="CN50" i="8" s="1"/>
  <c r="DS7" i="11"/>
  <c r="H7" i="28"/>
  <c r="E71" i="27"/>
  <c r="T71" i="11"/>
  <c r="EI71" i="8"/>
  <c r="GX71" i="8"/>
  <c r="FQ71" i="8"/>
  <c r="AN57" i="11"/>
  <c r="AP57" i="11" s="1"/>
  <c r="AT57" i="11" s="1"/>
  <c r="AR57" i="11"/>
  <c r="AL64" i="8"/>
  <c r="DZ64" i="11"/>
  <c r="BW81" i="11"/>
  <c r="AY81" i="11"/>
  <c r="BF81" i="11"/>
  <c r="AF81" i="11"/>
  <c r="IW71" i="8"/>
  <c r="DA71" i="8"/>
  <c r="DS16" i="11"/>
  <c r="H16" i="28"/>
  <c r="FA16" i="8"/>
  <c r="ET16" i="8"/>
  <c r="EW16" i="8"/>
  <c r="U74" i="11"/>
  <c r="V74" i="11"/>
  <c r="Y74" i="11" s="1"/>
  <c r="AJ74" i="11"/>
  <c r="W46" i="11"/>
  <c r="AK46" i="11"/>
  <c r="D78" i="28"/>
  <c r="FC78" i="9"/>
  <c r="BM78" i="8"/>
  <c r="BQ78" i="8" s="1"/>
  <c r="BS78" i="8" s="1"/>
  <c r="AC78" i="8"/>
  <c r="AE78" i="8" s="1"/>
  <c r="CW35" i="11"/>
  <c r="BP35" i="11"/>
  <c r="FD61" i="9"/>
  <c r="CJ61" i="8" s="1"/>
  <c r="DC61" i="8" s="1"/>
  <c r="FE61" i="9"/>
  <c r="CN61" i="8" s="1"/>
  <c r="FF61" i="9"/>
  <c r="CK61" i="8" s="1"/>
  <c r="DD61" i="8" s="1"/>
  <c r="FG61" i="9"/>
  <c r="CO61" i="8" s="1"/>
  <c r="DA61" i="8" s="1"/>
  <c r="FD70" i="8"/>
  <c r="CF70" i="11" s="1"/>
  <c r="AY9" i="11"/>
  <c r="BW9" i="11"/>
  <c r="BF9" i="11"/>
  <c r="T18" i="11"/>
  <c r="EI18" i="8"/>
  <c r="ER18" i="8" s="1"/>
  <c r="E18" i="27"/>
  <c r="EP56" i="8"/>
  <c r="EF56" i="8"/>
  <c r="DE67" i="8"/>
  <c r="CR67" i="8"/>
  <c r="CT67" i="8" s="1"/>
  <c r="CW57" i="11"/>
  <c r="BP57" i="11"/>
  <c r="FD27" i="8"/>
  <c r="CF27" i="11" s="1"/>
  <c r="FD13" i="8"/>
  <c r="CF13" i="11" s="1"/>
  <c r="FJ83" i="9"/>
  <c r="AW83" i="8"/>
  <c r="BA83" i="8" s="1"/>
  <c r="BC83" i="8" s="1"/>
  <c r="N83" i="8"/>
  <c r="E83" i="8" s="1"/>
  <c r="FV74" i="8"/>
  <c r="HH74" i="8"/>
  <c r="DS20" i="11"/>
  <c r="H20" i="28"/>
  <c r="AC20" i="8"/>
  <c r="AE20" i="8" s="1"/>
  <c r="BM20" i="8"/>
  <c r="BQ20" i="8" s="1"/>
  <c r="BS20" i="8" s="1"/>
  <c r="FC20" i="9"/>
  <c r="D20" i="28"/>
  <c r="ER56" i="8"/>
  <c r="EV56" i="8" s="1"/>
  <c r="D18" i="28"/>
  <c r="AC18" i="8"/>
  <c r="AE18" i="8" s="1"/>
  <c r="BM18" i="8"/>
  <c r="BQ18" i="8" s="1"/>
  <c r="BS18" i="8" s="1"/>
  <c r="FC18" i="9"/>
  <c r="ER62" i="8"/>
  <c r="FD23" i="8"/>
  <c r="CF23" i="11" s="1"/>
  <c r="E62" i="28"/>
  <c r="R62" i="11"/>
  <c r="CV62" i="8"/>
  <c r="FE62" i="9"/>
  <c r="CN62" i="8" s="1"/>
  <c r="FF62" i="9"/>
  <c r="CK62" i="8" s="1"/>
  <c r="FG62" i="9"/>
  <c r="CO62" i="8" s="1"/>
  <c r="FD62" i="9"/>
  <c r="CJ62" i="8" s="1"/>
  <c r="R56" i="11"/>
  <c r="E56" i="28"/>
  <c r="CV56" i="8"/>
  <c r="CM68" i="9"/>
  <c r="Y68" i="8" s="1"/>
  <c r="BZ60" i="8"/>
  <c r="CD60" i="8" s="1"/>
  <c r="CF60" i="8" s="1"/>
  <c r="FL60" i="8"/>
  <c r="FQ60" i="8" s="1"/>
  <c r="AP60" i="8"/>
  <c r="AR60" i="8" s="1"/>
  <c r="E20" i="27"/>
  <c r="T20" i="11"/>
  <c r="EI20" i="8"/>
  <c r="ER20" i="8" s="1"/>
  <c r="AY6" i="11"/>
  <c r="BW6" i="11"/>
  <c r="BF6" i="11"/>
  <c r="CM74" i="8"/>
  <c r="CZ74" i="8"/>
  <c r="CQ74" i="8"/>
  <c r="FL31" i="8"/>
  <c r="BZ31" i="8"/>
  <c r="CD31" i="8" s="1"/>
  <c r="CF31" i="8" s="1"/>
  <c r="GK31" i="8"/>
  <c r="GP31" i="8" s="1"/>
  <c r="AP31" i="8"/>
  <c r="AR31" i="8" s="1"/>
  <c r="EP46" i="8"/>
  <c r="EY46" i="8" s="1"/>
  <c r="EF46" i="8"/>
  <c r="HR76" i="8"/>
  <c r="GA76" i="8"/>
  <c r="HY76" i="8" s="1"/>
  <c r="EE27" i="8"/>
  <c r="FY27" i="8"/>
  <c r="EB27" i="8"/>
  <c r="FV27" i="8" s="1"/>
  <c r="BP22" i="11"/>
  <c r="CW22" i="11"/>
  <c r="EE80" i="8"/>
  <c r="FY80" i="8"/>
  <c r="HW80" i="8" s="1"/>
  <c r="Z61" i="11"/>
  <c r="AI61" i="11"/>
  <c r="CM80" i="9"/>
  <c r="Y80" i="8" s="1"/>
  <c r="EP61" i="8"/>
  <c r="EY61" i="8" s="1"/>
  <c r="EF61" i="8"/>
  <c r="FC70" i="9"/>
  <c r="BM70" i="8"/>
  <c r="BQ70" i="8" s="1"/>
  <c r="BS70" i="8" s="1"/>
  <c r="D70" i="28"/>
  <c r="AC70" i="8"/>
  <c r="AE70" i="8" s="1"/>
  <c r="EE20" i="8"/>
  <c r="FY20" i="8"/>
  <c r="DB67" i="8"/>
  <c r="FJ29" i="9"/>
  <c r="EB29" i="8" s="1"/>
  <c r="FV29" i="8" s="1"/>
  <c r="AW29" i="8"/>
  <c r="BA29" i="8" s="1"/>
  <c r="BC29" i="8" s="1"/>
  <c r="N29" i="8"/>
  <c r="E29" i="8" s="1"/>
  <c r="AC27" i="8"/>
  <c r="AE27" i="8" s="1"/>
  <c r="FC27" i="9"/>
  <c r="D27" i="28"/>
  <c r="BM27" i="8"/>
  <c r="BQ27" i="8" s="1"/>
  <c r="BS27" i="8" s="1"/>
  <c r="FC13" i="9"/>
  <c r="D13" i="28"/>
  <c r="BM13" i="8"/>
  <c r="BQ13" i="8" s="1"/>
  <c r="BS13" i="8" s="1"/>
  <c r="AC13" i="8"/>
  <c r="AE13" i="8" s="1"/>
  <c r="FD78" i="8"/>
  <c r="CF78" i="11" s="1"/>
  <c r="Q83" i="11"/>
  <c r="EN83" i="9"/>
  <c r="EO83" i="9" s="1"/>
  <c r="ET83" i="9" s="1"/>
  <c r="CP83" i="8" s="1"/>
  <c r="DG83" i="8" s="1"/>
  <c r="CL83" i="9"/>
  <c r="CI83" i="9"/>
  <c r="CK83" i="9"/>
  <c r="W13" i="11"/>
  <c r="AK13" i="11"/>
  <c r="ET33" i="8"/>
  <c r="EW33" i="8"/>
  <c r="FA33" i="8"/>
  <c r="EV27" i="8"/>
  <c r="E74" i="27"/>
  <c r="EI74" i="8"/>
  <c r="T74" i="11"/>
  <c r="GX74" i="8"/>
  <c r="FQ74" i="8"/>
  <c r="EV62" i="8"/>
  <c r="FG56" i="9"/>
  <c r="CO56" i="8" s="1"/>
  <c r="FF56" i="9"/>
  <c r="CK56" i="8" s="1"/>
  <c r="FD56" i="9"/>
  <c r="CJ56" i="8" s="1"/>
  <c r="FE56" i="9"/>
  <c r="CN56" i="8" s="1"/>
  <c r="DG68" i="8"/>
  <c r="DE49" i="8"/>
  <c r="CR49" i="8"/>
  <c r="FJ60" i="9"/>
  <c r="AW60" i="8"/>
  <c r="BA60" i="8" s="1"/>
  <c r="BC60" i="8" s="1"/>
  <c r="N60" i="8"/>
  <c r="E60" i="8" s="1"/>
  <c r="DD74" i="8"/>
  <c r="DE22" i="8"/>
  <c r="CR22" i="8"/>
  <c r="CT22" i="8" s="1"/>
  <c r="DP22" i="8" s="1"/>
  <c r="FW62" i="8"/>
  <c r="FJ31" i="9"/>
  <c r="EB31" i="8" s="1"/>
  <c r="AW31" i="8"/>
  <c r="BA31" i="8" s="1"/>
  <c r="BC31" i="8" s="1"/>
  <c r="N31" i="8"/>
  <c r="E31" i="8" s="1"/>
  <c r="X67" i="11"/>
  <c r="AH67" i="11"/>
  <c r="DB9" i="8"/>
  <c r="AF22" i="11"/>
  <c r="AY22" i="11"/>
  <c r="BW22" i="11"/>
  <c r="BF22" i="11"/>
  <c r="H56" i="28"/>
  <c r="DS56" i="11"/>
  <c r="Q76" i="11"/>
  <c r="CL76" i="9"/>
  <c r="CI76" i="9"/>
  <c r="CK76" i="9"/>
  <c r="EN76" i="9"/>
  <c r="EO76" i="9" s="1"/>
  <c r="ET76" i="9" s="1"/>
  <c r="CP76" i="8" s="1"/>
  <c r="X49" i="11"/>
  <c r="AH49" i="11"/>
  <c r="H61" i="28"/>
  <c r="DS61" i="11"/>
  <c r="EB18" i="8"/>
  <c r="FV18" i="8" s="1"/>
  <c r="FY18" i="8"/>
  <c r="EE18" i="8"/>
  <c r="EI67" i="8"/>
  <c r="ER67" i="8" s="1"/>
  <c r="E67" i="27"/>
  <c r="T67" i="11"/>
  <c r="FY23" i="8"/>
  <c r="EE23" i="8"/>
  <c r="D33" i="28"/>
  <c r="FC33" i="9"/>
  <c r="BM33" i="8"/>
  <c r="BQ33" i="8" s="1"/>
  <c r="BS33" i="8" s="1"/>
  <c r="AC33" i="8"/>
  <c r="AE33" i="8" s="1"/>
  <c r="FA27" i="8"/>
  <c r="EW27" i="8"/>
  <c r="ET27" i="8"/>
  <c r="CV61" i="8"/>
  <c r="DI61" i="8" s="1"/>
  <c r="R61" i="11"/>
  <c r="E61" i="28"/>
  <c r="FC46" i="9"/>
  <c r="D46" i="28"/>
  <c r="AC46" i="8"/>
  <c r="AE46" i="8" s="1"/>
  <c r="BM46" i="8"/>
  <c r="BQ46" i="8" s="1"/>
  <c r="BS46" i="8" s="1"/>
  <c r="CR70" i="9"/>
  <c r="FV56" i="8"/>
  <c r="EB23" i="8"/>
  <c r="Q29" i="11"/>
  <c r="CI29" i="9"/>
  <c r="CL29" i="9"/>
  <c r="EN29" i="9"/>
  <c r="EO29" i="9" s="1"/>
  <c r="ET29" i="9" s="1"/>
  <c r="CP29" i="8" s="1"/>
  <c r="CK29" i="9"/>
  <c r="CM29" i="9" s="1"/>
  <c r="Y29" i="8" s="1"/>
  <c r="FY68" i="8"/>
  <c r="EE68" i="8"/>
  <c r="ER13" i="8"/>
  <c r="EV13" i="8" s="1"/>
  <c r="GA31" i="8"/>
  <c r="HY31" i="8" s="1"/>
  <c r="HR31" i="8"/>
  <c r="AK33" i="11"/>
  <c r="W33" i="11"/>
  <c r="EO74" i="8"/>
  <c r="HL74" i="8"/>
  <c r="EH74" i="8"/>
  <c r="EP78" i="8"/>
  <c r="HK78" i="8"/>
  <c r="W56" i="11"/>
  <c r="AK56" i="11"/>
  <c r="EQ22" i="8"/>
  <c r="EZ22" i="8" s="1"/>
  <c r="BM23" i="8"/>
  <c r="BQ23" i="8" s="1"/>
  <c r="BS23" i="8" s="1"/>
  <c r="AC23" i="8"/>
  <c r="AE23" i="8" s="1"/>
  <c r="FC23" i="9"/>
  <c r="D23" i="28"/>
  <c r="EM83" i="8"/>
  <c r="HM83" i="8"/>
  <c r="EE13" i="8"/>
  <c r="FY13" i="8"/>
  <c r="EB13" i="8"/>
  <c r="EB20" i="8"/>
  <c r="FV20" i="8" s="1"/>
  <c r="FW20" i="8" s="1"/>
  <c r="AH6" i="11"/>
  <c r="X6" i="11"/>
  <c r="AH35" i="11"/>
  <c r="X35" i="11"/>
  <c r="DA74" i="8"/>
  <c r="DB22" i="8"/>
  <c r="CI31" i="9"/>
  <c r="Q31" i="11"/>
  <c r="EN31" i="9"/>
  <c r="EO31" i="9" s="1"/>
  <c r="ET31" i="9" s="1"/>
  <c r="CP31" i="8" s="1"/>
  <c r="DG31" i="8" s="1"/>
  <c r="CL31" i="9"/>
  <c r="CK31" i="9"/>
  <c r="CM31" i="9" s="1"/>
  <c r="Y31" i="8" s="1"/>
  <c r="CR9" i="8"/>
  <c r="DE9" i="8"/>
  <c r="AH22" i="11"/>
  <c r="X22" i="11"/>
  <c r="EE33" i="8"/>
  <c r="FY33" i="8"/>
  <c r="EB33" i="8"/>
  <c r="FJ76" i="9"/>
  <c r="AW76" i="8"/>
  <c r="BA76" i="8" s="1"/>
  <c r="BC76" i="8" s="1"/>
  <c r="N76" i="8"/>
  <c r="E76" i="8" s="1"/>
  <c r="BF49" i="11"/>
  <c r="BW49" i="11"/>
  <c r="AY49" i="11"/>
  <c r="U32" i="11"/>
  <c r="V32" i="11"/>
  <c r="Y32" i="11" s="1"/>
  <c r="AJ32" i="11"/>
  <c r="DI74" i="8"/>
  <c r="EH67" i="8"/>
  <c r="EQ67" i="8" s="1"/>
  <c r="EO67" i="8"/>
  <c r="EW46" i="8"/>
  <c r="FA46" i="8"/>
  <c r="ET46" i="8"/>
  <c r="AL78" i="8"/>
  <c r="DZ78" i="11"/>
  <c r="FD33" i="8"/>
  <c r="CF33" i="11" s="1"/>
  <c r="AK27" i="11"/>
  <c r="W27" i="11"/>
  <c r="H46" i="28"/>
  <c r="DS46" i="11"/>
  <c r="EP62" i="8"/>
  <c r="EF62" i="8"/>
  <c r="X9" i="11"/>
  <c r="AH9" i="11"/>
  <c r="E23" i="27"/>
  <c r="EI23" i="8"/>
  <c r="T23" i="11"/>
  <c r="BZ29" i="8"/>
  <c r="CD29" i="8" s="1"/>
  <c r="CF29" i="8" s="1"/>
  <c r="FL29" i="8"/>
  <c r="FQ29" i="8" s="1"/>
  <c r="AP29" i="8"/>
  <c r="AR29" i="8" s="1"/>
  <c r="DG13" i="8"/>
  <c r="EM31" i="8"/>
  <c r="HM31" i="8"/>
  <c r="HW78" i="8"/>
  <c r="DS18" i="11"/>
  <c r="AK62" i="11"/>
  <c r="W62" i="11"/>
  <c r="FZ25" i="8"/>
  <c r="GA83" i="8"/>
  <c r="HY83" i="8" s="1"/>
  <c r="HR83" i="8"/>
  <c r="DB49" i="8"/>
  <c r="CR35" i="8"/>
  <c r="DE35" i="8"/>
  <c r="EN60" i="9"/>
  <c r="EO60" i="9" s="1"/>
  <c r="ET60" i="9" s="1"/>
  <c r="CP60" i="8" s="1"/>
  <c r="Q60" i="11"/>
  <c r="CK60" i="9"/>
  <c r="CM60" i="9" s="1"/>
  <c r="Y60" i="8" s="1"/>
  <c r="CL60" i="9"/>
  <c r="CI60" i="9"/>
  <c r="CZ32" i="8"/>
  <c r="CQ32" i="8"/>
  <c r="CM32" i="8"/>
  <c r="AY35" i="11"/>
  <c r="BF35" i="11"/>
  <c r="BW35" i="11"/>
  <c r="DC74" i="8"/>
  <c r="BW67" i="11"/>
  <c r="BF67" i="11"/>
  <c r="AY67" i="11"/>
  <c r="EV46" i="8"/>
  <c r="HM76" i="8"/>
  <c r="EM76" i="8"/>
  <c r="AO5" i="11"/>
  <c r="AQ5" i="11" s="1"/>
  <c r="AU5" i="11" s="1"/>
  <c r="AS5" i="11"/>
  <c r="BB42" i="9"/>
  <c r="J42" i="8"/>
  <c r="AL42" i="8"/>
  <c r="FJ44" i="9"/>
  <c r="AW44" i="8"/>
  <c r="BA44" i="8" s="1"/>
  <c r="BC44" i="8" s="1"/>
  <c r="N44" i="8"/>
  <c r="E44" i="8" s="1"/>
  <c r="CK40" i="9"/>
  <c r="CM40" i="9" s="1"/>
  <c r="Y40" i="8" s="1"/>
  <c r="CI40" i="9"/>
  <c r="Q40" i="11"/>
  <c r="EN40" i="9"/>
  <c r="EO40" i="9" s="1"/>
  <c r="ET40" i="9" s="1"/>
  <c r="CP40" i="8" s="1"/>
  <c r="CL40" i="9"/>
  <c r="FY41" i="8"/>
  <c r="EE41" i="8"/>
  <c r="BW5" i="11"/>
  <c r="AY5" i="11"/>
  <c r="BF5" i="11"/>
  <c r="CK45" i="9"/>
  <c r="CM45" i="9" s="1"/>
  <c r="EN45" i="9"/>
  <c r="EO45" i="9" s="1"/>
  <c r="ET45" i="9" s="1"/>
  <c r="CP45" i="8" s="1"/>
  <c r="DG45" i="8" s="1"/>
  <c r="CL45" i="9"/>
  <c r="CI45" i="9"/>
  <c r="Q45" i="11"/>
  <c r="BS49" i="11"/>
  <c r="I49" i="27"/>
  <c r="GX69" i="8"/>
  <c r="FQ69" i="8"/>
  <c r="AW85" i="8"/>
  <c r="BA85" i="8" s="1"/>
  <c r="BC85" i="8" s="1"/>
  <c r="N85" i="8"/>
  <c r="E85" i="8" s="1"/>
  <c r="AJ66" i="11"/>
  <c r="U66" i="11"/>
  <c r="V66" i="11"/>
  <c r="Y66" i="11" s="1"/>
  <c r="AF66" i="11" s="1"/>
  <c r="AC41" i="8"/>
  <c r="AE41" i="8" s="1"/>
  <c r="FC41" i="9"/>
  <c r="BM41" i="8"/>
  <c r="BQ41" i="8" s="1"/>
  <c r="BS41" i="8" s="1"/>
  <c r="D41" i="28"/>
  <c r="FD41" i="8"/>
  <c r="CF41" i="11" s="1"/>
  <c r="AY59" i="11"/>
  <c r="BW59" i="11"/>
  <c r="BF59" i="11"/>
  <c r="AW53" i="8"/>
  <c r="BA53" i="8" s="1"/>
  <c r="BC53" i="8" s="1"/>
  <c r="FJ53" i="9"/>
  <c r="N53" i="8"/>
  <c r="E53" i="8" s="1"/>
  <c r="DA52" i="8"/>
  <c r="EM42" i="8"/>
  <c r="CZ69" i="8"/>
  <c r="CQ69" i="8"/>
  <c r="CM69" i="8"/>
  <c r="DD69" i="8"/>
  <c r="FV26" i="8"/>
  <c r="GB52" i="8"/>
  <c r="DI52" i="8"/>
  <c r="BB43" i="9"/>
  <c r="J43" i="8"/>
  <c r="AL43" i="8"/>
  <c r="CZ66" i="8"/>
  <c r="CQ66" i="8"/>
  <c r="CM66" i="8"/>
  <c r="U69" i="11"/>
  <c r="V69" i="11"/>
  <c r="Y69" i="11" s="1"/>
  <c r="AJ69" i="11"/>
  <c r="AK52" i="11"/>
  <c r="W52" i="11"/>
  <c r="DB59" i="8"/>
  <c r="AK26" i="11"/>
  <c r="W26" i="11"/>
  <c r="CV26" i="8"/>
  <c r="E26" i="28"/>
  <c r="R26" i="11"/>
  <c r="EO69" i="8"/>
  <c r="EH69" i="8"/>
  <c r="HL69" i="8"/>
  <c r="EM43" i="8"/>
  <c r="BS9" i="11"/>
  <c r="CH9" i="11" s="1"/>
  <c r="GD9" i="8" s="1"/>
  <c r="I9" i="27"/>
  <c r="CM5" i="8"/>
  <c r="CK53" i="9"/>
  <c r="CM53" i="9" s="1"/>
  <c r="Q53" i="11"/>
  <c r="CL53" i="9"/>
  <c r="EN53" i="9"/>
  <c r="EO53" i="9" s="1"/>
  <c r="ET53" i="9" s="1"/>
  <c r="CP53" i="8" s="1"/>
  <c r="DG53" i="8" s="1"/>
  <c r="CI53" i="9"/>
  <c r="CV63" i="11"/>
  <c r="F63" i="28"/>
  <c r="BZ63" i="11"/>
  <c r="DD52" i="8"/>
  <c r="CZ52" i="8"/>
  <c r="CQ52" i="8"/>
  <c r="CM52" i="8"/>
  <c r="DA69" i="8"/>
  <c r="EB41" i="8"/>
  <c r="EP52" i="8"/>
  <c r="EF52" i="8"/>
  <c r="EP26" i="8"/>
  <c r="EF26" i="8"/>
  <c r="AE63" i="11"/>
  <c r="AV63" i="11"/>
  <c r="AX63" i="11"/>
  <c r="DA66" i="8"/>
  <c r="DC66" i="8"/>
  <c r="FJ40" i="9"/>
  <c r="EB40" i="8" s="1"/>
  <c r="AW40" i="8"/>
  <c r="BA40" i="8" s="1"/>
  <c r="BC40" i="8" s="1"/>
  <c r="N40" i="8"/>
  <c r="CK88" i="9"/>
  <c r="Q88" i="11"/>
  <c r="CI88" i="9"/>
  <c r="CL88" i="9"/>
  <c r="CK87" i="9"/>
  <c r="Q87" i="11"/>
  <c r="CI87" i="9"/>
  <c r="CL87" i="9"/>
  <c r="EM40" i="8"/>
  <c r="EG90" i="8"/>
  <c r="DI69" i="8"/>
  <c r="ER52" i="8"/>
  <c r="CW63" i="11"/>
  <c r="BP63" i="11"/>
  <c r="FV69" i="8"/>
  <c r="HH69" i="8"/>
  <c r="GA43" i="8"/>
  <c r="DC52" i="8"/>
  <c r="DC69" i="8"/>
  <c r="L90" i="8"/>
  <c r="AY90" i="8" s="1"/>
  <c r="EI41" i="8"/>
  <c r="T41" i="11"/>
  <c r="E41" i="27"/>
  <c r="AR63" i="11"/>
  <c r="AN63" i="11"/>
  <c r="AP63" i="11" s="1"/>
  <c r="AT63" i="11" s="1"/>
  <c r="U52" i="11"/>
  <c r="AJ52" i="11"/>
  <c r="V52" i="11"/>
  <c r="Y52" i="11" s="1"/>
  <c r="DD66" i="8"/>
  <c r="BG5" i="11"/>
  <c r="BH5" i="11" s="1"/>
  <c r="BI5" i="11" s="1"/>
  <c r="BM5" i="11" s="1"/>
  <c r="BP5" i="11" s="1"/>
  <c r="AW5" i="11"/>
  <c r="BU5" i="11"/>
  <c r="H5" i="27" s="1"/>
  <c r="AZ5" i="11"/>
  <c r="CK44" i="9"/>
  <c r="EN44" i="9"/>
  <c r="EO44" i="9" s="1"/>
  <c r="ET44" i="9" s="1"/>
  <c r="CP44" i="8" s="1"/>
  <c r="DG44" i="8" s="1"/>
  <c r="Q44" i="11"/>
  <c r="CL44" i="9"/>
  <c r="CI44" i="9"/>
  <c r="CM86" i="9"/>
  <c r="Y86" i="8" s="1"/>
  <c r="FL40" i="8"/>
  <c r="BZ40" i="8"/>
  <c r="CD40" i="8" s="1"/>
  <c r="CF40" i="8" s="1"/>
  <c r="AP40" i="8"/>
  <c r="AW88" i="8"/>
  <c r="BA88" i="8" s="1"/>
  <c r="BC88" i="8" s="1"/>
  <c r="N88" i="8"/>
  <c r="E88" i="8" s="1"/>
  <c r="AH5" i="11"/>
  <c r="X5" i="11"/>
  <c r="AW87" i="8"/>
  <c r="BA87" i="8" s="1"/>
  <c r="BC87" i="8" s="1"/>
  <c r="N87" i="8"/>
  <c r="E87" i="8" s="1"/>
  <c r="AW45" i="8"/>
  <c r="BA45" i="8" s="1"/>
  <c r="BC45" i="8" s="1"/>
  <c r="FJ45" i="9"/>
  <c r="N45" i="8"/>
  <c r="E45" i="8" s="1"/>
  <c r="GA40" i="8"/>
  <c r="FT90" i="8"/>
  <c r="CR59" i="8"/>
  <c r="DE59" i="8"/>
  <c r="ER26" i="8"/>
  <c r="FE26" i="9"/>
  <c r="CN26" i="8" s="1"/>
  <c r="FG26" i="9"/>
  <c r="CO26" i="8" s="1"/>
  <c r="FF26" i="9"/>
  <c r="CK26" i="8" s="1"/>
  <c r="FD26" i="9"/>
  <c r="CJ26" i="8" s="1"/>
  <c r="E69" i="27"/>
  <c r="EI69" i="8"/>
  <c r="T69" i="11"/>
  <c r="CK85" i="9"/>
  <c r="Q85" i="11"/>
  <c r="CL85" i="9"/>
  <c r="CI85" i="9"/>
  <c r="DI66" i="8"/>
  <c r="DF63" i="8"/>
  <c r="X59" i="11"/>
  <c r="AH59" i="11"/>
  <c r="FH52" i="9"/>
  <c r="FH69" i="9"/>
  <c r="FH66" i="9"/>
  <c r="CT63" i="8"/>
  <c r="CI90" i="8"/>
  <c r="FH8" i="9"/>
  <c r="H8" i="28"/>
  <c r="DS8" i="11"/>
  <c r="FW8" i="8"/>
  <c r="FZ8" i="8" s="1"/>
  <c r="R8" i="11"/>
  <c r="CV8" i="8"/>
  <c r="E8" i="28"/>
  <c r="DD8" i="8"/>
  <c r="EO8" i="8"/>
  <c r="EX8" i="8" s="1"/>
  <c r="EH8" i="8"/>
  <c r="DA8" i="8"/>
  <c r="Z8" i="11"/>
  <c r="AI8" i="11"/>
  <c r="EY8" i="8"/>
  <c r="EV8" i="8"/>
  <c r="EW8" i="8"/>
  <c r="ET8" i="8"/>
  <c r="EU8" i="8"/>
  <c r="FA8" i="8"/>
  <c r="DC8" i="8"/>
  <c r="CZ8" i="8"/>
  <c r="CQ8" i="8"/>
  <c r="CM8" i="8"/>
  <c r="FH77" i="9" l="1"/>
  <c r="A13" i="22"/>
  <c r="E12" i="22"/>
  <c r="C12" i="22"/>
  <c r="G12" i="22"/>
  <c r="EM82" i="8"/>
  <c r="HM82" i="8"/>
  <c r="Q82" i="11"/>
  <c r="EN82" i="9"/>
  <c r="EO82" i="9" s="1"/>
  <c r="ET82" i="9" s="1"/>
  <c r="CP82" i="8" s="1"/>
  <c r="DG82" i="8" s="1"/>
  <c r="CK82" i="9"/>
  <c r="CI82" i="9"/>
  <c r="CL82" i="9"/>
  <c r="EY62" i="8"/>
  <c r="FD68" i="8"/>
  <c r="CF68" i="11" s="1"/>
  <c r="CM17" i="8"/>
  <c r="FH47" i="9"/>
  <c r="B65" i="24"/>
  <c r="F65" i="24"/>
  <c r="H65" i="24"/>
  <c r="A66" i="24"/>
  <c r="D65" i="24"/>
  <c r="F14" i="24"/>
  <c r="A15" i="24"/>
  <c r="B14" i="24"/>
  <c r="H14" i="24"/>
  <c r="D14" i="24"/>
  <c r="AW82" i="8"/>
  <c r="BA82" i="8" s="1"/>
  <c r="BC82" i="8" s="1"/>
  <c r="FJ82" i="9"/>
  <c r="N82" i="8"/>
  <c r="E82" i="8" s="1"/>
  <c r="A96" i="24"/>
  <c r="C95" i="24"/>
  <c r="E95" i="24" s="1"/>
  <c r="A94" i="22"/>
  <c r="C93" i="22"/>
  <c r="E93" i="22" s="1"/>
  <c r="GA82" i="8"/>
  <c r="HY82" i="8" s="1"/>
  <c r="HR82" i="8"/>
  <c r="A66" i="22"/>
  <c r="E65" i="22"/>
  <c r="G65" i="22"/>
  <c r="C65" i="22"/>
  <c r="CR58" i="8"/>
  <c r="DE58" i="8"/>
  <c r="IU58" i="8"/>
  <c r="GB38" i="8"/>
  <c r="HZ38" i="8" s="1"/>
  <c r="HX38" i="8"/>
  <c r="HN38" i="8"/>
  <c r="EQ38" i="8"/>
  <c r="EZ38" i="8" s="1"/>
  <c r="CZ51" i="8"/>
  <c r="CM51" i="8"/>
  <c r="CQ51" i="8"/>
  <c r="BG6" i="11"/>
  <c r="BH6" i="11" s="1"/>
  <c r="BI6" i="11" s="1"/>
  <c r="BM6" i="11" s="1"/>
  <c r="BP6" i="11" s="1"/>
  <c r="BU6" i="11"/>
  <c r="H6" i="27" s="1"/>
  <c r="AZ6" i="11"/>
  <c r="AW6" i="11"/>
  <c r="CV11" i="8"/>
  <c r="DI11" i="8" s="1"/>
  <c r="R11" i="11"/>
  <c r="E11" i="28"/>
  <c r="X58" i="11"/>
  <c r="AH58" i="11"/>
  <c r="FE14" i="9"/>
  <c r="CN14" i="8" s="1"/>
  <c r="FF14" i="9"/>
  <c r="CK14" i="8" s="1"/>
  <c r="DD14" i="8" s="1"/>
  <c r="FD14" i="9"/>
  <c r="CJ14" i="8" s="1"/>
  <c r="DC14" i="8" s="1"/>
  <c r="FG14" i="9"/>
  <c r="CO14" i="8" s="1"/>
  <c r="DA14" i="8" s="1"/>
  <c r="D79" i="28"/>
  <c r="BM79" i="8"/>
  <c r="BQ79" i="8" s="1"/>
  <c r="BS79" i="8" s="1"/>
  <c r="AC79" i="8"/>
  <c r="AE79" i="8" s="1"/>
  <c r="FC79" i="9"/>
  <c r="E77" i="27"/>
  <c r="EI77" i="8"/>
  <c r="T77" i="11"/>
  <c r="CR73" i="9"/>
  <c r="DS24" i="11"/>
  <c r="H24" i="28"/>
  <c r="V77" i="11"/>
  <c r="Y77" i="11" s="1"/>
  <c r="AJ77" i="11"/>
  <c r="U77" i="11"/>
  <c r="GX30" i="8"/>
  <c r="FQ30" i="8"/>
  <c r="FH65" i="9"/>
  <c r="AO6" i="11"/>
  <c r="AQ6" i="11" s="1"/>
  <c r="AU6" i="11" s="1"/>
  <c r="AS6" i="11"/>
  <c r="FG11" i="9"/>
  <c r="CO11" i="8" s="1"/>
  <c r="DA11" i="8" s="1"/>
  <c r="FF11" i="9"/>
  <c r="CK11" i="8" s="1"/>
  <c r="DD11" i="8" s="1"/>
  <c r="FE11" i="9"/>
  <c r="CN11" i="8" s="1"/>
  <c r="FD11" i="9"/>
  <c r="CJ11" i="8" s="1"/>
  <c r="DC11" i="8" s="1"/>
  <c r="BF58" i="11"/>
  <c r="BW58" i="11"/>
  <c r="AY58" i="11"/>
  <c r="EH51" i="8"/>
  <c r="EQ51" i="8" s="1"/>
  <c r="EZ51" i="8" s="1"/>
  <c r="EO51" i="8"/>
  <c r="EX51" i="8" s="1"/>
  <c r="FA47" i="8"/>
  <c r="ET47" i="8"/>
  <c r="EW47" i="8"/>
  <c r="EU47" i="8"/>
  <c r="E37" i="28"/>
  <c r="R37" i="11"/>
  <c r="CV37" i="8"/>
  <c r="DI37" i="8" s="1"/>
  <c r="EP79" i="8"/>
  <c r="HK79" i="8"/>
  <c r="FE24" i="9"/>
  <c r="CN24" i="8" s="1"/>
  <c r="FD24" i="9"/>
  <c r="CJ24" i="8" s="1"/>
  <c r="FG24" i="9"/>
  <c r="CO24" i="8" s="1"/>
  <c r="FF24" i="9"/>
  <c r="CK24" i="8" s="1"/>
  <c r="Z47" i="11"/>
  <c r="AI47" i="11"/>
  <c r="EH77" i="8"/>
  <c r="EO77" i="8"/>
  <c r="HL77" i="8"/>
  <c r="GX48" i="8"/>
  <c r="FQ48" i="8"/>
  <c r="HC48" i="8" s="1"/>
  <c r="AC73" i="8"/>
  <c r="AE73" i="8" s="1"/>
  <c r="FC73" i="9"/>
  <c r="BM73" i="8"/>
  <c r="BQ73" i="8" s="1"/>
  <c r="BS73" i="8" s="1"/>
  <c r="D73" i="28"/>
  <c r="EP73" i="8"/>
  <c r="HK73" i="8"/>
  <c r="Z32" i="11"/>
  <c r="AI32" i="11"/>
  <c r="GB14" i="8"/>
  <c r="FD37" i="9"/>
  <c r="FE37" i="9"/>
  <c r="CN37" i="8" s="1"/>
  <c r="FF37" i="9"/>
  <c r="CK37" i="8" s="1"/>
  <c r="DD37" i="8" s="1"/>
  <c r="FG37" i="9"/>
  <c r="CO37" i="8" s="1"/>
  <c r="DA37" i="8" s="1"/>
  <c r="E14" i="28"/>
  <c r="R14" i="11"/>
  <c r="CV14" i="8"/>
  <c r="DI14" i="8" s="1"/>
  <c r="EO47" i="8"/>
  <c r="EX47" i="8" s="1"/>
  <c r="HL47" i="8"/>
  <c r="EH47" i="8"/>
  <c r="EB48" i="8"/>
  <c r="FY48" i="8"/>
  <c r="HW48" i="8" s="1"/>
  <c r="EE48" i="8"/>
  <c r="DS37" i="11"/>
  <c r="H37" i="28"/>
  <c r="ET24" i="8"/>
  <c r="FA24" i="8"/>
  <c r="EW24" i="8"/>
  <c r="EU24" i="8"/>
  <c r="EV24" i="8"/>
  <c r="AS58" i="11"/>
  <c r="AO58" i="11"/>
  <c r="AQ58" i="11" s="1"/>
  <c r="AU58" i="11" s="1"/>
  <c r="X38" i="11"/>
  <c r="AH38" i="11"/>
  <c r="DS11" i="11"/>
  <c r="H11" i="28"/>
  <c r="EP14" i="8"/>
  <c r="EY14" i="8" s="1"/>
  <c r="EF14" i="8"/>
  <c r="EY47" i="8"/>
  <c r="FD73" i="8"/>
  <c r="CF73" i="11" s="1"/>
  <c r="HH77" i="8"/>
  <c r="FV77" i="8"/>
  <c r="FD48" i="8"/>
  <c r="CF48" i="11" s="1"/>
  <c r="BU58" i="11"/>
  <c r="H58" i="27" s="1"/>
  <c r="BG58" i="11"/>
  <c r="BH58" i="11" s="1"/>
  <c r="BI58" i="11" s="1"/>
  <c r="BM58" i="11" s="1"/>
  <c r="BP58" i="11" s="1"/>
  <c r="AW58" i="11"/>
  <c r="AZ58" i="11"/>
  <c r="EP24" i="8"/>
  <c r="EY24" i="8" s="1"/>
  <c r="EF24" i="8"/>
  <c r="CM75" i="9"/>
  <c r="Y75" i="8" s="1"/>
  <c r="CM65" i="8"/>
  <c r="CQ65" i="8"/>
  <c r="CZ65" i="8"/>
  <c r="Z51" i="11"/>
  <c r="AI51" i="11"/>
  <c r="V47" i="11"/>
  <c r="Y47" i="11" s="1"/>
  <c r="U47" i="11"/>
  <c r="AJ47" i="11"/>
  <c r="EO32" i="8"/>
  <c r="EX32" i="8" s="1"/>
  <c r="EH32" i="8"/>
  <c r="EQ32" i="8" s="1"/>
  <c r="EZ32" i="8" s="1"/>
  <c r="FD79" i="8"/>
  <c r="CF79" i="11" s="1"/>
  <c r="GX77" i="8"/>
  <c r="FQ77" i="8"/>
  <c r="AK24" i="11"/>
  <c r="W24" i="11"/>
  <c r="AC48" i="8"/>
  <c r="AE48" i="8" s="1"/>
  <c r="FC48" i="9"/>
  <c r="D48" i="28"/>
  <c r="BM48" i="8"/>
  <c r="BQ48" i="8" s="1"/>
  <c r="BS48" i="8" s="1"/>
  <c r="HH30" i="8"/>
  <c r="FV30" i="8"/>
  <c r="FZ47" i="8"/>
  <c r="DC58" i="8"/>
  <c r="IR58" i="8"/>
  <c r="AF38" i="11"/>
  <c r="AY38" i="11"/>
  <c r="BW38" i="11"/>
  <c r="BF38" i="11"/>
  <c r="AK11" i="11"/>
  <c r="W11" i="11"/>
  <c r="FL65" i="8"/>
  <c r="FQ65" i="8" s="1"/>
  <c r="EB65" i="8"/>
  <c r="FV65" i="8" s="1"/>
  <c r="BZ65" i="8"/>
  <c r="CD65" i="8" s="1"/>
  <c r="CF65" i="8" s="1"/>
  <c r="AP65" i="8"/>
  <c r="AR65" i="8" s="1"/>
  <c r="EF65" i="8"/>
  <c r="EW37" i="8"/>
  <c r="ET37" i="8"/>
  <c r="FA37" i="8"/>
  <c r="EU37" i="8"/>
  <c r="EV37" i="8"/>
  <c r="CZ77" i="8"/>
  <c r="CQ77" i="8"/>
  <c r="CM77" i="8"/>
  <c r="V51" i="11"/>
  <c r="Y51" i="11" s="1"/>
  <c r="AJ51" i="11"/>
  <c r="U51" i="11"/>
  <c r="AK14" i="11"/>
  <c r="W14" i="11"/>
  <c r="DE38" i="8"/>
  <c r="CR38" i="8"/>
  <c r="EI30" i="8"/>
  <c r="T30" i="11"/>
  <c r="E30" i="27"/>
  <c r="CQ47" i="8"/>
  <c r="CZ47" i="8"/>
  <c r="CM47" i="8"/>
  <c r="EP11" i="8"/>
  <c r="EY11" i="8" s="1"/>
  <c r="EF11" i="8"/>
  <c r="D30" i="28"/>
  <c r="FC30" i="9"/>
  <c r="BM30" i="8"/>
  <c r="BQ30" i="8" s="1"/>
  <c r="BS30" i="8" s="1"/>
  <c r="AC30" i="8"/>
  <c r="AE30" i="8" s="1"/>
  <c r="DS14" i="11"/>
  <c r="H14" i="28"/>
  <c r="EW11" i="8"/>
  <c r="ET11" i="8"/>
  <c r="EV11" i="8"/>
  <c r="FA11" i="8"/>
  <c r="EU11" i="8"/>
  <c r="AS38" i="11"/>
  <c r="AO38" i="11"/>
  <c r="AQ38" i="11" s="1"/>
  <c r="AU38" i="11" s="1"/>
  <c r="EV47" i="8"/>
  <c r="R24" i="11"/>
  <c r="E24" i="28"/>
  <c r="CV24" i="8"/>
  <c r="EF37" i="8"/>
  <c r="EP37" i="8"/>
  <c r="EY37" i="8" s="1"/>
  <c r="EX67" i="8"/>
  <c r="E48" i="27"/>
  <c r="T48" i="11"/>
  <c r="EI48" i="8"/>
  <c r="ET14" i="8"/>
  <c r="EW14" i="8"/>
  <c r="FA14" i="8"/>
  <c r="EU14" i="8"/>
  <c r="FH51" i="9"/>
  <c r="FY70" i="8"/>
  <c r="HW70" i="8" s="1"/>
  <c r="EE70" i="8"/>
  <c r="FY30" i="8"/>
  <c r="EE30" i="8"/>
  <c r="FW11" i="8"/>
  <c r="FZ11" i="8" s="1"/>
  <c r="GB11" i="8" s="1"/>
  <c r="FD30" i="8"/>
  <c r="CF30" i="11" s="1"/>
  <c r="FY75" i="8"/>
  <c r="HW75" i="8" s="1"/>
  <c r="EE75" i="8"/>
  <c r="AG38" i="11"/>
  <c r="AW38" i="11"/>
  <c r="BU38" i="11"/>
  <c r="H38" i="27" s="1"/>
  <c r="AZ38" i="11"/>
  <c r="BG38" i="11"/>
  <c r="BH38" i="11" s="1"/>
  <c r="BI38" i="11" s="1"/>
  <c r="BM38" i="11" s="1"/>
  <c r="V65" i="11"/>
  <c r="Y65" i="11" s="1"/>
  <c r="U65" i="11"/>
  <c r="AJ65" i="11"/>
  <c r="CR79" i="9"/>
  <c r="AK37" i="11"/>
  <c r="W37" i="11"/>
  <c r="FW37" i="8"/>
  <c r="FZ37" i="8" s="1"/>
  <c r="GB37" i="8" s="1"/>
  <c r="FW36" i="8"/>
  <c r="FZ36" i="8" s="1"/>
  <c r="GB36" i="8" s="1"/>
  <c r="FH4" i="9"/>
  <c r="CM39" i="8"/>
  <c r="DE39" i="8" s="1"/>
  <c r="P25" i="21"/>
  <c r="V25" i="21" s="1"/>
  <c r="W25" i="21" s="1"/>
  <c r="FD40" i="8"/>
  <c r="AZ39" i="11"/>
  <c r="BU39" i="11"/>
  <c r="H39" i="27" s="1"/>
  <c r="AG39" i="11"/>
  <c r="AW39" i="11"/>
  <c r="BG39" i="11"/>
  <c r="BH39" i="11" s="1"/>
  <c r="BI39" i="11" s="1"/>
  <c r="BM39" i="11" s="1"/>
  <c r="AF39" i="11"/>
  <c r="AY39" i="11"/>
  <c r="BF39" i="11"/>
  <c r="BW39" i="11"/>
  <c r="AO39" i="11"/>
  <c r="AQ39" i="11" s="1"/>
  <c r="AU39" i="11" s="1"/>
  <c r="AS39" i="11"/>
  <c r="X39" i="11"/>
  <c r="AH39" i="11"/>
  <c r="CR39" i="8"/>
  <c r="DI4" i="8"/>
  <c r="DC4" i="8"/>
  <c r="AJ4" i="11"/>
  <c r="V4" i="11"/>
  <c r="Y4" i="11" s="1"/>
  <c r="U4" i="11"/>
  <c r="EO4" i="8"/>
  <c r="EX4" i="8" s="1"/>
  <c r="EH4" i="8"/>
  <c r="EQ4" i="8" s="1"/>
  <c r="EZ4" i="8" s="1"/>
  <c r="DA4" i="8"/>
  <c r="Z4" i="11"/>
  <c r="AI4" i="11"/>
  <c r="DD4" i="8"/>
  <c r="CQ4" i="8"/>
  <c r="CZ4" i="8"/>
  <c r="CM4" i="8"/>
  <c r="H12" i="28"/>
  <c r="CR84" i="9"/>
  <c r="DZ84" i="11" s="1"/>
  <c r="CJ15" i="8"/>
  <c r="FH15" i="9"/>
  <c r="Z15" i="11"/>
  <c r="AI15" i="11"/>
  <c r="EH15" i="8"/>
  <c r="EQ15" i="8" s="1"/>
  <c r="EZ15" i="8" s="1"/>
  <c r="EO15" i="8"/>
  <c r="EX15" i="8" s="1"/>
  <c r="FD84" i="8"/>
  <c r="CF84" i="11" s="1"/>
  <c r="DS84" i="11" s="1"/>
  <c r="V15" i="11"/>
  <c r="Y15" i="11" s="1"/>
  <c r="U15" i="11"/>
  <c r="AJ15" i="11"/>
  <c r="CQ15" i="8"/>
  <c r="DB15" i="8" s="1"/>
  <c r="CZ15" i="8"/>
  <c r="DE6" i="8"/>
  <c r="CR6" i="8"/>
  <c r="EF66" i="8"/>
  <c r="EB66" i="8"/>
  <c r="FV66" i="8" s="1"/>
  <c r="AP66" i="8"/>
  <c r="AR66" i="8" s="1"/>
  <c r="BZ66" i="8"/>
  <c r="CD66" i="8" s="1"/>
  <c r="CF66" i="8" s="1"/>
  <c r="FL66" i="8"/>
  <c r="FQ66" i="8" s="1"/>
  <c r="FW18" i="8"/>
  <c r="FZ18" i="8" s="1"/>
  <c r="EO54" i="8"/>
  <c r="EX54" i="8" s="1"/>
  <c r="EH54" i="8"/>
  <c r="EQ54" i="8" s="1"/>
  <c r="EZ54" i="8" s="1"/>
  <c r="U54" i="11"/>
  <c r="V54" i="11"/>
  <c r="Y54" i="11" s="1"/>
  <c r="AJ54" i="11"/>
  <c r="AL84" i="8"/>
  <c r="CM54" i="8"/>
  <c r="CZ54" i="8"/>
  <c r="CQ54" i="8"/>
  <c r="EZ67" i="8"/>
  <c r="D84" i="28"/>
  <c r="AC84" i="8"/>
  <c r="AE84" i="8" s="1"/>
  <c r="FC84" i="9"/>
  <c r="BM84" i="8"/>
  <c r="BQ84" i="8" s="1"/>
  <c r="BS84" i="8" s="1"/>
  <c r="Z54" i="11"/>
  <c r="AI54" i="11"/>
  <c r="FH54" i="9"/>
  <c r="J90" i="8"/>
  <c r="AW90" i="8" s="1"/>
  <c r="Z19" i="11"/>
  <c r="AI19" i="11"/>
  <c r="FH25" i="9"/>
  <c r="CJ25" i="8"/>
  <c r="CZ34" i="8"/>
  <c r="CQ34" i="8"/>
  <c r="CM34" i="8"/>
  <c r="CM55" i="8"/>
  <c r="CT81" i="8"/>
  <c r="DT81" i="8" s="1"/>
  <c r="DF81" i="8"/>
  <c r="X55" i="11"/>
  <c r="AH55" i="11"/>
  <c r="Z25" i="11"/>
  <c r="AI25" i="11"/>
  <c r="BU55" i="11"/>
  <c r="H55" i="27" s="1"/>
  <c r="AZ55" i="11"/>
  <c r="AG55" i="11"/>
  <c r="BG55" i="11"/>
  <c r="BH55" i="11" s="1"/>
  <c r="BI55" i="11" s="1"/>
  <c r="BM55" i="11" s="1"/>
  <c r="AW55" i="11"/>
  <c r="Z34" i="11"/>
  <c r="AI34" i="11"/>
  <c r="EU81" i="8"/>
  <c r="EY81" i="8"/>
  <c r="EV81" i="8"/>
  <c r="EW81" i="8"/>
  <c r="ET81" i="8"/>
  <c r="FA81" i="8"/>
  <c r="EO34" i="8"/>
  <c r="EX34" i="8" s="1"/>
  <c r="EH34" i="8"/>
  <c r="EQ34" i="8" s="1"/>
  <c r="EZ34" i="8" s="1"/>
  <c r="Z81" i="11"/>
  <c r="AI81" i="11"/>
  <c r="AJ34" i="11"/>
  <c r="U34" i="11"/>
  <c r="V34" i="11"/>
  <c r="Y34" i="11" s="1"/>
  <c r="CQ19" i="8"/>
  <c r="DB19" i="8" s="1"/>
  <c r="CZ19" i="8"/>
  <c r="AO55" i="11"/>
  <c r="AQ55" i="11" s="1"/>
  <c r="AU55" i="11" s="1"/>
  <c r="AS55" i="11"/>
  <c r="AO59" i="11"/>
  <c r="AQ59" i="11" s="1"/>
  <c r="AU59" i="11" s="1"/>
  <c r="AS59" i="11"/>
  <c r="FZ81" i="8"/>
  <c r="U19" i="11"/>
  <c r="AJ19" i="11"/>
  <c r="V19" i="11"/>
  <c r="Y19" i="11" s="1"/>
  <c r="FH34" i="9"/>
  <c r="CJ19" i="8"/>
  <c r="FH19" i="9"/>
  <c r="CM28" i="8"/>
  <c r="CR28" i="8" s="1"/>
  <c r="EZ81" i="8"/>
  <c r="AZ59" i="11"/>
  <c r="AW59" i="11"/>
  <c r="BG59" i="11"/>
  <c r="BH59" i="11" s="1"/>
  <c r="BI59" i="11" s="1"/>
  <c r="BM59" i="11" s="1"/>
  <c r="BP59" i="11" s="1"/>
  <c r="BU59" i="11"/>
  <c r="H59" i="27" s="1"/>
  <c r="CZ25" i="8"/>
  <c r="CQ25" i="8"/>
  <c r="DB25" i="8" s="1"/>
  <c r="BF55" i="11"/>
  <c r="AF55" i="11"/>
  <c r="AY55" i="11"/>
  <c r="BW55" i="11"/>
  <c r="EH19" i="8"/>
  <c r="EQ19" i="8" s="1"/>
  <c r="EZ19" i="8" s="1"/>
  <c r="EO19" i="8"/>
  <c r="EX19" i="8" s="1"/>
  <c r="V25" i="11"/>
  <c r="Y25" i="11" s="1"/>
  <c r="AJ25" i="11"/>
  <c r="U25" i="11"/>
  <c r="EX81" i="8"/>
  <c r="EO25" i="8"/>
  <c r="EX25" i="8" s="1"/>
  <c r="EH25" i="8"/>
  <c r="EQ25" i="8" s="1"/>
  <c r="EZ25" i="8" s="1"/>
  <c r="FZ50" i="8"/>
  <c r="GB50" i="8" s="1"/>
  <c r="HZ50" i="8" s="1"/>
  <c r="FW12" i="8"/>
  <c r="FZ12" i="8" s="1"/>
  <c r="GB12" i="8" s="1"/>
  <c r="AF28" i="11"/>
  <c r="BF28" i="11"/>
  <c r="BW28" i="11"/>
  <c r="AY28" i="11"/>
  <c r="U10" i="11"/>
  <c r="V10" i="11"/>
  <c r="Y10" i="11" s="1"/>
  <c r="AJ10" i="11"/>
  <c r="BG28" i="11"/>
  <c r="BH28" i="11" s="1"/>
  <c r="BI28" i="11" s="1"/>
  <c r="BM28" i="11" s="1"/>
  <c r="BU28" i="11"/>
  <c r="H28" i="27" s="1"/>
  <c r="AW28" i="11"/>
  <c r="AZ28" i="11"/>
  <c r="FH10" i="9"/>
  <c r="CM10" i="8"/>
  <c r="CZ10" i="8"/>
  <c r="CQ10" i="8"/>
  <c r="EW36" i="8"/>
  <c r="EV36" i="8"/>
  <c r="EU36" i="8"/>
  <c r="FA36" i="8"/>
  <c r="ET36" i="8"/>
  <c r="E36" i="28"/>
  <c r="CV36" i="8"/>
  <c r="DI36" i="8" s="1"/>
  <c r="R36" i="11"/>
  <c r="EO10" i="8"/>
  <c r="EX10" i="8" s="1"/>
  <c r="EH10" i="8"/>
  <c r="EQ10" i="8" s="1"/>
  <c r="EZ10" i="8" s="1"/>
  <c r="X28" i="11"/>
  <c r="AH28" i="11"/>
  <c r="H36" i="28"/>
  <c r="DS36" i="11"/>
  <c r="GA90" i="8"/>
  <c r="FD60" i="8"/>
  <c r="CF60" i="11" s="1"/>
  <c r="H60" i="28" s="1"/>
  <c r="FD36" i="9"/>
  <c r="CJ36" i="8" s="1"/>
  <c r="DC36" i="8" s="1"/>
  <c r="FE36" i="9"/>
  <c r="CN36" i="8" s="1"/>
  <c r="FG36" i="9"/>
  <c r="CO36" i="8" s="1"/>
  <c r="DA36" i="8" s="1"/>
  <c r="FF36" i="9"/>
  <c r="CK36" i="8" s="1"/>
  <c r="DD36" i="8" s="1"/>
  <c r="EP36" i="8"/>
  <c r="EY36" i="8" s="1"/>
  <c r="EF36" i="8"/>
  <c r="W36" i="11"/>
  <c r="AK36" i="11"/>
  <c r="AI10" i="11"/>
  <c r="Z10" i="11"/>
  <c r="AO28" i="11"/>
  <c r="AQ28" i="11" s="1"/>
  <c r="AU28" i="11" s="1"/>
  <c r="AS28" i="11"/>
  <c r="DS67" i="8"/>
  <c r="DP67" i="8"/>
  <c r="FD45" i="8"/>
  <c r="CF45" i="11" s="1"/>
  <c r="ER71" i="8"/>
  <c r="EX71" i="8" s="1"/>
  <c r="HO71" i="8"/>
  <c r="CZ50" i="8"/>
  <c r="CQ50" i="8"/>
  <c r="CM50" i="8"/>
  <c r="DE17" i="8"/>
  <c r="CR17" i="8"/>
  <c r="CT17" i="8" s="1"/>
  <c r="CC57" i="11"/>
  <c r="CI57" i="11" s="1"/>
  <c r="G57" i="28"/>
  <c r="CR71" i="8"/>
  <c r="CT71" i="8" s="1"/>
  <c r="DE71" i="8"/>
  <c r="IU71" i="8"/>
  <c r="DI16" i="8"/>
  <c r="EY50" i="8"/>
  <c r="EO7" i="8"/>
  <c r="EX7" i="8" s="1"/>
  <c r="EH7" i="8"/>
  <c r="EQ7" i="8" s="1"/>
  <c r="EZ7" i="8" s="1"/>
  <c r="CR72" i="9"/>
  <c r="Z50" i="11"/>
  <c r="AI50" i="11"/>
  <c r="AX81" i="11"/>
  <c r="AV81" i="11"/>
  <c r="AE81" i="11"/>
  <c r="DA16" i="8"/>
  <c r="FA12" i="8"/>
  <c r="EW12" i="8"/>
  <c r="ET12" i="8"/>
  <c r="EU12" i="8"/>
  <c r="BZ81" i="11"/>
  <c r="F81" i="28"/>
  <c r="FW71" i="8"/>
  <c r="HC71" i="8"/>
  <c r="AK71" i="11"/>
  <c r="W71" i="11"/>
  <c r="DB71" i="8"/>
  <c r="AY17" i="11"/>
  <c r="BW17" i="11"/>
  <c r="BF17" i="11"/>
  <c r="EP72" i="8"/>
  <c r="HK72" i="8"/>
  <c r="Z7" i="11"/>
  <c r="AI7" i="11"/>
  <c r="U16" i="11"/>
  <c r="AJ16" i="11"/>
  <c r="V16" i="11"/>
  <c r="Y16" i="11" s="1"/>
  <c r="CV12" i="8"/>
  <c r="R12" i="11"/>
  <c r="E12" i="28"/>
  <c r="BM21" i="8"/>
  <c r="BQ21" i="8" s="1"/>
  <c r="BS21" i="8" s="1"/>
  <c r="AC21" i="8"/>
  <c r="AE21" i="8" s="1"/>
  <c r="D21" i="28"/>
  <c r="FC21" i="9"/>
  <c r="EH50" i="8"/>
  <c r="EO50" i="8"/>
  <c r="EX50" i="8" s="1"/>
  <c r="HL50" i="8"/>
  <c r="EO16" i="8"/>
  <c r="EX16" i="8" s="1"/>
  <c r="EH16" i="8"/>
  <c r="EQ16" i="8" s="1"/>
  <c r="EZ16" i="8" s="1"/>
  <c r="BM72" i="8"/>
  <c r="BQ72" i="8" s="1"/>
  <c r="BS72" i="8" s="1"/>
  <c r="AC72" i="8"/>
  <c r="AE72" i="8" s="1"/>
  <c r="FC72" i="9"/>
  <c r="D72" i="28"/>
  <c r="EI21" i="8"/>
  <c r="ER21" i="8" s="1"/>
  <c r="E21" i="27"/>
  <c r="T21" i="11"/>
  <c r="CZ7" i="8"/>
  <c r="CQ7" i="8"/>
  <c r="CM7" i="8"/>
  <c r="FC64" i="9"/>
  <c r="BM64" i="8"/>
  <c r="BQ64" i="8" s="1"/>
  <c r="BS64" i="8" s="1"/>
  <c r="D64" i="28"/>
  <c r="AC64" i="8"/>
  <c r="AE64" i="8" s="1"/>
  <c r="CZ16" i="8"/>
  <c r="CQ16" i="8"/>
  <c r="CM16" i="8"/>
  <c r="BW71" i="11"/>
  <c r="AY71" i="11"/>
  <c r="BF71" i="11"/>
  <c r="FY21" i="8"/>
  <c r="EE21" i="8"/>
  <c r="FW27" i="8"/>
  <c r="FZ27" i="8" s="1"/>
  <c r="GB27" i="8" s="1"/>
  <c r="DB17" i="8"/>
  <c r="X17" i="11"/>
  <c r="AH17" i="11"/>
  <c r="AW17" i="11"/>
  <c r="AZ17" i="11"/>
  <c r="BG17" i="11"/>
  <c r="BH17" i="11" s="1"/>
  <c r="BI17" i="11" s="1"/>
  <c r="BM17" i="11" s="1"/>
  <c r="BP17" i="11" s="1"/>
  <c r="BU17" i="11"/>
  <c r="H17" i="27" s="1"/>
  <c r="EQ71" i="8"/>
  <c r="HN71" i="8"/>
  <c r="ET50" i="8"/>
  <c r="EU50" i="8"/>
  <c r="EW50" i="8"/>
  <c r="FA50" i="8"/>
  <c r="EV50" i="8"/>
  <c r="EP12" i="8"/>
  <c r="EY12" i="8" s="1"/>
  <c r="EF12" i="8"/>
  <c r="FH7" i="9"/>
  <c r="Z16" i="11"/>
  <c r="AI16" i="11"/>
  <c r="DS64" i="11"/>
  <c r="H64" i="28"/>
  <c r="DD16" i="8"/>
  <c r="U50" i="11"/>
  <c r="AJ50" i="11"/>
  <c r="V50" i="11"/>
  <c r="Y50" i="11" s="1"/>
  <c r="FD72" i="8"/>
  <c r="CF72" i="11" s="1"/>
  <c r="FH61" i="9"/>
  <c r="BZ64" i="8"/>
  <c r="CD64" i="8" s="1"/>
  <c r="CF64" i="8" s="1"/>
  <c r="EB64" i="8"/>
  <c r="FV64" i="8" s="1"/>
  <c r="FL64" i="8"/>
  <c r="FQ64" i="8" s="1"/>
  <c r="EF64" i="8"/>
  <c r="AP64" i="8"/>
  <c r="AR64" i="8" s="1"/>
  <c r="FH50" i="9"/>
  <c r="AS17" i="11"/>
  <c r="AO17" i="11"/>
  <c r="AQ17" i="11" s="1"/>
  <c r="AU17" i="11" s="1"/>
  <c r="FG12" i="9"/>
  <c r="CO12" i="8" s="1"/>
  <c r="FF12" i="9"/>
  <c r="CK12" i="8" s="1"/>
  <c r="FE12" i="9"/>
  <c r="CN12" i="8" s="1"/>
  <c r="FD12" i="9"/>
  <c r="CJ12" i="8" s="1"/>
  <c r="FD21" i="8"/>
  <c r="CF21" i="11" s="1"/>
  <c r="EB21" i="8"/>
  <c r="FV21" i="8" s="1"/>
  <c r="AN81" i="11"/>
  <c r="AP81" i="11" s="1"/>
  <c r="AT81" i="11" s="1"/>
  <c r="AR81" i="11"/>
  <c r="FH16" i="9"/>
  <c r="DC16" i="8"/>
  <c r="AH71" i="11"/>
  <c r="X71" i="11"/>
  <c r="AK12" i="11"/>
  <c r="W12" i="11"/>
  <c r="U7" i="11"/>
  <c r="AJ7" i="11"/>
  <c r="V7" i="11"/>
  <c r="Y7" i="11" s="1"/>
  <c r="FV31" i="8"/>
  <c r="HT31" i="8" s="1"/>
  <c r="HH31" i="8"/>
  <c r="F35" i="28"/>
  <c r="BZ35" i="11"/>
  <c r="CV35" i="11"/>
  <c r="DB32" i="8"/>
  <c r="GB25" i="8"/>
  <c r="W23" i="11"/>
  <c r="AK23" i="11"/>
  <c r="DS33" i="11"/>
  <c r="H33" i="28"/>
  <c r="EP33" i="8"/>
  <c r="EY33" i="8" s="1"/>
  <c r="EF33" i="8"/>
  <c r="FZ20" i="8"/>
  <c r="GB20" i="8" s="1"/>
  <c r="EP13" i="8"/>
  <c r="EY13" i="8" s="1"/>
  <c r="EF13" i="8"/>
  <c r="R23" i="11"/>
  <c r="E23" i="28"/>
  <c r="CV23" i="8"/>
  <c r="Z33" i="11"/>
  <c r="AI33" i="11"/>
  <c r="DG29" i="8"/>
  <c r="FV23" i="8"/>
  <c r="EU67" i="8"/>
  <c r="EW67" i="8"/>
  <c r="ET67" i="8"/>
  <c r="EY67" i="8"/>
  <c r="EV67" i="8"/>
  <c r="FA67" i="8"/>
  <c r="AX67" i="11"/>
  <c r="AV67" i="11"/>
  <c r="DF22" i="8"/>
  <c r="DT22" i="8"/>
  <c r="CZ56" i="8"/>
  <c r="CQ56" i="8"/>
  <c r="CM56" i="8"/>
  <c r="H78" i="28"/>
  <c r="DS78" i="11"/>
  <c r="FF27" i="9"/>
  <c r="CK27" i="8" s="1"/>
  <c r="DD27" i="8" s="1"/>
  <c r="FG27" i="9"/>
  <c r="CO27" i="8" s="1"/>
  <c r="DA27" i="8" s="1"/>
  <c r="FD27" i="9"/>
  <c r="CJ27" i="8" s="1"/>
  <c r="DC27" i="8" s="1"/>
  <c r="FE27" i="9"/>
  <c r="CN27" i="8" s="1"/>
  <c r="FY29" i="8"/>
  <c r="FW29" i="8" s="1"/>
  <c r="FZ29" i="8" s="1"/>
  <c r="GB29" i="8" s="1"/>
  <c r="EE29" i="8"/>
  <c r="FE70" i="9"/>
  <c r="CN70" i="8" s="1"/>
  <c r="FG70" i="9"/>
  <c r="CO70" i="8" s="1"/>
  <c r="FD70" i="9"/>
  <c r="CJ70" i="8" s="1"/>
  <c r="FF70" i="9"/>
  <c r="CK70" i="8" s="1"/>
  <c r="EO61" i="8"/>
  <c r="EX61" i="8" s="1"/>
  <c r="EH61" i="8"/>
  <c r="CR80" i="9"/>
  <c r="U56" i="11"/>
  <c r="V56" i="11"/>
  <c r="Y56" i="11" s="1"/>
  <c r="AJ56" i="11"/>
  <c r="DD62" i="8"/>
  <c r="V62" i="11"/>
  <c r="Y62" i="11" s="1"/>
  <c r="AF62" i="11" s="1"/>
  <c r="U62" i="11"/>
  <c r="AJ62" i="11"/>
  <c r="EW62" i="8"/>
  <c r="FA62" i="8"/>
  <c r="ET62" i="8"/>
  <c r="EU62" i="8"/>
  <c r="CV20" i="8"/>
  <c r="DI20" i="8" s="1"/>
  <c r="R20" i="11"/>
  <c r="E20" i="28"/>
  <c r="HT74" i="8"/>
  <c r="H13" i="28"/>
  <c r="DS13" i="11"/>
  <c r="FE78" i="9"/>
  <c r="CN78" i="8" s="1"/>
  <c r="FG78" i="9"/>
  <c r="CO78" i="8" s="1"/>
  <c r="FF78" i="9"/>
  <c r="CK78" i="8" s="1"/>
  <c r="FD78" i="9"/>
  <c r="CJ78" i="8" s="1"/>
  <c r="X74" i="11"/>
  <c r="AH74" i="11"/>
  <c r="DG60" i="8"/>
  <c r="Z62" i="11"/>
  <c r="AG62" i="11" s="1"/>
  <c r="AI62" i="11"/>
  <c r="ER23" i="8"/>
  <c r="BZ49" i="11"/>
  <c r="F49" i="28"/>
  <c r="EE76" i="8"/>
  <c r="FY76" i="8"/>
  <c r="AE22" i="11"/>
  <c r="AV22" i="11"/>
  <c r="AX22" i="11"/>
  <c r="DF9" i="8"/>
  <c r="AV6" i="11"/>
  <c r="AX6" i="11"/>
  <c r="DS68" i="11"/>
  <c r="H68" i="28"/>
  <c r="Z56" i="11"/>
  <c r="AI56" i="11"/>
  <c r="EQ74" i="8"/>
  <c r="HN74" i="8"/>
  <c r="EP68" i="8"/>
  <c r="HK68" i="8"/>
  <c r="FD29" i="8"/>
  <c r="CF29" i="11" s="1"/>
  <c r="E46" i="28"/>
  <c r="CV46" i="8"/>
  <c r="R46" i="11"/>
  <c r="V61" i="11"/>
  <c r="Y61" i="11" s="1"/>
  <c r="U61" i="11"/>
  <c r="AJ61" i="11"/>
  <c r="FF33" i="9"/>
  <c r="CK33" i="8" s="1"/>
  <c r="FD33" i="9"/>
  <c r="CJ33" i="8" s="1"/>
  <c r="FE33" i="9"/>
  <c r="CN33" i="8" s="1"/>
  <c r="FG33" i="9"/>
  <c r="CO33" i="8" s="1"/>
  <c r="EP23" i="8"/>
  <c r="EF23" i="8"/>
  <c r="EP18" i="8"/>
  <c r="EY18" i="8" s="1"/>
  <c r="EF18" i="8"/>
  <c r="CT9" i="8"/>
  <c r="DT9" i="8" s="1"/>
  <c r="FZ62" i="8"/>
  <c r="EB60" i="8"/>
  <c r="EE60" i="8"/>
  <c r="FY60" i="8"/>
  <c r="CT49" i="8"/>
  <c r="DT49" i="8" s="1"/>
  <c r="DF49" i="8"/>
  <c r="DC56" i="8"/>
  <c r="FG13" i="9"/>
  <c r="CO13" i="8" s="1"/>
  <c r="FD13" i="9"/>
  <c r="CJ13" i="8" s="1"/>
  <c r="FE13" i="9"/>
  <c r="CN13" i="8" s="1"/>
  <c r="FF13" i="9"/>
  <c r="CK13" i="8" s="1"/>
  <c r="E27" i="28"/>
  <c r="R27" i="11"/>
  <c r="CV27" i="8"/>
  <c r="DI27" i="8" s="1"/>
  <c r="E70" i="28"/>
  <c r="CV70" i="8"/>
  <c r="R70" i="11"/>
  <c r="FC80" i="9"/>
  <c r="AC80" i="8"/>
  <c r="AE80" i="8" s="1"/>
  <c r="D80" i="28"/>
  <c r="BM80" i="8"/>
  <c r="BQ80" i="8" s="1"/>
  <c r="BS80" i="8" s="1"/>
  <c r="HK80" i="8"/>
  <c r="EP80" i="8"/>
  <c r="DB74" i="8"/>
  <c r="ET20" i="8"/>
  <c r="FA20" i="8"/>
  <c r="EW20" i="8"/>
  <c r="EU20" i="8"/>
  <c r="EI60" i="8"/>
  <c r="T60" i="11"/>
  <c r="E60" i="27"/>
  <c r="CR68" i="9"/>
  <c r="FH62" i="9"/>
  <c r="CZ62" i="8"/>
  <c r="CQ62" i="8"/>
  <c r="CM62" i="8"/>
  <c r="FF18" i="9"/>
  <c r="CK18" i="8" s="1"/>
  <c r="DD18" i="8" s="1"/>
  <c r="FG18" i="9"/>
  <c r="CO18" i="8" s="1"/>
  <c r="DA18" i="8" s="1"/>
  <c r="FE18" i="9"/>
  <c r="CN18" i="8" s="1"/>
  <c r="FD18" i="9"/>
  <c r="CJ18" i="8" s="1"/>
  <c r="DC18" i="8" s="1"/>
  <c r="DS27" i="11"/>
  <c r="H27" i="28"/>
  <c r="DF67" i="8"/>
  <c r="DT67" i="8"/>
  <c r="EY56" i="8"/>
  <c r="F9" i="28"/>
  <c r="BZ9" i="11"/>
  <c r="H70" i="28"/>
  <c r="DS70" i="11"/>
  <c r="CQ61" i="8"/>
  <c r="CZ61" i="8"/>
  <c r="CM61" i="8"/>
  <c r="E78" i="28"/>
  <c r="CV78" i="8"/>
  <c r="R78" i="11"/>
  <c r="FD80" i="8"/>
  <c r="CF80" i="11" s="1"/>
  <c r="EV20" i="8"/>
  <c r="EY52" i="8"/>
  <c r="CT35" i="8"/>
  <c r="DT35" i="8" s="1"/>
  <c r="DF35" i="8"/>
  <c r="AR9" i="11"/>
  <c r="AN9" i="11"/>
  <c r="AP9" i="11" s="1"/>
  <c r="AT9" i="11" s="1"/>
  <c r="EO62" i="8"/>
  <c r="EX62" i="8" s="1"/>
  <c r="EH62" i="8"/>
  <c r="Z27" i="11"/>
  <c r="AG27" i="11" s="1"/>
  <c r="AI27" i="11"/>
  <c r="BZ78" i="8"/>
  <c r="CD78" i="8" s="1"/>
  <c r="CF78" i="8" s="1"/>
  <c r="AP78" i="8"/>
  <c r="AR78" i="8" s="1"/>
  <c r="GK78" i="8"/>
  <c r="GP78" i="8" s="1"/>
  <c r="EB78" i="8"/>
  <c r="EF78" i="8"/>
  <c r="FL78" i="8"/>
  <c r="BF32" i="11"/>
  <c r="AY32" i="11"/>
  <c r="BW32" i="11"/>
  <c r="FV33" i="8"/>
  <c r="AN22" i="11"/>
  <c r="AP22" i="11" s="1"/>
  <c r="AT22" i="11" s="1"/>
  <c r="AR22" i="11"/>
  <c r="D31" i="28"/>
  <c r="FC31" i="9"/>
  <c r="BM31" i="8"/>
  <c r="BQ31" i="8" s="1"/>
  <c r="BS31" i="8" s="1"/>
  <c r="AC31" i="8"/>
  <c r="AE31" i="8" s="1"/>
  <c r="DU22" i="8"/>
  <c r="DK22" i="8"/>
  <c r="DV22" i="8"/>
  <c r="DH22" i="8"/>
  <c r="DM22" i="8"/>
  <c r="DL22" i="8"/>
  <c r="DW22" i="8"/>
  <c r="DO22" i="8"/>
  <c r="DR22" i="8"/>
  <c r="DN22" i="8"/>
  <c r="DQ22" i="8"/>
  <c r="AX35" i="11"/>
  <c r="AV35" i="11"/>
  <c r="AR6" i="11"/>
  <c r="AN6" i="11"/>
  <c r="AP6" i="11" s="1"/>
  <c r="AT6" i="11" s="1"/>
  <c r="FV13" i="8"/>
  <c r="HW68" i="8"/>
  <c r="FW56" i="8"/>
  <c r="AL70" i="8"/>
  <c r="DZ70" i="11"/>
  <c r="E33" i="28"/>
  <c r="CV33" i="8"/>
  <c r="R33" i="11"/>
  <c r="W67" i="11"/>
  <c r="AK67" i="11"/>
  <c r="GB18" i="8"/>
  <c r="AR49" i="11"/>
  <c r="AN49" i="11"/>
  <c r="AP49" i="11" s="1"/>
  <c r="AT49" i="11" s="1"/>
  <c r="DG76" i="8"/>
  <c r="CV22" i="11"/>
  <c r="F22" i="28"/>
  <c r="BZ22" i="11"/>
  <c r="DD56" i="8"/>
  <c r="AK74" i="11"/>
  <c r="W74" i="11"/>
  <c r="E13" i="28"/>
  <c r="CV13" i="8"/>
  <c r="R13" i="11"/>
  <c r="AS61" i="11"/>
  <c r="AO61" i="11"/>
  <c r="AQ61" i="11" s="1"/>
  <c r="AU61" i="11" s="1"/>
  <c r="GX31" i="8"/>
  <c r="FQ31" i="8"/>
  <c r="BZ6" i="11"/>
  <c r="F6" i="28"/>
  <c r="W20" i="11"/>
  <c r="AK20" i="11"/>
  <c r="BM68" i="8"/>
  <c r="BQ68" i="8" s="1"/>
  <c r="BS68" i="8" s="1"/>
  <c r="D68" i="28"/>
  <c r="AC68" i="8"/>
  <c r="AE68" i="8" s="1"/>
  <c r="FC68" i="9"/>
  <c r="DI56" i="8"/>
  <c r="DC62" i="8"/>
  <c r="H23" i="28"/>
  <c r="DS23" i="11"/>
  <c r="ET56" i="8"/>
  <c r="EW56" i="8"/>
  <c r="FA56" i="8"/>
  <c r="EU56" i="8"/>
  <c r="FG20" i="9"/>
  <c r="CO20" i="8" s="1"/>
  <c r="DA20" i="8" s="1"/>
  <c r="FE20" i="9"/>
  <c r="CN20" i="8" s="1"/>
  <c r="FF20" i="9"/>
  <c r="CK20" i="8" s="1"/>
  <c r="DD20" i="8" s="1"/>
  <c r="FD20" i="9"/>
  <c r="CJ20" i="8" s="1"/>
  <c r="DC20" i="8" s="1"/>
  <c r="I57" i="27"/>
  <c r="BS57" i="11"/>
  <c r="CH57" i="11" s="1"/>
  <c r="GD57" i="8" s="1"/>
  <c r="EW18" i="8"/>
  <c r="FA18" i="8"/>
  <c r="EV18" i="8"/>
  <c r="ET18" i="8"/>
  <c r="EU18" i="8"/>
  <c r="F67" i="28"/>
  <c r="BZ67" i="11"/>
  <c r="DE32" i="8"/>
  <c r="CR32" i="8"/>
  <c r="AC60" i="8"/>
  <c r="AE60" i="8" s="1"/>
  <c r="D60" i="28"/>
  <c r="FC60" i="9"/>
  <c r="BM60" i="8"/>
  <c r="BQ60" i="8" s="1"/>
  <c r="BS60" i="8" s="1"/>
  <c r="E29" i="27"/>
  <c r="EI29" i="8"/>
  <c r="ER29" i="8" s="1"/>
  <c r="T29" i="11"/>
  <c r="AX9" i="11"/>
  <c r="AV9" i="11"/>
  <c r="AH32" i="11"/>
  <c r="X32" i="11"/>
  <c r="FD31" i="8"/>
  <c r="CF31" i="11" s="1"/>
  <c r="AR35" i="11"/>
  <c r="AN35" i="11"/>
  <c r="AP35" i="11" s="1"/>
  <c r="AT35" i="11" s="1"/>
  <c r="FF23" i="9"/>
  <c r="CK23" i="8" s="1"/>
  <c r="FE23" i="9"/>
  <c r="CN23" i="8" s="1"/>
  <c r="FG23" i="9"/>
  <c r="CO23" i="8" s="1"/>
  <c r="FD23" i="9"/>
  <c r="CJ23" i="8" s="1"/>
  <c r="FA13" i="8"/>
  <c r="EW13" i="8"/>
  <c r="ET13" i="8"/>
  <c r="EU13" i="8"/>
  <c r="D29" i="28"/>
  <c r="FC29" i="9"/>
  <c r="BM29" i="8"/>
  <c r="BQ29" i="8" s="1"/>
  <c r="BS29" i="8" s="1"/>
  <c r="AC29" i="8"/>
  <c r="AE29" i="8" s="1"/>
  <c r="FG46" i="9"/>
  <c r="CO46" i="8" s="1"/>
  <c r="FD46" i="9"/>
  <c r="CJ46" i="8" s="1"/>
  <c r="FF46" i="9"/>
  <c r="CK46" i="8" s="1"/>
  <c r="FE46" i="9"/>
  <c r="CN46" i="8" s="1"/>
  <c r="AX49" i="11"/>
  <c r="AV49" i="11"/>
  <c r="CM76" i="9"/>
  <c r="CR76" i="9" s="1"/>
  <c r="AN67" i="11"/>
  <c r="AP67" i="11" s="1"/>
  <c r="AT67" i="11" s="1"/>
  <c r="AR67" i="11"/>
  <c r="FY31" i="8"/>
  <c r="EE31" i="8"/>
  <c r="DS22" i="8"/>
  <c r="FH56" i="9"/>
  <c r="DA56" i="8"/>
  <c r="FW74" i="8"/>
  <c r="HU74" i="8" s="1"/>
  <c r="HC74" i="8"/>
  <c r="ER74" i="8"/>
  <c r="HO74" i="8"/>
  <c r="Z13" i="11"/>
  <c r="AG13" i="11" s="1"/>
  <c r="AI13" i="11"/>
  <c r="CM83" i="9"/>
  <c r="Y83" i="8" s="1"/>
  <c r="DR67" i="8"/>
  <c r="DL67" i="8"/>
  <c r="DM67" i="8"/>
  <c r="DV67" i="8"/>
  <c r="DQ67" i="8"/>
  <c r="DN67" i="8"/>
  <c r="DW67" i="8"/>
  <c r="DK67" i="8"/>
  <c r="DH67" i="8"/>
  <c r="DO67" i="8"/>
  <c r="DU67" i="8"/>
  <c r="EP20" i="8"/>
  <c r="EY20" i="8" s="1"/>
  <c r="EF20" i="8"/>
  <c r="AZ61" i="11"/>
  <c r="AG61" i="11"/>
  <c r="BG61" i="11"/>
  <c r="BH61" i="11" s="1"/>
  <c r="BI61" i="11" s="1"/>
  <c r="BM61" i="11" s="1"/>
  <c r="AW61" i="11"/>
  <c r="BU61" i="11"/>
  <c r="H61" i="27" s="1"/>
  <c r="I22" i="27"/>
  <c r="BS22" i="11"/>
  <c r="CH22" i="11" s="1"/>
  <c r="GD22" i="8" s="1"/>
  <c r="EP27" i="8"/>
  <c r="EY27" i="8" s="1"/>
  <c r="EF27" i="8"/>
  <c r="EO46" i="8"/>
  <c r="EX46" i="8" s="1"/>
  <c r="EH46" i="8"/>
  <c r="EQ46" i="8" s="1"/>
  <c r="EZ46" i="8" s="1"/>
  <c r="E31" i="27"/>
  <c r="T31" i="11"/>
  <c r="EI31" i="8"/>
  <c r="CR74" i="8"/>
  <c r="DE74" i="8"/>
  <c r="DA62" i="8"/>
  <c r="DI62" i="8"/>
  <c r="CV18" i="8"/>
  <c r="DI18" i="8" s="1"/>
  <c r="R18" i="11"/>
  <c r="E18" i="28"/>
  <c r="FY83" i="8"/>
  <c r="HW83" i="8" s="1"/>
  <c r="EE83" i="8"/>
  <c r="EO56" i="8"/>
  <c r="EX56" i="8" s="1"/>
  <c r="EH56" i="8"/>
  <c r="W18" i="11"/>
  <c r="AK18" i="11"/>
  <c r="I35" i="27"/>
  <c r="BS35" i="11"/>
  <c r="CH35" i="11" s="1"/>
  <c r="GD35" i="8" s="1"/>
  <c r="AI46" i="11"/>
  <c r="Z46" i="11"/>
  <c r="AY74" i="11"/>
  <c r="BF74" i="11"/>
  <c r="BW74" i="11"/>
  <c r="FV40" i="8"/>
  <c r="AN59" i="11"/>
  <c r="AP59" i="11" s="1"/>
  <c r="AT59" i="11" s="1"/>
  <c r="AR59" i="11"/>
  <c r="CM85" i="9"/>
  <c r="Y85" i="8" s="1"/>
  <c r="AK69" i="11"/>
  <c r="W69" i="11"/>
  <c r="DD26" i="8"/>
  <c r="CR86" i="9"/>
  <c r="AL86" i="8" s="1"/>
  <c r="CM44" i="9"/>
  <c r="Y44" i="8" s="1"/>
  <c r="ER41" i="8"/>
  <c r="EV52" i="8"/>
  <c r="EU52" i="8"/>
  <c r="ET52" i="8"/>
  <c r="FA52" i="8"/>
  <c r="EW52" i="8"/>
  <c r="EO52" i="8"/>
  <c r="EX52" i="8" s="1"/>
  <c r="EH52" i="8"/>
  <c r="FV41" i="8"/>
  <c r="DB52" i="8"/>
  <c r="EQ69" i="8"/>
  <c r="HN69" i="8"/>
  <c r="Z26" i="11"/>
  <c r="AG26" i="11" s="1"/>
  <c r="AI26" i="11"/>
  <c r="BF69" i="11"/>
  <c r="AY69" i="11"/>
  <c r="BW69" i="11"/>
  <c r="FJ43" i="9"/>
  <c r="AW43" i="8"/>
  <c r="BA43" i="8" s="1"/>
  <c r="BC43" i="8" s="1"/>
  <c r="N43" i="8"/>
  <c r="E43" i="8" s="1"/>
  <c r="EE53" i="8"/>
  <c r="EP53" i="8" s="1"/>
  <c r="FY53" i="8"/>
  <c r="R41" i="11"/>
  <c r="CV41" i="8"/>
  <c r="E41" i="28"/>
  <c r="X66" i="11"/>
  <c r="AH66" i="11"/>
  <c r="FW69" i="8"/>
  <c r="HU69" i="8" s="1"/>
  <c r="HC69" i="8"/>
  <c r="CF40" i="11"/>
  <c r="BM40" i="8"/>
  <c r="BQ40" i="8" s="1"/>
  <c r="BS40" i="8" s="1"/>
  <c r="D40" i="28"/>
  <c r="FC40" i="9"/>
  <c r="AC40" i="8"/>
  <c r="FJ42" i="9"/>
  <c r="AW42" i="8"/>
  <c r="BA42" i="8" s="1"/>
  <c r="BC42" i="8" s="1"/>
  <c r="N42" i="8"/>
  <c r="E42" i="8" s="1"/>
  <c r="AX59" i="11"/>
  <c r="AV59" i="11"/>
  <c r="ER69" i="8"/>
  <c r="HO69" i="8"/>
  <c r="DA26" i="8"/>
  <c r="AV5" i="11"/>
  <c r="AX5" i="11"/>
  <c r="AR40" i="8"/>
  <c r="FQ40" i="8"/>
  <c r="D86" i="28"/>
  <c r="BM86" i="8"/>
  <c r="BQ86" i="8" s="1"/>
  <c r="BS86" i="8" s="1"/>
  <c r="AC86" i="8"/>
  <c r="AE86" i="8" s="1"/>
  <c r="X52" i="11"/>
  <c r="AH52" i="11"/>
  <c r="I63" i="27"/>
  <c r="BS63" i="11"/>
  <c r="CH63" i="11" s="1"/>
  <c r="GD63" i="8" s="1"/>
  <c r="EE40" i="8"/>
  <c r="FY40" i="8"/>
  <c r="EO26" i="8"/>
  <c r="EX26" i="8" s="1"/>
  <c r="EH26" i="8"/>
  <c r="CR52" i="8"/>
  <c r="DE52" i="8"/>
  <c r="CR53" i="9"/>
  <c r="Y53" i="8"/>
  <c r="DI26" i="8"/>
  <c r="AI52" i="11"/>
  <c r="Z52" i="11"/>
  <c r="X69" i="11"/>
  <c r="AH69" i="11"/>
  <c r="DB66" i="8"/>
  <c r="Q43" i="11"/>
  <c r="EN43" i="9"/>
  <c r="EO43" i="9" s="1"/>
  <c r="ET43" i="9" s="1"/>
  <c r="CP43" i="8" s="1"/>
  <c r="CL43" i="9"/>
  <c r="CK43" i="9"/>
  <c r="CM43" i="9" s="1"/>
  <c r="Y43" i="8" s="1"/>
  <c r="CI43" i="9"/>
  <c r="DE69" i="8"/>
  <c r="CR69" i="8"/>
  <c r="H45" i="28"/>
  <c r="DS45" i="11"/>
  <c r="DG40" i="8"/>
  <c r="EE44" i="8"/>
  <c r="EP44" i="8" s="1"/>
  <c r="FY44" i="8"/>
  <c r="CK42" i="9"/>
  <c r="CM42" i="9" s="1"/>
  <c r="Y42" i="8" s="1"/>
  <c r="CI42" i="9"/>
  <c r="Q42" i="11"/>
  <c r="CL42" i="9"/>
  <c r="EN42" i="9"/>
  <c r="EO42" i="9" s="1"/>
  <c r="ET42" i="9" s="1"/>
  <c r="CP42" i="8" s="1"/>
  <c r="DP63" i="8"/>
  <c r="DL63" i="8"/>
  <c r="DK63" i="8"/>
  <c r="DH63" i="8"/>
  <c r="DV63" i="8"/>
  <c r="DU63" i="8"/>
  <c r="DM63" i="8"/>
  <c r="DN63" i="8"/>
  <c r="DW63" i="8"/>
  <c r="DO63" i="8"/>
  <c r="DR63" i="8"/>
  <c r="DQ63" i="8"/>
  <c r="DS63" i="8"/>
  <c r="FH26" i="9"/>
  <c r="ET26" i="8"/>
  <c r="FA26" i="8"/>
  <c r="EW26" i="8"/>
  <c r="EU26" i="8"/>
  <c r="EV26" i="8"/>
  <c r="DF59" i="8"/>
  <c r="AR5" i="11"/>
  <c r="AN5" i="11"/>
  <c r="AP5" i="11" s="1"/>
  <c r="AT5" i="11" s="1"/>
  <c r="I5" i="27"/>
  <c r="BS5" i="11"/>
  <c r="CH5" i="11" s="1"/>
  <c r="GD5" i="8" s="1"/>
  <c r="FZ69" i="8"/>
  <c r="HT69" i="8"/>
  <c r="E40" i="8"/>
  <c r="EY26" i="8"/>
  <c r="G63" i="28"/>
  <c r="CC63" i="11"/>
  <c r="CI63" i="11" s="1"/>
  <c r="FW26" i="8"/>
  <c r="FZ26" i="8" s="1"/>
  <c r="EP41" i="8"/>
  <c r="EF41" i="8"/>
  <c r="DT63" i="8"/>
  <c r="DC26" i="8"/>
  <c r="CZ26" i="8"/>
  <c r="CQ26" i="8"/>
  <c r="CM26" i="8"/>
  <c r="EE45" i="8"/>
  <c r="EP45" i="8" s="1"/>
  <c r="FY45" i="8"/>
  <c r="BF52" i="11"/>
  <c r="AF52" i="11"/>
  <c r="BW52" i="11"/>
  <c r="AY52" i="11"/>
  <c r="AK41" i="11"/>
  <c r="W41" i="11"/>
  <c r="CM87" i="9"/>
  <c r="Y87" i="8" s="1"/>
  <c r="CM88" i="9"/>
  <c r="Y88" i="8" s="1"/>
  <c r="FD53" i="8"/>
  <c r="CF53" i="11" s="1"/>
  <c r="DE5" i="8"/>
  <c r="CR5" i="8"/>
  <c r="GV9" i="8"/>
  <c r="HT9" i="8"/>
  <c r="GS9" i="8"/>
  <c r="GM9" i="8"/>
  <c r="HE9" i="8"/>
  <c r="HA9" i="8"/>
  <c r="GK9" i="8"/>
  <c r="HM9" i="8"/>
  <c r="HW9" i="8"/>
  <c r="HY9" i="8"/>
  <c r="HB9" i="8"/>
  <c r="GG9" i="8"/>
  <c r="HR9" i="8"/>
  <c r="GI9" i="8"/>
  <c r="HX9" i="8"/>
  <c r="GY9" i="8"/>
  <c r="HS9" i="8"/>
  <c r="GJ9" i="8"/>
  <c r="GE9" i="8"/>
  <c r="GW9" i="8"/>
  <c r="HV9" i="8"/>
  <c r="HU9" i="8"/>
  <c r="GN9" i="8"/>
  <c r="GU9" i="8"/>
  <c r="HI9" i="8"/>
  <c r="HZ9" i="8"/>
  <c r="GZ9" i="8"/>
  <c r="HC9" i="8"/>
  <c r="HH9" i="8"/>
  <c r="HF9" i="8"/>
  <c r="HK9" i="8"/>
  <c r="HO9" i="8"/>
  <c r="GT9" i="8"/>
  <c r="GX9" i="8"/>
  <c r="HQ9" i="8"/>
  <c r="HN9" i="8"/>
  <c r="HL9" i="8"/>
  <c r="GO9" i="8"/>
  <c r="GL9" i="8"/>
  <c r="GH9" i="8"/>
  <c r="GR9" i="8"/>
  <c r="GF9" i="8"/>
  <c r="HJ9" i="8"/>
  <c r="HG9" i="8"/>
  <c r="AJ26" i="11"/>
  <c r="V26" i="11"/>
  <c r="Y26" i="11" s="1"/>
  <c r="AF26" i="11" s="1"/>
  <c r="U26" i="11"/>
  <c r="CT59" i="8"/>
  <c r="CR66" i="8"/>
  <c r="DE66" i="8"/>
  <c r="FL43" i="8"/>
  <c r="FQ43" i="8" s="1"/>
  <c r="BZ43" i="8"/>
  <c r="CD43" i="8" s="1"/>
  <c r="CF43" i="8" s="1"/>
  <c r="AP43" i="8"/>
  <c r="AR43" i="8" s="1"/>
  <c r="DB69" i="8"/>
  <c r="BZ59" i="11"/>
  <c r="F59" i="28"/>
  <c r="DS41" i="11"/>
  <c r="H41" i="28"/>
  <c r="FD41" i="9"/>
  <c r="CJ41" i="8" s="1"/>
  <c r="FG41" i="9"/>
  <c r="CO41" i="8" s="1"/>
  <c r="FF41" i="9"/>
  <c r="CK41" i="8" s="1"/>
  <c r="FE41" i="9"/>
  <c r="CN41" i="8" s="1"/>
  <c r="BF66" i="11"/>
  <c r="BW66" i="11"/>
  <c r="AY66" i="11"/>
  <c r="CR45" i="9"/>
  <c r="Y45" i="8"/>
  <c r="F5" i="28"/>
  <c r="BZ5" i="11"/>
  <c r="FW41" i="8"/>
  <c r="BZ42" i="8"/>
  <c r="CD42" i="8" s="1"/>
  <c r="CF42" i="8" s="1"/>
  <c r="FL42" i="8"/>
  <c r="FQ42" i="8" s="1"/>
  <c r="AP42" i="8"/>
  <c r="AR42" i="8" s="1"/>
  <c r="GB8" i="8"/>
  <c r="CR8" i="8"/>
  <c r="CT8" i="8" s="1"/>
  <c r="DP8" i="8" s="1"/>
  <c r="DE8" i="8"/>
  <c r="AS8" i="11"/>
  <c r="AO8" i="11"/>
  <c r="DI8" i="8"/>
  <c r="BG8" i="11"/>
  <c r="BH8" i="11" s="1"/>
  <c r="BI8" i="11" s="1"/>
  <c r="BM8" i="11" s="1"/>
  <c r="AZ8" i="11"/>
  <c r="BU8" i="11"/>
  <c r="AG8" i="11"/>
  <c r="AW8" i="11"/>
  <c r="AJ8" i="11"/>
  <c r="V8" i="11"/>
  <c r="Y8" i="11" s="1"/>
  <c r="U8" i="11"/>
  <c r="EQ8" i="8"/>
  <c r="EZ8" i="8" s="1"/>
  <c r="DB8" i="8"/>
  <c r="HX50" i="8" l="1"/>
  <c r="E66" i="22"/>
  <c r="G66" i="22"/>
  <c r="A67" i="22"/>
  <c r="C66" i="22"/>
  <c r="A95" i="22"/>
  <c r="C94" i="22"/>
  <c r="E94" i="22" s="1"/>
  <c r="FY82" i="8"/>
  <c r="HW82" i="8" s="1"/>
  <c r="EE82" i="8"/>
  <c r="B66" i="24"/>
  <c r="F66" i="24"/>
  <c r="A67" i="24"/>
  <c r="H66" i="24"/>
  <c r="D66" i="24"/>
  <c r="FD82" i="8"/>
  <c r="CF82" i="11" s="1"/>
  <c r="DS60" i="11"/>
  <c r="A16" i="24"/>
  <c r="B15" i="24"/>
  <c r="F15" i="24"/>
  <c r="D15" i="24"/>
  <c r="H15" i="24"/>
  <c r="A97" i="24"/>
  <c r="C96" i="24"/>
  <c r="E96" i="24" s="1"/>
  <c r="CM82" i="9"/>
  <c r="Y82" i="8" s="1"/>
  <c r="E13" i="22"/>
  <c r="A14" i="22"/>
  <c r="C13" i="22"/>
  <c r="G13" i="22"/>
  <c r="FW65" i="8"/>
  <c r="AY65" i="11"/>
  <c r="BW65" i="11"/>
  <c r="BF65" i="11"/>
  <c r="DS30" i="11"/>
  <c r="H30" i="28"/>
  <c r="Z14" i="11"/>
  <c r="AI14" i="11"/>
  <c r="FZ65" i="8"/>
  <c r="FD75" i="8"/>
  <c r="CF75" i="11" s="1"/>
  <c r="FG48" i="9"/>
  <c r="CO48" i="8" s="1"/>
  <c r="DA48" i="8" s="1"/>
  <c r="FD48" i="9"/>
  <c r="FE48" i="9"/>
  <c r="CN48" i="8" s="1"/>
  <c r="FF48" i="9"/>
  <c r="CK48" i="8" s="1"/>
  <c r="DD48" i="8" s="1"/>
  <c r="CR65" i="8"/>
  <c r="DF65" i="8" s="1"/>
  <c r="DE65" i="8"/>
  <c r="EQ47" i="8"/>
  <c r="EZ47" i="8" s="1"/>
  <c r="HN47" i="8"/>
  <c r="CZ24" i="8"/>
  <c r="CQ24" i="8"/>
  <c r="CM24" i="8"/>
  <c r="AK77" i="11"/>
  <c r="W77" i="11"/>
  <c r="FH14" i="9"/>
  <c r="V11" i="11"/>
  <c r="Y11" i="11" s="1"/>
  <c r="U11" i="11"/>
  <c r="AJ11" i="11"/>
  <c r="CW38" i="11"/>
  <c r="BP38" i="11"/>
  <c r="EH37" i="8"/>
  <c r="EQ37" i="8" s="1"/>
  <c r="EZ37" i="8" s="1"/>
  <c r="EO37" i="8"/>
  <c r="EX37" i="8" s="1"/>
  <c r="CV30" i="8"/>
  <c r="R30" i="11"/>
  <c r="E30" i="28"/>
  <c r="DB47" i="8"/>
  <c r="E48" i="28"/>
  <c r="CV48" i="8"/>
  <c r="DI48" i="8" s="1"/>
  <c r="R48" i="11"/>
  <c r="CR75" i="9"/>
  <c r="H48" i="28"/>
  <c r="DS48" i="11"/>
  <c r="CZ37" i="8"/>
  <c r="CQ37" i="8"/>
  <c r="DB37" i="8" s="1"/>
  <c r="EQ77" i="8"/>
  <c r="HN77" i="8"/>
  <c r="CM11" i="8"/>
  <c r="CQ11" i="8"/>
  <c r="DB11" i="8" s="1"/>
  <c r="CZ11" i="8"/>
  <c r="X77" i="11"/>
  <c r="AH77" i="11"/>
  <c r="ER77" i="8"/>
  <c r="HO77" i="8"/>
  <c r="EP30" i="8"/>
  <c r="HK30" i="8"/>
  <c r="EF30" i="8"/>
  <c r="X51" i="11"/>
  <c r="AH51" i="11"/>
  <c r="Z11" i="11"/>
  <c r="AI11" i="11"/>
  <c r="AI24" i="11"/>
  <c r="Z24" i="11"/>
  <c r="X47" i="11"/>
  <c r="AH47" i="11"/>
  <c r="AC75" i="8"/>
  <c r="AE75" i="8" s="1"/>
  <c r="BM75" i="8"/>
  <c r="BQ75" i="8" s="1"/>
  <c r="BS75" i="8" s="1"/>
  <c r="D75" i="28"/>
  <c r="FC75" i="9"/>
  <c r="HT77" i="8"/>
  <c r="AN38" i="11"/>
  <c r="AP38" i="11" s="1"/>
  <c r="AT38" i="11" s="1"/>
  <c r="AR38" i="11"/>
  <c r="CJ37" i="8"/>
  <c r="FH37" i="9"/>
  <c r="AS47" i="11"/>
  <c r="AO47" i="11"/>
  <c r="AQ47" i="11" s="1"/>
  <c r="AU47" i="11" s="1"/>
  <c r="AI37" i="11"/>
  <c r="Z37" i="11"/>
  <c r="HW30" i="8"/>
  <c r="DI24" i="8"/>
  <c r="FE30" i="9"/>
  <c r="CN30" i="8" s="1"/>
  <c r="FD30" i="9"/>
  <c r="CJ30" i="8" s="1"/>
  <c r="FF30" i="9"/>
  <c r="CK30" i="8" s="1"/>
  <c r="FG30" i="9"/>
  <c r="CO30" i="8" s="1"/>
  <c r="HX47" i="8"/>
  <c r="GB47" i="8"/>
  <c r="HZ47" i="8" s="1"/>
  <c r="BF47" i="11"/>
  <c r="AY47" i="11"/>
  <c r="BW47" i="11"/>
  <c r="EH24" i="8"/>
  <c r="EQ24" i="8" s="1"/>
  <c r="EZ24" i="8" s="1"/>
  <c r="EO24" i="8"/>
  <c r="EX24" i="8" s="1"/>
  <c r="AE38" i="11"/>
  <c r="AV38" i="11"/>
  <c r="AX38" i="11"/>
  <c r="FD73" i="9"/>
  <c r="CJ73" i="8" s="1"/>
  <c r="FG73" i="9"/>
  <c r="CO73" i="8" s="1"/>
  <c r="FE73" i="9"/>
  <c r="CN73" i="8" s="1"/>
  <c r="FF73" i="9"/>
  <c r="CK73" i="8" s="1"/>
  <c r="BG47" i="11"/>
  <c r="BH47" i="11" s="1"/>
  <c r="BI47" i="11" s="1"/>
  <c r="BM47" i="11" s="1"/>
  <c r="BP47" i="11" s="1"/>
  <c r="AZ47" i="11"/>
  <c r="BU47" i="11"/>
  <c r="H47" i="27" s="1"/>
  <c r="AW47" i="11"/>
  <c r="BW77" i="11"/>
  <c r="BF77" i="11"/>
  <c r="AY77" i="11"/>
  <c r="H84" i="28"/>
  <c r="EP70" i="8"/>
  <c r="HK70" i="8"/>
  <c r="HO48" i="8"/>
  <c r="ER48" i="8"/>
  <c r="W30" i="11"/>
  <c r="AK30" i="11"/>
  <c r="BF51" i="11"/>
  <c r="BW51" i="11"/>
  <c r="AY51" i="11"/>
  <c r="AF51" i="11"/>
  <c r="HT30" i="8"/>
  <c r="HC77" i="8"/>
  <c r="FW77" i="8"/>
  <c r="HU77" i="8" s="1"/>
  <c r="AO51" i="11"/>
  <c r="AQ51" i="11" s="1"/>
  <c r="AU51" i="11" s="1"/>
  <c r="AS51" i="11"/>
  <c r="H73" i="28"/>
  <c r="DS73" i="11"/>
  <c r="AS32" i="11"/>
  <c r="AO32" i="11"/>
  <c r="AQ32" i="11" s="1"/>
  <c r="AU32" i="11" s="1"/>
  <c r="CV73" i="8"/>
  <c r="E73" i="28"/>
  <c r="R73" i="11"/>
  <c r="FH24" i="9"/>
  <c r="AJ37" i="11"/>
  <c r="U37" i="11"/>
  <c r="V37" i="11"/>
  <c r="Y37" i="11" s="1"/>
  <c r="FG79" i="9"/>
  <c r="CO79" i="8" s="1"/>
  <c r="FD79" i="9"/>
  <c r="CJ79" i="8" s="1"/>
  <c r="FE79" i="9"/>
  <c r="CN79" i="8" s="1"/>
  <c r="FF79" i="9"/>
  <c r="CK79" i="8" s="1"/>
  <c r="CQ14" i="8"/>
  <c r="CZ14" i="8"/>
  <c r="CM14" i="8"/>
  <c r="DZ79" i="11"/>
  <c r="AL79" i="8"/>
  <c r="W48" i="11"/>
  <c r="AK48" i="11"/>
  <c r="AJ24" i="11"/>
  <c r="U24" i="11"/>
  <c r="V24" i="11"/>
  <c r="Y24" i="11" s="1"/>
  <c r="EO11" i="8"/>
  <c r="EX11" i="8" s="1"/>
  <c r="EH11" i="8"/>
  <c r="EQ11" i="8" s="1"/>
  <c r="EZ11" i="8" s="1"/>
  <c r="HO30" i="8"/>
  <c r="ER30" i="8"/>
  <c r="CR77" i="8"/>
  <c r="DF77" i="8" s="1"/>
  <c r="DE77" i="8"/>
  <c r="EH65" i="8"/>
  <c r="EO65" i="8"/>
  <c r="CV38" i="11"/>
  <c r="BZ38" i="11"/>
  <c r="F38" i="28"/>
  <c r="AW51" i="11"/>
  <c r="BG51" i="11"/>
  <c r="BH51" i="11" s="1"/>
  <c r="BI51" i="11" s="1"/>
  <c r="BM51" i="11" s="1"/>
  <c r="BP51" i="11" s="1"/>
  <c r="BU51" i="11"/>
  <c r="H51" i="27" s="1"/>
  <c r="AG51" i="11"/>
  <c r="AZ51" i="11"/>
  <c r="EF48" i="8"/>
  <c r="EP48" i="8"/>
  <c r="EY48" i="8" s="1"/>
  <c r="HK48" i="8"/>
  <c r="V14" i="11"/>
  <c r="Y14" i="11" s="1"/>
  <c r="U14" i="11"/>
  <c r="AJ14" i="11"/>
  <c r="AW32" i="11"/>
  <c r="AZ32" i="11"/>
  <c r="BU32" i="11"/>
  <c r="H32" i="27" s="1"/>
  <c r="BG32" i="11"/>
  <c r="BH32" i="11" s="1"/>
  <c r="BI32" i="11" s="1"/>
  <c r="BM32" i="11" s="1"/>
  <c r="BP32" i="11" s="1"/>
  <c r="DD24" i="8"/>
  <c r="F58" i="28"/>
  <c r="BZ58" i="11"/>
  <c r="G58" i="28" s="1"/>
  <c r="E79" i="28"/>
  <c r="R79" i="11"/>
  <c r="CV79" i="8"/>
  <c r="AN58" i="11"/>
  <c r="AP58" i="11" s="1"/>
  <c r="AT58" i="11" s="1"/>
  <c r="AR58" i="11"/>
  <c r="I6" i="27"/>
  <c r="BS6" i="11"/>
  <c r="CH6" i="11" s="1"/>
  <c r="GD6" i="8" s="1"/>
  <c r="EP75" i="8"/>
  <c r="HK75" i="8"/>
  <c r="DF38" i="8"/>
  <c r="CT38" i="8"/>
  <c r="DT38" i="8" s="1"/>
  <c r="DB77" i="8"/>
  <c r="T65" i="11"/>
  <c r="EI65" i="8"/>
  <c r="E65" i="27"/>
  <c r="DS79" i="11"/>
  <c r="H79" i="28"/>
  <c r="EO14" i="8"/>
  <c r="EX14" i="8" s="1"/>
  <c r="EH14" i="8"/>
  <c r="DA24" i="8"/>
  <c r="DZ73" i="11"/>
  <c r="AL73" i="8"/>
  <c r="AX58" i="11"/>
  <c r="AV58" i="11"/>
  <c r="DB51" i="8"/>
  <c r="DE28" i="8"/>
  <c r="X65" i="11"/>
  <c r="AH65" i="11"/>
  <c r="CR47" i="8"/>
  <c r="DE47" i="8"/>
  <c r="DB65" i="8"/>
  <c r="CT65" i="8"/>
  <c r="DP65" i="8" s="1"/>
  <c r="I58" i="27"/>
  <c r="BS58" i="11"/>
  <c r="CH58" i="11" s="1"/>
  <c r="GD58" i="8" s="1"/>
  <c r="FV48" i="8"/>
  <c r="HH48" i="8"/>
  <c r="DC24" i="8"/>
  <c r="FH11" i="9"/>
  <c r="FW30" i="8"/>
  <c r="HU30" i="8" s="1"/>
  <c r="HC30" i="8"/>
  <c r="CR51" i="8"/>
  <c r="DE51" i="8"/>
  <c r="DF58" i="8"/>
  <c r="CT58" i="8"/>
  <c r="EY41" i="8"/>
  <c r="FW21" i="8"/>
  <c r="FZ21" i="8" s="1"/>
  <c r="AN23" i="18"/>
  <c r="P19" i="21"/>
  <c r="V19" i="21" s="1"/>
  <c r="W19" i="21" s="1"/>
  <c r="AN12" i="18"/>
  <c r="P12" i="21"/>
  <c r="V12" i="21" s="1"/>
  <c r="W12" i="21" s="1"/>
  <c r="AN31" i="18"/>
  <c r="AN9" i="18"/>
  <c r="BX4" i="18"/>
  <c r="AN4" i="18"/>
  <c r="P13" i="21"/>
  <c r="V13" i="21" s="1"/>
  <c r="W13" i="21" s="1"/>
  <c r="DF39" i="8"/>
  <c r="CT39" i="8"/>
  <c r="AN39" i="11"/>
  <c r="AP39" i="11" s="1"/>
  <c r="AT39" i="11" s="1"/>
  <c r="AR39" i="11"/>
  <c r="BZ39" i="11"/>
  <c r="F39" i="28"/>
  <c r="CV39" i="11"/>
  <c r="BP39" i="11"/>
  <c r="CW39" i="11"/>
  <c r="AN13" i="18"/>
  <c r="AX39" i="11"/>
  <c r="AE39" i="11"/>
  <c r="AV39" i="11"/>
  <c r="DB4" i="8"/>
  <c r="BG4" i="11"/>
  <c r="BH4" i="11" s="1"/>
  <c r="BI4" i="11" s="1"/>
  <c r="BM4" i="11" s="1"/>
  <c r="BP4" i="11" s="1"/>
  <c r="AW4" i="11"/>
  <c r="BU4" i="11"/>
  <c r="H4" i="27" s="1"/>
  <c r="AZ4" i="11"/>
  <c r="DE4" i="8"/>
  <c r="CR4" i="8"/>
  <c r="X4" i="11"/>
  <c r="AH4" i="11"/>
  <c r="BW4" i="11"/>
  <c r="AY4" i="11"/>
  <c r="BF4" i="11"/>
  <c r="AS4" i="11"/>
  <c r="AO4" i="11"/>
  <c r="AQ4" i="11" s="1"/>
  <c r="AU4" i="11" s="1"/>
  <c r="X15" i="11"/>
  <c r="AH15" i="11"/>
  <c r="DC15" i="8"/>
  <c r="CM15" i="8"/>
  <c r="AF15" i="11"/>
  <c r="AY15" i="11"/>
  <c r="BW15" i="11"/>
  <c r="BF15" i="11"/>
  <c r="AS15" i="11"/>
  <c r="AO15" i="11"/>
  <c r="AQ15" i="11" s="1"/>
  <c r="AU15" i="11" s="1"/>
  <c r="BU15" i="11"/>
  <c r="H15" i="27" s="1"/>
  <c r="BG15" i="11"/>
  <c r="BH15" i="11" s="1"/>
  <c r="BI15" i="11" s="1"/>
  <c r="BM15" i="11" s="1"/>
  <c r="AG15" i="11"/>
  <c r="AZ15" i="11"/>
  <c r="AW15" i="11"/>
  <c r="EO66" i="8"/>
  <c r="EH66" i="8"/>
  <c r="EQ66" i="8" s="1"/>
  <c r="CT6" i="8"/>
  <c r="DF6" i="8"/>
  <c r="T66" i="11"/>
  <c r="E66" i="27"/>
  <c r="EI66" i="8"/>
  <c r="ER66" i="8" s="1"/>
  <c r="FW66" i="8"/>
  <c r="FZ66" i="8" s="1"/>
  <c r="E90" i="8"/>
  <c r="F96" i="11" s="1"/>
  <c r="F98" i="11" s="1"/>
  <c r="DB54" i="8"/>
  <c r="EF84" i="8"/>
  <c r="AP84" i="8"/>
  <c r="AR84" i="8" s="1"/>
  <c r="FL84" i="8"/>
  <c r="FQ84" i="8" s="1"/>
  <c r="BZ84" i="8"/>
  <c r="CD84" i="8" s="1"/>
  <c r="CF84" i="8" s="1"/>
  <c r="EB84" i="8"/>
  <c r="FV84" i="8" s="1"/>
  <c r="AS54" i="11"/>
  <c r="AO54" i="11"/>
  <c r="AQ54" i="11" s="1"/>
  <c r="AU54" i="11" s="1"/>
  <c r="AZ54" i="11"/>
  <c r="BG54" i="11"/>
  <c r="BH54" i="11" s="1"/>
  <c r="BI54" i="11" s="1"/>
  <c r="BM54" i="11" s="1"/>
  <c r="AG54" i="11"/>
  <c r="BU54" i="11"/>
  <c r="H54" i="27" s="1"/>
  <c r="AW54" i="11"/>
  <c r="FF84" i="9"/>
  <c r="CK84" i="8" s="1"/>
  <c r="FD84" i="9"/>
  <c r="CJ84" i="8" s="1"/>
  <c r="FE84" i="9"/>
  <c r="CN84" i="8" s="1"/>
  <c r="FG84" i="9"/>
  <c r="CO84" i="8" s="1"/>
  <c r="CR54" i="8"/>
  <c r="CT54" i="8" s="1"/>
  <c r="DP54" i="8" s="1"/>
  <c r="DE54" i="8"/>
  <c r="BF54" i="11"/>
  <c r="AY54" i="11"/>
  <c r="BW54" i="11"/>
  <c r="AF54" i="11"/>
  <c r="E84" i="28"/>
  <c r="CV84" i="8"/>
  <c r="R84" i="11"/>
  <c r="X54" i="11"/>
  <c r="AH54" i="11"/>
  <c r="N90" i="8"/>
  <c r="BA90" i="8" s="1"/>
  <c r="EZ71" i="8"/>
  <c r="CV55" i="11"/>
  <c r="F55" i="28"/>
  <c r="BZ55" i="11"/>
  <c r="GB81" i="8"/>
  <c r="HZ81" i="8" s="1"/>
  <c r="HX81" i="8"/>
  <c r="X34" i="11"/>
  <c r="AH34" i="11"/>
  <c r="AO34" i="11"/>
  <c r="AQ34" i="11" s="1"/>
  <c r="AU34" i="11" s="1"/>
  <c r="AS34" i="11"/>
  <c r="BG25" i="11"/>
  <c r="BH25" i="11" s="1"/>
  <c r="BI25" i="11" s="1"/>
  <c r="BM25" i="11" s="1"/>
  <c r="AZ25" i="11"/>
  <c r="AG25" i="11"/>
  <c r="BU25" i="11"/>
  <c r="H25" i="27" s="1"/>
  <c r="AW25" i="11"/>
  <c r="DB34" i="8"/>
  <c r="AO19" i="11"/>
  <c r="AQ19" i="11" s="1"/>
  <c r="AU19" i="11" s="1"/>
  <c r="AS19" i="11"/>
  <c r="BF25" i="11"/>
  <c r="BW25" i="11"/>
  <c r="AY25" i="11"/>
  <c r="AF25" i="11"/>
  <c r="DC19" i="8"/>
  <c r="CM19" i="8"/>
  <c r="BF19" i="11"/>
  <c r="BW19" i="11"/>
  <c r="AY19" i="11"/>
  <c r="BU34" i="11"/>
  <c r="H34" i="27" s="1"/>
  <c r="BG34" i="11"/>
  <c r="BH34" i="11" s="1"/>
  <c r="BI34" i="11" s="1"/>
  <c r="BM34" i="11" s="1"/>
  <c r="AZ34" i="11"/>
  <c r="AW34" i="11"/>
  <c r="AN55" i="11"/>
  <c r="AP55" i="11" s="1"/>
  <c r="AT55" i="11" s="1"/>
  <c r="AR55" i="11"/>
  <c r="DK81" i="8"/>
  <c r="DU81" i="8"/>
  <c r="DM81" i="8"/>
  <c r="DV81" i="8"/>
  <c r="DR81" i="8"/>
  <c r="DL81" i="8"/>
  <c r="DW81" i="8"/>
  <c r="DO81" i="8"/>
  <c r="DH81" i="8"/>
  <c r="DN81" i="8"/>
  <c r="DQ81" i="8"/>
  <c r="DS81" i="8"/>
  <c r="DP81" i="8"/>
  <c r="AW19" i="11"/>
  <c r="BG19" i="11"/>
  <c r="BH19" i="11" s="1"/>
  <c r="BI19" i="11" s="1"/>
  <c r="BM19" i="11" s="1"/>
  <c r="AZ19" i="11"/>
  <c r="BU19" i="11"/>
  <c r="H19" i="27" s="1"/>
  <c r="AS81" i="11"/>
  <c r="AO81" i="11"/>
  <c r="AQ81" i="11" s="1"/>
  <c r="AU81" i="11" s="1"/>
  <c r="AX55" i="11"/>
  <c r="AV55" i="11"/>
  <c r="AE55" i="11"/>
  <c r="CR55" i="8"/>
  <c r="DE55" i="8"/>
  <c r="DC25" i="8"/>
  <c r="CM25" i="8"/>
  <c r="FD44" i="8"/>
  <c r="CF44" i="11" s="1"/>
  <c r="X25" i="11"/>
  <c r="AH25" i="11"/>
  <c r="I59" i="27"/>
  <c r="BS59" i="11"/>
  <c r="CH59" i="11" s="1"/>
  <c r="GD59" i="8" s="1"/>
  <c r="AH19" i="11"/>
  <c r="X19" i="11"/>
  <c r="AY34" i="11"/>
  <c r="BF34" i="11"/>
  <c r="BW34" i="11"/>
  <c r="BU81" i="11"/>
  <c r="H81" i="27" s="1"/>
  <c r="AZ81" i="11"/>
  <c r="AG81" i="11"/>
  <c r="BG81" i="11"/>
  <c r="BH81" i="11" s="1"/>
  <c r="BI81" i="11" s="1"/>
  <c r="BM81" i="11" s="1"/>
  <c r="BP81" i="11" s="1"/>
  <c r="AW81" i="11"/>
  <c r="BP55" i="11"/>
  <c r="CW55" i="11"/>
  <c r="AO25" i="11"/>
  <c r="AQ25" i="11" s="1"/>
  <c r="AU25" i="11" s="1"/>
  <c r="AS25" i="11"/>
  <c r="CR34" i="8"/>
  <c r="DE34" i="8"/>
  <c r="FH36" i="9"/>
  <c r="BF10" i="11"/>
  <c r="BW10" i="11"/>
  <c r="AF10" i="11"/>
  <c r="AY10" i="11"/>
  <c r="EH36" i="8"/>
  <c r="EQ36" i="8" s="1"/>
  <c r="EZ36" i="8" s="1"/>
  <c r="EO36" i="8"/>
  <c r="EX36" i="8" s="1"/>
  <c r="AR28" i="11"/>
  <c r="AN28" i="11"/>
  <c r="AP28" i="11" s="1"/>
  <c r="AT28" i="11" s="1"/>
  <c r="DE10" i="8"/>
  <c r="CR10" i="8"/>
  <c r="CT10" i="8" s="1"/>
  <c r="X10" i="11"/>
  <c r="AH10" i="11"/>
  <c r="DF28" i="8"/>
  <c r="CT28" i="8"/>
  <c r="AW10" i="11"/>
  <c r="AZ10" i="11"/>
  <c r="BG10" i="11"/>
  <c r="BH10" i="11" s="1"/>
  <c r="BI10" i="11" s="1"/>
  <c r="BM10" i="11" s="1"/>
  <c r="BU10" i="11"/>
  <c r="H10" i="27" s="1"/>
  <c r="AG10" i="11"/>
  <c r="AI36" i="11"/>
  <c r="Z36" i="11"/>
  <c r="AE28" i="11"/>
  <c r="AX28" i="11"/>
  <c r="AV28" i="11"/>
  <c r="CW28" i="11"/>
  <c r="BP28" i="11"/>
  <c r="AO10" i="11"/>
  <c r="AQ10" i="11" s="1"/>
  <c r="AU10" i="11" s="1"/>
  <c r="AS10" i="11"/>
  <c r="CQ36" i="8"/>
  <c r="CZ36" i="8"/>
  <c r="CM36" i="8"/>
  <c r="V36" i="11"/>
  <c r="Y36" i="11" s="1"/>
  <c r="AJ36" i="11"/>
  <c r="U36" i="11"/>
  <c r="DB10" i="8"/>
  <c r="F28" i="28"/>
  <c r="BZ28" i="11"/>
  <c r="CV28" i="11"/>
  <c r="AX71" i="11"/>
  <c r="AV71" i="11"/>
  <c r="DC12" i="8"/>
  <c r="EO64" i="8"/>
  <c r="EH64" i="8"/>
  <c r="EQ64" i="8" s="1"/>
  <c r="X50" i="11"/>
  <c r="AH50" i="11"/>
  <c r="AN17" i="11"/>
  <c r="AP17" i="11" s="1"/>
  <c r="AT17" i="11" s="1"/>
  <c r="AR17" i="11"/>
  <c r="EP21" i="8"/>
  <c r="EY21" i="8" s="1"/>
  <c r="EF21" i="8"/>
  <c r="BZ71" i="11"/>
  <c r="G71" i="28" s="1"/>
  <c r="F71" i="28"/>
  <c r="CR7" i="8"/>
  <c r="DE7" i="8"/>
  <c r="HN50" i="8"/>
  <c r="EQ50" i="8"/>
  <c r="EZ50" i="8" s="1"/>
  <c r="DI12" i="8"/>
  <c r="AS7" i="11"/>
  <c r="AO7" i="11"/>
  <c r="AQ7" i="11" s="1"/>
  <c r="AU7" i="11" s="1"/>
  <c r="DW71" i="8"/>
  <c r="DV71" i="8"/>
  <c r="DH71" i="8"/>
  <c r="DO71" i="8"/>
  <c r="DK71" i="8"/>
  <c r="DN71" i="8"/>
  <c r="DR71" i="8"/>
  <c r="DM71" i="8"/>
  <c r="DL71" i="8"/>
  <c r="DQ71" i="8"/>
  <c r="DU71" i="8"/>
  <c r="AL72" i="8"/>
  <c r="DZ72" i="11"/>
  <c r="DS71" i="8"/>
  <c r="DE50" i="8"/>
  <c r="CR50" i="8"/>
  <c r="CT50" i="8" s="1"/>
  <c r="EY23" i="8"/>
  <c r="AH7" i="11"/>
  <c r="X7" i="11"/>
  <c r="AN71" i="11"/>
  <c r="AP71" i="11" s="1"/>
  <c r="AT71" i="11" s="1"/>
  <c r="AR71" i="11"/>
  <c r="CZ12" i="8"/>
  <c r="CQ12" i="8"/>
  <c r="CM12" i="8"/>
  <c r="H72" i="28"/>
  <c r="DS72" i="11"/>
  <c r="AS16" i="11"/>
  <c r="AO16" i="11"/>
  <c r="AQ16" i="11" s="1"/>
  <c r="AU16" i="11" s="1"/>
  <c r="EO12" i="8"/>
  <c r="EX12" i="8" s="1"/>
  <c r="EH12" i="8"/>
  <c r="EQ12" i="8" s="1"/>
  <c r="EZ12" i="8" s="1"/>
  <c r="I17" i="27"/>
  <c r="BS17" i="11"/>
  <c r="CH17" i="11" s="1"/>
  <c r="GD17" i="8" s="1"/>
  <c r="AE17" i="11"/>
  <c r="AV17" i="11"/>
  <c r="AX17" i="11"/>
  <c r="DU17" i="8"/>
  <c r="DL17" i="8"/>
  <c r="DQ17" i="8"/>
  <c r="DK17" i="8"/>
  <c r="DN17" i="8"/>
  <c r="DW17" i="8"/>
  <c r="DP17" i="8"/>
  <c r="DM17" i="8"/>
  <c r="DO17" i="8"/>
  <c r="DV17" i="8"/>
  <c r="DH17" i="8"/>
  <c r="DR17" i="8"/>
  <c r="DS17" i="8"/>
  <c r="GB21" i="8"/>
  <c r="DB7" i="8"/>
  <c r="AK21" i="11"/>
  <c r="W21" i="11"/>
  <c r="FF72" i="9"/>
  <c r="CK72" i="8" s="1"/>
  <c r="DD72" i="8" s="1"/>
  <c r="FE72" i="9"/>
  <c r="CN72" i="8" s="1"/>
  <c r="FD72" i="9"/>
  <c r="CJ72" i="8" s="1"/>
  <c r="DC72" i="8" s="1"/>
  <c r="FG72" i="9"/>
  <c r="CO72" i="8" s="1"/>
  <c r="DA72" i="8" s="1"/>
  <c r="FD21" i="9"/>
  <c r="CJ21" i="8" s="1"/>
  <c r="DC21" i="8" s="1"/>
  <c r="FE21" i="9"/>
  <c r="CN21" i="8" s="1"/>
  <c r="FG21" i="9"/>
  <c r="CO21" i="8" s="1"/>
  <c r="DA21" i="8" s="1"/>
  <c r="FF21" i="9"/>
  <c r="CK21" i="8" s="1"/>
  <c r="DD21" i="8" s="1"/>
  <c r="AF16" i="11"/>
  <c r="BW16" i="11"/>
  <c r="AY16" i="11"/>
  <c r="BF16" i="11"/>
  <c r="AW7" i="11"/>
  <c r="BU7" i="11"/>
  <c r="H7" i="27" s="1"/>
  <c r="BG7" i="11"/>
  <c r="BH7" i="11" s="1"/>
  <c r="BI7" i="11" s="1"/>
  <c r="BM7" i="11" s="1"/>
  <c r="BP7" i="11" s="1"/>
  <c r="AZ7" i="11"/>
  <c r="F17" i="28"/>
  <c r="BZ17" i="11"/>
  <c r="FZ71" i="8"/>
  <c r="HU71" i="8"/>
  <c r="C57" i="28"/>
  <c r="IB57" i="8"/>
  <c r="DB50" i="8"/>
  <c r="EZ66" i="8"/>
  <c r="Z12" i="11"/>
  <c r="AG12" i="11" s="1"/>
  <c r="AI12" i="11"/>
  <c r="H21" i="28"/>
  <c r="DS21" i="11"/>
  <c r="DD12" i="8"/>
  <c r="FW64" i="8"/>
  <c r="FZ64" i="8" s="1"/>
  <c r="BF50" i="11"/>
  <c r="AY50" i="11"/>
  <c r="BW50" i="11"/>
  <c r="BG16" i="11"/>
  <c r="BH16" i="11" s="1"/>
  <c r="BI16" i="11" s="1"/>
  <c r="BM16" i="11" s="1"/>
  <c r="AG16" i="11"/>
  <c r="AW16" i="11"/>
  <c r="BU16" i="11"/>
  <c r="H16" i="27" s="1"/>
  <c r="AZ16" i="11"/>
  <c r="CR16" i="8"/>
  <c r="DE16" i="8"/>
  <c r="E72" i="28"/>
  <c r="CV72" i="8"/>
  <c r="DI72" i="8" s="1"/>
  <c r="R72" i="11"/>
  <c r="Z71" i="11"/>
  <c r="AI71" i="11"/>
  <c r="AO50" i="11"/>
  <c r="AQ50" i="11" s="1"/>
  <c r="AU50" i="11" s="1"/>
  <c r="AS50" i="11"/>
  <c r="DF17" i="8"/>
  <c r="DT17" i="8"/>
  <c r="FA71" i="8"/>
  <c r="EW71" i="8"/>
  <c r="EV71" i="8"/>
  <c r="EU71" i="8"/>
  <c r="ET71" i="8"/>
  <c r="EY71" i="8"/>
  <c r="CR88" i="9"/>
  <c r="AL88" i="8" s="1"/>
  <c r="AY7" i="11"/>
  <c r="BF7" i="11"/>
  <c r="BW7" i="11"/>
  <c r="FH12" i="9"/>
  <c r="DA12" i="8"/>
  <c r="EI64" i="8"/>
  <c r="ER64" i="8" s="1"/>
  <c r="E64" i="27"/>
  <c r="T64" i="11"/>
  <c r="DB16" i="8"/>
  <c r="R64" i="11"/>
  <c r="E64" i="28"/>
  <c r="CV64" i="8"/>
  <c r="FD64" i="9"/>
  <c r="CJ64" i="8" s="1"/>
  <c r="FG64" i="9"/>
  <c r="CO64" i="8" s="1"/>
  <c r="FF64" i="9"/>
  <c r="CK64" i="8" s="1"/>
  <c r="FE64" i="9"/>
  <c r="CN64" i="8" s="1"/>
  <c r="EW21" i="8"/>
  <c r="FA21" i="8"/>
  <c r="ET21" i="8"/>
  <c r="EU21" i="8"/>
  <c r="EV21" i="8"/>
  <c r="R21" i="11"/>
  <c r="CV21" i="8"/>
  <c r="DI21" i="8" s="1"/>
  <c r="E21" i="28"/>
  <c r="U12" i="11"/>
  <c r="V12" i="11"/>
  <c r="Y12" i="11" s="1"/>
  <c r="AF12" i="11" s="1"/>
  <c r="AJ12" i="11"/>
  <c r="X16" i="11"/>
  <c r="AH16" i="11"/>
  <c r="DP71" i="8"/>
  <c r="G81" i="28"/>
  <c r="CC81" i="11"/>
  <c r="CI81" i="11" s="1"/>
  <c r="AW50" i="11"/>
  <c r="BU50" i="11"/>
  <c r="H50" i="27" s="1"/>
  <c r="BG50" i="11"/>
  <c r="BH50" i="11" s="1"/>
  <c r="BI50" i="11" s="1"/>
  <c r="BM50" i="11" s="1"/>
  <c r="BP50" i="11" s="1"/>
  <c r="AZ50" i="11"/>
  <c r="DF71" i="8"/>
  <c r="DT71" i="8"/>
  <c r="CR87" i="9"/>
  <c r="AL87" i="8" s="1"/>
  <c r="CP90" i="8"/>
  <c r="Y90" i="8"/>
  <c r="BM90" i="8" s="1"/>
  <c r="FD43" i="8"/>
  <c r="CF43" i="11" s="1"/>
  <c r="AZ46" i="11"/>
  <c r="BG46" i="11"/>
  <c r="BH46" i="11" s="1"/>
  <c r="BI46" i="11" s="1"/>
  <c r="BM46" i="11" s="1"/>
  <c r="AG46" i="11"/>
  <c r="BU46" i="11"/>
  <c r="H46" i="27" s="1"/>
  <c r="AW46" i="11"/>
  <c r="EQ56" i="8"/>
  <c r="EZ56" i="8" s="1"/>
  <c r="V18" i="11"/>
  <c r="Y18" i="11" s="1"/>
  <c r="U18" i="11"/>
  <c r="AJ18" i="11"/>
  <c r="ER31" i="8"/>
  <c r="HO31" i="8"/>
  <c r="EO20" i="8"/>
  <c r="EX20" i="8" s="1"/>
  <c r="EH20" i="8"/>
  <c r="CR83" i="9"/>
  <c r="EP31" i="8"/>
  <c r="HK31" i="8"/>
  <c r="EF31" i="8"/>
  <c r="FD76" i="8"/>
  <c r="CF76" i="11" s="1"/>
  <c r="Y76" i="8"/>
  <c r="FH46" i="9"/>
  <c r="FH23" i="9"/>
  <c r="DD23" i="8"/>
  <c r="DS31" i="11"/>
  <c r="H31" i="28"/>
  <c r="AN32" i="11"/>
  <c r="AP32" i="11" s="1"/>
  <c r="AT32" i="11" s="1"/>
  <c r="AR32" i="11"/>
  <c r="DF32" i="8"/>
  <c r="FH20" i="9"/>
  <c r="G6" i="28"/>
  <c r="CC6" i="11"/>
  <c r="CI6" i="11" s="1"/>
  <c r="DI33" i="8"/>
  <c r="FZ56" i="8"/>
  <c r="R31" i="11"/>
  <c r="E31" i="28"/>
  <c r="CV31" i="8"/>
  <c r="BZ32" i="11"/>
  <c r="F32" i="28"/>
  <c r="BU27" i="11"/>
  <c r="H27" i="27" s="1"/>
  <c r="AW27" i="11"/>
  <c r="AZ27" i="11"/>
  <c r="BG27" i="11"/>
  <c r="BH27" i="11" s="1"/>
  <c r="BI27" i="11" s="1"/>
  <c r="BM27" i="11" s="1"/>
  <c r="DP35" i="8"/>
  <c r="DK35" i="8"/>
  <c r="DV35" i="8"/>
  <c r="DO35" i="8"/>
  <c r="DL35" i="8"/>
  <c r="DW35" i="8"/>
  <c r="DQ35" i="8"/>
  <c r="DM35" i="8"/>
  <c r="DU35" i="8"/>
  <c r="DN35" i="8"/>
  <c r="DH35" i="8"/>
  <c r="DR35" i="8"/>
  <c r="DS35" i="8"/>
  <c r="DI78" i="8"/>
  <c r="DB61" i="8"/>
  <c r="CM18" i="8"/>
  <c r="CQ18" i="8"/>
  <c r="CZ18" i="8"/>
  <c r="CQ13" i="8"/>
  <c r="CZ13" i="8"/>
  <c r="CM13" i="8"/>
  <c r="FD83" i="8"/>
  <c r="CF83" i="11" s="1"/>
  <c r="FV60" i="8"/>
  <c r="GB62" i="8"/>
  <c r="EO18" i="8"/>
  <c r="EX18" i="8" s="1"/>
  <c r="EH18" i="8"/>
  <c r="EQ18" i="8" s="1"/>
  <c r="EZ18" i="8" s="1"/>
  <c r="EO23" i="8"/>
  <c r="EX23" i="8" s="1"/>
  <c r="EH23" i="8"/>
  <c r="DA33" i="8"/>
  <c r="H29" i="28"/>
  <c r="DS29" i="11"/>
  <c r="EZ74" i="8"/>
  <c r="HW76" i="8"/>
  <c r="AS62" i="11"/>
  <c r="AO62" i="11"/>
  <c r="AQ62" i="11" s="1"/>
  <c r="AU62" i="11" s="1"/>
  <c r="DA78" i="8"/>
  <c r="X56" i="11"/>
  <c r="AH56" i="11"/>
  <c r="FH70" i="9"/>
  <c r="CZ70" i="8"/>
  <c r="CQ70" i="8"/>
  <c r="CM70" i="8"/>
  <c r="CZ27" i="8"/>
  <c r="CQ27" i="8"/>
  <c r="CM27" i="8"/>
  <c r="DB56" i="8"/>
  <c r="AO33" i="11"/>
  <c r="AQ33" i="11" s="1"/>
  <c r="AU33" i="11" s="1"/>
  <c r="AS33" i="11"/>
  <c r="DI23" i="8"/>
  <c r="BZ74" i="11"/>
  <c r="F74" i="28"/>
  <c r="AO46" i="11"/>
  <c r="AQ46" i="11" s="1"/>
  <c r="AU46" i="11" s="1"/>
  <c r="AS46" i="11"/>
  <c r="DF74" i="8"/>
  <c r="W31" i="11"/>
  <c r="AK31" i="11"/>
  <c r="EO27" i="8"/>
  <c r="EX27" i="8" s="1"/>
  <c r="EH27" i="8"/>
  <c r="EQ27" i="8" s="1"/>
  <c r="EZ27" i="8" s="1"/>
  <c r="FC83" i="9"/>
  <c r="BM83" i="8"/>
  <c r="BQ83" i="8" s="1"/>
  <c r="BS83" i="8" s="1"/>
  <c r="AC83" i="8"/>
  <c r="AE83" i="8" s="1"/>
  <c r="D83" i="28"/>
  <c r="EU74" i="8"/>
  <c r="EY74" i="8"/>
  <c r="EW74" i="8"/>
  <c r="FA74" i="8"/>
  <c r="EV74" i="8"/>
  <c r="ET74" i="8"/>
  <c r="HW31" i="8"/>
  <c r="DD46" i="8"/>
  <c r="FG29" i="9"/>
  <c r="CO29" i="8" s="1"/>
  <c r="FF29" i="9"/>
  <c r="CK29" i="8" s="1"/>
  <c r="FD29" i="9"/>
  <c r="CJ29" i="8" s="1"/>
  <c r="FE29" i="9"/>
  <c r="CN29" i="8" s="1"/>
  <c r="DC23" i="8"/>
  <c r="FF60" i="9"/>
  <c r="CK60" i="8" s="1"/>
  <c r="FD60" i="9"/>
  <c r="CJ60" i="8" s="1"/>
  <c r="FG60" i="9"/>
  <c r="CO60" i="8" s="1"/>
  <c r="FE60" i="9"/>
  <c r="CN60" i="8" s="1"/>
  <c r="FG68" i="9"/>
  <c r="CO68" i="8" s="1"/>
  <c r="FF68" i="9"/>
  <c r="CK68" i="8" s="1"/>
  <c r="FE68" i="9"/>
  <c r="CN68" i="8" s="1"/>
  <c r="FD68" i="9"/>
  <c r="CJ68" i="8" s="1"/>
  <c r="V13" i="11"/>
  <c r="Y13" i="11" s="1"/>
  <c r="AF13" i="11" s="1"/>
  <c r="U13" i="11"/>
  <c r="AJ13" i="11"/>
  <c r="Z74" i="11"/>
  <c r="AI74" i="11"/>
  <c r="G22" i="28"/>
  <c r="CC22" i="11"/>
  <c r="CI22" i="11" s="1"/>
  <c r="AP70" i="8"/>
  <c r="AR70" i="8" s="1"/>
  <c r="BZ70" i="8"/>
  <c r="CD70" i="8" s="1"/>
  <c r="CF70" i="8" s="1"/>
  <c r="EF70" i="8"/>
  <c r="EB70" i="8"/>
  <c r="FL70" i="8"/>
  <c r="GK70" i="8"/>
  <c r="GP70" i="8" s="1"/>
  <c r="FW13" i="8"/>
  <c r="FQ78" i="8"/>
  <c r="GX78" i="8"/>
  <c r="E78" i="27"/>
  <c r="T78" i="11"/>
  <c r="EI78" i="8"/>
  <c r="EQ62" i="8"/>
  <c r="EZ62" i="8" s="1"/>
  <c r="H80" i="28"/>
  <c r="DS80" i="11"/>
  <c r="DE62" i="8"/>
  <c r="CR62" i="8"/>
  <c r="CT62" i="8" s="1"/>
  <c r="DP62" i="8" s="1"/>
  <c r="AK60" i="11"/>
  <c r="W60" i="11"/>
  <c r="CT74" i="8"/>
  <c r="DT74" i="8" s="1"/>
  <c r="V70" i="11"/>
  <c r="Y70" i="11" s="1"/>
  <c r="U70" i="11"/>
  <c r="AJ70" i="11"/>
  <c r="V27" i="11"/>
  <c r="Y27" i="11" s="1"/>
  <c r="AF27" i="11" s="1"/>
  <c r="U27" i="11"/>
  <c r="AJ27" i="11"/>
  <c r="DC13" i="8"/>
  <c r="DV49" i="8"/>
  <c r="DK49" i="8"/>
  <c r="DU49" i="8"/>
  <c r="DL49" i="8"/>
  <c r="DM49" i="8"/>
  <c r="DH49" i="8"/>
  <c r="DQ49" i="8"/>
  <c r="DW49" i="8"/>
  <c r="DO49" i="8"/>
  <c r="DN49" i="8"/>
  <c r="DR49" i="8"/>
  <c r="DS49" i="8"/>
  <c r="DP49" i="8"/>
  <c r="DK9" i="8"/>
  <c r="DL9" i="8"/>
  <c r="DO9" i="8"/>
  <c r="DP9" i="8"/>
  <c r="DH9" i="8"/>
  <c r="DU9" i="8"/>
  <c r="DQ9" i="8"/>
  <c r="DV9" i="8"/>
  <c r="DW9" i="8"/>
  <c r="DR9" i="8"/>
  <c r="DM9" i="8"/>
  <c r="DN9" i="8"/>
  <c r="DS9" i="8"/>
  <c r="CQ33" i="8"/>
  <c r="CZ33" i="8"/>
  <c r="CM33" i="8"/>
  <c r="U46" i="11"/>
  <c r="V46" i="11"/>
  <c r="Y46" i="11" s="1"/>
  <c r="AJ46" i="11"/>
  <c r="AO56" i="11"/>
  <c r="AQ56" i="11" s="1"/>
  <c r="AU56" i="11" s="1"/>
  <c r="AS56" i="11"/>
  <c r="EP76" i="8"/>
  <c r="HK76" i="8"/>
  <c r="EW23" i="8"/>
  <c r="ET23" i="8"/>
  <c r="FA23" i="8"/>
  <c r="EU23" i="8"/>
  <c r="EV23" i="8"/>
  <c r="BU62" i="11"/>
  <c r="H62" i="27" s="1"/>
  <c r="BG62" i="11"/>
  <c r="BH62" i="11" s="1"/>
  <c r="BI62" i="11" s="1"/>
  <c r="BM62" i="11" s="1"/>
  <c r="AZ62" i="11"/>
  <c r="AW62" i="11"/>
  <c r="AN74" i="11"/>
  <c r="AP74" i="11" s="1"/>
  <c r="AT74" i="11" s="1"/>
  <c r="AR74" i="11"/>
  <c r="DC78" i="8"/>
  <c r="CQ78" i="8"/>
  <c r="CZ78" i="8"/>
  <c r="CM78" i="8"/>
  <c r="AL80" i="8"/>
  <c r="DZ80" i="11"/>
  <c r="DD70" i="8"/>
  <c r="EP29" i="8"/>
  <c r="EY29" i="8" s="1"/>
  <c r="EF29" i="8"/>
  <c r="AW33" i="11"/>
  <c r="BU33" i="11"/>
  <c r="H33" i="27" s="1"/>
  <c r="BG33" i="11"/>
  <c r="BH33" i="11" s="1"/>
  <c r="BI33" i="11" s="1"/>
  <c r="BM33" i="11" s="1"/>
  <c r="BP33" i="11" s="1"/>
  <c r="AZ33" i="11"/>
  <c r="EO33" i="8"/>
  <c r="EX33" i="8" s="1"/>
  <c r="EH33" i="8"/>
  <c r="Z23" i="11"/>
  <c r="AI23" i="11"/>
  <c r="CT32" i="8"/>
  <c r="CR85" i="9"/>
  <c r="AL85" i="8" s="1"/>
  <c r="BZ85" i="8" s="1"/>
  <c r="CD85" i="8" s="1"/>
  <c r="CF85" i="8" s="1"/>
  <c r="HE35" i="8"/>
  <c r="GR35" i="8"/>
  <c r="GT35" i="8"/>
  <c r="HL35" i="8"/>
  <c r="GI35" i="8"/>
  <c r="HQ35" i="8"/>
  <c r="HY35" i="8"/>
  <c r="HI35" i="8"/>
  <c r="HK35" i="8"/>
  <c r="GZ35" i="8"/>
  <c r="GH35" i="8"/>
  <c r="HX35" i="8"/>
  <c r="GY35" i="8"/>
  <c r="GU35" i="8"/>
  <c r="HA35" i="8"/>
  <c r="GJ35" i="8"/>
  <c r="GL35" i="8"/>
  <c r="HR35" i="8"/>
  <c r="HS35" i="8"/>
  <c r="GG35" i="8"/>
  <c r="HG35" i="8"/>
  <c r="GK35" i="8"/>
  <c r="GS35" i="8"/>
  <c r="HH35" i="8"/>
  <c r="HW35" i="8"/>
  <c r="GE35" i="8"/>
  <c r="GM35" i="8"/>
  <c r="HB35" i="8"/>
  <c r="GF35" i="8"/>
  <c r="HF35" i="8"/>
  <c r="HM35" i="8"/>
  <c r="HC35" i="8"/>
  <c r="GW35" i="8"/>
  <c r="HJ35" i="8"/>
  <c r="GO35" i="8"/>
  <c r="GN35" i="8"/>
  <c r="HV35" i="8"/>
  <c r="HZ35" i="8"/>
  <c r="GV35" i="8"/>
  <c r="HO35" i="8"/>
  <c r="GX35" i="8"/>
  <c r="HU35" i="8"/>
  <c r="HT35" i="8"/>
  <c r="HN35" i="8"/>
  <c r="AS13" i="11"/>
  <c r="AO13" i="11"/>
  <c r="AQ13" i="11" s="1"/>
  <c r="AU13" i="11" s="1"/>
  <c r="DC46" i="8"/>
  <c r="R29" i="11"/>
  <c r="E29" i="28"/>
  <c r="CV29" i="8"/>
  <c r="DA23" i="8"/>
  <c r="W29" i="11"/>
  <c r="AK29" i="11"/>
  <c r="CC67" i="11"/>
  <c r="CI67" i="11" s="1"/>
  <c r="G67" i="28"/>
  <c r="HY57" i="8"/>
  <c r="GM57" i="8"/>
  <c r="HF57" i="8"/>
  <c r="GJ57" i="8"/>
  <c r="HC57" i="8"/>
  <c r="GX57" i="8"/>
  <c r="GU57" i="8"/>
  <c r="HS57" i="8"/>
  <c r="HH57" i="8"/>
  <c r="HB57" i="8"/>
  <c r="HR57" i="8"/>
  <c r="HM57" i="8"/>
  <c r="GS57" i="8"/>
  <c r="HV57" i="8"/>
  <c r="GN57" i="8"/>
  <c r="HK57" i="8"/>
  <c r="HQ57" i="8"/>
  <c r="GV57" i="8"/>
  <c r="HO57" i="8"/>
  <c r="GR57" i="8"/>
  <c r="HG57" i="8"/>
  <c r="HW57" i="8"/>
  <c r="GL57" i="8"/>
  <c r="GW57" i="8"/>
  <c r="GF57" i="8"/>
  <c r="HJ57" i="8"/>
  <c r="HA57" i="8"/>
  <c r="GH57" i="8"/>
  <c r="HL57" i="8"/>
  <c r="GY57" i="8"/>
  <c r="HI57" i="8"/>
  <c r="HT57" i="8"/>
  <c r="GI57" i="8"/>
  <c r="GT57" i="8"/>
  <c r="GE57" i="8"/>
  <c r="GZ57" i="8"/>
  <c r="GO57" i="8"/>
  <c r="GG57" i="8"/>
  <c r="HE57" i="8"/>
  <c r="GK57" i="8"/>
  <c r="HU57" i="8"/>
  <c r="HN57" i="8"/>
  <c r="HX57" i="8"/>
  <c r="HZ57" i="8"/>
  <c r="CV68" i="8"/>
  <c r="R68" i="11"/>
  <c r="E68" i="28"/>
  <c r="Z20" i="11"/>
  <c r="AI20" i="11"/>
  <c r="DI13" i="8"/>
  <c r="Z67" i="11"/>
  <c r="AI67" i="11"/>
  <c r="FD31" i="9"/>
  <c r="CJ31" i="8" s="1"/>
  <c r="FF31" i="9"/>
  <c r="CK31" i="8" s="1"/>
  <c r="FG31" i="9"/>
  <c r="CO31" i="8" s="1"/>
  <c r="FE31" i="9"/>
  <c r="CN31" i="8" s="1"/>
  <c r="HL78" i="8"/>
  <c r="EO78" i="8"/>
  <c r="EH78" i="8"/>
  <c r="CR61" i="8"/>
  <c r="DE61" i="8"/>
  <c r="FH18" i="9"/>
  <c r="AL68" i="8"/>
  <c r="DZ68" i="11"/>
  <c r="ER60" i="8"/>
  <c r="E80" i="28"/>
  <c r="CV80" i="8"/>
  <c r="DI80" i="8" s="1"/>
  <c r="R80" i="11"/>
  <c r="DI70" i="8"/>
  <c r="FH13" i="9"/>
  <c r="DC33" i="8"/>
  <c r="X61" i="11"/>
  <c r="AH61" i="11"/>
  <c r="DI46" i="8"/>
  <c r="BU56" i="11"/>
  <c r="H56" i="27" s="1"/>
  <c r="BG56" i="11"/>
  <c r="BH56" i="11" s="1"/>
  <c r="BI56" i="11" s="1"/>
  <c r="BM56" i="11" s="1"/>
  <c r="BP56" i="11" s="1"/>
  <c r="AW56" i="11"/>
  <c r="AZ56" i="11"/>
  <c r="AV74" i="11"/>
  <c r="AX74" i="11"/>
  <c r="FH78" i="9"/>
  <c r="X62" i="11"/>
  <c r="AH62" i="11"/>
  <c r="EQ61" i="8"/>
  <c r="EZ61" i="8" s="1"/>
  <c r="DC70" i="8"/>
  <c r="CR56" i="8"/>
  <c r="DE56" i="8"/>
  <c r="AJ23" i="11"/>
  <c r="V23" i="11"/>
  <c r="Y23" i="11" s="1"/>
  <c r="U23" i="11"/>
  <c r="G35" i="28"/>
  <c r="CC35" i="11"/>
  <c r="CI35" i="11" s="1"/>
  <c r="Z18" i="11"/>
  <c r="AI18" i="11"/>
  <c r="HK83" i="8"/>
  <c r="EP83" i="8"/>
  <c r="HX22" i="8"/>
  <c r="HO22" i="8"/>
  <c r="HB22" i="8"/>
  <c r="GL22" i="8"/>
  <c r="GO22" i="8"/>
  <c r="GH22" i="8"/>
  <c r="HJ22" i="8"/>
  <c r="HH22" i="8"/>
  <c r="GS22" i="8"/>
  <c r="GR22" i="8"/>
  <c r="HM22" i="8"/>
  <c r="GV22" i="8"/>
  <c r="HR22" i="8"/>
  <c r="HZ22" i="8"/>
  <c r="HC22" i="8"/>
  <c r="HT22" i="8"/>
  <c r="GK22" i="8"/>
  <c r="HE22" i="8"/>
  <c r="GI22" i="8"/>
  <c r="HY22" i="8"/>
  <c r="HQ22" i="8"/>
  <c r="HV22" i="8"/>
  <c r="HK22" i="8"/>
  <c r="HF22" i="8"/>
  <c r="GN22" i="8"/>
  <c r="HW22" i="8"/>
  <c r="HS22" i="8"/>
  <c r="GG22" i="8"/>
  <c r="GY22" i="8"/>
  <c r="GU22" i="8"/>
  <c r="GZ22" i="8"/>
  <c r="GX22" i="8"/>
  <c r="GF22" i="8"/>
  <c r="HU22" i="8"/>
  <c r="GT22" i="8"/>
  <c r="GM22" i="8"/>
  <c r="HL22" i="8"/>
  <c r="GE22" i="8"/>
  <c r="HA22" i="8"/>
  <c r="GW22" i="8"/>
  <c r="HG22" i="8"/>
  <c r="HI22" i="8"/>
  <c r="GJ22" i="8"/>
  <c r="HN22" i="8"/>
  <c r="BP61" i="11"/>
  <c r="CW61" i="11"/>
  <c r="BU13" i="11"/>
  <c r="H13" i="27" s="1"/>
  <c r="BG13" i="11"/>
  <c r="BH13" i="11" s="1"/>
  <c r="BI13" i="11" s="1"/>
  <c r="BM13" i="11" s="1"/>
  <c r="AW13" i="11"/>
  <c r="AZ13" i="11"/>
  <c r="AL76" i="8"/>
  <c r="DZ76" i="11"/>
  <c r="CQ46" i="8"/>
  <c r="CZ46" i="8"/>
  <c r="CM46" i="8"/>
  <c r="DA46" i="8"/>
  <c r="EX74" i="8"/>
  <c r="CZ23" i="8"/>
  <c r="CQ23" i="8"/>
  <c r="CM23" i="8"/>
  <c r="AX32" i="11"/>
  <c r="AV32" i="11"/>
  <c r="FA29" i="8"/>
  <c r="EU29" i="8"/>
  <c r="ET29" i="8"/>
  <c r="EW29" i="8"/>
  <c r="EV29" i="8"/>
  <c r="CV60" i="8"/>
  <c r="R60" i="11"/>
  <c r="E60" i="28"/>
  <c r="CZ20" i="8"/>
  <c r="CQ20" i="8"/>
  <c r="CM20" i="8"/>
  <c r="FW31" i="8"/>
  <c r="HC31" i="8"/>
  <c r="V33" i="11"/>
  <c r="Y33" i="11" s="1"/>
  <c r="U33" i="11"/>
  <c r="AJ33" i="11"/>
  <c r="FW33" i="8"/>
  <c r="FZ33" i="8" s="1"/>
  <c r="FV78" i="8"/>
  <c r="HH78" i="8"/>
  <c r="AO27" i="11"/>
  <c r="AQ27" i="11" s="1"/>
  <c r="AU27" i="11" s="1"/>
  <c r="AS27" i="11"/>
  <c r="AJ78" i="11"/>
  <c r="V78" i="11"/>
  <c r="Y78" i="11" s="1"/>
  <c r="U78" i="11"/>
  <c r="G9" i="28"/>
  <c r="CC9" i="11"/>
  <c r="CI9" i="11" s="1"/>
  <c r="DB62" i="8"/>
  <c r="FG80" i="9"/>
  <c r="CO80" i="8" s="1"/>
  <c r="DA80" i="8" s="1"/>
  <c r="FF80" i="9"/>
  <c r="CK80" i="8" s="1"/>
  <c r="DD80" i="8" s="1"/>
  <c r="FD80" i="9"/>
  <c r="CJ80" i="8" s="1"/>
  <c r="DC80" i="8" s="1"/>
  <c r="FE80" i="9"/>
  <c r="CN80" i="8" s="1"/>
  <c r="DD13" i="8"/>
  <c r="DA13" i="8"/>
  <c r="EP60" i="8"/>
  <c r="EF60" i="8"/>
  <c r="FH33" i="9"/>
  <c r="DD33" i="8"/>
  <c r="BF61" i="11"/>
  <c r="AY61" i="11"/>
  <c r="AF61" i="11"/>
  <c r="BW61" i="11"/>
  <c r="CC49" i="11"/>
  <c r="CI49" i="11" s="1"/>
  <c r="G49" i="28"/>
  <c r="DD78" i="8"/>
  <c r="FZ74" i="8"/>
  <c r="U20" i="11"/>
  <c r="AJ20" i="11"/>
  <c r="V20" i="11"/>
  <c r="Y20" i="11" s="1"/>
  <c r="AY62" i="11"/>
  <c r="BW62" i="11"/>
  <c r="BF62" i="11"/>
  <c r="AY56" i="11"/>
  <c r="BF56" i="11"/>
  <c r="BW56" i="11"/>
  <c r="DA70" i="8"/>
  <c r="FH27" i="9"/>
  <c r="FW23" i="8"/>
  <c r="EO13" i="8"/>
  <c r="EX13" i="8" s="1"/>
  <c r="EH13" i="8"/>
  <c r="GB26" i="8"/>
  <c r="G5" i="28"/>
  <c r="CC5" i="11"/>
  <c r="CI5" i="11" s="1"/>
  <c r="DD41" i="8"/>
  <c r="DF66" i="8"/>
  <c r="DK59" i="8"/>
  <c r="DV59" i="8"/>
  <c r="DU59" i="8"/>
  <c r="DH59" i="8"/>
  <c r="DL59" i="8"/>
  <c r="DM59" i="8"/>
  <c r="DQ59" i="8"/>
  <c r="DR59" i="8"/>
  <c r="DW59" i="8"/>
  <c r="DO59" i="8"/>
  <c r="DN59" i="8"/>
  <c r="DP59" i="8"/>
  <c r="DS59" i="8"/>
  <c r="H53" i="28"/>
  <c r="DS53" i="11"/>
  <c r="D87" i="28"/>
  <c r="BM87" i="8"/>
  <c r="BQ87" i="8" s="1"/>
  <c r="BS87" i="8" s="1"/>
  <c r="AC87" i="8"/>
  <c r="AE87" i="8" s="1"/>
  <c r="F52" i="28"/>
  <c r="BZ52" i="11"/>
  <c r="CV52" i="11"/>
  <c r="HX69" i="8"/>
  <c r="GB69" i="8"/>
  <c r="HZ69" i="8" s="1"/>
  <c r="FD42" i="8"/>
  <c r="AW52" i="11"/>
  <c r="AG52" i="11"/>
  <c r="BU52" i="11"/>
  <c r="H52" i="27" s="1"/>
  <c r="BG52" i="11"/>
  <c r="BH52" i="11" s="1"/>
  <c r="BI52" i="11" s="1"/>
  <c r="BM52" i="11" s="1"/>
  <c r="AZ52" i="11"/>
  <c r="EQ26" i="8"/>
  <c r="EZ26" i="8" s="1"/>
  <c r="EP40" i="8"/>
  <c r="EF40" i="8"/>
  <c r="T40" i="11"/>
  <c r="EI40" i="8"/>
  <c r="E40" i="27"/>
  <c r="AE40" i="8"/>
  <c r="H40" i="28"/>
  <c r="DS40" i="11"/>
  <c r="AE66" i="11"/>
  <c r="AV66" i="11"/>
  <c r="AX66" i="11"/>
  <c r="EQ52" i="8"/>
  <c r="EZ52" i="8" s="1"/>
  <c r="BZ86" i="8"/>
  <c r="CD86" i="8" s="1"/>
  <c r="CF86" i="8" s="1"/>
  <c r="AP86" i="8"/>
  <c r="AR86" i="8" s="1"/>
  <c r="D85" i="28"/>
  <c r="BM85" i="8"/>
  <c r="BQ85" i="8" s="1"/>
  <c r="BS85" i="8" s="1"/>
  <c r="AC85" i="8"/>
  <c r="AE85" i="8" s="1"/>
  <c r="T42" i="11"/>
  <c r="E42" i="27"/>
  <c r="EI42" i="8"/>
  <c r="ER42" i="8" s="1"/>
  <c r="DA41" i="8"/>
  <c r="EI43" i="8"/>
  <c r="E43" i="27"/>
  <c r="T43" i="11"/>
  <c r="X26" i="11"/>
  <c r="AH26" i="11"/>
  <c r="GP9" i="8"/>
  <c r="BZ88" i="8"/>
  <c r="CD88" i="8" s="1"/>
  <c r="CF88" i="8" s="1"/>
  <c r="AP88" i="8"/>
  <c r="AR88" i="8" s="1"/>
  <c r="DB26" i="8"/>
  <c r="EO41" i="8"/>
  <c r="EX41" i="8" s="1"/>
  <c r="EH41" i="8"/>
  <c r="IB63" i="8"/>
  <c r="C63" i="28"/>
  <c r="BC90" i="8"/>
  <c r="BM43" i="8"/>
  <c r="BQ43" i="8" s="1"/>
  <c r="BS43" i="8" s="1"/>
  <c r="FC43" i="9"/>
  <c r="D43" i="28"/>
  <c r="AC43" i="8"/>
  <c r="AE43" i="8" s="1"/>
  <c r="AS52" i="11"/>
  <c r="AO52" i="11"/>
  <c r="AQ52" i="11" s="1"/>
  <c r="AU52" i="11" s="1"/>
  <c r="AN52" i="11"/>
  <c r="AP52" i="11" s="1"/>
  <c r="AT52" i="11" s="1"/>
  <c r="AR52" i="11"/>
  <c r="H44" i="28"/>
  <c r="DS44" i="11"/>
  <c r="EZ69" i="8"/>
  <c r="Z69" i="11"/>
  <c r="AI69" i="11"/>
  <c r="D45" i="28"/>
  <c r="FC45" i="9"/>
  <c r="BM45" i="8"/>
  <c r="BQ45" i="8" s="1"/>
  <c r="BS45" i="8" s="1"/>
  <c r="AC45" i="8"/>
  <c r="AE45" i="8" s="1"/>
  <c r="BZ66" i="11"/>
  <c r="F66" i="28"/>
  <c r="FH41" i="9"/>
  <c r="DC41" i="8"/>
  <c r="G59" i="28"/>
  <c r="CC59" i="11"/>
  <c r="CI59" i="11" s="1"/>
  <c r="BW26" i="11"/>
  <c r="BF26" i="11"/>
  <c r="AY26" i="11"/>
  <c r="DF5" i="8"/>
  <c r="CT5" i="8"/>
  <c r="D88" i="28"/>
  <c r="BM88" i="8"/>
  <c r="BQ88" i="8" s="1"/>
  <c r="BS88" i="8" s="1"/>
  <c r="AC88" i="8"/>
  <c r="AE88" i="8" s="1"/>
  <c r="Z41" i="11"/>
  <c r="AI41" i="11"/>
  <c r="CR26" i="8"/>
  <c r="CT26" i="8" s="1"/>
  <c r="DE26" i="8"/>
  <c r="GU5" i="8"/>
  <c r="HI5" i="8"/>
  <c r="GH5" i="8"/>
  <c r="GV5" i="8"/>
  <c r="HJ5" i="8"/>
  <c r="HX5" i="8"/>
  <c r="HF5" i="8"/>
  <c r="HM5" i="8"/>
  <c r="GZ5" i="8"/>
  <c r="GJ5" i="8"/>
  <c r="HU5" i="8"/>
  <c r="GI5" i="8"/>
  <c r="GN5" i="8"/>
  <c r="HQ5" i="8"/>
  <c r="HZ5" i="8"/>
  <c r="HW5" i="8"/>
  <c r="HT5" i="8"/>
  <c r="GK5" i="8"/>
  <c r="HA5" i="8"/>
  <c r="GY5" i="8"/>
  <c r="HC5" i="8"/>
  <c r="GR5" i="8"/>
  <c r="GS5" i="8"/>
  <c r="HY5" i="8"/>
  <c r="GX5" i="8"/>
  <c r="HG5" i="8"/>
  <c r="GW5" i="8"/>
  <c r="GT5" i="8"/>
  <c r="HE5" i="8"/>
  <c r="HO5" i="8"/>
  <c r="GE5" i="8"/>
  <c r="HV5" i="8"/>
  <c r="GF5" i="8"/>
  <c r="GO5" i="8"/>
  <c r="HB5" i="8"/>
  <c r="HN5" i="8"/>
  <c r="HL5" i="8"/>
  <c r="HK5" i="8"/>
  <c r="HS5" i="8"/>
  <c r="HH5" i="8"/>
  <c r="GL5" i="8"/>
  <c r="HR5" i="8"/>
  <c r="GG5" i="8"/>
  <c r="GM5" i="8"/>
  <c r="H43" i="28"/>
  <c r="DS43" i="11"/>
  <c r="CT66" i="8"/>
  <c r="AN69" i="11"/>
  <c r="AP69" i="11" s="1"/>
  <c r="AT69" i="11" s="1"/>
  <c r="AR69" i="11"/>
  <c r="FC53" i="9"/>
  <c r="BM53" i="8"/>
  <c r="BQ53" i="8" s="1"/>
  <c r="BS53" i="8" s="1"/>
  <c r="D53" i="28"/>
  <c r="AC53" i="8"/>
  <c r="AE53" i="8" s="1"/>
  <c r="AE52" i="11"/>
  <c r="AV52" i="11"/>
  <c r="AX52" i="11"/>
  <c r="R86" i="11"/>
  <c r="E86" i="28"/>
  <c r="FW40" i="8"/>
  <c r="DI41" i="8"/>
  <c r="EB43" i="8"/>
  <c r="EE43" i="8"/>
  <c r="FY43" i="8"/>
  <c r="AS26" i="11"/>
  <c r="AO26" i="11"/>
  <c r="AQ26" i="11" s="1"/>
  <c r="AU26" i="11" s="1"/>
  <c r="FZ41" i="8"/>
  <c r="ET41" i="8"/>
  <c r="EW41" i="8"/>
  <c r="FA41" i="8"/>
  <c r="EU41" i="8"/>
  <c r="EV41" i="8"/>
  <c r="D44" i="28"/>
  <c r="FC44" i="9"/>
  <c r="BM44" i="8"/>
  <c r="BQ44" i="8" s="1"/>
  <c r="BS44" i="8" s="1"/>
  <c r="AC44" i="8"/>
  <c r="AE44" i="8" s="1"/>
  <c r="DZ45" i="11"/>
  <c r="AL45" i="8"/>
  <c r="CZ41" i="8"/>
  <c r="CQ41" i="8"/>
  <c r="CM41" i="8"/>
  <c r="BZ87" i="8"/>
  <c r="CD87" i="8" s="1"/>
  <c r="CF87" i="8" s="1"/>
  <c r="AP87" i="8"/>
  <c r="AR87" i="8" s="1"/>
  <c r="DT59" i="8"/>
  <c r="FA66" i="8"/>
  <c r="EW66" i="8"/>
  <c r="EV66" i="8"/>
  <c r="EU66" i="8"/>
  <c r="ET66" i="8"/>
  <c r="EY66" i="8"/>
  <c r="DG42" i="8"/>
  <c r="BM42" i="8"/>
  <c r="BQ42" i="8" s="1"/>
  <c r="BS42" i="8" s="1"/>
  <c r="D42" i="28"/>
  <c r="FC42" i="9"/>
  <c r="AC42" i="8"/>
  <c r="AE42" i="8" s="1"/>
  <c r="CT69" i="8"/>
  <c r="DT69" i="8" s="1"/>
  <c r="DF69" i="8"/>
  <c r="DG43" i="8"/>
  <c r="AX69" i="11"/>
  <c r="AV69" i="11"/>
  <c r="DZ53" i="11"/>
  <c r="AL53" i="8"/>
  <c r="DF52" i="8"/>
  <c r="HI63" i="8"/>
  <c r="HM63" i="8"/>
  <c r="GF63" i="8"/>
  <c r="HR63" i="8"/>
  <c r="HX63" i="8"/>
  <c r="HY63" i="8"/>
  <c r="HC63" i="8"/>
  <c r="HT63" i="8"/>
  <c r="HH63" i="8"/>
  <c r="HO63" i="8"/>
  <c r="HW63" i="8"/>
  <c r="HB63" i="8"/>
  <c r="GE63" i="8"/>
  <c r="GX63" i="8"/>
  <c r="GL63" i="8"/>
  <c r="HF63" i="8"/>
  <c r="GM63" i="8"/>
  <c r="GV63" i="8"/>
  <c r="HU63" i="8"/>
  <c r="GR63" i="8"/>
  <c r="HZ63" i="8"/>
  <c r="GW63" i="8"/>
  <c r="GH63" i="8"/>
  <c r="GK63" i="8"/>
  <c r="HS63" i="8"/>
  <c r="HQ63" i="8"/>
  <c r="HA63" i="8"/>
  <c r="HK63" i="8"/>
  <c r="GU63" i="8"/>
  <c r="GT63" i="8"/>
  <c r="HJ63" i="8"/>
  <c r="GS63" i="8"/>
  <c r="GN63" i="8"/>
  <c r="GZ63" i="8"/>
  <c r="HL63" i="8"/>
  <c r="HE63" i="8"/>
  <c r="GI63" i="8"/>
  <c r="HV63" i="8"/>
  <c r="GJ63" i="8"/>
  <c r="GG63" i="8"/>
  <c r="GO63" i="8"/>
  <c r="HG63" i="8"/>
  <c r="GY63" i="8"/>
  <c r="HN63" i="8"/>
  <c r="EX69" i="8"/>
  <c r="ET69" i="8"/>
  <c r="EW69" i="8"/>
  <c r="FA69" i="8"/>
  <c r="EU69" i="8"/>
  <c r="EV69" i="8"/>
  <c r="EY69" i="8"/>
  <c r="EB42" i="8"/>
  <c r="EE42" i="8"/>
  <c r="FY42" i="8"/>
  <c r="FG40" i="9"/>
  <c r="CO40" i="8" s="1"/>
  <c r="FF40" i="9"/>
  <c r="CK40" i="8" s="1"/>
  <c r="FD40" i="9"/>
  <c r="CJ40" i="8" s="1"/>
  <c r="FE40" i="9"/>
  <c r="CN40" i="8" s="1"/>
  <c r="AR66" i="11"/>
  <c r="AN66" i="11"/>
  <c r="AP66" i="11" s="1"/>
  <c r="AT66" i="11" s="1"/>
  <c r="U41" i="11"/>
  <c r="V41" i="11"/>
  <c r="Y41" i="11" s="1"/>
  <c r="AJ41" i="11"/>
  <c r="GB66" i="8"/>
  <c r="F69" i="28"/>
  <c r="BZ69" i="11"/>
  <c r="AW26" i="11"/>
  <c r="BG26" i="11"/>
  <c r="BH26" i="11" s="1"/>
  <c r="BI26" i="11" s="1"/>
  <c r="BM26" i="11" s="1"/>
  <c r="BU26" i="11"/>
  <c r="H26" i="27" s="1"/>
  <c r="AZ26" i="11"/>
  <c r="CT52" i="8"/>
  <c r="DT52" i="8" s="1"/>
  <c r="CR44" i="9"/>
  <c r="AP85" i="8"/>
  <c r="AR85" i="8" s="1"/>
  <c r="DK8" i="8"/>
  <c r="DL8" i="8"/>
  <c r="DV8" i="8"/>
  <c r="DH8" i="8"/>
  <c r="DM8" i="8"/>
  <c r="DU8" i="8"/>
  <c r="DR8" i="8"/>
  <c r="DQ8" i="8"/>
  <c r="DN8" i="8"/>
  <c r="DO8" i="8"/>
  <c r="X8" i="11"/>
  <c r="AE8" i="11" s="1"/>
  <c r="AH8" i="11"/>
  <c r="DS8" i="8"/>
  <c r="AY8" i="11"/>
  <c r="BP4" i="18" s="1"/>
  <c r="BF8" i="11"/>
  <c r="BW8" i="11"/>
  <c r="AF8" i="11"/>
  <c r="BP8" i="11"/>
  <c r="CW8" i="11"/>
  <c r="AQ8" i="11"/>
  <c r="H8" i="27"/>
  <c r="DW8" i="8"/>
  <c r="DF8" i="8"/>
  <c r="DT8" i="8"/>
  <c r="EB85" i="8" l="1"/>
  <c r="CT77" i="8"/>
  <c r="FH79" i="9"/>
  <c r="FC82" i="9"/>
  <c r="D82" i="28"/>
  <c r="BM82" i="8"/>
  <c r="BQ82" i="8" s="1"/>
  <c r="BS82" i="8" s="1"/>
  <c r="AC82" i="8"/>
  <c r="AE82" i="8" s="1"/>
  <c r="F67" i="24"/>
  <c r="H67" i="24"/>
  <c r="B67" i="24"/>
  <c r="A68" i="24"/>
  <c r="D67" i="24"/>
  <c r="E67" i="22"/>
  <c r="G67" i="22"/>
  <c r="A68" i="22"/>
  <c r="C67" i="22"/>
  <c r="A15" i="22"/>
  <c r="E14" i="22"/>
  <c r="C14" i="22"/>
  <c r="G14" i="22"/>
  <c r="H82" i="28"/>
  <c r="DS82" i="11"/>
  <c r="A98" i="24"/>
  <c r="C97" i="24"/>
  <c r="E97" i="24" s="1"/>
  <c r="C95" i="22"/>
  <c r="E95" i="22" s="1"/>
  <c r="A96" i="22"/>
  <c r="CR82" i="9"/>
  <c r="A17" i="24"/>
  <c r="B16" i="24"/>
  <c r="F16" i="24"/>
  <c r="D16" i="24"/>
  <c r="H16" i="24"/>
  <c r="EP82" i="8"/>
  <c r="HK82" i="8"/>
  <c r="EW30" i="8"/>
  <c r="EU30" i="8"/>
  <c r="FA30" i="8"/>
  <c r="ET30" i="8"/>
  <c r="EV30" i="8"/>
  <c r="Z48" i="11"/>
  <c r="AI48" i="11"/>
  <c r="CZ79" i="8"/>
  <c r="CQ79" i="8"/>
  <c r="DB79" i="8" s="1"/>
  <c r="CM79" i="8"/>
  <c r="U73" i="11"/>
  <c r="V73" i="11"/>
  <c r="Y73" i="11" s="1"/>
  <c r="AJ73" i="11"/>
  <c r="DD73" i="8"/>
  <c r="DD30" i="8"/>
  <c r="AS37" i="11"/>
  <c r="AO37" i="11"/>
  <c r="AQ37" i="11" s="1"/>
  <c r="AU37" i="11" s="1"/>
  <c r="BU24" i="11"/>
  <c r="H24" i="27" s="1"/>
  <c r="BG24" i="11"/>
  <c r="BH24" i="11" s="1"/>
  <c r="BI24" i="11" s="1"/>
  <c r="BM24" i="11" s="1"/>
  <c r="AW24" i="11"/>
  <c r="AG24" i="11"/>
  <c r="AZ24" i="11"/>
  <c r="EY30" i="8"/>
  <c r="Z77" i="11"/>
  <c r="AI77" i="11"/>
  <c r="DS65" i="8"/>
  <c r="GB65" i="8"/>
  <c r="CT51" i="8"/>
  <c r="DF51" i="8"/>
  <c r="FW48" i="8"/>
  <c r="HT48" i="8"/>
  <c r="DF47" i="8"/>
  <c r="AP73" i="8"/>
  <c r="AR73" i="8" s="1"/>
  <c r="FL73" i="8"/>
  <c r="EB73" i="8"/>
  <c r="BZ73" i="8"/>
  <c r="CD73" i="8" s="1"/>
  <c r="CF73" i="8" s="1"/>
  <c r="EF73" i="8"/>
  <c r="GK73" i="8"/>
  <c r="GP73" i="8" s="1"/>
  <c r="DQ38" i="8"/>
  <c r="DH38" i="8"/>
  <c r="DV38" i="8"/>
  <c r="DW38" i="8"/>
  <c r="DM38" i="8"/>
  <c r="DR38" i="8"/>
  <c r="DK38" i="8"/>
  <c r="DL38" i="8"/>
  <c r="DU38" i="8"/>
  <c r="DN38" i="8"/>
  <c r="DP38" i="8"/>
  <c r="DS38" i="8"/>
  <c r="DO38" i="8"/>
  <c r="I32" i="27"/>
  <c r="BS32" i="11"/>
  <c r="CH32" i="11" s="1"/>
  <c r="GD32" i="8" s="1"/>
  <c r="G38" i="28"/>
  <c r="CC38" i="11"/>
  <c r="CI38" i="11" s="1"/>
  <c r="BZ79" i="8"/>
  <c r="CD79" i="8" s="1"/>
  <c r="CF79" i="8" s="1"/>
  <c r="EF79" i="8"/>
  <c r="GK79" i="8"/>
  <c r="GP79" i="8" s="1"/>
  <c r="FL79" i="8"/>
  <c r="AP79" i="8"/>
  <c r="AR79" i="8" s="1"/>
  <c r="EB79" i="8"/>
  <c r="DC79" i="8"/>
  <c r="CQ73" i="8"/>
  <c r="CZ73" i="8"/>
  <c r="CM73" i="8"/>
  <c r="F47" i="28"/>
  <c r="BZ47" i="11"/>
  <c r="DC30" i="8"/>
  <c r="AS24" i="11"/>
  <c r="AO24" i="11"/>
  <c r="AQ24" i="11" s="1"/>
  <c r="AU24" i="11" s="1"/>
  <c r="EZ77" i="8"/>
  <c r="AO14" i="11"/>
  <c r="AQ14" i="11" s="1"/>
  <c r="AU14" i="11" s="1"/>
  <c r="AS14" i="11"/>
  <c r="HZ58" i="8"/>
  <c r="HM58" i="8"/>
  <c r="HQ58" i="8"/>
  <c r="HV58" i="8"/>
  <c r="GO58" i="8"/>
  <c r="HF58" i="8"/>
  <c r="GZ58" i="8"/>
  <c r="HA58" i="8"/>
  <c r="GT58" i="8"/>
  <c r="GE58" i="8"/>
  <c r="GX58" i="8"/>
  <c r="HJ58" i="8"/>
  <c r="GR58" i="8"/>
  <c r="HU58" i="8"/>
  <c r="GS58" i="8"/>
  <c r="GJ58" i="8"/>
  <c r="HO58" i="8"/>
  <c r="GI58" i="8"/>
  <c r="HY58" i="8"/>
  <c r="GV58" i="8"/>
  <c r="HH58" i="8"/>
  <c r="GK58" i="8"/>
  <c r="GG58" i="8"/>
  <c r="GW58" i="8"/>
  <c r="HK58" i="8"/>
  <c r="HG58" i="8"/>
  <c r="GY58" i="8"/>
  <c r="GU58" i="8"/>
  <c r="GN58" i="8"/>
  <c r="GF58" i="8"/>
  <c r="GH58" i="8"/>
  <c r="HI58" i="8"/>
  <c r="GL58" i="8"/>
  <c r="HX58" i="8"/>
  <c r="HR58" i="8"/>
  <c r="HW58" i="8"/>
  <c r="HT58" i="8"/>
  <c r="HE58" i="8"/>
  <c r="HC58" i="8"/>
  <c r="HB58" i="8"/>
  <c r="HS58" i="8"/>
  <c r="GM58" i="8"/>
  <c r="HN58" i="8"/>
  <c r="HL58" i="8"/>
  <c r="AN65" i="11"/>
  <c r="AP65" i="11" s="1"/>
  <c r="AT65" i="11" s="1"/>
  <c r="AR65" i="11"/>
  <c r="DI79" i="8"/>
  <c r="HL48" i="8"/>
  <c r="EH48" i="8"/>
  <c r="EO48" i="8"/>
  <c r="EX48" i="8" s="1"/>
  <c r="DA79" i="8"/>
  <c r="DI73" i="8"/>
  <c r="Z30" i="11"/>
  <c r="AI30" i="11"/>
  <c r="BZ77" i="11"/>
  <c r="F77" i="28"/>
  <c r="DA73" i="8"/>
  <c r="CQ30" i="8"/>
  <c r="CZ30" i="8"/>
  <c r="CM30" i="8"/>
  <c r="FD75" i="9"/>
  <c r="CJ75" i="8" s="1"/>
  <c r="FF75" i="9"/>
  <c r="CK75" i="8" s="1"/>
  <c r="FE75" i="9"/>
  <c r="CN75" i="8" s="1"/>
  <c r="FG75" i="9"/>
  <c r="CO75" i="8" s="1"/>
  <c r="AS11" i="11"/>
  <c r="AO11" i="11"/>
  <c r="AQ11" i="11" s="1"/>
  <c r="AU11" i="11" s="1"/>
  <c r="EX77" i="8"/>
  <c r="EW77" i="8"/>
  <c r="EY77" i="8"/>
  <c r="EU77" i="8"/>
  <c r="EV77" i="8"/>
  <c r="FA77" i="8"/>
  <c r="ET77" i="8"/>
  <c r="I38" i="27"/>
  <c r="BS38" i="11"/>
  <c r="AG14" i="11"/>
  <c r="AZ14" i="11"/>
  <c r="BU14" i="11"/>
  <c r="H14" i="27" s="1"/>
  <c r="BG14" i="11"/>
  <c r="BH14" i="11" s="1"/>
  <c r="BI14" i="11" s="1"/>
  <c r="BM14" i="11" s="1"/>
  <c r="AW14" i="11"/>
  <c r="AV65" i="11"/>
  <c r="AX65" i="11"/>
  <c r="ER65" i="8"/>
  <c r="EX65" i="8" s="1"/>
  <c r="AJ79" i="11"/>
  <c r="V79" i="11"/>
  <c r="Y79" i="11" s="1"/>
  <c r="U79" i="11"/>
  <c r="CR14" i="8"/>
  <c r="DF14" i="8" s="1"/>
  <c r="DE14" i="8"/>
  <c r="BW37" i="11"/>
  <c r="AY37" i="11"/>
  <c r="BF37" i="11"/>
  <c r="AF37" i="11"/>
  <c r="FZ30" i="8"/>
  <c r="EV48" i="8"/>
  <c r="EU48" i="8"/>
  <c r="ET48" i="8"/>
  <c r="FA48" i="8"/>
  <c r="EW48" i="8"/>
  <c r="DC73" i="8"/>
  <c r="BU11" i="11"/>
  <c r="H11" i="27" s="1"/>
  <c r="BG11" i="11"/>
  <c r="BH11" i="11" s="1"/>
  <c r="BI11" i="11" s="1"/>
  <c r="BM11" i="11" s="1"/>
  <c r="AZ11" i="11"/>
  <c r="AW11" i="11"/>
  <c r="AN77" i="11"/>
  <c r="AP77" i="11" s="1"/>
  <c r="AT77" i="11" s="1"/>
  <c r="AR77" i="11"/>
  <c r="CT47" i="8"/>
  <c r="CR24" i="8"/>
  <c r="DE24" i="8"/>
  <c r="W65" i="11"/>
  <c r="AK65" i="11"/>
  <c r="EQ65" i="8"/>
  <c r="EZ65" i="8" s="1"/>
  <c r="AY24" i="11"/>
  <c r="BW24" i="11"/>
  <c r="BF24" i="11"/>
  <c r="AF24" i="11"/>
  <c r="AH37" i="11"/>
  <c r="X37" i="11"/>
  <c r="DC37" i="8"/>
  <c r="CM37" i="8"/>
  <c r="AN51" i="11"/>
  <c r="AP51" i="11" s="1"/>
  <c r="AT51" i="11" s="1"/>
  <c r="AR51" i="11"/>
  <c r="AV77" i="11"/>
  <c r="AX77" i="11"/>
  <c r="DB24" i="8"/>
  <c r="CZ48" i="8"/>
  <c r="CQ48" i="8"/>
  <c r="DB48" i="8" s="1"/>
  <c r="DT65" i="8"/>
  <c r="DO65" i="8"/>
  <c r="DN65" i="8"/>
  <c r="DW65" i="8"/>
  <c r="DU65" i="8"/>
  <c r="DV65" i="8"/>
  <c r="DM65" i="8"/>
  <c r="DL65" i="8"/>
  <c r="DQ65" i="8"/>
  <c r="DR65" i="8"/>
  <c r="DK65" i="8"/>
  <c r="DH65" i="8"/>
  <c r="EQ14" i="8"/>
  <c r="EZ14" i="8" s="1"/>
  <c r="GL6" i="8"/>
  <c r="GX6" i="8"/>
  <c r="GU6" i="8"/>
  <c r="GN6" i="8"/>
  <c r="GH6" i="8"/>
  <c r="HL6" i="8"/>
  <c r="HB6" i="8"/>
  <c r="HY6" i="8"/>
  <c r="GF6" i="8"/>
  <c r="GS6" i="8"/>
  <c r="GV6" i="8"/>
  <c r="HN6" i="8"/>
  <c r="HA6" i="8"/>
  <c r="HG6" i="8"/>
  <c r="HV6" i="8"/>
  <c r="GZ6" i="8"/>
  <c r="GY6" i="8"/>
  <c r="HI6" i="8"/>
  <c r="HK6" i="8"/>
  <c r="HF6" i="8"/>
  <c r="HW6" i="8"/>
  <c r="GM6" i="8"/>
  <c r="HE6" i="8"/>
  <c r="GO6" i="8"/>
  <c r="GE6" i="8"/>
  <c r="HQ6" i="8"/>
  <c r="GK6" i="8"/>
  <c r="HO6" i="8"/>
  <c r="GG6" i="8"/>
  <c r="GR6" i="8"/>
  <c r="HT6" i="8"/>
  <c r="GJ6" i="8"/>
  <c r="HZ6" i="8"/>
  <c r="HH6" i="8"/>
  <c r="HJ6" i="8"/>
  <c r="GT6" i="8"/>
  <c r="HM6" i="8"/>
  <c r="HU6" i="8"/>
  <c r="HR6" i="8"/>
  <c r="HC6" i="8"/>
  <c r="GI6" i="8"/>
  <c r="HS6" i="8"/>
  <c r="GW6" i="8"/>
  <c r="HX6" i="8"/>
  <c r="X24" i="11"/>
  <c r="AH24" i="11"/>
  <c r="DB14" i="8"/>
  <c r="CT14" i="8"/>
  <c r="DP14" i="8" s="1"/>
  <c r="E75" i="28"/>
  <c r="CV75" i="8"/>
  <c r="R75" i="11"/>
  <c r="AE51" i="11"/>
  <c r="AV51" i="11"/>
  <c r="AX51" i="11"/>
  <c r="X11" i="11"/>
  <c r="AH11" i="11"/>
  <c r="CJ48" i="8"/>
  <c r="DC48" i="8" s="1"/>
  <c r="FH48" i="9"/>
  <c r="DO58" i="8"/>
  <c r="DP58" i="8"/>
  <c r="DL58" i="8"/>
  <c r="DR58" i="8"/>
  <c r="DT58" i="8"/>
  <c r="DM58" i="8"/>
  <c r="DK58" i="8"/>
  <c r="DN58" i="8"/>
  <c r="DW58" i="8"/>
  <c r="DV58" i="8"/>
  <c r="DH58" i="8"/>
  <c r="DQ58" i="8"/>
  <c r="DU58" i="8"/>
  <c r="DS58" i="8"/>
  <c r="DT77" i="8"/>
  <c r="DV77" i="8"/>
  <c r="DR77" i="8"/>
  <c r="DK77" i="8"/>
  <c r="DM77" i="8"/>
  <c r="DO77" i="8"/>
  <c r="DL77" i="8"/>
  <c r="DN77" i="8"/>
  <c r="DU77" i="8"/>
  <c r="DW77" i="8"/>
  <c r="DQ77" i="8"/>
  <c r="DH77" i="8"/>
  <c r="X14" i="11"/>
  <c r="AH14" i="11"/>
  <c r="BS51" i="11"/>
  <c r="CH51" i="11" s="1"/>
  <c r="GD51" i="8" s="1"/>
  <c r="I51" i="27"/>
  <c r="I47" i="27"/>
  <c r="BS47" i="11"/>
  <c r="FH30" i="9"/>
  <c r="AN47" i="11"/>
  <c r="AP47" i="11" s="1"/>
  <c r="AT47" i="11" s="1"/>
  <c r="AR47" i="11"/>
  <c r="EH30" i="8"/>
  <c r="HL30" i="8"/>
  <c r="EO30" i="8"/>
  <c r="EX30" i="8" s="1"/>
  <c r="AL75" i="8"/>
  <c r="DZ75" i="11"/>
  <c r="AJ30" i="11"/>
  <c r="V30" i="11"/>
  <c r="Y30" i="11" s="1"/>
  <c r="U30" i="11"/>
  <c r="AY11" i="11"/>
  <c r="BF11" i="11"/>
  <c r="BW11" i="11"/>
  <c r="F65" i="28"/>
  <c r="BZ65" i="11"/>
  <c r="AF14" i="11"/>
  <c r="AY14" i="11"/>
  <c r="BW14" i="11"/>
  <c r="BF14" i="11"/>
  <c r="DD79" i="8"/>
  <c r="BZ51" i="11"/>
  <c r="F51" i="28"/>
  <c r="FH73" i="9"/>
  <c r="DA30" i="8"/>
  <c r="BU37" i="11"/>
  <c r="H37" i="27" s="1"/>
  <c r="BG37" i="11"/>
  <c r="BH37" i="11" s="1"/>
  <c r="BI37" i="11" s="1"/>
  <c r="BM37" i="11" s="1"/>
  <c r="AZ37" i="11"/>
  <c r="AW37" i="11"/>
  <c r="AG37" i="11"/>
  <c r="FZ77" i="8"/>
  <c r="AV47" i="11"/>
  <c r="AX47" i="11"/>
  <c r="DE11" i="8"/>
  <c r="CR11" i="8"/>
  <c r="U48" i="11"/>
  <c r="AJ48" i="11"/>
  <c r="V48" i="11"/>
  <c r="Y48" i="11" s="1"/>
  <c r="DI30" i="8"/>
  <c r="H75" i="28"/>
  <c r="DS75" i="11"/>
  <c r="AN24" i="18"/>
  <c r="P24" i="21"/>
  <c r="V24" i="21" s="1"/>
  <c r="W24" i="21" s="1"/>
  <c r="AN37" i="18"/>
  <c r="P23" i="21"/>
  <c r="V23" i="21" s="1"/>
  <c r="W23" i="21" s="1"/>
  <c r="AN21" i="18"/>
  <c r="AN36" i="18"/>
  <c r="P21" i="21"/>
  <c r="V21" i="21" s="1"/>
  <c r="W21" i="21" s="1"/>
  <c r="P20" i="21"/>
  <c r="V20" i="21" s="1"/>
  <c r="W20" i="21" s="1"/>
  <c r="AN20" i="18"/>
  <c r="AN19" i="18"/>
  <c r="AN17" i="18"/>
  <c r="P10" i="21"/>
  <c r="V10" i="21" s="1"/>
  <c r="W10" i="21" s="1"/>
  <c r="AN10" i="18"/>
  <c r="P7" i="21"/>
  <c r="V7" i="21" s="1"/>
  <c r="W7" i="21" s="1"/>
  <c r="AN7" i="18"/>
  <c r="P6" i="21"/>
  <c r="V6" i="21" s="1"/>
  <c r="W6" i="21" s="1"/>
  <c r="AN6" i="18"/>
  <c r="AN26" i="18"/>
  <c r="AN5" i="18"/>
  <c r="P5" i="21"/>
  <c r="V5" i="21" s="1"/>
  <c r="W5" i="21" s="1"/>
  <c r="CC39" i="11"/>
  <c r="CI39" i="11" s="1"/>
  <c r="G39" i="28"/>
  <c r="BS39" i="11"/>
  <c r="CH39" i="11" s="1"/>
  <c r="GD39" i="8" s="1"/>
  <c r="I39" i="27"/>
  <c r="DT39" i="8"/>
  <c r="DR39" i="8"/>
  <c r="DK39" i="8"/>
  <c r="DP39" i="8"/>
  <c r="DH39" i="8"/>
  <c r="DN39" i="8"/>
  <c r="DW39" i="8"/>
  <c r="DS39" i="8"/>
  <c r="DV39" i="8"/>
  <c r="DO39" i="8"/>
  <c r="DU39" i="8"/>
  <c r="DQ39" i="8"/>
  <c r="DM39" i="8"/>
  <c r="DL39" i="8"/>
  <c r="EX66" i="8"/>
  <c r="F4" i="28"/>
  <c r="BZ4" i="11"/>
  <c r="CT4" i="8"/>
  <c r="DF4" i="8"/>
  <c r="AR4" i="11"/>
  <c r="AN4" i="11"/>
  <c r="AP4" i="11" s="1"/>
  <c r="AT4" i="11" s="1"/>
  <c r="BS4" i="11"/>
  <c r="CH4" i="11" s="1"/>
  <c r="GD4" i="8" s="1"/>
  <c r="I4" i="27"/>
  <c r="AX4" i="11"/>
  <c r="AV4" i="11"/>
  <c r="FW84" i="8"/>
  <c r="FZ84" i="8" s="1"/>
  <c r="GB84" i="8" s="1"/>
  <c r="CW15" i="11"/>
  <c r="BP15" i="11"/>
  <c r="CR15" i="8"/>
  <c r="DE15" i="8"/>
  <c r="F15" i="28"/>
  <c r="BZ15" i="11"/>
  <c r="CV15" i="11"/>
  <c r="AN15" i="11"/>
  <c r="AP15" i="11" s="1"/>
  <c r="AT15" i="11" s="1"/>
  <c r="AR15" i="11"/>
  <c r="AE15" i="11"/>
  <c r="AX15" i="11"/>
  <c r="AV15" i="11"/>
  <c r="DM6" i="8"/>
  <c r="DU6" i="8"/>
  <c r="DO6" i="8"/>
  <c r="DS6" i="8"/>
  <c r="DN6" i="8"/>
  <c r="DH6" i="8"/>
  <c r="DQ6" i="8"/>
  <c r="DK6" i="8"/>
  <c r="DL6" i="8"/>
  <c r="DP6" i="8"/>
  <c r="DV6" i="8"/>
  <c r="DR6" i="8"/>
  <c r="DW6" i="8"/>
  <c r="AK66" i="11"/>
  <c r="W66" i="11"/>
  <c r="DT6" i="8"/>
  <c r="AV54" i="11"/>
  <c r="AX54" i="11"/>
  <c r="AE54" i="11"/>
  <c r="DA84" i="8"/>
  <c r="CZ84" i="8"/>
  <c r="CQ84" i="8"/>
  <c r="CM84" i="8"/>
  <c r="DS54" i="8"/>
  <c r="DO54" i="8"/>
  <c r="DQ54" i="8"/>
  <c r="DU54" i="8"/>
  <c r="DM54" i="8"/>
  <c r="DH54" i="8"/>
  <c r="DW54" i="8"/>
  <c r="DL54" i="8"/>
  <c r="DK54" i="8"/>
  <c r="DV54" i="8"/>
  <c r="DN54" i="8"/>
  <c r="DR54" i="8"/>
  <c r="V84" i="11"/>
  <c r="Y84" i="11" s="1"/>
  <c r="AJ84" i="11"/>
  <c r="U84" i="11"/>
  <c r="F54" i="28"/>
  <c r="BZ54" i="11"/>
  <c r="CV54" i="11"/>
  <c r="DF54" i="8"/>
  <c r="DT54" i="8"/>
  <c r="DC84" i="8"/>
  <c r="E84" i="27"/>
  <c r="EI84" i="8"/>
  <c r="ER84" i="8" s="1"/>
  <c r="T84" i="11"/>
  <c r="AR54" i="11"/>
  <c r="AN54" i="11"/>
  <c r="AP54" i="11" s="1"/>
  <c r="AT54" i="11" s="1"/>
  <c r="DI84" i="8"/>
  <c r="FH84" i="9"/>
  <c r="DD84" i="8"/>
  <c r="CW54" i="11"/>
  <c r="BP54" i="11"/>
  <c r="EO84" i="8"/>
  <c r="EH84" i="8"/>
  <c r="EQ84" i="8" s="1"/>
  <c r="EY60" i="8"/>
  <c r="CT34" i="8"/>
  <c r="DF34" i="8"/>
  <c r="DT34" i="8"/>
  <c r="BS55" i="11"/>
  <c r="CH55" i="11" s="1"/>
  <c r="GD55" i="8" s="1"/>
  <c r="I55" i="27"/>
  <c r="DE25" i="8"/>
  <c r="CR25" i="8"/>
  <c r="BP34" i="11"/>
  <c r="CW34" i="11"/>
  <c r="CW25" i="11"/>
  <c r="BP25" i="11"/>
  <c r="AX34" i="11"/>
  <c r="AV34" i="11"/>
  <c r="AV19" i="11"/>
  <c r="AX19" i="11"/>
  <c r="AR25" i="11"/>
  <c r="AN25" i="11"/>
  <c r="AP25" i="11" s="1"/>
  <c r="AT25" i="11" s="1"/>
  <c r="BP19" i="11"/>
  <c r="CW19" i="11"/>
  <c r="CR19" i="8"/>
  <c r="DE19" i="8"/>
  <c r="I81" i="27"/>
  <c r="BS81" i="11"/>
  <c r="BZ34" i="11"/>
  <c r="F34" i="28"/>
  <c r="CV34" i="11"/>
  <c r="AR19" i="11"/>
  <c r="AN19" i="11"/>
  <c r="AP19" i="11" s="1"/>
  <c r="AT19" i="11" s="1"/>
  <c r="AE25" i="11"/>
  <c r="AV25" i="11"/>
  <c r="AX25" i="11"/>
  <c r="BZ25" i="11"/>
  <c r="CV25" i="11"/>
  <c r="F25" i="28"/>
  <c r="HY59" i="8"/>
  <c r="GL59" i="8"/>
  <c r="HS59" i="8"/>
  <c r="HR59" i="8"/>
  <c r="GU59" i="8"/>
  <c r="HB59" i="8"/>
  <c r="GV59" i="8"/>
  <c r="GJ59" i="8"/>
  <c r="HC59" i="8"/>
  <c r="HX59" i="8"/>
  <c r="GI59" i="8"/>
  <c r="GX59" i="8"/>
  <c r="HO59" i="8"/>
  <c r="HH59" i="8"/>
  <c r="GR59" i="8"/>
  <c r="HG59" i="8"/>
  <c r="HN59" i="8"/>
  <c r="HJ59" i="8"/>
  <c r="HT59" i="8"/>
  <c r="HK59" i="8"/>
  <c r="GS59" i="8"/>
  <c r="GY59" i="8"/>
  <c r="HM59" i="8"/>
  <c r="GH59" i="8"/>
  <c r="GN59" i="8"/>
  <c r="GF59" i="8"/>
  <c r="HQ59" i="8"/>
  <c r="HI59" i="8"/>
  <c r="GW59" i="8"/>
  <c r="GM59" i="8"/>
  <c r="HZ59" i="8"/>
  <c r="HU59" i="8"/>
  <c r="HF59" i="8"/>
  <c r="GT59" i="8"/>
  <c r="GZ59" i="8"/>
  <c r="HW59" i="8"/>
  <c r="HA59" i="8"/>
  <c r="GK59" i="8"/>
  <c r="GG59" i="8"/>
  <c r="GE59" i="8"/>
  <c r="HE59" i="8"/>
  <c r="HL59" i="8"/>
  <c r="HV59" i="8"/>
  <c r="GO59" i="8"/>
  <c r="CT55" i="8"/>
  <c r="DF55" i="8"/>
  <c r="CV19" i="11"/>
  <c r="BZ19" i="11"/>
  <c r="F19" i="28"/>
  <c r="AN34" i="11"/>
  <c r="AP34" i="11" s="1"/>
  <c r="AT34" i="11" s="1"/>
  <c r="AR34" i="11"/>
  <c r="G55" i="28"/>
  <c r="CC55" i="11"/>
  <c r="CI55" i="11" s="1"/>
  <c r="DM10" i="8"/>
  <c r="DO10" i="8"/>
  <c r="DH10" i="8"/>
  <c r="DP10" i="8"/>
  <c r="DV10" i="8"/>
  <c r="DL10" i="8"/>
  <c r="DR10" i="8"/>
  <c r="DW10" i="8"/>
  <c r="DQ10" i="8"/>
  <c r="DU10" i="8"/>
  <c r="DN10" i="8"/>
  <c r="DK10" i="8"/>
  <c r="DS10" i="8"/>
  <c r="EY31" i="8"/>
  <c r="BW36" i="11"/>
  <c r="AF36" i="11"/>
  <c r="BF36" i="11"/>
  <c r="AY36" i="11"/>
  <c r="AZ36" i="11"/>
  <c r="BG36" i="11"/>
  <c r="BH36" i="11" s="1"/>
  <c r="BI36" i="11" s="1"/>
  <c r="BM36" i="11" s="1"/>
  <c r="BU36" i="11"/>
  <c r="H36" i="27" s="1"/>
  <c r="AW36" i="11"/>
  <c r="AG36" i="11"/>
  <c r="CW10" i="11"/>
  <c r="BP10" i="11"/>
  <c r="CR36" i="8"/>
  <c r="DE36" i="8"/>
  <c r="AO36" i="11"/>
  <c r="AQ36" i="11" s="1"/>
  <c r="AU36" i="11" s="1"/>
  <c r="AS36" i="11"/>
  <c r="AN10" i="11"/>
  <c r="AP10" i="11" s="1"/>
  <c r="AT10" i="11" s="1"/>
  <c r="AR10" i="11"/>
  <c r="FH80" i="9"/>
  <c r="G28" i="28"/>
  <c r="CC28" i="11"/>
  <c r="CI28" i="11" s="1"/>
  <c r="X36" i="11"/>
  <c r="AH36" i="11"/>
  <c r="AE10" i="11"/>
  <c r="AV10" i="11"/>
  <c r="AX10" i="11"/>
  <c r="FH64" i="9"/>
  <c r="DB36" i="8"/>
  <c r="CT36" i="8"/>
  <c r="DS36" i="8" s="1"/>
  <c r="I28" i="27"/>
  <c r="BS28" i="11"/>
  <c r="CH28" i="11" s="1"/>
  <c r="GD28" i="8" s="1"/>
  <c r="DT28" i="8"/>
  <c r="DK28" i="8"/>
  <c r="DR28" i="8"/>
  <c r="DO28" i="8"/>
  <c r="DP28" i="8"/>
  <c r="DL28" i="8"/>
  <c r="DW28" i="8"/>
  <c r="DS28" i="8"/>
  <c r="DV28" i="8"/>
  <c r="DM28" i="8"/>
  <c r="DQ28" i="8"/>
  <c r="DU28" i="8"/>
  <c r="DH28" i="8"/>
  <c r="DN28" i="8"/>
  <c r="DF10" i="8"/>
  <c r="DT10" i="8"/>
  <c r="CV10" i="11"/>
  <c r="F10" i="28"/>
  <c r="BZ10" i="11"/>
  <c r="GB64" i="8"/>
  <c r="I50" i="27"/>
  <c r="BS50" i="11"/>
  <c r="DC64" i="8"/>
  <c r="U64" i="11"/>
  <c r="V64" i="11"/>
  <c r="Y64" i="11" s="1"/>
  <c r="AF64" i="11" s="1"/>
  <c r="AJ64" i="11"/>
  <c r="EY64" i="8"/>
  <c r="FA64" i="8"/>
  <c r="ET64" i="8"/>
  <c r="EW64" i="8"/>
  <c r="EU64" i="8"/>
  <c r="EV64" i="8"/>
  <c r="AS71" i="11"/>
  <c r="AO71" i="11"/>
  <c r="AQ71" i="11" s="1"/>
  <c r="AU71" i="11" s="1"/>
  <c r="AO12" i="11"/>
  <c r="AQ12" i="11" s="1"/>
  <c r="AU12" i="11" s="1"/>
  <c r="AS12" i="11"/>
  <c r="DS50" i="8"/>
  <c r="DK50" i="8"/>
  <c r="DQ50" i="8"/>
  <c r="DH50" i="8"/>
  <c r="DW50" i="8"/>
  <c r="DU50" i="8"/>
  <c r="DM50" i="8"/>
  <c r="DV50" i="8"/>
  <c r="DR50" i="8"/>
  <c r="DO50" i="8"/>
  <c r="DL50" i="8"/>
  <c r="DN50" i="8"/>
  <c r="G17" i="28"/>
  <c r="CC17" i="11"/>
  <c r="CI17" i="11" s="1"/>
  <c r="CV16" i="11"/>
  <c r="BZ16" i="11"/>
  <c r="F16" i="28"/>
  <c r="Z21" i="11"/>
  <c r="AI21" i="11"/>
  <c r="GY17" i="8"/>
  <c r="GX17" i="8"/>
  <c r="HL17" i="8"/>
  <c r="HS17" i="8"/>
  <c r="HO17" i="8"/>
  <c r="GJ17" i="8"/>
  <c r="GR17" i="8"/>
  <c r="HE17" i="8"/>
  <c r="GZ17" i="8"/>
  <c r="HN17" i="8"/>
  <c r="GM17" i="8"/>
  <c r="HH17" i="8"/>
  <c r="GK17" i="8"/>
  <c r="HI17" i="8"/>
  <c r="GO17" i="8"/>
  <c r="HF17" i="8"/>
  <c r="HV17" i="8"/>
  <c r="HB17" i="8"/>
  <c r="HU17" i="8"/>
  <c r="GW17" i="8"/>
  <c r="HR17" i="8"/>
  <c r="HW17" i="8"/>
  <c r="GS17" i="8"/>
  <c r="GG17" i="8"/>
  <c r="HC17" i="8"/>
  <c r="HM17" i="8"/>
  <c r="HY17" i="8"/>
  <c r="GU17" i="8"/>
  <c r="HJ17" i="8"/>
  <c r="GE17" i="8"/>
  <c r="HQ17" i="8"/>
  <c r="HX17" i="8"/>
  <c r="HG17" i="8"/>
  <c r="HK17" i="8"/>
  <c r="GF17" i="8"/>
  <c r="GN17" i="8"/>
  <c r="HA17" i="8"/>
  <c r="GL17" i="8"/>
  <c r="HT17" i="8"/>
  <c r="HZ17" i="8"/>
  <c r="GT17" i="8"/>
  <c r="GH17" i="8"/>
  <c r="GV17" i="8"/>
  <c r="GI17" i="8"/>
  <c r="CR12" i="8"/>
  <c r="CT12" i="8" s="1"/>
  <c r="DE12" i="8"/>
  <c r="DF7" i="8"/>
  <c r="AR50" i="11"/>
  <c r="AN50" i="11"/>
  <c r="AP50" i="11" s="1"/>
  <c r="AT50" i="11" s="1"/>
  <c r="BW12" i="11"/>
  <c r="BF12" i="11"/>
  <c r="AY12" i="11"/>
  <c r="CZ64" i="8"/>
  <c r="CQ64" i="8"/>
  <c r="CM64" i="8"/>
  <c r="BG71" i="11"/>
  <c r="BH71" i="11" s="1"/>
  <c r="BI71" i="11" s="1"/>
  <c r="BM71" i="11" s="1"/>
  <c r="BP71" i="11" s="1"/>
  <c r="AZ71" i="11"/>
  <c r="BU71" i="11"/>
  <c r="H71" i="27" s="1"/>
  <c r="AW71" i="11"/>
  <c r="CT16" i="8"/>
  <c r="DT16" i="8" s="1"/>
  <c r="DF16" i="8"/>
  <c r="BG12" i="11"/>
  <c r="BH12" i="11" s="1"/>
  <c r="BI12" i="11" s="1"/>
  <c r="BM12" i="11" s="1"/>
  <c r="AZ12" i="11"/>
  <c r="AW12" i="11"/>
  <c r="BU12" i="11"/>
  <c r="H12" i="27" s="1"/>
  <c r="CZ21" i="8"/>
  <c r="CQ21" i="8"/>
  <c r="CM21" i="8"/>
  <c r="AX50" i="11"/>
  <c r="AV50" i="11"/>
  <c r="GP35" i="8"/>
  <c r="AN16" i="11"/>
  <c r="AP16" i="11" s="1"/>
  <c r="AT16" i="11" s="1"/>
  <c r="AR16" i="11"/>
  <c r="X12" i="11"/>
  <c r="AH12" i="11"/>
  <c r="U21" i="11"/>
  <c r="V21" i="11"/>
  <c r="Y21" i="11" s="1"/>
  <c r="AJ21" i="11"/>
  <c r="DD64" i="8"/>
  <c r="DI64" i="8"/>
  <c r="AK64" i="11"/>
  <c r="W64" i="11"/>
  <c r="F7" i="28"/>
  <c r="BZ7" i="11"/>
  <c r="V72" i="11"/>
  <c r="Y72" i="11" s="1"/>
  <c r="U72" i="11"/>
  <c r="AJ72" i="11"/>
  <c r="BP16" i="11"/>
  <c r="CW16" i="11"/>
  <c r="IG57" i="8"/>
  <c r="IH57" i="8"/>
  <c r="IQ57" i="8"/>
  <c r="IM57" i="8"/>
  <c r="IV57" i="8"/>
  <c r="IS57" i="8"/>
  <c r="IU57" i="8"/>
  <c r="IP57" i="8"/>
  <c r="IW57" i="8"/>
  <c r="IE57" i="8"/>
  <c r="IJ57" i="8"/>
  <c r="ID57" i="8"/>
  <c r="II57" i="8"/>
  <c r="IF57" i="8"/>
  <c r="IR57" i="8"/>
  <c r="IK57" i="8"/>
  <c r="IL57" i="8"/>
  <c r="IC57" i="8"/>
  <c r="IN57" i="8"/>
  <c r="IT57" i="8"/>
  <c r="IX57" i="8"/>
  <c r="FH21" i="9"/>
  <c r="CQ72" i="8"/>
  <c r="CM72" i="8"/>
  <c r="CZ72" i="8"/>
  <c r="CT7" i="8"/>
  <c r="DT7" i="8" s="1"/>
  <c r="DB12" i="8"/>
  <c r="AV7" i="11"/>
  <c r="AX7" i="11"/>
  <c r="EZ64" i="8"/>
  <c r="GP22" i="8"/>
  <c r="IB81" i="8"/>
  <c r="C81" i="28"/>
  <c r="AE16" i="11"/>
  <c r="AV16" i="11"/>
  <c r="AX16" i="11"/>
  <c r="DA64" i="8"/>
  <c r="BZ50" i="11"/>
  <c r="F50" i="28"/>
  <c r="DP50" i="8"/>
  <c r="HX71" i="8"/>
  <c r="GB71" i="8"/>
  <c r="HZ71" i="8" s="1"/>
  <c r="BS7" i="11"/>
  <c r="CH7" i="11" s="1"/>
  <c r="GD7" i="8" s="1"/>
  <c r="I7" i="27"/>
  <c r="FH72" i="9"/>
  <c r="AR7" i="11"/>
  <c r="AN7" i="11"/>
  <c r="AP7" i="11" s="1"/>
  <c r="AT7" i="11" s="1"/>
  <c r="DT50" i="8"/>
  <c r="DF50" i="8"/>
  <c r="EB72" i="8"/>
  <c r="GK72" i="8"/>
  <c r="GP72" i="8" s="1"/>
  <c r="FL72" i="8"/>
  <c r="EF72" i="8"/>
  <c r="AP72" i="8"/>
  <c r="AR72" i="8" s="1"/>
  <c r="BZ72" i="8"/>
  <c r="CD72" i="8" s="1"/>
  <c r="CF72" i="8" s="1"/>
  <c r="EO21" i="8"/>
  <c r="EX21" i="8" s="1"/>
  <c r="EH21" i="8"/>
  <c r="EQ21" i="8" s="1"/>
  <c r="EZ21" i="8" s="1"/>
  <c r="EX64" i="8"/>
  <c r="GB33" i="8"/>
  <c r="D90" i="28"/>
  <c r="EQ13" i="8"/>
  <c r="EZ13" i="8" s="1"/>
  <c r="EO60" i="8"/>
  <c r="EX60" i="8" s="1"/>
  <c r="EH60" i="8"/>
  <c r="AY78" i="11"/>
  <c r="BW78" i="11"/>
  <c r="BF78" i="11"/>
  <c r="AY33" i="11"/>
  <c r="BF33" i="11"/>
  <c r="BW33" i="11"/>
  <c r="FZ31" i="8"/>
  <c r="HU31" i="8"/>
  <c r="AJ60" i="11"/>
  <c r="U60" i="11"/>
  <c r="V60" i="11"/>
  <c r="Y60" i="11" s="1"/>
  <c r="DE46" i="8"/>
  <c r="CR46" i="8"/>
  <c r="BP13" i="11"/>
  <c r="CW13" i="11"/>
  <c r="IB35" i="8"/>
  <c r="C35" i="28"/>
  <c r="X23" i="11"/>
  <c r="AH23" i="11"/>
  <c r="DF56" i="8"/>
  <c r="AN61" i="11"/>
  <c r="AP61" i="11" s="1"/>
  <c r="AT61" i="11" s="1"/>
  <c r="AR61" i="11"/>
  <c r="AP68" i="8"/>
  <c r="AR68" i="8" s="1"/>
  <c r="BZ68" i="8"/>
  <c r="CD68" i="8" s="1"/>
  <c r="CF68" i="8" s="1"/>
  <c r="EF68" i="8"/>
  <c r="FL68" i="8"/>
  <c r="EB68" i="8"/>
  <c r="GK68" i="8"/>
  <c r="GP68" i="8" s="1"/>
  <c r="DF61" i="8"/>
  <c r="FH31" i="9"/>
  <c r="DC31" i="8"/>
  <c r="EO29" i="8"/>
  <c r="EX29" i="8" s="1"/>
  <c r="EH29" i="8"/>
  <c r="BF27" i="11"/>
  <c r="BW27" i="11"/>
  <c r="AY27" i="11"/>
  <c r="DL74" i="8"/>
  <c r="DV74" i="8"/>
  <c r="DM74" i="8"/>
  <c r="DU74" i="8"/>
  <c r="DK74" i="8"/>
  <c r="DH74" i="8"/>
  <c r="DR74" i="8"/>
  <c r="DQ74" i="8"/>
  <c r="DW74" i="8"/>
  <c r="DN74" i="8"/>
  <c r="DO74" i="8"/>
  <c r="DP74" i="8"/>
  <c r="DS74" i="8"/>
  <c r="DT62" i="8"/>
  <c r="DF62" i="8"/>
  <c r="AK78" i="11"/>
  <c r="W78" i="11"/>
  <c r="FZ13" i="8"/>
  <c r="FV70" i="8"/>
  <c r="HT70" i="8" s="1"/>
  <c r="HH70" i="8"/>
  <c r="AO74" i="11"/>
  <c r="AQ74" i="11" s="1"/>
  <c r="AU74" i="11" s="1"/>
  <c r="AS74" i="11"/>
  <c r="AY13" i="11"/>
  <c r="BW13" i="11"/>
  <c r="BF13" i="11"/>
  <c r="DD68" i="8"/>
  <c r="CQ60" i="8"/>
  <c r="CZ60" i="8"/>
  <c r="CM60" i="8"/>
  <c r="DC29" i="8"/>
  <c r="G74" i="28"/>
  <c r="CC74" i="11"/>
  <c r="CI74" i="11" s="1"/>
  <c r="CT56" i="8"/>
  <c r="DB70" i="8"/>
  <c r="AV56" i="11"/>
  <c r="AX56" i="11"/>
  <c r="H83" i="28"/>
  <c r="DS83" i="11"/>
  <c r="CR18" i="8"/>
  <c r="CT18" i="8" s="1"/>
  <c r="DE18" i="8"/>
  <c r="EW31" i="8"/>
  <c r="FA31" i="8"/>
  <c r="ET31" i="8"/>
  <c r="EU31" i="8"/>
  <c r="EV31" i="8"/>
  <c r="BZ56" i="11"/>
  <c r="F56" i="28"/>
  <c r="CV62" i="11"/>
  <c r="F62" i="28"/>
  <c r="BZ62" i="11"/>
  <c r="X20" i="11"/>
  <c r="AH20" i="11"/>
  <c r="F61" i="28"/>
  <c r="BZ61" i="11"/>
  <c r="CV61" i="11"/>
  <c r="IB9" i="8"/>
  <c r="C9" i="28"/>
  <c r="DE20" i="8"/>
  <c r="CR20" i="8"/>
  <c r="DF20" i="8" s="1"/>
  <c r="DI60" i="8"/>
  <c r="CR23" i="8"/>
  <c r="CT23" i="8" s="1"/>
  <c r="DP23" i="8" s="1"/>
  <c r="DE23" i="8"/>
  <c r="BZ76" i="8"/>
  <c r="CD76" i="8" s="1"/>
  <c r="CF76" i="8" s="1"/>
  <c r="FL76" i="8"/>
  <c r="GK76" i="8"/>
  <c r="GP76" i="8" s="1"/>
  <c r="EF76" i="8"/>
  <c r="EB76" i="8"/>
  <c r="AP76" i="8"/>
  <c r="AR76" i="8" s="1"/>
  <c r="AY23" i="11"/>
  <c r="BF23" i="11"/>
  <c r="AF23" i="11"/>
  <c r="BW23" i="11"/>
  <c r="AE61" i="11"/>
  <c r="AX61" i="11"/>
  <c r="AV61" i="11"/>
  <c r="EQ78" i="8"/>
  <c r="HN78" i="8"/>
  <c r="CZ31" i="8"/>
  <c r="CQ31" i="8"/>
  <c r="CM31" i="8"/>
  <c r="U68" i="11"/>
  <c r="AJ68" i="11"/>
  <c r="V68" i="11"/>
  <c r="Y68" i="11" s="1"/>
  <c r="GP57" i="8"/>
  <c r="C67" i="28"/>
  <c r="IB67" i="8"/>
  <c r="Z29" i="11"/>
  <c r="AI29" i="11"/>
  <c r="DI29" i="8"/>
  <c r="DL32" i="8"/>
  <c r="DV32" i="8"/>
  <c r="DW32" i="8"/>
  <c r="DM32" i="8"/>
  <c r="DN32" i="8"/>
  <c r="DP32" i="8"/>
  <c r="DK32" i="8"/>
  <c r="DH32" i="8"/>
  <c r="DQ32" i="8"/>
  <c r="DS32" i="8"/>
  <c r="DU32" i="8"/>
  <c r="DR32" i="8"/>
  <c r="DO32" i="8"/>
  <c r="BP62" i="11"/>
  <c r="CW62" i="11"/>
  <c r="AY46" i="11"/>
  <c r="BW46" i="11"/>
  <c r="BF46" i="11"/>
  <c r="AF46" i="11"/>
  <c r="Z60" i="11"/>
  <c r="AI60" i="11"/>
  <c r="EO70" i="8"/>
  <c r="HL70" i="8"/>
  <c r="EH70" i="8"/>
  <c r="AW74" i="11"/>
  <c r="BG74" i="11"/>
  <c r="BH74" i="11" s="1"/>
  <c r="BI74" i="11" s="1"/>
  <c r="BM74" i="11" s="1"/>
  <c r="BP74" i="11" s="1"/>
  <c r="BU74" i="11"/>
  <c r="H74" i="27" s="1"/>
  <c r="AZ74" i="11"/>
  <c r="FH68" i="9"/>
  <c r="DA68" i="8"/>
  <c r="DA60" i="8"/>
  <c r="DD29" i="8"/>
  <c r="E83" i="28"/>
  <c r="CV83" i="8"/>
  <c r="R83" i="11"/>
  <c r="DE13" i="8"/>
  <c r="CR13" i="8"/>
  <c r="DF13" i="8" s="1"/>
  <c r="DB13" i="8"/>
  <c r="CT61" i="8"/>
  <c r="G32" i="28"/>
  <c r="CC32" i="11"/>
  <c r="CI32" i="11" s="1"/>
  <c r="U31" i="11"/>
  <c r="V31" i="11"/>
  <c r="Y31" i="11" s="1"/>
  <c r="AJ31" i="11"/>
  <c r="D76" i="28"/>
  <c r="BM76" i="8"/>
  <c r="BQ76" i="8" s="1"/>
  <c r="BS76" i="8" s="1"/>
  <c r="FC76" i="9"/>
  <c r="AC76" i="8"/>
  <c r="AE76" i="8" s="1"/>
  <c r="EQ20" i="8"/>
  <c r="EZ20" i="8" s="1"/>
  <c r="CW46" i="11"/>
  <c r="BP46" i="11"/>
  <c r="HX74" i="8"/>
  <c r="GB74" i="8"/>
  <c r="HZ74" i="8" s="1"/>
  <c r="IB49" i="8"/>
  <c r="C49" i="28"/>
  <c r="CZ80" i="8"/>
  <c r="CQ80" i="8"/>
  <c r="CM80" i="8"/>
  <c r="HT78" i="8"/>
  <c r="DB20" i="8"/>
  <c r="AO18" i="11"/>
  <c r="AQ18" i="11" s="1"/>
  <c r="AU18" i="11" s="1"/>
  <c r="AS18" i="11"/>
  <c r="AN62" i="11"/>
  <c r="AP62" i="11" s="1"/>
  <c r="AT62" i="11" s="1"/>
  <c r="AR62" i="11"/>
  <c r="U80" i="11"/>
  <c r="AJ80" i="11"/>
  <c r="V80" i="11"/>
  <c r="Y80" i="11" s="1"/>
  <c r="EV60" i="8"/>
  <c r="EW60" i="8"/>
  <c r="ET60" i="8"/>
  <c r="FA60" i="8"/>
  <c r="EU60" i="8"/>
  <c r="DA31" i="8"/>
  <c r="AS67" i="11"/>
  <c r="AO67" i="11"/>
  <c r="AQ67" i="11" s="1"/>
  <c r="AU67" i="11" s="1"/>
  <c r="AO20" i="11"/>
  <c r="AQ20" i="11" s="1"/>
  <c r="AU20" i="11" s="1"/>
  <c r="AS20" i="11"/>
  <c r="AO23" i="11"/>
  <c r="AQ23" i="11" s="1"/>
  <c r="AU23" i="11" s="1"/>
  <c r="AS23" i="11"/>
  <c r="EB80" i="8"/>
  <c r="FL80" i="8"/>
  <c r="EF80" i="8"/>
  <c r="BZ80" i="8"/>
  <c r="CD80" i="8" s="1"/>
  <c r="CF80" i="8" s="1"/>
  <c r="AP80" i="8"/>
  <c r="AR80" i="8" s="1"/>
  <c r="GK80" i="8"/>
  <c r="GP80" i="8" s="1"/>
  <c r="DB78" i="8"/>
  <c r="X46" i="11"/>
  <c r="AH46" i="11"/>
  <c r="DB33" i="8"/>
  <c r="X70" i="11"/>
  <c r="AH70" i="11"/>
  <c r="IB22" i="8"/>
  <c r="C22" i="28"/>
  <c r="DC68" i="8"/>
  <c r="DC60" i="8"/>
  <c r="CZ29" i="8"/>
  <c r="CQ29" i="8"/>
  <c r="CM29" i="8"/>
  <c r="DA29" i="8"/>
  <c r="DE27" i="8"/>
  <c r="CR27" i="8"/>
  <c r="CR70" i="8"/>
  <c r="CT70" i="8" s="1"/>
  <c r="DE70" i="8"/>
  <c r="CW27" i="11"/>
  <c r="BP27" i="11"/>
  <c r="C6" i="28"/>
  <c r="IB6" i="8"/>
  <c r="H76" i="28"/>
  <c r="DS76" i="11"/>
  <c r="AL83" i="8"/>
  <c r="DZ83" i="11"/>
  <c r="X18" i="11"/>
  <c r="AH18" i="11"/>
  <c r="FZ23" i="8"/>
  <c r="BF20" i="11"/>
  <c r="AY20" i="11"/>
  <c r="BW20" i="11"/>
  <c r="DV62" i="8"/>
  <c r="DK62" i="8"/>
  <c r="DM62" i="8"/>
  <c r="DH62" i="8"/>
  <c r="DL62" i="8"/>
  <c r="DU62" i="8"/>
  <c r="DN62" i="8"/>
  <c r="DW62" i="8"/>
  <c r="DR62" i="8"/>
  <c r="DQ62" i="8"/>
  <c r="DO62" i="8"/>
  <c r="X78" i="11"/>
  <c r="AH78" i="11"/>
  <c r="X33" i="11"/>
  <c r="AH33" i="11"/>
  <c r="DB23" i="8"/>
  <c r="CT46" i="8"/>
  <c r="DB46" i="8"/>
  <c r="I61" i="27"/>
  <c r="BS61" i="11"/>
  <c r="CH61" i="11" s="1"/>
  <c r="GD61" i="8" s="1"/>
  <c r="AZ18" i="11"/>
  <c r="BU18" i="11"/>
  <c r="H18" i="27" s="1"/>
  <c r="BG18" i="11"/>
  <c r="BH18" i="11" s="1"/>
  <c r="BI18" i="11" s="1"/>
  <c r="BM18" i="11" s="1"/>
  <c r="BP18" i="11" s="1"/>
  <c r="AW18" i="11"/>
  <c r="AE62" i="11"/>
  <c r="AV62" i="11"/>
  <c r="AX62" i="11"/>
  <c r="BS56" i="11"/>
  <c r="CH56" i="11" s="1"/>
  <c r="GD56" i="8" s="1"/>
  <c r="HX56" i="8" s="1"/>
  <c r="I56" i="27"/>
  <c r="DD31" i="8"/>
  <c r="AZ67" i="11"/>
  <c r="BG67" i="11"/>
  <c r="BH67" i="11" s="1"/>
  <c r="BI67" i="11" s="1"/>
  <c r="BM67" i="11" s="1"/>
  <c r="BP67" i="11" s="1"/>
  <c r="AW67" i="11"/>
  <c r="BU67" i="11"/>
  <c r="H67" i="27" s="1"/>
  <c r="AZ20" i="11"/>
  <c r="BG20" i="11"/>
  <c r="BH20" i="11" s="1"/>
  <c r="BI20" i="11" s="1"/>
  <c r="BM20" i="11" s="1"/>
  <c r="BP20" i="11" s="1"/>
  <c r="AW20" i="11"/>
  <c r="BU20" i="11"/>
  <c r="H20" i="27" s="1"/>
  <c r="DI68" i="8"/>
  <c r="AJ29" i="11"/>
  <c r="U29" i="11"/>
  <c r="V29" i="11"/>
  <c r="Y29" i="11" s="1"/>
  <c r="AW23" i="11"/>
  <c r="AZ23" i="11"/>
  <c r="BG23" i="11"/>
  <c r="BH23" i="11" s="1"/>
  <c r="BI23" i="11" s="1"/>
  <c r="BM23" i="11" s="1"/>
  <c r="BU23" i="11"/>
  <c r="H23" i="27" s="1"/>
  <c r="AG23" i="11"/>
  <c r="EQ33" i="8"/>
  <c r="EZ33" i="8" s="1"/>
  <c r="I33" i="27"/>
  <c r="BS33" i="11"/>
  <c r="CH33" i="11" s="1"/>
  <c r="GD33" i="8" s="1"/>
  <c r="HN33" i="8" s="1"/>
  <c r="DE78" i="8"/>
  <c r="CR78" i="8"/>
  <c r="CR33" i="8"/>
  <c r="DE33" i="8"/>
  <c r="X27" i="11"/>
  <c r="AH27" i="11"/>
  <c r="AY70" i="11"/>
  <c r="BF70" i="11"/>
  <c r="BW70" i="11"/>
  <c r="DS62" i="8"/>
  <c r="ER78" i="8"/>
  <c r="HO78" i="8"/>
  <c r="FW78" i="8"/>
  <c r="HU78" i="8" s="1"/>
  <c r="HC78" i="8"/>
  <c r="GX70" i="8"/>
  <c r="FQ70" i="8"/>
  <c r="T70" i="11"/>
  <c r="E70" i="27"/>
  <c r="EI70" i="8"/>
  <c r="AH13" i="11"/>
  <c r="X13" i="11"/>
  <c r="CZ68" i="8"/>
  <c r="CQ68" i="8"/>
  <c r="CM68" i="8"/>
  <c r="FH60" i="9"/>
  <c r="DD60" i="8"/>
  <c r="FH29" i="9"/>
  <c r="FF83" i="9"/>
  <c r="CK83" i="8" s="1"/>
  <c r="FG83" i="9"/>
  <c r="CO83" i="8" s="1"/>
  <c r="FE83" i="9"/>
  <c r="CN83" i="8" s="1"/>
  <c r="FD83" i="9"/>
  <c r="CJ83" i="8" s="1"/>
  <c r="Z31" i="11"/>
  <c r="AI31" i="11"/>
  <c r="DB27" i="8"/>
  <c r="AN56" i="11"/>
  <c r="AP56" i="11" s="1"/>
  <c r="AT56" i="11" s="1"/>
  <c r="AR56" i="11"/>
  <c r="EQ23" i="8"/>
  <c r="EZ23" i="8" s="1"/>
  <c r="FW60" i="8"/>
  <c r="DB18" i="8"/>
  <c r="DI31" i="8"/>
  <c r="GB56" i="8"/>
  <c r="DT32" i="8"/>
  <c r="EO31" i="8"/>
  <c r="EX31" i="8" s="1"/>
  <c r="HL31" i="8"/>
  <c r="EH31" i="8"/>
  <c r="BF18" i="11"/>
  <c r="BW18" i="11"/>
  <c r="AY18" i="11"/>
  <c r="DS26" i="8"/>
  <c r="DK26" i="8"/>
  <c r="DV26" i="8"/>
  <c r="DH26" i="8"/>
  <c r="DM26" i="8"/>
  <c r="DL26" i="8"/>
  <c r="DU26" i="8"/>
  <c r="DR26" i="8"/>
  <c r="DO26" i="8"/>
  <c r="DQ26" i="8"/>
  <c r="DW26" i="8"/>
  <c r="DN26" i="8"/>
  <c r="DP26" i="8"/>
  <c r="CC69" i="11"/>
  <c r="CI69" i="11" s="1"/>
  <c r="G69" i="28"/>
  <c r="DC40" i="8"/>
  <c r="EP42" i="8"/>
  <c r="EY42" i="8" s="1"/>
  <c r="EF42" i="8"/>
  <c r="CR41" i="8"/>
  <c r="CT41" i="8" s="1"/>
  <c r="DP41" i="8" s="1"/>
  <c r="DE41" i="8"/>
  <c r="CV44" i="8"/>
  <c r="DI44" i="8" s="1"/>
  <c r="R44" i="11"/>
  <c r="E44" i="28"/>
  <c r="GB41" i="8"/>
  <c r="EP43" i="8"/>
  <c r="EF43" i="8"/>
  <c r="AJ86" i="11"/>
  <c r="U86" i="11"/>
  <c r="V86" i="11"/>
  <c r="Y86" i="11" s="1"/>
  <c r="AY86" i="11" s="1"/>
  <c r="CV53" i="8"/>
  <c r="R53" i="11"/>
  <c r="E53" i="28"/>
  <c r="FE53" i="9"/>
  <c r="CN53" i="8" s="1"/>
  <c r="FF53" i="9"/>
  <c r="CK53" i="8" s="1"/>
  <c r="FD53" i="9"/>
  <c r="CJ53" i="8" s="1"/>
  <c r="FG53" i="9"/>
  <c r="CO53" i="8" s="1"/>
  <c r="DH66" i="8"/>
  <c r="DL66" i="8"/>
  <c r="DK66" i="8"/>
  <c r="DU66" i="8"/>
  <c r="DM66" i="8"/>
  <c r="DV66" i="8"/>
  <c r="DW66" i="8"/>
  <c r="DQ66" i="8"/>
  <c r="DN66" i="8"/>
  <c r="DO66" i="8"/>
  <c r="DR66" i="8"/>
  <c r="DS66" i="8"/>
  <c r="DP66" i="8"/>
  <c r="AO41" i="11"/>
  <c r="AQ41" i="11" s="1"/>
  <c r="AU41" i="11" s="1"/>
  <c r="AS41" i="11"/>
  <c r="C59" i="28"/>
  <c r="IB59" i="8"/>
  <c r="E45" i="28"/>
  <c r="CV45" i="8"/>
  <c r="R45" i="11"/>
  <c r="BU69" i="11"/>
  <c r="H69" i="27" s="1"/>
  <c r="AW69" i="11"/>
  <c r="AZ69" i="11"/>
  <c r="BG69" i="11"/>
  <c r="BH69" i="11" s="1"/>
  <c r="BI69" i="11" s="1"/>
  <c r="BM69" i="11" s="1"/>
  <c r="BP69" i="11" s="1"/>
  <c r="T86" i="11"/>
  <c r="E86" i="27"/>
  <c r="EO40" i="8"/>
  <c r="EH40" i="8"/>
  <c r="E87" i="28"/>
  <c r="R87" i="11"/>
  <c r="AL44" i="8"/>
  <c r="DZ44" i="11"/>
  <c r="AY41" i="11"/>
  <c r="AF41" i="11"/>
  <c r="BW41" i="11"/>
  <c r="BF41" i="11"/>
  <c r="DD40" i="8"/>
  <c r="FV42" i="8"/>
  <c r="GP63" i="8"/>
  <c r="FD42" i="9"/>
  <c r="CJ42" i="8" s="1"/>
  <c r="FE42" i="9"/>
  <c r="CN42" i="8" s="1"/>
  <c r="FG42" i="9"/>
  <c r="CO42" i="8" s="1"/>
  <c r="FF42" i="9"/>
  <c r="CK42" i="8" s="1"/>
  <c r="DB41" i="8"/>
  <c r="FV43" i="8"/>
  <c r="BU41" i="11"/>
  <c r="H41" i="27" s="1"/>
  <c r="AG41" i="11"/>
  <c r="AZ41" i="11"/>
  <c r="BG41" i="11"/>
  <c r="BH41" i="11" s="1"/>
  <c r="BI41" i="11" s="1"/>
  <c r="BM41" i="11" s="1"/>
  <c r="AW41" i="11"/>
  <c r="DT5" i="8"/>
  <c r="DV5" i="8"/>
  <c r="DP5" i="8"/>
  <c r="DM5" i="8"/>
  <c r="DU5" i="8"/>
  <c r="DR5" i="8"/>
  <c r="DS5" i="8"/>
  <c r="DH5" i="8"/>
  <c r="DL5" i="8"/>
  <c r="DO5" i="8"/>
  <c r="DK5" i="8"/>
  <c r="DW5" i="8"/>
  <c r="DN5" i="8"/>
  <c r="DQ5" i="8"/>
  <c r="FE43" i="9"/>
  <c r="CN43" i="8" s="1"/>
  <c r="FF43" i="9"/>
  <c r="CK43" i="8" s="1"/>
  <c r="FD43" i="9"/>
  <c r="CJ43" i="8" s="1"/>
  <c r="FG43" i="9"/>
  <c r="CO43" i="8" s="1"/>
  <c r="IT63" i="8"/>
  <c r="IS63" i="8"/>
  <c r="IW63" i="8"/>
  <c r="IE63" i="8"/>
  <c r="IM63" i="8"/>
  <c r="IH63" i="8"/>
  <c r="IV63" i="8"/>
  <c r="IP63" i="8"/>
  <c r="IX63" i="8"/>
  <c r="IJ63" i="8"/>
  <c r="IG63" i="8"/>
  <c r="IF63" i="8"/>
  <c r="IC63" i="8"/>
  <c r="IU63" i="8"/>
  <c r="IK63" i="8"/>
  <c r="ID63" i="8"/>
  <c r="IN63" i="8"/>
  <c r="II63" i="8"/>
  <c r="IL63" i="8"/>
  <c r="IQ63" i="8"/>
  <c r="IR63" i="8"/>
  <c r="AK43" i="11"/>
  <c r="W43" i="11"/>
  <c r="W42" i="11"/>
  <c r="AK42" i="11"/>
  <c r="R85" i="11"/>
  <c r="E85" i="28"/>
  <c r="EE90" i="8"/>
  <c r="BP52" i="11"/>
  <c r="CW52" i="11"/>
  <c r="CF42" i="11"/>
  <c r="B87" i="22"/>
  <c r="D87" i="22" s="1"/>
  <c r="B90" i="22"/>
  <c r="D90" i="22" s="1"/>
  <c r="B83" i="24"/>
  <c r="D83" i="24" s="1"/>
  <c r="B95" i="24"/>
  <c r="D95" i="24" s="1"/>
  <c r="B87" i="24"/>
  <c r="D87" i="24" s="1"/>
  <c r="B85" i="24"/>
  <c r="D85" i="24" s="1"/>
  <c r="B93" i="24"/>
  <c r="D93" i="24" s="1"/>
  <c r="B86" i="22"/>
  <c r="D86" i="22" s="1"/>
  <c r="B96" i="24"/>
  <c r="D96" i="24" s="1"/>
  <c r="B84" i="24"/>
  <c r="D84" i="24" s="1"/>
  <c r="B103" i="24"/>
  <c r="D103" i="24" s="1"/>
  <c r="B86" i="24"/>
  <c r="D86" i="24" s="1"/>
  <c r="B96" i="22"/>
  <c r="D96" i="22" s="1"/>
  <c r="B92" i="24"/>
  <c r="D92" i="24" s="1"/>
  <c r="B83" i="22"/>
  <c r="D83" i="22" s="1"/>
  <c r="B88" i="22"/>
  <c r="D88" i="22" s="1"/>
  <c r="B90" i="24"/>
  <c r="D90" i="24" s="1"/>
  <c r="B91" i="24"/>
  <c r="D91" i="24" s="1"/>
  <c r="B91" i="22"/>
  <c r="D91" i="22" s="1"/>
  <c r="B97" i="24"/>
  <c r="D97" i="24" s="1"/>
  <c r="B94" i="24"/>
  <c r="D94" i="24" s="1"/>
  <c r="B89" i="22"/>
  <c r="D89" i="22" s="1"/>
  <c r="B84" i="22"/>
  <c r="D84" i="22" s="1"/>
  <c r="B94" i="22"/>
  <c r="D94" i="22" s="1"/>
  <c r="B85" i="22"/>
  <c r="D85" i="22" s="1"/>
  <c r="B88" i="24"/>
  <c r="D88" i="24" s="1"/>
  <c r="B92" i="22"/>
  <c r="D92" i="22" s="1"/>
  <c r="B89" i="24"/>
  <c r="D89" i="24" s="1"/>
  <c r="B103" i="22"/>
  <c r="D103" i="22" s="1"/>
  <c r="B93" i="22"/>
  <c r="D93" i="22" s="1"/>
  <c r="B95" i="22"/>
  <c r="D95" i="22" s="1"/>
  <c r="B98" i="24"/>
  <c r="D98" i="24" s="1"/>
  <c r="C5" i="28"/>
  <c r="IB5" i="8"/>
  <c r="BP26" i="11"/>
  <c r="CW26" i="11"/>
  <c r="X41" i="11"/>
  <c r="AH41" i="11"/>
  <c r="FH40" i="9"/>
  <c r="DA40" i="8"/>
  <c r="FL53" i="8"/>
  <c r="FQ53" i="8" s="1"/>
  <c r="BZ53" i="8"/>
  <c r="CD53" i="8" s="1"/>
  <c r="CF53" i="8" s="1"/>
  <c r="AP53" i="8"/>
  <c r="AR53" i="8" s="1"/>
  <c r="EF53" i="8"/>
  <c r="EB53" i="8"/>
  <c r="FV53" i="8" s="1"/>
  <c r="DV69" i="8"/>
  <c r="DH69" i="8"/>
  <c r="DM69" i="8"/>
  <c r="DU69" i="8"/>
  <c r="DK69" i="8"/>
  <c r="DL69" i="8"/>
  <c r="DO69" i="8"/>
  <c r="DW69" i="8"/>
  <c r="DQ69" i="8"/>
  <c r="DN69" i="8"/>
  <c r="DR69" i="8"/>
  <c r="DP69" i="8"/>
  <c r="DS69" i="8"/>
  <c r="T87" i="11"/>
  <c r="E87" i="27"/>
  <c r="FZ40" i="8"/>
  <c r="FD44" i="9"/>
  <c r="CJ44" i="8" s="1"/>
  <c r="DC44" i="8" s="1"/>
  <c r="FG44" i="9"/>
  <c r="CO44" i="8" s="1"/>
  <c r="DA44" i="8" s="1"/>
  <c r="FE44" i="9"/>
  <c r="CN44" i="8" s="1"/>
  <c r="FF44" i="9"/>
  <c r="CK44" i="8" s="1"/>
  <c r="DD44" i="8" s="1"/>
  <c r="GP5" i="8"/>
  <c r="R88" i="11"/>
  <c r="E88" i="28"/>
  <c r="CC66" i="11"/>
  <c r="CI66" i="11" s="1"/>
  <c r="G66" i="28"/>
  <c r="FD45" i="9"/>
  <c r="CJ45" i="8" s="1"/>
  <c r="FE45" i="9"/>
  <c r="CN45" i="8" s="1"/>
  <c r="FG45" i="9"/>
  <c r="CO45" i="8" s="1"/>
  <c r="FF45" i="9"/>
  <c r="CK45" i="8" s="1"/>
  <c r="R43" i="11"/>
  <c r="CV43" i="8"/>
  <c r="E43" i="28"/>
  <c r="AN26" i="11"/>
  <c r="AP26" i="11" s="1"/>
  <c r="AT26" i="11" s="1"/>
  <c r="AR26" i="11"/>
  <c r="AC90" i="8"/>
  <c r="BQ90" i="8" s="1"/>
  <c r="ER40" i="8"/>
  <c r="EY40" i="8" s="1"/>
  <c r="CC52" i="11"/>
  <c r="CI52" i="11" s="1"/>
  <c r="G52" i="28"/>
  <c r="T85" i="11"/>
  <c r="E85" i="27"/>
  <c r="DM52" i="8"/>
  <c r="DH52" i="8"/>
  <c r="DV52" i="8"/>
  <c r="DU52" i="8"/>
  <c r="DK52" i="8"/>
  <c r="DL52" i="8"/>
  <c r="DO52" i="8"/>
  <c r="DR52" i="8"/>
  <c r="DN52" i="8"/>
  <c r="DQ52" i="8"/>
  <c r="DW52" i="8"/>
  <c r="DP52" i="8"/>
  <c r="DS52" i="8"/>
  <c r="CQ40" i="8"/>
  <c r="CZ40" i="8"/>
  <c r="CM40" i="8"/>
  <c r="FY90" i="8"/>
  <c r="E42" i="28"/>
  <c r="CV42" i="8"/>
  <c r="R42" i="11"/>
  <c r="BZ45" i="8"/>
  <c r="CD45" i="8" s="1"/>
  <c r="CF45" i="8" s="1"/>
  <c r="FL45" i="8"/>
  <c r="FQ45" i="8" s="1"/>
  <c r="AP45" i="8"/>
  <c r="AR45" i="8" s="1"/>
  <c r="EF45" i="8"/>
  <c r="EB45" i="8"/>
  <c r="FV45" i="8" s="1"/>
  <c r="DT26" i="8"/>
  <c r="DF26" i="8"/>
  <c r="F26" i="28"/>
  <c r="BZ26" i="11"/>
  <c r="CV26" i="11"/>
  <c r="AO69" i="11"/>
  <c r="AQ69" i="11" s="1"/>
  <c r="AU69" i="11" s="1"/>
  <c r="AS69" i="11"/>
  <c r="EQ41" i="8"/>
  <c r="EZ41" i="8" s="1"/>
  <c r="E88" i="27"/>
  <c r="T88" i="11"/>
  <c r="AV26" i="11"/>
  <c r="AE26" i="11"/>
  <c r="AX26" i="11"/>
  <c r="ER43" i="8"/>
  <c r="FA42" i="8"/>
  <c r="ET42" i="8"/>
  <c r="EW42" i="8"/>
  <c r="EU42" i="8"/>
  <c r="EV42" i="8"/>
  <c r="E40" i="28"/>
  <c r="R40" i="11"/>
  <c r="CV40" i="8"/>
  <c r="AE90" i="8"/>
  <c r="W40" i="11"/>
  <c r="AK40" i="11"/>
  <c r="DT66" i="8"/>
  <c r="P4" i="21"/>
  <c r="V4" i="21" s="1"/>
  <c r="W4" i="21" s="1"/>
  <c r="AC1" i="18"/>
  <c r="AC2" i="18" s="1"/>
  <c r="AU8" i="11"/>
  <c r="CV8" i="11"/>
  <c r="F8" i="28"/>
  <c r="BZ8" i="11"/>
  <c r="AR8" i="11"/>
  <c r="AN8" i="11"/>
  <c r="I8" i="27"/>
  <c r="BS8" i="11"/>
  <c r="AV8" i="11"/>
  <c r="AX8" i="11"/>
  <c r="F17" i="24" l="1"/>
  <c r="B17" i="24"/>
  <c r="A18" i="24"/>
  <c r="D17" i="24"/>
  <c r="H17" i="24"/>
  <c r="FG82" i="9"/>
  <c r="CO82" i="8" s="1"/>
  <c r="DA82" i="8" s="1"/>
  <c r="FE82" i="9"/>
  <c r="CN82" i="8" s="1"/>
  <c r="FD82" i="9"/>
  <c r="CJ82" i="8" s="1"/>
  <c r="DC82" i="8" s="1"/>
  <c r="FF82" i="9"/>
  <c r="CK82" i="8" s="1"/>
  <c r="DD82" i="8" s="1"/>
  <c r="DZ82" i="11"/>
  <c r="AL82" i="8"/>
  <c r="C98" i="24"/>
  <c r="E98" i="24" s="1"/>
  <c r="A99" i="24"/>
  <c r="G68" i="22"/>
  <c r="A69" i="22"/>
  <c r="E68" i="22"/>
  <c r="C68" i="22"/>
  <c r="H68" i="24"/>
  <c r="A69" i="24"/>
  <c r="F68" i="24"/>
  <c r="B68" i="24"/>
  <c r="D68" i="24"/>
  <c r="R82" i="11"/>
  <c r="E82" i="28"/>
  <c r="CV82" i="8"/>
  <c r="DI82" i="8" s="1"/>
  <c r="A97" i="22"/>
  <c r="C96" i="22"/>
  <c r="E96" i="22" s="1"/>
  <c r="DS77" i="8"/>
  <c r="DP77" i="8"/>
  <c r="A16" i="22"/>
  <c r="E15" i="22"/>
  <c r="C15" i="22"/>
  <c r="G15" i="22"/>
  <c r="EZ84" i="8"/>
  <c r="CC65" i="11"/>
  <c r="CI65" i="11" s="1"/>
  <c r="G65" i="28"/>
  <c r="V75" i="11"/>
  <c r="Y75" i="11" s="1"/>
  <c r="AJ75" i="11"/>
  <c r="U75" i="11"/>
  <c r="HX30" i="8"/>
  <c r="GB30" i="8"/>
  <c r="HZ30" i="8" s="1"/>
  <c r="FH75" i="9"/>
  <c r="DB30" i="8"/>
  <c r="GX73" i="8"/>
  <c r="FQ73" i="8"/>
  <c r="DS51" i="8"/>
  <c r="DU51" i="8"/>
  <c r="DL51" i="8"/>
  <c r="DM51" i="8"/>
  <c r="DW51" i="8"/>
  <c r="DK51" i="8"/>
  <c r="DN51" i="8"/>
  <c r="DQ51" i="8"/>
  <c r="DR51" i="8"/>
  <c r="DH51" i="8"/>
  <c r="DO51" i="8"/>
  <c r="DV51" i="8"/>
  <c r="DP51" i="8"/>
  <c r="X48" i="11"/>
  <c r="AH48" i="11"/>
  <c r="G51" i="28"/>
  <c r="CC51" i="11"/>
  <c r="CI51" i="11" s="1"/>
  <c r="EB75" i="8"/>
  <c r="GK75" i="8"/>
  <c r="GP75" i="8" s="1"/>
  <c r="AP75" i="8"/>
  <c r="AR75" i="8" s="1"/>
  <c r="FL75" i="8"/>
  <c r="BZ75" i="8"/>
  <c r="CD75" i="8" s="1"/>
  <c r="CF75" i="8" s="1"/>
  <c r="EF75" i="8"/>
  <c r="DI75" i="8"/>
  <c r="CV24" i="11"/>
  <c r="BZ24" i="11"/>
  <c r="F24" i="28"/>
  <c r="CT24" i="8"/>
  <c r="DT24" i="8" s="1"/>
  <c r="DF24" i="8"/>
  <c r="X79" i="11"/>
  <c r="AH79" i="11"/>
  <c r="CW14" i="11"/>
  <c r="BP14" i="11"/>
  <c r="DA75" i="8"/>
  <c r="EH79" i="8"/>
  <c r="EO79" i="8"/>
  <c r="HL79" i="8"/>
  <c r="E73" i="27"/>
  <c r="EI73" i="8"/>
  <c r="T73" i="11"/>
  <c r="AS48" i="11"/>
  <c r="AO48" i="11"/>
  <c r="AQ48" i="11" s="1"/>
  <c r="AU48" i="11" s="1"/>
  <c r="F11" i="28"/>
  <c r="CV11" i="11"/>
  <c r="BZ11" i="11"/>
  <c r="AN11" i="11"/>
  <c r="AP11" i="11" s="1"/>
  <c r="AT11" i="11" s="1"/>
  <c r="AR11" i="11"/>
  <c r="DP47" i="8"/>
  <c r="DN47" i="8"/>
  <c r="DM47" i="8"/>
  <c r="DR47" i="8"/>
  <c r="DL47" i="8"/>
  <c r="DH47" i="8"/>
  <c r="DW47" i="8"/>
  <c r="DO47" i="8"/>
  <c r="DV47" i="8"/>
  <c r="DK47" i="8"/>
  <c r="DQ47" i="8"/>
  <c r="DU47" i="8"/>
  <c r="DS47" i="8"/>
  <c r="AY79" i="11"/>
  <c r="BW79" i="11"/>
  <c r="BF79" i="11"/>
  <c r="CZ75" i="8"/>
  <c r="CQ75" i="8"/>
  <c r="CM75" i="8"/>
  <c r="DB73" i="8"/>
  <c r="DT47" i="8"/>
  <c r="BP24" i="11"/>
  <c r="CW24" i="11"/>
  <c r="BG48" i="11"/>
  <c r="BH48" i="11" s="1"/>
  <c r="BI48" i="11" s="1"/>
  <c r="BM48" i="11" s="1"/>
  <c r="BP48" i="11" s="1"/>
  <c r="BU48" i="11"/>
  <c r="H48" i="27" s="1"/>
  <c r="AW48" i="11"/>
  <c r="AZ48" i="11"/>
  <c r="CT11" i="8"/>
  <c r="DT11" i="8" s="1"/>
  <c r="DF11" i="8"/>
  <c r="BP37" i="11"/>
  <c r="CW37" i="11"/>
  <c r="HX51" i="8"/>
  <c r="GR51" i="8"/>
  <c r="GF51" i="8"/>
  <c r="GZ51" i="8"/>
  <c r="GU51" i="8"/>
  <c r="HR51" i="8"/>
  <c r="HZ51" i="8"/>
  <c r="GK51" i="8"/>
  <c r="GW51" i="8"/>
  <c r="GV51" i="8"/>
  <c r="GM51" i="8"/>
  <c r="HS51" i="8"/>
  <c r="HA51" i="8"/>
  <c r="HW51" i="8"/>
  <c r="HB51" i="8"/>
  <c r="GL51" i="8"/>
  <c r="HI51" i="8"/>
  <c r="GS51" i="8"/>
  <c r="HT51" i="8"/>
  <c r="HM51" i="8"/>
  <c r="HY51" i="8"/>
  <c r="GN51" i="8"/>
  <c r="HJ51" i="8"/>
  <c r="GO51" i="8"/>
  <c r="HF51" i="8"/>
  <c r="HQ51" i="8"/>
  <c r="GE51" i="8"/>
  <c r="GJ51" i="8"/>
  <c r="GX51" i="8"/>
  <c r="HH51" i="8"/>
  <c r="GI51" i="8"/>
  <c r="HL51" i="8"/>
  <c r="GT51" i="8"/>
  <c r="HC51" i="8"/>
  <c r="HE51" i="8"/>
  <c r="GH51" i="8"/>
  <c r="HK51" i="8"/>
  <c r="GY51" i="8"/>
  <c r="HN51" i="8"/>
  <c r="HG51" i="8"/>
  <c r="HU51" i="8"/>
  <c r="GG51" i="8"/>
  <c r="HV51" i="8"/>
  <c r="HO51" i="8"/>
  <c r="AX11" i="11"/>
  <c r="AV11" i="11"/>
  <c r="GP6" i="8"/>
  <c r="CM48" i="8"/>
  <c r="DE37" i="8"/>
  <c r="CR37" i="8"/>
  <c r="DD75" i="8"/>
  <c r="C38" i="28"/>
  <c r="IB38" i="8"/>
  <c r="BW73" i="11"/>
  <c r="AY73" i="11"/>
  <c r="BF73" i="11"/>
  <c r="HN30" i="8"/>
  <c r="EQ30" i="8"/>
  <c r="EZ30" i="8" s="1"/>
  <c r="AR14" i="11"/>
  <c r="AN14" i="11"/>
  <c r="AP14" i="11" s="1"/>
  <c r="AT14" i="11" s="1"/>
  <c r="DT14" i="8"/>
  <c r="DQ14" i="8"/>
  <c r="DK14" i="8"/>
  <c r="DR14" i="8"/>
  <c r="DH14" i="8"/>
  <c r="DV14" i="8"/>
  <c r="DL14" i="8"/>
  <c r="DM14" i="8"/>
  <c r="DO14" i="8"/>
  <c r="DW14" i="8"/>
  <c r="DU14" i="8"/>
  <c r="DN14" i="8"/>
  <c r="CV37" i="11"/>
  <c r="F37" i="28"/>
  <c r="BZ37" i="11"/>
  <c r="DC75" i="8"/>
  <c r="CC77" i="11"/>
  <c r="CI77" i="11" s="1"/>
  <c r="G77" i="28"/>
  <c r="EQ48" i="8"/>
  <c r="EZ48" i="8" s="1"/>
  <c r="HN48" i="8"/>
  <c r="GP58" i="8"/>
  <c r="AS77" i="11"/>
  <c r="AO77" i="11"/>
  <c r="AQ77" i="11" s="1"/>
  <c r="AU77" i="11" s="1"/>
  <c r="X73" i="11"/>
  <c r="AH73" i="11"/>
  <c r="BZ14" i="11"/>
  <c r="CV14" i="11"/>
  <c r="F14" i="28"/>
  <c r="X30" i="11"/>
  <c r="AH30" i="11"/>
  <c r="AE14" i="11"/>
  <c r="AV14" i="11"/>
  <c r="AX14" i="11"/>
  <c r="AX37" i="11"/>
  <c r="AE37" i="11"/>
  <c r="AV37" i="11"/>
  <c r="DS14" i="8"/>
  <c r="EY65" i="8"/>
  <c r="EV65" i="8"/>
  <c r="ET65" i="8"/>
  <c r="FA65" i="8"/>
  <c r="EU65" i="8"/>
  <c r="EW65" i="8"/>
  <c r="CR30" i="8"/>
  <c r="DF30" i="8" s="1"/>
  <c r="DE30" i="8"/>
  <c r="AO30" i="11"/>
  <c r="AQ30" i="11" s="1"/>
  <c r="AU30" i="11" s="1"/>
  <c r="AS30" i="11"/>
  <c r="G47" i="28"/>
  <c r="CC47" i="11"/>
  <c r="CI47" i="11" s="1"/>
  <c r="HH79" i="8"/>
  <c r="FV79" i="8"/>
  <c r="HE32" i="8"/>
  <c r="HH32" i="8"/>
  <c r="GS32" i="8"/>
  <c r="GT32" i="8"/>
  <c r="GY32" i="8"/>
  <c r="HB32" i="8"/>
  <c r="HF32" i="8"/>
  <c r="HI32" i="8"/>
  <c r="HM32" i="8"/>
  <c r="HG32" i="8"/>
  <c r="HV32" i="8"/>
  <c r="HU32" i="8"/>
  <c r="GL32" i="8"/>
  <c r="HX32" i="8"/>
  <c r="GU32" i="8"/>
  <c r="HQ32" i="8"/>
  <c r="GJ32" i="8"/>
  <c r="GH32" i="8"/>
  <c r="GK32" i="8"/>
  <c r="HS32" i="8"/>
  <c r="GX32" i="8"/>
  <c r="GF32" i="8"/>
  <c r="HW32" i="8"/>
  <c r="GN32" i="8"/>
  <c r="GO32" i="8"/>
  <c r="HY32" i="8"/>
  <c r="GZ32" i="8"/>
  <c r="HR32" i="8"/>
  <c r="HJ32" i="8"/>
  <c r="HZ32" i="8"/>
  <c r="GR32" i="8"/>
  <c r="HT32" i="8"/>
  <c r="HA32" i="8"/>
  <c r="HN32" i="8"/>
  <c r="GV32" i="8"/>
  <c r="GG32" i="8"/>
  <c r="GM32" i="8"/>
  <c r="GI32" i="8"/>
  <c r="GW32" i="8"/>
  <c r="HO32" i="8"/>
  <c r="GE32" i="8"/>
  <c r="HC32" i="8"/>
  <c r="HL32" i="8"/>
  <c r="HK32" i="8"/>
  <c r="EH73" i="8"/>
  <c r="HL73" i="8"/>
  <c r="EO73" i="8"/>
  <c r="HU48" i="8"/>
  <c r="FZ48" i="8"/>
  <c r="AZ77" i="11"/>
  <c r="BU77" i="11"/>
  <c r="H77" i="27" s="1"/>
  <c r="AW77" i="11"/>
  <c r="BG77" i="11"/>
  <c r="BH77" i="11" s="1"/>
  <c r="BI77" i="11" s="1"/>
  <c r="BM77" i="11" s="1"/>
  <c r="BP77" i="11" s="1"/>
  <c r="BW30" i="11"/>
  <c r="AY30" i="11"/>
  <c r="BF30" i="11"/>
  <c r="AN24" i="11"/>
  <c r="AP24" i="11" s="1"/>
  <c r="AT24" i="11" s="1"/>
  <c r="AR24" i="11"/>
  <c r="AN37" i="11"/>
  <c r="AP37" i="11" s="1"/>
  <c r="AT37" i="11" s="1"/>
  <c r="AR37" i="11"/>
  <c r="Z65" i="11"/>
  <c r="AI65" i="11"/>
  <c r="BU30" i="11"/>
  <c r="H30" i="27" s="1"/>
  <c r="AZ30" i="11"/>
  <c r="BG30" i="11"/>
  <c r="BH30" i="11" s="1"/>
  <c r="BI30" i="11" s="1"/>
  <c r="BM30" i="11" s="1"/>
  <c r="BP30" i="11" s="1"/>
  <c r="AW30" i="11"/>
  <c r="T79" i="11"/>
  <c r="E79" i="27"/>
  <c r="EI79" i="8"/>
  <c r="CR79" i="8"/>
  <c r="DE79" i="8"/>
  <c r="BF48" i="11"/>
  <c r="BW48" i="11"/>
  <c r="AY48" i="11"/>
  <c r="GB77" i="8"/>
  <c r="HZ77" i="8" s="1"/>
  <c r="HX77" i="8"/>
  <c r="AE24" i="11"/>
  <c r="AV24" i="11"/>
  <c r="AX24" i="11"/>
  <c r="CW11" i="11"/>
  <c r="BP11" i="11"/>
  <c r="CR73" i="8"/>
  <c r="DF73" i="8" s="1"/>
  <c r="DE73" i="8"/>
  <c r="FQ79" i="8"/>
  <c r="GX79" i="8"/>
  <c r="FV73" i="8"/>
  <c r="HH73" i="8"/>
  <c r="DT51" i="8"/>
  <c r="P17" i="21"/>
  <c r="V17" i="21" s="1"/>
  <c r="W17" i="21" s="1"/>
  <c r="AN11" i="18"/>
  <c r="P11" i="21"/>
  <c r="V11" i="21" s="1"/>
  <c r="W11" i="21" s="1"/>
  <c r="AN8" i="18"/>
  <c r="P8" i="21"/>
  <c r="V8" i="21" s="1"/>
  <c r="W8" i="21" s="1"/>
  <c r="AN25" i="18"/>
  <c r="AN15" i="18"/>
  <c r="HS39" i="8"/>
  <c r="HI39" i="8"/>
  <c r="GH39" i="8"/>
  <c r="GF39" i="8"/>
  <c r="GS39" i="8"/>
  <c r="HM39" i="8"/>
  <c r="GV39" i="8"/>
  <c r="GR39" i="8"/>
  <c r="GI39" i="8"/>
  <c r="HC39" i="8"/>
  <c r="HH39" i="8"/>
  <c r="GM39" i="8"/>
  <c r="GO39" i="8"/>
  <c r="HG39" i="8"/>
  <c r="HV39" i="8"/>
  <c r="HQ39" i="8"/>
  <c r="HN39" i="8"/>
  <c r="HB39" i="8"/>
  <c r="GJ39" i="8"/>
  <c r="HJ39" i="8"/>
  <c r="GN39" i="8"/>
  <c r="HF39" i="8"/>
  <c r="GG39" i="8"/>
  <c r="HW39" i="8"/>
  <c r="HU39" i="8"/>
  <c r="HT39" i="8"/>
  <c r="GU39" i="8"/>
  <c r="GT39" i="8"/>
  <c r="HR39" i="8"/>
  <c r="HX39" i="8"/>
  <c r="GK39" i="8"/>
  <c r="HO39" i="8"/>
  <c r="HY39" i="8"/>
  <c r="GY39" i="8"/>
  <c r="HK39" i="8"/>
  <c r="GZ39" i="8"/>
  <c r="HA39" i="8"/>
  <c r="HE39" i="8"/>
  <c r="GW39" i="8"/>
  <c r="GE39" i="8"/>
  <c r="HL39" i="8"/>
  <c r="GL39" i="8"/>
  <c r="GX39" i="8"/>
  <c r="HZ39" i="8"/>
  <c r="P15" i="21"/>
  <c r="V15" i="21" s="1"/>
  <c r="W15" i="21" s="1"/>
  <c r="C39" i="28"/>
  <c r="IB39" i="8"/>
  <c r="DH4" i="8"/>
  <c r="DV4" i="8"/>
  <c r="DK4" i="8"/>
  <c r="DL4" i="8"/>
  <c r="DM4" i="8"/>
  <c r="DU4" i="8"/>
  <c r="DN4" i="8"/>
  <c r="DO4" i="8"/>
  <c r="DR4" i="8"/>
  <c r="DW4" i="8"/>
  <c r="DQ4" i="8"/>
  <c r="DS4" i="8"/>
  <c r="DP4" i="8"/>
  <c r="G4" i="28"/>
  <c r="CC4" i="11"/>
  <c r="CI4" i="11" s="1"/>
  <c r="HZ4" i="8"/>
  <c r="GY4" i="8"/>
  <c r="GH4" i="8"/>
  <c r="GI4" i="8"/>
  <c r="GR4" i="8"/>
  <c r="HW4" i="8"/>
  <c r="GF4" i="8"/>
  <c r="HE4" i="8"/>
  <c r="HT4" i="8"/>
  <c r="HS4" i="8"/>
  <c r="HR4" i="8"/>
  <c r="HY4" i="8"/>
  <c r="GM4" i="8"/>
  <c r="GN4" i="8"/>
  <c r="GX4" i="8"/>
  <c r="GZ4" i="8"/>
  <c r="GT4" i="8"/>
  <c r="GV4" i="8"/>
  <c r="HG4" i="8"/>
  <c r="GU4" i="8"/>
  <c r="HL4" i="8"/>
  <c r="HO4" i="8"/>
  <c r="HU4" i="8"/>
  <c r="HJ4" i="8"/>
  <c r="GG4" i="8"/>
  <c r="HA4" i="8"/>
  <c r="HQ4" i="8"/>
  <c r="GK4" i="8"/>
  <c r="HB4" i="8"/>
  <c r="HI4" i="8"/>
  <c r="GS4" i="8"/>
  <c r="GE4" i="8"/>
  <c r="HM4" i="8"/>
  <c r="HX4" i="8"/>
  <c r="HC4" i="8"/>
  <c r="GW4" i="8"/>
  <c r="HV4" i="8"/>
  <c r="HH4" i="8"/>
  <c r="GL4" i="8"/>
  <c r="HK4" i="8"/>
  <c r="GO4" i="8"/>
  <c r="GJ4" i="8"/>
  <c r="HF4" i="8"/>
  <c r="HN4" i="8"/>
  <c r="DT4" i="8"/>
  <c r="DF15" i="8"/>
  <c r="CT15" i="8"/>
  <c r="CC15" i="11"/>
  <c r="CI15" i="11" s="1"/>
  <c r="G15" i="28"/>
  <c r="I15" i="27"/>
  <c r="BS15" i="11"/>
  <c r="CH15" i="11" s="1"/>
  <c r="GD15" i="8" s="1"/>
  <c r="Z66" i="11"/>
  <c r="AG66" i="11" s="1"/>
  <c r="AI66" i="11"/>
  <c r="BS54" i="11"/>
  <c r="CH54" i="11" s="1"/>
  <c r="GD54" i="8" s="1"/>
  <c r="I54" i="27"/>
  <c r="EX84" i="8"/>
  <c r="EU84" i="8"/>
  <c r="FA84" i="8"/>
  <c r="EV84" i="8"/>
  <c r="ET84" i="8"/>
  <c r="EW84" i="8"/>
  <c r="EY84" i="8"/>
  <c r="G54" i="28"/>
  <c r="CC54" i="11"/>
  <c r="CI54" i="11" s="1"/>
  <c r="BW84" i="11"/>
  <c r="AY84" i="11"/>
  <c r="BF84" i="11"/>
  <c r="DB84" i="8"/>
  <c r="DE84" i="8"/>
  <c r="CR84" i="8"/>
  <c r="X84" i="11"/>
  <c r="AH84" i="11"/>
  <c r="W84" i="11"/>
  <c r="AK84" i="11"/>
  <c r="CT20" i="8"/>
  <c r="DP20" i="8" s="1"/>
  <c r="I25" i="27"/>
  <c r="BS25" i="11"/>
  <c r="CH25" i="11" s="1"/>
  <c r="GD25" i="8" s="1"/>
  <c r="CT25" i="8"/>
  <c r="DF25" i="8"/>
  <c r="CC25" i="11"/>
  <c r="CI25" i="11" s="1"/>
  <c r="G25" i="28"/>
  <c r="CC34" i="11"/>
  <c r="CI34" i="11" s="1"/>
  <c r="G34" i="28"/>
  <c r="CT19" i="8"/>
  <c r="DF19" i="8"/>
  <c r="IB55" i="8"/>
  <c r="C55" i="28"/>
  <c r="DT55" i="8"/>
  <c r="DK55" i="8"/>
  <c r="DL55" i="8"/>
  <c r="DQ55" i="8"/>
  <c r="DP55" i="8"/>
  <c r="DM55" i="8"/>
  <c r="DU55" i="8"/>
  <c r="DN55" i="8"/>
  <c r="DV55" i="8"/>
  <c r="DR55" i="8"/>
  <c r="DW55" i="8"/>
  <c r="DH55" i="8"/>
  <c r="DO55" i="8"/>
  <c r="DS55" i="8"/>
  <c r="DV34" i="8"/>
  <c r="DR34" i="8"/>
  <c r="DW34" i="8"/>
  <c r="DU34" i="8"/>
  <c r="DO34" i="8"/>
  <c r="DM34" i="8"/>
  <c r="DK34" i="8"/>
  <c r="DQ34" i="8"/>
  <c r="DL34" i="8"/>
  <c r="DH34" i="8"/>
  <c r="DN34" i="8"/>
  <c r="DP34" i="8"/>
  <c r="DS34" i="8"/>
  <c r="G19" i="28"/>
  <c r="CC19" i="11"/>
  <c r="CI19" i="11" s="1"/>
  <c r="GP59" i="8"/>
  <c r="BS19" i="11"/>
  <c r="CH19" i="11" s="1"/>
  <c r="GD19" i="8" s="1"/>
  <c r="I19" i="27"/>
  <c r="BS34" i="11"/>
  <c r="CH34" i="11" s="1"/>
  <c r="GD34" i="8" s="1"/>
  <c r="I34" i="27"/>
  <c r="GZ55" i="8"/>
  <c r="GK55" i="8"/>
  <c r="HX55" i="8"/>
  <c r="GV55" i="8"/>
  <c r="HK55" i="8"/>
  <c r="GW55" i="8"/>
  <c r="HY55" i="8"/>
  <c r="HV55" i="8"/>
  <c r="GM55" i="8"/>
  <c r="HE55" i="8"/>
  <c r="HM55" i="8"/>
  <c r="GN55" i="8"/>
  <c r="GO55" i="8"/>
  <c r="GY55" i="8"/>
  <c r="HF55" i="8"/>
  <c r="GH55" i="8"/>
  <c r="GS55" i="8"/>
  <c r="GG55" i="8"/>
  <c r="GF55" i="8"/>
  <c r="GT55" i="8"/>
  <c r="HI55" i="8"/>
  <c r="GR55" i="8"/>
  <c r="HJ55" i="8"/>
  <c r="HN55" i="8"/>
  <c r="GE55" i="8"/>
  <c r="GL55" i="8"/>
  <c r="HB55" i="8"/>
  <c r="HC55" i="8"/>
  <c r="HZ55" i="8"/>
  <c r="HU55" i="8"/>
  <c r="HG55" i="8"/>
  <c r="GU55" i="8"/>
  <c r="GX55" i="8"/>
  <c r="HR55" i="8"/>
  <c r="HA55" i="8"/>
  <c r="HW55" i="8"/>
  <c r="HO55" i="8"/>
  <c r="GJ55" i="8"/>
  <c r="HT55" i="8"/>
  <c r="GI55" i="8"/>
  <c r="HL55" i="8"/>
  <c r="HS55" i="8"/>
  <c r="HH55" i="8"/>
  <c r="HQ55" i="8"/>
  <c r="CT13" i="8"/>
  <c r="DS13" i="8" s="1"/>
  <c r="DP36" i="8"/>
  <c r="AX36" i="11"/>
  <c r="AV36" i="11"/>
  <c r="AE36" i="11"/>
  <c r="BP36" i="11"/>
  <c r="CW36" i="11"/>
  <c r="DL36" i="8"/>
  <c r="DU36" i="8"/>
  <c r="DN36" i="8"/>
  <c r="DV36" i="8"/>
  <c r="DO36" i="8"/>
  <c r="DW36" i="8"/>
  <c r="DH36" i="8"/>
  <c r="DQ36" i="8"/>
  <c r="DM36" i="8"/>
  <c r="DK36" i="8"/>
  <c r="DR36" i="8"/>
  <c r="C28" i="28"/>
  <c r="IB28" i="8"/>
  <c r="BZ36" i="11"/>
  <c r="F36" i="28"/>
  <c r="CV36" i="11"/>
  <c r="HQ28" i="8"/>
  <c r="HW28" i="8"/>
  <c r="HY28" i="8"/>
  <c r="GY28" i="8"/>
  <c r="GK28" i="8"/>
  <c r="HA28" i="8"/>
  <c r="HU28" i="8"/>
  <c r="GI28" i="8"/>
  <c r="GV28" i="8"/>
  <c r="HL28" i="8"/>
  <c r="GJ28" i="8"/>
  <c r="GF28" i="8"/>
  <c r="HO28" i="8"/>
  <c r="GW28" i="8"/>
  <c r="HX28" i="8"/>
  <c r="GU28" i="8"/>
  <c r="HG28" i="8"/>
  <c r="GR28" i="8"/>
  <c r="HJ28" i="8"/>
  <c r="HB28" i="8"/>
  <c r="HZ28" i="8"/>
  <c r="GG28" i="8"/>
  <c r="HF28" i="8"/>
  <c r="HE28" i="8"/>
  <c r="HH28" i="8"/>
  <c r="HC28" i="8"/>
  <c r="GL28" i="8"/>
  <c r="HV28" i="8"/>
  <c r="HK28" i="8"/>
  <c r="HI28" i="8"/>
  <c r="HN28" i="8"/>
  <c r="GN28" i="8"/>
  <c r="GE28" i="8"/>
  <c r="GT28" i="8"/>
  <c r="GO28" i="8"/>
  <c r="HS28" i="8"/>
  <c r="GZ28" i="8"/>
  <c r="GH28" i="8"/>
  <c r="HR28" i="8"/>
  <c r="GM28" i="8"/>
  <c r="GS28" i="8"/>
  <c r="HM28" i="8"/>
  <c r="GX28" i="8"/>
  <c r="HT28" i="8"/>
  <c r="DF36" i="8"/>
  <c r="DT36" i="8"/>
  <c r="CC10" i="11"/>
  <c r="CI10" i="11" s="1"/>
  <c r="G10" i="28"/>
  <c r="AN36" i="11"/>
  <c r="AP36" i="11" s="1"/>
  <c r="AT36" i="11" s="1"/>
  <c r="AR36" i="11"/>
  <c r="I10" i="27"/>
  <c r="BS10" i="11"/>
  <c r="CH10" i="11" s="1"/>
  <c r="GD10" i="8" s="1"/>
  <c r="DM12" i="8"/>
  <c r="DH12" i="8"/>
  <c r="DK12" i="8"/>
  <c r="DL12" i="8"/>
  <c r="DU12" i="8"/>
  <c r="DV12" i="8"/>
  <c r="DW12" i="8"/>
  <c r="DO12" i="8"/>
  <c r="DN12" i="8"/>
  <c r="DQ12" i="8"/>
  <c r="DR12" i="8"/>
  <c r="DP12" i="8"/>
  <c r="DS12" i="8"/>
  <c r="HZ56" i="8"/>
  <c r="GX72" i="8"/>
  <c r="FQ72" i="8"/>
  <c r="DL7" i="8"/>
  <c r="DU7" i="8"/>
  <c r="DW7" i="8"/>
  <c r="DH7" i="8"/>
  <c r="DQ7" i="8"/>
  <c r="DN7" i="8"/>
  <c r="DV7" i="8"/>
  <c r="DR7" i="8"/>
  <c r="DS7" i="8"/>
  <c r="DK7" i="8"/>
  <c r="DM7" i="8"/>
  <c r="DO7" i="8"/>
  <c r="DP7" i="8"/>
  <c r="AY21" i="11"/>
  <c r="BW21" i="11"/>
  <c r="BF21" i="11"/>
  <c r="DE21" i="8"/>
  <c r="CR21" i="8"/>
  <c r="DF21" i="8" s="1"/>
  <c r="BP12" i="11"/>
  <c r="CW12" i="11"/>
  <c r="DB64" i="8"/>
  <c r="CV12" i="11"/>
  <c r="F12" i="28"/>
  <c r="BZ12" i="11"/>
  <c r="AO21" i="11"/>
  <c r="AQ21" i="11" s="1"/>
  <c r="AU21" i="11" s="1"/>
  <c r="AS21" i="11"/>
  <c r="CN90" i="8"/>
  <c r="HW7" i="8"/>
  <c r="GN7" i="8"/>
  <c r="GX7" i="8"/>
  <c r="HO7" i="8"/>
  <c r="HK7" i="8"/>
  <c r="GK7" i="8"/>
  <c r="GV7" i="8"/>
  <c r="HL7" i="8"/>
  <c r="HJ7" i="8"/>
  <c r="HX7" i="8"/>
  <c r="GS7" i="8"/>
  <c r="HI7" i="8"/>
  <c r="GE7" i="8"/>
  <c r="HE7" i="8"/>
  <c r="HF7" i="8"/>
  <c r="HC7" i="8"/>
  <c r="HA7" i="8"/>
  <c r="HQ7" i="8"/>
  <c r="HY7" i="8"/>
  <c r="GI7" i="8"/>
  <c r="HR7" i="8"/>
  <c r="GM7" i="8"/>
  <c r="GH7" i="8"/>
  <c r="HZ7" i="8"/>
  <c r="GZ7" i="8"/>
  <c r="GG7" i="8"/>
  <c r="HS7" i="8"/>
  <c r="HB7" i="8"/>
  <c r="HN7" i="8"/>
  <c r="GJ7" i="8"/>
  <c r="GR7" i="8"/>
  <c r="GF7" i="8"/>
  <c r="HH7" i="8"/>
  <c r="GU7" i="8"/>
  <c r="GW7" i="8"/>
  <c r="GT7" i="8"/>
  <c r="HG7" i="8"/>
  <c r="HU7" i="8"/>
  <c r="GO7" i="8"/>
  <c r="HM7" i="8"/>
  <c r="GY7" i="8"/>
  <c r="GL7" i="8"/>
  <c r="HT7" i="8"/>
  <c r="HV7" i="8"/>
  <c r="IR81" i="8"/>
  <c r="IW81" i="8"/>
  <c r="IJ81" i="8"/>
  <c r="IH81" i="8"/>
  <c r="IX81" i="8"/>
  <c r="IM81" i="8"/>
  <c r="IC81" i="8"/>
  <c r="IQ81" i="8"/>
  <c r="IF81" i="8"/>
  <c r="IU81" i="8"/>
  <c r="IL81" i="8"/>
  <c r="ID81" i="8"/>
  <c r="IE81" i="8"/>
  <c r="II81" i="8"/>
  <c r="IG81" i="8"/>
  <c r="IT81" i="8"/>
  <c r="IK81" i="8"/>
  <c r="IN81" i="8"/>
  <c r="IP81" i="8"/>
  <c r="IS81" i="8"/>
  <c r="IV81" i="8"/>
  <c r="X72" i="11"/>
  <c r="AH72" i="11"/>
  <c r="Z64" i="11"/>
  <c r="AG64" i="11" s="1"/>
  <c r="AI64" i="11"/>
  <c r="X21" i="11"/>
  <c r="AH21" i="11"/>
  <c r="DB21" i="8"/>
  <c r="I71" i="27"/>
  <c r="BS71" i="11"/>
  <c r="BU21" i="11"/>
  <c r="H21" i="27" s="1"/>
  <c r="AZ21" i="11"/>
  <c r="AW21" i="11"/>
  <c r="BG21" i="11"/>
  <c r="BH21" i="11" s="1"/>
  <c r="BI21" i="11" s="1"/>
  <c r="BM21" i="11" s="1"/>
  <c r="IB17" i="8"/>
  <c r="C17" i="28"/>
  <c r="E72" i="27"/>
  <c r="T72" i="11"/>
  <c r="EI72" i="8"/>
  <c r="HH72" i="8"/>
  <c r="FV72" i="8"/>
  <c r="CC50" i="11"/>
  <c r="CI50" i="11" s="1"/>
  <c r="G50" i="28"/>
  <c r="DE72" i="8"/>
  <c r="CR72" i="8"/>
  <c r="DF72" i="8" s="1"/>
  <c r="BW72" i="11"/>
  <c r="AY72" i="11"/>
  <c r="BF72" i="11"/>
  <c r="AR12" i="11"/>
  <c r="AN12" i="11"/>
  <c r="AP12" i="11" s="1"/>
  <c r="AT12" i="11" s="1"/>
  <c r="DE64" i="8"/>
  <c r="CR64" i="8"/>
  <c r="CT64" i="8" s="1"/>
  <c r="GP17" i="8"/>
  <c r="AY64" i="11"/>
  <c r="BF64" i="11"/>
  <c r="BW64" i="11"/>
  <c r="HL72" i="8"/>
  <c r="EO72" i="8"/>
  <c r="EH72" i="8"/>
  <c r="DB72" i="8"/>
  <c r="CT72" i="8"/>
  <c r="BS16" i="11"/>
  <c r="CH16" i="11" s="1"/>
  <c r="GD16" i="8" s="1"/>
  <c r="I16" i="27"/>
  <c r="CC7" i="11"/>
  <c r="CI7" i="11" s="1"/>
  <c r="G7" i="28"/>
  <c r="AX12" i="11"/>
  <c r="AE12" i="11"/>
  <c r="AV12" i="11"/>
  <c r="DH16" i="8"/>
  <c r="DK16" i="8"/>
  <c r="DV16" i="8"/>
  <c r="DU16" i="8"/>
  <c r="DM16" i="8"/>
  <c r="DL16" i="8"/>
  <c r="DW16" i="8"/>
  <c r="DO16" i="8"/>
  <c r="DQ16" i="8"/>
  <c r="DN16" i="8"/>
  <c r="DR16" i="8"/>
  <c r="DS16" i="8"/>
  <c r="DP16" i="8"/>
  <c r="DF12" i="8"/>
  <c r="DT12" i="8"/>
  <c r="CC16" i="11"/>
  <c r="CI16" i="11" s="1"/>
  <c r="G16" i="28"/>
  <c r="X64" i="11"/>
  <c r="AH64" i="11"/>
  <c r="DM70" i="8"/>
  <c r="DH70" i="8"/>
  <c r="DK70" i="8"/>
  <c r="DL70" i="8"/>
  <c r="DV70" i="8"/>
  <c r="DU70" i="8"/>
  <c r="DN70" i="8"/>
  <c r="DR70" i="8"/>
  <c r="DW70" i="8"/>
  <c r="DO70" i="8"/>
  <c r="DQ70" i="8"/>
  <c r="DP70" i="8"/>
  <c r="DS70" i="8"/>
  <c r="BZ18" i="11"/>
  <c r="F18" i="28"/>
  <c r="FZ60" i="8"/>
  <c r="DC83" i="8"/>
  <c r="DB68" i="8"/>
  <c r="FW70" i="8"/>
  <c r="HC70" i="8"/>
  <c r="DF78" i="8"/>
  <c r="BP23" i="11"/>
  <c r="CW23" i="11"/>
  <c r="X29" i="11"/>
  <c r="AH29" i="11"/>
  <c r="DU23" i="8"/>
  <c r="DV23" i="8"/>
  <c r="DM23" i="8"/>
  <c r="DH23" i="8"/>
  <c r="DL23" i="8"/>
  <c r="DK23" i="8"/>
  <c r="DO23" i="8"/>
  <c r="DN23" i="8"/>
  <c r="DR23" i="8"/>
  <c r="DW23" i="8"/>
  <c r="DQ23" i="8"/>
  <c r="AN78" i="11"/>
  <c r="AP78" i="11" s="1"/>
  <c r="AT78" i="11" s="1"/>
  <c r="AR78" i="11"/>
  <c r="EB83" i="8"/>
  <c r="BZ83" i="8"/>
  <c r="CD83" i="8" s="1"/>
  <c r="CF83" i="8" s="1"/>
  <c r="EF83" i="8"/>
  <c r="GK83" i="8"/>
  <c r="GP83" i="8" s="1"/>
  <c r="FL83" i="8"/>
  <c r="AP83" i="8"/>
  <c r="AR83" i="8" s="1"/>
  <c r="CT27" i="8"/>
  <c r="DT27" i="8" s="1"/>
  <c r="DF27" i="8"/>
  <c r="CT78" i="8"/>
  <c r="DT78" i="8" s="1"/>
  <c r="EH80" i="8"/>
  <c r="HL80" i="8"/>
  <c r="EO80" i="8"/>
  <c r="DB80" i="8"/>
  <c r="FF76" i="9"/>
  <c r="CK76" i="8" s="1"/>
  <c r="FG76" i="9"/>
  <c r="CO76" i="8" s="1"/>
  <c r="FD76" i="9"/>
  <c r="CJ76" i="8" s="1"/>
  <c r="FE76" i="9"/>
  <c r="CN76" i="8" s="1"/>
  <c r="BW31" i="11"/>
  <c r="BF31" i="11"/>
  <c r="AY31" i="11"/>
  <c r="DP61" i="8"/>
  <c r="DM61" i="8"/>
  <c r="DR61" i="8"/>
  <c r="DW61" i="8"/>
  <c r="DH61" i="8"/>
  <c r="DO61" i="8"/>
  <c r="DV61" i="8"/>
  <c r="DU61" i="8"/>
  <c r="DN61" i="8"/>
  <c r="DL61" i="8"/>
  <c r="DK61" i="8"/>
  <c r="DQ61" i="8"/>
  <c r="DS61" i="8"/>
  <c r="EQ70" i="8"/>
  <c r="HN70" i="8"/>
  <c r="BG60" i="11"/>
  <c r="BH60" i="11" s="1"/>
  <c r="BI60" i="11" s="1"/>
  <c r="BM60" i="11" s="1"/>
  <c r="BP60" i="11" s="1"/>
  <c r="AZ60" i="11"/>
  <c r="BU60" i="11"/>
  <c r="H60" i="27" s="1"/>
  <c r="AW60" i="11"/>
  <c r="BZ46" i="11"/>
  <c r="CV46" i="11"/>
  <c r="F46" i="28"/>
  <c r="BS62" i="11"/>
  <c r="CH62" i="11" s="1"/>
  <c r="GD62" i="8" s="1"/>
  <c r="I62" i="27"/>
  <c r="AS29" i="11"/>
  <c r="AO29" i="11"/>
  <c r="AQ29" i="11" s="1"/>
  <c r="AU29" i="11" s="1"/>
  <c r="DE31" i="8"/>
  <c r="CR31" i="8"/>
  <c r="G61" i="28"/>
  <c r="CC61" i="11"/>
  <c r="CI61" i="11" s="1"/>
  <c r="G62" i="28"/>
  <c r="CC62" i="11"/>
  <c r="CI62" i="11" s="1"/>
  <c r="CC56" i="11"/>
  <c r="CI56" i="11" s="1"/>
  <c r="G56" i="28"/>
  <c r="GB13" i="8"/>
  <c r="DT61" i="8"/>
  <c r="EO68" i="8"/>
  <c r="HL68" i="8"/>
  <c r="EH68" i="8"/>
  <c r="AR23" i="11"/>
  <c r="AN23" i="11"/>
  <c r="AP23" i="11" s="1"/>
  <c r="AT23" i="11" s="1"/>
  <c r="DT46" i="8"/>
  <c r="DF46" i="8"/>
  <c r="F78" i="28"/>
  <c r="BZ78" i="11"/>
  <c r="FW45" i="8"/>
  <c r="AS31" i="11"/>
  <c r="AO31" i="11"/>
  <c r="AQ31" i="11" s="1"/>
  <c r="AU31" i="11" s="1"/>
  <c r="CZ83" i="8"/>
  <c r="CQ83" i="8"/>
  <c r="CM83" i="8"/>
  <c r="CR68" i="8"/>
  <c r="DF68" i="8" s="1"/>
  <c r="DE68" i="8"/>
  <c r="ER70" i="8"/>
  <c r="EX70" i="8" s="1"/>
  <c r="HO70" i="8"/>
  <c r="EW78" i="8"/>
  <c r="ET78" i="8"/>
  <c r="FA78" i="8"/>
  <c r="EU78" i="8"/>
  <c r="EV78" i="8"/>
  <c r="EY78" i="8"/>
  <c r="CT33" i="8"/>
  <c r="DF33" i="8"/>
  <c r="GZ56" i="8"/>
  <c r="GY56" i="8"/>
  <c r="GR56" i="8"/>
  <c r="HV56" i="8"/>
  <c r="GO56" i="8"/>
  <c r="GX56" i="8"/>
  <c r="HC56" i="8"/>
  <c r="GH56" i="8"/>
  <c r="HE56" i="8"/>
  <c r="HA56" i="8"/>
  <c r="GU56" i="8"/>
  <c r="HS56" i="8"/>
  <c r="GS56" i="8"/>
  <c r="GT56" i="8"/>
  <c r="GF56" i="8"/>
  <c r="HB56" i="8"/>
  <c r="GJ56" i="8"/>
  <c r="HQ56" i="8"/>
  <c r="GG56" i="8"/>
  <c r="GM56" i="8"/>
  <c r="HG56" i="8"/>
  <c r="GI56" i="8"/>
  <c r="HJ56" i="8"/>
  <c r="GL56" i="8"/>
  <c r="GV56" i="8"/>
  <c r="HI56" i="8"/>
  <c r="GW56" i="8"/>
  <c r="GE56" i="8"/>
  <c r="GN56" i="8"/>
  <c r="GK56" i="8"/>
  <c r="HF56" i="8"/>
  <c r="HM56" i="8"/>
  <c r="HR56" i="8"/>
  <c r="HY56" i="8"/>
  <c r="HO56" i="8"/>
  <c r="HW56" i="8"/>
  <c r="HH56" i="8"/>
  <c r="HK56" i="8"/>
  <c r="HT56" i="8"/>
  <c r="HL56" i="8"/>
  <c r="HU56" i="8"/>
  <c r="HN56" i="8"/>
  <c r="GW61" i="8"/>
  <c r="HU61" i="8"/>
  <c r="GT61" i="8"/>
  <c r="GM61" i="8"/>
  <c r="GL61" i="8"/>
  <c r="HE61" i="8"/>
  <c r="HX61" i="8"/>
  <c r="HR61" i="8"/>
  <c r="GF61" i="8"/>
  <c r="HK61" i="8"/>
  <c r="GH61" i="8"/>
  <c r="HG61" i="8"/>
  <c r="HY61" i="8"/>
  <c r="GY61" i="8"/>
  <c r="HO61" i="8"/>
  <c r="HT61" i="8"/>
  <c r="GI61" i="8"/>
  <c r="GN61" i="8"/>
  <c r="GJ61" i="8"/>
  <c r="HH61" i="8"/>
  <c r="HC61" i="8"/>
  <c r="HJ61" i="8"/>
  <c r="HI61" i="8"/>
  <c r="HL61" i="8"/>
  <c r="GK61" i="8"/>
  <c r="HV61" i="8"/>
  <c r="HZ61" i="8"/>
  <c r="HB61" i="8"/>
  <c r="GV61" i="8"/>
  <c r="HM61" i="8"/>
  <c r="GR61" i="8"/>
  <c r="GX61" i="8"/>
  <c r="GO61" i="8"/>
  <c r="HW61" i="8"/>
  <c r="HQ61" i="8"/>
  <c r="HF61" i="8"/>
  <c r="HS61" i="8"/>
  <c r="GE61" i="8"/>
  <c r="GS61" i="8"/>
  <c r="GZ61" i="8"/>
  <c r="HA61" i="8"/>
  <c r="GU61" i="8"/>
  <c r="GG61" i="8"/>
  <c r="HN61" i="8"/>
  <c r="DM46" i="8"/>
  <c r="DL46" i="8"/>
  <c r="DU46" i="8"/>
  <c r="DH46" i="8"/>
  <c r="DK46" i="8"/>
  <c r="DV46" i="8"/>
  <c r="DR46" i="8"/>
  <c r="DW46" i="8"/>
  <c r="DO46" i="8"/>
  <c r="DN46" i="8"/>
  <c r="DQ46" i="8"/>
  <c r="AR33" i="11"/>
  <c r="AN33" i="11"/>
  <c r="AP33" i="11" s="1"/>
  <c r="AT33" i="11" s="1"/>
  <c r="AX78" i="11"/>
  <c r="AV78" i="11"/>
  <c r="BZ20" i="11"/>
  <c r="F20" i="28"/>
  <c r="GB23" i="8"/>
  <c r="AN18" i="11"/>
  <c r="AP18" i="11" s="1"/>
  <c r="AT18" i="11" s="1"/>
  <c r="AR18" i="11"/>
  <c r="BS27" i="11"/>
  <c r="CH27" i="11" s="1"/>
  <c r="GD27" i="8" s="1"/>
  <c r="I27" i="27"/>
  <c r="DB29" i="8"/>
  <c r="AN70" i="11"/>
  <c r="AP70" i="11" s="1"/>
  <c r="AT70" i="11" s="1"/>
  <c r="AR70" i="11"/>
  <c r="AN46" i="11"/>
  <c r="AP46" i="11" s="1"/>
  <c r="AT46" i="11" s="1"/>
  <c r="AR46" i="11"/>
  <c r="GX80" i="8"/>
  <c r="FQ80" i="8"/>
  <c r="EX78" i="8"/>
  <c r="X80" i="11"/>
  <c r="AH80" i="11"/>
  <c r="DN20" i="8"/>
  <c r="DQ20" i="8"/>
  <c r="DM20" i="8"/>
  <c r="FZ78" i="8"/>
  <c r="X31" i="11"/>
  <c r="AH31" i="11"/>
  <c r="DP13" i="8"/>
  <c r="BG29" i="11"/>
  <c r="BH29" i="11" s="1"/>
  <c r="BI29" i="11" s="1"/>
  <c r="BM29" i="11" s="1"/>
  <c r="BP29" i="11" s="1"/>
  <c r="AW29" i="11"/>
  <c r="BU29" i="11"/>
  <c r="H29" i="27" s="1"/>
  <c r="AZ29" i="11"/>
  <c r="BF68" i="11"/>
  <c r="AY68" i="11"/>
  <c r="BW68" i="11"/>
  <c r="EZ78" i="8"/>
  <c r="F23" i="28"/>
  <c r="CV23" i="11"/>
  <c r="BZ23" i="11"/>
  <c r="T76" i="11"/>
  <c r="EI76" i="8"/>
  <c r="E76" i="27"/>
  <c r="GX76" i="8"/>
  <c r="FQ76" i="8"/>
  <c r="DF23" i="8"/>
  <c r="DT23" i="8"/>
  <c r="IB74" i="8"/>
  <c r="C74" i="28"/>
  <c r="Z78" i="11"/>
  <c r="AI78" i="11"/>
  <c r="AE23" i="11"/>
  <c r="AX23" i="11"/>
  <c r="AV23" i="11"/>
  <c r="CJ90" i="8"/>
  <c r="EQ31" i="8"/>
  <c r="EZ31" i="8" s="1"/>
  <c r="HN31" i="8"/>
  <c r="DL18" i="8"/>
  <c r="DR18" i="8"/>
  <c r="DO18" i="8"/>
  <c r="DM18" i="8"/>
  <c r="DW18" i="8"/>
  <c r="DP18" i="8"/>
  <c r="DU18" i="8"/>
  <c r="DV18" i="8"/>
  <c r="DQ18" i="8"/>
  <c r="DS18" i="8"/>
  <c r="DK18" i="8"/>
  <c r="DH18" i="8"/>
  <c r="DN18" i="8"/>
  <c r="BU31" i="11"/>
  <c r="H31" i="27" s="1"/>
  <c r="AZ31" i="11"/>
  <c r="AW31" i="11"/>
  <c r="BG31" i="11"/>
  <c r="BH31" i="11" s="1"/>
  <c r="BI31" i="11" s="1"/>
  <c r="BM31" i="11" s="1"/>
  <c r="BP31" i="11" s="1"/>
  <c r="DA83" i="8"/>
  <c r="AE13" i="11"/>
  <c r="AX13" i="11"/>
  <c r="AV13" i="11"/>
  <c r="AN27" i="11"/>
  <c r="AP27" i="11" s="1"/>
  <c r="AT27" i="11" s="1"/>
  <c r="AR27" i="11"/>
  <c r="HE33" i="8"/>
  <c r="GS33" i="8"/>
  <c r="GW33" i="8"/>
  <c r="HO33" i="8"/>
  <c r="GY33" i="8"/>
  <c r="GN33" i="8"/>
  <c r="GL33" i="8"/>
  <c r="GU33" i="8"/>
  <c r="GO33" i="8"/>
  <c r="GV33" i="8"/>
  <c r="HG33" i="8"/>
  <c r="HQ33" i="8"/>
  <c r="GX33" i="8"/>
  <c r="HM33" i="8"/>
  <c r="HI33" i="8"/>
  <c r="GJ33" i="8"/>
  <c r="HF33" i="8"/>
  <c r="GR33" i="8"/>
  <c r="GZ33" i="8"/>
  <c r="HB33" i="8"/>
  <c r="GI33" i="8"/>
  <c r="HA33" i="8"/>
  <c r="HS33" i="8"/>
  <c r="GE33" i="8"/>
  <c r="GH33" i="8"/>
  <c r="HY33" i="8"/>
  <c r="HC33" i="8"/>
  <c r="GM33" i="8"/>
  <c r="HJ33" i="8"/>
  <c r="GF33" i="8"/>
  <c r="GT33" i="8"/>
  <c r="GG33" i="8"/>
  <c r="HV33" i="8"/>
  <c r="GK33" i="8"/>
  <c r="HR33" i="8"/>
  <c r="HH33" i="8"/>
  <c r="HW33" i="8"/>
  <c r="HK33" i="8"/>
  <c r="HL33" i="8"/>
  <c r="HT33" i="8"/>
  <c r="BS20" i="11"/>
  <c r="CH20" i="11" s="1"/>
  <c r="GD20" i="8" s="1"/>
  <c r="I20" i="27"/>
  <c r="I67" i="27"/>
  <c r="BS67" i="11"/>
  <c r="CH67" i="11" s="1"/>
  <c r="GD67" i="8" s="1"/>
  <c r="I18" i="27"/>
  <c r="BS18" i="11"/>
  <c r="CH18" i="11" s="1"/>
  <c r="GD18" i="8" s="1"/>
  <c r="AV33" i="11"/>
  <c r="AX33" i="11"/>
  <c r="AX18" i="11"/>
  <c r="AV18" i="11"/>
  <c r="DF70" i="8"/>
  <c r="DT70" i="8"/>
  <c r="AX70" i="11"/>
  <c r="AV70" i="11"/>
  <c r="AV46" i="11"/>
  <c r="AE46" i="11"/>
  <c r="AX46" i="11"/>
  <c r="EI80" i="8"/>
  <c r="T80" i="11"/>
  <c r="E80" i="27"/>
  <c r="HH80" i="8"/>
  <c r="FV80" i="8"/>
  <c r="BS46" i="11"/>
  <c r="CH46" i="11" s="1"/>
  <c r="GD46" i="8" s="1"/>
  <c r="I46" i="27"/>
  <c r="E76" i="28"/>
  <c r="CV76" i="8"/>
  <c r="R76" i="11"/>
  <c r="IB32" i="8"/>
  <c r="C32" i="28"/>
  <c r="DT13" i="8"/>
  <c r="DL13" i="8"/>
  <c r="DH13" i="8"/>
  <c r="DV13" i="8"/>
  <c r="DM13" i="8"/>
  <c r="DK13" i="8"/>
  <c r="DU13" i="8"/>
  <c r="DN13" i="8"/>
  <c r="DR13" i="8"/>
  <c r="DQ13" i="8"/>
  <c r="DW13" i="8"/>
  <c r="DO13" i="8"/>
  <c r="V83" i="11"/>
  <c r="Y83" i="11" s="1"/>
  <c r="AJ83" i="11"/>
  <c r="U83" i="11"/>
  <c r="I74" i="27"/>
  <c r="BS74" i="11"/>
  <c r="IN67" i="8"/>
  <c r="IH67" i="8"/>
  <c r="IS67" i="8"/>
  <c r="ID67" i="8"/>
  <c r="IX67" i="8"/>
  <c r="IM67" i="8"/>
  <c r="IC67" i="8"/>
  <c r="IL67" i="8"/>
  <c r="IG67" i="8"/>
  <c r="IJ67" i="8"/>
  <c r="IT67" i="8"/>
  <c r="IU67" i="8"/>
  <c r="IW67" i="8"/>
  <c r="IF67" i="8"/>
  <c r="IK67" i="8"/>
  <c r="IQ67" i="8"/>
  <c r="IV67" i="8"/>
  <c r="IE67" i="8"/>
  <c r="IR67" i="8"/>
  <c r="IP67" i="8"/>
  <c r="II67" i="8"/>
  <c r="DB31" i="8"/>
  <c r="CT31" i="8"/>
  <c r="DP31" i="8" s="1"/>
  <c r="FV76" i="8"/>
  <c r="HH76" i="8"/>
  <c r="IK9" i="8"/>
  <c r="II9" i="8"/>
  <c r="IF9" i="8"/>
  <c r="IM9" i="8"/>
  <c r="IN9" i="8"/>
  <c r="IW9" i="8"/>
  <c r="IH9" i="8"/>
  <c r="IX9" i="8"/>
  <c r="IV9" i="8"/>
  <c r="IP9" i="8"/>
  <c r="IU9" i="8"/>
  <c r="IT9" i="8"/>
  <c r="IS9" i="8"/>
  <c r="IL9" i="8"/>
  <c r="IQ9" i="8"/>
  <c r="IE9" i="8"/>
  <c r="IC9" i="8"/>
  <c r="IR9" i="8"/>
  <c r="IJ9" i="8"/>
  <c r="IG9" i="8"/>
  <c r="ID9" i="8"/>
  <c r="AR20" i="11"/>
  <c r="AN20" i="11"/>
  <c r="AP20" i="11" s="1"/>
  <c r="AT20" i="11" s="1"/>
  <c r="DM56" i="8"/>
  <c r="DH56" i="8"/>
  <c r="DL56" i="8"/>
  <c r="DK56" i="8"/>
  <c r="DV56" i="8"/>
  <c r="DU56" i="8"/>
  <c r="DN56" i="8"/>
  <c r="DQ56" i="8"/>
  <c r="DR56" i="8"/>
  <c r="DW56" i="8"/>
  <c r="DO56" i="8"/>
  <c r="DP56" i="8"/>
  <c r="DS56" i="8"/>
  <c r="CR60" i="8"/>
  <c r="DF60" i="8" s="1"/>
  <c r="DE60" i="8"/>
  <c r="DB60" i="8"/>
  <c r="EQ29" i="8"/>
  <c r="EZ29" i="8" s="1"/>
  <c r="FV68" i="8"/>
  <c r="HH68" i="8"/>
  <c r="T68" i="11"/>
  <c r="EI68" i="8"/>
  <c r="E68" i="27"/>
  <c r="I13" i="27"/>
  <c r="BS13" i="11"/>
  <c r="CH13" i="11" s="1"/>
  <c r="GD13" i="8" s="1"/>
  <c r="BF60" i="11"/>
  <c r="AY60" i="11"/>
  <c r="BW60" i="11"/>
  <c r="HX31" i="8"/>
  <c r="GB31" i="8"/>
  <c r="HZ31" i="8" s="1"/>
  <c r="EQ60" i="8"/>
  <c r="EZ60" i="8" s="1"/>
  <c r="HZ33" i="8"/>
  <c r="FH83" i="9"/>
  <c r="DD83" i="8"/>
  <c r="AR13" i="11"/>
  <c r="AN13" i="11"/>
  <c r="AP13" i="11" s="1"/>
  <c r="AT13" i="11" s="1"/>
  <c r="AK70" i="11"/>
  <c r="W70" i="11"/>
  <c r="F70" i="28"/>
  <c r="BZ70" i="11"/>
  <c r="AV27" i="11"/>
  <c r="AE27" i="11"/>
  <c r="AX27" i="11"/>
  <c r="BW29" i="11"/>
  <c r="AY29" i="11"/>
  <c r="BF29" i="11"/>
  <c r="DP46" i="8"/>
  <c r="HU33" i="8"/>
  <c r="IQ6" i="8"/>
  <c r="IP6" i="8"/>
  <c r="IF6" i="8"/>
  <c r="IN6" i="8"/>
  <c r="ID6" i="8"/>
  <c r="IR6" i="8"/>
  <c r="IL6" i="8"/>
  <c r="IE6" i="8"/>
  <c r="IX6" i="8"/>
  <c r="IK6" i="8"/>
  <c r="IC6" i="8"/>
  <c r="IV6" i="8"/>
  <c r="II6" i="8"/>
  <c r="IU6" i="8"/>
  <c r="IJ6" i="8"/>
  <c r="IW6" i="8"/>
  <c r="IS6" i="8"/>
  <c r="IM6" i="8"/>
  <c r="IH6" i="8"/>
  <c r="IG6" i="8"/>
  <c r="IT6" i="8"/>
  <c r="DE29" i="8"/>
  <c r="CR29" i="8"/>
  <c r="IF22" i="8"/>
  <c r="IN22" i="8"/>
  <c r="IR22" i="8"/>
  <c r="IV22" i="8"/>
  <c r="IK22" i="8"/>
  <c r="ID22" i="8"/>
  <c r="IE22" i="8"/>
  <c r="IW22" i="8"/>
  <c r="IT22" i="8"/>
  <c r="IH22" i="8"/>
  <c r="IX22" i="8"/>
  <c r="IG22" i="8"/>
  <c r="IS22" i="8"/>
  <c r="IL22" i="8"/>
  <c r="IJ22" i="8"/>
  <c r="IC22" i="8"/>
  <c r="II22" i="8"/>
  <c r="IP22" i="8"/>
  <c r="IM22" i="8"/>
  <c r="IQ22" i="8"/>
  <c r="IU22" i="8"/>
  <c r="BF80" i="11"/>
  <c r="AY80" i="11"/>
  <c r="BW80" i="11"/>
  <c r="CR80" i="8"/>
  <c r="DE80" i="8"/>
  <c r="IK49" i="8"/>
  <c r="IF49" i="8"/>
  <c r="IN49" i="8"/>
  <c r="IC49" i="8"/>
  <c r="IS49" i="8"/>
  <c r="IU49" i="8"/>
  <c r="IJ49" i="8"/>
  <c r="IV49" i="8"/>
  <c r="IE49" i="8"/>
  <c r="IR49" i="8"/>
  <c r="IM49" i="8"/>
  <c r="IT49" i="8"/>
  <c r="II49" i="8"/>
  <c r="IX49" i="8"/>
  <c r="IH49" i="8"/>
  <c r="IP49" i="8"/>
  <c r="ID49" i="8"/>
  <c r="IQ49" i="8"/>
  <c r="IW49" i="8"/>
  <c r="IL49" i="8"/>
  <c r="IG49" i="8"/>
  <c r="DI83" i="8"/>
  <c r="AO60" i="11"/>
  <c r="AQ60" i="11" s="1"/>
  <c r="AU60" i="11" s="1"/>
  <c r="AS60" i="11"/>
  <c r="X68" i="11"/>
  <c r="AH68" i="11"/>
  <c r="EO76" i="8"/>
  <c r="HL76" i="8"/>
  <c r="EH76" i="8"/>
  <c r="DS23" i="8"/>
  <c r="AX20" i="11"/>
  <c r="AV20" i="11"/>
  <c r="DF18" i="8"/>
  <c r="DT18" i="8"/>
  <c r="CV13" i="11"/>
  <c r="F13" i="28"/>
  <c r="BZ13" i="11"/>
  <c r="CV27" i="11"/>
  <c r="BZ27" i="11"/>
  <c r="F27" i="28"/>
  <c r="FQ68" i="8"/>
  <c r="GX68" i="8"/>
  <c r="DT56" i="8"/>
  <c r="IM35" i="8"/>
  <c r="IQ35" i="8"/>
  <c r="IF35" i="8"/>
  <c r="IL35" i="8"/>
  <c r="IR35" i="8"/>
  <c r="IK35" i="8"/>
  <c r="IN35" i="8"/>
  <c r="IP35" i="8"/>
  <c r="II35" i="8"/>
  <c r="IJ35" i="8"/>
  <c r="IG35" i="8"/>
  <c r="IV35" i="8"/>
  <c r="IS35" i="8"/>
  <c r="IX35" i="8"/>
  <c r="ID35" i="8"/>
  <c r="IH35" i="8"/>
  <c r="IT35" i="8"/>
  <c r="IE35" i="8"/>
  <c r="IW35" i="8"/>
  <c r="IC35" i="8"/>
  <c r="IU35" i="8"/>
  <c r="DS46" i="8"/>
  <c r="X60" i="11"/>
  <c r="AH60" i="11"/>
  <c r="F33" i="28"/>
  <c r="BZ33" i="11"/>
  <c r="HX33" i="8"/>
  <c r="BS90" i="8"/>
  <c r="D96" i="11"/>
  <c r="E90" i="28"/>
  <c r="FA43" i="8"/>
  <c r="EW43" i="8"/>
  <c r="ET43" i="8"/>
  <c r="EU43" i="8"/>
  <c r="EV43" i="8"/>
  <c r="EO45" i="8"/>
  <c r="EH45" i="8"/>
  <c r="C52" i="28"/>
  <c r="IB52" i="8"/>
  <c r="EW40" i="8"/>
  <c r="FA40" i="8"/>
  <c r="ET40" i="8"/>
  <c r="EU40" i="8"/>
  <c r="EV40" i="8"/>
  <c r="DI43" i="8"/>
  <c r="FH45" i="9"/>
  <c r="DC45" i="8"/>
  <c r="FH44" i="9"/>
  <c r="W87" i="11"/>
  <c r="AK87" i="11"/>
  <c r="EI53" i="8"/>
  <c r="T53" i="11"/>
  <c r="E53" i="27"/>
  <c r="CO90" i="8"/>
  <c r="AE41" i="11"/>
  <c r="AX41" i="11"/>
  <c r="AV41" i="11"/>
  <c r="DS42" i="11"/>
  <c r="H42" i="28"/>
  <c r="Z42" i="11"/>
  <c r="AG42" i="11" s="1"/>
  <c r="AI42" i="11"/>
  <c r="DA43" i="8"/>
  <c r="DM41" i="8"/>
  <c r="DV41" i="8"/>
  <c r="DK41" i="8"/>
  <c r="DU41" i="8"/>
  <c r="DL41" i="8"/>
  <c r="DH41" i="8"/>
  <c r="DN41" i="8"/>
  <c r="DQ41" i="8"/>
  <c r="DW41" i="8"/>
  <c r="DR41" i="8"/>
  <c r="DO41" i="8"/>
  <c r="CZ42" i="8"/>
  <c r="CQ42" i="8"/>
  <c r="CM42" i="8"/>
  <c r="U87" i="11"/>
  <c r="AJ87" i="11"/>
  <c r="V87" i="11"/>
  <c r="Y87" i="11" s="1"/>
  <c r="AY87" i="11" s="1"/>
  <c r="EQ40" i="8"/>
  <c r="EZ40" i="8" s="1"/>
  <c r="V45" i="11"/>
  <c r="Y45" i="11" s="1"/>
  <c r="U45" i="11"/>
  <c r="AJ45" i="11"/>
  <c r="DC53" i="8"/>
  <c r="X86" i="11"/>
  <c r="AH86" i="11"/>
  <c r="EY43" i="8"/>
  <c r="G26" i="28"/>
  <c r="CC26" i="11"/>
  <c r="CI26" i="11" s="1"/>
  <c r="EI45" i="8"/>
  <c r="E45" i="27"/>
  <c r="T45" i="11"/>
  <c r="AJ42" i="11"/>
  <c r="U42" i="11"/>
  <c r="V42" i="11"/>
  <c r="Y42" i="11" s="1"/>
  <c r="AF42" i="11" s="1"/>
  <c r="V43" i="11"/>
  <c r="Y43" i="11" s="1"/>
  <c r="AJ43" i="11"/>
  <c r="U43" i="11"/>
  <c r="DD45" i="8"/>
  <c r="U88" i="11"/>
  <c r="AJ88" i="11"/>
  <c r="V88" i="11"/>
  <c r="Y88" i="11" s="1"/>
  <c r="AY88" i="11" s="1"/>
  <c r="GB40" i="8"/>
  <c r="ID5" i="8"/>
  <c r="IR5" i="8"/>
  <c r="IS5" i="8"/>
  <c r="IE5" i="8"/>
  <c r="IQ5" i="8"/>
  <c r="IX5" i="8"/>
  <c r="IG5" i="8"/>
  <c r="IN5" i="8"/>
  <c r="IP5" i="8"/>
  <c r="IH5" i="8"/>
  <c r="IU5" i="8"/>
  <c r="IV5" i="8"/>
  <c r="IT5" i="8"/>
  <c r="IL5" i="8"/>
  <c r="IJ5" i="8"/>
  <c r="IF5" i="8"/>
  <c r="IC5" i="8"/>
  <c r="IM5" i="8"/>
  <c r="IK5" i="8"/>
  <c r="II5" i="8"/>
  <c r="IW5" i="8"/>
  <c r="Z43" i="11"/>
  <c r="AI43" i="11"/>
  <c r="DC43" i="8"/>
  <c r="CW41" i="11"/>
  <c r="BP41" i="11"/>
  <c r="FH42" i="9"/>
  <c r="FW42" i="8"/>
  <c r="FZ42" i="8" s="1"/>
  <c r="EX40" i="8"/>
  <c r="AK86" i="11"/>
  <c r="W86" i="11"/>
  <c r="DI45" i="8"/>
  <c r="DD53" i="8"/>
  <c r="AJ53" i="11"/>
  <c r="V53" i="11"/>
  <c r="Y53" i="11" s="1"/>
  <c r="AF53" i="11" s="1"/>
  <c r="U53" i="11"/>
  <c r="AJ44" i="11"/>
  <c r="U44" i="11"/>
  <c r="V44" i="11"/>
  <c r="Y44" i="11" s="1"/>
  <c r="AF44" i="11" s="1"/>
  <c r="DT41" i="8"/>
  <c r="DF41" i="8"/>
  <c r="EO42" i="8"/>
  <c r="EX42" i="8" s="1"/>
  <c r="EH42" i="8"/>
  <c r="DI40" i="8"/>
  <c r="CV90" i="8"/>
  <c r="DI42" i="8"/>
  <c r="DB40" i="8"/>
  <c r="AK85" i="11"/>
  <c r="W85" i="11"/>
  <c r="DA45" i="8"/>
  <c r="C66" i="28"/>
  <c r="IB66" i="8"/>
  <c r="CQ44" i="8"/>
  <c r="CZ44" i="8"/>
  <c r="CM44" i="8"/>
  <c r="FW53" i="8"/>
  <c r="I52" i="27"/>
  <c r="BS52" i="11"/>
  <c r="CH52" i="11" s="1"/>
  <c r="GD52" i="8" s="1"/>
  <c r="AJ85" i="11"/>
  <c r="V85" i="11"/>
  <c r="Y85" i="11" s="1"/>
  <c r="AY85" i="11" s="1"/>
  <c r="U85" i="11"/>
  <c r="DD43" i="8"/>
  <c r="FW43" i="8"/>
  <c r="DD42" i="8"/>
  <c r="DC42" i="8"/>
  <c r="F41" i="28"/>
  <c r="BZ41" i="11"/>
  <c r="CV41" i="11"/>
  <c r="AP44" i="8"/>
  <c r="EB44" i="8"/>
  <c r="FL44" i="8"/>
  <c r="BZ44" i="8"/>
  <c r="CD44" i="8" s="1"/>
  <c r="CF44" i="8" s="1"/>
  <c r="EF44" i="8"/>
  <c r="AL90" i="8"/>
  <c r="BZ90" i="8" s="1"/>
  <c r="I69" i="27"/>
  <c r="BS69" i="11"/>
  <c r="FH53" i="9"/>
  <c r="CZ53" i="8"/>
  <c r="CQ53" i="8"/>
  <c r="CM53" i="8"/>
  <c r="DI53" i="8"/>
  <c r="EO43" i="8"/>
  <c r="EX43" i="8" s="1"/>
  <c r="EH43" i="8"/>
  <c r="Z40" i="11"/>
  <c r="AI40" i="11"/>
  <c r="U40" i="11"/>
  <c r="AJ40" i="11"/>
  <c r="V40" i="11"/>
  <c r="Y40" i="11" s="1"/>
  <c r="AK88" i="11"/>
  <c r="W88" i="11"/>
  <c r="FZ45" i="8"/>
  <c r="DE40" i="8"/>
  <c r="CR40" i="8"/>
  <c r="CQ45" i="8"/>
  <c r="CZ45" i="8"/>
  <c r="CM45" i="8"/>
  <c r="EO53" i="8"/>
  <c r="EH53" i="8"/>
  <c r="AN41" i="11"/>
  <c r="AP41" i="11" s="1"/>
  <c r="AT41" i="11" s="1"/>
  <c r="AR41" i="11"/>
  <c r="BS26" i="11"/>
  <c r="CH26" i="11" s="1"/>
  <c r="GD26" i="8" s="1"/>
  <c r="I26" i="27"/>
  <c r="FH43" i="9"/>
  <c r="CZ43" i="8"/>
  <c r="CQ43" i="8"/>
  <c r="CM43" i="8"/>
  <c r="DA42" i="8"/>
  <c r="CK90" i="8"/>
  <c r="IC59" i="8"/>
  <c r="IT59" i="8"/>
  <c r="ID59" i="8"/>
  <c r="IW59" i="8"/>
  <c r="II59" i="8"/>
  <c r="IQ59" i="8"/>
  <c r="IL59" i="8"/>
  <c r="IR59" i="8"/>
  <c r="IS59" i="8"/>
  <c r="IN59" i="8"/>
  <c r="IV59" i="8"/>
  <c r="IK59" i="8"/>
  <c r="IE59" i="8"/>
  <c r="IH59" i="8"/>
  <c r="IG59" i="8"/>
  <c r="IF59" i="8"/>
  <c r="IM59" i="8"/>
  <c r="IX59" i="8"/>
  <c r="IP59" i="8"/>
  <c r="IJ59" i="8"/>
  <c r="IU59" i="8"/>
  <c r="DA53" i="8"/>
  <c r="DS41" i="8"/>
  <c r="C69" i="28"/>
  <c r="IB69" i="8"/>
  <c r="W28" i="21"/>
  <c r="W27" i="21"/>
  <c r="AP8" i="11"/>
  <c r="CH8" i="11"/>
  <c r="GD8" i="8" s="1"/>
  <c r="G8" i="28"/>
  <c r="CC8" i="11"/>
  <c r="DS20" i="8" l="1"/>
  <c r="DV20" i="8"/>
  <c r="DK20" i="8"/>
  <c r="DT20" i="8"/>
  <c r="A17" i="22"/>
  <c r="E16" i="22"/>
  <c r="C16" i="22"/>
  <c r="G16" i="22"/>
  <c r="C97" i="22"/>
  <c r="E97" i="22" s="1"/>
  <c r="A98" i="22"/>
  <c r="B97" i="22"/>
  <c r="D97" i="22" s="1"/>
  <c r="CZ82" i="8"/>
  <c r="CQ82" i="8"/>
  <c r="DB82" i="8" s="1"/>
  <c r="CM82" i="8"/>
  <c r="F18" i="24"/>
  <c r="A19" i="24"/>
  <c r="B18" i="24"/>
  <c r="D18" i="24"/>
  <c r="H18" i="24"/>
  <c r="V82" i="11"/>
  <c r="Y82" i="11" s="1"/>
  <c r="AJ82" i="11"/>
  <c r="U82" i="11"/>
  <c r="H69" i="24"/>
  <c r="F69" i="24"/>
  <c r="B69" i="24"/>
  <c r="A70" i="24"/>
  <c r="D69" i="24"/>
  <c r="A70" i="22"/>
  <c r="E69" i="22"/>
  <c r="G69" i="22"/>
  <c r="C69" i="22"/>
  <c r="BZ82" i="8"/>
  <c r="CD82" i="8" s="1"/>
  <c r="CF82" i="8" s="1"/>
  <c r="FL82" i="8"/>
  <c r="GK82" i="8"/>
  <c r="GP82" i="8" s="1"/>
  <c r="AP82" i="8"/>
  <c r="AR82" i="8" s="1"/>
  <c r="EB82" i="8"/>
  <c r="EF82" i="8"/>
  <c r="DR20" i="8"/>
  <c r="DO20" i="8"/>
  <c r="DH20" i="8"/>
  <c r="C99" i="24"/>
  <c r="E99" i="24" s="1"/>
  <c r="A100" i="24"/>
  <c r="B99" i="24"/>
  <c r="D99" i="24" s="1"/>
  <c r="FH82" i="9"/>
  <c r="DL20" i="8"/>
  <c r="DW20" i="8"/>
  <c r="DU20" i="8"/>
  <c r="HT73" i="8"/>
  <c r="I30" i="27"/>
  <c r="BS30" i="11"/>
  <c r="HX48" i="8"/>
  <c r="GB48" i="8"/>
  <c r="HZ48" i="8" s="1"/>
  <c r="GP32" i="8"/>
  <c r="AX30" i="11"/>
  <c r="AV30" i="11"/>
  <c r="GP51" i="8"/>
  <c r="BZ79" i="11"/>
  <c r="F79" i="28"/>
  <c r="HO73" i="8"/>
  <c r="ER73" i="8"/>
  <c r="HH75" i="8"/>
  <c r="FV75" i="8"/>
  <c r="HT79" i="8"/>
  <c r="CT37" i="8"/>
  <c r="DF37" i="8"/>
  <c r="CT73" i="8"/>
  <c r="G11" i="28"/>
  <c r="CC11" i="11"/>
  <c r="CI11" i="11" s="1"/>
  <c r="AR79" i="11"/>
  <c r="AN79" i="11"/>
  <c r="AP79" i="11" s="1"/>
  <c r="AT79" i="11" s="1"/>
  <c r="IB51" i="8"/>
  <c r="C51" i="28"/>
  <c r="FW79" i="8"/>
  <c r="HU79" i="8" s="1"/>
  <c r="HC79" i="8"/>
  <c r="CT79" i="8"/>
  <c r="DT79" i="8" s="1"/>
  <c r="DF79" i="8"/>
  <c r="AX79" i="11"/>
  <c r="AV79" i="11"/>
  <c r="HC73" i="8"/>
  <c r="FW73" i="8"/>
  <c r="HU73" i="8" s="1"/>
  <c r="X75" i="11"/>
  <c r="AH75" i="11"/>
  <c r="AO65" i="11"/>
  <c r="AQ65" i="11" s="1"/>
  <c r="AU65" i="11" s="1"/>
  <c r="AS65" i="11"/>
  <c r="F30" i="28"/>
  <c r="BZ30" i="11"/>
  <c r="C47" i="28"/>
  <c r="IB47" i="8"/>
  <c r="CC14" i="11"/>
  <c r="CI14" i="11" s="1"/>
  <c r="G14" i="28"/>
  <c r="DE48" i="8"/>
  <c r="CR48" i="8"/>
  <c r="I48" i="27"/>
  <c r="BS48" i="11"/>
  <c r="DE75" i="8"/>
  <c r="CR75" i="8"/>
  <c r="EX79" i="8"/>
  <c r="EH75" i="8"/>
  <c r="EO75" i="8"/>
  <c r="HL75" i="8"/>
  <c r="AN48" i="11"/>
  <c r="AP48" i="11" s="1"/>
  <c r="AT48" i="11" s="1"/>
  <c r="AR48" i="11"/>
  <c r="ER79" i="8"/>
  <c r="HO79" i="8"/>
  <c r="AW65" i="11"/>
  <c r="AZ65" i="11"/>
  <c r="BG65" i="11"/>
  <c r="BH65" i="11" s="1"/>
  <c r="BI65" i="11" s="1"/>
  <c r="BM65" i="11" s="1"/>
  <c r="BP65" i="11" s="1"/>
  <c r="BU65" i="11"/>
  <c r="H65" i="27" s="1"/>
  <c r="I77" i="27"/>
  <c r="BS77" i="11"/>
  <c r="EQ73" i="8"/>
  <c r="EZ73" i="8" s="1"/>
  <c r="HN73" i="8"/>
  <c r="AN73" i="11"/>
  <c r="AP73" i="11" s="1"/>
  <c r="AT73" i="11" s="1"/>
  <c r="AR73" i="11"/>
  <c r="C77" i="28"/>
  <c r="IB77" i="8"/>
  <c r="BZ73" i="11"/>
  <c r="F73" i="28"/>
  <c r="I37" i="27"/>
  <c r="BS37" i="11"/>
  <c r="CH37" i="11" s="1"/>
  <c r="GD37" i="8" s="1"/>
  <c r="EQ79" i="8"/>
  <c r="EZ79" i="8" s="1"/>
  <c r="HN79" i="8"/>
  <c r="AX48" i="11"/>
  <c r="AV48" i="11"/>
  <c r="BF75" i="11"/>
  <c r="BW75" i="11"/>
  <c r="AY75" i="11"/>
  <c r="AV73" i="11"/>
  <c r="AX73" i="11"/>
  <c r="IT38" i="8"/>
  <c r="IK38" i="8"/>
  <c r="IW38" i="8"/>
  <c r="IG38" i="8"/>
  <c r="IC38" i="8"/>
  <c r="IU38" i="8"/>
  <c r="IM38" i="8"/>
  <c r="IV38" i="8"/>
  <c r="IE38" i="8"/>
  <c r="II38" i="8"/>
  <c r="IH38" i="8"/>
  <c r="IQ38" i="8"/>
  <c r="IR38" i="8"/>
  <c r="IP38" i="8"/>
  <c r="ID38" i="8"/>
  <c r="IS38" i="8"/>
  <c r="IN38" i="8"/>
  <c r="IX38" i="8"/>
  <c r="IL38" i="8"/>
  <c r="IF38" i="8"/>
  <c r="IJ38" i="8"/>
  <c r="BS24" i="11"/>
  <c r="CH24" i="11" s="1"/>
  <c r="GD24" i="8" s="1"/>
  <c r="I24" i="27"/>
  <c r="DB75" i="8"/>
  <c r="DL24" i="8"/>
  <c r="DH24" i="8"/>
  <c r="DU24" i="8"/>
  <c r="DM24" i="8"/>
  <c r="DK24" i="8"/>
  <c r="DV24" i="8"/>
  <c r="DR24" i="8"/>
  <c r="DQ24" i="8"/>
  <c r="DW24" i="8"/>
  <c r="DO24" i="8"/>
  <c r="DN24" i="8"/>
  <c r="DS24" i="8"/>
  <c r="DP24" i="8"/>
  <c r="FQ75" i="8"/>
  <c r="GX75" i="8"/>
  <c r="CT30" i="8"/>
  <c r="I11" i="27"/>
  <c r="BS11" i="11"/>
  <c r="CH11" i="11" s="1"/>
  <c r="GD11" i="8" s="1"/>
  <c r="F48" i="28"/>
  <c r="BZ48" i="11"/>
  <c r="AK79" i="11"/>
  <c r="W79" i="11"/>
  <c r="EI75" i="8"/>
  <c r="T75" i="11"/>
  <c r="E75" i="27"/>
  <c r="C65" i="28"/>
  <c r="IB65" i="8"/>
  <c r="AR30" i="11"/>
  <c r="AN30" i="11"/>
  <c r="AP30" i="11" s="1"/>
  <c r="AT30" i="11" s="1"/>
  <c r="CC37" i="11"/>
  <c r="CI37" i="11" s="1"/>
  <c r="G37" i="28"/>
  <c r="DP11" i="8"/>
  <c r="DM11" i="8"/>
  <c r="DR11" i="8"/>
  <c r="DU11" i="8"/>
  <c r="DQ11" i="8"/>
  <c r="DL11" i="8"/>
  <c r="DH11" i="8"/>
  <c r="DW11" i="8"/>
  <c r="DN11" i="8"/>
  <c r="DO11" i="8"/>
  <c r="DV11" i="8"/>
  <c r="DK11" i="8"/>
  <c r="DS11" i="8"/>
  <c r="W73" i="11"/>
  <c r="AK73" i="11"/>
  <c r="I14" i="27"/>
  <c r="BS14" i="11"/>
  <c r="CH14" i="11" s="1"/>
  <c r="GD14" i="8" s="1"/>
  <c r="G24" i="28"/>
  <c r="CC24" i="11"/>
  <c r="CI24" i="11" s="1"/>
  <c r="IQ39" i="8"/>
  <c r="IX39" i="8"/>
  <c r="II39" i="8"/>
  <c r="IK39" i="8"/>
  <c r="IH39" i="8"/>
  <c r="IF39" i="8"/>
  <c r="IC39" i="8"/>
  <c r="ID39" i="8"/>
  <c r="IS39" i="8"/>
  <c r="IG39" i="8"/>
  <c r="IM39" i="8"/>
  <c r="IL39" i="8"/>
  <c r="IE39" i="8"/>
  <c r="IT39" i="8"/>
  <c r="IP39" i="8"/>
  <c r="IU39" i="8"/>
  <c r="IV39" i="8"/>
  <c r="IJ39" i="8"/>
  <c r="IW39" i="8"/>
  <c r="IN39" i="8"/>
  <c r="IR39" i="8"/>
  <c r="GP39" i="8"/>
  <c r="GP4" i="8"/>
  <c r="IB4" i="8"/>
  <c r="C4" i="28"/>
  <c r="C15" i="28"/>
  <c r="IB15" i="8"/>
  <c r="HB15" i="8"/>
  <c r="GL15" i="8"/>
  <c r="HR15" i="8"/>
  <c r="HV15" i="8"/>
  <c r="HJ15" i="8"/>
  <c r="HN15" i="8"/>
  <c r="GG15" i="8"/>
  <c r="GO15" i="8"/>
  <c r="HU15" i="8"/>
  <c r="HF15" i="8"/>
  <c r="GI15" i="8"/>
  <c r="GT15" i="8"/>
  <c r="GV15" i="8"/>
  <c r="HA15" i="8"/>
  <c r="HM15" i="8"/>
  <c r="HO15" i="8"/>
  <c r="GE15" i="8"/>
  <c r="HE15" i="8"/>
  <c r="HT15" i="8"/>
  <c r="GZ15" i="8"/>
  <c r="GM15" i="8"/>
  <c r="HL15" i="8"/>
  <c r="HY15" i="8"/>
  <c r="HG15" i="8"/>
  <c r="HW15" i="8"/>
  <c r="GU15" i="8"/>
  <c r="GN15" i="8"/>
  <c r="HX15" i="8"/>
  <c r="GF15" i="8"/>
  <c r="HC15" i="8"/>
  <c r="GR15" i="8"/>
  <c r="GK15" i="8"/>
  <c r="GH15" i="8"/>
  <c r="GW15" i="8"/>
  <c r="GY15" i="8"/>
  <c r="HH15" i="8"/>
  <c r="HI15" i="8"/>
  <c r="GJ15" i="8"/>
  <c r="HQ15" i="8"/>
  <c r="HS15" i="8"/>
  <c r="GS15" i="8"/>
  <c r="HZ15" i="8"/>
  <c r="GX15" i="8"/>
  <c r="HK15" i="8"/>
  <c r="DH15" i="8"/>
  <c r="DQ15" i="8"/>
  <c r="DK15" i="8"/>
  <c r="DP15" i="8"/>
  <c r="DM15" i="8"/>
  <c r="DL15" i="8"/>
  <c r="DR15" i="8"/>
  <c r="DW15" i="8"/>
  <c r="DN15" i="8"/>
  <c r="DS15" i="8"/>
  <c r="DT15" i="8"/>
  <c r="DV15" i="8"/>
  <c r="DU15" i="8"/>
  <c r="DO15" i="8"/>
  <c r="AS66" i="11"/>
  <c r="AO66" i="11"/>
  <c r="AQ66" i="11" s="1"/>
  <c r="AU66" i="11" s="1"/>
  <c r="BG66" i="11"/>
  <c r="BH66" i="11" s="1"/>
  <c r="BI66" i="11" s="1"/>
  <c r="BM66" i="11" s="1"/>
  <c r="BP66" i="11" s="1"/>
  <c r="AW66" i="11"/>
  <c r="AZ66" i="11"/>
  <c r="BU66" i="11"/>
  <c r="H66" i="27" s="1"/>
  <c r="CT21" i="8"/>
  <c r="DV21" i="8" s="1"/>
  <c r="DF84" i="8"/>
  <c r="CT84" i="8"/>
  <c r="DT84" i="8" s="1"/>
  <c r="BZ84" i="11"/>
  <c r="F84" i="28"/>
  <c r="AR84" i="11"/>
  <c r="AN84" i="11"/>
  <c r="AP84" i="11" s="1"/>
  <c r="AT84" i="11" s="1"/>
  <c r="IB54" i="8"/>
  <c r="C54" i="28"/>
  <c r="AV84" i="11"/>
  <c r="AX84" i="11"/>
  <c r="Z84" i="11"/>
  <c r="AI84" i="11"/>
  <c r="GM54" i="8"/>
  <c r="GG54" i="8"/>
  <c r="HF54" i="8"/>
  <c r="GH54" i="8"/>
  <c r="GF54" i="8"/>
  <c r="HS54" i="8"/>
  <c r="HQ54" i="8"/>
  <c r="GE54" i="8"/>
  <c r="GV54" i="8"/>
  <c r="HV54" i="8"/>
  <c r="HU54" i="8"/>
  <c r="HO54" i="8"/>
  <c r="GL54" i="8"/>
  <c r="GR54" i="8"/>
  <c r="HT54" i="8"/>
  <c r="HB54" i="8"/>
  <c r="HR54" i="8"/>
  <c r="GN54" i="8"/>
  <c r="GW54" i="8"/>
  <c r="GY54" i="8"/>
  <c r="HE54" i="8"/>
  <c r="HG54" i="8"/>
  <c r="HL54" i="8"/>
  <c r="HC54" i="8"/>
  <c r="HH54" i="8"/>
  <c r="HK54" i="8"/>
  <c r="GT54" i="8"/>
  <c r="GS54" i="8"/>
  <c r="HY54" i="8"/>
  <c r="GU54" i="8"/>
  <c r="HJ54" i="8"/>
  <c r="HN54" i="8"/>
  <c r="GO54" i="8"/>
  <c r="HM54" i="8"/>
  <c r="HI54" i="8"/>
  <c r="GK54" i="8"/>
  <c r="GI54" i="8"/>
  <c r="HW54" i="8"/>
  <c r="HA54" i="8"/>
  <c r="GX54" i="8"/>
  <c r="GJ54" i="8"/>
  <c r="HX54" i="8"/>
  <c r="HZ54" i="8"/>
  <c r="GZ54" i="8"/>
  <c r="GP55" i="8"/>
  <c r="GO19" i="8"/>
  <c r="GI19" i="8"/>
  <c r="HW19" i="8"/>
  <c r="GU19" i="8"/>
  <c r="HU19" i="8"/>
  <c r="HE19" i="8"/>
  <c r="HA19" i="8"/>
  <c r="GZ19" i="8"/>
  <c r="HB19" i="8"/>
  <c r="GF19" i="8"/>
  <c r="HN19" i="8"/>
  <c r="GW19" i="8"/>
  <c r="GE19" i="8"/>
  <c r="GT19" i="8"/>
  <c r="HK19" i="8"/>
  <c r="HT19" i="8"/>
  <c r="GJ19" i="8"/>
  <c r="HL19" i="8"/>
  <c r="HH19" i="8"/>
  <c r="HM19" i="8"/>
  <c r="HF19" i="8"/>
  <c r="GN19" i="8"/>
  <c r="HQ19" i="8"/>
  <c r="GR19" i="8"/>
  <c r="HJ19" i="8"/>
  <c r="HO19" i="8"/>
  <c r="GL19" i="8"/>
  <c r="HS19" i="8"/>
  <c r="HG19" i="8"/>
  <c r="GM19" i="8"/>
  <c r="GH19" i="8"/>
  <c r="GV19" i="8"/>
  <c r="HV19" i="8"/>
  <c r="HZ19" i="8"/>
  <c r="HC19" i="8"/>
  <c r="GX19" i="8"/>
  <c r="HY19" i="8"/>
  <c r="HI19" i="8"/>
  <c r="HX19" i="8"/>
  <c r="GY19" i="8"/>
  <c r="GS19" i="8"/>
  <c r="HR19" i="8"/>
  <c r="GK19" i="8"/>
  <c r="GG19" i="8"/>
  <c r="IH55" i="8"/>
  <c r="IM55" i="8"/>
  <c r="IQ55" i="8"/>
  <c r="IF55" i="8"/>
  <c r="II55" i="8"/>
  <c r="IL55" i="8"/>
  <c r="IK55" i="8"/>
  <c r="IU55" i="8"/>
  <c r="IT55" i="8"/>
  <c r="IS55" i="8"/>
  <c r="IW55" i="8"/>
  <c r="IV55" i="8"/>
  <c r="IG55" i="8"/>
  <c r="IR55" i="8"/>
  <c r="ID55" i="8"/>
  <c r="IN55" i="8"/>
  <c r="IJ55" i="8"/>
  <c r="IC55" i="8"/>
  <c r="IX55" i="8"/>
  <c r="IE55" i="8"/>
  <c r="IP55" i="8"/>
  <c r="C34" i="28"/>
  <c r="IB34" i="8"/>
  <c r="DW25" i="8"/>
  <c r="DN25" i="8"/>
  <c r="DQ25" i="8"/>
  <c r="DP25" i="8"/>
  <c r="DS25" i="8"/>
  <c r="DL25" i="8"/>
  <c r="DT25" i="8"/>
  <c r="DK25" i="8"/>
  <c r="DV25" i="8"/>
  <c r="DO25" i="8"/>
  <c r="DM25" i="8"/>
  <c r="DU25" i="8"/>
  <c r="DH25" i="8"/>
  <c r="DR25" i="8"/>
  <c r="HZ25" i="8"/>
  <c r="HM25" i="8"/>
  <c r="GJ25" i="8"/>
  <c r="HV25" i="8"/>
  <c r="HQ25" i="8"/>
  <c r="HF25" i="8"/>
  <c r="HE25" i="8"/>
  <c r="GM25" i="8"/>
  <c r="HJ25" i="8"/>
  <c r="HR25" i="8"/>
  <c r="HH25" i="8"/>
  <c r="HN25" i="8"/>
  <c r="GN25" i="8"/>
  <c r="HS25" i="8"/>
  <c r="GK25" i="8"/>
  <c r="GY25" i="8"/>
  <c r="HB25" i="8"/>
  <c r="GI25" i="8"/>
  <c r="GL25" i="8"/>
  <c r="GX25" i="8"/>
  <c r="HK25" i="8"/>
  <c r="HL25" i="8"/>
  <c r="HX25" i="8"/>
  <c r="GH25" i="8"/>
  <c r="GV25" i="8"/>
  <c r="GF25" i="8"/>
  <c r="HY25" i="8"/>
  <c r="GZ25" i="8"/>
  <c r="HG25" i="8"/>
  <c r="HC25" i="8"/>
  <c r="GR25" i="8"/>
  <c r="HO25" i="8"/>
  <c r="HT25" i="8"/>
  <c r="HI25" i="8"/>
  <c r="GE25" i="8"/>
  <c r="GO25" i="8"/>
  <c r="GT25" i="8"/>
  <c r="GS25" i="8"/>
  <c r="GG25" i="8"/>
  <c r="GW25" i="8"/>
  <c r="GU25" i="8"/>
  <c r="HA25" i="8"/>
  <c r="HW25" i="8"/>
  <c r="HU25" i="8"/>
  <c r="CT60" i="8"/>
  <c r="HQ34" i="8"/>
  <c r="HH34" i="8"/>
  <c r="GN34" i="8"/>
  <c r="GI34" i="8"/>
  <c r="HA34" i="8"/>
  <c r="GJ34" i="8"/>
  <c r="HZ34" i="8"/>
  <c r="HN34" i="8"/>
  <c r="GH34" i="8"/>
  <c r="HW34" i="8"/>
  <c r="GZ34" i="8"/>
  <c r="GR34" i="8"/>
  <c r="HR34" i="8"/>
  <c r="GL34" i="8"/>
  <c r="HS34" i="8"/>
  <c r="GF34" i="8"/>
  <c r="HT34" i="8"/>
  <c r="HI34" i="8"/>
  <c r="GE34" i="8"/>
  <c r="HL34" i="8"/>
  <c r="GK34" i="8"/>
  <c r="GG34" i="8"/>
  <c r="GU34" i="8"/>
  <c r="HF34" i="8"/>
  <c r="GO34" i="8"/>
  <c r="HG34" i="8"/>
  <c r="GV34" i="8"/>
  <c r="GM34" i="8"/>
  <c r="HU34" i="8"/>
  <c r="HO34" i="8"/>
  <c r="HK34" i="8"/>
  <c r="HV34" i="8"/>
  <c r="GY34" i="8"/>
  <c r="GW34" i="8"/>
  <c r="GX34" i="8"/>
  <c r="HJ34" i="8"/>
  <c r="HX34" i="8"/>
  <c r="HB34" i="8"/>
  <c r="GS34" i="8"/>
  <c r="GT34" i="8"/>
  <c r="HC34" i="8"/>
  <c r="HY34" i="8"/>
  <c r="HM34" i="8"/>
  <c r="HE34" i="8"/>
  <c r="C19" i="28"/>
  <c r="IB19" i="8"/>
  <c r="DT19" i="8"/>
  <c r="DH19" i="8"/>
  <c r="DW19" i="8"/>
  <c r="DK19" i="8"/>
  <c r="DR19" i="8"/>
  <c r="DP19" i="8"/>
  <c r="DV19" i="8"/>
  <c r="DO19" i="8"/>
  <c r="DS19" i="8"/>
  <c r="DL19" i="8"/>
  <c r="DM19" i="8"/>
  <c r="DQ19" i="8"/>
  <c r="DN19" i="8"/>
  <c r="DU19" i="8"/>
  <c r="C25" i="28"/>
  <c r="IB25" i="8"/>
  <c r="HF10" i="8"/>
  <c r="GR10" i="8"/>
  <c r="GN10" i="8"/>
  <c r="HJ10" i="8"/>
  <c r="HR10" i="8"/>
  <c r="GW10" i="8"/>
  <c r="GI10" i="8"/>
  <c r="HY10" i="8"/>
  <c r="GX10" i="8"/>
  <c r="HZ10" i="8"/>
  <c r="HH10" i="8"/>
  <c r="GV10" i="8"/>
  <c r="HC10" i="8"/>
  <c r="GG10" i="8"/>
  <c r="HG10" i="8"/>
  <c r="HI10" i="8"/>
  <c r="HE10" i="8"/>
  <c r="HA10" i="8"/>
  <c r="GU10" i="8"/>
  <c r="GO10" i="8"/>
  <c r="GT10" i="8"/>
  <c r="HT10" i="8"/>
  <c r="GJ10" i="8"/>
  <c r="HX10" i="8"/>
  <c r="HK10" i="8"/>
  <c r="HW10" i="8"/>
  <c r="HV10" i="8"/>
  <c r="HN10" i="8"/>
  <c r="GE10" i="8"/>
  <c r="HU10" i="8"/>
  <c r="HM10" i="8"/>
  <c r="GY10" i="8"/>
  <c r="GL10" i="8"/>
  <c r="HQ10" i="8"/>
  <c r="GM10" i="8"/>
  <c r="HB10" i="8"/>
  <c r="GK10" i="8"/>
  <c r="GH10" i="8"/>
  <c r="HL10" i="8"/>
  <c r="GS10" i="8"/>
  <c r="GF10" i="8"/>
  <c r="HS10" i="8"/>
  <c r="HO10" i="8"/>
  <c r="GZ10" i="8"/>
  <c r="GP28" i="8"/>
  <c r="IM28" i="8"/>
  <c r="IK28" i="8"/>
  <c r="IQ28" i="8"/>
  <c r="IW28" i="8"/>
  <c r="IF28" i="8"/>
  <c r="IX28" i="8"/>
  <c r="IL28" i="8"/>
  <c r="IH28" i="8"/>
  <c r="II28" i="8"/>
  <c r="IN28" i="8"/>
  <c r="IR28" i="8"/>
  <c r="IP28" i="8"/>
  <c r="IC28" i="8"/>
  <c r="IV28" i="8"/>
  <c r="IE28" i="8"/>
  <c r="IG28" i="8"/>
  <c r="IT28" i="8"/>
  <c r="ID28" i="8"/>
  <c r="IU28" i="8"/>
  <c r="IJ28" i="8"/>
  <c r="IS28" i="8"/>
  <c r="C10" i="28"/>
  <c r="IB10" i="8"/>
  <c r="I36" i="27"/>
  <c r="BS36" i="11"/>
  <c r="CH36" i="11" s="1"/>
  <c r="GD36" i="8" s="1"/>
  <c r="CC36" i="11"/>
  <c r="CI36" i="11" s="1"/>
  <c r="G36" i="28"/>
  <c r="DV64" i="8"/>
  <c r="DH64" i="8"/>
  <c r="DK64" i="8"/>
  <c r="DM64" i="8"/>
  <c r="DL64" i="8"/>
  <c r="DU64" i="8"/>
  <c r="DN64" i="8"/>
  <c r="DW64" i="8"/>
  <c r="DO64" i="8"/>
  <c r="DR64" i="8"/>
  <c r="DQ64" i="8"/>
  <c r="DS64" i="8"/>
  <c r="DP64" i="8"/>
  <c r="FH76" i="9"/>
  <c r="DT72" i="8"/>
  <c r="DR72" i="8"/>
  <c r="DK72" i="8"/>
  <c r="DU72" i="8"/>
  <c r="DH72" i="8"/>
  <c r="DN72" i="8"/>
  <c r="DM72" i="8"/>
  <c r="DQ72" i="8"/>
  <c r="DS72" i="8"/>
  <c r="DL72" i="8"/>
  <c r="DW72" i="8"/>
  <c r="DO72" i="8"/>
  <c r="DP72" i="8"/>
  <c r="DV72" i="8"/>
  <c r="HT72" i="8"/>
  <c r="AK72" i="11"/>
  <c r="W72" i="11"/>
  <c r="IN17" i="8"/>
  <c r="IR17" i="8"/>
  <c r="IE17" i="8"/>
  <c r="II17" i="8"/>
  <c r="IC17" i="8"/>
  <c r="IP17" i="8"/>
  <c r="IQ17" i="8"/>
  <c r="IH17" i="8"/>
  <c r="IT17" i="8"/>
  <c r="IF17" i="8"/>
  <c r="IS17" i="8"/>
  <c r="IG17" i="8"/>
  <c r="IV17" i="8"/>
  <c r="IU17" i="8"/>
  <c r="IX17" i="8"/>
  <c r="IM17" i="8"/>
  <c r="IW17" i="8"/>
  <c r="IK17" i="8"/>
  <c r="IL17" i="8"/>
  <c r="IJ17" i="8"/>
  <c r="ID17" i="8"/>
  <c r="BU64" i="11"/>
  <c r="H64" i="27" s="1"/>
  <c r="AZ64" i="11"/>
  <c r="AW64" i="11"/>
  <c r="BG64" i="11"/>
  <c r="BH64" i="11" s="1"/>
  <c r="BI64" i="11" s="1"/>
  <c r="BM64" i="11" s="1"/>
  <c r="BP64" i="11" s="1"/>
  <c r="GP7" i="8"/>
  <c r="BS12" i="11"/>
  <c r="CH12" i="11" s="1"/>
  <c r="GD12" i="8" s="1"/>
  <c r="I12" i="27"/>
  <c r="HC72" i="8"/>
  <c r="FW72" i="8"/>
  <c r="HU72" i="8" s="1"/>
  <c r="IB16" i="8"/>
  <c r="C16" i="28"/>
  <c r="IB7" i="8"/>
  <c r="C7" i="28"/>
  <c r="BZ64" i="11"/>
  <c r="F64" i="28"/>
  <c r="BZ72" i="11"/>
  <c r="F72" i="28"/>
  <c r="CW21" i="11"/>
  <c r="BP21" i="11"/>
  <c r="AR21" i="11"/>
  <c r="AN21" i="11"/>
  <c r="AP21" i="11" s="1"/>
  <c r="AT21" i="11" s="1"/>
  <c r="AN72" i="11"/>
  <c r="AP72" i="11" s="1"/>
  <c r="AT72" i="11" s="1"/>
  <c r="AR72" i="11"/>
  <c r="CC12" i="11"/>
  <c r="CI12" i="11" s="1"/>
  <c r="G12" i="28"/>
  <c r="BZ21" i="11"/>
  <c r="CV21" i="11"/>
  <c r="F21" i="28"/>
  <c r="AR64" i="11"/>
  <c r="AN64" i="11"/>
  <c r="AP64" i="11" s="1"/>
  <c r="AT64" i="11" s="1"/>
  <c r="EQ72" i="8"/>
  <c r="HN72" i="8"/>
  <c r="AV21" i="11"/>
  <c r="AX21" i="11"/>
  <c r="AV72" i="11"/>
  <c r="AX72" i="11"/>
  <c r="D102" i="11"/>
  <c r="AX64" i="11"/>
  <c r="AE64" i="11"/>
  <c r="AV64" i="11"/>
  <c r="HU16" i="8"/>
  <c r="GM16" i="8"/>
  <c r="HA16" i="8"/>
  <c r="HT16" i="8"/>
  <c r="GO16" i="8"/>
  <c r="HH16" i="8"/>
  <c r="HV16" i="8"/>
  <c r="HQ16" i="8"/>
  <c r="GL16" i="8"/>
  <c r="HL16" i="8"/>
  <c r="GF16" i="8"/>
  <c r="GR16" i="8"/>
  <c r="HF16" i="8"/>
  <c r="GS16" i="8"/>
  <c r="GK16" i="8"/>
  <c r="GN16" i="8"/>
  <c r="GI16" i="8"/>
  <c r="HC16" i="8"/>
  <c r="GY16" i="8"/>
  <c r="HO16" i="8"/>
  <c r="HM16" i="8"/>
  <c r="HK16" i="8"/>
  <c r="HG16" i="8"/>
  <c r="GV16" i="8"/>
  <c r="HI16" i="8"/>
  <c r="HN16" i="8"/>
  <c r="HJ16" i="8"/>
  <c r="GZ16" i="8"/>
  <c r="HB16" i="8"/>
  <c r="HZ16" i="8"/>
  <c r="GU16" i="8"/>
  <c r="HY16" i="8"/>
  <c r="GG16" i="8"/>
  <c r="HW16" i="8"/>
  <c r="GT16" i="8"/>
  <c r="GW16" i="8"/>
  <c r="HX16" i="8"/>
  <c r="HS16" i="8"/>
  <c r="GX16" i="8"/>
  <c r="HE16" i="8"/>
  <c r="GE16" i="8"/>
  <c r="GJ16" i="8"/>
  <c r="HR16" i="8"/>
  <c r="GH16" i="8"/>
  <c r="DF64" i="8"/>
  <c r="DT64" i="8"/>
  <c r="C50" i="28"/>
  <c r="IB50" i="8"/>
  <c r="ER72" i="8"/>
  <c r="HO72" i="8"/>
  <c r="DT21" i="8"/>
  <c r="DU21" i="8"/>
  <c r="DQ21" i="8"/>
  <c r="DL21" i="8"/>
  <c r="DM21" i="8"/>
  <c r="DK21" i="8"/>
  <c r="DW21" i="8"/>
  <c r="DR21" i="8"/>
  <c r="DS21" i="8"/>
  <c r="DP21" i="8"/>
  <c r="DO21" i="8"/>
  <c r="AS64" i="11"/>
  <c r="AO64" i="11"/>
  <c r="AQ64" i="11" s="1"/>
  <c r="AU64" i="11" s="1"/>
  <c r="CQ90" i="8"/>
  <c r="CC33" i="11"/>
  <c r="CI33" i="11" s="1"/>
  <c r="G33" i="28"/>
  <c r="FW68" i="8"/>
  <c r="HU68" i="8" s="1"/>
  <c r="HC68" i="8"/>
  <c r="CC13" i="11"/>
  <c r="CI13" i="11" s="1"/>
  <c r="G13" i="28"/>
  <c r="DF80" i="8"/>
  <c r="ER68" i="8"/>
  <c r="HO68" i="8"/>
  <c r="DI76" i="8"/>
  <c r="HT80" i="8"/>
  <c r="AK80" i="11"/>
  <c r="W80" i="11"/>
  <c r="G23" i="28"/>
  <c r="CC23" i="11"/>
  <c r="CI23" i="11" s="1"/>
  <c r="F68" i="28"/>
  <c r="BZ68" i="11"/>
  <c r="AN31" i="11"/>
  <c r="AP31" i="11" s="1"/>
  <c r="AT31" i="11" s="1"/>
  <c r="AR31" i="11"/>
  <c r="AV80" i="11"/>
  <c r="AX80" i="11"/>
  <c r="DB83" i="8"/>
  <c r="HZ13" i="8"/>
  <c r="C56" i="28"/>
  <c r="IB56" i="8"/>
  <c r="DF31" i="8"/>
  <c r="DT31" i="8"/>
  <c r="G46" i="28"/>
  <c r="CC46" i="11"/>
  <c r="CI46" i="11" s="1"/>
  <c r="I60" i="27"/>
  <c r="BS60" i="11"/>
  <c r="CH60" i="11" s="1"/>
  <c r="GD60" i="8" s="1"/>
  <c r="HX60" i="8" s="1"/>
  <c r="F31" i="28"/>
  <c r="BZ31" i="11"/>
  <c r="DA76" i="8"/>
  <c r="FQ83" i="8"/>
  <c r="GX83" i="8"/>
  <c r="FV83" i="8"/>
  <c r="HH83" i="8"/>
  <c r="GB60" i="8"/>
  <c r="AN68" i="11"/>
  <c r="AP68" i="11" s="1"/>
  <c r="AT68" i="11" s="1"/>
  <c r="AR68" i="11"/>
  <c r="F80" i="28"/>
  <c r="BZ80" i="11"/>
  <c r="Z70" i="11"/>
  <c r="AI70" i="11"/>
  <c r="GT13" i="8"/>
  <c r="HA13" i="8"/>
  <c r="HB13" i="8"/>
  <c r="HJ13" i="8"/>
  <c r="GL13" i="8"/>
  <c r="HV13" i="8"/>
  <c r="HG13" i="8"/>
  <c r="GI13" i="8"/>
  <c r="GM13" i="8"/>
  <c r="GY13" i="8"/>
  <c r="GV13" i="8"/>
  <c r="GE13" i="8"/>
  <c r="GJ13" i="8"/>
  <c r="HS13" i="8"/>
  <c r="GO13" i="8"/>
  <c r="HC13" i="8"/>
  <c r="GN13" i="8"/>
  <c r="GX13" i="8"/>
  <c r="HE13" i="8"/>
  <c r="HQ13" i="8"/>
  <c r="GR13" i="8"/>
  <c r="GH13" i="8"/>
  <c r="GU13" i="8"/>
  <c r="GG13" i="8"/>
  <c r="HI13" i="8"/>
  <c r="GW13" i="8"/>
  <c r="GS13" i="8"/>
  <c r="GZ13" i="8"/>
  <c r="HF13" i="8"/>
  <c r="GF13" i="8"/>
  <c r="HM13" i="8"/>
  <c r="HR13" i="8"/>
  <c r="GK13" i="8"/>
  <c r="HO13" i="8"/>
  <c r="HY13" i="8"/>
  <c r="HW13" i="8"/>
  <c r="HK13" i="8"/>
  <c r="HH13" i="8"/>
  <c r="HT13" i="8"/>
  <c r="HL13" i="8"/>
  <c r="HU13" i="8"/>
  <c r="HN13" i="8"/>
  <c r="W68" i="11"/>
  <c r="AK68" i="11"/>
  <c r="DM31" i="8"/>
  <c r="DV31" i="8"/>
  <c r="DL31" i="8"/>
  <c r="DU31" i="8"/>
  <c r="DK31" i="8"/>
  <c r="DH31" i="8"/>
  <c r="DO31" i="8"/>
  <c r="DN31" i="8"/>
  <c r="DQ31" i="8"/>
  <c r="DR31" i="8"/>
  <c r="DW31" i="8"/>
  <c r="AY83" i="11"/>
  <c r="BF83" i="11"/>
  <c r="BW83" i="11"/>
  <c r="IM32" i="8"/>
  <c r="IC32" i="8"/>
  <c r="IH32" i="8"/>
  <c r="IJ32" i="8"/>
  <c r="IV32" i="8"/>
  <c r="IT32" i="8"/>
  <c r="IX32" i="8"/>
  <c r="IQ32" i="8"/>
  <c r="IG32" i="8"/>
  <c r="IS32" i="8"/>
  <c r="IU32" i="8"/>
  <c r="ID32" i="8"/>
  <c r="IK32" i="8"/>
  <c r="II32" i="8"/>
  <c r="IR32" i="8"/>
  <c r="IL32" i="8"/>
  <c r="IP32" i="8"/>
  <c r="IF32" i="8"/>
  <c r="IN32" i="8"/>
  <c r="IW32" i="8"/>
  <c r="IE32" i="8"/>
  <c r="ER80" i="8"/>
  <c r="HO80" i="8"/>
  <c r="HR18" i="8"/>
  <c r="GW18" i="8"/>
  <c r="GO18" i="8"/>
  <c r="GM18" i="8"/>
  <c r="GN18" i="8"/>
  <c r="GI18" i="8"/>
  <c r="HA18" i="8"/>
  <c r="HI18" i="8"/>
  <c r="HE18" i="8"/>
  <c r="HW18" i="8"/>
  <c r="HU18" i="8"/>
  <c r="GX18" i="8"/>
  <c r="HS18" i="8"/>
  <c r="GL18" i="8"/>
  <c r="GV18" i="8"/>
  <c r="GU18" i="8"/>
  <c r="HJ18" i="8"/>
  <c r="GT18" i="8"/>
  <c r="GJ18" i="8"/>
  <c r="HH18" i="8"/>
  <c r="HK18" i="8"/>
  <c r="HZ18" i="8"/>
  <c r="GK18" i="8"/>
  <c r="HV18" i="8"/>
  <c r="GR18" i="8"/>
  <c r="HF18" i="8"/>
  <c r="HQ18" i="8"/>
  <c r="GZ18" i="8"/>
  <c r="GS18" i="8"/>
  <c r="GH18" i="8"/>
  <c r="HT18" i="8"/>
  <c r="HX18" i="8"/>
  <c r="HN18" i="8"/>
  <c r="GE18" i="8"/>
  <c r="HB18" i="8"/>
  <c r="HM18" i="8"/>
  <c r="GY18" i="8"/>
  <c r="HG18" i="8"/>
  <c r="HC18" i="8"/>
  <c r="GG18" i="8"/>
  <c r="HY18" i="8"/>
  <c r="GF18" i="8"/>
  <c r="HO18" i="8"/>
  <c r="HL18" i="8"/>
  <c r="IR74" i="8"/>
  <c r="IN74" i="8"/>
  <c r="IH74" i="8"/>
  <c r="IJ74" i="8"/>
  <c r="IW74" i="8"/>
  <c r="IE74" i="8"/>
  <c r="IK74" i="8"/>
  <c r="IG74" i="8"/>
  <c r="ID74" i="8"/>
  <c r="IC74" i="8"/>
  <c r="IV74" i="8"/>
  <c r="IM74" i="8"/>
  <c r="IQ74" i="8"/>
  <c r="IT74" i="8"/>
  <c r="IP74" i="8"/>
  <c r="II74" i="8"/>
  <c r="IL74" i="8"/>
  <c r="IU74" i="8"/>
  <c r="IX74" i="8"/>
  <c r="IS74" i="8"/>
  <c r="IF74" i="8"/>
  <c r="AV31" i="11"/>
  <c r="AX31" i="11"/>
  <c r="G20" i="28"/>
  <c r="CC20" i="11"/>
  <c r="CI20" i="11" s="1"/>
  <c r="DS33" i="8"/>
  <c r="DU33" i="8"/>
  <c r="DK33" i="8"/>
  <c r="DL33" i="8"/>
  <c r="DM33" i="8"/>
  <c r="DV33" i="8"/>
  <c r="DH33" i="8"/>
  <c r="DO33" i="8"/>
  <c r="DR33" i="8"/>
  <c r="DW33" i="8"/>
  <c r="DN33" i="8"/>
  <c r="DQ33" i="8"/>
  <c r="DP33" i="8"/>
  <c r="ET70" i="8"/>
  <c r="FA70" i="8"/>
  <c r="EW70" i="8"/>
  <c r="EU70" i="8"/>
  <c r="EV70" i="8"/>
  <c r="EY70" i="8"/>
  <c r="C62" i="28"/>
  <c r="IB62" i="8"/>
  <c r="GG62" i="8"/>
  <c r="GS62" i="8"/>
  <c r="GX62" i="8"/>
  <c r="GK62" i="8"/>
  <c r="HC62" i="8"/>
  <c r="HR62" i="8"/>
  <c r="GW62" i="8"/>
  <c r="HI62" i="8"/>
  <c r="GH62" i="8"/>
  <c r="HG62" i="8"/>
  <c r="GO62" i="8"/>
  <c r="HS62" i="8"/>
  <c r="GR62" i="8"/>
  <c r="GZ62" i="8"/>
  <c r="GL62" i="8"/>
  <c r="GE62" i="8"/>
  <c r="HQ62" i="8"/>
  <c r="GU62" i="8"/>
  <c r="GT62" i="8"/>
  <c r="HH62" i="8"/>
  <c r="GI62" i="8"/>
  <c r="HM62" i="8"/>
  <c r="HV62" i="8"/>
  <c r="HA62" i="8"/>
  <c r="HE62" i="8"/>
  <c r="GF62" i="8"/>
  <c r="HY62" i="8"/>
  <c r="HB62" i="8"/>
  <c r="HJ62" i="8"/>
  <c r="GY62" i="8"/>
  <c r="GM62" i="8"/>
  <c r="HF62" i="8"/>
  <c r="GN62" i="8"/>
  <c r="GJ62" i="8"/>
  <c r="GV62" i="8"/>
  <c r="HT62" i="8"/>
  <c r="HW62" i="8"/>
  <c r="HO62" i="8"/>
  <c r="HK62" i="8"/>
  <c r="HU62" i="8"/>
  <c r="HL62" i="8"/>
  <c r="HX62" i="8"/>
  <c r="HN62" i="8"/>
  <c r="HZ62" i="8"/>
  <c r="DD76" i="8"/>
  <c r="BS23" i="11"/>
  <c r="CH23" i="11" s="1"/>
  <c r="GD23" i="8" s="1"/>
  <c r="HZ23" i="8" s="1"/>
  <c r="I23" i="27"/>
  <c r="FZ70" i="8"/>
  <c r="HU70" i="8"/>
  <c r="AN60" i="11"/>
  <c r="AP60" i="11" s="1"/>
  <c r="AT60" i="11" s="1"/>
  <c r="AR60" i="11"/>
  <c r="G27" i="28"/>
  <c r="CC27" i="11"/>
  <c r="CI27" i="11" s="1"/>
  <c r="EQ76" i="8"/>
  <c r="HN76" i="8"/>
  <c r="AV68" i="11"/>
  <c r="AX68" i="11"/>
  <c r="CT29" i="8"/>
  <c r="DT29" i="8" s="1"/>
  <c r="DF29" i="8"/>
  <c r="F60" i="28"/>
  <c r="BZ60" i="11"/>
  <c r="DT60" i="8"/>
  <c r="DV60" i="8"/>
  <c r="DH60" i="8"/>
  <c r="DK60" i="8"/>
  <c r="DM60" i="8"/>
  <c r="DL60" i="8"/>
  <c r="DU60" i="8"/>
  <c r="DW60" i="8"/>
  <c r="DO60" i="8"/>
  <c r="DR60" i="8"/>
  <c r="DN60" i="8"/>
  <c r="DQ60" i="8"/>
  <c r="DS60" i="8"/>
  <c r="GJ20" i="8"/>
  <c r="GT20" i="8"/>
  <c r="GR20" i="8"/>
  <c r="GN20" i="8"/>
  <c r="GL20" i="8"/>
  <c r="GU20" i="8"/>
  <c r="HG20" i="8"/>
  <c r="GY20" i="8"/>
  <c r="HE20" i="8"/>
  <c r="HX20" i="8"/>
  <c r="HQ20" i="8"/>
  <c r="HY20" i="8"/>
  <c r="HW20" i="8"/>
  <c r="GW20" i="8"/>
  <c r="GE20" i="8"/>
  <c r="HH20" i="8"/>
  <c r="HF20" i="8"/>
  <c r="GH20" i="8"/>
  <c r="GM20" i="8"/>
  <c r="HS20" i="8"/>
  <c r="HO20" i="8"/>
  <c r="HR20" i="8"/>
  <c r="HB20" i="8"/>
  <c r="GZ20" i="8"/>
  <c r="GF20" i="8"/>
  <c r="GG20" i="8"/>
  <c r="GO20" i="8"/>
  <c r="HA20" i="8"/>
  <c r="GV20" i="8"/>
  <c r="HU20" i="8"/>
  <c r="HJ20" i="8"/>
  <c r="HL20" i="8"/>
  <c r="HI20" i="8"/>
  <c r="HK20" i="8"/>
  <c r="HT20" i="8"/>
  <c r="GI20" i="8"/>
  <c r="HM20" i="8"/>
  <c r="GK20" i="8"/>
  <c r="HV20" i="8"/>
  <c r="GS20" i="8"/>
  <c r="GX20" i="8"/>
  <c r="HC20" i="8"/>
  <c r="HZ20" i="8"/>
  <c r="HN20" i="8"/>
  <c r="BS31" i="11"/>
  <c r="I31" i="27"/>
  <c r="AO78" i="11"/>
  <c r="AQ78" i="11" s="1"/>
  <c r="AU78" i="11" s="1"/>
  <c r="AS78" i="11"/>
  <c r="HC76" i="8"/>
  <c r="FW76" i="8"/>
  <c r="HU76" i="8" s="1"/>
  <c r="ER76" i="8"/>
  <c r="HO76" i="8"/>
  <c r="BS29" i="11"/>
  <c r="CH29" i="11" s="1"/>
  <c r="GD29" i="8" s="1"/>
  <c r="I29" i="27"/>
  <c r="HX78" i="8"/>
  <c r="GB78" i="8"/>
  <c r="HZ78" i="8" s="1"/>
  <c r="FW80" i="8"/>
  <c r="HU80" i="8" s="1"/>
  <c r="HC80" i="8"/>
  <c r="EQ68" i="8"/>
  <c r="EZ68" i="8" s="1"/>
  <c r="HN68" i="8"/>
  <c r="EZ70" i="8"/>
  <c r="CQ76" i="8"/>
  <c r="CZ76" i="8"/>
  <c r="CM76" i="8"/>
  <c r="CT80" i="8"/>
  <c r="DT80" i="8" s="1"/>
  <c r="HN80" i="8"/>
  <c r="EQ80" i="8"/>
  <c r="EZ80" i="8" s="1"/>
  <c r="DM27" i="8"/>
  <c r="DQ27" i="8"/>
  <c r="DO27" i="8"/>
  <c r="DU27" i="8"/>
  <c r="DR27" i="8"/>
  <c r="DL27" i="8"/>
  <c r="DV27" i="8"/>
  <c r="DW27" i="8"/>
  <c r="DH27" i="8"/>
  <c r="DK27" i="8"/>
  <c r="DN27" i="8"/>
  <c r="DS27" i="8"/>
  <c r="DP27" i="8"/>
  <c r="EO83" i="8"/>
  <c r="HL83" i="8"/>
  <c r="EH83" i="8"/>
  <c r="AN29" i="11"/>
  <c r="AP29" i="11" s="1"/>
  <c r="AT29" i="11" s="1"/>
  <c r="AR29" i="11"/>
  <c r="CC18" i="11"/>
  <c r="CI18" i="11" s="1"/>
  <c r="G18" i="28"/>
  <c r="AV60" i="11"/>
  <c r="AX60" i="11"/>
  <c r="BZ29" i="11"/>
  <c r="F29" i="28"/>
  <c r="G70" i="28"/>
  <c r="CC70" i="11"/>
  <c r="CI70" i="11" s="1"/>
  <c r="FZ68" i="8"/>
  <c r="HT68" i="8"/>
  <c r="DP60" i="8"/>
  <c r="HT76" i="8"/>
  <c r="FZ76" i="8"/>
  <c r="X83" i="11"/>
  <c r="AH83" i="11"/>
  <c r="V76" i="11"/>
  <c r="Y76" i="11" s="1"/>
  <c r="AJ76" i="11"/>
  <c r="U76" i="11"/>
  <c r="HL46" i="8"/>
  <c r="HW46" i="8"/>
  <c r="GW46" i="8"/>
  <c r="GF46" i="8"/>
  <c r="GJ46" i="8"/>
  <c r="HF46" i="8"/>
  <c r="GS46" i="8"/>
  <c r="GU46" i="8"/>
  <c r="HO46" i="8"/>
  <c r="HQ46" i="8"/>
  <c r="HI46" i="8"/>
  <c r="GN46" i="8"/>
  <c r="HK46" i="8"/>
  <c r="HX46" i="8"/>
  <c r="GK46" i="8"/>
  <c r="GO46" i="8"/>
  <c r="HH46" i="8"/>
  <c r="HJ46" i="8"/>
  <c r="HR46" i="8"/>
  <c r="GH46" i="8"/>
  <c r="GL46" i="8"/>
  <c r="GX46" i="8"/>
  <c r="HU46" i="8"/>
  <c r="GY46" i="8"/>
  <c r="HM46" i="8"/>
  <c r="GV46" i="8"/>
  <c r="HC46" i="8"/>
  <c r="GZ46" i="8"/>
  <c r="GT46" i="8"/>
  <c r="HY46" i="8"/>
  <c r="HE46" i="8"/>
  <c r="HZ46" i="8"/>
  <c r="HB46" i="8"/>
  <c r="GM46" i="8"/>
  <c r="HN46" i="8"/>
  <c r="HG46" i="8"/>
  <c r="HT46" i="8"/>
  <c r="GI46" i="8"/>
  <c r="HA46" i="8"/>
  <c r="GE46" i="8"/>
  <c r="GG46" i="8"/>
  <c r="HS46" i="8"/>
  <c r="HV46" i="8"/>
  <c r="GR46" i="8"/>
  <c r="HX67" i="8"/>
  <c r="HH67" i="8"/>
  <c r="GV67" i="8"/>
  <c r="GX67" i="8"/>
  <c r="HC67" i="8"/>
  <c r="HF67" i="8"/>
  <c r="HV67" i="8"/>
  <c r="HK67" i="8"/>
  <c r="GT67" i="8"/>
  <c r="HY67" i="8"/>
  <c r="GJ67" i="8"/>
  <c r="HM67" i="8"/>
  <c r="GU67" i="8"/>
  <c r="HI67" i="8"/>
  <c r="HA67" i="8"/>
  <c r="HQ67" i="8"/>
  <c r="GL67" i="8"/>
  <c r="GK67" i="8"/>
  <c r="GI67" i="8"/>
  <c r="GR67" i="8"/>
  <c r="GG67" i="8"/>
  <c r="HZ67" i="8"/>
  <c r="HJ67" i="8"/>
  <c r="GS67" i="8"/>
  <c r="HW67" i="8"/>
  <c r="HN67" i="8"/>
  <c r="GE67" i="8"/>
  <c r="HE67" i="8"/>
  <c r="HS67" i="8"/>
  <c r="GN67" i="8"/>
  <c r="GM67" i="8"/>
  <c r="HR67" i="8"/>
  <c r="HL67" i="8"/>
  <c r="HG67" i="8"/>
  <c r="GH67" i="8"/>
  <c r="HT67" i="8"/>
  <c r="GY67" i="8"/>
  <c r="HB67" i="8"/>
  <c r="HU67" i="8"/>
  <c r="GW67" i="8"/>
  <c r="GZ67" i="8"/>
  <c r="HO67" i="8"/>
  <c r="GF67" i="8"/>
  <c r="GO67" i="8"/>
  <c r="GP33" i="8"/>
  <c r="AZ78" i="11"/>
  <c r="BG78" i="11"/>
  <c r="BH78" i="11" s="1"/>
  <c r="BI78" i="11" s="1"/>
  <c r="BM78" i="11" s="1"/>
  <c r="BP78" i="11" s="1"/>
  <c r="BU78" i="11"/>
  <c r="H78" i="27" s="1"/>
  <c r="AW78" i="11"/>
  <c r="W76" i="11"/>
  <c r="AK76" i="11"/>
  <c r="AN80" i="11"/>
  <c r="AP80" i="11" s="1"/>
  <c r="AT80" i="11" s="1"/>
  <c r="AR80" i="11"/>
  <c r="HK27" i="8"/>
  <c r="GZ27" i="8"/>
  <c r="HJ27" i="8"/>
  <c r="HR27" i="8"/>
  <c r="GG27" i="8"/>
  <c r="GW27" i="8"/>
  <c r="GL27" i="8"/>
  <c r="GK27" i="8"/>
  <c r="GI27" i="8"/>
  <c r="HZ27" i="8"/>
  <c r="GS27" i="8"/>
  <c r="HQ27" i="8"/>
  <c r="HL27" i="8"/>
  <c r="HA27" i="8"/>
  <c r="GO27" i="8"/>
  <c r="HY27" i="8"/>
  <c r="GN27" i="8"/>
  <c r="GX27" i="8"/>
  <c r="GJ27" i="8"/>
  <c r="GH27" i="8"/>
  <c r="HS27" i="8"/>
  <c r="HG27" i="8"/>
  <c r="HN27" i="8"/>
  <c r="HU27" i="8"/>
  <c r="GT27" i="8"/>
  <c r="HM27" i="8"/>
  <c r="HB27" i="8"/>
  <c r="GM27" i="8"/>
  <c r="GY27" i="8"/>
  <c r="HT27" i="8"/>
  <c r="HF27" i="8"/>
  <c r="HI27" i="8"/>
  <c r="GV27" i="8"/>
  <c r="HE27" i="8"/>
  <c r="GU27" i="8"/>
  <c r="HX27" i="8"/>
  <c r="HC27" i="8"/>
  <c r="HW27" i="8"/>
  <c r="HO27" i="8"/>
  <c r="HH27" i="8"/>
  <c r="GE27" i="8"/>
  <c r="GF27" i="8"/>
  <c r="HV27" i="8"/>
  <c r="GR27" i="8"/>
  <c r="GP61" i="8"/>
  <c r="GP56" i="8"/>
  <c r="DT33" i="8"/>
  <c r="CR83" i="8"/>
  <c r="CT83" i="8" s="1"/>
  <c r="DE83" i="8"/>
  <c r="CC78" i="11"/>
  <c r="CI78" i="11" s="1"/>
  <c r="G78" i="28"/>
  <c r="HX13" i="8"/>
  <c r="IB61" i="8"/>
  <c r="C61" i="28"/>
  <c r="DS31" i="8"/>
  <c r="DC76" i="8"/>
  <c r="DP78" i="8"/>
  <c r="DV78" i="8"/>
  <c r="DM78" i="8"/>
  <c r="DH78" i="8"/>
  <c r="DK78" i="8"/>
  <c r="DL78" i="8"/>
  <c r="DU78" i="8"/>
  <c r="DW78" i="8"/>
  <c r="DQ78" i="8"/>
  <c r="DR78" i="8"/>
  <c r="DO78" i="8"/>
  <c r="DN78" i="8"/>
  <c r="DS78" i="8"/>
  <c r="EI83" i="8"/>
  <c r="T83" i="11"/>
  <c r="E83" i="27"/>
  <c r="AX29" i="11"/>
  <c r="AV29" i="11"/>
  <c r="CT68" i="8"/>
  <c r="IK69" i="8"/>
  <c r="IL69" i="8"/>
  <c r="IQ69" i="8"/>
  <c r="ID69" i="8"/>
  <c r="IF69" i="8"/>
  <c r="IE69" i="8"/>
  <c r="IN69" i="8"/>
  <c r="IJ69" i="8"/>
  <c r="IH69" i="8"/>
  <c r="II69" i="8"/>
  <c r="IM69" i="8"/>
  <c r="IP69" i="8"/>
  <c r="IT69" i="8"/>
  <c r="IG69" i="8"/>
  <c r="IC69" i="8"/>
  <c r="IX69" i="8"/>
  <c r="IS69" i="8"/>
  <c r="IV69" i="8"/>
  <c r="IW69" i="8"/>
  <c r="IR69" i="8"/>
  <c r="IU69" i="8"/>
  <c r="Z88" i="11"/>
  <c r="AI88" i="11"/>
  <c r="X40" i="11"/>
  <c r="AH40" i="11"/>
  <c r="DB53" i="8"/>
  <c r="FV44" i="8"/>
  <c r="EB90" i="8"/>
  <c r="DE44" i="8"/>
  <c r="CR44" i="8"/>
  <c r="CT44" i="8" s="1"/>
  <c r="DS44" i="8" s="1"/>
  <c r="AY53" i="11"/>
  <c r="BF53" i="11"/>
  <c r="BW53" i="11"/>
  <c r="Z86" i="11"/>
  <c r="AI86" i="11"/>
  <c r="X43" i="11"/>
  <c r="AH43" i="11"/>
  <c r="X42" i="11"/>
  <c r="AH42" i="11"/>
  <c r="X45" i="11"/>
  <c r="AH45" i="11"/>
  <c r="CR42" i="8"/>
  <c r="CT42" i="8" s="1"/>
  <c r="DS42" i="8" s="1"/>
  <c r="DE42" i="8"/>
  <c r="BU42" i="11"/>
  <c r="H42" i="27" s="1"/>
  <c r="AZ42" i="11"/>
  <c r="BG42" i="11"/>
  <c r="BH42" i="11" s="1"/>
  <c r="BI42" i="11" s="1"/>
  <c r="BM42" i="11" s="1"/>
  <c r="AW42" i="11"/>
  <c r="Z87" i="11"/>
  <c r="AI87" i="11"/>
  <c r="II52" i="8"/>
  <c r="IQ52" i="8"/>
  <c r="ID52" i="8"/>
  <c r="IH52" i="8"/>
  <c r="IM52" i="8"/>
  <c r="IG52" i="8"/>
  <c r="IE52" i="8"/>
  <c r="IK52" i="8"/>
  <c r="IC52" i="8"/>
  <c r="IL52" i="8"/>
  <c r="IF52" i="8"/>
  <c r="IN52" i="8"/>
  <c r="IP52" i="8"/>
  <c r="IJ52" i="8"/>
  <c r="IX52" i="8"/>
  <c r="IT52" i="8"/>
  <c r="IS52" i="8"/>
  <c r="IV52" i="8"/>
  <c r="IR52" i="8"/>
  <c r="IW52" i="8"/>
  <c r="IU52" i="8"/>
  <c r="DE43" i="8"/>
  <c r="CR43" i="8"/>
  <c r="EQ53" i="8"/>
  <c r="DF40" i="8"/>
  <c r="AS40" i="11"/>
  <c r="AO40" i="11"/>
  <c r="EQ43" i="8"/>
  <c r="EZ43" i="8" s="1"/>
  <c r="EO44" i="8"/>
  <c r="EH44" i="8"/>
  <c r="EQ44" i="8" s="1"/>
  <c r="EF90" i="8"/>
  <c r="AR44" i="8"/>
  <c r="AP90" i="8"/>
  <c r="CD90" i="8" s="1"/>
  <c r="FZ43" i="8"/>
  <c r="GM52" i="8"/>
  <c r="HQ52" i="8"/>
  <c r="HI52" i="8"/>
  <c r="HT52" i="8"/>
  <c r="GV52" i="8"/>
  <c r="GH52" i="8"/>
  <c r="GX52" i="8"/>
  <c r="GW52" i="8"/>
  <c r="HM52" i="8"/>
  <c r="HF52" i="8"/>
  <c r="HR52" i="8"/>
  <c r="GF52" i="8"/>
  <c r="HH52" i="8"/>
  <c r="GT52" i="8"/>
  <c r="GG52" i="8"/>
  <c r="HY52" i="8"/>
  <c r="GO52" i="8"/>
  <c r="GI52" i="8"/>
  <c r="GS52" i="8"/>
  <c r="HE52" i="8"/>
  <c r="GE52" i="8"/>
  <c r="GZ52" i="8"/>
  <c r="HJ52" i="8"/>
  <c r="HV52" i="8"/>
  <c r="HG52" i="8"/>
  <c r="HA52" i="8"/>
  <c r="GY52" i="8"/>
  <c r="HS52" i="8"/>
  <c r="GR52" i="8"/>
  <c r="GU52" i="8"/>
  <c r="GJ52" i="8"/>
  <c r="HC52" i="8"/>
  <c r="HB52" i="8"/>
  <c r="GK52" i="8"/>
  <c r="GL52" i="8"/>
  <c r="GN52" i="8"/>
  <c r="HW52" i="8"/>
  <c r="HK52" i="8"/>
  <c r="HO52" i="8"/>
  <c r="HU52" i="8"/>
  <c r="HX52" i="8"/>
  <c r="HL52" i="8"/>
  <c r="HZ52" i="8"/>
  <c r="HN52" i="8"/>
  <c r="BS41" i="11"/>
  <c r="CH41" i="11" s="1"/>
  <c r="GD41" i="8" s="1"/>
  <c r="I41" i="27"/>
  <c r="AS43" i="11"/>
  <c r="AO43" i="11"/>
  <c r="AQ43" i="11" s="1"/>
  <c r="AU43" i="11" s="1"/>
  <c r="X88" i="11"/>
  <c r="AH88" i="11"/>
  <c r="ER45" i="8"/>
  <c r="EX45" i="8" s="1"/>
  <c r="BW45" i="11"/>
  <c r="AF45" i="11"/>
  <c r="AY45" i="11"/>
  <c r="BF45" i="11"/>
  <c r="AK53" i="11"/>
  <c r="W53" i="11"/>
  <c r="HQ26" i="8"/>
  <c r="HY26" i="8"/>
  <c r="HA26" i="8"/>
  <c r="HG26" i="8"/>
  <c r="GW26" i="8"/>
  <c r="GJ26" i="8"/>
  <c r="HM26" i="8"/>
  <c r="GI26" i="8"/>
  <c r="GK26" i="8"/>
  <c r="GN26" i="8"/>
  <c r="GF26" i="8"/>
  <c r="HS26" i="8"/>
  <c r="GV26" i="8"/>
  <c r="HF26" i="8"/>
  <c r="GY26" i="8"/>
  <c r="HC26" i="8"/>
  <c r="GG26" i="8"/>
  <c r="HJ26" i="8"/>
  <c r="GS26" i="8"/>
  <c r="GL26" i="8"/>
  <c r="GO26" i="8"/>
  <c r="HI26" i="8"/>
  <c r="GE26" i="8"/>
  <c r="GM26" i="8"/>
  <c r="GU26" i="8"/>
  <c r="HR26" i="8"/>
  <c r="HV26" i="8"/>
  <c r="GX26" i="8"/>
  <c r="GR26" i="8"/>
  <c r="HB26" i="8"/>
  <c r="GH26" i="8"/>
  <c r="HE26" i="8"/>
  <c r="GZ26" i="8"/>
  <c r="GT26" i="8"/>
  <c r="HW26" i="8"/>
  <c r="HH26" i="8"/>
  <c r="HO26" i="8"/>
  <c r="HK26" i="8"/>
  <c r="HT26" i="8"/>
  <c r="HL26" i="8"/>
  <c r="HX26" i="8"/>
  <c r="HU26" i="8"/>
  <c r="HN26" i="8"/>
  <c r="HZ26" i="8"/>
  <c r="DB45" i="8"/>
  <c r="AY40" i="11"/>
  <c r="BF40" i="11"/>
  <c r="AF40" i="11"/>
  <c r="BW40" i="11"/>
  <c r="AZ40" i="11"/>
  <c r="AG40" i="11"/>
  <c r="AW40" i="11"/>
  <c r="BG40" i="11"/>
  <c r="BH40" i="11" s="1"/>
  <c r="BI40" i="11" s="1"/>
  <c r="BM40" i="11" s="1"/>
  <c r="BU40" i="11"/>
  <c r="CR53" i="8"/>
  <c r="DF53" i="8" s="1"/>
  <c r="DE53" i="8"/>
  <c r="X85" i="11"/>
  <c r="AH85" i="11"/>
  <c r="DB44" i="8"/>
  <c r="Z85" i="11"/>
  <c r="AI85" i="11"/>
  <c r="CT40" i="8"/>
  <c r="EQ42" i="8"/>
  <c r="EZ42" i="8" s="1"/>
  <c r="BW44" i="11"/>
  <c r="AY44" i="11"/>
  <c r="BF44" i="11"/>
  <c r="GB42" i="8"/>
  <c r="BG43" i="11"/>
  <c r="BH43" i="11" s="1"/>
  <c r="BI43" i="11" s="1"/>
  <c r="BM43" i="11" s="1"/>
  <c r="AW43" i="11"/>
  <c r="AZ43" i="11"/>
  <c r="BU43" i="11"/>
  <c r="H43" i="27" s="1"/>
  <c r="BF43" i="11"/>
  <c r="BW43" i="11"/>
  <c r="AY43" i="11"/>
  <c r="C26" i="28"/>
  <c r="IB26" i="8"/>
  <c r="AN86" i="11"/>
  <c r="AP86" i="11" s="1"/>
  <c r="AT86" i="11" s="1"/>
  <c r="AR86" i="11"/>
  <c r="DB42" i="8"/>
  <c r="ER53" i="8"/>
  <c r="EQ45" i="8"/>
  <c r="DB43" i="8"/>
  <c r="DE45" i="8"/>
  <c r="CR45" i="8"/>
  <c r="CM90" i="8"/>
  <c r="GB45" i="8"/>
  <c r="FQ44" i="8"/>
  <c r="FL90" i="8"/>
  <c r="G41" i="28"/>
  <c r="CC41" i="11"/>
  <c r="CI41" i="11" s="1"/>
  <c r="FZ53" i="8"/>
  <c r="IT66" i="8"/>
  <c r="ID66" i="8"/>
  <c r="IU66" i="8"/>
  <c r="IV66" i="8"/>
  <c r="IW66" i="8"/>
  <c r="IN66" i="8"/>
  <c r="IG66" i="8"/>
  <c r="IR66" i="8"/>
  <c r="II66" i="8"/>
  <c r="IM66" i="8"/>
  <c r="IP66" i="8"/>
  <c r="IE66" i="8"/>
  <c r="IH66" i="8"/>
  <c r="IL66" i="8"/>
  <c r="IJ66" i="8"/>
  <c r="IK66" i="8"/>
  <c r="IF66" i="8"/>
  <c r="IX66" i="8"/>
  <c r="IC66" i="8"/>
  <c r="IS66" i="8"/>
  <c r="IQ66" i="8"/>
  <c r="X44" i="11"/>
  <c r="AH44" i="11"/>
  <c r="X53" i="11"/>
  <c r="AH53" i="11"/>
  <c r="BF42" i="11"/>
  <c r="BW42" i="11"/>
  <c r="AY42" i="11"/>
  <c r="AK45" i="11"/>
  <c r="W45" i="11"/>
  <c r="AV86" i="11"/>
  <c r="AX86" i="11"/>
  <c r="X87" i="11"/>
  <c r="AH87" i="11"/>
  <c r="AO42" i="11"/>
  <c r="AQ42" i="11" s="1"/>
  <c r="AU42" i="11" s="1"/>
  <c r="AS42" i="11"/>
  <c r="GJ8" i="8"/>
  <c r="GI8" i="8"/>
  <c r="HJ8" i="8"/>
  <c r="GU8" i="8"/>
  <c r="HA8" i="8"/>
  <c r="GW8" i="8"/>
  <c r="HF8" i="8"/>
  <c r="GZ8" i="8"/>
  <c r="GY8" i="8"/>
  <c r="HQ8" i="8"/>
  <c r="GL8" i="8"/>
  <c r="HS8" i="8"/>
  <c r="GV8" i="8"/>
  <c r="GM8" i="8"/>
  <c r="GG8" i="8"/>
  <c r="HV8" i="8"/>
  <c r="HB8" i="8"/>
  <c r="HC8" i="8"/>
  <c r="HI8" i="8"/>
  <c r="GS8" i="8"/>
  <c r="HE8" i="8"/>
  <c r="GR8" i="8"/>
  <c r="HG8" i="8"/>
  <c r="HM8" i="8"/>
  <c r="GT8" i="8"/>
  <c r="GE8" i="8"/>
  <c r="GX8" i="8"/>
  <c r="GH8" i="8"/>
  <c r="GO8" i="8"/>
  <c r="GN8" i="8"/>
  <c r="HR8" i="8"/>
  <c r="HY8" i="8"/>
  <c r="GF8" i="8"/>
  <c r="GK8" i="8"/>
  <c r="HK8" i="8"/>
  <c r="HO8" i="8"/>
  <c r="HH8" i="8"/>
  <c r="HW8" i="8"/>
  <c r="HL8" i="8"/>
  <c r="HT8" i="8"/>
  <c r="HX8" i="8"/>
  <c r="HN8" i="8"/>
  <c r="HU8" i="8"/>
  <c r="HZ8" i="8"/>
  <c r="CI8" i="11"/>
  <c r="AT8" i="11"/>
  <c r="A99" i="22" l="1"/>
  <c r="C98" i="22"/>
  <c r="E98" i="22" s="1"/>
  <c r="B98" i="22"/>
  <c r="D98" i="22" s="1"/>
  <c r="FV82" i="8"/>
  <c r="HH82" i="8"/>
  <c r="E70" i="22"/>
  <c r="G70" i="22"/>
  <c r="A71" i="22"/>
  <c r="C70" i="22"/>
  <c r="BW82" i="11"/>
  <c r="AY82" i="11"/>
  <c r="BF82" i="11"/>
  <c r="F19" i="24"/>
  <c r="A20" i="24"/>
  <c r="B19" i="24"/>
  <c r="D19" i="24"/>
  <c r="H19" i="24"/>
  <c r="X82" i="11"/>
  <c r="AH82" i="11"/>
  <c r="E82" i="27"/>
  <c r="T82" i="11"/>
  <c r="EI82" i="8"/>
  <c r="C100" i="24"/>
  <c r="E100" i="24" s="1"/>
  <c r="A101" i="24"/>
  <c r="B100" i="24"/>
  <c r="D100" i="24" s="1"/>
  <c r="F70" i="24"/>
  <c r="B70" i="24"/>
  <c r="H70" i="24"/>
  <c r="A71" i="24"/>
  <c r="D70" i="24"/>
  <c r="DE82" i="8"/>
  <c r="CR82" i="8"/>
  <c r="HL82" i="8"/>
  <c r="EO82" i="8"/>
  <c r="EH82" i="8"/>
  <c r="FQ82" i="8"/>
  <c r="GX82" i="8"/>
  <c r="E17" i="22"/>
  <c r="A18" i="22"/>
  <c r="G17" i="22"/>
  <c r="C17" i="22"/>
  <c r="Z73" i="11"/>
  <c r="AI73" i="11"/>
  <c r="Z79" i="11"/>
  <c r="AI79" i="11"/>
  <c r="FW75" i="8"/>
  <c r="HU75" i="8" s="1"/>
  <c r="HC75" i="8"/>
  <c r="HT75" i="8"/>
  <c r="GR37" i="8"/>
  <c r="GU37" i="8"/>
  <c r="GI37" i="8"/>
  <c r="GH37" i="8"/>
  <c r="HR37" i="8"/>
  <c r="HS37" i="8"/>
  <c r="HQ37" i="8"/>
  <c r="HC37" i="8"/>
  <c r="HI37" i="8"/>
  <c r="HT37" i="8"/>
  <c r="GG37" i="8"/>
  <c r="HL37" i="8"/>
  <c r="GN37" i="8"/>
  <c r="GL37" i="8"/>
  <c r="GJ37" i="8"/>
  <c r="HB37" i="8"/>
  <c r="GE37" i="8"/>
  <c r="HN37" i="8"/>
  <c r="HU37" i="8"/>
  <c r="GV37" i="8"/>
  <c r="HE37" i="8"/>
  <c r="HF37" i="8"/>
  <c r="GK37" i="8"/>
  <c r="GZ37" i="8"/>
  <c r="HX37" i="8"/>
  <c r="HM37" i="8"/>
  <c r="GX37" i="8"/>
  <c r="HY37" i="8"/>
  <c r="GY37" i="8"/>
  <c r="HZ37" i="8"/>
  <c r="HW37" i="8"/>
  <c r="HA37" i="8"/>
  <c r="GS37" i="8"/>
  <c r="GT37" i="8"/>
  <c r="HK37" i="8"/>
  <c r="HG37" i="8"/>
  <c r="GM37" i="8"/>
  <c r="GW37" i="8"/>
  <c r="HJ37" i="8"/>
  <c r="HO37" i="8"/>
  <c r="HV37" i="8"/>
  <c r="GF37" i="8"/>
  <c r="GO37" i="8"/>
  <c r="HH37" i="8"/>
  <c r="AR75" i="11"/>
  <c r="AN75" i="11"/>
  <c r="AP75" i="11" s="1"/>
  <c r="AT75" i="11" s="1"/>
  <c r="IB11" i="8"/>
  <c r="C11" i="28"/>
  <c r="IP65" i="8"/>
  <c r="IK65" i="8"/>
  <c r="IE65" i="8"/>
  <c r="IQ65" i="8"/>
  <c r="IT65" i="8"/>
  <c r="IM65" i="8"/>
  <c r="IG65" i="8"/>
  <c r="IJ65" i="8"/>
  <c r="IX65" i="8"/>
  <c r="IF65" i="8"/>
  <c r="IS65" i="8"/>
  <c r="ID65" i="8"/>
  <c r="IL65" i="8"/>
  <c r="IU65" i="8"/>
  <c r="IW65" i="8"/>
  <c r="IN65" i="8"/>
  <c r="IV65" i="8"/>
  <c r="IH65" i="8"/>
  <c r="II65" i="8"/>
  <c r="IC65" i="8"/>
  <c r="IR65" i="8"/>
  <c r="G48" i="28"/>
  <c r="CC48" i="11"/>
  <c r="CI48" i="11" s="1"/>
  <c r="HR24" i="8"/>
  <c r="HC24" i="8"/>
  <c r="GO24" i="8"/>
  <c r="GE24" i="8"/>
  <c r="HU24" i="8"/>
  <c r="HW24" i="8"/>
  <c r="HG24" i="8"/>
  <c r="HN24" i="8"/>
  <c r="GR24" i="8"/>
  <c r="HA24" i="8"/>
  <c r="GW24" i="8"/>
  <c r="HX24" i="8"/>
  <c r="HI24" i="8"/>
  <c r="GZ24" i="8"/>
  <c r="GM24" i="8"/>
  <c r="HL24" i="8"/>
  <c r="HJ24" i="8"/>
  <c r="HF24" i="8"/>
  <c r="HK24" i="8"/>
  <c r="GY24" i="8"/>
  <c r="GL24" i="8"/>
  <c r="GN24" i="8"/>
  <c r="GG24" i="8"/>
  <c r="GU24" i="8"/>
  <c r="GK24" i="8"/>
  <c r="HE24" i="8"/>
  <c r="GS24" i="8"/>
  <c r="GH24" i="8"/>
  <c r="HO24" i="8"/>
  <c r="HH24" i="8"/>
  <c r="GF24" i="8"/>
  <c r="GI24" i="8"/>
  <c r="HS24" i="8"/>
  <c r="HT24" i="8"/>
  <c r="HQ24" i="8"/>
  <c r="GJ24" i="8"/>
  <c r="GV24" i="8"/>
  <c r="HZ24" i="8"/>
  <c r="GX24" i="8"/>
  <c r="HY24" i="8"/>
  <c r="HV24" i="8"/>
  <c r="GT24" i="8"/>
  <c r="HM24" i="8"/>
  <c r="HB24" i="8"/>
  <c r="EW79" i="8"/>
  <c r="EV79" i="8"/>
  <c r="EY79" i="8"/>
  <c r="ET79" i="8"/>
  <c r="FA79" i="8"/>
  <c r="EU79" i="8"/>
  <c r="DF75" i="8"/>
  <c r="C14" i="28"/>
  <c r="IB14" i="8"/>
  <c r="AX75" i="11"/>
  <c r="AV75" i="11"/>
  <c r="DP79" i="8"/>
  <c r="DU79" i="8"/>
  <c r="DV79" i="8"/>
  <c r="DL79" i="8"/>
  <c r="DM79" i="8"/>
  <c r="DH79" i="8"/>
  <c r="DK79" i="8"/>
  <c r="DW79" i="8"/>
  <c r="DN79" i="8"/>
  <c r="DQ79" i="8"/>
  <c r="DR79" i="8"/>
  <c r="DO79" i="8"/>
  <c r="DS79" i="8"/>
  <c r="EU73" i="8"/>
  <c r="EW73" i="8"/>
  <c r="ET73" i="8"/>
  <c r="FA73" i="8"/>
  <c r="EV73" i="8"/>
  <c r="EY73" i="8"/>
  <c r="C24" i="28"/>
  <c r="IB24" i="8"/>
  <c r="BZ75" i="11"/>
  <c r="F75" i="28"/>
  <c r="IX47" i="8"/>
  <c r="IK47" i="8"/>
  <c r="IW47" i="8"/>
  <c r="IN47" i="8"/>
  <c r="IP47" i="8"/>
  <c r="IU47" i="8"/>
  <c r="IF47" i="8"/>
  <c r="IJ47" i="8"/>
  <c r="IE47" i="8"/>
  <c r="IM47" i="8"/>
  <c r="ID47" i="8"/>
  <c r="IC47" i="8"/>
  <c r="IL47" i="8"/>
  <c r="IQ47" i="8"/>
  <c r="IS47" i="8"/>
  <c r="IT47" i="8"/>
  <c r="IG47" i="8"/>
  <c r="IR47" i="8"/>
  <c r="IH47" i="8"/>
  <c r="II47" i="8"/>
  <c r="IV47" i="8"/>
  <c r="DT73" i="8"/>
  <c r="DU73" i="8"/>
  <c r="DK73" i="8"/>
  <c r="DL73" i="8"/>
  <c r="DM73" i="8"/>
  <c r="DH73" i="8"/>
  <c r="DV73" i="8"/>
  <c r="DW73" i="8"/>
  <c r="DO73" i="8"/>
  <c r="DQ73" i="8"/>
  <c r="DR73" i="8"/>
  <c r="DN73" i="8"/>
  <c r="DS73" i="8"/>
  <c r="DP73" i="8"/>
  <c r="GY11" i="8"/>
  <c r="GE11" i="8"/>
  <c r="GX11" i="8"/>
  <c r="GT11" i="8"/>
  <c r="GZ11" i="8"/>
  <c r="HK11" i="8"/>
  <c r="GF11" i="8"/>
  <c r="HC11" i="8"/>
  <c r="HY11" i="8"/>
  <c r="HL11" i="8"/>
  <c r="GK11" i="8"/>
  <c r="HO11" i="8"/>
  <c r="HU11" i="8"/>
  <c r="HB11" i="8"/>
  <c r="HN11" i="8"/>
  <c r="HA11" i="8"/>
  <c r="GN11" i="8"/>
  <c r="GS11" i="8"/>
  <c r="HT11" i="8"/>
  <c r="GJ11" i="8"/>
  <c r="GG11" i="8"/>
  <c r="HI11" i="8"/>
  <c r="GW11" i="8"/>
  <c r="HX11" i="8"/>
  <c r="GM11" i="8"/>
  <c r="HH11" i="8"/>
  <c r="GO11" i="8"/>
  <c r="GH11" i="8"/>
  <c r="GV11" i="8"/>
  <c r="HV11" i="8"/>
  <c r="GL11" i="8"/>
  <c r="HE11" i="8"/>
  <c r="HM11" i="8"/>
  <c r="HR11" i="8"/>
  <c r="HS11" i="8"/>
  <c r="HQ11" i="8"/>
  <c r="HW11" i="8"/>
  <c r="HF11" i="8"/>
  <c r="GR11" i="8"/>
  <c r="GU11" i="8"/>
  <c r="GI11" i="8"/>
  <c r="HZ11" i="8"/>
  <c r="HG11" i="8"/>
  <c r="HJ11" i="8"/>
  <c r="G73" i="28"/>
  <c r="CC73" i="11"/>
  <c r="CI73" i="11" s="1"/>
  <c r="GL14" i="8"/>
  <c r="HS14" i="8"/>
  <c r="HH14" i="8"/>
  <c r="GN14" i="8"/>
  <c r="HO14" i="8"/>
  <c r="HR14" i="8"/>
  <c r="HA14" i="8"/>
  <c r="GV14" i="8"/>
  <c r="HZ14" i="8"/>
  <c r="HE14" i="8"/>
  <c r="GJ14" i="8"/>
  <c r="HL14" i="8"/>
  <c r="GG14" i="8"/>
  <c r="GT14" i="8"/>
  <c r="HG14" i="8"/>
  <c r="GY14" i="8"/>
  <c r="GK14" i="8"/>
  <c r="GX14" i="8"/>
  <c r="HQ14" i="8"/>
  <c r="HK14" i="8"/>
  <c r="HU14" i="8"/>
  <c r="HC14" i="8"/>
  <c r="GR14" i="8"/>
  <c r="HY14" i="8"/>
  <c r="GO14" i="8"/>
  <c r="GF14" i="8"/>
  <c r="HM14" i="8"/>
  <c r="HF14" i="8"/>
  <c r="HW14" i="8"/>
  <c r="GW14" i="8"/>
  <c r="GU14" i="8"/>
  <c r="GI14" i="8"/>
  <c r="GE14" i="8"/>
  <c r="GS14" i="8"/>
  <c r="GZ14" i="8"/>
  <c r="HI14" i="8"/>
  <c r="GH14" i="8"/>
  <c r="HJ14" i="8"/>
  <c r="HX14" i="8"/>
  <c r="GM14" i="8"/>
  <c r="HV14" i="8"/>
  <c r="HB14" i="8"/>
  <c r="HT14" i="8"/>
  <c r="HN14" i="8"/>
  <c r="IT77" i="8"/>
  <c r="IP77" i="8"/>
  <c r="IX77" i="8"/>
  <c r="II77" i="8"/>
  <c r="IE77" i="8"/>
  <c r="ID77" i="8"/>
  <c r="IU77" i="8"/>
  <c r="IW77" i="8"/>
  <c r="IF77" i="8"/>
  <c r="IV77" i="8"/>
  <c r="IS77" i="8"/>
  <c r="IQ77" i="8"/>
  <c r="IL77" i="8"/>
  <c r="IC77" i="8"/>
  <c r="IR77" i="8"/>
  <c r="IG77" i="8"/>
  <c r="IN77" i="8"/>
  <c r="IK77" i="8"/>
  <c r="IM77" i="8"/>
  <c r="IJ77" i="8"/>
  <c r="IH77" i="8"/>
  <c r="CC30" i="11"/>
  <c r="CI30" i="11" s="1"/>
  <c r="G30" i="28"/>
  <c r="DT37" i="8"/>
  <c r="DR37" i="8"/>
  <c r="DO37" i="8"/>
  <c r="DP37" i="8"/>
  <c r="DL37" i="8"/>
  <c r="DQ37" i="8"/>
  <c r="DS37" i="8"/>
  <c r="DN37" i="8"/>
  <c r="DH37" i="8"/>
  <c r="DV37" i="8"/>
  <c r="DW37" i="8"/>
  <c r="DM37" i="8"/>
  <c r="DK37" i="8"/>
  <c r="DU37" i="8"/>
  <c r="G79" i="28"/>
  <c r="CC79" i="11"/>
  <c r="CI79" i="11" s="1"/>
  <c r="AK75" i="11"/>
  <c r="W75" i="11"/>
  <c r="DT30" i="8"/>
  <c r="DK30" i="8"/>
  <c r="DL30" i="8"/>
  <c r="DU30" i="8"/>
  <c r="DH30" i="8"/>
  <c r="DV30" i="8"/>
  <c r="DM30" i="8"/>
  <c r="DR30" i="8"/>
  <c r="DN30" i="8"/>
  <c r="DO30" i="8"/>
  <c r="DW30" i="8"/>
  <c r="DQ30" i="8"/>
  <c r="DS30" i="8"/>
  <c r="DP30" i="8"/>
  <c r="I65" i="27"/>
  <c r="BS65" i="11"/>
  <c r="CH65" i="11" s="1"/>
  <c r="GD65" i="8" s="1"/>
  <c r="IM51" i="8"/>
  <c r="IN51" i="8"/>
  <c r="IK51" i="8"/>
  <c r="IV51" i="8"/>
  <c r="ID51" i="8"/>
  <c r="IQ51" i="8"/>
  <c r="IL51" i="8"/>
  <c r="IC51" i="8"/>
  <c r="IG51" i="8"/>
  <c r="IX51" i="8"/>
  <c r="IU51" i="8"/>
  <c r="IP51" i="8"/>
  <c r="IR51" i="8"/>
  <c r="II51" i="8"/>
  <c r="IF51" i="8"/>
  <c r="IH51" i="8"/>
  <c r="IS51" i="8"/>
  <c r="IW51" i="8"/>
  <c r="IE51" i="8"/>
  <c r="IJ51" i="8"/>
  <c r="IT51" i="8"/>
  <c r="FZ79" i="8"/>
  <c r="FZ73" i="8"/>
  <c r="IB37" i="8"/>
  <c r="C37" i="28"/>
  <c r="ER75" i="8"/>
  <c r="HO75" i="8"/>
  <c r="CT75" i="8"/>
  <c r="EQ75" i="8"/>
  <c r="HN75" i="8"/>
  <c r="CT48" i="8"/>
  <c r="DT48" i="8" s="1"/>
  <c r="DF48" i="8"/>
  <c r="EX73" i="8"/>
  <c r="P16" i="21"/>
  <c r="V16" i="21" s="1"/>
  <c r="W16" i="21" s="1"/>
  <c r="AN33" i="18"/>
  <c r="AN14" i="18"/>
  <c r="P14" i="21"/>
  <c r="V14" i="21" s="1"/>
  <c r="W14" i="21" s="1"/>
  <c r="IM4" i="8"/>
  <c r="IG4" i="8"/>
  <c r="IU4" i="8"/>
  <c r="IX4" i="8"/>
  <c r="ID4" i="8"/>
  <c r="IW4" i="8"/>
  <c r="IE4" i="8"/>
  <c r="IK4" i="8"/>
  <c r="IC4" i="8"/>
  <c r="IH4" i="8"/>
  <c r="IF4" i="8"/>
  <c r="IL4" i="8"/>
  <c r="IR4" i="8"/>
  <c r="IQ4" i="8"/>
  <c r="IV4" i="8"/>
  <c r="IS4" i="8"/>
  <c r="IP4" i="8"/>
  <c r="IN4" i="8"/>
  <c r="II4" i="8"/>
  <c r="IT4" i="8"/>
  <c r="IJ4" i="8"/>
  <c r="EH90" i="8"/>
  <c r="DN21" i="8"/>
  <c r="DH21" i="8"/>
  <c r="GP15" i="8"/>
  <c r="IW15" i="8"/>
  <c r="ID15" i="8"/>
  <c r="IG15" i="8"/>
  <c r="IN15" i="8"/>
  <c r="IK15" i="8"/>
  <c r="II15" i="8"/>
  <c r="IR15" i="8"/>
  <c r="IL15" i="8"/>
  <c r="IF15" i="8"/>
  <c r="IP15" i="8"/>
  <c r="IH15" i="8"/>
  <c r="IM15" i="8"/>
  <c r="IU15" i="8"/>
  <c r="IV15" i="8"/>
  <c r="IJ15" i="8"/>
  <c r="IQ15" i="8"/>
  <c r="IS15" i="8"/>
  <c r="IC15" i="8"/>
  <c r="IX15" i="8"/>
  <c r="IT15" i="8"/>
  <c r="IE15" i="8"/>
  <c r="I66" i="27"/>
  <c r="BS66" i="11"/>
  <c r="CH66" i="11" s="1"/>
  <c r="GD66" i="8" s="1"/>
  <c r="DM84" i="8"/>
  <c r="DL84" i="8"/>
  <c r="DH84" i="8"/>
  <c r="DU84" i="8"/>
  <c r="DV84" i="8"/>
  <c r="DK84" i="8"/>
  <c r="DO84" i="8"/>
  <c r="DN84" i="8"/>
  <c r="DQ84" i="8"/>
  <c r="DW84" i="8"/>
  <c r="DR84" i="8"/>
  <c r="DP84" i="8"/>
  <c r="DS84" i="8"/>
  <c r="GP54" i="8"/>
  <c r="AS84" i="11"/>
  <c r="AO84" i="11"/>
  <c r="AQ84" i="11" s="1"/>
  <c r="AU84" i="11" s="1"/>
  <c r="GP34" i="8"/>
  <c r="AZ84" i="11"/>
  <c r="AW84" i="11"/>
  <c r="BU84" i="11"/>
  <c r="H84" i="27" s="1"/>
  <c r="BG84" i="11"/>
  <c r="BH84" i="11" s="1"/>
  <c r="BI84" i="11" s="1"/>
  <c r="BM84" i="11" s="1"/>
  <c r="BP84" i="11" s="1"/>
  <c r="IW54" i="8"/>
  <c r="IV54" i="8"/>
  <c r="IT54" i="8"/>
  <c r="IJ54" i="8"/>
  <c r="IX54" i="8"/>
  <c r="ID54" i="8"/>
  <c r="II54" i="8"/>
  <c r="IQ54" i="8"/>
  <c r="IH54" i="8"/>
  <c r="IU54" i="8"/>
  <c r="IM54" i="8"/>
  <c r="IN54" i="8"/>
  <c r="IR54" i="8"/>
  <c r="IE54" i="8"/>
  <c r="IK54" i="8"/>
  <c r="IL54" i="8"/>
  <c r="IC54" i="8"/>
  <c r="IF54" i="8"/>
  <c r="IG54" i="8"/>
  <c r="IS54" i="8"/>
  <c r="IP54" i="8"/>
  <c r="G84" i="28"/>
  <c r="CC84" i="11"/>
  <c r="CI84" i="11" s="1"/>
  <c r="IR34" i="8"/>
  <c r="IQ34" i="8"/>
  <c r="IL34" i="8"/>
  <c r="IP34" i="8"/>
  <c r="IW34" i="8"/>
  <c r="IC34" i="8"/>
  <c r="IS34" i="8"/>
  <c r="IF34" i="8"/>
  <c r="IK34" i="8"/>
  <c r="IJ34" i="8"/>
  <c r="IH34" i="8"/>
  <c r="IT34" i="8"/>
  <c r="IE34" i="8"/>
  <c r="IG34" i="8"/>
  <c r="II34" i="8"/>
  <c r="IM34" i="8"/>
  <c r="IN34" i="8"/>
  <c r="IX34" i="8"/>
  <c r="IV34" i="8"/>
  <c r="IU34" i="8"/>
  <c r="ID34" i="8"/>
  <c r="IM25" i="8"/>
  <c r="IL25" i="8"/>
  <c r="IN25" i="8"/>
  <c r="IK25" i="8"/>
  <c r="II25" i="8"/>
  <c r="IE25" i="8"/>
  <c r="IJ25" i="8"/>
  <c r="IU25" i="8"/>
  <c r="IW25" i="8"/>
  <c r="IS25" i="8"/>
  <c r="IG25" i="8"/>
  <c r="IH25" i="8"/>
  <c r="IT25" i="8"/>
  <c r="IX25" i="8"/>
  <c r="IR25" i="8"/>
  <c r="IP25" i="8"/>
  <c r="IC25" i="8"/>
  <c r="IF25" i="8"/>
  <c r="IQ25" i="8"/>
  <c r="ID25" i="8"/>
  <c r="IV25" i="8"/>
  <c r="IH19" i="8"/>
  <c r="IS19" i="8"/>
  <c r="II19" i="8"/>
  <c r="IL19" i="8"/>
  <c r="IG19" i="8"/>
  <c r="IC19" i="8"/>
  <c r="IU19" i="8"/>
  <c r="IK19" i="8"/>
  <c r="IF19" i="8"/>
  <c r="IP19" i="8"/>
  <c r="IT19" i="8"/>
  <c r="IW19" i="8"/>
  <c r="IN19" i="8"/>
  <c r="IE19" i="8"/>
  <c r="IR19" i="8"/>
  <c r="ID19" i="8"/>
  <c r="IQ19" i="8"/>
  <c r="IJ19" i="8"/>
  <c r="IV19" i="8"/>
  <c r="IM19" i="8"/>
  <c r="IX19" i="8"/>
  <c r="GP25" i="8"/>
  <c r="GP19" i="8"/>
  <c r="IB36" i="8"/>
  <c r="C36" i="28"/>
  <c r="HX36" i="8"/>
  <c r="GE36" i="8"/>
  <c r="GV36" i="8"/>
  <c r="HW36" i="8"/>
  <c r="GJ36" i="8"/>
  <c r="GW36" i="8"/>
  <c r="GU36" i="8"/>
  <c r="GY36" i="8"/>
  <c r="HF36" i="8"/>
  <c r="HH36" i="8"/>
  <c r="HA36" i="8"/>
  <c r="GT36" i="8"/>
  <c r="GK36" i="8"/>
  <c r="HO36" i="8"/>
  <c r="GH36" i="8"/>
  <c r="GN36" i="8"/>
  <c r="GI36" i="8"/>
  <c r="HE36" i="8"/>
  <c r="HS36" i="8"/>
  <c r="HI36" i="8"/>
  <c r="HY36" i="8"/>
  <c r="GM36" i="8"/>
  <c r="HT36" i="8"/>
  <c r="HC36" i="8"/>
  <c r="HB36" i="8"/>
  <c r="HL36" i="8"/>
  <c r="HJ36" i="8"/>
  <c r="HZ36" i="8"/>
  <c r="GO36" i="8"/>
  <c r="HK36" i="8"/>
  <c r="HU36" i="8"/>
  <c r="GL36" i="8"/>
  <c r="GG36" i="8"/>
  <c r="GS36" i="8"/>
  <c r="GX36" i="8"/>
  <c r="HV36" i="8"/>
  <c r="HM36" i="8"/>
  <c r="HG36" i="8"/>
  <c r="GR36" i="8"/>
  <c r="HQ36" i="8"/>
  <c r="GZ36" i="8"/>
  <c r="GF36" i="8"/>
  <c r="HR36" i="8"/>
  <c r="HN36" i="8"/>
  <c r="GP10" i="8"/>
  <c r="IW10" i="8"/>
  <c r="IC10" i="8"/>
  <c r="IL10" i="8"/>
  <c r="ID10" i="8"/>
  <c r="IS10" i="8"/>
  <c r="IE10" i="8"/>
  <c r="IH10" i="8"/>
  <c r="II10" i="8"/>
  <c r="IG10" i="8"/>
  <c r="IP10" i="8"/>
  <c r="IU10" i="8"/>
  <c r="IR10" i="8"/>
  <c r="IM10" i="8"/>
  <c r="IJ10" i="8"/>
  <c r="IX10" i="8"/>
  <c r="IT10" i="8"/>
  <c r="IQ10" i="8"/>
  <c r="IN10" i="8"/>
  <c r="IF10" i="8"/>
  <c r="IK10" i="8"/>
  <c r="IV10" i="8"/>
  <c r="EU72" i="8"/>
  <c r="FA72" i="8"/>
  <c r="EW72" i="8"/>
  <c r="ET72" i="8"/>
  <c r="EV72" i="8"/>
  <c r="EY72" i="8"/>
  <c r="CC21" i="11"/>
  <c r="CI21" i="11" s="1"/>
  <c r="G21" i="28"/>
  <c r="Z72" i="11"/>
  <c r="AI72" i="11"/>
  <c r="IC50" i="8"/>
  <c r="IH50" i="8"/>
  <c r="IP50" i="8"/>
  <c r="IE50" i="8"/>
  <c r="IW50" i="8"/>
  <c r="IG50" i="8"/>
  <c r="IN50" i="8"/>
  <c r="IV50" i="8"/>
  <c r="IQ50" i="8"/>
  <c r="IM50" i="8"/>
  <c r="IS50" i="8"/>
  <c r="IU50" i="8"/>
  <c r="IX50" i="8"/>
  <c r="IT50" i="8"/>
  <c r="II50" i="8"/>
  <c r="ID50" i="8"/>
  <c r="IL50" i="8"/>
  <c r="IK50" i="8"/>
  <c r="IR50" i="8"/>
  <c r="IJ50" i="8"/>
  <c r="IF50" i="8"/>
  <c r="EX72" i="8"/>
  <c r="GP16" i="8"/>
  <c r="G64" i="28"/>
  <c r="CC64" i="11"/>
  <c r="CI64" i="11" s="1"/>
  <c r="IW16" i="8"/>
  <c r="IP16" i="8"/>
  <c r="IU16" i="8"/>
  <c r="IQ16" i="8"/>
  <c r="ID16" i="8"/>
  <c r="IX16" i="8"/>
  <c r="IV16" i="8"/>
  <c r="IE16" i="8"/>
  <c r="IG16" i="8"/>
  <c r="IK16" i="8"/>
  <c r="IT16" i="8"/>
  <c r="IH16" i="8"/>
  <c r="IC16" i="8"/>
  <c r="IL16" i="8"/>
  <c r="IF16" i="8"/>
  <c r="IM16" i="8"/>
  <c r="IJ16" i="8"/>
  <c r="IS16" i="8"/>
  <c r="IN16" i="8"/>
  <c r="II16" i="8"/>
  <c r="IR16" i="8"/>
  <c r="HN12" i="8"/>
  <c r="HJ12" i="8"/>
  <c r="HI12" i="8"/>
  <c r="HQ12" i="8"/>
  <c r="HT12" i="8"/>
  <c r="HG12" i="8"/>
  <c r="GL12" i="8"/>
  <c r="GG12" i="8"/>
  <c r="HA12" i="8"/>
  <c r="GR12" i="8"/>
  <c r="GF12" i="8"/>
  <c r="HH12" i="8"/>
  <c r="GZ12" i="8"/>
  <c r="GH12" i="8"/>
  <c r="GT12" i="8"/>
  <c r="HO12" i="8"/>
  <c r="HU12" i="8"/>
  <c r="GW12" i="8"/>
  <c r="HV12" i="8"/>
  <c r="GV12" i="8"/>
  <c r="GX12" i="8"/>
  <c r="GE12" i="8"/>
  <c r="HS12" i="8"/>
  <c r="HC12" i="8"/>
  <c r="HB12" i="8"/>
  <c r="HZ12" i="8"/>
  <c r="GK12" i="8"/>
  <c r="GN12" i="8"/>
  <c r="HY12" i="8"/>
  <c r="HF12" i="8"/>
  <c r="GM12" i="8"/>
  <c r="HL12" i="8"/>
  <c r="GS12" i="8"/>
  <c r="GO12" i="8"/>
  <c r="HR12" i="8"/>
  <c r="HK12" i="8"/>
  <c r="GI12" i="8"/>
  <c r="GJ12" i="8"/>
  <c r="HE12" i="8"/>
  <c r="HW12" i="8"/>
  <c r="GU12" i="8"/>
  <c r="GY12" i="8"/>
  <c r="HX12" i="8"/>
  <c r="HM12" i="8"/>
  <c r="C12" i="28"/>
  <c r="IB12" i="8"/>
  <c r="FZ72" i="8"/>
  <c r="EZ72" i="8"/>
  <c r="I21" i="27"/>
  <c r="BS21" i="11"/>
  <c r="CH21" i="11" s="1"/>
  <c r="GD21" i="8" s="1"/>
  <c r="CC72" i="11"/>
  <c r="CI72" i="11" s="1"/>
  <c r="G72" i="28"/>
  <c r="IQ7" i="8"/>
  <c r="ID7" i="8"/>
  <c r="IV7" i="8"/>
  <c r="IL7" i="8"/>
  <c r="II7" i="8"/>
  <c r="IM7" i="8"/>
  <c r="IT7" i="8"/>
  <c r="IW7" i="8"/>
  <c r="IH7" i="8"/>
  <c r="IF7" i="8"/>
  <c r="IJ7" i="8"/>
  <c r="IE7" i="8"/>
  <c r="IU7" i="8"/>
  <c r="IX7" i="8"/>
  <c r="IS7" i="8"/>
  <c r="IC7" i="8"/>
  <c r="IG7" i="8"/>
  <c r="IN7" i="8"/>
  <c r="IK7" i="8"/>
  <c r="IP7" i="8"/>
  <c r="IR7" i="8"/>
  <c r="I64" i="27"/>
  <c r="BS64" i="11"/>
  <c r="CH64" i="11" s="1"/>
  <c r="GD64" i="8" s="1"/>
  <c r="DK83" i="8"/>
  <c r="DV83" i="8"/>
  <c r="DU83" i="8"/>
  <c r="DM83" i="8"/>
  <c r="DL83" i="8"/>
  <c r="DH83" i="8"/>
  <c r="DN83" i="8"/>
  <c r="DQ83" i="8"/>
  <c r="DR83" i="8"/>
  <c r="DW83" i="8"/>
  <c r="DO83" i="8"/>
  <c r="DS83" i="8"/>
  <c r="DP83" i="8"/>
  <c r="DP44" i="8"/>
  <c r="DT68" i="8"/>
  <c r="DK68" i="8"/>
  <c r="DM68" i="8"/>
  <c r="DH68" i="8"/>
  <c r="DL68" i="8"/>
  <c r="DV68" i="8"/>
  <c r="DU68" i="8"/>
  <c r="DQ68" i="8"/>
  <c r="DN68" i="8"/>
  <c r="DW68" i="8"/>
  <c r="DO68" i="8"/>
  <c r="DR68" i="8"/>
  <c r="DS68" i="8"/>
  <c r="DP68" i="8"/>
  <c r="C78" i="28"/>
  <c r="IB78" i="8"/>
  <c r="BS78" i="11"/>
  <c r="I78" i="27"/>
  <c r="GP67" i="8"/>
  <c r="HX76" i="8"/>
  <c r="GB76" i="8"/>
  <c r="HZ76" i="8" s="1"/>
  <c r="HN83" i="8"/>
  <c r="EQ83" i="8"/>
  <c r="HK29" i="8"/>
  <c r="HT29" i="8"/>
  <c r="GH29" i="8"/>
  <c r="GU29" i="8"/>
  <c r="HA29" i="8"/>
  <c r="HS29" i="8"/>
  <c r="HJ29" i="8"/>
  <c r="HZ29" i="8"/>
  <c r="HV29" i="8"/>
  <c r="HI29" i="8"/>
  <c r="HO29" i="8"/>
  <c r="GW29" i="8"/>
  <c r="GV29" i="8"/>
  <c r="HQ29" i="8"/>
  <c r="GO29" i="8"/>
  <c r="GX29" i="8"/>
  <c r="HR29" i="8"/>
  <c r="HG29" i="8"/>
  <c r="GK29" i="8"/>
  <c r="HF29" i="8"/>
  <c r="HY29" i="8"/>
  <c r="HU29" i="8"/>
  <c r="HM29" i="8"/>
  <c r="GE29" i="8"/>
  <c r="HX29" i="8"/>
  <c r="GJ29" i="8"/>
  <c r="HW29" i="8"/>
  <c r="HC29" i="8"/>
  <c r="GR29" i="8"/>
  <c r="GS29" i="8"/>
  <c r="HB29" i="8"/>
  <c r="GM29" i="8"/>
  <c r="GY29" i="8"/>
  <c r="GT29" i="8"/>
  <c r="GG29" i="8"/>
  <c r="HE29" i="8"/>
  <c r="GL29" i="8"/>
  <c r="GI29" i="8"/>
  <c r="GF29" i="8"/>
  <c r="GN29" i="8"/>
  <c r="GZ29" i="8"/>
  <c r="HH29" i="8"/>
  <c r="HL29" i="8"/>
  <c r="HN29" i="8"/>
  <c r="GB70" i="8"/>
  <c r="HZ70" i="8" s="1"/>
  <c r="HX70" i="8"/>
  <c r="IM62" i="8"/>
  <c r="IP62" i="8"/>
  <c r="IV62" i="8"/>
  <c r="IJ62" i="8"/>
  <c r="IS62" i="8"/>
  <c r="IU62" i="8"/>
  <c r="IK62" i="8"/>
  <c r="IC62" i="8"/>
  <c r="IW62" i="8"/>
  <c r="IE62" i="8"/>
  <c r="IN62" i="8"/>
  <c r="IG62" i="8"/>
  <c r="IQ62" i="8"/>
  <c r="IF62" i="8"/>
  <c r="ID62" i="8"/>
  <c r="IX62" i="8"/>
  <c r="II62" i="8"/>
  <c r="IH62" i="8"/>
  <c r="IL62" i="8"/>
  <c r="IR62" i="8"/>
  <c r="IT62" i="8"/>
  <c r="GP18" i="8"/>
  <c r="AI68" i="11"/>
  <c r="Z68" i="11"/>
  <c r="AZ70" i="11"/>
  <c r="BU70" i="11"/>
  <c r="H70" i="27" s="1"/>
  <c r="BG70" i="11"/>
  <c r="BH70" i="11" s="1"/>
  <c r="BI70" i="11" s="1"/>
  <c r="BM70" i="11" s="1"/>
  <c r="BP70" i="11" s="1"/>
  <c r="AW70" i="11"/>
  <c r="HT83" i="8"/>
  <c r="W83" i="11"/>
  <c r="AK83" i="11"/>
  <c r="IT61" i="8"/>
  <c r="IL61" i="8"/>
  <c r="IJ61" i="8"/>
  <c r="IP61" i="8"/>
  <c r="IE61" i="8"/>
  <c r="IG61" i="8"/>
  <c r="IS61" i="8"/>
  <c r="IN61" i="8"/>
  <c r="IH61" i="8"/>
  <c r="IK61" i="8"/>
  <c r="IF61" i="8"/>
  <c r="IM61" i="8"/>
  <c r="ID61" i="8"/>
  <c r="IW61" i="8"/>
  <c r="IU61" i="8"/>
  <c r="IR61" i="8"/>
  <c r="IQ61" i="8"/>
  <c r="IX61" i="8"/>
  <c r="IC61" i="8"/>
  <c r="IV61" i="8"/>
  <c r="II61" i="8"/>
  <c r="BF76" i="11"/>
  <c r="BW76" i="11"/>
  <c r="C69" i="24" s="1"/>
  <c r="AY76" i="11"/>
  <c r="HX68" i="8"/>
  <c r="GB68" i="8"/>
  <c r="HZ68" i="8" s="1"/>
  <c r="G29" i="28"/>
  <c r="CC29" i="11"/>
  <c r="CI29" i="11" s="1"/>
  <c r="C18" i="28"/>
  <c r="IB18" i="8"/>
  <c r="C20" i="28"/>
  <c r="IB20" i="8"/>
  <c r="BZ83" i="11"/>
  <c r="F83" i="28"/>
  <c r="G80" i="28"/>
  <c r="CC80" i="11"/>
  <c r="CI80" i="11" s="1"/>
  <c r="HV60" i="8"/>
  <c r="GG60" i="8"/>
  <c r="HS60" i="8"/>
  <c r="HC60" i="8"/>
  <c r="GO60" i="8"/>
  <c r="HI60" i="8"/>
  <c r="HE60" i="8"/>
  <c r="GE60" i="8"/>
  <c r="GR60" i="8"/>
  <c r="HJ60" i="8"/>
  <c r="GJ60" i="8"/>
  <c r="GW60" i="8"/>
  <c r="GT60" i="8"/>
  <c r="GZ60" i="8"/>
  <c r="HQ60" i="8"/>
  <c r="HB60" i="8"/>
  <c r="HG60" i="8"/>
  <c r="GY60" i="8"/>
  <c r="GN60" i="8"/>
  <c r="HA60" i="8"/>
  <c r="GS60" i="8"/>
  <c r="GL60" i="8"/>
  <c r="GI60" i="8"/>
  <c r="GV60" i="8"/>
  <c r="GH60" i="8"/>
  <c r="GX60" i="8"/>
  <c r="GU60" i="8"/>
  <c r="GM60" i="8"/>
  <c r="HF60" i="8"/>
  <c r="GF60" i="8"/>
  <c r="HR60" i="8"/>
  <c r="HM60" i="8"/>
  <c r="GK60" i="8"/>
  <c r="HY60" i="8"/>
  <c r="HW60" i="8"/>
  <c r="HH60" i="8"/>
  <c r="HO60" i="8"/>
  <c r="HK60" i="8"/>
  <c r="HL60" i="8"/>
  <c r="HT60" i="8"/>
  <c r="HU60" i="8"/>
  <c r="HN60" i="8"/>
  <c r="C23" i="28"/>
  <c r="IB23" i="8"/>
  <c r="FZ80" i="8"/>
  <c r="EZ53" i="8"/>
  <c r="ER83" i="8"/>
  <c r="HO83" i="8"/>
  <c r="AR83" i="11"/>
  <c r="AN83" i="11"/>
  <c r="AP83" i="11" s="1"/>
  <c r="AT83" i="11" s="1"/>
  <c r="C70" i="28"/>
  <c r="IB70" i="8"/>
  <c r="DW80" i="8"/>
  <c r="DM80" i="8"/>
  <c r="DQ80" i="8"/>
  <c r="DR80" i="8"/>
  <c r="DO80" i="8"/>
  <c r="DK80" i="8"/>
  <c r="DP80" i="8"/>
  <c r="DV80" i="8"/>
  <c r="DH80" i="8"/>
  <c r="DS80" i="8"/>
  <c r="DU80" i="8"/>
  <c r="DN80" i="8"/>
  <c r="DL80" i="8"/>
  <c r="EW76" i="8"/>
  <c r="FA76" i="8"/>
  <c r="ET76" i="8"/>
  <c r="EU76" i="8"/>
  <c r="EV76" i="8"/>
  <c r="EY76" i="8"/>
  <c r="GP20" i="8"/>
  <c r="G60" i="28"/>
  <c r="CC60" i="11"/>
  <c r="CI60" i="11" s="1"/>
  <c r="DH29" i="8"/>
  <c r="DK29" i="8"/>
  <c r="DV29" i="8"/>
  <c r="DL29" i="8"/>
  <c r="DM29" i="8"/>
  <c r="DU29" i="8"/>
  <c r="DR29" i="8"/>
  <c r="DW29" i="8"/>
  <c r="DQ29" i="8"/>
  <c r="DN29" i="8"/>
  <c r="DO29" i="8"/>
  <c r="DS29" i="8"/>
  <c r="DP29" i="8"/>
  <c r="EZ76" i="8"/>
  <c r="GH23" i="8"/>
  <c r="HI23" i="8"/>
  <c r="HV23" i="8"/>
  <c r="GR23" i="8"/>
  <c r="GZ23" i="8"/>
  <c r="HS23" i="8"/>
  <c r="GL23" i="8"/>
  <c r="GE23" i="8"/>
  <c r="GG23" i="8"/>
  <c r="HB23" i="8"/>
  <c r="HA23" i="8"/>
  <c r="GY23" i="8"/>
  <c r="GO23" i="8"/>
  <c r="GS23" i="8"/>
  <c r="GT23" i="8"/>
  <c r="GU23" i="8"/>
  <c r="GW23" i="8"/>
  <c r="GI23" i="8"/>
  <c r="GV23" i="8"/>
  <c r="HC23" i="8"/>
  <c r="HJ23" i="8"/>
  <c r="GF23" i="8"/>
  <c r="GJ23" i="8"/>
  <c r="HE23" i="8"/>
  <c r="GM23" i="8"/>
  <c r="GX23" i="8"/>
  <c r="GN23" i="8"/>
  <c r="HG23" i="8"/>
  <c r="HQ23" i="8"/>
  <c r="HF23" i="8"/>
  <c r="HM23" i="8"/>
  <c r="HR23" i="8"/>
  <c r="GK23" i="8"/>
  <c r="HY23" i="8"/>
  <c r="HW23" i="8"/>
  <c r="HH23" i="8"/>
  <c r="HK23" i="8"/>
  <c r="HO23" i="8"/>
  <c r="HL23" i="8"/>
  <c r="HT23" i="8"/>
  <c r="HN23" i="8"/>
  <c r="HU23" i="8"/>
  <c r="HX23" i="8"/>
  <c r="GP62" i="8"/>
  <c r="HZ60" i="8"/>
  <c r="FW83" i="8"/>
  <c r="HU83" i="8" s="1"/>
  <c r="HC83" i="8"/>
  <c r="EX68" i="8"/>
  <c r="FA68" i="8"/>
  <c r="EW68" i="8"/>
  <c r="ET68" i="8"/>
  <c r="EU68" i="8"/>
  <c r="EV68" i="8"/>
  <c r="EY68" i="8"/>
  <c r="EX76" i="8"/>
  <c r="IB13" i="8"/>
  <c r="C13" i="28"/>
  <c r="IB33" i="8"/>
  <c r="C33" i="28"/>
  <c r="DF83" i="8"/>
  <c r="DT83" i="8"/>
  <c r="GP27" i="8"/>
  <c r="Z76" i="11"/>
  <c r="AI76" i="11"/>
  <c r="GP46" i="8"/>
  <c r="X76" i="11"/>
  <c r="AH76" i="11"/>
  <c r="AX83" i="11"/>
  <c r="AV83" i="11"/>
  <c r="DE76" i="8"/>
  <c r="CR76" i="8"/>
  <c r="CT76" i="8" s="1"/>
  <c r="DS76" i="8" s="1"/>
  <c r="DB76" i="8"/>
  <c r="C27" i="28"/>
  <c r="IB27" i="8"/>
  <c r="EW80" i="8"/>
  <c r="ET80" i="8"/>
  <c r="EU80" i="8"/>
  <c r="EV80" i="8"/>
  <c r="EY80" i="8"/>
  <c r="FA80" i="8"/>
  <c r="GP13" i="8"/>
  <c r="AO70" i="11"/>
  <c r="AQ70" i="11" s="1"/>
  <c r="AU70" i="11" s="1"/>
  <c r="AS70" i="11"/>
  <c r="EX80" i="8"/>
  <c r="CC31" i="11"/>
  <c r="CI31" i="11" s="1"/>
  <c r="G31" i="28"/>
  <c r="IB46" i="8"/>
  <c r="C46" i="28"/>
  <c r="IS56" i="8"/>
  <c r="IT56" i="8"/>
  <c r="IM56" i="8"/>
  <c r="IC56" i="8"/>
  <c r="IN56" i="8"/>
  <c r="ID56" i="8"/>
  <c r="IL56" i="8"/>
  <c r="IR56" i="8"/>
  <c r="IK56" i="8"/>
  <c r="IW56" i="8"/>
  <c r="IV56" i="8"/>
  <c r="IE56" i="8"/>
  <c r="IX56" i="8"/>
  <c r="IQ56" i="8"/>
  <c r="IG56" i="8"/>
  <c r="IP56" i="8"/>
  <c r="IJ56" i="8"/>
  <c r="IF56" i="8"/>
  <c r="IH56" i="8"/>
  <c r="II56" i="8"/>
  <c r="IU56" i="8"/>
  <c r="CC68" i="11"/>
  <c r="CI68" i="11" s="1"/>
  <c r="G68" i="28"/>
  <c r="Z80" i="11"/>
  <c r="AI80" i="11"/>
  <c r="AE53" i="11"/>
  <c r="AX53" i="11"/>
  <c r="AV53" i="11"/>
  <c r="C41" i="28"/>
  <c r="IB41" i="8"/>
  <c r="EX53" i="8"/>
  <c r="EV53" i="8"/>
  <c r="EU53" i="8"/>
  <c r="FA53" i="8"/>
  <c r="ET53" i="8"/>
  <c r="EW53" i="8"/>
  <c r="EY53" i="8"/>
  <c r="IX26" i="8"/>
  <c r="IC26" i="8"/>
  <c r="II26" i="8"/>
  <c r="IE26" i="8"/>
  <c r="IN26" i="8"/>
  <c r="IH26" i="8"/>
  <c r="IL26" i="8"/>
  <c r="IP26" i="8"/>
  <c r="IG26" i="8"/>
  <c r="IF26" i="8"/>
  <c r="IM26" i="8"/>
  <c r="ID26" i="8"/>
  <c r="IK26" i="8"/>
  <c r="IQ26" i="8"/>
  <c r="IT26" i="8"/>
  <c r="IJ26" i="8"/>
  <c r="IV26" i="8"/>
  <c r="IS26" i="8"/>
  <c r="IW26" i="8"/>
  <c r="IR26" i="8"/>
  <c r="IU26" i="8"/>
  <c r="AZ85" i="11"/>
  <c r="AW85" i="11"/>
  <c r="AR85" i="11"/>
  <c r="AN85" i="11"/>
  <c r="AP85" i="11" s="1"/>
  <c r="AT85" i="11" s="1"/>
  <c r="GB43" i="8"/>
  <c r="AR45" i="11"/>
  <c r="AN45" i="11"/>
  <c r="AP45" i="11" s="1"/>
  <c r="AT45" i="11" s="1"/>
  <c r="AR43" i="11"/>
  <c r="AN43" i="11"/>
  <c r="AP43" i="11" s="1"/>
  <c r="AT43" i="11" s="1"/>
  <c r="AZ86" i="11"/>
  <c r="AW86" i="11"/>
  <c r="FV90" i="8"/>
  <c r="AN40" i="11"/>
  <c r="AR40" i="11"/>
  <c r="D99" i="11"/>
  <c r="D101" i="11" s="1"/>
  <c r="AN87" i="11"/>
  <c r="AP87" i="11" s="1"/>
  <c r="AT87" i="11" s="1"/>
  <c r="AR87" i="11"/>
  <c r="F42" i="28"/>
  <c r="CV42" i="11"/>
  <c r="BZ42" i="11"/>
  <c r="AN44" i="11"/>
  <c r="AP44" i="11" s="1"/>
  <c r="AT44" i="11" s="1"/>
  <c r="AR44" i="11"/>
  <c r="CT45" i="8"/>
  <c r="DF45" i="8"/>
  <c r="AX85" i="11"/>
  <c r="AV85" i="11"/>
  <c r="ET45" i="8"/>
  <c r="FA45" i="8"/>
  <c r="EU45" i="8"/>
  <c r="EW45" i="8"/>
  <c r="EV45" i="8"/>
  <c r="EY45" i="8"/>
  <c r="AQ40" i="11"/>
  <c r="CT43" i="8"/>
  <c r="DT43" i="8" s="1"/>
  <c r="DF43" i="8"/>
  <c r="CW42" i="11"/>
  <c r="BP42" i="11"/>
  <c r="AE45" i="11"/>
  <c r="AV45" i="11"/>
  <c r="AX45" i="11"/>
  <c r="AV43" i="11"/>
  <c r="AX43" i="11"/>
  <c r="F53" i="28"/>
  <c r="BZ53" i="11"/>
  <c r="CV53" i="11"/>
  <c r="DF44" i="8"/>
  <c r="DT44" i="8"/>
  <c r="AE40" i="11"/>
  <c r="AX40" i="11"/>
  <c r="AV40" i="11"/>
  <c r="AV87" i="11"/>
  <c r="AX87" i="11"/>
  <c r="Z45" i="11"/>
  <c r="AI45" i="11"/>
  <c r="AE44" i="11"/>
  <c r="AV44" i="11"/>
  <c r="AX44" i="11"/>
  <c r="EZ45" i="8"/>
  <c r="BP43" i="11"/>
  <c r="CW43" i="11"/>
  <c r="DT40" i="8"/>
  <c r="DM40" i="8"/>
  <c r="DL40" i="8"/>
  <c r="DU40" i="8"/>
  <c r="DV40" i="8"/>
  <c r="DK40" i="8"/>
  <c r="DH40" i="8"/>
  <c r="DQ40" i="8"/>
  <c r="DO40" i="8"/>
  <c r="DR40" i="8"/>
  <c r="DN40" i="8"/>
  <c r="DW40" i="8"/>
  <c r="DP40" i="8"/>
  <c r="DS40" i="8"/>
  <c r="DK44" i="8"/>
  <c r="DV44" i="8"/>
  <c r="DM44" i="8"/>
  <c r="DR44" i="8"/>
  <c r="DQ44" i="8"/>
  <c r="DL44" i="8"/>
  <c r="DH44" i="8"/>
  <c r="DW44" i="8"/>
  <c r="DU44" i="8"/>
  <c r="DO44" i="8"/>
  <c r="DN44" i="8"/>
  <c r="H40" i="27"/>
  <c r="GP26" i="8"/>
  <c r="Z53" i="11"/>
  <c r="AG53" i="11" s="1"/>
  <c r="AI53" i="11"/>
  <c r="AN88" i="11"/>
  <c r="AP88" i="11" s="1"/>
  <c r="AT88" i="11" s="1"/>
  <c r="AR88" i="11"/>
  <c r="GP52" i="8"/>
  <c r="EI44" i="8"/>
  <c r="T44" i="11"/>
  <c r="E44" i="27"/>
  <c r="E90" i="27" s="1"/>
  <c r="AR90" i="8"/>
  <c r="AO87" i="11"/>
  <c r="AQ87" i="11" s="1"/>
  <c r="AU87" i="11" s="1"/>
  <c r="AS87" i="11"/>
  <c r="AN42" i="11"/>
  <c r="AP42" i="11" s="1"/>
  <c r="AT42" i="11" s="1"/>
  <c r="AR42" i="11"/>
  <c r="CT53" i="8"/>
  <c r="AO88" i="11"/>
  <c r="AQ88" i="11" s="1"/>
  <c r="AU88" i="11" s="1"/>
  <c r="AS88" i="11"/>
  <c r="AN53" i="11"/>
  <c r="AP53" i="11" s="1"/>
  <c r="AT53" i="11" s="1"/>
  <c r="AR53" i="11"/>
  <c r="GB53" i="8"/>
  <c r="FW44" i="8"/>
  <c r="FW90" i="8" s="1"/>
  <c r="FQ90" i="8"/>
  <c r="DP42" i="8"/>
  <c r="DV42" i="8"/>
  <c r="DL42" i="8"/>
  <c r="DM42" i="8"/>
  <c r="DK42" i="8"/>
  <c r="DH42" i="8"/>
  <c r="DU42" i="8"/>
  <c r="DR42" i="8"/>
  <c r="DO42" i="8"/>
  <c r="DN42" i="8"/>
  <c r="DQ42" i="8"/>
  <c r="DW42" i="8"/>
  <c r="F43" i="28"/>
  <c r="BZ43" i="11"/>
  <c r="CV43" i="11"/>
  <c r="CV44" i="11"/>
  <c r="BZ44" i="11"/>
  <c r="F44" i="28"/>
  <c r="AS85" i="11"/>
  <c r="AO85" i="11"/>
  <c r="AQ85" i="11" s="1"/>
  <c r="AU85" i="11" s="1"/>
  <c r="BP40" i="11"/>
  <c r="CW40" i="11"/>
  <c r="BZ40" i="11"/>
  <c r="CV40" i="11"/>
  <c r="F40" i="28"/>
  <c r="B63" i="22"/>
  <c r="C77" i="24"/>
  <c r="C62" i="24"/>
  <c r="B64" i="22"/>
  <c r="B68" i="22"/>
  <c r="C65" i="24"/>
  <c r="B67" i="22"/>
  <c r="C59" i="24"/>
  <c r="B65" i="22"/>
  <c r="B71" i="22"/>
  <c r="C60" i="24"/>
  <c r="B62" i="22"/>
  <c r="B58" i="22"/>
  <c r="C68" i="24"/>
  <c r="C61" i="24"/>
  <c r="B77" i="22"/>
  <c r="C64" i="24"/>
  <c r="B59" i="22"/>
  <c r="C58" i="24"/>
  <c r="C63" i="24"/>
  <c r="C71" i="24"/>
  <c r="B60" i="22"/>
  <c r="B70" i="22"/>
  <c r="B61" i="22"/>
  <c r="C57" i="24"/>
  <c r="B66" i="22"/>
  <c r="B69" i="22"/>
  <c r="C66" i="24"/>
  <c r="C70" i="24"/>
  <c r="C67" i="24"/>
  <c r="B57" i="22"/>
  <c r="CV45" i="11"/>
  <c r="F45" i="28"/>
  <c r="BZ45" i="11"/>
  <c r="AX88" i="11"/>
  <c r="AV88" i="11"/>
  <c r="GI41" i="8"/>
  <c r="HG41" i="8"/>
  <c r="GV41" i="8"/>
  <c r="HA41" i="8"/>
  <c r="GN41" i="8"/>
  <c r="HJ41" i="8"/>
  <c r="GE41" i="8"/>
  <c r="GG41" i="8"/>
  <c r="GJ41" i="8"/>
  <c r="HQ41" i="8"/>
  <c r="GF41" i="8"/>
  <c r="GO41" i="8"/>
  <c r="GY41" i="8"/>
  <c r="HS41" i="8"/>
  <c r="GZ41" i="8"/>
  <c r="HV41" i="8"/>
  <c r="GL41" i="8"/>
  <c r="GT41" i="8"/>
  <c r="GW41" i="8"/>
  <c r="GX41" i="8"/>
  <c r="HE41" i="8"/>
  <c r="GH41" i="8"/>
  <c r="GU41" i="8"/>
  <c r="GR41" i="8"/>
  <c r="HC41" i="8"/>
  <c r="HI41" i="8"/>
  <c r="GS41" i="8"/>
  <c r="HB41" i="8"/>
  <c r="GM41" i="8"/>
  <c r="HF41" i="8"/>
  <c r="HR41" i="8"/>
  <c r="GK41" i="8"/>
  <c r="HM41" i="8"/>
  <c r="HY41" i="8"/>
  <c r="HK41" i="8"/>
  <c r="HO41" i="8"/>
  <c r="HH41" i="8"/>
  <c r="HW41" i="8"/>
  <c r="HT41" i="8"/>
  <c r="HU41" i="8"/>
  <c r="HL41" i="8"/>
  <c r="HX41" i="8"/>
  <c r="HN41" i="8"/>
  <c r="HZ41" i="8"/>
  <c r="CR90" i="8"/>
  <c r="AZ87" i="11"/>
  <c r="AW87" i="11"/>
  <c r="DF42" i="8"/>
  <c r="DT42" i="8"/>
  <c r="AE42" i="11"/>
  <c r="AV42" i="11"/>
  <c r="AX42" i="11"/>
  <c r="AO86" i="11"/>
  <c r="AQ86" i="11" s="1"/>
  <c r="AU86" i="11" s="1"/>
  <c r="AS86" i="11"/>
  <c r="AW88" i="11"/>
  <c r="AZ88" i="11"/>
  <c r="GP8" i="8"/>
  <c r="C8" i="28"/>
  <c r="IB8" i="8"/>
  <c r="E18" i="22" l="1"/>
  <c r="A19" i="22"/>
  <c r="C18" i="22"/>
  <c r="G18" i="22"/>
  <c r="HN82" i="8"/>
  <c r="EQ82" i="8"/>
  <c r="E71" i="22"/>
  <c r="G71" i="22"/>
  <c r="A72" i="22"/>
  <c r="C71" i="22"/>
  <c r="HT82" i="8"/>
  <c r="FZ82" i="8"/>
  <c r="FZ75" i="8"/>
  <c r="B71" i="24"/>
  <c r="H71" i="24"/>
  <c r="F71" i="24"/>
  <c r="A72" i="24"/>
  <c r="D71" i="24"/>
  <c r="ER82" i="8"/>
  <c r="HO82" i="8"/>
  <c r="AV82" i="11"/>
  <c r="AX82" i="11"/>
  <c r="F20" i="24"/>
  <c r="B20" i="24"/>
  <c r="A21" i="24"/>
  <c r="D20" i="24"/>
  <c r="H20" i="24"/>
  <c r="F82" i="28"/>
  <c r="BZ82" i="11"/>
  <c r="AN82" i="11"/>
  <c r="AP82" i="11" s="1"/>
  <c r="AT82" i="11" s="1"/>
  <c r="AR82" i="11"/>
  <c r="HC82" i="8"/>
  <c r="FW82" i="8"/>
  <c r="HU82" i="8" s="1"/>
  <c r="DF82" i="8"/>
  <c r="CT82" i="8"/>
  <c r="A102" i="24"/>
  <c r="C101" i="24"/>
  <c r="E101" i="24" s="1"/>
  <c r="B101" i="24"/>
  <c r="D101" i="24" s="1"/>
  <c r="AK82" i="11"/>
  <c r="W82" i="11"/>
  <c r="C99" i="22"/>
  <c r="E99" i="22" s="1"/>
  <c r="A100" i="22"/>
  <c r="B99" i="22"/>
  <c r="D99" i="22" s="1"/>
  <c r="DM75" i="8"/>
  <c r="DU75" i="8"/>
  <c r="DH75" i="8"/>
  <c r="DV75" i="8"/>
  <c r="DL75" i="8"/>
  <c r="DK75" i="8"/>
  <c r="DR75" i="8"/>
  <c r="DO75" i="8"/>
  <c r="DQ75" i="8"/>
  <c r="DN75" i="8"/>
  <c r="DW75" i="8"/>
  <c r="DP75" i="8"/>
  <c r="DS75" i="8"/>
  <c r="GP14" i="8"/>
  <c r="GB75" i="8"/>
  <c r="HZ75" i="8" s="1"/>
  <c r="HX75" i="8"/>
  <c r="IB73" i="8"/>
  <c r="C73" i="28"/>
  <c r="IB48" i="8"/>
  <c r="C48" i="28"/>
  <c r="IR11" i="8"/>
  <c r="IJ11" i="8"/>
  <c r="IT11" i="8"/>
  <c r="IE11" i="8"/>
  <c r="IX11" i="8"/>
  <c r="ID11" i="8"/>
  <c r="IC11" i="8"/>
  <c r="IQ11" i="8"/>
  <c r="IL11" i="8"/>
  <c r="IV11" i="8"/>
  <c r="IS11" i="8"/>
  <c r="IN11" i="8"/>
  <c r="II11" i="8"/>
  <c r="IP11" i="8"/>
  <c r="IH11" i="8"/>
  <c r="IU11" i="8"/>
  <c r="IF11" i="8"/>
  <c r="IW11" i="8"/>
  <c r="IM11" i="8"/>
  <c r="IG11" i="8"/>
  <c r="IK11" i="8"/>
  <c r="EX75" i="8"/>
  <c r="EU75" i="8"/>
  <c r="ET75" i="8"/>
  <c r="EW75" i="8"/>
  <c r="EY75" i="8"/>
  <c r="EV75" i="8"/>
  <c r="FA75" i="8"/>
  <c r="G75" i="28"/>
  <c r="CC75" i="11"/>
  <c r="CI75" i="11" s="1"/>
  <c r="IK14" i="8"/>
  <c r="IU14" i="8"/>
  <c r="IC14" i="8"/>
  <c r="IL14" i="8"/>
  <c r="IH14" i="8"/>
  <c r="IP14" i="8"/>
  <c r="IW14" i="8"/>
  <c r="IT14" i="8"/>
  <c r="IR14" i="8"/>
  <c r="II14" i="8"/>
  <c r="IV14" i="8"/>
  <c r="IX14" i="8"/>
  <c r="IN14" i="8"/>
  <c r="IM14" i="8"/>
  <c r="IS14" i="8"/>
  <c r="IG14" i="8"/>
  <c r="IF14" i="8"/>
  <c r="IJ14" i="8"/>
  <c r="IQ14" i="8"/>
  <c r="ID14" i="8"/>
  <c r="IE14" i="8"/>
  <c r="IX37" i="8"/>
  <c r="IF37" i="8"/>
  <c r="IH37" i="8"/>
  <c r="IR37" i="8"/>
  <c r="IC37" i="8"/>
  <c r="IV37" i="8"/>
  <c r="IN37" i="8"/>
  <c r="II37" i="8"/>
  <c r="IG37" i="8"/>
  <c r="IL37" i="8"/>
  <c r="IJ37" i="8"/>
  <c r="IS37" i="8"/>
  <c r="IE37" i="8"/>
  <c r="ID37" i="8"/>
  <c r="IM37" i="8"/>
  <c r="IQ37" i="8"/>
  <c r="IW37" i="8"/>
  <c r="IT37" i="8"/>
  <c r="IP37" i="8"/>
  <c r="IU37" i="8"/>
  <c r="IK37" i="8"/>
  <c r="GY65" i="8"/>
  <c r="GH65" i="8"/>
  <c r="HB65" i="8"/>
  <c r="GG65" i="8"/>
  <c r="GR65" i="8"/>
  <c r="HF65" i="8"/>
  <c r="GU65" i="8"/>
  <c r="HV65" i="8"/>
  <c r="GL65" i="8"/>
  <c r="HY65" i="8"/>
  <c r="HU65" i="8"/>
  <c r="GJ65" i="8"/>
  <c r="HG65" i="8"/>
  <c r="HS65" i="8"/>
  <c r="GX65" i="8"/>
  <c r="HL65" i="8"/>
  <c r="GM65" i="8"/>
  <c r="GK65" i="8"/>
  <c r="HA65" i="8"/>
  <c r="HR65" i="8"/>
  <c r="GO65" i="8"/>
  <c r="HW65" i="8"/>
  <c r="HK65" i="8"/>
  <c r="GW65" i="8"/>
  <c r="HC65" i="8"/>
  <c r="HM65" i="8"/>
  <c r="HQ65" i="8"/>
  <c r="HH65" i="8"/>
  <c r="GV65" i="8"/>
  <c r="HI65" i="8"/>
  <c r="HE65" i="8"/>
  <c r="GS65" i="8"/>
  <c r="GT65" i="8"/>
  <c r="GF65" i="8"/>
  <c r="GN65" i="8"/>
  <c r="HT65" i="8"/>
  <c r="GE65" i="8"/>
  <c r="GI65" i="8"/>
  <c r="GZ65" i="8"/>
  <c r="HJ65" i="8"/>
  <c r="HO65" i="8"/>
  <c r="HN65" i="8"/>
  <c r="HX65" i="8"/>
  <c r="HZ65" i="8"/>
  <c r="Z75" i="11"/>
  <c r="AI75" i="11"/>
  <c r="IJ24" i="8"/>
  <c r="IX24" i="8"/>
  <c r="IF24" i="8"/>
  <c r="IT24" i="8"/>
  <c r="IG24" i="8"/>
  <c r="IP24" i="8"/>
  <c r="IN24" i="8"/>
  <c r="IK24" i="8"/>
  <c r="IR24" i="8"/>
  <c r="IM24" i="8"/>
  <c r="IQ24" i="8"/>
  <c r="II24" i="8"/>
  <c r="IS24" i="8"/>
  <c r="IV24" i="8"/>
  <c r="ID24" i="8"/>
  <c r="IL24" i="8"/>
  <c r="IW24" i="8"/>
  <c r="IE24" i="8"/>
  <c r="IC24" i="8"/>
  <c r="IU24" i="8"/>
  <c r="IH24" i="8"/>
  <c r="AO79" i="11"/>
  <c r="AQ79" i="11" s="1"/>
  <c r="AU79" i="11" s="1"/>
  <c r="AS79" i="11"/>
  <c r="DH48" i="8"/>
  <c r="DQ48" i="8"/>
  <c r="DK48" i="8"/>
  <c r="DR48" i="8"/>
  <c r="DV48" i="8"/>
  <c r="DL48" i="8"/>
  <c r="DP48" i="8"/>
  <c r="DU48" i="8"/>
  <c r="DW48" i="8"/>
  <c r="DN48" i="8"/>
  <c r="DM48" i="8"/>
  <c r="DO48" i="8"/>
  <c r="DS48" i="8"/>
  <c r="GB73" i="8"/>
  <c r="HZ73" i="8" s="1"/>
  <c r="HX73" i="8"/>
  <c r="GP11" i="8"/>
  <c r="DT75" i="8"/>
  <c r="GP24" i="8"/>
  <c r="BU79" i="11"/>
  <c r="H79" i="27" s="1"/>
  <c r="BG79" i="11"/>
  <c r="BH79" i="11" s="1"/>
  <c r="BI79" i="11" s="1"/>
  <c r="BM79" i="11" s="1"/>
  <c r="BP79" i="11" s="1"/>
  <c r="AZ79" i="11"/>
  <c r="AW79" i="11"/>
  <c r="GB79" i="8"/>
  <c r="HZ79" i="8" s="1"/>
  <c r="HX79" i="8"/>
  <c r="IB79" i="8"/>
  <c r="C79" i="28"/>
  <c r="AO73" i="11"/>
  <c r="AQ73" i="11" s="1"/>
  <c r="AU73" i="11" s="1"/>
  <c r="AS73" i="11"/>
  <c r="EZ75" i="8"/>
  <c r="C30" i="28"/>
  <c r="IB30" i="8"/>
  <c r="GP37" i="8"/>
  <c r="AZ73" i="11"/>
  <c r="AW73" i="11"/>
  <c r="BU73" i="11"/>
  <c r="H73" i="27" s="1"/>
  <c r="BG73" i="11"/>
  <c r="BH73" i="11" s="1"/>
  <c r="BI73" i="11" s="1"/>
  <c r="BM73" i="11" s="1"/>
  <c r="BP73" i="11" s="1"/>
  <c r="GI66" i="8"/>
  <c r="GE66" i="8"/>
  <c r="GM66" i="8"/>
  <c r="GS66" i="8"/>
  <c r="HQ66" i="8"/>
  <c r="HK66" i="8"/>
  <c r="GN66" i="8"/>
  <c r="GU66" i="8"/>
  <c r="HW66" i="8"/>
  <c r="HU66" i="8"/>
  <c r="HX66" i="8"/>
  <c r="HY66" i="8"/>
  <c r="HF66" i="8"/>
  <c r="HC66" i="8"/>
  <c r="GO66" i="8"/>
  <c r="HR66" i="8"/>
  <c r="GY66" i="8"/>
  <c r="HJ66" i="8"/>
  <c r="GZ66" i="8"/>
  <c r="GK66" i="8"/>
  <c r="HN66" i="8"/>
  <c r="HZ66" i="8"/>
  <c r="HM66" i="8"/>
  <c r="GG66" i="8"/>
  <c r="HI66" i="8"/>
  <c r="GF66" i="8"/>
  <c r="GX66" i="8"/>
  <c r="GV66" i="8"/>
  <c r="HV66" i="8"/>
  <c r="HS66" i="8"/>
  <c r="HE66" i="8"/>
  <c r="HH66" i="8"/>
  <c r="HT66" i="8"/>
  <c r="HB66" i="8"/>
  <c r="GJ66" i="8"/>
  <c r="GL66" i="8"/>
  <c r="HA66" i="8"/>
  <c r="GW66" i="8"/>
  <c r="GT66" i="8"/>
  <c r="GR66" i="8"/>
  <c r="HG66" i="8"/>
  <c r="GH66" i="8"/>
  <c r="HL66" i="8"/>
  <c r="HO66" i="8"/>
  <c r="C84" i="28"/>
  <c r="IB84" i="8"/>
  <c r="I84" i="27"/>
  <c r="BS84" i="11"/>
  <c r="CH84" i="11" s="1"/>
  <c r="GD84" i="8" s="1"/>
  <c r="GP36" i="8"/>
  <c r="ID36" i="8"/>
  <c r="IF36" i="8"/>
  <c r="IL36" i="8"/>
  <c r="IP36" i="8"/>
  <c r="IR36" i="8"/>
  <c r="IQ36" i="8"/>
  <c r="IJ36" i="8"/>
  <c r="IT36" i="8"/>
  <c r="II36" i="8"/>
  <c r="IM36" i="8"/>
  <c r="IS36" i="8"/>
  <c r="IK36" i="8"/>
  <c r="IH36" i="8"/>
  <c r="IU36" i="8"/>
  <c r="IC36" i="8"/>
  <c r="IN36" i="8"/>
  <c r="IE36" i="8"/>
  <c r="IX36" i="8"/>
  <c r="IG36" i="8"/>
  <c r="IV36" i="8"/>
  <c r="IW36" i="8"/>
  <c r="DP76" i="8"/>
  <c r="GJ64" i="8"/>
  <c r="HV64" i="8"/>
  <c r="GG64" i="8"/>
  <c r="GZ64" i="8"/>
  <c r="HF64" i="8"/>
  <c r="GI64" i="8"/>
  <c r="HK64" i="8"/>
  <c r="GF64" i="8"/>
  <c r="GR64" i="8"/>
  <c r="HM64" i="8"/>
  <c r="HN64" i="8"/>
  <c r="GM64" i="8"/>
  <c r="HQ64" i="8"/>
  <c r="GY64" i="8"/>
  <c r="HW64" i="8"/>
  <c r="GX64" i="8"/>
  <c r="HJ64" i="8"/>
  <c r="GL64" i="8"/>
  <c r="HG64" i="8"/>
  <c r="HR64" i="8"/>
  <c r="HU64" i="8"/>
  <c r="HT64" i="8"/>
  <c r="GN64" i="8"/>
  <c r="HS64" i="8"/>
  <c r="HB64" i="8"/>
  <c r="HI64" i="8"/>
  <c r="GO64" i="8"/>
  <c r="GE64" i="8"/>
  <c r="HC64" i="8"/>
  <c r="GS64" i="8"/>
  <c r="HH64" i="8"/>
  <c r="HO64" i="8"/>
  <c r="GW64" i="8"/>
  <c r="GT64" i="8"/>
  <c r="HA64" i="8"/>
  <c r="GV64" i="8"/>
  <c r="GH64" i="8"/>
  <c r="HE64" i="8"/>
  <c r="GK64" i="8"/>
  <c r="GU64" i="8"/>
  <c r="HL64" i="8"/>
  <c r="HY64" i="8"/>
  <c r="HX64" i="8"/>
  <c r="HZ64" i="8"/>
  <c r="IB72" i="8"/>
  <c r="C72" i="28"/>
  <c r="HX72" i="8"/>
  <c r="GB72" i="8"/>
  <c r="HZ72" i="8" s="1"/>
  <c r="C64" i="28"/>
  <c r="IB64" i="8"/>
  <c r="IB21" i="8"/>
  <c r="C21" i="28"/>
  <c r="HK21" i="8"/>
  <c r="HC21" i="8"/>
  <c r="HO21" i="8"/>
  <c r="HS21" i="8"/>
  <c r="HL21" i="8"/>
  <c r="HW21" i="8"/>
  <c r="GH21" i="8"/>
  <c r="GF21" i="8"/>
  <c r="GN21" i="8"/>
  <c r="HR21" i="8"/>
  <c r="HU21" i="8"/>
  <c r="HV21" i="8"/>
  <c r="GZ21" i="8"/>
  <c r="HA21" i="8"/>
  <c r="HY21" i="8"/>
  <c r="GX21" i="8"/>
  <c r="GY21" i="8"/>
  <c r="HF21" i="8"/>
  <c r="HG21" i="8"/>
  <c r="GV21" i="8"/>
  <c r="GW21" i="8"/>
  <c r="HZ21" i="8"/>
  <c r="GL21" i="8"/>
  <c r="GI21" i="8"/>
  <c r="GR21" i="8"/>
  <c r="GJ21" i="8"/>
  <c r="HT21" i="8"/>
  <c r="HQ21" i="8"/>
  <c r="GG21" i="8"/>
  <c r="HJ21" i="8"/>
  <c r="HE21" i="8"/>
  <c r="GM21" i="8"/>
  <c r="HN21" i="8"/>
  <c r="HI21" i="8"/>
  <c r="GE21" i="8"/>
  <c r="GK21" i="8"/>
  <c r="HH21" i="8"/>
  <c r="GT21" i="8"/>
  <c r="HB21" i="8"/>
  <c r="HM21" i="8"/>
  <c r="GU21" i="8"/>
  <c r="GO21" i="8"/>
  <c r="GS21" i="8"/>
  <c r="HX21" i="8"/>
  <c r="IW12" i="8"/>
  <c r="IP12" i="8"/>
  <c r="IE12" i="8"/>
  <c r="IK12" i="8"/>
  <c r="IG12" i="8"/>
  <c r="IC12" i="8"/>
  <c r="IU12" i="8"/>
  <c r="IN12" i="8"/>
  <c r="IF12" i="8"/>
  <c r="IT12" i="8"/>
  <c r="ID12" i="8"/>
  <c r="IJ12" i="8"/>
  <c r="IL12" i="8"/>
  <c r="IQ12" i="8"/>
  <c r="II12" i="8"/>
  <c r="IX12" i="8"/>
  <c r="IH12" i="8"/>
  <c r="IS12" i="8"/>
  <c r="IV12" i="8"/>
  <c r="IM12" i="8"/>
  <c r="IR12" i="8"/>
  <c r="GP12" i="8"/>
  <c r="AO72" i="11"/>
  <c r="AQ72" i="11" s="1"/>
  <c r="AU72" i="11" s="1"/>
  <c r="AS72" i="11"/>
  <c r="AZ72" i="11"/>
  <c r="BU72" i="11"/>
  <c r="H72" i="27" s="1"/>
  <c r="BG72" i="11"/>
  <c r="BH72" i="11" s="1"/>
  <c r="BI72" i="11" s="1"/>
  <c r="BM72" i="11" s="1"/>
  <c r="BP72" i="11" s="1"/>
  <c r="AW72" i="11"/>
  <c r="IG46" i="8"/>
  <c r="ID46" i="8"/>
  <c r="IV46" i="8"/>
  <c r="IH46" i="8"/>
  <c r="IP46" i="8"/>
  <c r="IR46" i="8"/>
  <c r="IU46" i="8"/>
  <c r="IE46" i="8"/>
  <c r="IW46" i="8"/>
  <c r="II46" i="8"/>
  <c r="IL46" i="8"/>
  <c r="IT46" i="8"/>
  <c r="IJ46" i="8"/>
  <c r="IX46" i="8"/>
  <c r="IF46" i="8"/>
  <c r="IM46" i="8"/>
  <c r="IC46" i="8"/>
  <c r="IS46" i="8"/>
  <c r="IN46" i="8"/>
  <c r="IQ46" i="8"/>
  <c r="IK46" i="8"/>
  <c r="EX83" i="8"/>
  <c r="EW83" i="8"/>
  <c r="ET83" i="8"/>
  <c r="EV83" i="8"/>
  <c r="FA83" i="8"/>
  <c r="EU83" i="8"/>
  <c r="EY83" i="8"/>
  <c r="FZ83" i="8"/>
  <c r="IB68" i="8"/>
  <c r="C68" i="28"/>
  <c r="AS76" i="11"/>
  <c r="AO76" i="11"/>
  <c r="AQ76" i="11" s="1"/>
  <c r="AU76" i="11" s="1"/>
  <c r="IP13" i="8"/>
  <c r="IH13" i="8"/>
  <c r="IJ13" i="8"/>
  <c r="IF13" i="8"/>
  <c r="IE13" i="8"/>
  <c r="IQ13" i="8"/>
  <c r="IT13" i="8"/>
  <c r="IC13" i="8"/>
  <c r="IK13" i="8"/>
  <c r="II13" i="8"/>
  <c r="IL13" i="8"/>
  <c r="IN13" i="8"/>
  <c r="IM13" i="8"/>
  <c r="IG13" i="8"/>
  <c r="ID13" i="8"/>
  <c r="IX13" i="8"/>
  <c r="IR13" i="8"/>
  <c r="IW13" i="8"/>
  <c r="IV13" i="8"/>
  <c r="IS13" i="8"/>
  <c r="IU13" i="8"/>
  <c r="C60" i="28"/>
  <c r="IB60" i="8"/>
  <c r="IB29" i="8"/>
  <c r="C29" i="28"/>
  <c r="BU68" i="11"/>
  <c r="H68" i="27" s="1"/>
  <c r="BG68" i="11"/>
  <c r="BH68" i="11" s="1"/>
  <c r="BI68" i="11" s="1"/>
  <c r="BM68" i="11" s="1"/>
  <c r="BP68" i="11" s="1"/>
  <c r="AZ68" i="11"/>
  <c r="AW68" i="11"/>
  <c r="CT90" i="8"/>
  <c r="CP93" i="8" s="1"/>
  <c r="AO80" i="11"/>
  <c r="AQ80" i="11" s="1"/>
  <c r="AU80" i="11" s="1"/>
  <c r="AS80" i="11"/>
  <c r="IB31" i="8"/>
  <c r="C31" i="28"/>
  <c r="DH76" i="8"/>
  <c r="DV76" i="8"/>
  <c r="DL76" i="8"/>
  <c r="DK76" i="8"/>
  <c r="DM76" i="8"/>
  <c r="DU76" i="8"/>
  <c r="DW76" i="8"/>
  <c r="DO76" i="8"/>
  <c r="DN76" i="8"/>
  <c r="DQ76" i="8"/>
  <c r="DR76" i="8"/>
  <c r="DF76" i="8"/>
  <c r="DT76" i="8"/>
  <c r="AR76" i="11"/>
  <c r="AN76" i="11"/>
  <c r="AP76" i="11" s="1"/>
  <c r="AT76" i="11" s="1"/>
  <c r="BU76" i="11"/>
  <c r="H76" i="27" s="1"/>
  <c r="AZ76" i="11"/>
  <c r="BG76" i="11"/>
  <c r="BH76" i="11" s="1"/>
  <c r="BI76" i="11" s="1"/>
  <c r="BM76" i="11" s="1"/>
  <c r="BP76" i="11" s="1"/>
  <c r="AW76" i="11"/>
  <c r="HX80" i="8"/>
  <c r="GB80" i="8"/>
  <c r="HZ80" i="8" s="1"/>
  <c r="G83" i="28"/>
  <c r="CC83" i="11"/>
  <c r="CI83" i="11" s="1"/>
  <c r="F76" i="28"/>
  <c r="BZ76" i="11"/>
  <c r="D71" i="22" s="1"/>
  <c r="Z83" i="11"/>
  <c r="AI83" i="11"/>
  <c r="BS70" i="11"/>
  <c r="I70" i="27"/>
  <c r="AS68" i="11"/>
  <c r="AO68" i="11"/>
  <c r="AQ68" i="11" s="1"/>
  <c r="AU68" i="11" s="1"/>
  <c r="II78" i="8"/>
  <c r="IP78" i="8"/>
  <c r="IH78" i="8"/>
  <c r="IV78" i="8"/>
  <c r="IJ78" i="8"/>
  <c r="IL78" i="8"/>
  <c r="IR78" i="8"/>
  <c r="IS78" i="8"/>
  <c r="IN78" i="8"/>
  <c r="IE78" i="8"/>
  <c r="IX78" i="8"/>
  <c r="IK78" i="8"/>
  <c r="IM78" i="8"/>
  <c r="IW78" i="8"/>
  <c r="IT78" i="8"/>
  <c r="IQ78" i="8"/>
  <c r="IG78" i="8"/>
  <c r="IF78" i="8"/>
  <c r="ID78" i="8"/>
  <c r="IC78" i="8"/>
  <c r="IU78" i="8"/>
  <c r="BU80" i="11"/>
  <c r="H80" i="27" s="1"/>
  <c r="AZ80" i="11"/>
  <c r="AW80" i="11"/>
  <c r="BG80" i="11"/>
  <c r="BH80" i="11" s="1"/>
  <c r="BI80" i="11" s="1"/>
  <c r="BM80" i="11" s="1"/>
  <c r="BP80" i="11" s="1"/>
  <c r="IT27" i="8"/>
  <c r="IK27" i="8"/>
  <c r="IP27" i="8"/>
  <c r="IF27" i="8"/>
  <c r="IW27" i="8"/>
  <c r="IM27" i="8"/>
  <c r="IR27" i="8"/>
  <c r="IC27" i="8"/>
  <c r="IG27" i="8"/>
  <c r="IV27" i="8"/>
  <c r="IN27" i="8"/>
  <c r="IU27" i="8"/>
  <c r="IJ27" i="8"/>
  <c r="IS27" i="8"/>
  <c r="ID27" i="8"/>
  <c r="IX27" i="8"/>
  <c r="IQ27" i="8"/>
  <c r="IE27" i="8"/>
  <c r="II27" i="8"/>
  <c r="IL27" i="8"/>
  <c r="IH27" i="8"/>
  <c r="AV76" i="11"/>
  <c r="AX76" i="11"/>
  <c r="IK33" i="8"/>
  <c r="IE33" i="8"/>
  <c r="IH33" i="8"/>
  <c r="IN33" i="8"/>
  <c r="IF33" i="8"/>
  <c r="II33" i="8"/>
  <c r="IV33" i="8"/>
  <c r="IQ33" i="8"/>
  <c r="IU33" i="8"/>
  <c r="IG33" i="8"/>
  <c r="IJ33" i="8"/>
  <c r="IW33" i="8"/>
  <c r="IM33" i="8"/>
  <c r="IC33" i="8"/>
  <c r="ID33" i="8"/>
  <c r="IX33" i="8"/>
  <c r="IL33" i="8"/>
  <c r="IT33" i="8"/>
  <c r="IR33" i="8"/>
  <c r="IP33" i="8"/>
  <c r="IS33" i="8"/>
  <c r="GP23" i="8"/>
  <c r="IX70" i="8"/>
  <c r="ID70" i="8"/>
  <c r="IC70" i="8"/>
  <c r="IP70" i="8"/>
  <c r="IQ70" i="8"/>
  <c r="IE70" i="8"/>
  <c r="IT70" i="8"/>
  <c r="IJ70" i="8"/>
  <c r="IF70" i="8"/>
  <c r="IK70" i="8"/>
  <c r="IH70" i="8"/>
  <c r="II70" i="8"/>
  <c r="IM70" i="8"/>
  <c r="IN70" i="8"/>
  <c r="IG70" i="8"/>
  <c r="IL70" i="8"/>
  <c r="IS70" i="8"/>
  <c r="IW70" i="8"/>
  <c r="IV70" i="8"/>
  <c r="IR70" i="8"/>
  <c r="IU70" i="8"/>
  <c r="IS23" i="8"/>
  <c r="IL23" i="8"/>
  <c r="II23" i="8"/>
  <c r="IQ23" i="8"/>
  <c r="IE23" i="8"/>
  <c r="IC23" i="8"/>
  <c r="ID23" i="8"/>
  <c r="IP23" i="8"/>
  <c r="IU23" i="8"/>
  <c r="IV23" i="8"/>
  <c r="IH23" i="8"/>
  <c r="IM23" i="8"/>
  <c r="IR23" i="8"/>
  <c r="IG23" i="8"/>
  <c r="IK23" i="8"/>
  <c r="IT23" i="8"/>
  <c r="IF23" i="8"/>
  <c r="IN23" i="8"/>
  <c r="IW23" i="8"/>
  <c r="IJ23" i="8"/>
  <c r="IX23" i="8"/>
  <c r="GP60" i="8"/>
  <c r="C80" i="28"/>
  <c r="IB80" i="8"/>
  <c r="IE20" i="8"/>
  <c r="IV20" i="8"/>
  <c r="IT20" i="8"/>
  <c r="IH20" i="8"/>
  <c r="IW20" i="8"/>
  <c r="IX20" i="8"/>
  <c r="II20" i="8"/>
  <c r="IK20" i="8"/>
  <c r="IP20" i="8"/>
  <c r="IU20" i="8"/>
  <c r="IS20" i="8"/>
  <c r="IF20" i="8"/>
  <c r="IL20" i="8"/>
  <c r="ID20" i="8"/>
  <c r="IJ20" i="8"/>
  <c r="IN20" i="8"/>
  <c r="IM20" i="8"/>
  <c r="IR20" i="8"/>
  <c r="IG20" i="8"/>
  <c r="IC20" i="8"/>
  <c r="IQ20" i="8"/>
  <c r="IK18" i="8"/>
  <c r="II18" i="8"/>
  <c r="IR18" i="8"/>
  <c r="IL18" i="8"/>
  <c r="IC18" i="8"/>
  <c r="IJ18" i="8"/>
  <c r="IW18" i="8"/>
  <c r="IH18" i="8"/>
  <c r="IS18" i="8"/>
  <c r="IN18" i="8"/>
  <c r="IU18" i="8"/>
  <c r="IM18" i="8"/>
  <c r="IP18" i="8"/>
  <c r="IF18" i="8"/>
  <c r="IX18" i="8"/>
  <c r="IV18" i="8"/>
  <c r="IE18" i="8"/>
  <c r="IG18" i="8"/>
  <c r="ID18" i="8"/>
  <c r="IQ18" i="8"/>
  <c r="IT18" i="8"/>
  <c r="GP29" i="8"/>
  <c r="EZ83" i="8"/>
  <c r="G45" i="28"/>
  <c r="CC45" i="11"/>
  <c r="CI45" i="11" s="1"/>
  <c r="ER44" i="8"/>
  <c r="EI90" i="8"/>
  <c r="AO53" i="11"/>
  <c r="AQ53" i="11" s="1"/>
  <c r="AU53" i="11" s="1"/>
  <c r="AS53" i="11"/>
  <c r="AU40" i="11"/>
  <c r="DU45" i="8"/>
  <c r="DV45" i="8"/>
  <c r="DK45" i="8"/>
  <c r="DM45" i="8"/>
  <c r="DH45" i="8"/>
  <c r="DL45" i="8"/>
  <c r="DQ45" i="8"/>
  <c r="DR45" i="8"/>
  <c r="DW45" i="8"/>
  <c r="DO45" i="8"/>
  <c r="DN45" i="8"/>
  <c r="DP45" i="8"/>
  <c r="DS45" i="8"/>
  <c r="G42" i="28"/>
  <c r="CC42" i="11"/>
  <c r="CI42" i="11" s="1"/>
  <c r="FG93" i="8"/>
  <c r="FP93" i="8"/>
  <c r="FM93" i="8"/>
  <c r="FK93" i="8"/>
  <c r="FH93" i="8"/>
  <c r="FN93" i="8"/>
  <c r="FI93" i="8"/>
  <c r="FF93" i="8"/>
  <c r="FO93" i="8"/>
  <c r="FQ93" i="8"/>
  <c r="FJ93" i="8"/>
  <c r="E96" i="11"/>
  <c r="CF90" i="8"/>
  <c r="AW53" i="11"/>
  <c r="BU53" i="11"/>
  <c r="H53" i="27" s="1"/>
  <c r="BG53" i="11"/>
  <c r="BH53" i="11" s="1"/>
  <c r="BI53" i="11" s="1"/>
  <c r="BM53" i="11" s="1"/>
  <c r="AZ53" i="11"/>
  <c r="BS43" i="11"/>
  <c r="CH43" i="11" s="1"/>
  <c r="GD43" i="8" s="1"/>
  <c r="HZ43" i="8" s="1"/>
  <c r="I43" i="27"/>
  <c r="FL93" i="8"/>
  <c r="AS45" i="11"/>
  <c r="AO45" i="11"/>
  <c r="AQ45" i="11" s="1"/>
  <c r="AU45" i="11" s="1"/>
  <c r="FZ44" i="8"/>
  <c r="DT53" i="8"/>
  <c r="DM53" i="8"/>
  <c r="DH53" i="8"/>
  <c r="DL53" i="8"/>
  <c r="DU53" i="8"/>
  <c r="DK53" i="8"/>
  <c r="DV53" i="8"/>
  <c r="DN53" i="8"/>
  <c r="DR53" i="8"/>
  <c r="DO53" i="8"/>
  <c r="DQ53" i="8"/>
  <c r="DW53" i="8"/>
  <c r="DS53" i="8"/>
  <c r="DP53" i="8"/>
  <c r="BU45" i="11"/>
  <c r="H45" i="27" s="1"/>
  <c r="AZ45" i="11"/>
  <c r="BG45" i="11"/>
  <c r="BH45" i="11" s="1"/>
  <c r="BI45" i="11" s="1"/>
  <c r="BM45" i="11" s="1"/>
  <c r="AW45" i="11"/>
  <c r="AG45" i="11"/>
  <c r="I42" i="27"/>
  <c r="BS42" i="11"/>
  <c r="CH42" i="11" s="1"/>
  <c r="GD42" i="8" s="1"/>
  <c r="DH43" i="8"/>
  <c r="DM43" i="8"/>
  <c r="DV43" i="8"/>
  <c r="DK43" i="8"/>
  <c r="DL43" i="8"/>
  <c r="DU43" i="8"/>
  <c r="DQ43" i="8"/>
  <c r="DR43" i="8"/>
  <c r="DN43" i="8"/>
  <c r="DW43" i="8"/>
  <c r="DO43" i="8"/>
  <c r="DP43" i="8"/>
  <c r="DS43" i="8"/>
  <c r="DT45" i="8"/>
  <c r="GP41" i="8"/>
  <c r="G40" i="28"/>
  <c r="CC40" i="11"/>
  <c r="E64" i="24"/>
  <c r="I40" i="27"/>
  <c r="BS40" i="11"/>
  <c r="G44" i="28"/>
  <c r="CC44" i="11"/>
  <c r="CI44" i="11" s="1"/>
  <c r="G43" i="28"/>
  <c r="CC43" i="11"/>
  <c r="CI43" i="11" s="1"/>
  <c r="W44" i="11"/>
  <c r="AK44" i="11"/>
  <c r="CC53" i="11"/>
  <c r="CI53" i="11" s="1"/>
  <c r="G53" i="28"/>
  <c r="AP40" i="11"/>
  <c r="D104" i="11"/>
  <c r="IK41" i="8"/>
  <c r="IJ41" i="8"/>
  <c r="IM41" i="8"/>
  <c r="IF41" i="8"/>
  <c r="IT41" i="8"/>
  <c r="IV41" i="8"/>
  <c r="ID41" i="8"/>
  <c r="II41" i="8"/>
  <c r="IN41" i="8"/>
  <c r="IE41" i="8"/>
  <c r="IS41" i="8"/>
  <c r="IG41" i="8"/>
  <c r="IL41" i="8"/>
  <c r="IQ41" i="8"/>
  <c r="IX41" i="8"/>
  <c r="IW41" i="8"/>
  <c r="IU41" i="8"/>
  <c r="IH41" i="8"/>
  <c r="IC41" i="8"/>
  <c r="IP41" i="8"/>
  <c r="IR41" i="8"/>
  <c r="IQ8" i="8"/>
  <c r="IK8" i="8"/>
  <c r="IH8" i="8"/>
  <c r="IE8" i="8"/>
  <c r="IJ8" i="8"/>
  <c r="II8" i="8"/>
  <c r="IL8" i="8"/>
  <c r="IP8" i="8"/>
  <c r="IG8" i="8"/>
  <c r="ID8" i="8"/>
  <c r="IN8" i="8"/>
  <c r="IM8" i="8"/>
  <c r="IT8" i="8"/>
  <c r="IX8" i="8"/>
  <c r="IC8" i="8"/>
  <c r="IF8" i="8"/>
  <c r="IW8" i="8"/>
  <c r="IR8" i="8"/>
  <c r="IS8" i="8"/>
  <c r="IV8" i="8"/>
  <c r="IU8" i="8"/>
  <c r="D63" i="22" l="1"/>
  <c r="A101" i="22"/>
  <c r="C100" i="22"/>
  <c r="E100" i="22" s="1"/>
  <c r="B100" i="22"/>
  <c r="D100" i="22" s="1"/>
  <c r="DW82" i="8"/>
  <c r="DV82" i="8"/>
  <c r="DR82" i="8"/>
  <c r="DH82" i="8"/>
  <c r="DO82" i="8"/>
  <c r="DU82" i="8"/>
  <c r="DK82" i="8"/>
  <c r="DN82" i="8"/>
  <c r="DP82" i="8"/>
  <c r="DS82" i="8"/>
  <c r="DT82" i="8"/>
  <c r="DL82" i="8"/>
  <c r="DM82" i="8"/>
  <c r="DQ82" i="8"/>
  <c r="EW82" i="8"/>
  <c r="ET82" i="8"/>
  <c r="EY82" i="8"/>
  <c r="EV82" i="8"/>
  <c r="FA82" i="8"/>
  <c r="EU82" i="8"/>
  <c r="D59" i="22"/>
  <c r="CC82" i="11"/>
  <c r="CI82" i="11" s="1"/>
  <c r="G82" i="28"/>
  <c r="B21" i="24"/>
  <c r="A22" i="24"/>
  <c r="F21" i="24"/>
  <c r="D21" i="24"/>
  <c r="H21" i="24"/>
  <c r="B72" i="24"/>
  <c r="F72" i="24"/>
  <c r="A73" i="24"/>
  <c r="H72" i="24"/>
  <c r="D72" i="24"/>
  <c r="C72" i="24"/>
  <c r="EZ82" i="8"/>
  <c r="A20" i="22"/>
  <c r="E19" i="22"/>
  <c r="C19" i="22"/>
  <c r="G19" i="22"/>
  <c r="HX82" i="8"/>
  <c r="GB82" i="8"/>
  <c r="HZ82" i="8" s="1"/>
  <c r="E58" i="24"/>
  <c r="Z82" i="11"/>
  <c r="AI82" i="11"/>
  <c r="C102" i="24"/>
  <c r="E102" i="24" s="1"/>
  <c r="B102" i="24"/>
  <c r="D102" i="24" s="1"/>
  <c r="EX82" i="8"/>
  <c r="G72" i="22"/>
  <c r="A73" i="22"/>
  <c r="E72" i="22"/>
  <c r="C72" i="22"/>
  <c r="B72" i="22"/>
  <c r="CT93" i="8"/>
  <c r="II30" i="8"/>
  <c r="IN30" i="8"/>
  <c r="IR30" i="8"/>
  <c r="IH30" i="8"/>
  <c r="IJ30" i="8"/>
  <c r="IG30" i="8"/>
  <c r="IC30" i="8"/>
  <c r="ID30" i="8"/>
  <c r="IU30" i="8"/>
  <c r="IF30" i="8"/>
  <c r="IX30" i="8"/>
  <c r="IL30" i="8"/>
  <c r="IQ30" i="8"/>
  <c r="IK30" i="8"/>
  <c r="IM30" i="8"/>
  <c r="IT30" i="8"/>
  <c r="IS30" i="8"/>
  <c r="IV30" i="8"/>
  <c r="IW30" i="8"/>
  <c r="IE30" i="8"/>
  <c r="IP30" i="8"/>
  <c r="I73" i="27"/>
  <c r="BS73" i="11"/>
  <c r="BS79" i="11"/>
  <c r="I79" i="27"/>
  <c r="IS48" i="8"/>
  <c r="ID48" i="8"/>
  <c r="IH48" i="8"/>
  <c r="II48" i="8"/>
  <c r="IR48" i="8"/>
  <c r="IW48" i="8"/>
  <c r="IK48" i="8"/>
  <c r="IL48" i="8"/>
  <c r="IN48" i="8"/>
  <c r="IQ48" i="8"/>
  <c r="IT48" i="8"/>
  <c r="IU48" i="8"/>
  <c r="IX48" i="8"/>
  <c r="IC48" i="8"/>
  <c r="IJ48" i="8"/>
  <c r="IM48" i="8"/>
  <c r="IF48" i="8"/>
  <c r="IV48" i="8"/>
  <c r="IP48" i="8"/>
  <c r="IE48" i="8"/>
  <c r="IG48" i="8"/>
  <c r="IL79" i="8"/>
  <c r="IX79" i="8"/>
  <c r="IK79" i="8"/>
  <c r="IT79" i="8"/>
  <c r="IN79" i="8"/>
  <c r="IW79" i="8"/>
  <c r="IJ79" i="8"/>
  <c r="IV79" i="8"/>
  <c r="ID79" i="8"/>
  <c r="IQ79" i="8"/>
  <c r="IM79" i="8"/>
  <c r="IS79" i="8"/>
  <c r="II79" i="8"/>
  <c r="IF79" i="8"/>
  <c r="IU79" i="8"/>
  <c r="IE79" i="8"/>
  <c r="IC79" i="8"/>
  <c r="IP79" i="8"/>
  <c r="IH79" i="8"/>
  <c r="IG79" i="8"/>
  <c r="IR79" i="8"/>
  <c r="AS75" i="11"/>
  <c r="AO75" i="11"/>
  <c r="AQ75" i="11" s="1"/>
  <c r="AU75" i="11" s="1"/>
  <c r="C75" i="28"/>
  <c r="IB75" i="8"/>
  <c r="BG75" i="11"/>
  <c r="BH75" i="11" s="1"/>
  <c r="BI75" i="11" s="1"/>
  <c r="BM75" i="11" s="1"/>
  <c r="BP75" i="11" s="1"/>
  <c r="AW75" i="11"/>
  <c r="AZ75" i="11"/>
  <c r="BU75" i="11"/>
  <c r="H75" i="27" s="1"/>
  <c r="GP65" i="8"/>
  <c r="IU73" i="8"/>
  <c r="IK73" i="8"/>
  <c r="IC73" i="8"/>
  <c r="IM73" i="8"/>
  <c r="IV73" i="8"/>
  <c r="IW73" i="8"/>
  <c r="IF73" i="8"/>
  <c r="IJ73" i="8"/>
  <c r="IP73" i="8"/>
  <c r="IN73" i="8"/>
  <c r="ID73" i="8"/>
  <c r="IS73" i="8"/>
  <c r="IT73" i="8"/>
  <c r="IL73" i="8"/>
  <c r="IG73" i="8"/>
  <c r="IH73" i="8"/>
  <c r="IE73" i="8"/>
  <c r="IX73" i="8"/>
  <c r="IQ73" i="8"/>
  <c r="IR73" i="8"/>
  <c r="II73" i="8"/>
  <c r="E65" i="24"/>
  <c r="D68" i="22"/>
  <c r="D77" i="22"/>
  <c r="E60" i="24"/>
  <c r="D73" i="22"/>
  <c r="D62" i="22"/>
  <c r="E66" i="24"/>
  <c r="E77" i="24"/>
  <c r="D67" i="22"/>
  <c r="E73" i="24"/>
  <c r="E71" i="24"/>
  <c r="D72" i="22"/>
  <c r="D69" i="22"/>
  <c r="D70" i="22"/>
  <c r="E67" i="24"/>
  <c r="E68" i="24"/>
  <c r="E59" i="24"/>
  <c r="E61" i="24"/>
  <c r="E63" i="24"/>
  <c r="AN35" i="18"/>
  <c r="AN16" i="18"/>
  <c r="CS93" i="8"/>
  <c r="D65" i="22"/>
  <c r="D66" i="22"/>
  <c r="E70" i="24"/>
  <c r="D61" i="22"/>
  <c r="E57" i="24"/>
  <c r="E69" i="24"/>
  <c r="CK93" i="8"/>
  <c r="D58" i="22"/>
  <c r="D60" i="22"/>
  <c r="E72" i="24"/>
  <c r="E62" i="24"/>
  <c r="CO93" i="8"/>
  <c r="D64" i="22"/>
  <c r="CJ93" i="8"/>
  <c r="CM93" i="8"/>
  <c r="DK90" i="8"/>
  <c r="GP66" i="8"/>
  <c r="D57" i="22"/>
  <c r="GE84" i="8"/>
  <c r="HS84" i="8"/>
  <c r="HR84" i="8"/>
  <c r="HX84" i="8"/>
  <c r="GJ84" i="8"/>
  <c r="HF84" i="8"/>
  <c r="HY84" i="8"/>
  <c r="HG84" i="8"/>
  <c r="GN84" i="8"/>
  <c r="HZ84" i="8"/>
  <c r="HQ84" i="8"/>
  <c r="GS84" i="8"/>
  <c r="GR84" i="8"/>
  <c r="HO84" i="8"/>
  <c r="HW84" i="8"/>
  <c r="GV84" i="8"/>
  <c r="GG84" i="8"/>
  <c r="GL84" i="8"/>
  <c r="HC84" i="8"/>
  <c r="GI84" i="8"/>
  <c r="GO84" i="8"/>
  <c r="HH84" i="8"/>
  <c r="HE84" i="8"/>
  <c r="GM84" i="8"/>
  <c r="HK84" i="8"/>
  <c r="HM84" i="8"/>
  <c r="GW84" i="8"/>
  <c r="HA84" i="8"/>
  <c r="HT84" i="8"/>
  <c r="HI84" i="8"/>
  <c r="HU84" i="8"/>
  <c r="HJ84" i="8"/>
  <c r="GK84" i="8"/>
  <c r="GY84" i="8"/>
  <c r="GH84" i="8"/>
  <c r="GZ84" i="8"/>
  <c r="HB84" i="8"/>
  <c r="HV84" i="8"/>
  <c r="HL84" i="8"/>
  <c r="GU84" i="8"/>
  <c r="GF84" i="8"/>
  <c r="GX84" i="8"/>
  <c r="GT84" i="8"/>
  <c r="HN84" i="8"/>
  <c r="IH84" i="8"/>
  <c r="IK84" i="8"/>
  <c r="ID84" i="8"/>
  <c r="IM84" i="8"/>
  <c r="IJ84" i="8"/>
  <c r="IT84" i="8"/>
  <c r="IF84" i="8"/>
  <c r="IC84" i="8"/>
  <c r="IP84" i="8"/>
  <c r="IQ84" i="8"/>
  <c r="II84" i="8"/>
  <c r="IN84" i="8"/>
  <c r="IL84" i="8"/>
  <c r="IG84" i="8"/>
  <c r="IE84" i="8"/>
  <c r="IX84" i="8"/>
  <c r="IW84" i="8"/>
  <c r="IV84" i="8"/>
  <c r="IR84" i="8"/>
  <c r="IS84" i="8"/>
  <c r="IU84" i="8"/>
  <c r="BS72" i="11"/>
  <c r="I72" i="27"/>
  <c r="GP21" i="8"/>
  <c r="II21" i="8"/>
  <c r="IS21" i="8"/>
  <c r="IC21" i="8"/>
  <c r="IU21" i="8"/>
  <c r="IE21" i="8"/>
  <c r="IQ21" i="8"/>
  <c r="IN21" i="8"/>
  <c r="IL21" i="8"/>
  <c r="IV21" i="8"/>
  <c r="IT21" i="8"/>
  <c r="IP21" i="8"/>
  <c r="IW21" i="8"/>
  <c r="IX21" i="8"/>
  <c r="IF21" i="8"/>
  <c r="IJ21" i="8"/>
  <c r="IM21" i="8"/>
  <c r="IH21" i="8"/>
  <c r="ID21" i="8"/>
  <c r="IK21" i="8"/>
  <c r="IR21" i="8"/>
  <c r="IG21" i="8"/>
  <c r="IV64" i="8"/>
  <c r="IN64" i="8"/>
  <c r="IJ64" i="8"/>
  <c r="IC64" i="8"/>
  <c r="IG64" i="8"/>
  <c r="IX64" i="8"/>
  <c r="ID64" i="8"/>
  <c r="IT64" i="8"/>
  <c r="II64" i="8"/>
  <c r="IR64" i="8"/>
  <c r="IF64" i="8"/>
  <c r="IK64" i="8"/>
  <c r="IH64" i="8"/>
  <c r="IS64" i="8"/>
  <c r="IP64" i="8"/>
  <c r="IW64" i="8"/>
  <c r="IE64" i="8"/>
  <c r="IL64" i="8"/>
  <c r="IQ64" i="8"/>
  <c r="IM64" i="8"/>
  <c r="IU64" i="8"/>
  <c r="IL72" i="8"/>
  <c r="IP72" i="8"/>
  <c r="IT72" i="8"/>
  <c r="IK72" i="8"/>
  <c r="IS72" i="8"/>
  <c r="IG72" i="8"/>
  <c r="IM72" i="8"/>
  <c r="IV72" i="8"/>
  <c r="IJ72" i="8"/>
  <c r="IF72" i="8"/>
  <c r="IH72" i="8"/>
  <c r="IE72" i="8"/>
  <c r="IQ72" i="8"/>
  <c r="ID72" i="8"/>
  <c r="IW72" i="8"/>
  <c r="IC72" i="8"/>
  <c r="IN72" i="8"/>
  <c r="IX72" i="8"/>
  <c r="IR72" i="8"/>
  <c r="IU72" i="8"/>
  <c r="II72" i="8"/>
  <c r="GP64" i="8"/>
  <c r="DT90" i="8"/>
  <c r="DR90" i="8"/>
  <c r="DW90" i="8"/>
  <c r="DN90" i="8"/>
  <c r="CH93" i="8"/>
  <c r="DU90" i="8"/>
  <c r="CI93" i="8"/>
  <c r="G76" i="28"/>
  <c r="CC76" i="11"/>
  <c r="CI76" i="11" s="1"/>
  <c r="I68" i="27"/>
  <c r="BS68" i="11"/>
  <c r="IN60" i="8"/>
  <c r="II60" i="8"/>
  <c r="IJ60" i="8"/>
  <c r="IK60" i="8"/>
  <c r="IX60" i="8"/>
  <c r="IG60" i="8"/>
  <c r="IF60" i="8"/>
  <c r="ID60" i="8"/>
  <c r="IQ60" i="8"/>
  <c r="IC60" i="8"/>
  <c r="IE60" i="8"/>
  <c r="IM60" i="8"/>
  <c r="IP60" i="8"/>
  <c r="IT60" i="8"/>
  <c r="IH60" i="8"/>
  <c r="IL60" i="8"/>
  <c r="IV60" i="8"/>
  <c r="IR60" i="8"/>
  <c r="IW60" i="8"/>
  <c r="IS60" i="8"/>
  <c r="IU60" i="8"/>
  <c r="I80" i="27"/>
  <c r="BS80" i="11"/>
  <c r="DS90" i="8"/>
  <c r="DO90" i="8"/>
  <c r="DP90" i="8"/>
  <c r="DQ90" i="8"/>
  <c r="DL90" i="8"/>
  <c r="DV90" i="8"/>
  <c r="IR80" i="8"/>
  <c r="IC80" i="8"/>
  <c r="IV80" i="8"/>
  <c r="ID80" i="8"/>
  <c r="IW80" i="8"/>
  <c r="IF80" i="8"/>
  <c r="IS80" i="8"/>
  <c r="IH80" i="8"/>
  <c r="IG80" i="8"/>
  <c r="IK80" i="8"/>
  <c r="IJ80" i="8"/>
  <c r="IE80" i="8"/>
  <c r="IQ80" i="8"/>
  <c r="IL80" i="8"/>
  <c r="IN80" i="8"/>
  <c r="IT80" i="8"/>
  <c r="II80" i="8"/>
  <c r="IU80" i="8"/>
  <c r="IM80" i="8"/>
  <c r="IX80" i="8"/>
  <c r="IP80" i="8"/>
  <c r="AS83" i="11"/>
  <c r="AO83" i="11"/>
  <c r="AQ83" i="11" s="1"/>
  <c r="AU83" i="11" s="1"/>
  <c r="C83" i="28"/>
  <c r="IB83" i="8"/>
  <c r="II31" i="8"/>
  <c r="ID31" i="8"/>
  <c r="IX31" i="8"/>
  <c r="IP31" i="8"/>
  <c r="IC31" i="8"/>
  <c r="IM31" i="8"/>
  <c r="IW31" i="8"/>
  <c r="IK31" i="8"/>
  <c r="IL31" i="8"/>
  <c r="IU31" i="8"/>
  <c r="IG31" i="8"/>
  <c r="IT31" i="8"/>
  <c r="IN31" i="8"/>
  <c r="IV31" i="8"/>
  <c r="IE31" i="8"/>
  <c r="IS31" i="8"/>
  <c r="IR31" i="8"/>
  <c r="IQ31" i="8"/>
  <c r="IF31" i="8"/>
  <c r="IJ31" i="8"/>
  <c r="IH31" i="8"/>
  <c r="IF68" i="8"/>
  <c r="IQ68" i="8"/>
  <c r="IG68" i="8"/>
  <c r="IH68" i="8"/>
  <c r="II68" i="8"/>
  <c r="IN68" i="8"/>
  <c r="IP68" i="8"/>
  <c r="IX68" i="8"/>
  <c r="ID68" i="8"/>
  <c r="IE68" i="8"/>
  <c r="IC68" i="8"/>
  <c r="IL68" i="8"/>
  <c r="IM68" i="8"/>
  <c r="IJ68" i="8"/>
  <c r="IK68" i="8"/>
  <c r="IT68" i="8"/>
  <c r="IS68" i="8"/>
  <c r="IR68" i="8"/>
  <c r="IV68" i="8"/>
  <c r="IW68" i="8"/>
  <c r="IU68" i="8"/>
  <c r="CR93" i="8"/>
  <c r="CV93" i="8"/>
  <c r="CQ93" i="8"/>
  <c r="CN93" i="8"/>
  <c r="CL93" i="8"/>
  <c r="DM90" i="8"/>
  <c r="AZ83" i="11"/>
  <c r="AW83" i="11"/>
  <c r="BG83" i="11"/>
  <c r="BH83" i="11" s="1"/>
  <c r="BI83" i="11" s="1"/>
  <c r="BM83" i="11" s="1"/>
  <c r="BP83" i="11" s="1"/>
  <c r="BU83" i="11"/>
  <c r="H83" i="27" s="1"/>
  <c r="I76" i="27"/>
  <c r="BS76" i="11"/>
  <c r="IF29" i="8"/>
  <c r="II29" i="8"/>
  <c r="IT29" i="8"/>
  <c r="IQ29" i="8"/>
  <c r="IM29" i="8"/>
  <c r="IX29" i="8"/>
  <c r="IN29" i="8"/>
  <c r="IG29" i="8"/>
  <c r="IJ29" i="8"/>
  <c r="IC29" i="8"/>
  <c r="ID29" i="8"/>
  <c r="IL29" i="8"/>
  <c r="IE29" i="8"/>
  <c r="IP29" i="8"/>
  <c r="IK29" i="8"/>
  <c r="IH29" i="8"/>
  <c r="IR29" i="8"/>
  <c r="IW29" i="8"/>
  <c r="IS29" i="8"/>
  <c r="IV29" i="8"/>
  <c r="IU29" i="8"/>
  <c r="HX83" i="8"/>
  <c r="GB83" i="8"/>
  <c r="HZ83" i="8" s="1"/>
  <c r="IB53" i="8"/>
  <c r="C53" i="28"/>
  <c r="IB44" i="8"/>
  <c r="C44" i="28"/>
  <c r="CH40" i="11"/>
  <c r="GD40" i="8" s="1"/>
  <c r="CI40" i="11"/>
  <c r="F61" i="22"/>
  <c r="G71" i="24"/>
  <c r="G70" i="24"/>
  <c r="F72" i="22"/>
  <c r="CW53" i="11"/>
  <c r="BP53" i="11"/>
  <c r="DY93" i="8"/>
  <c r="EI93" i="8"/>
  <c r="EC93" i="8"/>
  <c r="DZ93" i="8"/>
  <c r="EA93" i="8"/>
  <c r="EG93" i="8"/>
  <c r="ED93" i="8"/>
  <c r="EE93" i="8"/>
  <c r="EH93" i="8"/>
  <c r="EB93" i="8"/>
  <c r="EF93" i="8"/>
  <c r="C43" i="28"/>
  <c r="IB43" i="8"/>
  <c r="E102" i="11"/>
  <c r="AT40" i="11"/>
  <c r="D97" i="11"/>
  <c r="Z44" i="11"/>
  <c r="AG44" i="11" s="1"/>
  <c r="AI44" i="11"/>
  <c r="GB44" i="8"/>
  <c r="FZ90" i="8"/>
  <c r="IB42" i="8"/>
  <c r="C42" i="28"/>
  <c r="EW44" i="8"/>
  <c r="EY44" i="8"/>
  <c r="EV44" i="8"/>
  <c r="ET44" i="8"/>
  <c r="EU44" i="8"/>
  <c r="FA44" i="8"/>
  <c r="EX44" i="8"/>
  <c r="EZ44" i="8"/>
  <c r="GR43" i="8"/>
  <c r="GE43" i="8"/>
  <c r="GW43" i="8"/>
  <c r="GX43" i="8"/>
  <c r="HI43" i="8"/>
  <c r="HB43" i="8"/>
  <c r="GH43" i="8"/>
  <c r="HQ43" i="8"/>
  <c r="HG43" i="8"/>
  <c r="GV43" i="8"/>
  <c r="HC43" i="8"/>
  <c r="HS43" i="8"/>
  <c r="GZ43" i="8"/>
  <c r="GI43" i="8"/>
  <c r="GG43" i="8"/>
  <c r="HV43" i="8"/>
  <c r="HJ43" i="8"/>
  <c r="HA43" i="8"/>
  <c r="GN43" i="8"/>
  <c r="GT43" i="8"/>
  <c r="GS43" i="8"/>
  <c r="GO43" i="8"/>
  <c r="GJ43" i="8"/>
  <c r="GU43" i="8"/>
  <c r="GY43" i="8"/>
  <c r="HE43" i="8"/>
  <c r="GL43" i="8"/>
  <c r="HF43" i="8"/>
  <c r="GF43" i="8"/>
  <c r="GM43" i="8"/>
  <c r="HM43" i="8"/>
  <c r="HR43" i="8"/>
  <c r="GK43" i="8"/>
  <c r="HY43" i="8"/>
  <c r="HK43" i="8"/>
  <c r="HO43" i="8"/>
  <c r="HW43" i="8"/>
  <c r="HH43" i="8"/>
  <c r="HT43" i="8"/>
  <c r="HL43" i="8"/>
  <c r="HU43" i="8"/>
  <c r="HN43" i="8"/>
  <c r="HX43" i="8"/>
  <c r="GI42" i="8"/>
  <c r="GV42" i="8"/>
  <c r="GM42" i="8"/>
  <c r="HA42" i="8"/>
  <c r="GY42" i="8"/>
  <c r="GS42" i="8"/>
  <c r="HE42" i="8"/>
  <c r="GE42" i="8"/>
  <c r="HY42" i="8"/>
  <c r="GR42" i="8"/>
  <c r="GZ42" i="8"/>
  <c r="HI42" i="8"/>
  <c r="HR42" i="8"/>
  <c r="HM42" i="8"/>
  <c r="GK42" i="8"/>
  <c r="GL42" i="8"/>
  <c r="HV42" i="8"/>
  <c r="GX42" i="8"/>
  <c r="GJ42" i="8"/>
  <c r="HK42" i="8"/>
  <c r="HG42" i="8"/>
  <c r="HJ42" i="8"/>
  <c r="GG42" i="8"/>
  <c r="GW42" i="8"/>
  <c r="HH42" i="8"/>
  <c r="GN42" i="8"/>
  <c r="HF42" i="8"/>
  <c r="GF42" i="8"/>
  <c r="HS42" i="8"/>
  <c r="HQ42" i="8"/>
  <c r="GT42" i="8"/>
  <c r="HO42" i="8"/>
  <c r="HB42" i="8"/>
  <c r="GU42" i="8"/>
  <c r="GH42" i="8"/>
  <c r="GO42" i="8"/>
  <c r="HC42" i="8"/>
  <c r="HW42" i="8"/>
  <c r="HL42" i="8"/>
  <c r="HT42" i="8"/>
  <c r="HU42" i="8"/>
  <c r="HN42" i="8"/>
  <c r="HX42" i="8"/>
  <c r="HZ42" i="8"/>
  <c r="CW45" i="11"/>
  <c r="BP45" i="11"/>
  <c r="IB45" i="8"/>
  <c r="C45" i="28"/>
  <c r="G73" i="24" l="1"/>
  <c r="G67" i="24"/>
  <c r="G59" i="24"/>
  <c r="G77" i="24"/>
  <c r="F70" i="22"/>
  <c r="G60" i="24"/>
  <c r="G66" i="24"/>
  <c r="AO82" i="11"/>
  <c r="AQ82" i="11" s="1"/>
  <c r="AU82" i="11" s="1"/>
  <c r="AS82" i="11"/>
  <c r="E20" i="22"/>
  <c r="A21" i="22"/>
  <c r="C20" i="22"/>
  <c r="G20" i="22"/>
  <c r="IB82" i="8"/>
  <c r="C82" i="28"/>
  <c r="C101" i="22"/>
  <c r="E101" i="22" s="1"/>
  <c r="A102" i="22"/>
  <c r="B101" i="22"/>
  <c r="D101" i="22" s="1"/>
  <c r="G69" i="24"/>
  <c r="F69" i="22"/>
  <c r="G68" i="24"/>
  <c r="F63" i="22"/>
  <c r="F77" i="22"/>
  <c r="AW82" i="11"/>
  <c r="BG82" i="11"/>
  <c r="BH82" i="11" s="1"/>
  <c r="BI82" i="11" s="1"/>
  <c r="BM82" i="11" s="1"/>
  <c r="BP82" i="11" s="1"/>
  <c r="AZ82" i="11"/>
  <c r="BU82" i="11"/>
  <c r="H82" i="27" s="1"/>
  <c r="B73" i="24"/>
  <c r="A74" i="24"/>
  <c r="H73" i="24"/>
  <c r="F73" i="24"/>
  <c r="D73" i="24"/>
  <c r="C73" i="24"/>
  <c r="G61" i="24"/>
  <c r="F57" i="22"/>
  <c r="A74" i="22"/>
  <c r="E73" i="22"/>
  <c r="G73" i="22"/>
  <c r="C73" i="22"/>
  <c r="B73" i="22"/>
  <c r="F22" i="24"/>
  <c r="B22" i="24"/>
  <c r="A23" i="24"/>
  <c r="D22" i="24"/>
  <c r="H22" i="24"/>
  <c r="F68" i="22"/>
  <c r="F62" i="22"/>
  <c r="G72" i="24"/>
  <c r="G64" i="24"/>
  <c r="BS75" i="11"/>
  <c r="I75" i="27"/>
  <c r="F66" i="22"/>
  <c r="F73" i="22"/>
  <c r="II75" i="8"/>
  <c r="IP75" i="8"/>
  <c r="IN75" i="8"/>
  <c r="IX75" i="8"/>
  <c r="IL75" i="8"/>
  <c r="IM75" i="8"/>
  <c r="IW75" i="8"/>
  <c r="IG75" i="8"/>
  <c r="IS75" i="8"/>
  <c r="IH75" i="8"/>
  <c r="IF75" i="8"/>
  <c r="IV75" i="8"/>
  <c r="ID75" i="8"/>
  <c r="IJ75" i="8"/>
  <c r="IR75" i="8"/>
  <c r="IK75" i="8"/>
  <c r="IU75" i="8"/>
  <c r="IE75" i="8"/>
  <c r="IC75" i="8"/>
  <c r="IQ75" i="8"/>
  <c r="IT75" i="8"/>
  <c r="G65" i="24"/>
  <c r="F59" i="22"/>
  <c r="F71" i="22"/>
  <c r="F60" i="22"/>
  <c r="G63" i="24"/>
  <c r="F67" i="22"/>
  <c r="G57" i="24"/>
  <c r="F74" i="22"/>
  <c r="G58" i="24"/>
  <c r="F65" i="22"/>
  <c r="F64" i="22"/>
  <c r="F58" i="22"/>
  <c r="G62" i="24"/>
  <c r="GP84" i="8"/>
  <c r="I83" i="27"/>
  <c r="BS83" i="11"/>
  <c r="II83" i="8"/>
  <c r="IR83" i="8"/>
  <c r="IG83" i="8"/>
  <c r="IN83" i="8"/>
  <c r="ID83" i="8"/>
  <c r="IU83" i="8"/>
  <c r="IF83" i="8"/>
  <c r="IC83" i="8"/>
  <c r="IV83" i="8"/>
  <c r="IH83" i="8"/>
  <c r="IM83" i="8"/>
  <c r="IK83" i="8"/>
  <c r="IX83" i="8"/>
  <c r="IS83" i="8"/>
  <c r="IJ83" i="8"/>
  <c r="IL83" i="8"/>
  <c r="IP83" i="8"/>
  <c r="IW83" i="8"/>
  <c r="IE83" i="8"/>
  <c r="IQ83" i="8"/>
  <c r="IT83" i="8"/>
  <c r="IB76" i="8"/>
  <c r="C76" i="28"/>
  <c r="GP42" i="8"/>
  <c r="D100" i="11"/>
  <c r="D98" i="11"/>
  <c r="IM44" i="8"/>
  <c r="II44" i="8"/>
  <c r="IR44" i="8"/>
  <c r="IG44" i="8"/>
  <c r="IV44" i="8"/>
  <c r="IQ44" i="8"/>
  <c r="IC44" i="8"/>
  <c r="IX44" i="8"/>
  <c r="IN44" i="8"/>
  <c r="IK44" i="8"/>
  <c r="IJ44" i="8"/>
  <c r="IU44" i="8"/>
  <c r="ID44" i="8"/>
  <c r="IL44" i="8"/>
  <c r="IF44" i="8"/>
  <c r="IS44" i="8"/>
  <c r="IE44" i="8"/>
  <c r="IW44" i="8"/>
  <c r="IP44" i="8"/>
  <c r="IT44" i="8"/>
  <c r="IH44" i="8"/>
  <c r="IX53" i="8"/>
  <c r="ID53" i="8"/>
  <c r="IH53" i="8"/>
  <c r="IF53" i="8"/>
  <c r="IR53" i="8"/>
  <c r="IC53" i="8"/>
  <c r="II53" i="8"/>
  <c r="IN53" i="8"/>
  <c r="IK53" i="8"/>
  <c r="IW53" i="8"/>
  <c r="IM53" i="8"/>
  <c r="IL53" i="8"/>
  <c r="IQ53" i="8"/>
  <c r="IJ53" i="8"/>
  <c r="IV53" i="8"/>
  <c r="IE53" i="8"/>
  <c r="IG53" i="8"/>
  <c r="IP53" i="8"/>
  <c r="IT53" i="8"/>
  <c r="IS53" i="8"/>
  <c r="IU53" i="8"/>
  <c r="IP45" i="8"/>
  <c r="IL45" i="8"/>
  <c r="II45" i="8"/>
  <c r="IV45" i="8"/>
  <c r="IQ45" i="8"/>
  <c r="IG45" i="8"/>
  <c r="IS45" i="8"/>
  <c r="IR45" i="8"/>
  <c r="IC45" i="8"/>
  <c r="IN45" i="8"/>
  <c r="IJ45" i="8"/>
  <c r="IW45" i="8"/>
  <c r="IH45" i="8"/>
  <c r="IE45" i="8"/>
  <c r="ID45" i="8"/>
  <c r="IM45" i="8"/>
  <c r="IX45" i="8"/>
  <c r="IT45" i="8"/>
  <c r="IF45" i="8"/>
  <c r="IK45" i="8"/>
  <c r="IU45" i="8"/>
  <c r="GB90" i="8"/>
  <c r="AO44" i="11"/>
  <c r="AS44" i="11"/>
  <c r="E99" i="11"/>
  <c r="E101" i="11" s="1"/>
  <c r="HW40" i="8"/>
  <c r="HK40" i="8"/>
  <c r="HV40" i="8"/>
  <c r="HJ40" i="8"/>
  <c r="GZ40" i="8"/>
  <c r="GM40" i="8"/>
  <c r="GV40" i="8"/>
  <c r="HE40" i="8"/>
  <c r="HL40" i="8"/>
  <c r="GW40" i="8"/>
  <c r="HT40" i="8"/>
  <c r="GT40" i="8"/>
  <c r="GS40" i="8"/>
  <c r="HR40" i="8"/>
  <c r="HI40" i="8"/>
  <c r="HQ40" i="8"/>
  <c r="GK40" i="8"/>
  <c r="HH40" i="8"/>
  <c r="HB40" i="8"/>
  <c r="GG40" i="8"/>
  <c r="HY40" i="8"/>
  <c r="HA40" i="8"/>
  <c r="HO40" i="8"/>
  <c r="HU40" i="8"/>
  <c r="GO40" i="8"/>
  <c r="GR40" i="8"/>
  <c r="GU40" i="8"/>
  <c r="HF40" i="8"/>
  <c r="GH40" i="8"/>
  <c r="GE40" i="8"/>
  <c r="GN40" i="8"/>
  <c r="GJ40" i="8"/>
  <c r="GL40" i="8"/>
  <c r="GX40" i="8"/>
  <c r="HM40" i="8"/>
  <c r="HS40" i="8"/>
  <c r="GI40" i="8"/>
  <c r="GY40" i="8"/>
  <c r="HG40" i="8"/>
  <c r="HC40" i="8"/>
  <c r="GF40" i="8"/>
  <c r="HN40" i="8"/>
  <c r="HX40" i="8"/>
  <c r="HZ40" i="8"/>
  <c r="BS45" i="11"/>
  <c r="CH45" i="11" s="1"/>
  <c r="GD45" i="8" s="1"/>
  <c r="I45" i="27"/>
  <c r="GP43" i="8"/>
  <c r="IS42" i="8"/>
  <c r="IC42" i="8"/>
  <c r="IJ42" i="8"/>
  <c r="IP42" i="8"/>
  <c r="ID42" i="8"/>
  <c r="IQ42" i="8"/>
  <c r="IG42" i="8"/>
  <c r="IE42" i="8"/>
  <c r="II42" i="8"/>
  <c r="IH42" i="8"/>
  <c r="IK42" i="8"/>
  <c r="IT42" i="8"/>
  <c r="IL42" i="8"/>
  <c r="IF42" i="8"/>
  <c r="IN42" i="8"/>
  <c r="IX42" i="8"/>
  <c r="IV42" i="8"/>
  <c r="IW42" i="8"/>
  <c r="IM42" i="8"/>
  <c r="IR42" i="8"/>
  <c r="IU42" i="8"/>
  <c r="AW44" i="11"/>
  <c r="BG44" i="11"/>
  <c r="BH44" i="11" s="1"/>
  <c r="BI44" i="11" s="1"/>
  <c r="BM44" i="11" s="1"/>
  <c r="BU44" i="11"/>
  <c r="AZ44" i="11"/>
  <c r="IM43" i="8"/>
  <c r="IX43" i="8"/>
  <c r="IH43" i="8"/>
  <c r="IN43" i="8"/>
  <c r="IK43" i="8"/>
  <c r="ID43" i="8"/>
  <c r="II43" i="8"/>
  <c r="IP43" i="8"/>
  <c r="IS43" i="8"/>
  <c r="IQ43" i="8"/>
  <c r="IJ43" i="8"/>
  <c r="IE43" i="8"/>
  <c r="IC43" i="8"/>
  <c r="IW43" i="8"/>
  <c r="IG43" i="8"/>
  <c r="IF43" i="8"/>
  <c r="IL43" i="8"/>
  <c r="IT43" i="8"/>
  <c r="IR43" i="8"/>
  <c r="IV43" i="8"/>
  <c r="IU43" i="8"/>
  <c r="I53" i="27"/>
  <c r="BS53" i="11"/>
  <c r="CH53" i="11" s="1"/>
  <c r="GD53" i="8" s="1"/>
  <c r="IB40" i="8"/>
  <c r="C40" i="28"/>
  <c r="E74" i="22" l="1"/>
  <c r="G74" i="22"/>
  <c r="A75" i="22"/>
  <c r="C74" i="22"/>
  <c r="B74" i="22"/>
  <c r="D74" i="22"/>
  <c r="IT82" i="8"/>
  <c r="IS82" i="8"/>
  <c r="IL82" i="8"/>
  <c r="IQ82" i="8"/>
  <c r="IJ82" i="8"/>
  <c r="IU82" i="8"/>
  <c r="II82" i="8"/>
  <c r="IF82" i="8"/>
  <c r="IC82" i="8"/>
  <c r="IW82" i="8"/>
  <c r="IR82" i="8"/>
  <c r="IK82" i="8"/>
  <c r="IH82" i="8"/>
  <c r="IP82" i="8"/>
  <c r="IN82" i="8"/>
  <c r="IE82" i="8"/>
  <c r="IM82" i="8"/>
  <c r="IV82" i="8"/>
  <c r="IG82" i="8"/>
  <c r="ID82" i="8"/>
  <c r="IX82" i="8"/>
  <c r="F23" i="24"/>
  <c r="B23" i="24"/>
  <c r="D23" i="24"/>
  <c r="H23" i="24"/>
  <c r="A22" i="22"/>
  <c r="E21" i="22"/>
  <c r="C21" i="22"/>
  <c r="G21" i="22"/>
  <c r="B74" i="24"/>
  <c r="F74" i="24"/>
  <c r="A75" i="24"/>
  <c r="H74" i="24"/>
  <c r="D74" i="24"/>
  <c r="C74" i="24"/>
  <c r="G74" i="24"/>
  <c r="E74" i="24"/>
  <c r="I82" i="27"/>
  <c r="BS82" i="11"/>
  <c r="C102" i="22"/>
  <c r="E102" i="22" s="1"/>
  <c r="B102" i="22"/>
  <c r="D102" i="22" s="1"/>
  <c r="AN34" i="18"/>
  <c r="AH1" i="18"/>
  <c r="AH2" i="18" s="1"/>
  <c r="IE76" i="8"/>
  <c r="IX76" i="8"/>
  <c r="IK76" i="8"/>
  <c r="IN76" i="8"/>
  <c r="IL76" i="8"/>
  <c r="ID76" i="8"/>
  <c r="IP76" i="8"/>
  <c r="IF76" i="8"/>
  <c r="IM76" i="8"/>
  <c r="IH76" i="8"/>
  <c r="II76" i="8"/>
  <c r="IT76" i="8"/>
  <c r="IC76" i="8"/>
  <c r="IJ76" i="8"/>
  <c r="IQ76" i="8"/>
  <c r="IG76" i="8"/>
  <c r="IS76" i="8"/>
  <c r="IW76" i="8"/>
  <c r="IV76" i="8"/>
  <c r="IR76" i="8"/>
  <c r="IU76" i="8"/>
  <c r="HT45" i="8"/>
  <c r="GR45" i="8"/>
  <c r="HH45" i="8"/>
  <c r="HI45" i="8"/>
  <c r="HY45" i="8"/>
  <c r="GO45" i="8"/>
  <c r="GK45" i="8"/>
  <c r="GV45" i="8"/>
  <c r="GI45" i="8"/>
  <c r="HW45" i="8"/>
  <c r="GY45" i="8"/>
  <c r="HQ45" i="8"/>
  <c r="HF45" i="8"/>
  <c r="GZ45" i="8"/>
  <c r="GF45" i="8"/>
  <c r="HA45" i="8"/>
  <c r="HR45" i="8"/>
  <c r="HJ45" i="8"/>
  <c r="GL45" i="8"/>
  <c r="HU45" i="8"/>
  <c r="HB45" i="8"/>
  <c r="HM45" i="8"/>
  <c r="HC45" i="8"/>
  <c r="GU45" i="8"/>
  <c r="GH45" i="8"/>
  <c r="GM45" i="8"/>
  <c r="HG45" i="8"/>
  <c r="GS45" i="8"/>
  <c r="HE45" i="8"/>
  <c r="GX45" i="8"/>
  <c r="HV45" i="8"/>
  <c r="GN45" i="8"/>
  <c r="HS45" i="8"/>
  <c r="HL45" i="8"/>
  <c r="GW45" i="8"/>
  <c r="GG45" i="8"/>
  <c r="HK45" i="8"/>
  <c r="GT45" i="8"/>
  <c r="GJ45" i="8"/>
  <c r="GE45" i="8"/>
  <c r="HN45" i="8"/>
  <c r="HO45" i="8"/>
  <c r="HX45" i="8"/>
  <c r="HZ45" i="8"/>
  <c r="FZ93" i="8"/>
  <c r="FX93" i="8"/>
  <c r="GA93" i="8"/>
  <c r="FS93" i="8"/>
  <c r="GB93" i="8"/>
  <c r="FT93" i="8"/>
  <c r="FU93" i="8"/>
  <c r="FY93" i="8"/>
  <c r="FV93" i="8"/>
  <c r="FW93" i="8"/>
  <c r="IT40" i="8"/>
  <c r="IT90" i="8" s="1"/>
  <c r="IK40" i="8"/>
  <c r="IK90" i="8" s="1"/>
  <c r="IN40" i="8"/>
  <c r="IN90" i="8" s="1"/>
  <c r="IN93" i="8" s="1"/>
  <c r="IP40" i="8"/>
  <c r="IP90" i="8" s="1"/>
  <c r="IC40" i="8"/>
  <c r="IC90" i="8" s="1"/>
  <c r="IX40" i="8"/>
  <c r="IX90" i="8" s="1"/>
  <c r="IS40" i="8"/>
  <c r="IS90" i="8" s="1"/>
  <c r="IM40" i="8"/>
  <c r="IM90" i="8" s="1"/>
  <c r="IJ40" i="8"/>
  <c r="IJ90" i="8" s="1"/>
  <c r="IU40" i="8"/>
  <c r="IU90" i="8" s="1"/>
  <c r="II40" i="8"/>
  <c r="II90" i="8" s="1"/>
  <c r="II93" i="8" s="1"/>
  <c r="IQ40" i="8"/>
  <c r="IQ90" i="8" s="1"/>
  <c r="IE40" i="8"/>
  <c r="IE90" i="8" s="1"/>
  <c r="IH40" i="8"/>
  <c r="IH90" i="8" s="1"/>
  <c r="IV40" i="8"/>
  <c r="IV90" i="8" s="1"/>
  <c r="IF40" i="8"/>
  <c r="IF90" i="8" s="1"/>
  <c r="IR40" i="8"/>
  <c r="IR90" i="8" s="1"/>
  <c r="IG40" i="8"/>
  <c r="IG90" i="8" s="1"/>
  <c r="ID40" i="8"/>
  <c r="ID90" i="8" s="1"/>
  <c r="ID93" i="8" s="1"/>
  <c r="IW40" i="8"/>
  <c r="IW90" i="8" s="1"/>
  <c r="IL40" i="8"/>
  <c r="IL90" i="8" s="1"/>
  <c r="IB90" i="8"/>
  <c r="GL53" i="8"/>
  <c r="GR53" i="8"/>
  <c r="GU53" i="8"/>
  <c r="HL53" i="8"/>
  <c r="GN53" i="8"/>
  <c r="GJ53" i="8"/>
  <c r="GM53" i="8"/>
  <c r="HW53" i="8"/>
  <c r="GG53" i="8"/>
  <c r="HJ53" i="8"/>
  <c r="GZ53" i="8"/>
  <c r="HQ53" i="8"/>
  <c r="HI53" i="8"/>
  <c r="HK53" i="8"/>
  <c r="GF53" i="8"/>
  <c r="HB53" i="8"/>
  <c r="GT53" i="8"/>
  <c r="GV53" i="8"/>
  <c r="HA53" i="8"/>
  <c r="GO53" i="8"/>
  <c r="GK53" i="8"/>
  <c r="HT53" i="8"/>
  <c r="HY53" i="8"/>
  <c r="HR53" i="8"/>
  <c r="GW53" i="8"/>
  <c r="GE53" i="8"/>
  <c r="HS53" i="8"/>
  <c r="GI53" i="8"/>
  <c r="GY53" i="8"/>
  <c r="HG53" i="8"/>
  <c r="GH53" i="8"/>
  <c r="HF53" i="8"/>
  <c r="GS53" i="8"/>
  <c r="HE53" i="8"/>
  <c r="HC53" i="8"/>
  <c r="HV53" i="8"/>
  <c r="HM53" i="8"/>
  <c r="GX53" i="8"/>
  <c r="HH53" i="8"/>
  <c r="HO53" i="8"/>
  <c r="HU53" i="8"/>
  <c r="HN53" i="8"/>
  <c r="HX53" i="8"/>
  <c r="HZ53" i="8"/>
  <c r="H44" i="27"/>
  <c r="B32" i="24"/>
  <c r="B38" i="24"/>
  <c r="B37" i="24"/>
  <c r="B35" i="22"/>
  <c r="B38" i="22"/>
  <c r="B45" i="24"/>
  <c r="B46" i="22"/>
  <c r="B36" i="24"/>
  <c r="B34" i="24"/>
  <c r="B40" i="22"/>
  <c r="B47" i="22"/>
  <c r="B42" i="24"/>
  <c r="B43" i="22"/>
  <c r="B43" i="24"/>
  <c r="B31" i="22"/>
  <c r="B44" i="24"/>
  <c r="B48" i="22"/>
  <c r="B46" i="24"/>
  <c r="B47" i="24"/>
  <c r="B39" i="22"/>
  <c r="B41" i="24"/>
  <c r="B32" i="22"/>
  <c r="B33" i="24"/>
  <c r="B42" i="22"/>
  <c r="B37" i="22"/>
  <c r="B48" i="24"/>
  <c r="B44" i="22"/>
  <c r="B39" i="24"/>
  <c r="B33" i="22"/>
  <c r="B30" i="22"/>
  <c r="B31" i="24"/>
  <c r="B49" i="24"/>
  <c r="B29" i="24"/>
  <c r="B49" i="22"/>
  <c r="B29" i="22"/>
  <c r="B30" i="24"/>
  <c r="B41" i="22"/>
  <c r="B40" i="24"/>
  <c r="B34" i="22"/>
  <c r="B35" i="24"/>
  <c r="B36" i="22"/>
  <c r="B45" i="22"/>
  <c r="CW44" i="11"/>
  <c r="BP44" i="11"/>
  <c r="C24" i="24"/>
  <c r="B13" i="22"/>
  <c r="B6" i="22"/>
  <c r="C7" i="24"/>
  <c r="C19" i="24"/>
  <c r="C10" i="24"/>
  <c r="B21" i="22"/>
  <c r="B9" i="22"/>
  <c r="C16" i="24"/>
  <c r="B10" i="22"/>
  <c r="C14" i="24"/>
  <c r="B7" i="22"/>
  <c r="C22" i="24"/>
  <c r="B19" i="22"/>
  <c r="B24" i="22"/>
  <c r="B5" i="22"/>
  <c r="B8" i="22"/>
  <c r="B16" i="22"/>
  <c r="B18" i="22"/>
  <c r="C23" i="24"/>
  <c r="B20" i="22"/>
  <c r="C4" i="24"/>
  <c r="C12" i="24"/>
  <c r="B11" i="22"/>
  <c r="C20" i="24"/>
  <c r="C17" i="24"/>
  <c r="C5" i="24"/>
  <c r="C11" i="24"/>
  <c r="C15" i="24"/>
  <c r="B12" i="22"/>
  <c r="B14" i="22"/>
  <c r="C13" i="24"/>
  <c r="C9" i="24"/>
  <c r="C18" i="24"/>
  <c r="C8" i="24"/>
  <c r="B15" i="22"/>
  <c r="C6" i="24"/>
  <c r="B17" i="22"/>
  <c r="C21" i="24"/>
  <c r="B4" i="22"/>
  <c r="GP40" i="8"/>
  <c r="E104" i="11"/>
  <c r="AQ44" i="11"/>
  <c r="E22" i="22" l="1"/>
  <c r="A23" i="22"/>
  <c r="C22" i="22"/>
  <c r="G22" i="22"/>
  <c r="B22" i="22"/>
  <c r="E75" i="22"/>
  <c r="G75" i="22"/>
  <c r="A76" i="22"/>
  <c r="C75" i="22"/>
  <c r="B75" i="22"/>
  <c r="D75" i="22"/>
  <c r="F75" i="22"/>
  <c r="B75" i="24"/>
  <c r="F75" i="24"/>
  <c r="A76" i="24"/>
  <c r="H75" i="24"/>
  <c r="D75" i="24"/>
  <c r="C75" i="24"/>
  <c r="E75" i="24"/>
  <c r="G75" i="24"/>
  <c r="IG93" i="8"/>
  <c r="IH93" i="8"/>
  <c r="IL93" i="8"/>
  <c r="IE93" i="8"/>
  <c r="IJ93" i="8"/>
  <c r="IF93" i="8"/>
  <c r="IM93" i="8"/>
  <c r="IK93" i="8"/>
  <c r="IC93" i="8"/>
  <c r="GP45" i="8"/>
  <c r="AU44" i="11"/>
  <c r="E97" i="11"/>
  <c r="GP53" i="8"/>
  <c r="IY90" i="8"/>
  <c r="IY93" i="8" s="1"/>
  <c r="BS44" i="11"/>
  <c r="I44" i="27"/>
  <c r="E22" i="24"/>
  <c r="E13" i="24"/>
  <c r="E21" i="24"/>
  <c r="E19" i="24"/>
  <c r="E5" i="24"/>
  <c r="D18" i="22"/>
  <c r="E17" i="24"/>
  <c r="E23" i="24"/>
  <c r="D21" i="22"/>
  <c r="D22" i="22"/>
  <c r="D14" i="22"/>
  <c r="E15" i="24"/>
  <c r="D8" i="22"/>
  <c r="D12" i="22"/>
  <c r="E8" i="24"/>
  <c r="E9" i="24"/>
  <c r="E24" i="24"/>
  <c r="D24" i="22"/>
  <c r="D15" i="22"/>
  <c r="D11" i="22"/>
  <c r="E14" i="24"/>
  <c r="E4" i="24"/>
  <c r="E16" i="24"/>
  <c r="D6" i="22"/>
  <c r="E7" i="24"/>
  <c r="D17" i="22"/>
  <c r="D23" i="22"/>
  <c r="D19" i="22"/>
  <c r="D10" i="22"/>
  <c r="D13" i="22"/>
  <c r="D9" i="22"/>
  <c r="D7" i="22"/>
  <c r="E18" i="24"/>
  <c r="E11" i="24"/>
  <c r="E10" i="24"/>
  <c r="D5" i="22"/>
  <c r="E20" i="24"/>
  <c r="E12" i="24"/>
  <c r="E6" i="24"/>
  <c r="D16" i="22"/>
  <c r="D4" i="22"/>
  <c r="D20" i="22"/>
  <c r="H76" i="24" l="1"/>
  <c r="F76" i="24"/>
  <c r="B76" i="24"/>
  <c r="D76" i="24"/>
  <c r="C76" i="24"/>
  <c r="E76" i="24"/>
  <c r="G76" i="24"/>
  <c r="G76" i="22"/>
  <c r="E76" i="22"/>
  <c r="C76" i="22"/>
  <c r="B76" i="22"/>
  <c r="D76" i="22"/>
  <c r="F76" i="22"/>
  <c r="E23" i="22"/>
  <c r="C23" i="22"/>
  <c r="G23" i="22"/>
  <c r="B23" i="22"/>
  <c r="IV93" i="8"/>
  <c r="IS93" i="8"/>
  <c r="IP93" i="8"/>
  <c r="IW93" i="8"/>
  <c r="CH44" i="11"/>
  <c r="GD44" i="8" s="1"/>
  <c r="G5" i="24"/>
  <c r="G17" i="24"/>
  <c r="F18" i="22"/>
  <c r="G22" i="24"/>
  <c r="G24" i="24"/>
  <c r="F23" i="22"/>
  <c r="G9" i="24"/>
  <c r="F5" i="22"/>
  <c r="F14" i="22"/>
  <c r="F17" i="22"/>
  <c r="F22" i="22"/>
  <c r="F21" i="22"/>
  <c r="G12" i="24"/>
  <c r="F8" i="22"/>
  <c r="F11" i="22"/>
  <c r="F12" i="22"/>
  <c r="F20" i="22"/>
  <c r="G18" i="24"/>
  <c r="G23" i="24"/>
  <c r="G15" i="24"/>
  <c r="F4" i="22"/>
  <c r="F7" i="22"/>
  <c r="G4" i="24"/>
  <c r="G11" i="24"/>
  <c r="G13" i="24"/>
  <c r="F10" i="22"/>
  <c r="G19" i="24"/>
  <c r="F15" i="22"/>
  <c r="F13" i="22"/>
  <c r="G14" i="24"/>
  <c r="G8" i="24"/>
  <c r="F24" i="22"/>
  <c r="G21" i="24"/>
  <c r="F19" i="22"/>
  <c r="F16" i="22"/>
  <c r="G20" i="24"/>
  <c r="F6" i="22"/>
  <c r="G16" i="24"/>
  <c r="F9" i="22"/>
  <c r="G10" i="24"/>
  <c r="G7" i="24"/>
  <c r="G6" i="24"/>
  <c r="E100" i="11"/>
  <c r="E98" i="11"/>
  <c r="IT93" i="8"/>
  <c r="IX93" i="8"/>
  <c r="IQ93" i="8"/>
  <c r="IR93" i="8"/>
  <c r="IU93" i="8"/>
  <c r="HX44" i="8" l="1"/>
  <c r="HX90" i="8" s="1"/>
  <c r="HA44" i="8"/>
  <c r="HA90" i="8" s="1"/>
  <c r="GF44" i="8"/>
  <c r="GF90" i="8" s="1"/>
  <c r="GX44" i="8"/>
  <c r="GX90" i="8" s="1"/>
  <c r="HJ44" i="8"/>
  <c r="HJ90" i="8" s="1"/>
  <c r="HO44" i="8"/>
  <c r="HO90" i="8" s="1"/>
  <c r="HO93" i="8" s="1"/>
  <c r="GE44" i="8"/>
  <c r="HG44" i="8"/>
  <c r="HG90" i="8" s="1"/>
  <c r="GO44" i="8"/>
  <c r="GO90" i="8" s="1"/>
  <c r="HL44" i="8"/>
  <c r="HL90" i="8" s="1"/>
  <c r="HI44" i="8"/>
  <c r="HI90" i="8" s="1"/>
  <c r="GK44" i="8"/>
  <c r="GK90" i="8" s="1"/>
  <c r="HV44" i="8"/>
  <c r="HV90" i="8" s="1"/>
  <c r="HQ44" i="8"/>
  <c r="HQ90" i="8" s="1"/>
  <c r="GI44" i="8"/>
  <c r="GI90" i="8" s="1"/>
  <c r="GZ44" i="8"/>
  <c r="GZ90" i="8" s="1"/>
  <c r="HB44" i="8"/>
  <c r="HB90" i="8" s="1"/>
  <c r="HS44" i="8"/>
  <c r="HS90" i="8" s="1"/>
  <c r="HK44" i="8"/>
  <c r="HK90" i="8" s="1"/>
  <c r="HT44" i="8"/>
  <c r="HT90" i="8" s="1"/>
  <c r="GL44" i="8"/>
  <c r="GL90" i="8" s="1"/>
  <c r="GU44" i="8"/>
  <c r="GU90" i="8" s="1"/>
  <c r="HR44" i="8"/>
  <c r="HR90" i="8" s="1"/>
  <c r="GT44" i="8"/>
  <c r="GT90" i="8" s="1"/>
  <c r="HC44" i="8"/>
  <c r="HC90" i="8" s="1"/>
  <c r="HC93" i="8" s="1"/>
  <c r="GJ44" i="8"/>
  <c r="GJ90" i="8" s="1"/>
  <c r="GH44" i="8"/>
  <c r="GH90" i="8" s="1"/>
  <c r="HE44" i="8"/>
  <c r="HE90" i="8" s="1"/>
  <c r="HY44" i="8"/>
  <c r="HY90" i="8" s="1"/>
  <c r="GN44" i="8"/>
  <c r="GN90" i="8" s="1"/>
  <c r="GV44" i="8"/>
  <c r="GV90" i="8" s="1"/>
  <c r="HU44" i="8"/>
  <c r="HU90" i="8" s="1"/>
  <c r="HW44" i="8"/>
  <c r="HW90" i="8" s="1"/>
  <c r="GM44" i="8"/>
  <c r="GM90" i="8" s="1"/>
  <c r="GS44" i="8"/>
  <c r="GS90" i="8" s="1"/>
  <c r="HH44" i="8"/>
  <c r="HH90" i="8" s="1"/>
  <c r="HM44" i="8"/>
  <c r="HM90" i="8" s="1"/>
  <c r="GW44" i="8"/>
  <c r="GW90" i="8" s="1"/>
  <c r="HN44" i="8"/>
  <c r="HN90" i="8" s="1"/>
  <c r="GY44" i="8"/>
  <c r="GY90" i="8" s="1"/>
  <c r="GG44" i="8"/>
  <c r="GG90" i="8" s="1"/>
  <c r="HF44" i="8"/>
  <c r="HF90" i="8" s="1"/>
  <c r="GR44" i="8"/>
  <c r="GR90" i="8" s="1"/>
  <c r="HZ44" i="8"/>
  <c r="HZ90" i="8" s="1"/>
  <c r="HZ93" i="8" s="1"/>
  <c r="HF93" i="8" l="1"/>
  <c r="HL93" i="8"/>
  <c r="HN93" i="8"/>
  <c r="HK93" i="8"/>
  <c r="HM93" i="8"/>
  <c r="HJ93" i="8"/>
  <c r="HH93" i="8"/>
  <c r="HE93" i="8"/>
  <c r="HG93" i="8"/>
  <c r="HI93" i="8"/>
  <c r="GY93" i="8"/>
  <c r="GR93" i="8"/>
  <c r="GS93" i="8"/>
  <c r="GV93" i="8"/>
  <c r="GW93" i="8"/>
  <c r="GT93" i="8"/>
  <c r="HU93" i="8"/>
  <c r="HT93" i="8"/>
  <c r="GZ93" i="8"/>
  <c r="GX93" i="8"/>
  <c r="HR93" i="8"/>
  <c r="GP44" i="8"/>
  <c r="GP90" i="8" s="1"/>
  <c r="GO93" i="8" s="1"/>
  <c r="GE90" i="8"/>
  <c r="GU93" i="8"/>
  <c r="HS93" i="8"/>
  <c r="HQ93" i="8"/>
  <c r="HA93" i="8"/>
  <c r="HW93" i="8"/>
  <c r="HY93" i="8"/>
  <c r="HB93" i="8"/>
  <c r="HV93" i="8"/>
  <c r="HX93" i="8"/>
  <c r="GI93" i="8" l="1"/>
  <c r="GP93" i="8"/>
  <c r="GK93" i="8"/>
  <c r="GN93" i="8"/>
  <c r="GM93" i="8"/>
  <c r="GG93" i="8"/>
  <c r="GF93" i="8"/>
  <c r="GH93" i="8"/>
  <c r="GL93" i="8"/>
  <c r="GJ93" i="8"/>
  <c r="GE9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Oliver</author>
  </authors>
  <commentList>
    <comment ref="A29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Im-BE and Im-BF
</t>
        </r>
      </text>
    </comment>
    <comment ref="A30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Im-BJ: Sediment delivery Ratio</t>
        </r>
      </text>
    </comment>
    <comment ref="A31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Im-BJ: Sediment delivery Ratio</t>
        </r>
      </text>
    </comment>
    <comment ref="A32" authorId="0" shapeId="0" xr:uid="{00000000-0006-0000-0000-000004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Im-BJ: Sediment delivery Ratio</t>
        </r>
      </text>
    </comment>
    <comment ref="A3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used to calculate Im-BJ: Sediment delivery Ratio</t>
        </r>
      </text>
    </comment>
    <comment ref="A34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Gabriel Oliver:used to calculate Im-BJ: Sediment delivery Ratio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35" authorId="0" shapeId="0" xr:uid="{00000000-0006-0000-0000-000007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Im-CW: Enrichment Ratio (rate)</t>
        </r>
      </text>
    </comment>
    <comment ref="D36" authorId="0" shapeId="0" xr:uid="{00000000-0006-0000-0000-000008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Im-CW: Enrichment Ratio (factor)</t>
        </r>
      </text>
    </comment>
    <comment ref="D38" authorId="0" shapeId="0" xr:uid="{00000000-0006-0000-0000-000009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Im-CW: Enrichment Ratio; (Exponent)</t>
        </r>
      </text>
    </comment>
    <comment ref="A41" authorId="0" shapeId="0" xr:uid="{00000000-0006-0000-0000-00000A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Im-CT: Basis P-content of agricultural topsoils</t>
        </r>
      </text>
    </comment>
    <comment ref="A42" authorId="0" shapeId="0" xr:uid="{00000000-0006-0000-0000-00000B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Im-CT: Basis P-content of agricultural topsoils</t>
        </r>
      </text>
    </comment>
    <comment ref="A43" authorId="0" shapeId="0" xr:uid="{00000000-0006-0000-0000-00000C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Im-CS: clay content of top soils</t>
        </r>
      </text>
    </comment>
    <comment ref="A44" authorId="0" shapeId="0" xr:uid="{00000000-0006-0000-0000-00000D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Im-CS: clay content of top soils</t>
        </r>
      </text>
    </comment>
    <comment ref="A45" authorId="0" shapeId="0" xr:uid="{00000000-0006-0000-0000-00000E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Im-CS: clay content of top soils</t>
        </r>
      </text>
    </comment>
    <comment ref="A46" authorId="0" shapeId="0" xr:uid="{00000000-0006-0000-0000-00000F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for calculation of Im-CU: P-content of agricultural topsoils [mg/kgTS]</t>
        </r>
      </text>
    </comment>
    <comment ref="A47" authorId="0" shapeId="0" xr:uid="{00000000-0006-0000-0000-000010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for calculation of Im-CU: P-content of agricultural topsoils [mg/kgTS]</t>
        </r>
      </text>
    </comment>
    <comment ref="A48" authorId="0" shapeId="0" xr:uid="{00000000-0006-0000-0000-000011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for calculation of Im-CU: P-content of agricultural topsoils [mg/kgTS]</t>
        </r>
      </text>
    </comment>
    <comment ref="A49" authorId="0" shapeId="0" xr:uid="{00000000-0006-0000-0000-000012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for calculation of Im-CU: P-content of agricultural topsoils [mg/kgTS]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Oliver</author>
    <author>Matthias Zessner</author>
  </authors>
  <commentList>
    <comment ref="G2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 used to calculate Im-BE; and a lot other calculations</t>
        </r>
      </text>
    </comment>
    <comment ref="H2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I2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J2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K2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L2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M2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Im-BE</t>
        </r>
      </text>
    </comment>
    <comment ref="AM2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Im-BJ: soil delivery ratio; reduction of parts of soil loss which will not enter surface water but is retained in the environmet </t>
        </r>
      </text>
    </comment>
    <comment ref="BE2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BF2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BG2" authorId="0" shapeId="0" xr:uid="{00000000-0006-0000-0100-00000B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BH2" authorId="0" shapeId="0" xr:uid="{00000000-0006-0000-0100-00000C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BI2" authorId="0" shapeId="0" xr:uid="{00000000-0006-0000-0100-00000D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Im-BC</t>
        </r>
      </text>
    </comment>
    <comment ref="BJ2" authorId="0" shapeId="0" xr:uid="{00000000-0006-0000-0100-00000E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data; used to calculate Im-BE</t>
        </r>
      </text>
    </comment>
    <comment ref="BK2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used to calculate Im-BF</t>
        </r>
      </text>
    </comment>
    <comment ref="BN2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used to calculate Im-BC: Mean arable soil loss; reduction of soil loss when measure is in place…not used in this application = 0; here considered in preprocessed input data: Bi-BE to Bi-BI </t>
        </r>
      </text>
    </comment>
    <comment ref="BR2" authorId="0" shapeId="0" xr:uid="{00000000-0006-0000-0100-000011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Basic input data to calculate Im-CU (final results of P content of agric. Topsoils)</t>
        </r>
      </text>
    </comment>
    <comment ref="DL43" authorId="1" shapeId="0" xr:uid="{00000000-0006-0000-0100-000012000000}">
      <text>
        <r>
          <rPr>
            <b/>
            <sz val="9"/>
            <color indexed="81"/>
            <rFont val="Tahoma"/>
            <family val="2"/>
          </rPr>
          <t>Matthias Zessner:</t>
        </r>
        <r>
          <rPr>
            <sz val="9"/>
            <color indexed="81"/>
            <rFont val="Tahoma"/>
            <family val="2"/>
          </rPr>
          <t xml:space="preserve">
Aus OÖ-Bericht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Oliver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for calculation of Im-BE; Current agricultural soil loss [t/y]</t>
        </r>
      </text>
    </comment>
    <comment ref="BC2" authorId="0" shapeId="0" xr:uid="{00000000-0006-0000-0200-000002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for calculation of Im-BE; Current agricultural soil loss [t/y] </t>
        </r>
      </text>
    </comment>
    <comment ref="BD2" authorId="0" shapeId="0" xr:uid="{00000000-0006-0000-0200-000003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Im-BE; soil loss from arable land is modified by specific actual (2007-2013) R-factor (precipitation intensities and amounts, which are not described by long-year averages)</t>
        </r>
      </text>
    </comment>
    <comment ref="BE2" authorId="0" shapeId="0" xr:uid="{00000000-0006-0000-0200-000004000000}">
      <text>
        <r>
          <rPr>
            <b/>
            <sz val="9"/>
            <color indexed="81"/>
            <rFont val="Tahoma"/>
            <charset val="1"/>
          </rPr>
          <t xml:space="preserve">Gabriel Oliver: </t>
        </r>
        <r>
          <rPr>
            <sz val="9"/>
            <color indexed="81"/>
            <rFont val="Tahoma"/>
            <family val="2"/>
          </rPr>
          <t>final result of current soil loss from agriculture; used to calculate Im-BK (sediment input)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F2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used to calculate Im-BI: Current natural soil loss</t>
        </r>
      </text>
    </comment>
    <comment ref="BH2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 xml:space="preserve">Gabriel Oliver: </t>
        </r>
        <r>
          <rPr>
            <sz val="9"/>
            <color indexed="81"/>
            <rFont val="Tahoma"/>
            <family val="2"/>
          </rPr>
          <t xml:space="preserve">used to calculate Im-BK: Sediment Input
 </t>
        </r>
      </text>
    </comment>
    <comment ref="BI2" authorId="0" shapeId="0" xr:uid="{00000000-0006-0000-0200-000007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Summation of all soil losses not stemming from agricultural areas, like forests (Im-BF), Open areas (Im-BG, mountains) or glaciers Im-BH; used for calculation of Im-BK</t>
        </r>
      </text>
    </comment>
    <comment ref="BJ2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SDR-parameter to decrease the share of Im-BE to Im-BK (final result of sediment input into surface water); not all of the soil eroded, will enter the surface water - a lot will stay on flat regions or is retained in depressions</t>
        </r>
      </text>
    </comment>
    <comment ref="BK2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Final result of sediment input into surface waters. Sediments from agriculture (Im-BE are reduced by Sediment delivery ratio (Im-BJ), while soil losses from Im-BI (other sources) will be directly added (no reduction - direct path to surface water assumed)</t>
        </r>
      </text>
    </comment>
    <comment ref="CS2" authorId="0" shapeId="0" xr:uid="{00000000-0006-0000-0200-00000A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IM-CT:
Basis P content of agric. topsoils</t>
        </r>
      </text>
    </comment>
    <comment ref="CT2" authorId="0" shapeId="0" xr:uid="{00000000-0006-0000-0200-00000B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Im-CU: P-content of agricultural topsoils</t>
        </r>
      </text>
    </comment>
    <comment ref="CU2" authorId="0" shapeId="0" xr:uid="{00000000-0006-0000-0200-00000C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Final result of P concentration of agricultural topsoils; used to calculate Le-AI (P-emission via agricultural erosion)</t>
        </r>
      </text>
    </comment>
    <comment ref="CW2" authorId="0" shapeId="0" xr:uid="{00000000-0006-0000-0200-00000D000000}">
      <text>
        <r>
          <rPr>
            <b/>
            <sz val="9"/>
            <color indexed="81"/>
            <rFont val="Tahoma"/>
            <charset val="1"/>
          </rPr>
          <t>Gabriel Oliver:</t>
        </r>
        <r>
          <rPr>
            <sz val="9"/>
            <color indexed="81"/>
            <rFont val="Tahoma"/>
            <charset val="1"/>
          </rPr>
          <t xml:space="preserve">
used to calculate Le-AI (P-emission via agricultural erosion)…P concentration in fine sediments are higher than in other fractions…an increased share of fine sediments will enter surface water on the flow path</t>
        </r>
      </text>
    </comment>
    <comment ref="BG3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used to calculate Im-BI: Current natural soil loss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Oliver</author>
  </authors>
  <commentList>
    <comment ref="AJ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used to calculate Le-AP (P-emissions from diffuse sources)</t>
        </r>
      </text>
    </comment>
    <comment ref="AI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Gabriel Oliver:</t>
        </r>
        <r>
          <rPr>
            <sz val="9"/>
            <color indexed="81"/>
            <rFont val="Tahoma"/>
            <family val="2"/>
          </rPr>
          <t xml:space="preserve">
used to calculate Le-AP (P-emissions from diffuse sources); description of the agricultural erosion</t>
        </r>
      </text>
    </comment>
  </commentList>
</comments>
</file>

<file path=xl/sharedStrings.xml><?xml version="1.0" encoding="utf-8"?>
<sst xmlns="http://schemas.openxmlformats.org/spreadsheetml/2006/main" count="3220" uniqueCount="994">
  <si>
    <t>Other total long-term N surplus available for percolation (excl. urban areas)</t>
  </si>
  <si>
    <t>P-surface runoff from open or snow covered areas</t>
  </si>
  <si>
    <t>Constant for denitrification in topsoil, unconsolidated rock</t>
  </si>
  <si>
    <t>Natural surface runoff contribution area</t>
  </si>
  <si>
    <t>Yearly precipitation-long-term</t>
  </si>
  <si>
    <t>Surface runoff P-concentration from natural land, unconsolidated</t>
  </si>
  <si>
    <t>Snow covered areas other than glaciers</t>
  </si>
  <si>
    <t>Constant for denitrification in soild rock, unsaturated zone</t>
  </si>
  <si>
    <t>Constant for height-dependent deposition reduction, category 1</t>
  </si>
  <si>
    <t>Constant for height-dependent deposition reduction, category 2</t>
  </si>
  <si>
    <t>Constant for height-dependent deposition reduction, category 3</t>
  </si>
  <si>
    <t>N</t>
  </si>
  <si>
    <t>NA</t>
  </si>
  <si>
    <t>O</t>
  </si>
  <si>
    <t>W</t>
  </si>
  <si>
    <t>ZA</t>
  </si>
  <si>
    <t>S</t>
  </si>
  <si>
    <t>Flow orientation</t>
  </si>
  <si>
    <t>P-content of agricultural topsoils</t>
  </si>
  <si>
    <t>P-content of consolidated rock material with poor porosity</t>
  </si>
  <si>
    <t>P-content of consolidated rock material with good porosity</t>
  </si>
  <si>
    <t>P-content of natural soils</t>
  </si>
  <si>
    <t>Current soil loss from glaciers</t>
  </si>
  <si>
    <t>P-content of soild rock material</t>
  </si>
  <si>
    <t>N-content of natural soils and bare rocks</t>
  </si>
  <si>
    <t>Natural erosion rate from open areas without glaciers</t>
  </si>
  <si>
    <t>Natural erosion rate from open areas with glaciers</t>
  </si>
  <si>
    <t>Current soil loss from open areas (excluding glaciers)</t>
  </si>
  <si>
    <t>Current natural soil loss (from forest and schrubland)</t>
  </si>
  <si>
    <t>P-surface runoff from natural land</t>
  </si>
  <si>
    <t>P-leachate from agricultural land</t>
  </si>
  <si>
    <t>P-leachate from natural land</t>
  </si>
  <si>
    <t>P-leachate from open land</t>
  </si>
  <si>
    <t>Concentrations and surpluses</t>
  </si>
  <si>
    <t>N deposition rate-current, adjusted to mountainous conditions</t>
  </si>
  <si>
    <t>Category for height dependence</t>
  </si>
  <si>
    <t>General constant for height-dependent deposition reduction</t>
  </si>
  <si>
    <t>N deposition rate-long-term, adjusted to mountainous conditions</t>
  </si>
  <si>
    <t>Current agricultural N surplus reduced by emissions via surface runoff</t>
  </si>
  <si>
    <t>Long-term agricultural N surplus reduced by emissions via surface runoff</t>
  </si>
  <si>
    <t>N-surface runoff from agricultural land-current</t>
  </si>
  <si>
    <t>N-surface runoff from agricultural land-long term</t>
  </si>
  <si>
    <t>N-surface runoff from natural land-current</t>
  </si>
  <si>
    <t>N-surface runoff from natural land-long-term</t>
  </si>
  <si>
    <t>Long-term natural N surplus reduced by emissions via surface runoff and snowmelt</t>
  </si>
  <si>
    <t>Long-term total agricultural N surplus available for percolation</t>
  </si>
  <si>
    <t>Clay content of clayey topsoils</t>
  </si>
  <si>
    <t>Clay content of peat topsoils</t>
  </si>
  <si>
    <t>Soil particle density</t>
  </si>
  <si>
    <t>Depth of tilled topsoil</t>
  </si>
  <si>
    <t>Porosity of topsoil</t>
  </si>
  <si>
    <t>kg/m3</t>
  </si>
  <si>
    <t>Total lake surface area on tributaries</t>
  </si>
  <si>
    <t>Total lake surface area on main channel</t>
  </si>
  <si>
    <t>Clay content of topsoil</t>
  </si>
  <si>
    <t>Inhabitants connected to sewer systems only (without any treatment plants)</t>
  </si>
  <si>
    <t>Threshold value for populaion density for separated sewers</t>
  </si>
  <si>
    <t>Urban surface runoff directly transported to the river net</t>
  </si>
  <si>
    <t>N-concentration in sewer systems without any treatment plant</t>
  </si>
  <si>
    <t>P-concentration in sewer systems without any treatment plant</t>
  </si>
  <si>
    <t>Upstream total</t>
  </si>
  <si>
    <t>atmospheric deposition</t>
  </si>
  <si>
    <t>surface runoff</t>
  </si>
  <si>
    <t>snowmelt</t>
  </si>
  <si>
    <t>agricultural erosion</t>
  </si>
  <si>
    <t>natural erosion</t>
  </si>
  <si>
    <t>tile drainage systems</t>
  </si>
  <si>
    <t>groundwater</t>
  </si>
  <si>
    <t>point sources</t>
  </si>
  <si>
    <t>Outflow total</t>
  </si>
  <si>
    <t>Inflow total</t>
  </si>
  <si>
    <t>Retention total</t>
  </si>
  <si>
    <t>Retention tributaries</t>
  </si>
  <si>
    <t>Retention main river</t>
  </si>
  <si>
    <t>Retention outlet lake</t>
  </si>
  <si>
    <t>Emission total</t>
  </si>
  <si>
    <t>Total TP retention</t>
  </si>
  <si>
    <t>Total TN retention</t>
  </si>
  <si>
    <t>Q</t>
  </si>
  <si>
    <t>t/a</t>
  </si>
  <si>
    <t>Tributaries</t>
  </si>
  <si>
    <t>Main river</t>
  </si>
  <si>
    <t>Outlet lakes</t>
  </si>
  <si>
    <t>Runoff total</t>
  </si>
  <si>
    <t>Total paved urban areas</t>
  </si>
  <si>
    <t>Constant for soil concentration calculation</t>
  </si>
  <si>
    <t>Glaciers</t>
  </si>
  <si>
    <t>Surface runoff P-concentration from natural land, good porosity</t>
  </si>
  <si>
    <t>Surface runoff P-concentration from natural land, poor porosity</t>
  </si>
  <si>
    <t>P-concentration of groundwater in natural land, good porosity</t>
  </si>
  <si>
    <t>P-concentration of groundwater in natural land, poor porosity</t>
  </si>
  <si>
    <t>P-concentration of groundwater in natural land, unconsolitated</t>
  </si>
  <si>
    <t>N-retention in consolidated rocks</t>
  </si>
  <si>
    <t>N-retention in unconsolidated rocks</t>
  </si>
  <si>
    <t>P-retention in consolidated rocks</t>
  </si>
  <si>
    <t>P-retention in unconsolidated rocks</t>
  </si>
  <si>
    <t>TN emissions from industrial plants into tributaries</t>
  </si>
  <si>
    <t>TP emissions from industrial plants into tributaries</t>
  </si>
  <si>
    <t>TN emissions from industrial plants into main channel</t>
  </si>
  <si>
    <t>TP emissions from industrial plants into main channel</t>
  </si>
  <si>
    <t>Waste water discharge from industrial plants</t>
  </si>
  <si>
    <t>TN emissions from WWTPs into tributaries</t>
  </si>
  <si>
    <t>TP emissions from WWTPs into tributaries</t>
  </si>
  <si>
    <t>TN emissions from WWTPs into main channel</t>
  </si>
  <si>
    <t>TP emissions from WWTPs into main channel</t>
  </si>
  <si>
    <t>Waste water discharge from WWTPs</t>
  </si>
  <si>
    <t>TP retention in main river</t>
  </si>
  <si>
    <t>TN retention in outlet lake</t>
  </si>
  <si>
    <t>TP retention in outlet lake</t>
  </si>
  <si>
    <t>Loop control and reclass</t>
  </si>
  <si>
    <t>New ID</t>
  </si>
  <si>
    <t>New downstream ID</t>
  </si>
  <si>
    <t>Total runoff from CSO´s</t>
  </si>
  <si>
    <t>Measured area-specific main channel loads</t>
  </si>
  <si>
    <t>Area-specific main channel loads</t>
  </si>
  <si>
    <t>Average C-factor (only if the soil loss values consider fallow soil situation, otherwise 1,0)</t>
  </si>
  <si>
    <t>Specific total natural runoff</t>
  </si>
  <si>
    <t>Discharge from inhabitants and industry to combined sewer systems</t>
  </si>
  <si>
    <t>Net N-emissions from point sources and sewers without WWTP to main river</t>
  </si>
  <si>
    <t>Net P-emissions from point sources and sewers without WWTP to main river</t>
  </si>
  <si>
    <t>Inhabitants connected to septic tanks</t>
  </si>
  <si>
    <t>Soil loss reduction in case of conservation tillage</t>
  </si>
  <si>
    <t>Arable land, with conservation tillage</t>
  </si>
  <si>
    <t>P-concentration in combined systems during storm events</t>
  </si>
  <si>
    <t>TN-loads</t>
  </si>
  <si>
    <t>DIN-loads</t>
  </si>
  <si>
    <t>TP-loads</t>
  </si>
  <si>
    <t>Sim</t>
  </si>
  <si>
    <t>Meas</t>
  </si>
  <si>
    <t>N-concentration in combined systems during storm events</t>
  </si>
  <si>
    <t>N-retention in decentralized treatment plants</t>
  </si>
  <si>
    <t>P-retention in decentralized treatment plants</t>
  </si>
  <si>
    <t>Clay content of sandy topsoils</t>
  </si>
  <si>
    <t>Clay content of silty topsoils</t>
  </si>
  <si>
    <t>P-emissions from point sources</t>
  </si>
  <si>
    <t>N-emissions from diffuse sources</t>
  </si>
  <si>
    <t>P-emissions from diffuse sources</t>
  </si>
  <si>
    <t>Soil loss from &lt;1 % arable land, not cultivated</t>
  </si>
  <si>
    <t>Soil loss from 1-2 % arable land, not cultivated</t>
  </si>
  <si>
    <t>Soil loss 2-4 % from arable land, not cultivated</t>
  </si>
  <si>
    <t>Soil loss from 4-8 % arable land, not cultivated</t>
  </si>
  <si>
    <t>Soil loss from &gt; 8 % arable land, not cultivated</t>
  </si>
  <si>
    <t>Soil loss from grassland</t>
  </si>
  <si>
    <t>Soil loss from natural covered land</t>
  </si>
  <si>
    <t>kg/ha</t>
  </si>
  <si>
    <t>Net N-emissions into tributaries (excl. DON)</t>
  </si>
  <si>
    <t>Rainwater storage build-up rate</t>
  </si>
  <si>
    <t>Rainwater soilfilter build-up rate</t>
  </si>
  <si>
    <t>TN-retention of rainwater storages</t>
  </si>
  <si>
    <t>TP-retention of rainwater storages</t>
  </si>
  <si>
    <t>TN-retention of rainwater soilfilters</t>
  </si>
  <si>
    <t>TP-retention of rainwater soilfilters</t>
  </si>
  <si>
    <t>N-concentration in urban surface runoff</t>
  </si>
  <si>
    <t>P-concentration in urban surface runoff</t>
  </si>
  <si>
    <t>N-retention in soil</t>
  </si>
  <si>
    <t>P-retenion in soil</t>
  </si>
  <si>
    <t>Net P-emissions into tributaries</t>
  </si>
  <si>
    <t>Hydraulic load for main channel outlet lake</t>
  </si>
  <si>
    <t>Retention factors</t>
  </si>
  <si>
    <t>Emissions for retention calculation</t>
  </si>
  <si>
    <t>Total discharge</t>
  </si>
  <si>
    <t>Water balance</t>
  </si>
  <si>
    <t>Total sediment input</t>
  </si>
  <si>
    <t>N-emission via urban runoff</t>
  </si>
  <si>
    <t>P-emission via urban runoff</t>
  </si>
  <si>
    <t>Diffuse discharge</t>
  </si>
  <si>
    <t>Main channel water surface</t>
  </si>
  <si>
    <t>Downstream ID</t>
  </si>
  <si>
    <t>Net DON-emissions</t>
  </si>
  <si>
    <t>OK</t>
  </si>
  <si>
    <t>Downstream line</t>
  </si>
  <si>
    <t>Loop</t>
  </si>
  <si>
    <t>Hydraulic load for main channel</t>
  </si>
  <si>
    <t>Retention factor for TN in main channel</t>
  </si>
  <si>
    <t>Retention factor for DIN in main channel</t>
  </si>
  <si>
    <t>Area-specific sediment yields</t>
  </si>
  <si>
    <t>Area-specific nitrogen emissions</t>
  </si>
  <si>
    <t>Area-specific phosphorus emissions</t>
  </si>
  <si>
    <t>Retention factor for TN in main channel outlet lake</t>
  </si>
  <si>
    <t>Retention factor for DIN in main channel outlet lake</t>
  </si>
  <si>
    <t>SUM</t>
  </si>
  <si>
    <t>Inhabitants connected to sewer systems</t>
  </si>
  <si>
    <t>Paved urban areas connected to combined sewer systems</t>
  </si>
  <si>
    <t>Paved urban areas not connected to sewer systems</t>
  </si>
  <si>
    <t>Paved urban areas connected to sewer systems only</t>
  </si>
  <si>
    <t>Effective number of storm water days</t>
  </si>
  <si>
    <t>Inhabitant specific N-output</t>
  </si>
  <si>
    <t>Inhabitant specific P-output</t>
  </si>
  <si>
    <t>N-concentration in commercial wastewater</t>
  </si>
  <si>
    <t>P-concentration in commercial wastewater</t>
  </si>
  <si>
    <t>Inhabitant specific dissolved N-output</t>
  </si>
  <si>
    <t>Inhabitant specific dissolved P-output</t>
  </si>
  <si>
    <t>Drained agricultural land</t>
  </si>
  <si>
    <t>Urban areas</t>
  </si>
  <si>
    <t>Open pit mine</t>
  </si>
  <si>
    <t>Grassland</t>
  </si>
  <si>
    <t>Woodland, schrubland</t>
  </si>
  <si>
    <t>Open land</t>
  </si>
  <si>
    <t>Wetland</t>
  </si>
  <si>
    <t>Constant for snow melt 1</t>
  </si>
  <si>
    <t>Constant for snow melt 2</t>
  </si>
  <si>
    <t>Precipitation criteria for snowmelt</t>
  </si>
  <si>
    <t>mm/a</t>
  </si>
  <si>
    <t>Runoff proportion criteria for snowmelt</t>
  </si>
  <si>
    <t>Elevation criteria for snow covered areas</t>
  </si>
  <si>
    <t>Surface runoff N-concentration from arable land</t>
  </si>
  <si>
    <t>Calibration factor for soil loss</t>
  </si>
  <si>
    <t>Constant for sediment delivery ratio 1</t>
  </si>
  <si>
    <t>Constant for sediment delivery ratio 2</t>
  </si>
  <si>
    <t>Constant for sediment delivery ratio 3</t>
  </si>
  <si>
    <t>Area proportion of combined sewer system</t>
  </si>
  <si>
    <t>Constant for separated sewer connection 1</t>
  </si>
  <si>
    <t>Constant for separated sewer connection 2</t>
  </si>
  <si>
    <t>TP main channel retention from catchment emissions</t>
  </si>
  <si>
    <t>TP outlet lake retention from catchment emissions</t>
  </si>
  <si>
    <t>Retention</t>
  </si>
  <si>
    <t>TN retention in main river</t>
  </si>
  <si>
    <t>Uncollected urban surface runoff</t>
  </si>
  <si>
    <t>Current discharge rate of CSO´s</t>
  </si>
  <si>
    <t>Discharge rate of CSO´s at minimal storage volume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</si>
  <si>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/ha</t>
    </r>
  </si>
  <si>
    <t>Area-spaecific storage volume of combined sewer systems</t>
  </si>
  <si>
    <t>hours</t>
  </si>
  <si>
    <t>Net total runoff</t>
  </si>
  <si>
    <t>Total river flow</t>
  </si>
  <si>
    <t>Duration of water discharge from commercial areas</t>
  </si>
  <si>
    <t>Inhabitants connected to combined sewer systems</t>
  </si>
  <si>
    <t>Urban water balance</t>
  </si>
  <si>
    <t>Catchment water balance</t>
  </si>
  <si>
    <t>-</t>
  </si>
  <si>
    <t>Ratio of Austrian-German soil P accumulation</t>
  </si>
  <si>
    <t>P-surface runoff from arable land</t>
  </si>
  <si>
    <t>P-surface runoff from grassland</t>
  </si>
  <si>
    <t>Name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</si>
  <si>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</t>
    </r>
  </si>
  <si>
    <t>Sediment</t>
  </si>
  <si>
    <t>Waste water discharge from point sources</t>
  </si>
  <si>
    <t>N-emissions from point sources</t>
  </si>
  <si>
    <t>Urban surface runoff collected by sewer systems without WWTP</t>
  </si>
  <si>
    <t>P-concentration of groundwater in bog soils</t>
  </si>
  <si>
    <t>Constant for anaerobic conditions</t>
  </si>
  <si>
    <t>Summer half-yearly precipitation-current</t>
  </si>
  <si>
    <t>Summer half-yearly precipitation-long term</t>
  </si>
  <si>
    <t>Evapotranspiration</t>
  </si>
  <si>
    <t>Total arable land</t>
  </si>
  <si>
    <t>Surface runoff N-concentration from grassland</t>
  </si>
  <si>
    <t>Runoff from tile drainage system</t>
  </si>
  <si>
    <t>Specific flow from tile drainage system</t>
  </si>
  <si>
    <t>Groundwater flow</t>
  </si>
  <si>
    <t>Snowmelt runoff</t>
  </si>
  <si>
    <t>Specific snowmelt runoff</t>
  </si>
  <si>
    <t>Parameter box</t>
  </si>
  <si>
    <t>Open land without snow</t>
  </si>
  <si>
    <t>N-surface runoff</t>
  </si>
  <si>
    <t>P-surface runoff</t>
  </si>
  <si>
    <t>Total water surfaces</t>
  </si>
  <si>
    <t>Atmospheric runoff</t>
  </si>
  <si>
    <t>Surface runoff from unpaved areas</t>
  </si>
  <si>
    <t>Winter half-yearly precipitation</t>
  </si>
  <si>
    <t>Sandy agricultural soils</t>
  </si>
  <si>
    <t>Loamy agricultural soils</t>
  </si>
  <si>
    <t>Clayey agricultural soils</t>
  </si>
  <si>
    <t>Silty agricultural soils</t>
  </si>
  <si>
    <t>Fen agricultural soils</t>
  </si>
  <si>
    <t>Bog agricultural soils</t>
  </si>
  <si>
    <t>N-tile drainage</t>
  </si>
  <si>
    <t>P-tile drainage</t>
  </si>
  <si>
    <t>P-groundwater</t>
  </si>
  <si>
    <t>P-leachate</t>
  </si>
  <si>
    <t>N-leachate</t>
  </si>
  <si>
    <t>Groundwater travel time</t>
  </si>
  <si>
    <t>kg/y</t>
  </si>
  <si>
    <t>Specific average surplus</t>
  </si>
  <si>
    <t>l/(s*km²)</t>
  </si>
  <si>
    <t>N-enrichment ratio</t>
  </si>
  <si>
    <t>P-enrichment ratio</t>
  </si>
  <si>
    <t>Sediment input</t>
  </si>
  <si>
    <t>Sediment delivery ratio</t>
  </si>
  <si>
    <r>
      <t>t/(km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* y)</t>
    </r>
  </si>
  <si>
    <t>Urban systems</t>
  </si>
  <si>
    <t>Retention factor for TP in main channel</t>
  </si>
  <si>
    <t>Retention factor for TP in main channel outlet lake</t>
  </si>
  <si>
    <t>Total DIN-loads</t>
  </si>
  <si>
    <t>Total TN-loads</t>
  </si>
  <si>
    <t>Total TP-loads</t>
  </si>
  <si>
    <t>Measured main channel loads</t>
  </si>
  <si>
    <t>TN</t>
  </si>
  <si>
    <t>DIN</t>
  </si>
  <si>
    <t>TP</t>
  </si>
  <si>
    <t>Difference</t>
  </si>
  <si>
    <t>Constant for discharge rate of CSO´s 5</t>
  </si>
  <si>
    <t>Constant for discharge rate of CSO´s 6</t>
  </si>
  <si>
    <t>Constant for discharge rate of CSO´s 7</t>
  </si>
  <si>
    <t>Constant for discharge rate of CSO´s 8</t>
  </si>
  <si>
    <t>Constant for water solubilty 2</t>
  </si>
  <si>
    <t>Constant for water solubilty 3</t>
  </si>
  <si>
    <t>P saturation in arable land</t>
  </si>
  <si>
    <t>P saturation in grassland</t>
  </si>
  <si>
    <t>Sediment delivery for non-agricultural conditions</t>
  </si>
  <si>
    <t>Nitrogen emissions</t>
  </si>
  <si>
    <t>Sediment yield</t>
  </si>
  <si>
    <t>Phosphorus emissions</t>
  </si>
  <si>
    <t>Area-specific flows</t>
  </si>
  <si>
    <t>Precipitation criteria for discharge of CSO´s</t>
  </si>
  <si>
    <t>l/(ha*s)</t>
  </si>
  <si>
    <t>Rainfall-runoff rate in combined sewer systems</t>
  </si>
  <si>
    <t>g/(cap*d)</t>
  </si>
  <si>
    <t>Proportion of urban areas in commercial use</t>
  </si>
  <si>
    <t>Specific runoff from commercial areas</t>
  </si>
  <si>
    <t>Constant for effective numbers of storm water days 1</t>
  </si>
  <si>
    <t>Constant for effective numbers of storm water days 2</t>
  </si>
  <si>
    <t>Constant for discharge rate of CSO´s 1</t>
  </si>
  <si>
    <t>Constant for discharge rate of CSO´s 2</t>
  </si>
  <si>
    <t>Constant for discharge rate of CSO´s 3</t>
  </si>
  <si>
    <t>Constant for discharge rate of CSO´s 4</t>
  </si>
  <si>
    <t>P-emission via natural erosion</t>
  </si>
  <si>
    <t>inh/ha</t>
  </si>
  <si>
    <t xml:space="preserve">Threshold value for population density </t>
  </si>
  <si>
    <t>Urban area criteria for imperviousness</t>
  </si>
  <si>
    <t>Constant for TN retention 1</t>
  </si>
  <si>
    <t>Constant for TN retention 2</t>
  </si>
  <si>
    <t>Constant for TN retention 3</t>
  </si>
  <si>
    <t>N-emission via surface runoff</t>
  </si>
  <si>
    <t>P-emission via surface runoff</t>
  </si>
  <si>
    <t>N-concentration proportion criteria for anaerobic conditions</t>
  </si>
  <si>
    <t>Current agricultural soil loss</t>
  </si>
  <si>
    <t>Current natural soil loss</t>
  </si>
  <si>
    <t>Mean arable soil loss</t>
  </si>
  <si>
    <t>R-factor correction</t>
  </si>
  <si>
    <t>Constant for impervious urban areas 1</t>
  </si>
  <si>
    <t>Constant for impervious urban areas 2</t>
  </si>
  <si>
    <t>Constant for impervious urban areas 3</t>
  </si>
  <si>
    <t>Constant for impervious urban areas 4</t>
  </si>
  <si>
    <t>Constant for runoff coefficient of impervious urban areas 1</t>
  </si>
  <si>
    <t>Constant for runoff coefficient of impervious urban areas 2</t>
  </si>
  <si>
    <t>Surface runoff &amp; snowmelt</t>
  </si>
  <si>
    <t>Runoff coefficient from paved urban areas</t>
  </si>
  <si>
    <t>Lake surface area at the catchment outlet</t>
  </si>
  <si>
    <t>Hydraulic load for tributaries</t>
  </si>
  <si>
    <t>Retention factor for TN in tributaries</t>
  </si>
  <si>
    <t>Retention factor for DIN in tributaries</t>
  </si>
  <si>
    <t>Tributary length</t>
  </si>
  <si>
    <t>Main channel length</t>
  </si>
  <si>
    <t>Tributary width</t>
  </si>
  <si>
    <t>Main channel width</t>
  </si>
  <si>
    <t>Arable land, slope 2-4 %</t>
  </si>
  <si>
    <t>Slope criteria for delivery</t>
  </si>
  <si>
    <t>Specific sediment yield criteria for enrichment</t>
  </si>
  <si>
    <t>Maximal enrichment ratio for P</t>
  </si>
  <si>
    <t>Maximal enrichment ratio for N</t>
  </si>
  <si>
    <t>Constant for enrichment ratio</t>
  </si>
  <si>
    <t>Paved urban areas connected to separated sewer systems</t>
  </si>
  <si>
    <t>Population density</t>
  </si>
  <si>
    <t>Build-up rate of combined sewer storage volume</t>
  </si>
  <si>
    <t>Minimum rate of storage volume of combined sewer systems</t>
  </si>
  <si>
    <t>Urban surface runoff collected by separated sewer systems</t>
  </si>
  <si>
    <t>Urban surface runoff collected by combined sewer systems</t>
  </si>
  <si>
    <t>Constant for R-factor adjusment 1</t>
  </si>
  <si>
    <t>Constant for R-factor adjusment 2</t>
  </si>
  <si>
    <t>Constant for clay-phosphorus model 1</t>
  </si>
  <si>
    <t>Constant for clay-phosphorus model 2</t>
  </si>
  <si>
    <t>Constant for drainage flow 1</t>
  </si>
  <si>
    <t>Constant for drainage flow 2</t>
  </si>
  <si>
    <t>P-concentration in drained sandy soils</t>
  </si>
  <si>
    <t>P-concentration in drained clayey soils</t>
  </si>
  <si>
    <t>P-concentration of groundwater in sandy soils</t>
  </si>
  <si>
    <t>P-concentration of groundwater in clayey soils</t>
  </si>
  <si>
    <t>P-concentration of groundwater in fen soils</t>
  </si>
  <si>
    <t>Constant for unconsolidated rock areas far groundwater 1</t>
  </si>
  <si>
    <t>P-concentration in drained fen soils</t>
  </si>
  <si>
    <t>P-concentration in drained bog soils</t>
  </si>
  <si>
    <t>Constant for denitrification in drained soils</t>
  </si>
  <si>
    <t>Constant for travel time of groundwater</t>
  </si>
  <si>
    <t>Unconsolidated rock areas near groundwater</t>
  </si>
  <si>
    <t>Solid rock areas with good porosity</t>
  </si>
  <si>
    <t>Solid rock areas with poor porosity</t>
  </si>
  <si>
    <t>Total agricultural land</t>
  </si>
  <si>
    <t>Groundwater recharge area</t>
  </si>
  <si>
    <t>Non-agricultural groundwater recharge area</t>
  </si>
  <si>
    <t>Specific surface runoff</t>
  </si>
  <si>
    <t>Retention factor for TP in tributaries</t>
  </si>
  <si>
    <t>Measured yearly TN load</t>
  </si>
  <si>
    <t>Measured yearly DIN load</t>
  </si>
  <si>
    <t>Measured yearly TP load</t>
  </si>
  <si>
    <t>Total TN emissions</t>
  </si>
  <si>
    <t>Total TP emissions</t>
  </si>
  <si>
    <t>Constant for solid rock areas with good porosity 1</t>
  </si>
  <si>
    <t>Constant for solid rock areas with poor porosity 1</t>
  </si>
  <si>
    <t>Constant for unconsolidated rock areas near groundwater 2</t>
  </si>
  <si>
    <t>Constant for unconsolidated rock areas far groundwater 2</t>
  </si>
  <si>
    <t>Constant for solid rock areas with good porosity 2</t>
  </si>
  <si>
    <t>Constant for solid rock areas with poor porosity 2</t>
  </si>
  <si>
    <t>Catchments</t>
  </si>
  <si>
    <t>ID</t>
  </si>
  <si>
    <t>kg/(ha*a)</t>
  </si>
  <si>
    <t>g/(ha*y)</t>
  </si>
  <si>
    <t>t/(ha*y)</t>
  </si>
  <si>
    <t>t/y</t>
  </si>
  <si>
    <t>years</t>
  </si>
  <si>
    <t>GIS-data</t>
  </si>
  <si>
    <t>km</t>
  </si>
  <si>
    <t>Temporal data</t>
  </si>
  <si>
    <t>NH4-N deposition rate-current</t>
  </si>
  <si>
    <t>NO3-N deposition rate-current</t>
  </si>
  <si>
    <t>NH4-N deposition rate-long term</t>
  </si>
  <si>
    <t>NO3-N deposition rate-long term</t>
  </si>
  <si>
    <t>TP deposition rate</t>
  </si>
  <si>
    <t>N-surplus-current</t>
  </si>
  <si>
    <t>km²</t>
  </si>
  <si>
    <t>Catchment area</t>
  </si>
  <si>
    <t>%</t>
  </si>
  <si>
    <t>m³/s</t>
  </si>
  <si>
    <t>mm/y</t>
  </si>
  <si>
    <t>m</t>
  </si>
  <si>
    <t>mg/kg</t>
  </si>
  <si>
    <t>kg/(ha*y)</t>
  </si>
  <si>
    <t>mg/l</t>
  </si>
  <si>
    <t>Daily waste water input from inhabitants</t>
  </si>
  <si>
    <t>Area-specific N-emissions from paved areas</t>
  </si>
  <si>
    <t>Area-specific P-emissions from paved areas</t>
  </si>
  <si>
    <t>l/(cap*d)</t>
  </si>
  <si>
    <t>Organic N-concentration for forest</t>
  </si>
  <si>
    <t>Organic N-concentration for wetland</t>
  </si>
  <si>
    <t>Yearly precipitation-current</t>
  </si>
  <si>
    <t>Sub-basin</t>
  </si>
  <si>
    <t>Basin</t>
  </si>
  <si>
    <t>Upper Danube</t>
  </si>
  <si>
    <t>Danube</t>
  </si>
  <si>
    <t>Inn</t>
  </si>
  <si>
    <t>Austrian Danub</t>
  </si>
  <si>
    <t>Vltava</t>
  </si>
  <si>
    <t>Elbe</t>
  </si>
  <si>
    <t>Maltsch</t>
  </si>
  <si>
    <t>Inhabitants connected to WWTP´s via sewer system</t>
  </si>
  <si>
    <t>Country</t>
  </si>
  <si>
    <t>AT</t>
  </si>
  <si>
    <t xml:space="preserve">Maximum value for population density </t>
  </si>
  <si>
    <t>Areas and inhabitants</t>
  </si>
  <si>
    <t>Water surface (from GIS)</t>
  </si>
  <si>
    <t>Area control</t>
  </si>
  <si>
    <t>Landuse</t>
  </si>
  <si>
    <t>Agricultural soils</t>
  </si>
  <si>
    <t>Hydrogeology</t>
  </si>
  <si>
    <t>N-surplus-residence time</t>
  </si>
  <si>
    <t>N-content of topsoil</t>
  </si>
  <si>
    <t>N-emission via snowmelt</t>
  </si>
  <si>
    <t>P-emission via snowmelt</t>
  </si>
  <si>
    <t>mg/(m²*y)</t>
  </si>
  <si>
    <t>Unconsolidated rock areas far groundwater</t>
  </si>
  <si>
    <r>
      <t>km</t>
    </r>
    <r>
      <rPr>
        <vertAlign val="superscript"/>
        <sz val="10"/>
        <rFont val="Arial"/>
        <family val="2"/>
      </rPr>
      <t>2</t>
    </r>
  </si>
  <si>
    <t>Population</t>
  </si>
  <si>
    <t>inh</t>
  </si>
  <si>
    <t>Erosion</t>
  </si>
  <si>
    <t>Tile drainage</t>
  </si>
  <si>
    <t>Groundwater</t>
  </si>
  <si>
    <t>Constant for surface runoff 1</t>
  </si>
  <si>
    <t>Constant for surface runoff 2</t>
  </si>
  <si>
    <t>Constant for water solubilty 1</t>
  </si>
  <si>
    <t>N-emission via agricultural erosion</t>
  </si>
  <si>
    <t>P-emission via agricultural erosion</t>
  </si>
  <si>
    <t>Agricultural sediment input</t>
  </si>
  <si>
    <t>Natural sediment input</t>
  </si>
  <si>
    <t>N-emission via natural erosion</t>
  </si>
  <si>
    <t>N-emission via atmospheric deposition</t>
  </si>
  <si>
    <t>P-emission via atmospheric deposition</t>
  </si>
  <si>
    <t>N-emission via tile drainage systems</t>
  </si>
  <si>
    <t>P-emission via tile drainage systems</t>
  </si>
  <si>
    <t>Tile drainage runoff</t>
  </si>
  <si>
    <t>N-emission via groundwater</t>
  </si>
  <si>
    <t>P-emission via groundwater</t>
  </si>
  <si>
    <t>Constant for DIN retention 1</t>
  </si>
  <si>
    <t>Constant for DIN retention 2</t>
  </si>
  <si>
    <t>Constant for DIN retention 3</t>
  </si>
  <si>
    <t>Constant for TP retention 1</t>
  </si>
  <si>
    <t>Constant for TP retention 2</t>
  </si>
  <si>
    <t>Constant for TP retention 3</t>
  </si>
  <si>
    <t>Constant for TP retention 4</t>
  </si>
  <si>
    <t>Averge water temperature</t>
  </si>
  <si>
    <t>°C</t>
  </si>
  <si>
    <t>m/y</t>
  </si>
  <si>
    <t>Tributary water surface</t>
  </si>
  <si>
    <t>Arable land, slope &gt;8 %</t>
  </si>
  <si>
    <t>Arable land, slope &lt;1 %</t>
  </si>
  <si>
    <t>Average elevation</t>
  </si>
  <si>
    <t>Average slope</t>
  </si>
  <si>
    <t>Accumulated P-surplus</t>
  </si>
  <si>
    <t>Accumulated P-surplus in Germany</t>
  </si>
  <si>
    <t>Constant for unconsolidated rock areas near groundwater 1</t>
  </si>
  <si>
    <t>Arable land, slope 1-2 %</t>
  </si>
  <si>
    <t>Arable land, slope 4-8 %</t>
  </si>
  <si>
    <t>N total deposition rate-current</t>
  </si>
  <si>
    <t>N total deposition rate-long term</t>
  </si>
  <si>
    <t>Mountain code</t>
  </si>
  <si>
    <t xml:space="preserve"> </t>
  </si>
  <si>
    <t xml:space="preserve"> -</t>
  </si>
  <si>
    <t>TN-retention</t>
  </si>
  <si>
    <t>TP retention</t>
  </si>
  <si>
    <t>N emissions from from waste water management</t>
  </si>
  <si>
    <t>Combusdtion via naturally covered and open areas</t>
  </si>
  <si>
    <t>Combustion via agricultural areas</t>
  </si>
  <si>
    <t>waste water</t>
  </si>
  <si>
    <t>Combustion</t>
  </si>
  <si>
    <t>combustion total</t>
  </si>
  <si>
    <t>NH3 via naturally covered and open areas</t>
  </si>
  <si>
    <t>NH3 via agricultural areas</t>
  </si>
  <si>
    <t>background</t>
  </si>
  <si>
    <t>agriculture total</t>
  </si>
  <si>
    <t>NHx Deposition natrullay covered and open areas actual</t>
  </si>
  <si>
    <t>total N Deposition natrullay covered and open areas actual</t>
  </si>
  <si>
    <t>total N Deposition natrullay covered and open areas longterm</t>
  </si>
  <si>
    <t>total N Deposition agricultural areas actual</t>
  </si>
  <si>
    <t>total N Depositionagricultural longterm</t>
  </si>
  <si>
    <t>surplus agricultural areas without deposition actuall</t>
  </si>
  <si>
    <t>surplus agricultural areas without deposition longterm</t>
  </si>
  <si>
    <t>surface runoff and snow NHx natrually covered and open areas</t>
  </si>
  <si>
    <t>surface runoff and snow Nox naturally covered and open areas</t>
  </si>
  <si>
    <t>surface runoff and snow NHx agricultural areas</t>
  </si>
  <si>
    <t>surface runoff and snow Nox agricultural areas</t>
  </si>
  <si>
    <t>NOx Deposition natrullay covered and open areas actual</t>
  </si>
  <si>
    <t>NHx Deposition natrullay covered andopen areas long term</t>
  </si>
  <si>
    <t>NOx Deposition natrullay covered and open areas longterm</t>
  </si>
  <si>
    <t>NOx Depositionagricultural areas actual</t>
  </si>
  <si>
    <t>NHx Deposition agrgicultural areas long term</t>
  </si>
  <si>
    <t>NOx Deposition agricultural longterm</t>
  </si>
  <si>
    <t>Background deposition NHx</t>
  </si>
  <si>
    <t>kg/ha.a</t>
  </si>
  <si>
    <t>NHx background concentration surface runoff</t>
  </si>
  <si>
    <t>NOx background concentration surface runoff</t>
  </si>
  <si>
    <t>N background concentration potential leakage</t>
  </si>
  <si>
    <t>N background concentrationgroundwater</t>
  </si>
  <si>
    <t>NHx background surface runoff naturally covered and open areas</t>
  </si>
  <si>
    <t>NOx backgroundsurface runoff naturally covered and open areas</t>
  </si>
  <si>
    <t>NHx background surface runoff  agricultural areas</t>
  </si>
  <si>
    <t>NOx background surface runoff naturally covered and open areas</t>
  </si>
  <si>
    <t>N background groundwater</t>
  </si>
  <si>
    <t>antropogen surface runoff and snow NHx natrually covered and open areas</t>
  </si>
  <si>
    <t>antropogen surface runoff and snow Nox naturally covered and open areas</t>
  </si>
  <si>
    <t>antropogen surface runoff and snow NHx agricultural areas</t>
  </si>
  <si>
    <t>antropogen surface runoff and snow Nox agricultural areas</t>
  </si>
  <si>
    <t>NHx Deposition agricultural areas actual</t>
  </si>
  <si>
    <t>NHx atmospheric depostion</t>
  </si>
  <si>
    <t>NOx atmospheric depostion</t>
  </si>
  <si>
    <t>groundwater emission without background</t>
  </si>
  <si>
    <t>groundwater emission from NHx naturally covered and open areas</t>
  </si>
  <si>
    <t>groundwater emission from NOx naturally covered and open areas</t>
  </si>
  <si>
    <t>groundwater emission from NHx agricultural areas</t>
  </si>
  <si>
    <t>groundwater emission from NOx agricultural areas</t>
  </si>
  <si>
    <t>groundwater from agricultural paxis</t>
  </si>
  <si>
    <t>agriculture</t>
  </si>
  <si>
    <t>agriculture landcultivation (groundwater and surface runoff</t>
  </si>
  <si>
    <t>total</t>
  </si>
  <si>
    <t>total pathways</t>
  </si>
  <si>
    <t>kg/ha.y</t>
  </si>
  <si>
    <t>Background deposition Nox</t>
  </si>
  <si>
    <t>N-potential leachate</t>
  </si>
  <si>
    <t>N-groundwater exfiltration</t>
  </si>
  <si>
    <t>NHxbackground athmospheric deposition</t>
  </si>
  <si>
    <t>P background groundwater</t>
  </si>
  <si>
    <t>P background natural erosion</t>
  </si>
  <si>
    <t>P background surface runoff</t>
  </si>
  <si>
    <t>P emissions from from waste water management</t>
  </si>
  <si>
    <t>Others</t>
  </si>
  <si>
    <t>Others total</t>
  </si>
  <si>
    <t>Total TN retention in the sub-catchment</t>
  </si>
  <si>
    <t>Total TP retention in the sub-catchment</t>
  </si>
  <si>
    <t>TN retention from the own emissions</t>
  </si>
  <si>
    <t>TP retention from the own emissions</t>
  </si>
  <si>
    <t xml:space="preserve">Summed total TN retention </t>
  </si>
  <si>
    <t xml:space="preserve">Summed total TP retention </t>
  </si>
  <si>
    <t>Retention from the own emissions</t>
  </si>
  <si>
    <t>Retention from emissions</t>
  </si>
  <si>
    <t>Total main channel loads</t>
  </si>
  <si>
    <t>Own main channel loads</t>
  </si>
  <si>
    <t>coeficient for soluble P in agricultural erosion</t>
  </si>
  <si>
    <t>coeficient for soluble P in urban area discharges</t>
  </si>
  <si>
    <t>coeficient for soluble P in points source discharges</t>
  </si>
  <si>
    <t>Additional loads</t>
  </si>
  <si>
    <t>Pges filtr.
2000 - 2006</t>
  </si>
  <si>
    <t>Orthophosphat
2000 - 2006</t>
  </si>
  <si>
    <t>SSolids
2000 - 2006</t>
  </si>
  <si>
    <t>k.Wert</t>
  </si>
  <si>
    <t>total soluble P</t>
  </si>
  <si>
    <t>% of total P</t>
  </si>
  <si>
    <t>calculated soluble P-loads</t>
  </si>
  <si>
    <t>calculated orthophosphate-loads</t>
  </si>
  <si>
    <t>ortho-phosphate calculated</t>
  </si>
  <si>
    <t>ortho phosphate aus Frachten</t>
  </si>
  <si>
    <t>ortho-phosphate C-90 calculated</t>
  </si>
  <si>
    <t>Perzentile</t>
  </si>
  <si>
    <t>Unterschreitungshäufigkeit</t>
  </si>
  <si>
    <t>calculated ortho-phosphare</t>
  </si>
  <si>
    <t>measured ortho-phosphare</t>
  </si>
  <si>
    <t>Conversion coeficient from orthophosphat average to orthoposphate C90</t>
  </si>
  <si>
    <t>calculated ortho-phosphate</t>
  </si>
  <si>
    <t>mg/l C90</t>
  </si>
  <si>
    <t>TP calculated average</t>
  </si>
  <si>
    <t>TP measured average</t>
  </si>
  <si>
    <t>calculated TP</t>
  </si>
  <si>
    <t>measured TP</t>
  </si>
  <si>
    <t>DIN calculated average</t>
  </si>
  <si>
    <t>DIN measured average from loads</t>
  </si>
  <si>
    <t>DIN C-90 calculated</t>
  </si>
  <si>
    <t xml:space="preserve">calculated DIN </t>
  </si>
  <si>
    <t>measured DIN</t>
  </si>
  <si>
    <t>calculatedDIN</t>
  </si>
  <si>
    <t>VALUE</t>
  </si>
  <si>
    <t>N-GW_measured</t>
  </si>
  <si>
    <t>N-GW calculated</t>
  </si>
  <si>
    <t>calculated DIN GW</t>
  </si>
  <si>
    <t>measured DIN GW</t>
  </si>
  <si>
    <t>calculated NO3 GW</t>
  </si>
  <si>
    <t>measured NO3 GW</t>
  </si>
  <si>
    <t>NO3 GW_measured</t>
  </si>
  <si>
    <t>NO3 GW calculated</t>
  </si>
  <si>
    <t>Kombination gibt es nicht</t>
  </si>
  <si>
    <t>NO3-N 
Richtwert für Zustandsgrenze gut/mäßig gemäß Bioregionszuordnung</t>
  </si>
  <si>
    <t>PO4-P
Richtwert für Zustandsgrenze gut/mäßig gemäß Bioregionszuordnung</t>
  </si>
  <si>
    <t>PO4-P calculated to standard</t>
  </si>
  <si>
    <t>relation calculated to limit</t>
  </si>
  <si>
    <t>relation measured to limit</t>
  </si>
  <si>
    <t>DIN calculated to NO3-N standard</t>
  </si>
  <si>
    <t>indicator</t>
  </si>
  <si>
    <t>soluble P-emission pathways</t>
  </si>
  <si>
    <t>drainage</t>
  </si>
  <si>
    <t>agricultural drainage</t>
  </si>
  <si>
    <t>surface runoff and groundwater from agriculture</t>
  </si>
  <si>
    <t>soluble P</t>
  </si>
  <si>
    <t>soluble P of rivers with concentrations above quality target</t>
  </si>
  <si>
    <t>catchments with PO4-P River concentrations above limit (including upstream catchments); emission pathways total P</t>
  </si>
  <si>
    <t>emission pathways soluble P</t>
  </si>
  <si>
    <t>sources Total P</t>
  </si>
  <si>
    <t>total P</t>
  </si>
  <si>
    <t>TP of rivers with concentrations above quality target</t>
  </si>
  <si>
    <t>housholds, urban areas</t>
  </si>
  <si>
    <t>agriculutre, drainage</t>
  </si>
  <si>
    <t>agricultur erosion</t>
  </si>
  <si>
    <t>deposition</t>
  </si>
  <si>
    <t>waste water from point sources</t>
  </si>
  <si>
    <t>waste water via urban runoff</t>
  </si>
  <si>
    <t>P soluble sources</t>
  </si>
  <si>
    <t>TP all rivers</t>
  </si>
  <si>
    <t>agriculture landcultivation (groundwater and surface runoff)</t>
  </si>
  <si>
    <t>agriculture: NH3 via naturally covered and open areas</t>
  </si>
  <si>
    <t>agriculture: NH3 via agricultural areas</t>
  </si>
  <si>
    <t>agriculture: drainage</t>
  </si>
  <si>
    <t>agriculture: groundwater and surface runoff</t>
  </si>
  <si>
    <t>agriculture: surface runoff and groundwater</t>
  </si>
  <si>
    <t>Indicator</t>
  </si>
  <si>
    <t>catchments with NO3-N River concentrations above limit (including upstream catchments); emission pathways total P</t>
  </si>
  <si>
    <t>housholds and industry, point sources</t>
  </si>
  <si>
    <t>combustion: NOX via agricultural areas</t>
  </si>
  <si>
    <t>combustion: NOX via natur. covered and open areas</t>
  </si>
  <si>
    <t>TN of rivers with concentrations above quality target</t>
  </si>
  <si>
    <t>Inhabitants connected to separated sewer systems</t>
  </si>
  <si>
    <t>Index PO4-P:                   0=UQZ nicht überschritten,                         1 = UQZ eventuell überschritten;                         2=UQZ überschritten</t>
  </si>
  <si>
    <t>Index NO3-NP:                   0=UQZ nicht überschritten,                         1 = UQZ eventuell überschritten;                         2=UQZ überschritten</t>
  </si>
  <si>
    <t>kg/(ha.a)</t>
  </si>
  <si>
    <t>N-emission sources</t>
  </si>
  <si>
    <t>TP emission sources</t>
  </si>
  <si>
    <t>P soluble emission sources</t>
  </si>
  <si>
    <t>N emission sources</t>
  </si>
  <si>
    <t>soluble P emission sources</t>
  </si>
  <si>
    <t>Überschreitungshäufigkeit</t>
  </si>
  <si>
    <t>Kommunen und Industrie (Punkteinleitungen)</t>
  </si>
  <si>
    <t>Kommunen und Industrie (sonstige Eintragspfade)</t>
  </si>
  <si>
    <t>Landwirtschaft (Drainagen)</t>
  </si>
  <si>
    <t>Landwirtschaft (Erosion)</t>
  </si>
  <si>
    <t>Deposition</t>
  </si>
  <si>
    <t>Hintergrund</t>
  </si>
  <si>
    <t>Landwirtschaft (NH3 über Deposition auf lw Flächen)</t>
  </si>
  <si>
    <t>Verbrennung: NOX auf Wald und offene Flächen</t>
  </si>
  <si>
    <t>Landwirtschaft (NH3 über Wald und offene Flächen)</t>
  </si>
  <si>
    <t>Verbrennung NOX auf lw Flächen</t>
  </si>
  <si>
    <t>Landwirtsch. (Grundw.und Oberflächenabfl.)</t>
  </si>
  <si>
    <t>Landwirtsch. (Grundw. und Oberflächenabfl.)</t>
  </si>
  <si>
    <t>TN retention from the own emissions  in tributaries</t>
  </si>
  <si>
    <t>TP retention from the own emissions  in tributaries</t>
  </si>
  <si>
    <t>TN loads from catchment emissions</t>
  </si>
  <si>
    <t>DIN loads from catchment emissions</t>
  </si>
  <si>
    <t>TP loads from catchment emissions</t>
  </si>
  <si>
    <t>TN outlet lake retention from catchment emissions</t>
  </si>
  <si>
    <t>Moosb./Mühlheimerache</t>
  </si>
  <si>
    <t>Enknach</t>
  </si>
  <si>
    <t>Schwemmbach</t>
  </si>
  <si>
    <t>Mattig</t>
  </si>
  <si>
    <t>Moosbach</t>
  </si>
  <si>
    <t>Mühlheimer Ache</t>
  </si>
  <si>
    <t>Gurtenbach</t>
  </si>
  <si>
    <t>Antiesen</t>
  </si>
  <si>
    <t>Pram</t>
  </si>
  <si>
    <t>Ranna</t>
  </si>
  <si>
    <t>Kleine Mühl</t>
  </si>
  <si>
    <t>Steinerne Mühl</t>
  </si>
  <si>
    <t>Große Mühl</t>
  </si>
  <si>
    <t>Dürre Aschach und Aschach</t>
  </si>
  <si>
    <t>Aschach</t>
  </si>
  <si>
    <t>Trattnach</t>
  </si>
  <si>
    <t>Innbach</t>
  </si>
  <si>
    <t>Pesenbach</t>
  </si>
  <si>
    <t>Große Rodl</t>
  </si>
  <si>
    <t>Diesenleitenbach</t>
  </si>
  <si>
    <t>Gosaubach</t>
  </si>
  <si>
    <t>Ischler Ache</t>
  </si>
  <si>
    <t>Fuschler Ache</t>
  </si>
  <si>
    <t>Dürre Ager</t>
  </si>
  <si>
    <t>Vökla</t>
  </si>
  <si>
    <t>Ager</t>
  </si>
  <si>
    <t>Alm</t>
  </si>
  <si>
    <t>Krems</t>
  </si>
  <si>
    <t>Ipfbach</t>
  </si>
  <si>
    <t>Kristeinerbach</t>
  </si>
  <si>
    <t>Kleine Gusen</t>
  </si>
  <si>
    <t>Große Gusen</t>
  </si>
  <si>
    <t>Gusen</t>
  </si>
  <si>
    <t>Talbach</t>
  </si>
  <si>
    <t>Kleinsölkbach</t>
  </si>
  <si>
    <t>Sölkbach</t>
  </si>
  <si>
    <t>Salza</t>
  </si>
  <si>
    <t>Donnersbach</t>
  </si>
  <si>
    <t>Gufling</t>
  </si>
  <si>
    <t>Triebenbach</t>
  </si>
  <si>
    <t>Patten</t>
  </si>
  <si>
    <t>Erzbach</t>
  </si>
  <si>
    <t>Aschbach</t>
  </si>
  <si>
    <t>Lassingbach</t>
  </si>
  <si>
    <t>Reichramming Großer Bach</t>
  </si>
  <si>
    <t>Teichl</t>
  </si>
  <si>
    <t>Krumme Steyrling</t>
  </si>
  <si>
    <t>Steyr</t>
  </si>
  <si>
    <t>Feldaist</t>
  </si>
  <si>
    <t>Waldaist</t>
  </si>
  <si>
    <t>Aist</t>
  </si>
  <si>
    <t>Klammbach</t>
  </si>
  <si>
    <t>Klammleitenbach</t>
  </si>
  <si>
    <t>Große Naarn</t>
  </si>
  <si>
    <t>Kartenbach</t>
  </si>
  <si>
    <t>Traun</t>
  </si>
  <si>
    <t>Enns</t>
  </si>
  <si>
    <t>Donau</t>
  </si>
  <si>
    <t>OÖ total</t>
  </si>
  <si>
    <t>abfiltr. Stoffe (nur 2006)</t>
  </si>
  <si>
    <t>Ges.P unfiltriert</t>
  </si>
  <si>
    <t>o-P</t>
  </si>
  <si>
    <t>NO2-N</t>
  </si>
  <si>
    <t>NO3-N</t>
  </si>
  <si>
    <t>NH4-N</t>
  </si>
  <si>
    <t>Verwendete Mst. im STOBIMO Projekt</t>
  </si>
  <si>
    <t>Zuordenbares MONERIS EZG</t>
  </si>
  <si>
    <t>EZG Abweichung LMST zu SUM_ID [%]</t>
  </si>
  <si>
    <t>MW</t>
  </si>
  <si>
    <t>C-90%</t>
  </si>
  <si>
    <t>Mattig 1,93</t>
  </si>
  <si>
    <t>FW40503037</t>
  </si>
  <si>
    <t>Mühlheimer Ache 1,7</t>
  </si>
  <si>
    <t>FW40504017</t>
  </si>
  <si>
    <t>Antiesen 21,7</t>
  </si>
  <si>
    <t>FW40505027</t>
  </si>
  <si>
    <t>Antiesen 7,1</t>
  </si>
  <si>
    <t>Pram 33,6</t>
  </si>
  <si>
    <t>Pram 15,9</t>
  </si>
  <si>
    <t>FW40506027</t>
  </si>
  <si>
    <t>Pram 6,6</t>
  </si>
  <si>
    <t>Große Mühl 30,9</t>
  </si>
  <si>
    <t>Aschach 18,7</t>
  </si>
  <si>
    <t>LMST ASCH</t>
  </si>
  <si>
    <t>Aschach 5,4</t>
  </si>
  <si>
    <t>Trattnach 1,35</t>
  </si>
  <si>
    <t>Innbach 9,7</t>
  </si>
  <si>
    <t>Pesenbach 3,9</t>
  </si>
  <si>
    <t>Große Rodl 3,6</t>
  </si>
  <si>
    <t>FW40622016</t>
  </si>
  <si>
    <t>Vöckla 19,3</t>
  </si>
  <si>
    <t>Vöckla 0,1</t>
  </si>
  <si>
    <t>FW40711027</t>
  </si>
  <si>
    <t>Ager 31,2</t>
  </si>
  <si>
    <t>Ager 1,57</t>
  </si>
  <si>
    <t>FW40710047</t>
  </si>
  <si>
    <t>Alm 33,3</t>
  </si>
  <si>
    <t>Alm 4,75</t>
  </si>
  <si>
    <t>Krems 36,5</t>
  </si>
  <si>
    <t>Krems 7,9</t>
  </si>
  <si>
    <t>FW40713047</t>
  </si>
  <si>
    <t>Ipfbach 3,9</t>
  </si>
  <si>
    <t>Kleine Gusen 0,1</t>
  </si>
  <si>
    <t>Gusen 15,7</t>
  </si>
  <si>
    <t>LMST GUSE</t>
  </si>
  <si>
    <t>Gusen 2,1</t>
  </si>
  <si>
    <t>Steyr 0,08</t>
  </si>
  <si>
    <t>FW40815027</t>
  </si>
  <si>
    <t>Feldaist 31</t>
  </si>
  <si>
    <t>LMST FELD</t>
  </si>
  <si>
    <t>Feldaist 0,3</t>
  </si>
  <si>
    <t>Waldaist 2,4</t>
  </si>
  <si>
    <t>LMST WALD</t>
  </si>
  <si>
    <t>Aist 6</t>
  </si>
  <si>
    <t>Naarn 49,85</t>
  </si>
  <si>
    <t>Traun obere 130,93</t>
  </si>
  <si>
    <t>FW40709126</t>
  </si>
  <si>
    <t>Traun untere 71</t>
  </si>
  <si>
    <t>FW40709047</t>
  </si>
  <si>
    <t>Traun untere 4,7</t>
  </si>
  <si>
    <t>Enns 2,7</t>
  </si>
  <si>
    <t>FW40814047</t>
  </si>
  <si>
    <t>EZG</t>
  </si>
  <si>
    <t>km2</t>
  </si>
  <si>
    <t>Abweichung DIN</t>
  </si>
  <si>
    <t>Abweichung o-P</t>
  </si>
  <si>
    <t>Inhabitants connected to traditional septic tanks</t>
  </si>
  <si>
    <t>Inhabitants connected to decentralized treatment plants, discharging waste water into soil</t>
  </si>
  <si>
    <t>Inhabitants connected to decentralized treatment plants, discharging waste water into surface water</t>
  </si>
  <si>
    <t>Inhabitants connected to decentralized treatment plants</t>
  </si>
  <si>
    <t>Inhabitants connected to fully isolated septic tanks</t>
  </si>
  <si>
    <t>Rate of inhabitants connected to septic tanks which are fully isolated</t>
  </si>
  <si>
    <t>Discharge from inhabitants and industry to sewer systems without WWTP</t>
  </si>
  <si>
    <t>Urban total runoff (surface runoff + waste water not transported to WWTP)</t>
  </si>
  <si>
    <t>Groundwater flow from rural areas</t>
  </si>
  <si>
    <t>Specific rural groundwater flow</t>
  </si>
  <si>
    <t>Transported part of dissolved N from traditional septic tanks to WWTP</t>
  </si>
  <si>
    <t>Transported part of dissolved P from traditional septic tanks to WWTP</t>
  </si>
  <si>
    <t>Basis P-content of agricultural topsoils</t>
  </si>
  <si>
    <t>N-emission from urban areas connected to separated system</t>
  </si>
  <si>
    <t>P-emission from urban areas connected to separated system</t>
  </si>
  <si>
    <t>N-emission from urban areas connected to combined system</t>
  </si>
  <si>
    <t>P-emission from urban areas connected to combined system</t>
  </si>
  <si>
    <t>N-emission from not connected urban areas</t>
  </si>
  <si>
    <t>P-emission from not connected urban areas</t>
  </si>
  <si>
    <t>Regional balance</t>
  </si>
  <si>
    <t>Export</t>
  </si>
  <si>
    <t>Overall retention rate [%]</t>
  </si>
  <si>
    <t>Retention rate of the local emissions [%]</t>
  </si>
  <si>
    <t>MONERIS-Österreich</t>
  </si>
  <si>
    <t>GZÜV ID</t>
  </si>
  <si>
    <t>SUM ID</t>
  </si>
  <si>
    <t>HZB ID</t>
  </si>
  <si>
    <t>Pges unfiltr.
2000 - 2006</t>
  </si>
  <si>
    <t>Ammonium - N
2000 - 2006</t>
  </si>
  <si>
    <t>Nitrit -N
2000 - 2006</t>
  </si>
  <si>
    <t>Nitrat - N
2000 - 2006</t>
  </si>
  <si>
    <t>DIN
2000 - 2006</t>
  </si>
  <si>
    <t>Ager 32,9</t>
  </si>
  <si>
    <t>Ager 25,16</t>
  </si>
  <si>
    <t>Ager 21,3</t>
  </si>
  <si>
    <t>Ager 17,2</t>
  </si>
  <si>
    <t>Ager 8,1</t>
  </si>
  <si>
    <t>Alm 22,26</t>
  </si>
  <si>
    <t>Alm 10,5</t>
  </si>
  <si>
    <t>Antiesen 23,5</t>
  </si>
  <si>
    <t>Antiesen 16,8</t>
  </si>
  <si>
    <t>Faule Aschach 0,88</t>
  </si>
  <si>
    <t>D. Aschach 9,5</t>
  </si>
  <si>
    <t>Enns 33,8</t>
  </si>
  <si>
    <t>Enns 17,8</t>
  </si>
  <si>
    <t>Enns 8,2</t>
  </si>
  <si>
    <t>Feldaist 29,2</t>
  </si>
  <si>
    <t>Feldaist 17,45</t>
  </si>
  <si>
    <t>Große Mühl 52,1</t>
  </si>
  <si>
    <t>Große Mühl 21,8</t>
  </si>
  <si>
    <t>Große Rodl 23,2</t>
  </si>
  <si>
    <t>Gusen 19,6</t>
  </si>
  <si>
    <t>Gusen 10,4</t>
  </si>
  <si>
    <t>Gusen 6,1</t>
  </si>
  <si>
    <t>Krems 54,8</t>
  </si>
  <si>
    <t>Krems 12,8</t>
  </si>
  <si>
    <t>Mattig 36,3</t>
  </si>
  <si>
    <t>Mattig 25,1</t>
  </si>
  <si>
    <t>Mattig 18,1</t>
  </si>
  <si>
    <t>Naarn 13,7</t>
  </si>
  <si>
    <t>Traun obere 117,95</t>
  </si>
  <si>
    <t>Traun obere 103,2</t>
  </si>
  <si>
    <t>Traun obere 86,65</t>
  </si>
  <si>
    <t>Traun untere 66,1</t>
  </si>
  <si>
    <t>Traun untere 57,4</t>
  </si>
  <si>
    <t>Traun untere 42</t>
  </si>
  <si>
    <t>Traun untere 33,2</t>
  </si>
  <si>
    <t>Traun untere 23,5</t>
  </si>
  <si>
    <t>Traun untere 12,7</t>
  </si>
  <si>
    <t>Pram 39,5</t>
  </si>
  <si>
    <t>Pram 13,4</t>
  </si>
  <si>
    <t>Steyr 22,1</t>
  </si>
  <si>
    <t>Steyr 16,4</t>
  </si>
  <si>
    <t>Vöckla 23,3</t>
  </si>
  <si>
    <t>Vöckla 9</t>
  </si>
  <si>
    <t>Trattnach 11,3</t>
  </si>
  <si>
    <t>Kommunen und Industrie, Punkteinleitungen</t>
  </si>
  <si>
    <t>Kommunen, sonstige Wasserpfad</t>
  </si>
  <si>
    <t>Landwirt., Luftpfad, NHX, Wald und offene Flächen</t>
  </si>
  <si>
    <t>Landwirt., Luftpfad, NHX, Deposition auf lw Flächen)</t>
  </si>
  <si>
    <t>Landwirtschaft, Drainagen</t>
  </si>
  <si>
    <t>Landwirtschaft, Landbewirtschaftung</t>
  </si>
  <si>
    <t>Kommun. Luftpfad, NOX, Wald und offene Flächen</t>
  </si>
  <si>
    <t>Kommunen Luftpfad NOX über lw Flächen</t>
  </si>
  <si>
    <t>Oberflächenabfluss</t>
  </si>
  <si>
    <t>Schneeschmelze</t>
  </si>
  <si>
    <t>Erosion von lw Flächen</t>
  </si>
  <si>
    <t>Erosion von Wald und offenen Flächen</t>
  </si>
  <si>
    <t>Drainage</t>
  </si>
  <si>
    <t>Grundwasser</t>
  </si>
  <si>
    <t>Urbane Flächen</t>
  </si>
  <si>
    <t>Punktquellen</t>
  </si>
  <si>
    <t>DIN mod</t>
  </si>
  <si>
    <t>DINbeob</t>
  </si>
  <si>
    <t>Traun/Enns</t>
  </si>
  <si>
    <t>Innviertel</t>
  </si>
  <si>
    <t>westliches Mühlviertel</t>
  </si>
  <si>
    <t>östliches Mühlviertel</t>
  </si>
  <si>
    <t>Fläche</t>
  </si>
  <si>
    <t>DIN beob</t>
  </si>
  <si>
    <t>TP mod</t>
  </si>
  <si>
    <t>TP beob</t>
  </si>
  <si>
    <t>Gesamt Österreich</t>
  </si>
  <si>
    <t>TPbeob</t>
  </si>
  <si>
    <t>DIN c-90</t>
  </si>
  <si>
    <t>Innviertel 1</t>
  </si>
  <si>
    <t>Innviertel 2</t>
  </si>
  <si>
    <t>Mühlviertel West</t>
  </si>
  <si>
    <t>Mühlviertel Ost</t>
  </si>
  <si>
    <t>DINe C-90 measured</t>
  </si>
  <si>
    <t>o-P c-90</t>
  </si>
  <si>
    <t>ortho-phosphate C-90 measured</t>
  </si>
  <si>
    <t>Ges.P unfiltriert aus Fracht ergänzt durch Spaöte DI</t>
  </si>
  <si>
    <t>DIN aus Fracht</t>
  </si>
  <si>
    <t>o-P aus Fracht</t>
  </si>
  <si>
    <t>NO3-GW</t>
  </si>
  <si>
    <t>NO3-N GW measured</t>
  </si>
  <si>
    <t>gemessen</t>
  </si>
  <si>
    <t>PO4-P</t>
  </si>
  <si>
    <t>P-groundwater original constants</t>
  </si>
  <si>
    <t/>
  </si>
  <si>
    <t>P-GW</t>
  </si>
  <si>
    <t>Überschreitung Modelliert</t>
  </si>
  <si>
    <t>Auswertung Christian</t>
  </si>
  <si>
    <t>PO4-P, Messwert &lt; RW: 0; Messwert&gt;RW: 1; kein Messwert: 2</t>
  </si>
  <si>
    <t>NO3-N, Messwert &lt; RW: 0; Messwert&gt;RW: 1; kein Messwert: 2</t>
  </si>
  <si>
    <t>Überschreitung gemessen; OÖ, Christian</t>
  </si>
  <si>
    <t>n.b.</t>
  </si>
  <si>
    <t>EZG_restlich1</t>
  </si>
  <si>
    <t>EZG_restlich2</t>
  </si>
  <si>
    <t>EZG_restlich3</t>
  </si>
  <si>
    <t>D</t>
  </si>
  <si>
    <t>EZG_restlich4</t>
  </si>
  <si>
    <t>DE</t>
  </si>
  <si>
    <t>CZ</t>
  </si>
  <si>
    <t>TN main channel retention from catchment emissions</t>
  </si>
  <si>
    <t>Urban total runoff (surface runoff + waste water not transported to WWTP) discharged via combined systems</t>
  </si>
  <si>
    <t>Discharge from inhabitants not connected to sewer systems</t>
  </si>
  <si>
    <t>Urban total runoff (surface runoff + waste water not transported to WWTP) from unsewered areas</t>
  </si>
  <si>
    <t>Urban runoff discharged via combined systems</t>
  </si>
  <si>
    <t>Urban runoff discharged via separated systems</t>
  </si>
  <si>
    <t>Urban runoff from unsewered areas</t>
  </si>
  <si>
    <t>Regenkanalisation</t>
  </si>
  <si>
    <t>Mischwasserentlastung</t>
  </si>
  <si>
    <t>Bevölkerung ohne Kanalisation</t>
  </si>
  <si>
    <t>separated sewr systems</t>
  </si>
  <si>
    <t>combined system overflows</t>
  </si>
  <si>
    <t>non-sewered urban areas</t>
  </si>
  <si>
    <t>atmospheric runoff</t>
  </si>
  <si>
    <t>snowmelt runoff</t>
  </si>
  <si>
    <t>tile drainage runoff</t>
  </si>
  <si>
    <t>groundwater flow</t>
  </si>
  <si>
    <t>urban runoff via separated systems</t>
  </si>
  <si>
    <t>urban runoff via combined systems</t>
  </si>
  <si>
    <t>urban runoff from unsewered areas</t>
  </si>
  <si>
    <t>Emission</t>
  </si>
  <si>
    <t>summed P-emission via agricultural erosion</t>
  </si>
  <si>
    <t>summed Total TP emissions</t>
  </si>
  <si>
    <t>2001-2006</t>
  </si>
  <si>
    <t>(Traun-Ens-Platte)</t>
  </si>
  <si>
    <t>0,5 Drainagen</t>
  </si>
  <si>
    <t>Östliches Waldviertel</t>
  </si>
  <si>
    <t>Period: 2007-2013 average</t>
  </si>
  <si>
    <t>Measured yearly TP load (Klassenmethode)</t>
  </si>
  <si>
    <t>Measured yearly DIN load (ICPDR Methode)</t>
  </si>
  <si>
    <t>Sandy agricultural soils (notwendig_Flächenkorrektur)</t>
  </si>
  <si>
    <t>Loamy agricultural soils (notwendig_Flächenkorrektur)</t>
  </si>
  <si>
    <t>Silty agricultural soils (notwendig_Flächenkorrektur)</t>
  </si>
  <si>
    <t>Clayey agricultural soils (notwendig_Flächenkorrektur)</t>
  </si>
  <si>
    <t>Fen agricultural soils (notwendig_Flächenkorrektur)</t>
  </si>
  <si>
    <t>Bog agricultural soils (notwendig_Flächenkorrektur)</t>
  </si>
  <si>
    <t>Inhabitants connected to sewer systems (aus Septik tank Daten von 2001-2006)</t>
  </si>
  <si>
    <t>Inhabitants connected to WWTP´s via sewer system (aus Septik tank Daten von 2001-2006)</t>
  </si>
  <si>
    <t>Inhabitants connected to septic tanks (2001-2006)</t>
  </si>
  <si>
    <t>Area proportion of combined sewer system (aus 2001-2006)</t>
  </si>
  <si>
    <t>2007-2013</t>
  </si>
  <si>
    <t>N Oberösterreich (modelliert)</t>
  </si>
  <si>
    <t>P Oberösterreich (modelliert)</t>
  </si>
  <si>
    <t>N Oberösterreich (gemessen/ICPDR_Methode)</t>
  </si>
  <si>
    <t>Diff_DIN</t>
  </si>
  <si>
    <t>% Diff_DIN</t>
  </si>
  <si>
    <t>STABW</t>
  </si>
  <si>
    <t>Diff_TP</t>
  </si>
  <si>
    <t>% Diff_TP</t>
  </si>
  <si>
    <t>P Oberösterreich (gemessen/Klassenmethode)</t>
  </si>
  <si>
    <t>PO4-P measured to standard</t>
  </si>
  <si>
    <t>Orthophosphat
2007 - 2013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</si>
</sst>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</numFmts>
  <fonts count="29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Helv"/>
    </font>
    <font>
      <b/>
      <sz val="10"/>
      <name val="MS Sans Serif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5" tint="-0.499984740745262"/>
      <name val="Arial"/>
      <family val="2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0"/>
      <color rgb="FF00B050"/>
      <name val="Arial"/>
      <family val="2"/>
    </font>
    <font>
      <sz val="10"/>
      <color rgb="FF00B050"/>
      <name val="Arial"/>
      <family val="2"/>
    </font>
    <font>
      <sz val="10"/>
      <color rgb="FFE6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8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0">
    <xf numFmtId="0" fontId="0" fillId="0" borderId="0" xfId="0"/>
    <xf numFmtId="0" fontId="0" fillId="2" borderId="0" xfId="0" applyFill="1"/>
    <xf numFmtId="0" fontId="5" fillId="2" borderId="0" xfId="0" applyFont="1" applyFill="1" applyBorder="1"/>
    <xf numFmtId="0" fontId="0" fillId="2" borderId="0" xfId="0" applyFill="1" applyBorder="1"/>
    <xf numFmtId="0" fontId="0" fillId="3" borderId="0" xfId="0" applyFill="1" applyBorder="1"/>
    <xf numFmtId="0" fontId="0" fillId="4" borderId="1" xfId="0" applyFill="1" applyBorder="1"/>
    <xf numFmtId="0" fontId="4" fillId="3" borderId="0" xfId="0" applyFont="1" applyFill="1" applyBorder="1"/>
    <xf numFmtId="0" fontId="4" fillId="4" borderId="1" xfId="0" applyFont="1" applyFill="1" applyBorder="1"/>
    <xf numFmtId="166" fontId="4" fillId="4" borderId="1" xfId="0" applyNumberFormat="1" applyFont="1" applyFill="1" applyBorder="1"/>
    <xf numFmtId="0" fontId="0" fillId="3" borderId="2" xfId="0" applyFill="1" applyBorder="1"/>
    <xf numFmtId="0" fontId="0" fillId="5" borderId="0" xfId="0" applyFill="1" applyBorder="1"/>
    <xf numFmtId="166" fontId="0" fillId="2" borderId="0" xfId="0" applyNumberFormat="1" applyFill="1" applyBorder="1"/>
    <xf numFmtId="0" fontId="0" fillId="4" borderId="3" xfId="0" applyFill="1" applyBorder="1"/>
    <xf numFmtId="166" fontId="0" fillId="4" borderId="3" xfId="0" applyNumberFormat="1" applyFill="1" applyBorder="1"/>
    <xf numFmtId="0" fontId="4" fillId="4" borderId="3" xfId="0" applyFont="1" applyFill="1" applyBorder="1"/>
    <xf numFmtId="1" fontId="0" fillId="4" borderId="3" xfId="0" applyNumberFormat="1" applyFill="1" applyBorder="1"/>
    <xf numFmtId="1" fontId="4" fillId="4" borderId="3" xfId="0" applyNumberFormat="1" applyFont="1" applyFill="1" applyBorder="1"/>
    <xf numFmtId="0" fontId="0" fillId="4" borderId="4" xfId="0" applyFill="1" applyBorder="1"/>
    <xf numFmtId="0" fontId="0" fillId="6" borderId="0" xfId="0" applyFill="1"/>
    <xf numFmtId="165" fontId="0" fillId="7" borderId="5" xfId="0" applyNumberFormat="1" applyFill="1" applyBorder="1"/>
    <xf numFmtId="0" fontId="4" fillId="2" borderId="1" xfId="0" applyFont="1" applyFill="1" applyBorder="1"/>
    <xf numFmtId="0" fontId="4" fillId="4" borderId="1" xfId="0" applyFont="1" applyFill="1" applyBorder="1" applyAlignment="1">
      <alignment horizontal="center"/>
    </xf>
    <xf numFmtId="2" fontId="4" fillId="4" borderId="1" xfId="0" applyNumberFormat="1" applyFont="1" applyFill="1" applyBorder="1"/>
    <xf numFmtId="165" fontId="4" fillId="4" borderId="1" xfId="0" applyNumberFormat="1" applyFont="1" applyFill="1" applyBorder="1"/>
    <xf numFmtId="166" fontId="4" fillId="2" borderId="1" xfId="0" applyNumberFormat="1" applyFont="1" applyFill="1" applyBorder="1"/>
    <xf numFmtId="165" fontId="4" fillId="2" borderId="1" xfId="0" applyNumberFormat="1" applyFont="1" applyFill="1" applyBorder="1"/>
    <xf numFmtId="0" fontId="0" fillId="3" borderId="0" xfId="0" applyFill="1"/>
    <xf numFmtId="165" fontId="0" fillId="7" borderId="3" xfId="0" applyNumberFormat="1" applyFill="1" applyBorder="1"/>
    <xf numFmtId="0" fontId="0" fillId="2" borderId="6" xfId="0" applyFill="1" applyBorder="1"/>
    <xf numFmtId="165" fontId="0" fillId="4" borderId="3" xfId="0" applyNumberFormat="1" applyFill="1" applyBorder="1"/>
    <xf numFmtId="165" fontId="4" fillId="4" borderId="3" xfId="0" applyNumberFormat="1" applyFont="1" applyFill="1" applyBorder="1"/>
    <xf numFmtId="165" fontId="0" fillId="0" borderId="0" xfId="0" applyNumberFormat="1"/>
    <xf numFmtId="0" fontId="5" fillId="2" borderId="1" xfId="0" applyFont="1" applyFill="1" applyBorder="1"/>
    <xf numFmtId="0" fontId="0" fillId="2" borderId="1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0" xfId="0" applyFill="1" applyBorder="1"/>
    <xf numFmtId="166" fontId="3" fillId="2" borderId="0" xfId="0" applyNumberFormat="1" applyFont="1" applyFill="1" applyBorder="1"/>
    <xf numFmtId="0" fontId="8" fillId="2" borderId="0" xfId="0" applyFont="1" applyFill="1" applyBorder="1"/>
    <xf numFmtId="0" fontId="7" fillId="8" borderId="0" xfId="0" applyFont="1" applyFill="1" applyBorder="1"/>
    <xf numFmtId="0" fontId="0" fillId="5" borderId="5" xfId="0" applyFill="1" applyBorder="1"/>
    <xf numFmtId="0" fontId="8" fillId="5" borderId="5" xfId="0" applyFont="1" applyFill="1" applyBorder="1"/>
    <xf numFmtId="165" fontId="0" fillId="9" borderId="3" xfId="0" applyNumberFormat="1" applyFill="1" applyBorder="1"/>
    <xf numFmtId="165" fontId="0" fillId="9" borderId="5" xfId="0" applyNumberFormat="1" applyFill="1" applyBorder="1"/>
    <xf numFmtId="0" fontId="8" fillId="6" borderId="5" xfId="0" applyFont="1" applyFill="1" applyBorder="1"/>
    <xf numFmtId="0" fontId="0" fillId="6" borderId="0" xfId="0" applyFill="1" applyBorder="1"/>
    <xf numFmtId="0" fontId="0" fillId="6" borderId="3" xfId="0" applyFill="1" applyBorder="1"/>
    <xf numFmtId="0" fontId="3" fillId="6" borderId="0" xfId="0" applyFont="1" applyFill="1" applyBorder="1"/>
    <xf numFmtId="165" fontId="8" fillId="9" borderId="5" xfId="0" applyNumberFormat="1" applyFont="1" applyFill="1" applyBorder="1"/>
    <xf numFmtId="0" fontId="3" fillId="5" borderId="0" xfId="0" applyFont="1" applyFill="1" applyBorder="1"/>
    <xf numFmtId="0" fontId="8" fillId="5" borderId="3" xfId="0" applyFont="1" applyFill="1" applyBorder="1"/>
    <xf numFmtId="0" fontId="8" fillId="2" borderId="9" xfId="0" applyFont="1" applyFill="1" applyBorder="1"/>
    <xf numFmtId="0" fontId="8" fillId="5" borderId="10" xfId="0" applyFont="1" applyFill="1" applyBorder="1"/>
    <xf numFmtId="165" fontId="0" fillId="7" borderId="10" xfId="0" applyNumberFormat="1" applyFill="1" applyBorder="1"/>
    <xf numFmtId="0" fontId="3" fillId="6" borderId="11" xfId="0" applyFont="1" applyFill="1" applyBorder="1"/>
    <xf numFmtId="0" fontId="8" fillId="6" borderId="12" xfId="0" applyFont="1" applyFill="1" applyBorder="1"/>
    <xf numFmtId="165" fontId="0" fillId="9" borderId="12" xfId="0" applyNumberFormat="1" applyFill="1" applyBorder="1"/>
    <xf numFmtId="0" fontId="8" fillId="6" borderId="10" xfId="0" applyFont="1" applyFill="1" applyBorder="1"/>
    <xf numFmtId="165" fontId="0" fillId="9" borderId="10" xfId="0" applyNumberFormat="1" applyFill="1" applyBorder="1"/>
    <xf numFmtId="0" fontId="3" fillId="5" borderId="11" xfId="0" applyFont="1" applyFill="1" applyBorder="1"/>
    <xf numFmtId="0" fontId="8" fillId="5" borderId="12" xfId="0" applyFont="1" applyFill="1" applyBorder="1"/>
    <xf numFmtId="165" fontId="0" fillId="7" borderId="12" xfId="0" applyNumberFormat="1" applyFill="1" applyBorder="1"/>
    <xf numFmtId="0" fontId="8" fillId="2" borderId="10" xfId="0" applyFont="1" applyFill="1" applyBorder="1"/>
    <xf numFmtId="0" fontId="7" fillId="8" borderId="10" xfId="0" applyFont="1" applyFill="1" applyBorder="1"/>
    <xf numFmtId="165" fontId="8" fillId="9" borderId="12" xfId="0" applyNumberFormat="1" applyFont="1" applyFill="1" applyBorder="1"/>
    <xf numFmtId="0" fontId="8" fillId="6" borderId="3" xfId="0" applyFont="1" applyFill="1" applyBorder="1"/>
    <xf numFmtId="0" fontId="0" fillId="8" borderId="0" xfId="0" applyFill="1" applyBorder="1"/>
    <xf numFmtId="0" fontId="4" fillId="8" borderId="1" xfId="0" applyFont="1" applyFill="1" applyBorder="1"/>
    <xf numFmtId="165" fontId="5" fillId="2" borderId="0" xfId="0" applyNumberFormat="1" applyFont="1" applyFill="1" applyBorder="1"/>
    <xf numFmtId="165" fontId="5" fillId="2" borderId="1" xfId="0" applyNumberFormat="1" applyFont="1" applyFill="1" applyBorder="1"/>
    <xf numFmtId="169" fontId="0" fillId="4" borderId="3" xfId="0" applyNumberFormat="1" applyFill="1" applyBorder="1"/>
    <xf numFmtId="165" fontId="8" fillId="9" borderId="3" xfId="0" applyNumberFormat="1" applyFont="1" applyFill="1" applyBorder="1"/>
    <xf numFmtId="165" fontId="0" fillId="7" borderId="9" xfId="0" applyNumberFormat="1" applyFill="1" applyBorder="1"/>
    <xf numFmtId="165" fontId="8" fillId="7" borderId="3" xfId="0" applyNumberFormat="1" applyFont="1" applyFill="1" applyBorder="1"/>
    <xf numFmtId="0" fontId="8" fillId="3" borderId="0" xfId="0" applyNumberFormat="1" applyFont="1" applyFill="1" applyBorder="1" applyAlignment="1"/>
    <xf numFmtId="0" fontId="3" fillId="5" borderId="12" xfId="0" applyFont="1" applyFill="1" applyBorder="1"/>
    <xf numFmtId="0" fontId="8" fillId="5" borderId="11" xfId="0" applyFont="1" applyFill="1" applyBorder="1"/>
    <xf numFmtId="0" fontId="8" fillId="6" borderId="0" xfId="0" applyFont="1" applyFill="1" applyBorder="1"/>
    <xf numFmtId="0" fontId="0" fillId="6" borderId="5" xfId="0" applyFill="1" applyBorder="1"/>
    <xf numFmtId="0" fontId="8" fillId="2" borderId="5" xfId="0" applyFont="1" applyFill="1" applyBorder="1"/>
    <xf numFmtId="0" fontId="0" fillId="5" borderId="0" xfId="0" applyFill="1"/>
    <xf numFmtId="0" fontId="0" fillId="6" borderId="6" xfId="0" applyFill="1" applyBorder="1"/>
    <xf numFmtId="0" fontId="8" fillId="6" borderId="9" xfId="0" applyFont="1" applyFill="1" applyBorder="1"/>
    <xf numFmtId="165" fontId="0" fillId="9" borderId="9" xfId="0" applyNumberFormat="1" applyFill="1" applyBorder="1"/>
    <xf numFmtId="165" fontId="0" fillId="0" borderId="0" xfId="0" applyNumberFormat="1" applyFill="1" applyBorder="1"/>
    <xf numFmtId="0" fontId="0" fillId="5" borderId="10" xfId="0" applyFill="1" applyBorder="1"/>
    <xf numFmtId="165" fontId="8" fillId="9" borderId="0" xfId="0" applyNumberFormat="1" applyFont="1" applyFill="1" applyBorder="1"/>
    <xf numFmtId="165" fontId="0" fillId="7" borderId="0" xfId="0" applyNumberFormat="1" applyFill="1" applyBorder="1"/>
    <xf numFmtId="165" fontId="0" fillId="9" borderId="0" xfId="0" applyNumberFormat="1" applyFill="1" applyBorder="1"/>
    <xf numFmtId="165" fontId="8" fillId="8" borderId="9" xfId="0" applyNumberFormat="1" applyFont="1" applyFill="1" applyBorder="1"/>
    <xf numFmtId="0" fontId="3" fillId="3" borderId="11" xfId="0" applyFont="1" applyFill="1" applyBorder="1"/>
    <xf numFmtId="0" fontId="0" fillId="3" borderId="3" xfId="0" applyFill="1" applyBorder="1"/>
    <xf numFmtId="0" fontId="8" fillId="3" borderId="12" xfId="0" applyFont="1" applyFill="1" applyBorder="1"/>
    <xf numFmtId="0" fontId="8" fillId="3" borderId="5" xfId="0" applyFont="1" applyFill="1" applyBorder="1"/>
    <xf numFmtId="0" fontId="7" fillId="8" borderId="5" xfId="0" applyFont="1" applyFill="1" applyBorder="1"/>
    <xf numFmtId="0" fontId="8" fillId="2" borderId="0" xfId="0" applyFont="1" applyFill="1" applyBorder="1" applyAlignment="1">
      <alignment horizontal="left" wrapText="1"/>
    </xf>
    <xf numFmtId="0" fontId="8" fillId="2" borderId="10" xfId="0" applyFont="1" applyFill="1" applyBorder="1" applyAlignment="1">
      <alignment horizontal="left" wrapText="1"/>
    </xf>
    <xf numFmtId="0" fontId="8" fillId="2" borderId="9" xfId="0" applyFont="1" applyFill="1" applyBorder="1" applyAlignment="1">
      <alignment horizontal="left" wrapText="1"/>
    </xf>
    <xf numFmtId="0" fontId="8" fillId="5" borderId="5" xfId="0" applyFont="1" applyFill="1" applyBorder="1" applyAlignment="1">
      <alignment horizontal="left" wrapText="1"/>
    </xf>
    <xf numFmtId="0" fontId="8" fillId="6" borderId="5" xfId="0" applyFont="1" applyFill="1" applyBorder="1" applyAlignment="1">
      <alignment horizontal="left" wrapText="1"/>
    </xf>
    <xf numFmtId="0" fontId="8" fillId="6" borderId="10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wrapText="1"/>
    </xf>
    <xf numFmtId="0" fontId="8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8" fillId="2" borderId="0" xfId="0" applyFont="1" applyFill="1" applyBorder="1" applyAlignment="1">
      <alignment wrapText="1"/>
    </xf>
    <xf numFmtId="0" fontId="8" fillId="2" borderId="10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6" borderId="12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8" fillId="6" borderId="3" xfId="0" applyFont="1" applyFill="1" applyBorder="1" applyAlignment="1">
      <alignment wrapText="1"/>
    </xf>
    <xf numFmtId="0" fontId="8" fillId="6" borderId="10" xfId="0" applyFont="1" applyFill="1" applyBorder="1" applyAlignment="1">
      <alignment wrapText="1"/>
    </xf>
    <xf numFmtId="0" fontId="8" fillId="2" borderId="9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0" fillId="5" borderId="5" xfId="0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0" fillId="6" borderId="5" xfId="0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0" fontId="0" fillId="6" borderId="10" xfId="0" applyFill="1" applyBorder="1" applyAlignment="1">
      <alignment wrapText="1"/>
    </xf>
    <xf numFmtId="0" fontId="8" fillId="3" borderId="12" xfId="0" applyFont="1" applyFill="1" applyBorder="1" applyAlignment="1">
      <alignment horizontal="center" wrapText="1"/>
    </xf>
    <xf numFmtId="0" fontId="8" fillId="3" borderId="5" xfId="0" applyFont="1" applyFill="1" applyBorder="1" applyAlignment="1">
      <alignment horizontal="center" wrapText="1"/>
    </xf>
    <xf numFmtId="0" fontId="8" fillId="5" borderId="11" xfId="0" applyFont="1" applyFill="1" applyBorder="1" applyAlignment="1">
      <alignment wrapText="1"/>
    </xf>
    <xf numFmtId="0" fontId="0" fillId="3" borderId="5" xfId="0" applyFill="1" applyBorder="1"/>
    <xf numFmtId="0" fontId="0" fillId="3" borderId="5" xfId="0" applyFill="1" applyBorder="1" applyAlignment="1">
      <alignment wrapText="1"/>
    </xf>
    <xf numFmtId="0" fontId="0" fillId="10" borderId="5" xfId="0" applyFill="1" applyBorder="1"/>
    <xf numFmtId="0" fontId="8" fillId="10" borderId="12" xfId="0" applyFont="1" applyFill="1" applyBorder="1" applyAlignment="1"/>
    <xf numFmtId="0" fontId="8" fillId="10" borderId="5" xfId="0" applyFont="1" applyFill="1" applyBorder="1" applyAlignment="1"/>
    <xf numFmtId="0" fontId="0" fillId="5" borderId="12" xfId="0" applyFill="1" applyBorder="1"/>
    <xf numFmtId="165" fontId="1" fillId="8" borderId="9" xfId="0" applyNumberFormat="1" applyFont="1" applyFill="1" applyBorder="1"/>
    <xf numFmtId="165" fontId="0" fillId="9" borderId="11" xfId="0" applyNumberFormat="1" applyFill="1" applyBorder="1"/>
    <xf numFmtId="0" fontId="8" fillId="2" borderId="5" xfId="0" applyFont="1" applyFill="1" applyBorder="1" applyAlignment="1">
      <alignment wrapText="1"/>
    </xf>
    <xf numFmtId="0" fontId="3" fillId="8" borderId="0" xfId="0" applyFont="1" applyFill="1" applyBorder="1"/>
    <xf numFmtId="0" fontId="8" fillId="2" borderId="5" xfId="0" applyFont="1" applyFill="1" applyBorder="1" applyAlignment="1">
      <alignment horizontal="left" wrapText="1"/>
    </xf>
    <xf numFmtId="0" fontId="7" fillId="8" borderId="9" xfId="0" applyFont="1" applyFill="1" applyBorder="1"/>
    <xf numFmtId="0" fontId="0" fillId="0" borderId="0" xfId="0" applyFill="1"/>
    <xf numFmtId="0" fontId="7" fillId="0" borderId="0" xfId="0" applyFont="1" applyFill="1" applyBorder="1"/>
    <xf numFmtId="0" fontId="7" fillId="0" borderId="10" xfId="0" applyFont="1" applyFill="1" applyBorder="1"/>
    <xf numFmtId="165" fontId="0" fillId="0" borderId="12" xfId="0" applyNumberFormat="1" applyFill="1" applyBorder="1"/>
    <xf numFmtId="165" fontId="0" fillId="0" borderId="5" xfId="0" applyNumberFormat="1" applyFill="1" applyBorder="1"/>
    <xf numFmtId="165" fontId="0" fillId="0" borderId="10" xfId="0" applyNumberFormat="1" applyFill="1" applyBorder="1"/>
    <xf numFmtId="165" fontId="0" fillId="0" borderId="3" xfId="0" applyNumberFormat="1" applyFill="1" applyBorder="1"/>
    <xf numFmtId="165" fontId="1" fillId="0" borderId="9" xfId="0" applyNumberFormat="1" applyFont="1" applyFill="1" applyBorder="1"/>
    <xf numFmtId="165" fontId="0" fillId="0" borderId="9" xfId="0" applyNumberFormat="1" applyFill="1" applyBorder="1"/>
    <xf numFmtId="165" fontId="0" fillId="0" borderId="0" xfId="0" applyNumberFormat="1" applyFill="1"/>
    <xf numFmtId="2" fontId="0" fillId="0" borderId="0" xfId="0" applyNumberFormat="1" applyFill="1"/>
    <xf numFmtId="2" fontId="0" fillId="0" borderId="0" xfId="0" applyNumberFormat="1"/>
    <xf numFmtId="0" fontId="1" fillId="3" borderId="11" xfId="0" applyFont="1" applyFill="1" applyBorder="1" applyAlignment="1">
      <alignment horizontal="left" wrapText="1"/>
    </xf>
    <xf numFmtId="0" fontId="1" fillId="3" borderId="0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0" fillId="10" borderId="11" xfId="0" applyFill="1" applyBorder="1"/>
    <xf numFmtId="165" fontId="0" fillId="10" borderId="0" xfId="0" applyNumberFormat="1" applyFill="1" applyBorder="1"/>
    <xf numFmtId="0" fontId="0" fillId="10" borderId="3" xfId="0" applyFill="1" applyBorder="1"/>
    <xf numFmtId="0" fontId="1" fillId="6" borderId="5" xfId="0" applyFont="1" applyFill="1" applyBorder="1" applyAlignment="1">
      <alignment horizontal="left" wrapText="1"/>
    </xf>
    <xf numFmtId="1" fontId="9" fillId="0" borderId="0" xfId="0" applyNumberFormat="1" applyFont="1" applyFill="1" applyBorder="1"/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left"/>
    </xf>
    <xf numFmtId="165" fontId="0" fillId="5" borderId="0" xfId="0" applyNumberFormat="1" applyFill="1" applyBorder="1"/>
    <xf numFmtId="168" fontId="0" fillId="0" borderId="0" xfId="0" applyNumberFormat="1"/>
    <xf numFmtId="164" fontId="4" fillId="4" borderId="3" xfId="0" applyNumberFormat="1" applyFont="1" applyFill="1" applyBorder="1"/>
    <xf numFmtId="167" fontId="0" fillId="7" borderId="10" xfId="0" applyNumberFormat="1" applyFill="1" applyBorder="1"/>
    <xf numFmtId="0" fontId="1" fillId="5" borderId="5" xfId="0" applyFont="1" applyFill="1" applyBorder="1" applyAlignment="1">
      <alignment wrapText="1"/>
    </xf>
    <xf numFmtId="0" fontId="0" fillId="0" borderId="0" xfId="0" applyAlignment="1">
      <alignment horizontal="center"/>
    </xf>
    <xf numFmtId="165" fontId="0" fillId="5" borderId="3" xfId="0" applyNumberFormat="1" applyFill="1" applyBorder="1"/>
    <xf numFmtId="0" fontId="4" fillId="5" borderId="1" xfId="0" applyFont="1" applyFill="1" applyBorder="1"/>
    <xf numFmtId="1" fontId="0" fillId="5" borderId="3" xfId="0" applyNumberFormat="1" applyFill="1" applyBorder="1"/>
    <xf numFmtId="0" fontId="0" fillId="5" borderId="3" xfId="0" applyFill="1" applyBorder="1"/>
    <xf numFmtId="166" fontId="4" fillId="5" borderId="1" xfId="0" applyNumberFormat="1" applyFont="1" applyFill="1" applyBorder="1"/>
    <xf numFmtId="0" fontId="0" fillId="5" borderId="1" xfId="0" applyFill="1" applyBorder="1"/>
    <xf numFmtId="167" fontId="0" fillId="5" borderId="3" xfId="0" applyNumberFormat="1" applyFill="1" applyBorder="1"/>
    <xf numFmtId="0" fontId="3" fillId="5" borderId="5" xfId="0" applyFont="1" applyFill="1" applyBorder="1"/>
    <xf numFmtId="1" fontId="0" fillId="7" borderId="3" xfId="0" applyNumberFormat="1" applyFill="1" applyBorder="1"/>
    <xf numFmtId="165" fontId="0" fillId="4" borderId="1" xfId="0" applyNumberFormat="1" applyFill="1" applyBorder="1"/>
    <xf numFmtId="165" fontId="0" fillId="7" borderId="11" xfId="0" applyNumberFormat="1" applyFill="1" applyBorder="1"/>
    <xf numFmtId="2" fontId="7" fillId="0" borderId="0" xfId="0" applyNumberFormat="1" applyFont="1"/>
    <xf numFmtId="0" fontId="8" fillId="0" borderId="10" xfId="0" applyFont="1" applyFill="1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  <xf numFmtId="165" fontId="0" fillId="0" borderId="0" xfId="0" applyNumberFormat="1" applyBorder="1"/>
    <xf numFmtId="164" fontId="0" fillId="0" borderId="0" xfId="0" applyNumberFormat="1"/>
    <xf numFmtId="0" fontId="0" fillId="12" borderId="0" xfId="0" applyFill="1"/>
    <xf numFmtId="0" fontId="7" fillId="12" borderId="0" xfId="0" applyFont="1" applyFill="1"/>
    <xf numFmtId="165" fontId="0" fillId="12" borderId="0" xfId="0" applyNumberFormat="1" applyFill="1"/>
    <xf numFmtId="164" fontId="0" fillId="0" borderId="0" xfId="0" applyNumberFormat="1" applyFill="1"/>
    <xf numFmtId="0" fontId="0" fillId="0" borderId="0" xfId="0" applyAlignment="1">
      <alignment horizontal="center" wrapText="1"/>
    </xf>
    <xf numFmtId="0" fontId="4" fillId="6" borderId="0" xfId="0" applyFont="1" applyFill="1" applyBorder="1"/>
    <xf numFmtId="1" fontId="0" fillId="0" borderId="0" xfId="0" applyNumberFormat="1"/>
    <xf numFmtId="0" fontId="4" fillId="6" borderId="10" xfId="0" applyFont="1" applyFill="1" applyBorder="1"/>
    <xf numFmtId="1" fontId="0" fillId="0" borderId="0" xfId="0" applyNumberFormat="1" applyFill="1" applyAlignment="1">
      <alignment horizontal="right" indent="1"/>
    </xf>
    <xf numFmtId="1" fontId="0" fillId="0" borderId="0" xfId="0" applyNumberFormat="1" applyFill="1"/>
    <xf numFmtId="0" fontId="0" fillId="4" borderId="0" xfId="0" applyFill="1" applyBorder="1"/>
    <xf numFmtId="2" fontId="0" fillId="13" borderId="5" xfId="0" applyNumberFormat="1" applyFill="1" applyBorder="1"/>
    <xf numFmtId="0" fontId="0" fillId="14" borderId="0" xfId="0" applyFill="1"/>
    <xf numFmtId="0" fontId="0" fillId="14" borderId="0" xfId="0" applyFill="1" applyAlignment="1">
      <alignment wrapText="1"/>
    </xf>
    <xf numFmtId="0" fontId="4" fillId="14" borderId="0" xfId="0" applyFont="1" applyFill="1" applyBorder="1"/>
    <xf numFmtId="1" fontId="0" fillId="14" borderId="0" xfId="0" applyNumberFormat="1" applyFill="1"/>
    <xf numFmtId="164" fontId="0" fillId="14" borderId="0" xfId="0" applyNumberFormat="1" applyFill="1"/>
    <xf numFmtId="1" fontId="0" fillId="13" borderId="0" xfId="0" applyNumberFormat="1" applyFill="1"/>
    <xf numFmtId="1" fontId="0" fillId="0" borderId="0" xfId="0" applyNumberFormat="1" applyBorder="1"/>
    <xf numFmtId="2" fontId="0" fillId="0" borderId="0" xfId="0" applyNumberFormat="1" applyAlignment="1">
      <alignment horizontal="right"/>
    </xf>
    <xf numFmtId="2" fontId="0" fillId="0" borderId="0" xfId="0" applyNumberFormat="1" applyBorder="1"/>
    <xf numFmtId="1" fontId="0" fillId="0" borderId="0" xfId="0" applyNumberFormat="1" applyFill="1" applyBorder="1"/>
    <xf numFmtId="0" fontId="4" fillId="5" borderId="5" xfId="0" applyFont="1" applyFill="1" applyBorder="1" applyAlignment="1">
      <alignment wrapText="1"/>
    </xf>
    <xf numFmtId="0" fontId="4" fillId="5" borderId="5" xfId="0" applyFont="1" applyFill="1" applyBorder="1"/>
    <xf numFmtId="166" fontId="0" fillId="5" borderId="3" xfId="0" applyNumberFormat="1" applyFill="1" applyBorder="1"/>
    <xf numFmtId="0" fontId="0" fillId="11" borderId="0" xfId="0" applyFill="1"/>
    <xf numFmtId="0" fontId="0" fillId="11" borderId="0" xfId="0" applyFill="1" applyBorder="1"/>
    <xf numFmtId="0" fontId="0" fillId="11" borderId="0" xfId="0" applyFill="1" applyBorder="1" applyAlignment="1">
      <alignment wrapText="1"/>
    </xf>
    <xf numFmtId="0" fontId="4" fillId="11" borderId="10" xfId="0" applyFont="1" applyFill="1" applyBorder="1"/>
    <xf numFmtId="2" fontId="0" fillId="11" borderId="0" xfId="0" applyNumberFormat="1" applyFill="1" applyBorder="1"/>
    <xf numFmtId="165" fontId="0" fillId="11" borderId="0" xfId="0" applyNumberFormat="1" applyFill="1" applyBorder="1"/>
    <xf numFmtId="1" fontId="0" fillId="11" borderId="0" xfId="0" applyNumberFormat="1" applyFill="1" applyBorder="1"/>
    <xf numFmtId="0" fontId="8" fillId="0" borderId="0" xfId="0" applyFont="1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8" fillId="0" borderId="5" xfId="0" applyFont="1" applyFill="1" applyBorder="1" applyAlignment="1">
      <alignment wrapText="1"/>
    </xf>
    <xf numFmtId="0" fontId="4" fillId="0" borderId="5" xfId="0" applyFont="1" applyFill="1" applyBorder="1" applyAlignment="1">
      <alignment wrapText="1"/>
    </xf>
    <xf numFmtId="0" fontId="0" fillId="11" borderId="0" xfId="0" applyFill="1" applyBorder="1" applyAlignment="1"/>
    <xf numFmtId="0" fontId="0" fillId="11" borderId="0" xfId="0" applyFill="1" applyBorder="1" applyAlignment="1">
      <alignment horizontal="center"/>
    </xf>
    <xf numFmtId="165" fontId="0" fillId="11" borderId="0" xfId="0" applyNumberFormat="1" applyFill="1"/>
    <xf numFmtId="0" fontId="0" fillId="11" borderId="5" xfId="0" applyFill="1" applyBorder="1"/>
    <xf numFmtId="0" fontId="4" fillId="0" borderId="10" xfId="0" applyFont="1" applyFill="1" applyBorder="1"/>
    <xf numFmtId="1" fontId="0" fillId="11" borderId="0" xfId="0" applyNumberFormat="1" applyFill="1"/>
    <xf numFmtId="0" fontId="4" fillId="6" borderId="3" xfId="0" applyFont="1" applyFill="1" applyBorder="1" applyAlignment="1">
      <alignment wrapText="1"/>
    </xf>
    <xf numFmtId="0" fontId="4" fillId="6" borderId="5" xfId="0" applyFont="1" applyFill="1" applyBorder="1" applyAlignment="1">
      <alignment wrapText="1"/>
    </xf>
    <xf numFmtId="0" fontId="4" fillId="0" borderId="0" xfId="0" applyFont="1"/>
    <xf numFmtId="165" fontId="8" fillId="8" borderId="10" xfId="0" applyNumberFormat="1" applyFont="1" applyFill="1" applyBorder="1"/>
    <xf numFmtId="165" fontId="4" fillId="9" borderId="3" xfId="0" applyNumberFormat="1" applyFont="1" applyFill="1" applyBorder="1"/>
    <xf numFmtId="0" fontId="4" fillId="6" borderId="12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4" fillId="0" borderId="0" xfId="0" applyFont="1" applyAlignment="1">
      <alignment wrapText="1"/>
    </xf>
    <xf numFmtId="166" fontId="0" fillId="0" borderId="0" xfId="0" applyNumberFormat="1"/>
    <xf numFmtId="2" fontId="0" fillId="0" borderId="0" xfId="0" applyNumberFormat="1" applyAlignment="1">
      <alignment wrapText="1"/>
    </xf>
    <xf numFmtId="0" fontId="7" fillId="0" borderId="0" xfId="0" applyFont="1"/>
    <xf numFmtId="0" fontId="4" fillId="0" borderId="0" xfId="0" applyFont="1" applyAlignment="1">
      <alignment horizontal="left" wrapText="1"/>
    </xf>
    <xf numFmtId="164" fontId="0" fillId="0" borderId="0" xfId="0" applyNumberFormat="1" applyAlignment="1">
      <alignment wrapText="1"/>
    </xf>
    <xf numFmtId="2" fontId="4" fillId="0" borderId="0" xfId="0" applyNumberFormat="1" applyFont="1" applyAlignment="1">
      <alignment wrapText="1"/>
    </xf>
    <xf numFmtId="164" fontId="0" fillId="0" borderId="0" xfId="0" applyNumberFormat="1" applyFill="1" applyBorder="1"/>
    <xf numFmtId="0" fontId="0" fillId="0" borderId="0" xfId="0" applyFill="1" applyBorder="1" applyAlignment="1"/>
    <xf numFmtId="164" fontId="0" fillId="11" borderId="0" xfId="0" applyNumberFormat="1" applyFill="1"/>
    <xf numFmtId="0" fontId="0" fillId="0" borderId="0" xfId="0" applyBorder="1" applyAlignment="1"/>
    <xf numFmtId="0" fontId="4" fillId="11" borderId="0" xfId="0" applyFont="1" applyFill="1" applyBorder="1"/>
    <xf numFmtId="0" fontId="0" fillId="0" borderId="0" xfId="0" applyAlignment="1"/>
    <xf numFmtId="0" fontId="12" fillId="8" borderId="0" xfId="0" applyFont="1" applyFill="1" applyBorder="1"/>
    <xf numFmtId="0" fontId="12" fillId="0" borderId="0" xfId="0" applyFont="1" applyFill="1" applyBorder="1"/>
    <xf numFmtId="165" fontId="8" fillId="0" borderId="0" xfId="0" applyNumberFormat="1" applyFont="1" applyFill="1" applyBorder="1"/>
    <xf numFmtId="2" fontId="0" fillId="0" borderId="0" xfId="0" applyNumberFormat="1" applyFill="1" applyBorder="1"/>
    <xf numFmtId="165" fontId="8" fillId="11" borderId="5" xfId="0" applyNumberFormat="1" applyFont="1" applyFill="1" applyBorder="1"/>
    <xf numFmtId="0" fontId="1" fillId="0" borderId="0" xfId="0" applyFont="1"/>
    <xf numFmtId="0" fontId="0" fillId="16" borderId="16" xfId="0" applyFill="1" applyBorder="1" applyAlignment="1">
      <alignment horizontal="center" vertical="center"/>
    </xf>
    <xf numFmtId="1" fontId="14" fillId="0" borderId="0" xfId="0" applyNumberFormat="1" applyFont="1"/>
    <xf numFmtId="1" fontId="13" fillId="0" borderId="0" xfId="0" applyNumberFormat="1" applyFont="1"/>
    <xf numFmtId="0" fontId="1" fillId="0" borderId="0" xfId="0" applyFont="1" applyAlignment="1">
      <alignment wrapText="1"/>
    </xf>
    <xf numFmtId="0" fontId="1" fillId="6" borderId="10" xfId="0" applyFont="1" applyFill="1" applyBorder="1" applyAlignment="1">
      <alignment horizontal="left" wrapText="1"/>
    </xf>
    <xf numFmtId="0" fontId="1" fillId="6" borderId="5" xfId="0" applyFont="1" applyFill="1" applyBorder="1" applyAlignment="1">
      <alignment wrapText="1"/>
    </xf>
    <xf numFmtId="0" fontId="1" fillId="5" borderId="10" xfId="0" applyFont="1" applyFill="1" applyBorder="1" applyAlignment="1">
      <alignment wrapText="1"/>
    </xf>
    <xf numFmtId="168" fontId="0" fillId="0" borderId="0" xfId="0" applyNumberFormat="1" applyFill="1"/>
    <xf numFmtId="0" fontId="1" fillId="6" borderId="3" xfId="0" applyFont="1" applyFill="1" applyBorder="1" applyAlignment="1">
      <alignment wrapText="1"/>
    </xf>
    <xf numFmtId="0" fontId="1" fillId="12" borderId="0" xfId="0" applyFont="1" applyFill="1" applyAlignment="1">
      <alignment horizontal="center"/>
    </xf>
    <xf numFmtId="0" fontId="1" fillId="12" borderId="0" xfId="0" applyFont="1" applyFill="1"/>
    <xf numFmtId="165" fontId="1" fillId="12" borderId="0" xfId="0" applyNumberFormat="1" applyFont="1" applyFill="1"/>
    <xf numFmtId="0" fontId="15" fillId="18" borderId="16" xfId="0" applyFont="1" applyFill="1" applyBorder="1" applyAlignment="1">
      <alignment horizontal="center" vertical="center"/>
    </xf>
    <xf numFmtId="0" fontId="15" fillId="19" borderId="16" xfId="0" applyFont="1" applyFill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center" vertical="center" wrapText="1"/>
    </xf>
    <xf numFmtId="0" fontId="15" fillId="14" borderId="5" xfId="0" applyFont="1" applyFill="1" applyBorder="1" applyAlignment="1">
      <alignment horizontal="center" vertical="center" wrapText="1"/>
    </xf>
    <xf numFmtId="0" fontId="0" fillId="0" borderId="16" xfId="0" applyFill="1" applyBorder="1"/>
    <xf numFmtId="0" fontId="1" fillId="0" borderId="0" xfId="0" applyFont="1" applyAlignment="1">
      <alignment horizontal="center" wrapText="1"/>
    </xf>
    <xf numFmtId="2" fontId="0" fillId="11" borderId="0" xfId="0" applyNumberFormat="1" applyFill="1"/>
    <xf numFmtId="0" fontId="0" fillId="0" borderId="0" xfId="0" applyAlignment="1">
      <alignment horizontal="center" wrapText="1"/>
    </xf>
    <xf numFmtId="165" fontId="0" fillId="0" borderId="0" xfId="0" applyNumberFormat="1" applyAlignment="1">
      <alignment wrapText="1"/>
    </xf>
    <xf numFmtId="164" fontId="0" fillId="20" borderId="16" xfId="0" applyNumberFormat="1" applyFill="1" applyBorder="1"/>
    <xf numFmtId="0" fontId="15" fillId="1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left" wrapText="1"/>
    </xf>
    <xf numFmtId="0" fontId="1" fillId="2" borderId="10" xfId="0" applyFont="1" applyFill="1" applyBorder="1" applyAlignment="1">
      <alignment horizontal="left" wrapText="1"/>
    </xf>
    <xf numFmtId="0" fontId="1" fillId="0" borderId="0" xfId="0" applyFont="1" applyAlignment="1">
      <alignment horizontal="left" wrapText="1"/>
    </xf>
    <xf numFmtId="1" fontId="0" fillId="0" borderId="0" xfId="0" applyNumberFormat="1" applyAlignment="1">
      <alignment wrapText="1"/>
    </xf>
    <xf numFmtId="0" fontId="7" fillId="21" borderId="0" xfId="0" applyFont="1" applyFill="1" applyBorder="1"/>
    <xf numFmtId="0" fontId="7" fillId="21" borderId="10" xfId="0" applyFont="1" applyFill="1" applyBorder="1"/>
    <xf numFmtId="0" fontId="7" fillId="22" borderId="0" xfId="0" applyFont="1" applyFill="1" applyBorder="1"/>
    <xf numFmtId="0" fontId="7" fillId="22" borderId="10" xfId="0" applyFont="1" applyFill="1" applyBorder="1"/>
    <xf numFmtId="0" fontId="7" fillId="15" borderId="0" xfId="0" applyFont="1" applyFill="1" applyBorder="1"/>
    <xf numFmtId="0" fontId="7" fillId="15" borderId="10" xfId="0" applyFont="1" applyFill="1" applyBorder="1"/>
    <xf numFmtId="0" fontId="7" fillId="23" borderId="0" xfId="0" applyFont="1" applyFill="1" applyBorder="1"/>
    <xf numFmtId="0" fontId="7" fillId="23" borderId="10" xfId="0" applyFont="1" applyFill="1" applyBorder="1"/>
    <xf numFmtId="0" fontId="7" fillId="24" borderId="0" xfId="0" applyFont="1" applyFill="1" applyBorder="1"/>
    <xf numFmtId="0" fontId="7" fillId="24" borderId="10" xfId="0" applyFont="1" applyFill="1" applyBorder="1"/>
    <xf numFmtId="0" fontId="18" fillId="8" borderId="0" xfId="0" applyFont="1" applyFill="1" applyBorder="1"/>
    <xf numFmtId="0" fontId="18" fillId="8" borderId="10" xfId="0" applyFont="1" applyFill="1" applyBorder="1"/>
    <xf numFmtId="165" fontId="0" fillId="11" borderId="5" xfId="0" applyNumberFormat="1" applyFill="1" applyBorder="1"/>
    <xf numFmtId="165" fontId="13" fillId="11" borderId="5" xfId="0" applyNumberFormat="1" applyFont="1" applyFill="1" applyBorder="1"/>
    <xf numFmtId="0" fontId="19" fillId="0" borderId="0" xfId="0" applyFont="1"/>
    <xf numFmtId="165" fontId="19" fillId="0" borderId="0" xfId="0" applyNumberFormat="1" applyFont="1"/>
    <xf numFmtId="0" fontId="20" fillId="0" borderId="0" xfId="0" applyFont="1" applyFill="1"/>
    <xf numFmtId="165" fontId="1" fillId="9" borderId="5" xfId="0" applyNumberFormat="1" applyFont="1" applyFill="1" applyBorder="1"/>
    <xf numFmtId="0" fontId="0" fillId="26" borderId="0" xfId="0" applyFill="1"/>
    <xf numFmtId="0" fontId="7" fillId="26" borderId="0" xfId="0" applyFont="1" applyFill="1"/>
    <xf numFmtId="165" fontId="0" fillId="27" borderId="3" xfId="0" applyNumberFormat="1" applyFill="1" applyBorder="1"/>
    <xf numFmtId="0" fontId="7" fillId="27" borderId="0" xfId="0" applyFont="1" applyFill="1"/>
    <xf numFmtId="165" fontId="13" fillId="0" borderId="5" xfId="0" applyNumberFormat="1" applyFont="1" applyFill="1" applyBorder="1"/>
    <xf numFmtId="165" fontId="0" fillId="25" borderId="5" xfId="0" applyNumberFormat="1" applyFill="1" applyBorder="1"/>
    <xf numFmtId="165" fontId="0" fillId="13" borderId="5" xfId="0" applyNumberFormat="1" applyFill="1" applyBorder="1"/>
    <xf numFmtId="0" fontId="1" fillId="5" borderId="5" xfId="0" applyFont="1" applyFill="1" applyBorder="1" applyAlignment="1">
      <alignment horizontal="left" wrapText="1"/>
    </xf>
    <xf numFmtId="0" fontId="13" fillId="6" borderId="5" xfId="0" applyFont="1" applyFill="1" applyBorder="1" applyAlignment="1">
      <alignment horizontal="left" wrapText="1"/>
    </xf>
    <xf numFmtId="0" fontId="13" fillId="5" borderId="5" xfId="0" applyFont="1" applyFill="1" applyBorder="1" applyAlignment="1">
      <alignment horizontal="left" wrapText="1"/>
    </xf>
    <xf numFmtId="0" fontId="21" fillId="0" borderId="0" xfId="0" applyFont="1"/>
    <xf numFmtId="0" fontId="19" fillId="0" borderId="0" xfId="0" applyFont="1" applyFill="1"/>
    <xf numFmtId="0" fontId="21" fillId="5" borderId="5" xfId="0" applyFont="1" applyFill="1" applyBorder="1" applyAlignment="1">
      <alignment horizontal="left" wrapText="1"/>
    </xf>
    <xf numFmtId="0" fontId="21" fillId="6" borderId="12" xfId="0" applyFont="1" applyFill="1" applyBorder="1" applyAlignment="1">
      <alignment horizontal="left" wrapText="1"/>
    </xf>
    <xf numFmtId="0" fontId="21" fillId="6" borderId="5" xfId="0" applyFont="1" applyFill="1" applyBorder="1" applyAlignment="1">
      <alignment horizontal="left" wrapText="1"/>
    </xf>
    <xf numFmtId="165" fontId="21" fillId="0" borderId="0" xfId="0" applyNumberFormat="1" applyFont="1"/>
    <xf numFmtId="165" fontId="21" fillId="9" borderId="5" xfId="0" applyNumberFormat="1" applyFont="1" applyFill="1" applyBorder="1"/>
    <xf numFmtId="165" fontId="21" fillId="0" borderId="5" xfId="0" applyNumberFormat="1" applyFont="1" applyFill="1" applyBorder="1"/>
    <xf numFmtId="165" fontId="1" fillId="9" borderId="12" xfId="0" applyNumberFormat="1" applyFont="1" applyFill="1" applyBorder="1"/>
    <xf numFmtId="2" fontId="21" fillId="0" borderId="0" xfId="0" applyNumberFormat="1" applyFont="1" applyFill="1"/>
    <xf numFmtId="164" fontId="21" fillId="0" borderId="0" xfId="0" applyNumberFormat="1" applyFont="1" applyFill="1"/>
    <xf numFmtId="2" fontId="19" fillId="0" borderId="0" xfId="0" applyNumberFormat="1" applyFont="1"/>
    <xf numFmtId="1" fontId="8" fillId="9" borderId="5" xfId="0" applyNumberFormat="1" applyFont="1" applyFill="1" applyBorder="1"/>
    <xf numFmtId="1" fontId="21" fillId="0" borderId="0" xfId="0" applyNumberFormat="1" applyFont="1"/>
    <xf numFmtId="1" fontId="21" fillId="28" borderId="0" xfId="0" applyNumberFormat="1" applyFont="1" applyFill="1"/>
    <xf numFmtId="0" fontId="13" fillId="6" borderId="10" xfId="0" applyFont="1" applyFill="1" applyBorder="1" applyAlignment="1">
      <alignment horizontal="left" wrapText="1"/>
    </xf>
    <xf numFmtId="0" fontId="22" fillId="0" borderId="0" xfId="0" applyFont="1"/>
    <xf numFmtId="0" fontId="22" fillId="0" borderId="0" xfId="0" applyFont="1" applyFill="1"/>
    <xf numFmtId="0" fontId="21" fillId="6" borderId="3" xfId="0" applyFont="1" applyFill="1" applyBorder="1" applyAlignment="1">
      <alignment horizontal="left" wrapText="1"/>
    </xf>
    <xf numFmtId="0" fontId="21" fillId="6" borderId="0" xfId="0" applyFont="1" applyFill="1" applyBorder="1"/>
    <xf numFmtId="0" fontId="23" fillId="0" borderId="0" xfId="0" applyFont="1" applyAlignment="1">
      <alignment horizontal="left" wrapText="1"/>
    </xf>
    <xf numFmtId="0" fontId="23" fillId="0" borderId="0" xfId="0" applyFont="1" applyFill="1"/>
    <xf numFmtId="2" fontId="23" fillId="0" borderId="0" xfId="0" applyNumberFormat="1" applyFont="1"/>
    <xf numFmtId="165" fontId="23" fillId="0" borderId="0" xfId="0" applyNumberFormat="1" applyFont="1"/>
    <xf numFmtId="0" fontId="21" fillId="0" borderId="0" xfId="0" applyFont="1" applyAlignment="1">
      <alignment wrapText="1"/>
    </xf>
    <xf numFmtId="0" fontId="1" fillId="0" borderId="0" xfId="0" applyFont="1" applyFill="1"/>
    <xf numFmtId="2" fontId="13" fillId="0" borderId="0" xfId="0" applyNumberFormat="1" applyFont="1" applyFill="1"/>
    <xf numFmtId="0" fontId="13" fillId="0" borderId="0" xfId="0" applyFont="1"/>
    <xf numFmtId="0" fontId="21" fillId="0" borderId="0" xfId="0" applyFont="1" applyFill="1"/>
    <xf numFmtId="164" fontId="21" fillId="0" borderId="0" xfId="0" applyNumberFormat="1" applyFont="1"/>
    <xf numFmtId="0" fontId="24" fillId="0" borderId="0" xfId="0" applyFont="1"/>
    <xf numFmtId="0" fontId="21" fillId="30" borderId="0" xfId="0" applyFont="1" applyFill="1"/>
    <xf numFmtId="0" fontId="14" fillId="26" borderId="0" xfId="0" applyFont="1" applyFill="1"/>
    <xf numFmtId="0" fontId="12" fillId="23" borderId="10" xfId="0" applyFont="1" applyFill="1" applyBorder="1"/>
    <xf numFmtId="0" fontId="12" fillId="8" borderId="10" xfId="0" applyFont="1" applyFill="1" applyBorder="1"/>
    <xf numFmtId="0" fontId="12" fillId="22" borderId="10" xfId="0" applyFont="1" applyFill="1" applyBorder="1"/>
    <xf numFmtId="0" fontId="0" fillId="17" borderId="0" xfId="0" applyFill="1"/>
    <xf numFmtId="0" fontId="25" fillId="0" borderId="0" xfId="0" applyFont="1"/>
    <xf numFmtId="0" fontId="21" fillId="17" borderId="0" xfId="0" applyFont="1" applyFill="1"/>
    <xf numFmtId="165" fontId="0" fillId="11" borderId="9" xfId="0" applyNumberFormat="1" applyFill="1" applyBorder="1"/>
    <xf numFmtId="1" fontId="1" fillId="0" borderId="0" xfId="0" applyNumberFormat="1" applyFont="1"/>
    <xf numFmtId="165" fontId="8" fillId="0" borderId="5" xfId="0" applyNumberFormat="1" applyFont="1" applyFill="1" applyBorder="1"/>
    <xf numFmtId="0" fontId="0" fillId="28" borderId="0" xfId="0" applyFill="1"/>
    <xf numFmtId="165" fontId="8" fillId="26" borderId="5" xfId="0" applyNumberFormat="1" applyFont="1" applyFill="1" applyBorder="1"/>
    <xf numFmtId="0" fontId="1" fillId="29" borderId="0" xfId="0" applyFont="1" applyFill="1"/>
    <xf numFmtId="0" fontId="1" fillId="26" borderId="0" xfId="0" applyFont="1" applyFill="1"/>
    <xf numFmtId="0" fontId="25" fillId="0" borderId="0" xfId="0" applyFont="1" applyFill="1"/>
    <xf numFmtId="0" fontId="23" fillId="0" borderId="0" xfId="0" applyFont="1" applyFill="1" applyAlignment="1">
      <alignment wrapText="1"/>
    </xf>
    <xf numFmtId="165" fontId="0" fillId="31" borderId="5" xfId="0" applyNumberFormat="1" applyFill="1" applyBorder="1"/>
    <xf numFmtId="2" fontId="1" fillId="0" borderId="0" xfId="0" applyNumberFormat="1" applyFont="1" applyFill="1"/>
    <xf numFmtId="0" fontId="26" fillId="26" borderId="0" xfId="0" applyFont="1" applyFill="1"/>
    <xf numFmtId="165" fontId="1" fillId="0" borderId="0" xfId="0" applyNumberFormat="1" applyFont="1"/>
    <xf numFmtId="165" fontId="1" fillId="28" borderId="0" xfId="0" applyNumberFormat="1" applyFont="1" applyFill="1"/>
    <xf numFmtId="168" fontId="1" fillId="0" borderId="0" xfId="0" applyNumberFormat="1" applyFont="1"/>
    <xf numFmtId="168" fontId="1" fillId="28" borderId="0" xfId="0" applyNumberFormat="1" applyFont="1" applyFill="1"/>
    <xf numFmtId="1" fontId="0" fillId="28" borderId="0" xfId="0" applyNumberFormat="1" applyFill="1"/>
    <xf numFmtId="0" fontId="1" fillId="28" borderId="0" xfId="0" applyFont="1" applyFill="1"/>
    <xf numFmtId="0" fontId="21" fillId="28" borderId="0" xfId="0" applyFont="1" applyFill="1"/>
    <xf numFmtId="0" fontId="0" fillId="32" borderId="0" xfId="0" applyFill="1"/>
    <xf numFmtId="0" fontId="21" fillId="32" borderId="0" xfId="0" applyFont="1" applyFill="1"/>
    <xf numFmtId="0" fontId="1" fillId="32" borderId="0" xfId="0" applyFont="1" applyFill="1"/>
    <xf numFmtId="2" fontId="1" fillId="28" borderId="0" xfId="0" applyNumberFormat="1" applyFont="1" applyFill="1"/>
    <xf numFmtId="0" fontId="0" fillId="33" borderId="0" xfId="0" applyFill="1" applyBorder="1"/>
    <xf numFmtId="0" fontId="8" fillId="33" borderId="5" xfId="0" applyFont="1" applyFill="1" applyBorder="1"/>
    <xf numFmtId="0" fontId="8" fillId="36" borderId="10" xfId="0" applyFont="1" applyFill="1" applyBorder="1" applyAlignment="1">
      <alignment wrapText="1"/>
    </xf>
    <xf numFmtId="0" fontId="8" fillId="36" borderId="10" xfId="0" applyFont="1" applyFill="1" applyBorder="1"/>
    <xf numFmtId="0" fontId="8" fillId="37" borderId="10" xfId="0" applyFont="1" applyFill="1" applyBorder="1"/>
    <xf numFmtId="0" fontId="8" fillId="37" borderId="9" xfId="0" applyFont="1" applyFill="1" applyBorder="1" applyAlignment="1">
      <alignment wrapText="1"/>
    </xf>
    <xf numFmtId="0" fontId="8" fillId="37" borderId="9" xfId="0" applyFont="1" applyFill="1" applyBorder="1"/>
    <xf numFmtId="0" fontId="8" fillId="34" borderId="5" xfId="0" applyFont="1" applyFill="1" applyBorder="1" applyAlignment="1">
      <alignment wrapText="1"/>
    </xf>
    <xf numFmtId="0" fontId="8" fillId="34" borderId="5" xfId="0" applyFont="1" applyFill="1" applyBorder="1"/>
    <xf numFmtId="0" fontId="8" fillId="35" borderId="5" xfId="0" applyFont="1" applyFill="1" applyBorder="1" applyAlignment="1">
      <alignment wrapText="1"/>
    </xf>
    <xf numFmtId="0" fontId="8" fillId="35" borderId="5" xfId="0" applyFont="1" applyFill="1" applyBorder="1"/>
    <xf numFmtId="0" fontId="8" fillId="37" borderId="5" xfId="0" applyFont="1" applyFill="1" applyBorder="1" applyAlignment="1">
      <alignment wrapText="1"/>
    </xf>
    <xf numFmtId="0" fontId="8" fillId="37" borderId="5" xfId="0" applyFont="1" applyFill="1" applyBorder="1"/>
    <xf numFmtId="0" fontId="8" fillId="36" borderId="5" xfId="0" applyFont="1" applyFill="1" applyBorder="1" applyAlignment="1">
      <alignment wrapText="1"/>
    </xf>
    <xf numFmtId="0" fontId="8" fillId="36" borderId="5" xfId="0" applyFont="1" applyFill="1" applyBorder="1"/>
    <xf numFmtId="0" fontId="8" fillId="33" borderId="12" xfId="0" applyFont="1" applyFill="1" applyBorder="1"/>
    <xf numFmtId="0" fontId="0" fillId="34" borderId="0" xfId="0" applyFill="1" applyBorder="1"/>
    <xf numFmtId="0" fontId="8" fillId="36" borderId="12" xfId="0" applyFont="1" applyFill="1" applyBorder="1" applyAlignment="1">
      <alignment wrapText="1"/>
    </xf>
    <xf numFmtId="0" fontId="8" fillId="36" borderId="12" xfId="0" applyFont="1" applyFill="1" applyBorder="1"/>
    <xf numFmtId="0" fontId="8" fillId="39" borderId="5" xfId="0" applyFont="1" applyFill="1" applyBorder="1" applyAlignment="1">
      <alignment wrapText="1"/>
    </xf>
    <xf numFmtId="0" fontId="8" fillId="39" borderId="5" xfId="0" applyFont="1" applyFill="1" applyBorder="1"/>
    <xf numFmtId="0" fontId="8" fillId="33" borderId="10" xfId="0" applyFont="1" applyFill="1" applyBorder="1"/>
    <xf numFmtId="0" fontId="21" fillId="33" borderId="5" xfId="0" applyFont="1" applyFill="1" applyBorder="1" applyAlignment="1">
      <alignment horizontal="left" wrapText="1"/>
    </xf>
    <xf numFmtId="0" fontId="8" fillId="38" borderId="5" xfId="0" applyFont="1" applyFill="1" applyBorder="1" applyAlignment="1">
      <alignment horizontal="left" wrapText="1"/>
    </xf>
    <xf numFmtId="0" fontId="4" fillId="38" borderId="0" xfId="0" applyFont="1" applyFill="1" applyBorder="1"/>
    <xf numFmtId="0" fontId="4" fillId="38" borderId="3" xfId="0" applyFont="1" applyFill="1" applyBorder="1"/>
    <xf numFmtId="0" fontId="4" fillId="38" borderId="1" xfId="0" applyFont="1" applyFill="1" applyBorder="1"/>
    <xf numFmtId="0" fontId="0" fillId="38" borderId="0" xfId="0" applyFill="1" applyBorder="1"/>
    <xf numFmtId="0" fontId="0" fillId="38" borderId="3" xfId="0" applyFill="1" applyBorder="1"/>
    <xf numFmtId="0" fontId="8" fillId="38" borderId="12" xfId="0" applyFont="1" applyFill="1" applyBorder="1" applyAlignment="1">
      <alignment horizontal="left" wrapText="1"/>
    </xf>
    <xf numFmtId="0" fontId="4" fillId="38" borderId="1" xfId="0" applyFont="1" applyFill="1" applyBorder="1" applyAlignment="1">
      <alignment horizontal="center"/>
    </xf>
    <xf numFmtId="2" fontId="4" fillId="38" borderId="1" xfId="0" applyNumberFormat="1" applyFont="1" applyFill="1" applyBorder="1"/>
    <xf numFmtId="0" fontId="8" fillId="38" borderId="5" xfId="0" applyFont="1" applyFill="1" applyBorder="1" applyAlignment="1">
      <alignment wrapText="1"/>
    </xf>
    <xf numFmtId="0" fontId="8" fillId="38" borderId="5" xfId="0" applyFont="1" applyFill="1" applyBorder="1"/>
    <xf numFmtId="0" fontId="8" fillId="40" borderId="5" xfId="0" applyFont="1" applyFill="1" applyBorder="1" applyAlignment="1">
      <alignment wrapText="1"/>
    </xf>
    <xf numFmtId="0" fontId="8" fillId="40" borderId="5" xfId="0" applyFont="1" applyFill="1" applyBorder="1"/>
    <xf numFmtId="0" fontId="1" fillId="38" borderId="5" xfId="0" applyFont="1" applyFill="1" applyBorder="1" applyAlignment="1">
      <alignment wrapText="1"/>
    </xf>
    <xf numFmtId="0" fontId="1" fillId="38" borderId="5" xfId="0" applyFont="1" applyFill="1" applyBorder="1"/>
    <xf numFmtId="0" fontId="1" fillId="33" borderId="5" xfId="0" applyFont="1" applyFill="1" applyBorder="1" applyAlignment="1">
      <alignment wrapText="1"/>
    </xf>
    <xf numFmtId="0" fontId="8" fillId="41" borderId="5" xfId="0" applyFont="1" applyFill="1" applyBorder="1" applyAlignment="1">
      <alignment wrapText="1"/>
    </xf>
    <xf numFmtId="0" fontId="8" fillId="41" borderId="5" xfId="0" applyFont="1" applyFill="1" applyBorder="1"/>
    <xf numFmtId="0" fontId="1" fillId="33" borderId="12" xfId="0" applyFont="1" applyFill="1" applyBorder="1" applyAlignment="1">
      <alignment wrapText="1"/>
    </xf>
    <xf numFmtId="0" fontId="0" fillId="40" borderId="0" xfId="0" applyFill="1" applyBorder="1"/>
    <xf numFmtId="0" fontId="0" fillId="40" borderId="3" xfId="0" applyFill="1" applyBorder="1"/>
    <xf numFmtId="0" fontId="4" fillId="40" borderId="1" xfId="0" applyFont="1" applyFill="1" applyBorder="1"/>
    <xf numFmtId="0" fontId="1" fillId="38" borderId="0" xfId="0" applyFont="1" applyFill="1" applyBorder="1"/>
    <xf numFmtId="0" fontId="1" fillId="40" borderId="5" xfId="0" applyFont="1" applyFill="1" applyBorder="1" applyAlignment="1">
      <alignment wrapText="1"/>
    </xf>
    <xf numFmtId="0" fontId="1" fillId="38" borderId="12" xfId="0" applyFont="1" applyFill="1" applyBorder="1" applyAlignment="1">
      <alignment horizontal="left" wrapText="1"/>
    </xf>
    <xf numFmtId="0" fontId="1" fillId="38" borderId="5" xfId="0" applyFont="1" applyFill="1" applyBorder="1" applyAlignment="1">
      <alignment horizontal="left" wrapText="1"/>
    </xf>
    <xf numFmtId="0" fontId="1" fillId="33" borderId="10" xfId="0" applyFont="1" applyFill="1" applyBorder="1" applyAlignment="1">
      <alignment wrapText="1"/>
    </xf>
    <xf numFmtId="0" fontId="1" fillId="37" borderId="10" xfId="0" applyFont="1" applyFill="1" applyBorder="1" applyAlignment="1">
      <alignment wrapText="1"/>
    </xf>
    <xf numFmtId="0" fontId="21" fillId="41" borderId="5" xfId="0" applyFont="1" applyFill="1" applyBorder="1" applyAlignment="1">
      <alignment horizontal="left" wrapText="1"/>
    </xf>
    <xf numFmtId="0" fontId="8" fillId="41" borderId="5" xfId="0" applyFont="1" applyFill="1" applyBorder="1" applyAlignment="1">
      <alignment horizontal="left" wrapText="1"/>
    </xf>
    <xf numFmtId="0" fontId="1" fillId="6" borderId="0" xfId="0" applyFont="1" applyFill="1" applyAlignment="1">
      <alignment horizontal="center"/>
    </xf>
    <xf numFmtId="0" fontId="15" fillId="16" borderId="13" xfId="0" applyFont="1" applyFill="1" applyBorder="1" applyAlignment="1">
      <alignment horizontal="center" vertical="center" wrapText="1"/>
    </xf>
    <xf numFmtId="0" fontId="15" fillId="16" borderId="1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7" xfId="0" applyFont="1" applyFill="1" applyBorder="1" applyAlignment="1">
      <alignment horizontal="center" vertical="center" wrapText="1"/>
    </xf>
    <xf numFmtId="0" fontId="0" fillId="17" borderId="16" xfId="0" applyFill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66"/>
      <color rgb="FFE60000"/>
      <color rgb="FFFF7575"/>
      <color rgb="FFCCCC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81706093446217"/>
          <c:y val="6.1033003761837408E-2"/>
          <c:w val="0.84692248508547363"/>
          <c:h val="0.7793445095742316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Graphs!$AC$4:$AC$24</c:f>
              <c:numCache>
                <c:formatCode>General</c:formatCode>
                <c:ptCount val="21"/>
                <c:pt idx="0">
                  <c:v>6.8210791721937216</c:v>
                </c:pt>
                <c:pt idx="1">
                  <c:v>14.006818488355139</c:v>
                </c:pt>
                <c:pt idx="2">
                  <c:v>12.161968111704379</c:v>
                </c:pt>
                <c:pt idx="3">
                  <c:v>12.772307997861525</c:v>
                </c:pt>
                <c:pt idx="4">
                  <c:v>13.104949460147756</c:v>
                </c:pt>
                <c:pt idx="5">
                  <c:v>15.516797135295267</c:v>
                </c:pt>
                <c:pt idx="6">
                  <c:v>15.570386931459609</c:v>
                </c:pt>
                <c:pt idx="7">
                  <c:v>144.11906494889607</c:v>
                </c:pt>
                <c:pt idx="8">
                  <c:v>7.3778619598689614</c:v>
                </c:pt>
                <c:pt idx="9" formatCode="0.00">
                  <c:v>14.766136661695047</c:v>
                </c:pt>
                <c:pt idx="10" formatCode="0.00">
                  <c:v>14.91482720241687</c:v>
                </c:pt>
                <c:pt idx="11" formatCode="0.00">
                  <c:v>9.3419258470438926</c:v>
                </c:pt>
                <c:pt idx="12">
                  <c:v>19.489580531927174</c:v>
                </c:pt>
                <c:pt idx="13">
                  <c:v>12.552140868530131</c:v>
                </c:pt>
                <c:pt idx="14" formatCode="0.00">
                  <c:v>10.615248240172246</c:v>
                </c:pt>
                <c:pt idx="15" formatCode="0.00">
                  <c:v>7.1610915493358895</c:v>
                </c:pt>
                <c:pt idx="16" formatCode="0.00">
                  <c:v>11.572753818682163</c:v>
                </c:pt>
                <c:pt idx="17" formatCode="0.00">
                  <c:v>13.408530329853781</c:v>
                </c:pt>
                <c:pt idx="18">
                  <c:v>13.602920172773024</c:v>
                </c:pt>
                <c:pt idx="19">
                  <c:v>16.775748432785107</c:v>
                </c:pt>
                <c:pt idx="20">
                  <c:v>20.586152070636974</c:v>
                </c:pt>
              </c:numCache>
            </c:numRef>
          </c:xVal>
          <c:yVal>
            <c:numRef>
              <c:f>Graphs!$AB$4:$AB$38</c:f>
              <c:numCache>
                <c:formatCode>General</c:formatCode>
                <c:ptCount val="35"/>
                <c:pt idx="0">
                  <c:v>6.279346576149937</c:v>
                </c:pt>
                <c:pt idx="1">
                  <c:v>11.691274992432502</c:v>
                </c:pt>
                <c:pt idx="2">
                  <c:v>13.980403725701262</c:v>
                </c:pt>
                <c:pt idx="3">
                  <c:v>13.580143137442645</c:v>
                </c:pt>
                <c:pt idx="4">
                  <c:v>12.46745315655467</c:v>
                </c:pt>
                <c:pt idx="5">
                  <c:v>12.096588352986165</c:v>
                </c:pt>
                <c:pt idx="6">
                  <c:v>11.890263772543111</c:v>
                </c:pt>
                <c:pt idx="7">
                  <c:v>9.0814686149213486</c:v>
                </c:pt>
                <c:pt idx="8">
                  <c:v>9.2722888089919682</c:v>
                </c:pt>
                <c:pt idx="9" formatCode="0.00">
                  <c:v>13.006564106523012</c:v>
                </c:pt>
                <c:pt idx="10" formatCode="0.00">
                  <c:v>12.162044979467272</c:v>
                </c:pt>
                <c:pt idx="11" formatCode="0.00">
                  <c:v>11.058380633280631</c:v>
                </c:pt>
                <c:pt idx="12">
                  <c:v>9.2682504612175123</c:v>
                </c:pt>
                <c:pt idx="13">
                  <c:v>5.6408130909989049</c:v>
                </c:pt>
                <c:pt idx="14" formatCode="0.00">
                  <c:v>7.6779249742794979</c:v>
                </c:pt>
                <c:pt idx="15" formatCode="0.00">
                  <c:v>5.7100487858213738</c:v>
                </c:pt>
                <c:pt idx="16" formatCode="0.00">
                  <c:v>10.466318243134994</c:v>
                </c:pt>
                <c:pt idx="17" formatCode="0.00">
                  <c:v>8.711422027029819</c:v>
                </c:pt>
                <c:pt idx="18">
                  <c:v>9.2973433984742986</c:v>
                </c:pt>
                <c:pt idx="19">
                  <c:v>15.693627595218286</c:v>
                </c:pt>
                <c:pt idx="20">
                  <c:v>16.410746806545404</c:v>
                </c:pt>
                <c:pt idx="21">
                  <c:v>15.336999121452013</c:v>
                </c:pt>
                <c:pt idx="22">
                  <c:v>7.9227940769248661</c:v>
                </c:pt>
                <c:pt idx="23">
                  <c:v>8.5611379831667556</c:v>
                </c:pt>
                <c:pt idx="24">
                  <c:v>8.6401180762507419</c:v>
                </c:pt>
                <c:pt idx="25">
                  <c:v>11.624662626335409</c:v>
                </c:pt>
                <c:pt idx="26">
                  <c:v>8.0045836502584198</c:v>
                </c:pt>
                <c:pt idx="27">
                  <c:v>7.7494852633524367</c:v>
                </c:pt>
                <c:pt idx="28">
                  <c:v>6.1492753039838979</c:v>
                </c:pt>
                <c:pt idx="29">
                  <c:v>6.8584936008330981</c:v>
                </c:pt>
                <c:pt idx="30">
                  <c:v>5.1626319848552793</c:v>
                </c:pt>
                <c:pt idx="31" formatCode="0.00">
                  <c:v>9.3234259154978574</c:v>
                </c:pt>
                <c:pt idx="32">
                  <c:v>13.089293218813863</c:v>
                </c:pt>
                <c:pt idx="33">
                  <c:v>9.3422346648002801</c:v>
                </c:pt>
                <c:pt idx="34">
                  <c:v>8.8577250394645706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8A-C541-AB42-F628B881FD91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8A-C541-AB42-F628B881FD91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8A-C541-AB42-F628B881FD91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8A-C541-AB42-F628B881F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02816"/>
        <c:axId val="142009088"/>
      </c:scatterChart>
      <c:valAx>
        <c:axId val="14200281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Measured DIN loads [kg N/ha,a]</a:t>
                </a:r>
              </a:p>
            </c:rich>
          </c:tx>
          <c:layout>
            <c:manualLayout>
              <c:xMode val="edge"/>
              <c:yMode val="edge"/>
              <c:x val="0.35940134771007198"/>
              <c:y val="0.9131475114906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009088"/>
        <c:crossesAt val="0"/>
        <c:crossBetween val="midCat"/>
        <c:majorUnit val="5"/>
      </c:valAx>
      <c:valAx>
        <c:axId val="142009088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1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Calculated DIN loads [kg N/ha,a]     </a:t>
                </a:r>
                <a:r>
                  <a:rPr lang="de-DE" sz="1150" b="0" i="0" u="none" strike="noStrike" baseline="0">
                    <a:solidFill>
                      <a:srgbClr val="C0C0C0"/>
                    </a:solidFill>
                    <a:latin typeface="Arial"/>
                    <a:cs typeface="Arial"/>
                  </a:rPr>
                  <a:t>k</a:t>
                </a:r>
                <a:r>
                  <a:rPr lang="de-DE" sz="11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2.4958402662229616E-2"/>
              <c:y val="0.169014577403176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002816"/>
        <c:crossesAt val="0"/>
        <c:crossBetween val="midCat"/>
        <c:majorUnit val="5"/>
      </c:valAx>
      <c:spPr>
        <a:solidFill>
          <a:srgbClr val="FFFF99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66684027806045"/>
          <c:y val="6.1320825334455757E-2"/>
          <c:w val="0.8616680691212063"/>
          <c:h val="0.8797179942212308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Graphs!$AK$4:$AK$41</c:f>
              <c:numCache>
                <c:formatCode>General</c:formatCode>
                <c:ptCount val="38"/>
                <c:pt idx="0">
                  <c:v>-98.701180302545183</c:v>
                </c:pt>
                <c:pt idx="1">
                  <c:v>-93.698634793292896</c:v>
                </c:pt>
                <c:pt idx="2">
                  <c:v>-92.462632047276017</c:v>
                </c:pt>
                <c:pt idx="3">
                  <c:v>-55.060948167486181</c:v>
                </c:pt>
                <c:pt idx="4">
                  <c:v>-52.445100365117767</c:v>
                </c:pt>
                <c:pt idx="5">
                  <c:v>-36.045841486697263</c:v>
                </c:pt>
                <c:pt idx="6">
                  <c:v>-35.997827650730358</c:v>
                </c:pt>
                <c:pt idx="7">
                  <c:v>-35.030746750566394</c:v>
                </c:pt>
                <c:pt idx="8">
                  <c:v>-32.88336101445428</c:v>
                </c:pt>
                <c:pt idx="9">
                  <c:v>-32.87995115577354</c:v>
                </c:pt>
                <c:pt idx="10">
                  <c:v>-31.651856510314374</c:v>
                </c:pt>
                <c:pt idx="11">
                  <c:v>-31.043127352556922</c:v>
                </c:pt>
                <c:pt idx="12">
                  <c:v>-28.050380758458729</c:v>
                </c:pt>
                <c:pt idx="13">
                  <c:v>-27.917175389525994</c:v>
                </c:pt>
                <c:pt idx="14">
                  <c:v>-27.67079204777113</c:v>
                </c:pt>
                <c:pt idx="15">
                  <c:v>-23.635399525498585</c:v>
                </c:pt>
                <c:pt idx="16">
                  <c:v>-22.041976527032944</c:v>
                </c:pt>
                <c:pt idx="17">
                  <c:v>-20.282592151095358</c:v>
                </c:pt>
                <c:pt idx="18">
                  <c:v>-20.26287128879234</c:v>
                </c:pt>
                <c:pt idx="19">
                  <c:v>-19.120633879642028</c:v>
                </c:pt>
                <c:pt idx="20">
                  <c:v>-18.456681968823105</c:v>
                </c:pt>
                <c:pt idx="21">
                  <c:v>-16.531544960389894</c:v>
                </c:pt>
                <c:pt idx="22">
                  <c:v>-15.667597589250079</c:v>
                </c:pt>
                <c:pt idx="23">
                  <c:v>-11.916268929953489</c:v>
                </c:pt>
                <c:pt idx="24">
                  <c:v>-9.5606939617174334</c:v>
                </c:pt>
                <c:pt idx="25">
                  <c:v>-7.9420364779252139</c:v>
                </c:pt>
                <c:pt idx="26">
                  <c:v>-6.4505070632319104</c:v>
                </c:pt>
                <c:pt idx="27">
                  <c:v>-4.8645460673596403</c:v>
                </c:pt>
                <c:pt idx="28">
                  <c:v>-3.6023204910430877</c:v>
                </c:pt>
                <c:pt idx="29">
                  <c:v>-1.3538992895896484</c:v>
                </c:pt>
                <c:pt idx="30">
                  <c:v>6.3248955452403663</c:v>
                </c:pt>
                <c:pt idx="31">
                  <c:v>7.2258916579340422</c:v>
                </c:pt>
                <c:pt idx="32">
                  <c:v>14.951820275263387</c:v>
                </c:pt>
                <c:pt idx="33">
                  <c:v>18.373671706887748</c:v>
                </c:pt>
                <c:pt idx="34">
                  <c:v>19.767460518631538</c:v>
                </c:pt>
                <c:pt idx="35">
                  <c:v>23.395475958476283</c:v>
                </c:pt>
                <c:pt idx="36">
                  <c:v>25.677179370223072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3-8645-9B2A-34488E84C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42904320"/>
        <c:axId val="142906112"/>
      </c:barChart>
      <c:lineChart>
        <c:grouping val="standard"/>
        <c:varyColors val="0"/>
        <c:ser>
          <c:idx val="0"/>
          <c:order val="1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Graphs!$U$10:$U$11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3-8645-9B2A-34488E84C5FD}"/>
            </c:ext>
          </c:extLst>
        </c:ser>
        <c:ser>
          <c:idx val="2"/>
          <c:order val="2"/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Graphs!$AL$4:$AL$41</c:f>
              <c:numCache>
                <c:formatCode>General</c:formatCode>
                <c:ptCount val="38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93-8645-9B2A-34488E84C5FD}"/>
            </c:ext>
          </c:extLst>
        </c:ser>
        <c:ser>
          <c:idx val="3"/>
          <c:order val="3"/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Graphs!$AM$4:$AM$41</c:f>
              <c:numCache>
                <c:formatCode>General</c:formatCode>
                <c:ptCount val="38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93-8645-9B2A-34488E84C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904320"/>
        <c:axId val="142906112"/>
      </c:lineChart>
      <c:catAx>
        <c:axId val="142904320"/>
        <c:scaling>
          <c:orientation val="minMax"/>
        </c:scaling>
        <c:delete val="1"/>
        <c:axPos val="b"/>
        <c:majorTickMark val="out"/>
        <c:minorTickMark val="none"/>
        <c:tickLblPos val="none"/>
        <c:crossAx val="142906112"/>
        <c:crosses val="autoZero"/>
        <c:auto val="1"/>
        <c:lblAlgn val="ctr"/>
        <c:lblOffset val="100"/>
        <c:noMultiLvlLbl val="0"/>
      </c:catAx>
      <c:valAx>
        <c:axId val="142906112"/>
        <c:scaling>
          <c:orientation val="minMax"/>
          <c:max val="150"/>
          <c:min val="-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DIN-computation error [%]</a:t>
                </a:r>
              </a:p>
            </c:rich>
          </c:tx>
          <c:layout>
            <c:manualLayout>
              <c:xMode val="edge"/>
              <c:yMode val="edge"/>
              <c:x val="8.3333333333333367E-3"/>
              <c:y val="0.283019115535086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04320"/>
        <c:crosses val="autoZero"/>
        <c:crossBetween val="between"/>
      </c:valAx>
      <c:spPr>
        <a:solidFill>
          <a:srgbClr val="FFFF99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74631751227496"/>
          <c:y val="6.1176470588235304E-2"/>
          <c:w val="0.86252045826513946"/>
          <c:h val="0.8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Graphs!$AP$4:$AP$41</c:f>
              <c:numCache>
                <c:formatCode>General</c:formatCode>
                <c:ptCount val="38"/>
                <c:pt idx="0">
                  <c:v>-97.854485945021906</c:v>
                </c:pt>
                <c:pt idx="1">
                  <c:v>-94.33311602125228</c:v>
                </c:pt>
                <c:pt idx="2">
                  <c:v>-87.46605815992227</c:v>
                </c:pt>
                <c:pt idx="3">
                  <c:v>-60.575623705737769</c:v>
                </c:pt>
                <c:pt idx="4">
                  <c:v>-49.256283560262858</c:v>
                </c:pt>
                <c:pt idx="5">
                  <c:v>-45.761820287202191</c:v>
                </c:pt>
                <c:pt idx="6">
                  <c:v>-45.705381470274908</c:v>
                </c:pt>
                <c:pt idx="7">
                  <c:v>-45.543839038265553</c:v>
                </c:pt>
                <c:pt idx="8">
                  <c:v>-44.35425727028526</c:v>
                </c:pt>
                <c:pt idx="9">
                  <c:v>-42.85878067993734</c:v>
                </c:pt>
                <c:pt idx="10">
                  <c:v>-33.625102731566727</c:v>
                </c:pt>
                <c:pt idx="11">
                  <c:v>-33.045137700981826</c:v>
                </c:pt>
                <c:pt idx="12">
                  <c:v>-32.963908769604984</c:v>
                </c:pt>
                <c:pt idx="13">
                  <c:v>-31.39760814839758</c:v>
                </c:pt>
                <c:pt idx="14">
                  <c:v>-26.240419243808134</c:v>
                </c:pt>
                <c:pt idx="15">
                  <c:v>-25.749774853237028</c:v>
                </c:pt>
                <c:pt idx="16">
                  <c:v>-24.650392767983021</c:v>
                </c:pt>
                <c:pt idx="17">
                  <c:v>-23.777392337513646</c:v>
                </c:pt>
                <c:pt idx="18">
                  <c:v>-17.869351088751287</c:v>
                </c:pt>
                <c:pt idx="19">
                  <c:v>-17.684688444314773</c:v>
                </c:pt>
                <c:pt idx="20">
                  <c:v>-16.581064284556945</c:v>
                </c:pt>
                <c:pt idx="21">
                  <c:v>-13.570351892026594</c:v>
                </c:pt>
                <c:pt idx="22">
                  <c:v>-8.8182707058886365</c:v>
                </c:pt>
                <c:pt idx="23">
                  <c:v>-8.2210098563020892</c:v>
                </c:pt>
                <c:pt idx="24">
                  <c:v>9.4279958301680296</c:v>
                </c:pt>
                <c:pt idx="25">
                  <c:v>21.959456472060253</c:v>
                </c:pt>
                <c:pt idx="26">
                  <c:v>29.380668334306392</c:v>
                </c:pt>
                <c:pt idx="27">
                  <c:v>32.389040228766476</c:v>
                </c:pt>
                <c:pt idx="28">
                  <c:v>39.825222478988394</c:v>
                </c:pt>
                <c:pt idx="29">
                  <c:v>48.976896877454635</c:v>
                </c:pt>
                <c:pt idx="30">
                  <c:v>64.793094724929119</c:v>
                </c:pt>
                <c:pt idx="31">
                  <c:v>75.522060045934012</c:v>
                </c:pt>
                <c:pt idx="32">
                  <c:v>79.37953108462105</c:v>
                </c:pt>
                <c:pt idx="33">
                  <c:v>119.33292990086181</c:v>
                </c:pt>
                <c:pt idx="34">
                  <c:v>154.56114318752441</c:v>
                </c:pt>
                <c:pt idx="35">
                  <c:v>166.64997822627993</c:v>
                </c:pt>
                <c:pt idx="36">
                  <c:v>286.60910961870388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7-CF4F-B2A6-F9E04DC9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43214464"/>
        <c:axId val="143216000"/>
      </c:barChart>
      <c:lineChart>
        <c:grouping val="standard"/>
        <c:varyColors val="0"/>
        <c:ser>
          <c:idx val="0"/>
          <c:order val="1"/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Graphs!$AQ$4:$AQ$41</c:f>
              <c:numCache>
                <c:formatCode>General</c:formatCode>
                <c:ptCount val="38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77-CF4F-B2A6-F9E04DC90426}"/>
            </c:ext>
          </c:extLst>
        </c:ser>
        <c:ser>
          <c:idx val="2"/>
          <c:order val="2"/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Graphs!$AR$4:$AR$41</c:f>
              <c:numCache>
                <c:formatCode>General</c:formatCode>
                <c:ptCount val="38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7-CF4F-B2A6-F9E04DC9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14464"/>
        <c:axId val="143216000"/>
      </c:lineChart>
      <c:catAx>
        <c:axId val="143214464"/>
        <c:scaling>
          <c:orientation val="minMax"/>
        </c:scaling>
        <c:delete val="1"/>
        <c:axPos val="b"/>
        <c:majorTickMark val="out"/>
        <c:minorTickMark val="none"/>
        <c:tickLblPos val="none"/>
        <c:crossAx val="143216000"/>
        <c:crosses val="autoZero"/>
        <c:auto val="1"/>
        <c:lblAlgn val="ctr"/>
        <c:lblOffset val="100"/>
        <c:noMultiLvlLbl val="0"/>
      </c:catAx>
      <c:valAx>
        <c:axId val="143216000"/>
        <c:scaling>
          <c:orientation val="minMax"/>
          <c:max val="250"/>
          <c:min val="-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TP-computation error [%]</a:t>
                </a:r>
              </a:p>
            </c:rich>
          </c:tx>
          <c:layout>
            <c:manualLayout>
              <c:xMode val="edge"/>
              <c:yMode val="edge"/>
              <c:x val="8.1833060556464887E-3"/>
              <c:y val="0.277647058823529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14464"/>
        <c:crosses val="autoZero"/>
        <c:crossBetween val="between"/>
        <c:majorUnit val="50"/>
      </c:valAx>
      <c:spPr>
        <a:solidFill>
          <a:srgbClr val="FFFF99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1325701666067"/>
          <c:y val="6.1033003761837408E-2"/>
          <c:w val="0.8382366316837595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Graphs!$AH$4:$AH$41</c:f>
              <c:numCache>
                <c:formatCode>General</c:formatCode>
                <c:ptCount val="38"/>
                <c:pt idx="0">
                  <c:v>0.27011734113474622</c:v>
                </c:pt>
                <c:pt idx="1">
                  <c:v>0.38617409297266475</c:v>
                </c:pt>
                <c:pt idx="2">
                  <c:v>0.89712924403423855</c:v>
                </c:pt>
                <c:pt idx="3">
                  <c:v>0.83778023425585713</c:v>
                </c:pt>
                <c:pt idx="4">
                  <c:v>0.95594812150490416</c:v>
                </c:pt>
                <c:pt idx="5">
                  <c:v>0.97791556083613329</c:v>
                </c:pt>
                <c:pt idx="6">
                  <c:v>1.195994507982892</c:v>
                </c:pt>
                <c:pt idx="7">
                  <c:v>7.779753788047115</c:v>
                </c:pt>
                <c:pt idx="8">
                  <c:v>0.30914767986519132</c:v>
                </c:pt>
                <c:pt idx="9" formatCode="0.00">
                  <c:v>0.73752863136209101</c:v>
                </c:pt>
                <c:pt idx="10" formatCode="0.00">
                  <c:v>0.72215239402769871</c:v>
                </c:pt>
                <c:pt idx="11" formatCode="0.00">
                  <c:v>0.51253760724999076</c:v>
                </c:pt>
                <c:pt idx="12">
                  <c:v>1.6625190838530757</c:v>
                </c:pt>
                <c:pt idx="13">
                  <c:v>0.34427935246744912</c:v>
                </c:pt>
                <c:pt idx="14" formatCode="0.00">
                  <c:v>0.34553798296846777</c:v>
                </c:pt>
                <c:pt idx="15" formatCode="0.00">
                  <c:v>0.12800832895117734</c:v>
                </c:pt>
                <c:pt idx="16" formatCode="0.00">
                  <c:v>0.27673772238352273</c:v>
                </c:pt>
                <c:pt idx="17" formatCode="0.00">
                  <c:v>7.5803652168528093E-2</c:v>
                </c:pt>
                <c:pt idx="18">
                  <c:v>0.10271834067324732</c:v>
                </c:pt>
                <c:pt idx="19">
                  <c:v>0.50732324506874826</c:v>
                </c:pt>
                <c:pt idx="20">
                  <c:v>0.48305851410932171</c:v>
                </c:pt>
                <c:pt idx="21">
                  <c:v>0.28916663005756021</c:v>
                </c:pt>
                <c:pt idx="22">
                  <c:v>0.44729483545855675</c:v>
                </c:pt>
                <c:pt idx="23">
                  <c:v>0.29382517222928983</c:v>
                </c:pt>
                <c:pt idx="24">
                  <c:v>0.63759350070091969</c:v>
                </c:pt>
                <c:pt idx="25">
                  <c:v>0.12510963306442952</c:v>
                </c:pt>
                <c:pt idx="26">
                  <c:v>0.35424439296946458</c:v>
                </c:pt>
                <c:pt idx="27">
                  <c:v>0.51932345598230623</c:v>
                </c:pt>
                <c:pt idx="28">
                  <c:v>0.35662163800749208</c:v>
                </c:pt>
                <c:pt idx="29">
                  <c:v>0.50434341509164593</c:v>
                </c:pt>
                <c:pt idx="30">
                  <c:v>0.17880692181986804</c:v>
                </c:pt>
                <c:pt idx="31" formatCode="0.00">
                  <c:v>8.4087312254026991E-2</c:v>
                </c:pt>
                <c:pt idx="32">
                  <c:v>0.21886519499669288</c:v>
                </c:pt>
                <c:pt idx="33">
                  <c:v>0.25281498778493794</c:v>
                </c:pt>
                <c:pt idx="34">
                  <c:v>19.944489796813027</c:v>
                </c:pt>
                <c:pt idx="35" formatCode="0.00">
                  <c:v>4.0091726752853472</c:v>
                </c:pt>
                <c:pt idx="36" formatCode="0.00">
                  <c:v>0.26762468906210735</c:v>
                </c:pt>
              </c:numCache>
            </c:numRef>
          </c:xVal>
          <c:yVal>
            <c:numRef>
              <c:f>Graphs!$AG$4:$AG$41</c:f>
              <c:numCache>
                <c:formatCode>General</c:formatCode>
                <c:ptCount val="38"/>
                <c:pt idx="0">
                  <c:v>0.20056273395299884</c:v>
                </c:pt>
                <c:pt idx="1">
                  <c:v>0.49963462242197942</c:v>
                </c:pt>
                <c:pt idx="2">
                  <c:v>0.73681806969790031</c:v>
                </c:pt>
                <c:pt idx="3">
                  <c:v>0.76890623862353236</c:v>
                </c:pt>
                <c:pt idx="4">
                  <c:v>0.64083025484727485</c:v>
                </c:pt>
                <c:pt idx="5">
                  <c:v>0.65476201715850424</c:v>
                </c:pt>
                <c:pt idx="6">
                  <c:v>0.68340584486240863</c:v>
                </c:pt>
                <c:pt idx="7">
                  <c:v>0.44086962100086119</c:v>
                </c:pt>
                <c:pt idx="8">
                  <c:v>0.17202752259266649</c:v>
                </c:pt>
                <c:pt idx="9" formatCode="0.00">
                  <c:v>0.63744340078180761</c:v>
                </c:pt>
                <c:pt idx="10" formatCode="0.00">
                  <c:v>0.59444199305073986</c:v>
                </c:pt>
                <c:pt idx="11" formatCode="0.00">
                  <c:v>0.67854361904974747</c:v>
                </c:pt>
                <c:pt idx="12">
                  <c:v>0.65543777958215765</c:v>
                </c:pt>
                <c:pt idx="13">
                  <c:v>0.18673085390535163</c:v>
                </c:pt>
                <c:pt idx="14" formatCode="0.00">
                  <c:v>0.25486736759094353</c:v>
                </c:pt>
                <c:pt idx="15" formatCode="0.00">
                  <c:v>9.7571286351760836E-2</c:v>
                </c:pt>
                <c:pt idx="16" formatCode="0.00">
                  <c:v>0.3028285433103432</c:v>
                </c:pt>
                <c:pt idx="17" formatCode="0.00">
                  <c:v>0.11292992872045252</c:v>
                </c:pt>
                <c:pt idx="18">
                  <c:v>0.27389843303961003</c:v>
                </c:pt>
                <c:pt idx="19">
                  <c:v>0.83603367580772658</c:v>
                </c:pt>
                <c:pt idx="20">
                  <c:v>0.84787425519196036</c:v>
                </c:pt>
                <c:pt idx="21">
                  <c:v>0.73610587919136483</c:v>
                </c:pt>
                <c:pt idx="22">
                  <c:v>0.33703490168711914</c:v>
                </c:pt>
                <c:pt idx="23">
                  <c:v>0.41084170076887538</c:v>
                </c:pt>
                <c:pt idx="24">
                  <c:v>0.43740439177119439</c:v>
                </c:pt>
                <c:pt idx="25">
                  <c:v>0.22442107313266366</c:v>
                </c:pt>
                <c:pt idx="26">
                  <c:v>0.1929078968333707</c:v>
                </c:pt>
                <c:pt idx="27">
                  <c:v>0.34470041039913302</c:v>
                </c:pt>
                <c:pt idx="28">
                  <c:v>0.18096307275326762</c:v>
                </c:pt>
                <c:pt idx="29">
                  <c:v>0.27383133330379711</c:v>
                </c:pt>
                <c:pt idx="30">
                  <c:v>0.14915883116767822</c:v>
                </c:pt>
                <c:pt idx="31" formatCode="0.00">
                  <c:v>0.32508920920759299</c:v>
                </c:pt>
                <c:pt idx="32">
                  <c:v>0.48004344471948085</c:v>
                </c:pt>
                <c:pt idx="33">
                  <c:v>0.23052107777700281</c:v>
                </c:pt>
                <c:pt idx="34">
                  <c:v>0.42791183178429409</c:v>
                </c:pt>
                <c:pt idx="35" formatCode="0.00">
                  <c:v>0.50250737138855406</c:v>
                </c:pt>
                <c:pt idx="36" formatCode="0.00">
                  <c:v>0.32639361616518742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F-4441-B0CD-39ADD65A6EB0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BF-4441-B0CD-39ADD65A6EB0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BF-4441-B0CD-39ADD65A6EB0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BF-4441-B0CD-39ADD65A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46848"/>
        <c:axId val="143248768"/>
      </c:scatterChart>
      <c:valAx>
        <c:axId val="1432468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Measured TP loads [kg P/ha,a]</a:t>
                </a:r>
              </a:p>
            </c:rich>
          </c:tx>
          <c:layout>
            <c:manualLayout>
              <c:xMode val="edge"/>
              <c:yMode val="edge"/>
              <c:x val="0.35457567804024515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48768"/>
        <c:crossesAt val="0"/>
        <c:crossBetween val="midCat"/>
        <c:majorUnit val="0.2"/>
        <c:minorUnit val="0.1"/>
      </c:valAx>
      <c:valAx>
        <c:axId val="14324876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Calculated TP loads [kg P/ha,a]     </a:t>
                </a:r>
                <a:r>
                  <a:rPr lang="de-DE" sz="1175" b="0" i="0" u="none" strike="noStrike" baseline="0">
                    <a:solidFill>
                      <a:srgbClr val="C0C0C0"/>
                    </a:solidFill>
                    <a:latin typeface="Arial"/>
                    <a:cs typeface="Arial"/>
                  </a:rPr>
                  <a:t>k</a:t>
                </a:r>
                <a:r>
                  <a:rPr lang="de-DE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2.4509803921568631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46848"/>
        <c:crossesAt val="0"/>
        <c:crossBetween val="midCat"/>
        <c:majorUnit val="0.2"/>
        <c:minorUnit val="0.1"/>
      </c:valAx>
      <c:spPr>
        <a:solidFill>
          <a:srgbClr val="FFFF99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333363172791616E-2"/>
          <c:y val="0.10588235294117651"/>
          <c:w val="0.57000092773588495"/>
          <c:h val="0.80470588235294149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018-B841-B119-1B083724380C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018-B841-B119-1B083724380C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018-B841-B119-1B083724380C}"/>
              </c:ext>
            </c:extLst>
          </c:dPt>
          <c:dPt>
            <c:idx val="3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018-B841-B119-1B083724380C}"/>
              </c:ext>
            </c:extLst>
          </c:dPt>
          <c:dPt>
            <c:idx val="4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018-B841-B119-1B083724380C}"/>
              </c:ext>
            </c:extLst>
          </c:dPt>
          <c:dPt>
            <c:idx val="5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F018-B841-B119-1B083724380C}"/>
              </c:ext>
            </c:extLst>
          </c:dPt>
          <c:dPt>
            <c:idx val="6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F018-B841-B119-1B083724380C}"/>
              </c:ext>
            </c:extLst>
          </c:dPt>
          <c:dLbls>
            <c:dLbl>
              <c:idx val="0"/>
              <c:layout>
                <c:manualLayout>
                  <c:x val="0.13336552930883636"/>
                  <c:y val="5.388667593021463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18-B841-B119-1B083724380C}"/>
                </c:ext>
              </c:extLst>
            </c:dLbl>
            <c:dLbl>
              <c:idx val="1"/>
              <c:layout>
                <c:manualLayout>
                  <c:x val="2.731408573928259E-4"/>
                  <c:y val="-4.6236220472440958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18-B841-B119-1B083724380C}"/>
                </c:ext>
              </c:extLst>
            </c:dLbl>
            <c:dLbl>
              <c:idx val="2"/>
              <c:layout>
                <c:manualLayout>
                  <c:x val="6.4146981627296604E-3"/>
                  <c:y val="-5.16589779218774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018-B841-B119-1B083724380C}"/>
                </c:ext>
              </c:extLst>
            </c:dLbl>
            <c:dLbl>
              <c:idx val="3"/>
              <c:layout>
                <c:manualLayout>
                  <c:x val="3.8138232720909908E-3"/>
                  <c:y val="5.7597282692604598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18-B841-B119-1B083724380C}"/>
                </c:ext>
              </c:extLst>
            </c:dLbl>
            <c:dLbl>
              <c:idx val="4"/>
              <c:layout>
                <c:manualLayout>
                  <c:x val="1.7220297462817159E-2"/>
                  <c:y val="-1.101621120889300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018-B841-B119-1B083724380C}"/>
                </c:ext>
              </c:extLst>
            </c:dLbl>
            <c:dLbl>
              <c:idx val="5"/>
              <c:layout>
                <c:manualLayout>
                  <c:x val="-9.717515310586175E-2"/>
                  <c:y val="2.7659224949822449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18-B841-B119-1B083724380C}"/>
                </c:ext>
              </c:extLst>
            </c:dLbl>
            <c:dLbl>
              <c:idx val="6"/>
              <c:layout>
                <c:manualLayout>
                  <c:x val="-2.3791251093613297E-2"/>
                  <c:y val="-1.3675714065153621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018-B841-B119-1B083724380C}"/>
                </c:ext>
              </c:extLst>
            </c:dLbl>
            <c:dLbl>
              <c:idx val="8"/>
              <c:layout>
                <c:manualLayout>
                  <c:x val="8.3963429571303608E-2"/>
                  <c:y val="-7.593639030415316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018-B841-B119-1B083724380C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Graphs!$AT$1:$BB$1</c:f>
              <c:strCache>
                <c:ptCount val="9"/>
                <c:pt idx="0">
                  <c:v>atmospheric runoff</c:v>
                </c:pt>
                <c:pt idx="1">
                  <c:v>surface runoff</c:v>
                </c:pt>
                <c:pt idx="2">
                  <c:v>snowmelt runoff</c:v>
                </c:pt>
                <c:pt idx="3">
                  <c:v>tile drainage runoff</c:v>
                </c:pt>
                <c:pt idx="4">
                  <c:v>groundwater flow</c:v>
                </c:pt>
                <c:pt idx="5">
                  <c:v>urban runoff via separated systems</c:v>
                </c:pt>
                <c:pt idx="6">
                  <c:v>urban runoff via combined systems</c:v>
                </c:pt>
                <c:pt idx="7">
                  <c:v>urban runoff from unsewered areas</c:v>
                </c:pt>
                <c:pt idx="8">
                  <c:v>waste water</c:v>
                </c:pt>
              </c:strCache>
            </c:strRef>
          </c:cat>
          <c:val>
            <c:numRef>
              <c:f>('Local emissions'!$F$90:$M$90,'Local emissions'!$O$90)</c:f>
              <c:numCache>
                <c:formatCode>0,000</c:formatCode>
                <c:ptCount val="9"/>
                <c:pt idx="0">
                  <c:v>4.6547405046542405</c:v>
                </c:pt>
                <c:pt idx="1">
                  <c:v>62.333393694874566</c:v>
                </c:pt>
                <c:pt idx="2">
                  <c:v>0.93532911575389632</c:v>
                </c:pt>
                <c:pt idx="3">
                  <c:v>2.2513436761178887</c:v>
                </c:pt>
                <c:pt idx="4">
                  <c:v>210.78463609818715</c:v>
                </c:pt>
                <c:pt idx="5">
                  <c:v>0.80929550054673571</c:v>
                </c:pt>
                <c:pt idx="6">
                  <c:v>0.74498700530276929</c:v>
                </c:pt>
                <c:pt idx="7">
                  <c:v>0.95711147523540219</c:v>
                </c:pt>
                <c:pt idx="8">
                  <c:v>5.4860596206804217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18-B841-B119-1B0837243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833438320209971"/>
          <c:y val="0.12470588235294119"/>
          <c:w val="0.31166719160105"/>
          <c:h val="0.77176470588235258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66448445171896E-2"/>
          <c:y val="9.1981238001683632E-2"/>
          <c:w val="0.56628477905073649"/>
          <c:h val="0.81603867560468102"/>
        </c:manualLayout>
      </c:layout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C65-4440-8B79-1879DBF51030}"/>
              </c:ext>
            </c:extLst>
          </c:dPt>
          <c:dPt>
            <c:idx val="1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C65-4440-8B79-1879DBF51030}"/>
              </c:ext>
            </c:extLst>
          </c:dPt>
          <c:dLbls>
            <c:dLbl>
              <c:idx val="0"/>
              <c:layout>
                <c:manualLayout>
                  <c:x val="1.7014403477798479E-3"/>
                  <c:y val="-0.2605291437626901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65-4440-8B79-1879DBF51030}"/>
                </c:ext>
              </c:extLst>
            </c:dLbl>
            <c:dLbl>
              <c:idx val="1"/>
              <c:layout>
                <c:manualLayout>
                  <c:x val="1.7118359386746055E-2"/>
                  <c:y val="0.23618902590006438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65-4440-8B79-1879DBF51030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Graphs!$AW$2:$AX$2</c:f>
              <c:strCache>
                <c:ptCount val="2"/>
                <c:pt idx="0">
                  <c:v>agricultural erosion</c:v>
                </c:pt>
                <c:pt idx="1">
                  <c:v>natural erosion</c:v>
                </c:pt>
              </c:strCache>
            </c:strRef>
          </c:cat>
          <c:val>
            <c:numRef>
              <c:f>'Local emissions'!$P$90:$Q$90</c:f>
              <c:numCache>
                <c:formatCode>0,000</c:formatCode>
                <c:ptCount val="2"/>
                <c:pt idx="0">
                  <c:v>115461.80804789638</c:v>
                </c:pt>
                <c:pt idx="1">
                  <c:v>125194.30480036624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65-4440-8B79-1879DBF51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448445171849468"/>
          <c:y val="0.34905709899470128"/>
          <c:w val="0.30605564648117828"/>
          <c:h val="0.20990590798791667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0021505516125E-2"/>
          <c:y val="0.12705882352941175"/>
          <c:w val="0.52412688173265987"/>
          <c:h val="0.7411764705882356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7A0-9541-824A-F3B4F3200FE9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7A0-9541-824A-F3B4F3200FE9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7A0-9541-824A-F3B4F3200FE9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7A0-9541-824A-F3B4F3200FE9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7A0-9541-824A-F3B4F3200FE9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7A0-9541-824A-F3B4F3200FE9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7A0-9541-824A-F3B4F3200FE9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D7A0-9541-824A-F3B4F3200FE9}"/>
              </c:ext>
            </c:extLst>
          </c:dPt>
          <c:dPt>
            <c:idx val="8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D7A0-9541-824A-F3B4F3200FE9}"/>
              </c:ext>
            </c:extLst>
          </c:dPt>
          <c:dLbls>
            <c:dLbl>
              <c:idx val="0"/>
              <c:layout>
                <c:manualLayout>
                  <c:x val="-6.6509527250171296E-3"/>
                  <c:y val="-9.490566620348932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A0-9541-824A-F3B4F3200FE9}"/>
                </c:ext>
              </c:extLst>
            </c:dLbl>
            <c:dLbl>
              <c:idx val="1"/>
              <c:layout>
                <c:manualLayout>
                  <c:x val="-4.4942587333475642E-2"/>
                  <c:y val="-2.621485255519532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0-9541-824A-F3B4F3200FE9}"/>
                </c:ext>
              </c:extLst>
            </c:dLbl>
            <c:dLbl>
              <c:idx val="2"/>
              <c:layout>
                <c:manualLayout>
                  <c:x val="-1.9906455120730551E-2"/>
                  <c:y val="-0.1110808090165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7A0-9541-824A-F3B4F3200FE9}"/>
                </c:ext>
              </c:extLst>
            </c:dLbl>
            <c:dLbl>
              <c:idx val="3"/>
              <c:layout>
                <c:manualLayout>
                  <c:x val="2.1475493599905766E-2"/>
                  <c:y val="-5.66452369924347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0-9541-824A-F3B4F3200FE9}"/>
                </c:ext>
              </c:extLst>
            </c:dLbl>
            <c:dLbl>
              <c:idx val="4"/>
              <c:layout>
                <c:manualLayout>
                  <c:x val="2.1269188273262941E-2"/>
                  <c:y val="2.218459163192836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7A0-9541-824A-F3B4F3200FE9}"/>
                </c:ext>
              </c:extLst>
            </c:dLbl>
            <c:dLbl>
              <c:idx val="5"/>
              <c:layout>
                <c:manualLayout>
                  <c:x val="2.2757696053384346E-2"/>
                  <c:y val="9.451832638567249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0-9541-824A-F3B4F3200FE9}"/>
                </c:ext>
              </c:extLst>
            </c:dLbl>
            <c:dLbl>
              <c:idx val="6"/>
              <c:layout>
                <c:manualLayout>
                  <c:x val="-6.4699167179809683E-2"/>
                  <c:y val="1.2121661262931521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7A0-9541-824A-F3B4F3200FE9}"/>
                </c:ext>
              </c:extLst>
            </c:dLbl>
            <c:dLbl>
              <c:idx val="7"/>
              <c:layout>
                <c:manualLayout>
                  <c:x val="6.6555740432612306E-3"/>
                  <c:y val="1.1305233904585458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7A0-9541-824A-F3B4F3200FE9}"/>
                </c:ext>
              </c:extLst>
            </c:dLbl>
            <c:dLbl>
              <c:idx val="8"/>
              <c:layout>
                <c:manualLayout>
                  <c:x val="-3.153973473781668E-3"/>
                  <c:y val="-5.342127528176625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7A0-9541-824A-F3B4F3200FE9}"/>
                </c:ext>
              </c:extLst>
            </c:dLbl>
            <c:dLbl>
              <c:idx val="9"/>
              <c:layout>
                <c:manualLayout>
                  <c:x val="1.6989531882557946E-2"/>
                  <c:y val="-0.1212180947969739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7A0-9541-824A-F3B4F3200FE9}"/>
                </c:ext>
              </c:extLst>
            </c:dLbl>
            <c:dLbl>
              <c:idx val="10"/>
              <c:layout>
                <c:manualLayout>
                  <c:x val="4.2655940885925033E-3"/>
                  <c:y val="-2.032916473676084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A0-9541-824A-F3B4F3200FE9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('Local emissions'!$S$90:$AB$90,'Local emissions'!$AD$90)</c:f>
              <c:numCache>
                <c:formatCode>0,000</c:formatCode>
                <c:ptCount val="11"/>
                <c:pt idx="0">
                  <c:v>390.300207498384</c:v>
                </c:pt>
                <c:pt idx="1">
                  <c:v>2422.3154377528299</c:v>
                </c:pt>
                <c:pt idx="2">
                  <c:v>21.748232058566416</c:v>
                </c:pt>
                <c:pt idx="3">
                  <c:v>474.1724062023643</c:v>
                </c:pt>
                <c:pt idx="4">
                  <c:v>3.1298576200091559</c:v>
                </c:pt>
                <c:pt idx="5">
                  <c:v>827.1553605621267</c:v>
                </c:pt>
                <c:pt idx="6">
                  <c:v>11388.191591876464</c:v>
                </c:pt>
                <c:pt idx="7">
                  <c:v>62.350194802651394</c:v>
                </c:pt>
                <c:pt idx="8">
                  <c:v>237.23756836122297</c:v>
                </c:pt>
                <c:pt idx="9">
                  <c:v>81.870818038721737</c:v>
                </c:pt>
                <c:pt idx="10">
                  <c:v>3059.6327756946671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7A0-9541-824A-F3B4F3200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387739594114804"/>
          <c:y val="0.10588235294117651"/>
          <c:w val="0.31114826120944578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95767930969412E-2"/>
          <c:y val="0.1145098039215686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325-C54B-858A-6D1A6E65F48C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325-C54B-858A-6D1A6E65F48C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325-C54B-858A-6D1A6E65F48C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325-C54B-858A-6D1A6E65F48C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325-C54B-858A-6D1A6E65F48C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325-C54B-858A-6D1A6E65F48C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325-C54B-858A-6D1A6E65F48C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3325-C54B-858A-6D1A6E65F48C}"/>
              </c:ext>
            </c:extLst>
          </c:dPt>
          <c:dPt>
            <c:idx val="8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3325-C54B-858A-6D1A6E65F48C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25-C54B-858A-6D1A6E65F48C}"/>
                </c:ext>
              </c:extLst>
            </c:dLbl>
            <c:dLbl>
              <c:idx val="1"/>
              <c:layout>
                <c:manualLayout>
                  <c:x val="-1.6538006278626935E-2"/>
                  <c:y val="-7.6672533580361361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25-C54B-858A-6D1A6E65F48C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25-C54B-858A-6D1A6E65F48C}"/>
                </c:ext>
              </c:extLst>
            </c:dLbl>
            <c:dLbl>
              <c:idx val="3"/>
              <c:layout>
                <c:manualLayout>
                  <c:x val="-5.9972895544919643E-4"/>
                  <c:y val="2.6318357264165514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25-C54B-858A-6D1A6E65F48C}"/>
                </c:ext>
              </c:extLst>
            </c:dLbl>
            <c:dLbl>
              <c:idx val="4"/>
              <c:layout>
                <c:manualLayout>
                  <c:x val="1.4684438954934559E-4"/>
                  <c:y val="1.164390921723020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25-C54B-858A-6D1A6E65F48C}"/>
                </c:ext>
              </c:extLst>
            </c:dLbl>
            <c:dLbl>
              <c:idx val="5"/>
              <c:layout>
                <c:manualLayout>
                  <c:x val="-9.6886418609438522E-3"/>
                  <c:y val="-6.2745098039215712E-5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25-C54B-858A-6D1A6E65F48C}"/>
                </c:ext>
              </c:extLst>
            </c:dLbl>
            <c:dLbl>
              <c:idx val="6"/>
              <c:layout>
                <c:manualLayout>
                  <c:x val="-1.0752062854888236E-2"/>
                  <c:y val="1.57719932067315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325-C54B-858A-6D1A6E65F48C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325-C54B-858A-6D1A6E65F48C}"/>
                </c:ext>
              </c:extLst>
            </c:dLbl>
            <c:dLbl>
              <c:idx val="8"/>
              <c:layout>
                <c:manualLayout>
                  <c:x val="8.1116085979448659E-4"/>
                  <c:y val="-2.701003551026710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325-C54B-858A-6D1A6E65F48C}"/>
                </c:ext>
              </c:extLst>
            </c:dLbl>
            <c:dLbl>
              <c:idx val="9"/>
              <c:layout>
                <c:manualLayout>
                  <c:x val="2.9584169625855596E-3"/>
                  <c:y val="-3.254099119962946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325-C54B-858A-6D1A6E65F48C}"/>
                </c:ext>
              </c:extLst>
            </c:dLbl>
            <c:dLbl>
              <c:idx val="10"/>
              <c:layout>
                <c:manualLayout>
                  <c:x val="1.2393426311907091E-3"/>
                  <c:y val="-1.0384807781380271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325-C54B-858A-6D1A6E65F48C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('Local emissions'!$AF$90:$AO$90,'Local emissions'!$AQ$90)</c:f>
              <c:numCache>
                <c:formatCode>0,000</c:formatCode>
                <c:ptCount val="11"/>
                <c:pt idx="0">
                  <c:v>8.5529640888317378</c:v>
                </c:pt>
                <c:pt idx="1">
                  <c:v>48.469031421151222</c:v>
                </c:pt>
                <c:pt idx="2">
                  <c:v>0.17859468188438588</c:v>
                </c:pt>
                <c:pt idx="3">
                  <c:v>285.94825568484214</c:v>
                </c:pt>
                <c:pt idx="4">
                  <c:v>59.122003958615679</c:v>
                </c:pt>
                <c:pt idx="5">
                  <c:v>9.6846447518065446</c:v>
                </c:pt>
                <c:pt idx="6">
                  <c:v>144.43997245806815</c:v>
                </c:pt>
                <c:pt idx="7">
                  <c:v>14.667634124093656</c:v>
                </c:pt>
                <c:pt idx="8">
                  <c:v>42.563633195845554</c:v>
                </c:pt>
                <c:pt idx="9">
                  <c:v>12.763842646446768</c:v>
                </c:pt>
                <c:pt idx="10">
                  <c:v>148.24607416333333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325-C54B-858A-6D1A6E65F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00017903674973"/>
          <c:y val="6.1176470588235304E-2"/>
          <c:w val="0.86666807725924067"/>
          <c:h val="0.649411764705882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467-A244-ACE2-4F005A10AB6F}"/>
              </c:ext>
            </c:extLst>
          </c:dPt>
          <c:dPt>
            <c:idx val="2"/>
            <c:invertIfNegative val="0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467-A244-ACE2-4F005A10AB6F}"/>
              </c:ext>
            </c:extLst>
          </c:dPt>
          <c:dPt>
            <c:idx val="3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467-A244-ACE2-4F005A10AB6F}"/>
              </c:ext>
            </c:extLst>
          </c:dPt>
          <c:dPt>
            <c:idx val="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467-A244-ACE2-4F005A10AB6F}"/>
              </c:ext>
            </c:extLst>
          </c:dPt>
          <c:dPt>
            <c:idx val="5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6467-A244-ACE2-4F005A10AB6F}"/>
              </c:ext>
            </c:extLst>
          </c:dPt>
          <c:dPt>
            <c:idx val="6"/>
            <c:invertIfNegative val="0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467-A244-ACE2-4F005A10AB6F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Graphs!$AT$1:$BB$1</c:f>
              <c:strCache>
                <c:ptCount val="9"/>
                <c:pt idx="0">
                  <c:v>atmospheric runoff</c:v>
                </c:pt>
                <c:pt idx="1">
                  <c:v>surface runoff</c:v>
                </c:pt>
                <c:pt idx="2">
                  <c:v>snowmelt runoff</c:v>
                </c:pt>
                <c:pt idx="3">
                  <c:v>tile drainage runoff</c:v>
                </c:pt>
                <c:pt idx="4">
                  <c:v>groundwater flow</c:v>
                </c:pt>
                <c:pt idx="5">
                  <c:v>urban runoff via separated systems</c:v>
                </c:pt>
                <c:pt idx="6">
                  <c:v>urban runoff via combined systems</c:v>
                </c:pt>
                <c:pt idx="7">
                  <c:v>urban runoff from unsewered areas</c:v>
                </c:pt>
                <c:pt idx="8">
                  <c:v>waste water</c:v>
                </c:pt>
              </c:strCache>
            </c:strRef>
          </c:cat>
          <c:val>
            <c:numRef>
              <c:f>('Local emissions'!$AS$90:$AZ$90,'Local emissions'!$BB$90)</c:f>
              <c:numCache>
                <c:formatCode>0,000</c:formatCode>
                <c:ptCount val="9"/>
                <c:pt idx="0">
                  <c:v>11.739871734588542</c:v>
                </c:pt>
                <c:pt idx="1">
                  <c:v>157.21307042309448</c:v>
                </c:pt>
                <c:pt idx="2">
                  <c:v>2.3590238462482276</c:v>
                </c:pt>
                <c:pt idx="3">
                  <c:v>5.6781867779038198</c:v>
                </c:pt>
                <c:pt idx="4">
                  <c:v>531.62675533476465</c:v>
                </c:pt>
                <c:pt idx="5">
                  <c:v>2.0411503847095886</c:v>
                </c:pt>
                <c:pt idx="6">
                  <c:v>1.8789558467211291</c:v>
                </c:pt>
                <c:pt idx="7">
                  <c:v>2.4139618403499141</c:v>
                </c:pt>
                <c:pt idx="8">
                  <c:v>13.836568592963431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467-A244-ACE2-4F005A10A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296768"/>
        <c:axId val="143323136"/>
      </c:barChart>
      <c:catAx>
        <c:axId val="14329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23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3323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Runoff [mm/a]</a:t>
                </a:r>
              </a:p>
            </c:rich>
          </c:tx>
          <c:layout>
            <c:manualLayout>
              <c:xMode val="edge"/>
              <c:yMode val="edge"/>
              <c:x val="8.3333333333333367E-3"/>
              <c:y val="0.268235294117647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96768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19680791880763"/>
          <c:y val="6.1033003761837408E-2"/>
          <c:w val="0.86885315449951583"/>
          <c:h val="0.821598127563196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5F0-7943-8C0A-0CEEE0B35C8F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Graphs!$AW$2:$AX$2</c:f>
              <c:strCache>
                <c:ptCount val="2"/>
                <c:pt idx="0">
                  <c:v>agricultural erosion</c:v>
                </c:pt>
                <c:pt idx="1">
                  <c:v>natural erosion</c:v>
                </c:pt>
              </c:strCache>
            </c:strRef>
          </c:cat>
          <c:val>
            <c:numRef>
              <c:f>'Local emissions'!$BD$90:$BE$90</c:f>
              <c:numCache>
                <c:formatCode>0,000</c:formatCode>
                <c:ptCount val="2"/>
                <c:pt idx="0">
                  <c:v>92.342073952302428</c:v>
                </c:pt>
                <c:pt idx="1">
                  <c:v>100.12576407505109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F0-7943-8C0A-0CEEE0B3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360384"/>
        <c:axId val="143361920"/>
      </c:barChart>
      <c:catAx>
        <c:axId val="14336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61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3361920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Sediment yield [t/ha/a]</a:t>
                </a:r>
              </a:p>
            </c:rich>
          </c:tx>
          <c:layout>
            <c:manualLayout>
              <c:xMode val="edge"/>
              <c:yMode val="edge"/>
              <c:x val="8.1967213114754103E-3"/>
              <c:y val="0.286385715870023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60384"/>
        <c:crosses val="autoZero"/>
        <c:crossBetween val="between"/>
        <c:majorUnit val="20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58471760797342"/>
          <c:y val="0.11502373785884742"/>
          <c:w val="0.83720930232558211"/>
          <c:h val="0.553991880299755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D27-6440-A727-9CF4AC87281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D27-6440-A727-9CF4AC872814}"/>
              </c:ext>
            </c:extLst>
          </c:dPt>
          <c:dPt>
            <c:idx val="2"/>
            <c:invertIfNegative val="0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D27-6440-A727-9CF4AC872814}"/>
              </c:ext>
            </c:extLst>
          </c:dPt>
          <c:dPt>
            <c:idx val="3"/>
            <c:invertIfNegative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D27-6440-A727-9CF4AC872814}"/>
              </c:ext>
            </c:extLst>
          </c:dPt>
          <c:dPt>
            <c:idx val="4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D27-6440-A727-9CF4AC872814}"/>
              </c:ext>
            </c:extLst>
          </c:dPt>
          <c:dPt>
            <c:idx val="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D27-6440-A727-9CF4AC872814}"/>
              </c:ext>
            </c:extLst>
          </c:dPt>
          <c:dPt>
            <c:idx val="6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D27-6440-A727-9CF4AC872814}"/>
              </c:ext>
            </c:extLst>
          </c:dPt>
          <c:dPt>
            <c:idx val="7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D27-6440-A727-9CF4AC872814}"/>
              </c:ext>
            </c:extLst>
          </c:dPt>
          <c:dPt>
            <c:idx val="8"/>
            <c:invertIfNegative val="0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0D27-6440-A727-9CF4AC872814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('Local emissions'!$BG$90:$BP$90,'Local emissions'!$BR$90)</c:f>
              <c:numCache>
                <c:formatCode>0,000</c:formatCode>
                <c:ptCount val="11"/>
                <c:pt idx="0">
                  <c:v>312.14763768001984</c:v>
                </c:pt>
                <c:pt idx="1">
                  <c:v>1937.2780928217148</c:v>
                </c:pt>
                <c:pt idx="2">
                  <c:v>17.393429801921098</c:v>
                </c:pt>
                <c:pt idx="3">
                  <c:v>379.22551309361427</c:v>
                </c:pt>
                <c:pt idx="4">
                  <c:v>2.5031441018762774</c:v>
                </c:pt>
                <c:pt idx="5">
                  <c:v>661.52819504945285</c:v>
                </c:pt>
                <c:pt idx="6">
                  <c:v>9107.8534793410818</c:v>
                </c:pt>
                <c:pt idx="7">
                  <c:v>49.86537450564196</c:v>
                </c:pt>
                <c:pt idx="8">
                  <c:v>189.73381287073636</c:v>
                </c:pt>
                <c:pt idx="9">
                  <c:v>65.477245347925049</c:v>
                </c:pt>
                <c:pt idx="10">
                  <c:v>2446.9808746012686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27-6440-A727-9CF4AC872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480320"/>
        <c:axId val="143481856"/>
      </c:barChart>
      <c:catAx>
        <c:axId val="14348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48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3481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Emission [g N//ha/a]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0.215962934210688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480320"/>
        <c:crosses val="autoZero"/>
        <c:crossBetween val="between"/>
        <c:majorUnit val="2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29861887188624"/>
          <c:y val="0.11502373785884742"/>
          <c:w val="0.85644440160806401"/>
          <c:h val="0.553991880299755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E33-4B46-98D7-8188A163911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E33-4B46-98D7-8188A1639118}"/>
              </c:ext>
            </c:extLst>
          </c:dPt>
          <c:dPt>
            <c:idx val="2"/>
            <c:invertIfNegative val="0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E33-4B46-98D7-8188A1639118}"/>
              </c:ext>
            </c:extLst>
          </c:dPt>
          <c:dPt>
            <c:idx val="3"/>
            <c:invertIfNegative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E33-4B46-98D7-8188A1639118}"/>
              </c:ext>
            </c:extLst>
          </c:dPt>
          <c:dPt>
            <c:idx val="4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E33-4B46-98D7-8188A1639118}"/>
              </c:ext>
            </c:extLst>
          </c:dPt>
          <c:dPt>
            <c:idx val="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E33-4B46-98D7-8188A1639118}"/>
              </c:ext>
            </c:extLst>
          </c:dPt>
          <c:dPt>
            <c:idx val="6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E33-4B46-98D7-8188A1639118}"/>
              </c:ext>
            </c:extLst>
          </c:dPt>
          <c:dPt>
            <c:idx val="7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7E33-4B46-98D7-8188A1639118}"/>
              </c:ext>
            </c:extLst>
          </c:dPt>
          <c:dPt>
            <c:idx val="8"/>
            <c:invertIfNegative val="0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7E33-4B46-98D7-8188A1639118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('Local emissions'!$BT$90:$CC$90,'Local emissions'!$CE$90)</c:f>
              <c:numCache>
                <c:formatCode>0,000</c:formatCode>
                <c:ptCount val="11"/>
                <c:pt idx="0">
                  <c:v>6.840343623188887</c:v>
                </c:pt>
                <c:pt idx="1">
                  <c:v>38.763734602456367</c:v>
                </c:pt>
                <c:pt idx="2">
                  <c:v>0.14283340613560011</c:v>
                </c:pt>
                <c:pt idx="3">
                  <c:v>228.69081490589608</c:v>
                </c:pt>
                <c:pt idx="4">
                  <c:v>47.283587136363678</c:v>
                </c:pt>
                <c:pt idx="5">
                  <c:v>7.7454198664732488</c:v>
                </c:pt>
                <c:pt idx="6">
                  <c:v>115.51773563825169</c:v>
                </c:pt>
                <c:pt idx="7">
                  <c:v>11.730630048946715</c:v>
                </c:pt>
                <c:pt idx="8">
                  <c:v>34.040816012676785</c:v>
                </c:pt>
                <c:pt idx="9">
                  <c:v>10.208048197935808</c:v>
                </c:pt>
                <c:pt idx="10">
                  <c:v>118.56171469140997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E33-4B46-98D7-8188A1639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526528"/>
        <c:axId val="143528320"/>
      </c:barChart>
      <c:catAx>
        <c:axId val="14352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2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3528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Emission [g P/ha/a]</a:t>
                </a:r>
              </a:p>
            </c:rich>
          </c:tx>
          <c:layout>
            <c:manualLayout>
              <c:xMode val="edge"/>
              <c:yMode val="edge"/>
              <c:x val="8.1566068515497685E-3"/>
              <c:y val="0.22770002341256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265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16279069767441"/>
          <c:y val="6.1320825334455757E-2"/>
          <c:w val="0.82558139534883723"/>
          <c:h val="0.7767305501906605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D5E-3244-B072-EB5518BDB441}"/>
              </c:ext>
            </c:extLst>
          </c:dPt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D5E-3244-B072-EB5518BDB44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D5E-3244-B072-EB5518BDB441}"/>
              </c:ext>
            </c:extLst>
          </c:dPt>
          <c:dPt>
            <c:idx val="3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D5E-3244-B072-EB5518BDB441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Graphs!$AU$6:$AW$6</c:f>
              <c:strCache>
                <c:ptCount val="3"/>
                <c:pt idx="0">
                  <c:v>Emission</c:v>
                </c:pt>
                <c:pt idx="1">
                  <c:v>Retention</c:v>
                </c:pt>
                <c:pt idx="2">
                  <c:v>Export</c:v>
                </c:pt>
              </c:strCache>
            </c:strRef>
          </c:cat>
          <c:val>
            <c:numRef>
              <c:f>'River loads'!$D$96:$D$98</c:f>
              <c:numCache>
                <c:formatCode>0,000</c:formatCode>
                <c:ptCount val="3"/>
                <c:pt idx="0">
                  <c:v>18968.104450468007</c:v>
                </c:pt>
                <c:pt idx="1">
                  <c:v>2998.6541861066094</c:v>
                </c:pt>
                <c:pt idx="2">
                  <c:v>15969.450264361398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5E-3244-B072-EB5518BDB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566720"/>
        <c:axId val="143568256"/>
      </c:barChart>
      <c:catAx>
        <c:axId val="14356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68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3568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TN flux [t N/a]    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0.349057098994701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66720"/>
        <c:crosses val="autoZero"/>
        <c:crossBetween val="between"/>
        <c:majorUnit val="4000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18771760593838"/>
          <c:y val="6.1176470588235304E-2"/>
          <c:w val="0.83197456156211891"/>
          <c:h val="0.780392156862744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485-394B-829F-09BB44C0503C}"/>
              </c:ext>
            </c:extLst>
          </c:dPt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485-394B-829F-09BB44C0503C}"/>
              </c:ext>
            </c:extLst>
          </c:dPt>
          <c:dPt>
            <c:idx val="2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485-394B-829F-09BB44C0503C}"/>
              </c:ext>
            </c:extLst>
          </c:dPt>
          <c:dPt>
            <c:idx val="3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485-394B-829F-09BB44C0503C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Graphs!$AU$6:$AW$6</c:f>
              <c:strCache>
                <c:ptCount val="3"/>
                <c:pt idx="0">
                  <c:v>Emission</c:v>
                </c:pt>
                <c:pt idx="1">
                  <c:v>Retention</c:v>
                </c:pt>
                <c:pt idx="2">
                  <c:v>Export</c:v>
                </c:pt>
              </c:strCache>
            </c:strRef>
          </c:cat>
          <c:val>
            <c:numRef>
              <c:f>'River loads'!$E$96:$E$98</c:f>
              <c:numCache>
                <c:formatCode>0,000</c:formatCode>
                <c:ptCount val="3"/>
                <c:pt idx="0">
                  <c:v>774.63665117491928</c:v>
                </c:pt>
                <c:pt idx="1">
                  <c:v>220.01606710670296</c:v>
                </c:pt>
                <c:pt idx="2">
                  <c:v>554.62058406821632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85-394B-829F-09BB44C05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34592"/>
        <c:axId val="143936128"/>
      </c:barChart>
      <c:catAx>
        <c:axId val="14393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3936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TP flux [t P/a]</a:t>
                </a:r>
              </a:p>
            </c:rich>
          </c:tx>
          <c:layout>
            <c:manualLayout>
              <c:xMode val="edge"/>
              <c:yMode val="edge"/>
              <c:x val="2.6101141924959239E-2"/>
              <c:y val="0.357647058823529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4592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41860465116293"/>
          <c:y val="8.6854659199537929E-2"/>
          <c:w val="0.58637873754152825"/>
          <c:h val="0.8286403972280238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7C1-BD43-8229-F7220B737983}"/>
              </c:ext>
            </c:extLst>
          </c:dPt>
          <c:dPt>
            <c:idx val="1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7C1-BD43-8229-F7220B737983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7C1-BD43-8229-F7220B737983}"/>
              </c:ext>
            </c:extLst>
          </c:dPt>
          <c:dLbls>
            <c:dLbl>
              <c:idx val="0"/>
              <c:layout>
                <c:manualLayout>
                  <c:x val="1.5674959234746821E-2"/>
                  <c:y val="-3.077372370707183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C1-BD43-8229-F7220B737983}"/>
                </c:ext>
              </c:extLst>
            </c:dLbl>
            <c:dLbl>
              <c:idx val="1"/>
              <c:layout>
                <c:manualLayout>
                  <c:x val="1.3670267960690978E-2"/>
                  <c:y val="5.904895690855546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C1-BD43-8229-F7220B737983}"/>
                </c:ext>
              </c:extLst>
            </c:dLbl>
            <c:dLbl>
              <c:idx val="2"/>
              <c:layout>
                <c:manualLayout>
                  <c:x val="-4.04114020631142E-2"/>
                  <c:y val="3.013024780353160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C1-BD43-8229-F7220B737983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Graphs!$AT$10:$AV$10</c:f>
              <c:strCache>
                <c:ptCount val="3"/>
                <c:pt idx="0">
                  <c:v>Tributaries</c:v>
                </c:pt>
                <c:pt idx="1">
                  <c:v>Main river</c:v>
                </c:pt>
                <c:pt idx="2">
                  <c:v>Outlet lakes</c:v>
                </c:pt>
              </c:strCache>
            </c:strRef>
          </c:cat>
          <c:val>
            <c:numRef>
              <c:f>'River loads'!$D$102:$D$104</c:f>
              <c:numCache>
                <c:formatCode>0,000</c:formatCode>
                <c:ptCount val="3"/>
                <c:pt idx="0">
                  <c:v>2336.1333442554719</c:v>
                </c:pt>
                <c:pt idx="1">
                  <c:v>345.96964706604348</c:v>
                </c:pt>
                <c:pt idx="2">
                  <c:v>316.55119478509403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C1-BD43-8229-F7220B737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239202657807361"/>
          <c:y val="0.37089275812354461"/>
          <c:w val="0.17774086378737552"/>
          <c:h val="0.21126809852993744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10485936360568"/>
          <c:y val="8.4507235977928724E-2"/>
          <c:w val="0.57843229554785691"/>
          <c:h val="0.830987820449632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B5C-2642-B0CF-55C4A192025F}"/>
              </c:ext>
            </c:extLst>
          </c:dPt>
          <c:dPt>
            <c:idx val="1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B5C-2642-B0CF-55C4A192025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B5C-2642-B0CF-55C4A192025F}"/>
              </c:ext>
            </c:extLst>
          </c:dPt>
          <c:dLbls>
            <c:dLbl>
              <c:idx val="0"/>
              <c:layout>
                <c:manualLayout>
                  <c:x val="-3.5293431458322609E-2"/>
                  <c:y val="-0.211084001823715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5C-2642-B0CF-55C4A192025F}"/>
                </c:ext>
              </c:extLst>
            </c:dLbl>
            <c:dLbl>
              <c:idx val="1"/>
              <c:layout>
                <c:manualLayout>
                  <c:x val="-7.7376357367093859E-3"/>
                  <c:y val="4.928222000418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5C-2642-B0CF-55C4A192025F}"/>
                </c:ext>
              </c:extLst>
            </c:dLbl>
            <c:dLbl>
              <c:idx val="2"/>
              <c:layout>
                <c:manualLayout>
                  <c:x val="-4.4825965381778264E-2"/>
                  <c:y val="2.575209788917231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5C-2642-B0CF-55C4A192025F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Graphs!$AT$10:$AV$10</c:f>
              <c:strCache>
                <c:ptCount val="3"/>
                <c:pt idx="0">
                  <c:v>Tributaries</c:v>
                </c:pt>
                <c:pt idx="1">
                  <c:v>Main river</c:v>
                </c:pt>
                <c:pt idx="2">
                  <c:v>Outlet lakes</c:v>
                </c:pt>
              </c:strCache>
            </c:strRef>
          </c:cat>
          <c:val>
            <c:numRef>
              <c:f>'River loads'!$E$102:$E$104</c:f>
              <c:numCache>
                <c:formatCode>0,000</c:formatCode>
                <c:ptCount val="3"/>
                <c:pt idx="0">
                  <c:v>172.9917961134793</c:v>
                </c:pt>
                <c:pt idx="1">
                  <c:v>32.688429756245895</c:v>
                </c:pt>
                <c:pt idx="2">
                  <c:v>14.335841236977759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5C-2642-B0CF-55C4A1920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104695246427591"/>
          <c:y val="0.36854534028316877"/>
          <c:w val="0.17483694440155761"/>
          <c:h val="0.21126809852993744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53347852794999"/>
          <c:y val="6.1033003761837408E-2"/>
          <c:w val="0.80720612051153173"/>
          <c:h val="0.77934450957423163"/>
        </c:manualLayout>
      </c:layout>
      <c:scatterChart>
        <c:scatterStyle val="lineMarker"/>
        <c:varyColors val="0"/>
        <c:ser>
          <c:idx val="8"/>
          <c:order val="0"/>
          <c:tx>
            <c:v>Kalibrierung Österreich</c:v>
          </c:tx>
          <c:spPr>
            <a:ln w="28575">
              <a:noFill/>
            </a:ln>
          </c:spPr>
          <c:marker>
            <c:symbol val="plus"/>
            <c:size val="4"/>
            <c:spPr>
              <a:ln>
                <a:solidFill>
                  <a:schemeClr val="tx1"/>
                </a:solidFill>
              </a:ln>
            </c:spPr>
          </c:marker>
          <c:xVal>
            <c:numRef>
              <c:f>Graphs!$CG$4:$CG$113</c:f>
              <c:numCache>
                <c:formatCode>General</c:formatCode>
                <c:ptCount val="110"/>
              </c:numCache>
            </c:numRef>
          </c:xVal>
          <c:yVal>
            <c:numRef>
              <c:f>Graphs!$CF$4:$CF$113</c:f>
              <c:numCache>
                <c:formatCode>General</c:formatCode>
                <c:ptCount val="1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9B-B941-9245-3F1B6F1FB4E9}"/>
            </c:ext>
          </c:extLst>
        </c:ser>
        <c:ser>
          <c:idx val="0"/>
          <c:order val="1"/>
          <c:tx>
            <c:v>Validierung 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Graphs!$BQ$4:$BQ$38</c:f>
              <c:numCache>
                <c:formatCode>0,000</c:formatCode>
                <c:ptCount val="35"/>
                <c:pt idx="0">
                  <c:v>6.8210791721937216</c:v>
                </c:pt>
                <c:pt idx="1">
                  <c:v>14.006818488355139</c:v>
                </c:pt>
                <c:pt idx="3">
                  <c:v>12.772307997861525</c:v>
                </c:pt>
                <c:pt idx="5">
                  <c:v>15.516797135295267</c:v>
                </c:pt>
                <c:pt idx="6">
                  <c:v>15.570386931459609</c:v>
                </c:pt>
                <c:pt idx="8">
                  <c:v>7.3778619598689614</c:v>
                </c:pt>
                <c:pt idx="9">
                  <c:v>14.766136661695047</c:v>
                </c:pt>
                <c:pt idx="10">
                  <c:v>14.91482720241687</c:v>
                </c:pt>
                <c:pt idx="12">
                  <c:v>19.489580531927174</c:v>
                </c:pt>
                <c:pt idx="13">
                  <c:v>12.552140868530131</c:v>
                </c:pt>
                <c:pt idx="14">
                  <c:v>10.615248240172246</c:v>
                </c:pt>
                <c:pt idx="15">
                  <c:v>7.1610915493358895</c:v>
                </c:pt>
                <c:pt idx="16">
                  <c:v>11.572753818682163</c:v>
                </c:pt>
                <c:pt idx="17">
                  <c:v>13.408530329853781</c:v>
                </c:pt>
                <c:pt idx="18">
                  <c:v>13.602920172773024</c:v>
                </c:pt>
                <c:pt idx="19">
                  <c:v>16.775748432785107</c:v>
                </c:pt>
                <c:pt idx="24">
                  <c:v>13.499726273508806</c:v>
                </c:pt>
                <c:pt idx="25">
                  <c:v>11.784208947560188</c:v>
                </c:pt>
                <c:pt idx="26">
                  <c:v>11.608101329048932</c:v>
                </c:pt>
                <c:pt idx="27">
                  <c:v>12.117249985769902</c:v>
                </c:pt>
                <c:pt idx="28">
                  <c:v>7.2917112855782289</c:v>
                </c:pt>
                <c:pt idx="29">
                  <c:v>10.218767960520413</c:v>
                </c:pt>
                <c:pt idx="30">
                  <c:v>7.1753430237397975</c:v>
                </c:pt>
                <c:pt idx="31">
                  <c:v>9.6718364622372057</c:v>
                </c:pt>
                <c:pt idx="32">
                  <c:v>16.183723793452412</c:v>
                </c:pt>
                <c:pt idx="33">
                  <c:v>8.7126668012268436</c:v>
                </c:pt>
              </c:numCache>
            </c:numRef>
          </c:xVal>
          <c:yVal>
            <c:numRef>
              <c:f>Graphs!$BP$4:$BP$38</c:f>
              <c:numCache>
                <c:formatCode>0,000</c:formatCode>
                <c:ptCount val="35"/>
                <c:pt idx="0">
                  <c:v>6.279346576149937</c:v>
                </c:pt>
                <c:pt idx="1">
                  <c:v>11.691274992432502</c:v>
                </c:pt>
                <c:pt idx="2">
                  <c:v>13.980403725701262</c:v>
                </c:pt>
                <c:pt idx="3">
                  <c:v>13.580143137442645</c:v>
                </c:pt>
                <c:pt idx="4">
                  <c:v>12.46745315655467</c:v>
                </c:pt>
                <c:pt idx="5">
                  <c:v>12.096588352986165</c:v>
                </c:pt>
                <c:pt idx="6">
                  <c:v>11.890263772543111</c:v>
                </c:pt>
                <c:pt idx="8">
                  <c:v>9.2722888089919682</c:v>
                </c:pt>
                <c:pt idx="9">
                  <c:v>13.006564106523012</c:v>
                </c:pt>
                <c:pt idx="10">
                  <c:v>12.162044979467272</c:v>
                </c:pt>
                <c:pt idx="11">
                  <c:v>11.058380633280631</c:v>
                </c:pt>
                <c:pt idx="12">
                  <c:v>9.2682504612175123</c:v>
                </c:pt>
                <c:pt idx="13">
                  <c:v>5.6408130909989049</c:v>
                </c:pt>
                <c:pt idx="14">
                  <c:v>7.6779249742794979</c:v>
                </c:pt>
                <c:pt idx="15">
                  <c:v>5.7100487858213738</c:v>
                </c:pt>
                <c:pt idx="16">
                  <c:v>10.466318243134994</c:v>
                </c:pt>
                <c:pt idx="17">
                  <c:v>8.711422027029819</c:v>
                </c:pt>
                <c:pt idx="18">
                  <c:v>9.2973433984742986</c:v>
                </c:pt>
                <c:pt idx="19">
                  <c:v>15.693627595218286</c:v>
                </c:pt>
                <c:pt idx="20">
                  <c:v>16.410746806545404</c:v>
                </c:pt>
                <c:pt idx="21">
                  <c:v>15.336999121452013</c:v>
                </c:pt>
                <c:pt idx="22">
                  <c:v>7.9227940769248661</c:v>
                </c:pt>
                <c:pt idx="23">
                  <c:v>8.5611379831667556</c:v>
                </c:pt>
                <c:pt idx="24">
                  <c:v>8.6401180762507419</c:v>
                </c:pt>
                <c:pt idx="25">
                  <c:v>11.624662626335409</c:v>
                </c:pt>
                <c:pt idx="26">
                  <c:v>8.0045836502584198</c:v>
                </c:pt>
                <c:pt idx="27">
                  <c:v>7.7494852633524367</c:v>
                </c:pt>
                <c:pt idx="28">
                  <c:v>6.1492753039838979</c:v>
                </c:pt>
                <c:pt idx="29">
                  <c:v>6.8584936008330981</c:v>
                </c:pt>
                <c:pt idx="30">
                  <c:v>5.1626319848552793</c:v>
                </c:pt>
                <c:pt idx="31">
                  <c:v>9.3234259154978574</c:v>
                </c:pt>
                <c:pt idx="32">
                  <c:v>13.089293218813863</c:v>
                </c:pt>
                <c:pt idx="33">
                  <c:v>9.3422346648002801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9B-B941-9245-3F1B6F1FB4E9}"/>
            </c:ext>
          </c:extLst>
        </c:ser>
        <c:ser>
          <c:idx val="1"/>
          <c:order val="2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9B-B941-9245-3F1B6F1FB4E9}"/>
            </c:ext>
          </c:extLst>
        </c:ser>
        <c:ser>
          <c:idx val="2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9B-B941-9245-3F1B6F1FB4E9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9B-B941-9245-3F1B6F1FB4E9}"/>
            </c:ext>
          </c:extLst>
        </c:ser>
        <c:ser>
          <c:idx val="4"/>
          <c:order val="5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Graphs!$BR$4:$BR$113</c:f>
              <c:numCache>
                <c:formatCode>0,000</c:formatCode>
                <c:ptCount val="110"/>
                <c:pt idx="20">
                  <c:v>20.586152070636974</c:v>
                </c:pt>
                <c:pt idx="21">
                  <c:v>21.276911947237245</c:v>
                </c:pt>
              </c:numCache>
            </c:numRef>
          </c:xVal>
          <c:yVal>
            <c:numRef>
              <c:f>Graphs!$AB$4:$AB$113</c:f>
              <c:numCache>
                <c:formatCode>General</c:formatCode>
                <c:ptCount val="110"/>
                <c:pt idx="0">
                  <c:v>6.279346576149937</c:v>
                </c:pt>
                <c:pt idx="1">
                  <c:v>11.691274992432502</c:v>
                </c:pt>
                <c:pt idx="2">
                  <c:v>13.980403725701262</c:v>
                </c:pt>
                <c:pt idx="3">
                  <c:v>13.580143137442645</c:v>
                </c:pt>
                <c:pt idx="4">
                  <c:v>12.46745315655467</c:v>
                </c:pt>
                <c:pt idx="5">
                  <c:v>12.096588352986165</c:v>
                </c:pt>
                <c:pt idx="6">
                  <c:v>11.890263772543111</c:v>
                </c:pt>
                <c:pt idx="7">
                  <c:v>9.0814686149213486</c:v>
                </c:pt>
                <c:pt idx="8">
                  <c:v>9.2722888089919682</c:v>
                </c:pt>
                <c:pt idx="9" formatCode="0.00">
                  <c:v>13.006564106523012</c:v>
                </c:pt>
                <c:pt idx="10" formatCode="0.00">
                  <c:v>12.162044979467272</c:v>
                </c:pt>
                <c:pt idx="11" formatCode="0.00">
                  <c:v>11.058380633280631</c:v>
                </c:pt>
                <c:pt idx="12">
                  <c:v>9.2682504612175123</c:v>
                </c:pt>
                <c:pt idx="13">
                  <c:v>5.6408130909989049</c:v>
                </c:pt>
                <c:pt idx="14" formatCode="0.00">
                  <c:v>7.6779249742794979</c:v>
                </c:pt>
                <c:pt idx="15" formatCode="0.00">
                  <c:v>5.7100487858213738</c:v>
                </c:pt>
                <c:pt idx="16" formatCode="0.00">
                  <c:v>10.466318243134994</c:v>
                </c:pt>
                <c:pt idx="17" formatCode="0.00">
                  <c:v>8.711422027029819</c:v>
                </c:pt>
                <c:pt idx="18">
                  <c:v>9.2973433984742986</c:v>
                </c:pt>
                <c:pt idx="19">
                  <c:v>15.693627595218286</c:v>
                </c:pt>
                <c:pt idx="20">
                  <c:v>16.410746806545404</c:v>
                </c:pt>
                <c:pt idx="21">
                  <c:v>15.336999121452013</c:v>
                </c:pt>
                <c:pt idx="22">
                  <c:v>7.9227940769248661</c:v>
                </c:pt>
                <c:pt idx="23">
                  <c:v>8.5611379831667556</c:v>
                </c:pt>
                <c:pt idx="24">
                  <c:v>8.6401180762507419</c:v>
                </c:pt>
                <c:pt idx="25">
                  <c:v>11.624662626335409</c:v>
                </c:pt>
                <c:pt idx="26">
                  <c:v>8.0045836502584198</c:v>
                </c:pt>
                <c:pt idx="27">
                  <c:v>7.7494852633524367</c:v>
                </c:pt>
                <c:pt idx="28">
                  <c:v>6.1492753039838979</c:v>
                </c:pt>
                <c:pt idx="29">
                  <c:v>6.8584936008330981</c:v>
                </c:pt>
                <c:pt idx="30">
                  <c:v>5.1626319848552793</c:v>
                </c:pt>
                <c:pt idx="31" formatCode="0.00">
                  <c:v>9.3234259154978574</c:v>
                </c:pt>
                <c:pt idx="32">
                  <c:v>13.089293218813863</c:v>
                </c:pt>
                <c:pt idx="33">
                  <c:v>9.3422346648002801</c:v>
                </c:pt>
                <c:pt idx="34">
                  <c:v>8.8577250394645706</c:v>
                </c:pt>
                <c:pt idx="35">
                  <c:v>12.612180153313592</c:v>
                </c:pt>
                <c:pt idx="36">
                  <c:v>11.787566220841944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9B-B941-9245-3F1B6F1FB4E9}"/>
            </c:ext>
          </c:extLst>
        </c:ser>
        <c:ser>
          <c:idx val="5"/>
          <c:order val="6"/>
          <c:tx>
            <c:v>Innviertel 2</c:v>
          </c:tx>
          <c:spPr>
            <a:ln w="28575">
              <a:noFill/>
            </a:ln>
          </c:spPr>
          <c:marker>
            <c:symbol val="triang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Graphs!$BS$4:$BS$113</c:f>
              <c:numCache>
                <c:formatCode>0,000</c:formatCode>
                <c:ptCount val="110"/>
                <c:pt idx="2">
                  <c:v>12.161968111704379</c:v>
                </c:pt>
                <c:pt idx="4">
                  <c:v>13.104949460147756</c:v>
                </c:pt>
                <c:pt idx="11">
                  <c:v>9.3419258470438926</c:v>
                </c:pt>
              </c:numCache>
            </c:numRef>
          </c:xVal>
          <c:yVal>
            <c:numRef>
              <c:f>Graphs!$AB$4:$AB$113</c:f>
              <c:numCache>
                <c:formatCode>General</c:formatCode>
                <c:ptCount val="110"/>
                <c:pt idx="0">
                  <c:v>6.279346576149937</c:v>
                </c:pt>
                <c:pt idx="1">
                  <c:v>11.691274992432502</c:v>
                </c:pt>
                <c:pt idx="2">
                  <c:v>13.980403725701262</c:v>
                </c:pt>
                <c:pt idx="3">
                  <c:v>13.580143137442645</c:v>
                </c:pt>
                <c:pt idx="4">
                  <c:v>12.46745315655467</c:v>
                </c:pt>
                <c:pt idx="5">
                  <c:v>12.096588352986165</c:v>
                </c:pt>
                <c:pt idx="6">
                  <c:v>11.890263772543111</c:v>
                </c:pt>
                <c:pt idx="7">
                  <c:v>9.0814686149213486</c:v>
                </c:pt>
                <c:pt idx="8">
                  <c:v>9.2722888089919682</c:v>
                </c:pt>
                <c:pt idx="9" formatCode="0.00">
                  <c:v>13.006564106523012</c:v>
                </c:pt>
                <c:pt idx="10" formatCode="0.00">
                  <c:v>12.162044979467272</c:v>
                </c:pt>
                <c:pt idx="11" formatCode="0.00">
                  <c:v>11.058380633280631</c:v>
                </c:pt>
                <c:pt idx="12">
                  <c:v>9.2682504612175123</c:v>
                </c:pt>
                <c:pt idx="13">
                  <c:v>5.6408130909989049</c:v>
                </c:pt>
                <c:pt idx="14" formatCode="0.00">
                  <c:v>7.6779249742794979</c:v>
                </c:pt>
                <c:pt idx="15" formatCode="0.00">
                  <c:v>5.7100487858213738</c:v>
                </c:pt>
                <c:pt idx="16" formatCode="0.00">
                  <c:v>10.466318243134994</c:v>
                </c:pt>
                <c:pt idx="17" formatCode="0.00">
                  <c:v>8.711422027029819</c:v>
                </c:pt>
                <c:pt idx="18">
                  <c:v>9.2973433984742986</c:v>
                </c:pt>
                <c:pt idx="19">
                  <c:v>15.693627595218286</c:v>
                </c:pt>
                <c:pt idx="20">
                  <c:v>16.410746806545404</c:v>
                </c:pt>
                <c:pt idx="21">
                  <c:v>15.336999121452013</c:v>
                </c:pt>
                <c:pt idx="22">
                  <c:v>7.9227940769248661</c:v>
                </c:pt>
                <c:pt idx="23">
                  <c:v>8.5611379831667556</c:v>
                </c:pt>
                <c:pt idx="24">
                  <c:v>8.6401180762507419</c:v>
                </c:pt>
                <c:pt idx="25">
                  <c:v>11.624662626335409</c:v>
                </c:pt>
                <c:pt idx="26">
                  <c:v>8.0045836502584198</c:v>
                </c:pt>
                <c:pt idx="27">
                  <c:v>7.7494852633524367</c:v>
                </c:pt>
                <c:pt idx="28">
                  <c:v>6.1492753039838979</c:v>
                </c:pt>
                <c:pt idx="29">
                  <c:v>6.8584936008330981</c:v>
                </c:pt>
                <c:pt idx="30">
                  <c:v>5.1626319848552793</c:v>
                </c:pt>
                <c:pt idx="31" formatCode="0.00">
                  <c:v>9.3234259154978574</c:v>
                </c:pt>
                <c:pt idx="32">
                  <c:v>13.089293218813863</c:v>
                </c:pt>
                <c:pt idx="33">
                  <c:v>9.3422346648002801</c:v>
                </c:pt>
                <c:pt idx="34">
                  <c:v>8.8577250394645706</c:v>
                </c:pt>
                <c:pt idx="35">
                  <c:v>12.612180153313592</c:v>
                </c:pt>
                <c:pt idx="36">
                  <c:v>11.787566220841944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9B-B941-9245-3F1B6F1FB4E9}"/>
            </c:ext>
          </c:extLst>
        </c:ser>
        <c:ser>
          <c:idx val="7"/>
          <c:order val="7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</c:spPr>
          </c:marker>
          <c:xVal>
            <c:numRef>
              <c:f>Graphs!$BU$4:$BU$113</c:f>
              <c:numCache>
                <c:formatCode>0,000</c:formatCode>
                <c:ptCount val="110"/>
                <c:pt idx="22">
                  <c:v>11.803915839382425</c:v>
                </c:pt>
                <c:pt idx="23">
                  <c:v>6.9379674713906505</c:v>
                </c:pt>
              </c:numCache>
            </c:numRef>
          </c:xVal>
          <c:yVal>
            <c:numRef>
              <c:f>Graphs!$AB$4:$AB$113</c:f>
              <c:numCache>
                <c:formatCode>General</c:formatCode>
                <c:ptCount val="110"/>
                <c:pt idx="0">
                  <c:v>6.279346576149937</c:v>
                </c:pt>
                <c:pt idx="1">
                  <c:v>11.691274992432502</c:v>
                </c:pt>
                <c:pt idx="2">
                  <c:v>13.980403725701262</c:v>
                </c:pt>
                <c:pt idx="3">
                  <c:v>13.580143137442645</c:v>
                </c:pt>
                <c:pt idx="4">
                  <c:v>12.46745315655467</c:v>
                </c:pt>
                <c:pt idx="5">
                  <c:v>12.096588352986165</c:v>
                </c:pt>
                <c:pt idx="6">
                  <c:v>11.890263772543111</c:v>
                </c:pt>
                <c:pt idx="7">
                  <c:v>9.0814686149213486</c:v>
                </c:pt>
                <c:pt idx="8">
                  <c:v>9.2722888089919682</c:v>
                </c:pt>
                <c:pt idx="9" formatCode="0.00">
                  <c:v>13.006564106523012</c:v>
                </c:pt>
                <c:pt idx="10" formatCode="0.00">
                  <c:v>12.162044979467272</c:v>
                </c:pt>
                <c:pt idx="11" formatCode="0.00">
                  <c:v>11.058380633280631</c:v>
                </c:pt>
                <c:pt idx="12">
                  <c:v>9.2682504612175123</c:v>
                </c:pt>
                <c:pt idx="13">
                  <c:v>5.6408130909989049</c:v>
                </c:pt>
                <c:pt idx="14" formatCode="0.00">
                  <c:v>7.6779249742794979</c:v>
                </c:pt>
                <c:pt idx="15" formatCode="0.00">
                  <c:v>5.7100487858213738</c:v>
                </c:pt>
                <c:pt idx="16" formatCode="0.00">
                  <c:v>10.466318243134994</c:v>
                </c:pt>
                <c:pt idx="17" formatCode="0.00">
                  <c:v>8.711422027029819</c:v>
                </c:pt>
                <c:pt idx="18">
                  <c:v>9.2973433984742986</c:v>
                </c:pt>
                <c:pt idx="19">
                  <c:v>15.693627595218286</c:v>
                </c:pt>
                <c:pt idx="20">
                  <c:v>16.410746806545404</c:v>
                </c:pt>
                <c:pt idx="21">
                  <c:v>15.336999121452013</c:v>
                </c:pt>
                <c:pt idx="22">
                  <c:v>7.9227940769248661</c:v>
                </c:pt>
                <c:pt idx="23">
                  <c:v>8.5611379831667556</c:v>
                </c:pt>
                <c:pt idx="24">
                  <c:v>8.6401180762507419</c:v>
                </c:pt>
                <c:pt idx="25">
                  <c:v>11.624662626335409</c:v>
                </c:pt>
                <c:pt idx="26">
                  <c:v>8.0045836502584198</c:v>
                </c:pt>
                <c:pt idx="27">
                  <c:v>7.7494852633524367</c:v>
                </c:pt>
                <c:pt idx="28">
                  <c:v>6.1492753039838979</c:v>
                </c:pt>
                <c:pt idx="29">
                  <c:v>6.8584936008330981</c:v>
                </c:pt>
                <c:pt idx="30">
                  <c:v>5.1626319848552793</c:v>
                </c:pt>
                <c:pt idx="31" formatCode="0.00">
                  <c:v>9.3234259154978574</c:v>
                </c:pt>
                <c:pt idx="32">
                  <c:v>13.089293218813863</c:v>
                </c:pt>
                <c:pt idx="33">
                  <c:v>9.3422346648002801</c:v>
                </c:pt>
                <c:pt idx="34">
                  <c:v>8.8577250394645706</c:v>
                </c:pt>
                <c:pt idx="35">
                  <c:v>12.612180153313592</c:v>
                </c:pt>
                <c:pt idx="36">
                  <c:v>11.787566220841944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F9B-B941-9245-3F1B6F1FB4E9}"/>
            </c:ext>
          </c:extLst>
        </c:ser>
        <c:ser>
          <c:idx val="6"/>
          <c:order val="8"/>
          <c:tx>
            <c:v>Mühlvietel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</c:spPr>
          </c:marker>
          <c:dPt>
            <c:idx val="7"/>
            <c:marker>
              <c:spPr>
                <a:solidFill>
                  <a:srgbClr val="00B050"/>
                </a:solidFill>
                <a:ln>
                  <a:solidFill>
                    <a:srgbClr val="00B05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F9B-B941-9245-3F1B6F1FB4E9}"/>
              </c:ext>
            </c:extLst>
          </c:dPt>
          <c:xVal>
            <c:numRef>
              <c:f>Graphs!$BT$4:$BT$113</c:f>
              <c:numCache>
                <c:formatCode>0,000</c:formatCode>
                <c:ptCount val="110"/>
              </c:numCache>
            </c:numRef>
          </c:xVal>
          <c:yVal>
            <c:numRef>
              <c:f>Graphs!$AB$4:$AB$113</c:f>
              <c:numCache>
                <c:formatCode>General</c:formatCode>
                <c:ptCount val="110"/>
                <c:pt idx="0">
                  <c:v>6.279346576149937</c:v>
                </c:pt>
                <c:pt idx="1">
                  <c:v>11.691274992432502</c:v>
                </c:pt>
                <c:pt idx="2">
                  <c:v>13.980403725701262</c:v>
                </c:pt>
                <c:pt idx="3">
                  <c:v>13.580143137442645</c:v>
                </c:pt>
                <c:pt idx="4">
                  <c:v>12.46745315655467</c:v>
                </c:pt>
                <c:pt idx="5">
                  <c:v>12.096588352986165</c:v>
                </c:pt>
                <c:pt idx="6">
                  <c:v>11.890263772543111</c:v>
                </c:pt>
                <c:pt idx="7">
                  <c:v>9.0814686149213486</c:v>
                </c:pt>
                <c:pt idx="8">
                  <c:v>9.2722888089919682</c:v>
                </c:pt>
                <c:pt idx="9" formatCode="0.00">
                  <c:v>13.006564106523012</c:v>
                </c:pt>
                <c:pt idx="10" formatCode="0.00">
                  <c:v>12.162044979467272</c:v>
                </c:pt>
                <c:pt idx="11" formatCode="0.00">
                  <c:v>11.058380633280631</c:v>
                </c:pt>
                <c:pt idx="12">
                  <c:v>9.2682504612175123</c:v>
                </c:pt>
                <c:pt idx="13">
                  <c:v>5.6408130909989049</c:v>
                </c:pt>
                <c:pt idx="14" formatCode="0.00">
                  <c:v>7.6779249742794979</c:v>
                </c:pt>
                <c:pt idx="15" formatCode="0.00">
                  <c:v>5.7100487858213738</c:v>
                </c:pt>
                <c:pt idx="16" formatCode="0.00">
                  <c:v>10.466318243134994</c:v>
                </c:pt>
                <c:pt idx="17" formatCode="0.00">
                  <c:v>8.711422027029819</c:v>
                </c:pt>
                <c:pt idx="18">
                  <c:v>9.2973433984742986</c:v>
                </c:pt>
                <c:pt idx="19">
                  <c:v>15.693627595218286</c:v>
                </c:pt>
                <c:pt idx="20">
                  <c:v>16.410746806545404</c:v>
                </c:pt>
                <c:pt idx="21">
                  <c:v>15.336999121452013</c:v>
                </c:pt>
                <c:pt idx="22">
                  <c:v>7.9227940769248661</c:v>
                </c:pt>
                <c:pt idx="23">
                  <c:v>8.5611379831667556</c:v>
                </c:pt>
                <c:pt idx="24">
                  <c:v>8.6401180762507419</c:v>
                </c:pt>
                <c:pt idx="25">
                  <c:v>11.624662626335409</c:v>
                </c:pt>
                <c:pt idx="26">
                  <c:v>8.0045836502584198</c:v>
                </c:pt>
                <c:pt idx="27">
                  <c:v>7.7494852633524367</c:v>
                </c:pt>
                <c:pt idx="28">
                  <c:v>6.1492753039838979</c:v>
                </c:pt>
                <c:pt idx="29">
                  <c:v>6.8584936008330981</c:v>
                </c:pt>
                <c:pt idx="30">
                  <c:v>5.1626319848552793</c:v>
                </c:pt>
                <c:pt idx="31" formatCode="0.00">
                  <c:v>9.3234259154978574</c:v>
                </c:pt>
                <c:pt idx="32">
                  <c:v>13.089293218813863</c:v>
                </c:pt>
                <c:pt idx="33">
                  <c:v>9.3422346648002801</c:v>
                </c:pt>
                <c:pt idx="34">
                  <c:v>8.8577250394645706</c:v>
                </c:pt>
                <c:pt idx="35">
                  <c:v>12.612180153313592</c:v>
                </c:pt>
                <c:pt idx="36">
                  <c:v>11.787566220841944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F9B-B941-9245-3F1B6F1FB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27328"/>
        <c:axId val="143829248"/>
      </c:scatterChart>
      <c:valAx>
        <c:axId val="143827328"/>
        <c:scaling>
          <c:orientation val="minMax"/>
          <c:max val="25"/>
          <c:min val="0"/>
        </c:scaling>
        <c:delete val="0"/>
        <c:axPos val="b"/>
        <c:majorGridlines>
          <c:spPr>
            <a:ln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beobachtete</a:t>
                </a:r>
                <a:r>
                  <a:rPr lang="de-DE" baseline="0"/>
                  <a:t> </a:t>
                </a:r>
                <a:r>
                  <a:rPr lang="de-DE"/>
                  <a:t>DIN-Fracht [kg N/(ha.a)]</a:t>
                </a:r>
              </a:p>
            </c:rich>
          </c:tx>
          <c:layout>
            <c:manualLayout>
              <c:xMode val="edge"/>
              <c:yMode val="edge"/>
              <c:x val="0.20620986206511421"/>
              <c:y val="0.9131475778642423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9248"/>
        <c:crossesAt val="0"/>
        <c:crossBetween val="midCat"/>
        <c:majorUnit val="5"/>
      </c:valAx>
      <c:valAx>
        <c:axId val="143829248"/>
        <c:scaling>
          <c:orientation val="minMax"/>
          <c:max val="2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modellierte DIN-Fracht [kg N/(ha.a)]    </a:t>
                </a:r>
                <a:r>
                  <a:rPr lang="de-DE" sz="1400" b="0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 k</a:t>
                </a: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2.5761124121779874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7328"/>
        <c:crossesAt val="0"/>
        <c:crossBetween val="midCat"/>
        <c:majorUnit val="5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</c:spPr>
    </c:plotArea>
    <c:legend>
      <c:legendPos val="l"/>
      <c:legendEntry>
        <c:idx val="0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16170212765957445"/>
          <c:y val="7.4943173086970682E-2"/>
          <c:w val="0.39807404925448159"/>
          <c:h val="0.2242342657987423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901411833324E-2"/>
          <c:y val="0.1145098039215686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234-7446-8E29-E56E9E553D21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234-7446-8E29-E56E9E553D21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234-7446-8E29-E56E9E553D21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2234-7446-8E29-E56E9E553D21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2234-7446-8E29-E56E9E553D21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234-7446-8E29-E56E9E553D21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234-7446-8E29-E56E9E553D21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2234-7446-8E29-E56E9E553D21}"/>
              </c:ext>
            </c:extLst>
          </c:dPt>
          <c:dPt>
            <c:idx val="8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2234-7446-8E29-E56E9E553D21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34-7446-8E29-E56E9E553D21}"/>
                </c:ext>
              </c:extLst>
            </c:dLbl>
            <c:dLbl>
              <c:idx val="1"/>
              <c:layout>
                <c:manualLayout>
                  <c:x val="-3.4661108537903359E-3"/>
                  <c:y val="-2.021627296587926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34-7446-8E29-E56E9E553D21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234-7446-8E29-E56E9E553D21}"/>
                </c:ext>
              </c:extLst>
            </c:dLbl>
            <c:dLbl>
              <c:idx val="3"/>
              <c:layout>
                <c:manualLayout>
                  <c:x val="-2.0207572092704101E-2"/>
                  <c:y val="-0.12913287015593639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34-7446-8E29-E56E9E553D21}"/>
                </c:ext>
              </c:extLst>
            </c:dLbl>
            <c:dLbl>
              <c:idx val="4"/>
              <c:layout>
                <c:manualLayout>
                  <c:x val="4.5898478376477453E-2"/>
                  <c:y val="-1.3454129998456079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234-7446-8E29-E56E9E553D21}"/>
                </c:ext>
              </c:extLst>
            </c:dLbl>
            <c:dLbl>
              <c:idx val="5"/>
              <c:layout>
                <c:manualLayout>
                  <c:x val="-1.4045940335889386E-2"/>
                  <c:y val="4.0721568627450952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34-7446-8E29-E56E9E553D21}"/>
                </c:ext>
              </c:extLst>
            </c:dLbl>
            <c:dLbl>
              <c:idx val="6"/>
              <c:layout>
                <c:manualLayout>
                  <c:x val="1.4118333247563737E-4"/>
                  <c:y val="1.263473830477084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234-7446-8E29-E56E9E553D21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234-7446-8E29-E56E9E553D21}"/>
                </c:ext>
              </c:extLst>
            </c:dLbl>
            <c:dLbl>
              <c:idx val="8"/>
              <c:layout>
                <c:manualLayout>
                  <c:x val="3.4302574923232637E-3"/>
                  <c:y val="2.804829396325459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234-7446-8E29-E56E9E553D21}"/>
                </c:ext>
              </c:extLst>
            </c:dLbl>
            <c:dLbl>
              <c:idx val="9"/>
              <c:layout>
                <c:manualLayout>
                  <c:x val="1.9227008388657306E-3"/>
                  <c:y val="8.8006175698625948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234-7446-8E29-E56E9E553D21}"/>
                </c:ext>
              </c:extLst>
            </c:dLbl>
            <c:dLbl>
              <c:idx val="10"/>
              <c:layout>
                <c:manualLayout>
                  <c:x val="2.4055890072564465E-2"/>
                  <c:y val="-2.845959549174000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234-7446-8E29-E56E9E553D21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'Local emissions'!$FF$90:$FP$90</c:f>
              <c:numCache>
                <c:formatCode>#,#00</c:formatCode>
                <c:ptCount val="11"/>
                <c:pt idx="0">
                  <c:v>8.5529640888317378</c:v>
                </c:pt>
                <c:pt idx="1">
                  <c:v>48.469031421151222</c:v>
                </c:pt>
                <c:pt idx="2">
                  <c:v>0.17859468188438588</c:v>
                </c:pt>
                <c:pt idx="3">
                  <c:v>187.19235365063105</c:v>
                </c:pt>
                <c:pt idx="4">
                  <c:v>0</c:v>
                </c:pt>
                <c:pt idx="5">
                  <c:v>9.6846447518065446</c:v>
                </c:pt>
                <c:pt idx="6">
                  <c:v>144.43997245806815</c:v>
                </c:pt>
                <c:pt idx="7">
                  <c:v>13.200870711684285</c:v>
                </c:pt>
                <c:pt idx="8">
                  <c:v>38.307269876260996</c:v>
                </c:pt>
                <c:pt idx="9">
                  <c:v>11.487458381802091</c:v>
                </c:pt>
                <c:pt idx="10">
                  <c:v>148.24607416333333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234-7446-8E29-E56E9E553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67663355806036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4D4-354A-B549-7D7A9A296003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4D4-354A-B549-7D7A9A296003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4D4-354A-B549-7D7A9A296003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B4D4-354A-B549-7D7A9A296003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B4D4-354A-B549-7D7A9A296003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B4D4-354A-B549-7D7A9A296003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B4D4-354A-B549-7D7A9A296003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B4D4-354A-B549-7D7A9A296003}"/>
              </c:ext>
            </c:extLst>
          </c:dPt>
          <c:dPt>
            <c:idx val="8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B4D4-354A-B549-7D7A9A296003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4D4-354A-B549-7D7A9A296003}"/>
                </c:ext>
              </c:extLst>
            </c:dLbl>
            <c:dLbl>
              <c:idx val="1"/>
              <c:layout>
                <c:manualLayout>
                  <c:x val="5.2484860961007334E-3"/>
                  <c:y val="-2.021627296587927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D4-354A-B549-7D7A9A296003}"/>
                </c:ext>
              </c:extLst>
            </c:dLbl>
            <c:dLbl>
              <c:idx val="2"/>
              <c:layout>
                <c:manualLayout>
                  <c:x val="5.8463108778069393E-2"/>
                  <c:y val="6.6993978693839751E-4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4D4-354A-B549-7D7A9A296003}"/>
                </c:ext>
              </c:extLst>
            </c:dLbl>
            <c:dLbl>
              <c:idx val="3"/>
              <c:layout>
                <c:manualLayout>
                  <c:x val="-3.7636765992486151E-2"/>
                  <c:y val="0.1751808553342596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D4-354A-B549-7D7A9A296003}"/>
                </c:ext>
              </c:extLst>
            </c:dLbl>
            <c:dLbl>
              <c:idx val="4"/>
              <c:layout>
                <c:manualLayout>
                  <c:x val="7.204226922615066E-2"/>
                  <c:y val="8.506407287324381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4D4-354A-B549-7D7A9A296003}"/>
                </c:ext>
              </c:extLst>
            </c:dLbl>
            <c:dLbl>
              <c:idx val="5"/>
              <c:layout>
                <c:manualLayout>
                  <c:x val="-3.8011253495273893E-2"/>
                  <c:y val="1.876078431372550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D4-354A-B549-7D7A9A296003}"/>
                </c:ext>
              </c:extLst>
            </c:dLbl>
            <c:dLbl>
              <c:idx val="6"/>
              <c:layout>
                <c:manualLayout>
                  <c:x val="-8.5734136174154714E-3"/>
                  <c:y val="1.263473830477072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4D4-354A-B549-7D7A9A296003}"/>
                </c:ext>
              </c:extLst>
            </c:dLbl>
            <c:dLbl>
              <c:idx val="7"/>
              <c:layout>
                <c:manualLayout>
                  <c:x val="1.3071895424836603E-2"/>
                  <c:y val="5.320512582985948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4D4-354A-B549-7D7A9A296003}"/>
                </c:ext>
              </c:extLst>
            </c:dLbl>
            <c:dLbl>
              <c:idx val="8"/>
              <c:layout>
                <c:manualLayout>
                  <c:x val="1.8682346079289111E-3"/>
                  <c:y val="-7.810776594102209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4D4-354A-B549-7D7A9A296003}"/>
                </c:ext>
              </c:extLst>
            </c:dLbl>
            <c:dLbl>
              <c:idx val="9"/>
              <c:layout>
                <c:manualLayout>
                  <c:x val="-5.4767296244832156E-3"/>
                  <c:y val="-1.891542380731820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4D4-354A-B549-7D7A9A296003}"/>
                </c:ext>
              </c:extLst>
            </c:dLbl>
            <c:dLbl>
              <c:idx val="10"/>
              <c:layout>
                <c:manualLayout>
                  <c:x val="1.7457499185150878E-3"/>
                  <c:y val="-6.361463640574342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4D4-354A-B549-7D7A9A296003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'Local emissions'!$GR$90:$HB$90</c:f>
              <c:numCache>
                <c:formatCode>#,#00</c:formatCode>
                <c:ptCount val="11"/>
                <c:pt idx="0">
                  <c:v>1.9868562766090685</c:v>
                </c:pt>
                <c:pt idx="1">
                  <c:v>12.249510359960357</c:v>
                </c:pt>
                <c:pt idx="2">
                  <c:v>0</c:v>
                </c:pt>
                <c:pt idx="3">
                  <c:v>125.39750062639912</c:v>
                </c:pt>
                <c:pt idx="4">
                  <c:v>0</c:v>
                </c:pt>
                <c:pt idx="5">
                  <c:v>5.4609009480140616</c:v>
                </c:pt>
                <c:pt idx="6">
                  <c:v>62.170173791861131</c:v>
                </c:pt>
                <c:pt idx="7">
                  <c:v>6.1001159264068772</c:v>
                </c:pt>
                <c:pt idx="8">
                  <c:v>9.9914668643536331</c:v>
                </c:pt>
                <c:pt idx="9">
                  <c:v>5.2830695736796747</c:v>
                </c:pt>
                <c:pt idx="10">
                  <c:v>42.190828954999986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D4-354A-B549-7D7A9A296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67663355806036E-2"/>
          <c:y val="0.12705882352941175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1"/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1C5-3D4F-81FC-716EBD0458A3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1C5-3D4F-81FC-716EBD0458A3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1C5-3D4F-81FC-716EBD0458A3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1C5-3D4F-81FC-716EBD0458A3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1C5-3D4F-81FC-716EBD0458A3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1C5-3D4F-81FC-716EBD0458A3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1C5-3D4F-81FC-716EBD0458A3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1C5-3D4F-81FC-716EBD0458A3}"/>
              </c:ext>
            </c:extLst>
          </c:dPt>
          <c:dPt>
            <c:idx val="8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01C5-3D4F-81FC-716EBD0458A3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C5-3D4F-81FC-716EBD0458A3}"/>
                </c:ext>
              </c:extLst>
            </c:dLbl>
            <c:dLbl>
              <c:idx val="1"/>
              <c:layout>
                <c:manualLayout>
                  <c:x val="-1.4359528588338263E-2"/>
                  <c:y val="-3.276529257372241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C5-3D4F-81FC-716EBD0458A3}"/>
                </c:ext>
              </c:extLst>
            </c:dLbl>
            <c:dLbl>
              <c:idx val="2"/>
              <c:layout>
                <c:manualLayout>
                  <c:x val="4.1033914878287281E-2"/>
                  <c:y val="-1.815358962482631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C5-3D4F-81FC-716EBD0458A3}"/>
                </c:ext>
              </c:extLst>
            </c:dLbl>
            <c:dLbl>
              <c:idx val="3"/>
              <c:layout>
                <c:manualLayout>
                  <c:x val="-3.1100818280067943E-2"/>
                  <c:y val="0.11557301219700476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C5-3D4F-81FC-716EBD0458A3}"/>
                </c:ext>
              </c:extLst>
            </c:dLbl>
            <c:dLbl>
              <c:idx val="4"/>
              <c:layout>
                <c:manualLayout>
                  <c:x val="6.6827921019676478E-3"/>
                  <c:y val="8.506654315269420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C5-3D4F-81FC-716EBD0458A3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C5-3D4F-81FC-716EBD0458A3}"/>
                </c:ext>
              </c:extLst>
            </c:dLbl>
            <c:dLbl>
              <c:idx val="6"/>
              <c:layout>
                <c:manualLayout>
                  <c:x val="8.8557802823666706E-3"/>
                  <c:y val="3.459552261849621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1C5-3D4F-81FC-716EBD0458A3}"/>
                </c:ext>
              </c:extLst>
            </c:dLbl>
            <c:dLbl>
              <c:idx val="7"/>
              <c:layout>
                <c:manualLayout>
                  <c:x val="0"/>
                  <c:y val="2.183257681025166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1C5-3D4F-81FC-716EBD0458A3}"/>
                </c:ext>
              </c:extLst>
            </c:dLbl>
            <c:dLbl>
              <c:idx val="8"/>
              <c:layout>
                <c:manualLayout>
                  <c:x val="-3.0003602490865119E-3"/>
                  <c:y val="-4.5808862127528173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1C5-3D4F-81FC-716EBD0458A3}"/>
                </c:ext>
              </c:extLst>
            </c:dLbl>
            <c:dLbl>
              <c:idx val="9"/>
              <c:layout>
                <c:manualLayout>
                  <c:x val="1.3396033829104693E-2"/>
                  <c:y val="-2.303288559518295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1C5-3D4F-81FC-716EBD0458A3}"/>
                </c:ext>
              </c:extLst>
            </c:dLbl>
            <c:dLbl>
              <c:idx val="10"/>
              <c:layout>
                <c:manualLayout>
                  <c:x val="3.3204672945293602E-3"/>
                  <c:y val="7.2379187895630715E-4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1C5-3D4F-81FC-716EBD0458A3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'Local emissions'!$GE$90:$GO$90</c:f>
              <c:numCache>
                <c:formatCode>#,#00</c:formatCode>
                <c:ptCount val="11"/>
                <c:pt idx="0">
                  <c:v>1.9868562766090685</c:v>
                </c:pt>
                <c:pt idx="1">
                  <c:v>12.249510359960357</c:v>
                </c:pt>
                <c:pt idx="2">
                  <c:v>0</c:v>
                </c:pt>
                <c:pt idx="3">
                  <c:v>194.18827472753512</c:v>
                </c:pt>
                <c:pt idx="4">
                  <c:v>19.20448001665148</c:v>
                </c:pt>
                <c:pt idx="5">
                  <c:v>5.4609009480140616</c:v>
                </c:pt>
                <c:pt idx="6">
                  <c:v>62.170173791861131</c:v>
                </c:pt>
                <c:pt idx="7">
                  <c:v>6.7779065848965292</c:v>
                </c:pt>
                <c:pt idx="8">
                  <c:v>11.101629849281814</c:v>
                </c:pt>
                <c:pt idx="9">
                  <c:v>5.8700773040885252</c:v>
                </c:pt>
                <c:pt idx="10">
                  <c:v>42.190828954999986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C5-3D4F-81FC-716EBD045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16F-6945-B201-462E2489B5D6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16F-6945-B201-462E2489B5D6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16F-6945-B201-462E2489B5D6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416F-6945-B201-462E2489B5D6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416F-6945-B201-462E2489B5D6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16F-6945-B201-462E2489B5D6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416F-6945-B201-462E2489B5D6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6F-6945-B201-462E2489B5D6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6F-6945-B201-462E2489B5D6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6F-6945-B201-462E2489B5D6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6F-6945-B201-462E2489B5D6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6F-6945-B201-462E2489B5D6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6F-6945-B201-462E2489B5D6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16F-6945-B201-462E2489B5D6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16F-6945-B201-462E2489B5D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Graphs!$AT$4:$AZ$4</c:f>
              <c:strCache>
                <c:ptCount val="7"/>
                <c:pt idx="0">
                  <c:v>housholds and industry, point sources</c:v>
                </c:pt>
                <c:pt idx="1">
                  <c:v>housholds, urban areas</c:v>
                </c:pt>
                <c:pt idx="2">
                  <c:v>agriculutre, drainage</c:v>
                </c:pt>
                <c:pt idx="3">
                  <c:v>agriculture: surface runoff and groundwater</c:v>
                </c:pt>
                <c:pt idx="4">
                  <c:v>agricultur erosion</c:v>
                </c:pt>
                <c:pt idx="5">
                  <c:v>deposition</c:v>
                </c:pt>
                <c:pt idx="6">
                  <c:v>background</c:v>
                </c:pt>
              </c:strCache>
            </c:strRef>
          </c:cat>
          <c:val>
            <c:numRef>
              <c:f>'Local emissions'!$HE$90:$HK$90</c:f>
              <c:numCache>
                <c:formatCode>#,#00</c:formatCode>
                <c:ptCount val="7"/>
                <c:pt idx="0">
                  <c:v>42.190828954999986</c:v>
                </c:pt>
                <c:pt idx="1">
                  <c:v>23.749613738266873</c:v>
                </c:pt>
                <c:pt idx="2">
                  <c:v>5.4609009480140616</c:v>
                </c:pt>
                <c:pt idx="3">
                  <c:v>62.228093354281114</c:v>
                </c:pt>
                <c:pt idx="4">
                  <c:v>188.57823371032393</c:v>
                </c:pt>
                <c:pt idx="5">
                  <c:v>1.9868562766090685</c:v>
                </c:pt>
                <c:pt idx="6">
                  <c:v>37.006111831402983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6F-6945-B201-462E2489B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676-DE43-854C-E20BFB71AD9C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676-DE43-854C-E20BFB71AD9C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676-DE43-854C-E20BFB71AD9C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2676-DE43-854C-E20BFB71AD9C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2676-DE43-854C-E20BFB71AD9C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676-DE43-854C-E20BFB71AD9C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676-DE43-854C-E20BFB71AD9C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76-DE43-854C-E20BFB71AD9C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76-DE43-854C-E20BFB71AD9C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676-DE43-854C-E20BFB71AD9C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76-DE43-854C-E20BFB71AD9C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676-DE43-854C-E20BFB71AD9C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76-DE43-854C-E20BFB71AD9C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676-DE43-854C-E20BFB71AD9C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676-DE43-854C-E20BFB71AD9C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Graphs!$AT$4:$AZ$4</c:f>
              <c:strCache>
                <c:ptCount val="7"/>
                <c:pt idx="0">
                  <c:v>housholds and industry, point sources</c:v>
                </c:pt>
                <c:pt idx="1">
                  <c:v>housholds, urban areas</c:v>
                </c:pt>
                <c:pt idx="2">
                  <c:v>agriculutre, drainage</c:v>
                </c:pt>
                <c:pt idx="3">
                  <c:v>agriculture: surface runoff and groundwater</c:v>
                </c:pt>
                <c:pt idx="4">
                  <c:v>agricultur erosion</c:v>
                </c:pt>
                <c:pt idx="5">
                  <c:v>deposition</c:v>
                </c:pt>
                <c:pt idx="6">
                  <c:v>background</c:v>
                </c:pt>
              </c:strCache>
            </c:strRef>
          </c:cat>
          <c:val>
            <c:numRef>
              <c:f>'Local emissions'!$DY$90:$EE$90</c:f>
              <c:numCache>
                <c:formatCode>#,#00</c:formatCode>
                <c:ptCount val="7"/>
                <c:pt idx="0">
                  <c:v>148.24607416333333</c:v>
                </c:pt>
                <c:pt idx="1">
                  <c:v>69.995109966385968</c:v>
                </c:pt>
                <c:pt idx="2">
                  <c:v>9.6846447518065446</c:v>
                </c:pt>
                <c:pt idx="3">
                  <c:v>146.86961093439007</c:v>
                </c:pt>
                <c:pt idx="4">
                  <c:v>277.2447283275792</c:v>
                </c:pt>
                <c:pt idx="5">
                  <c:v>8.5529640888317378</c:v>
                </c:pt>
                <c:pt idx="6">
                  <c:v>114.04351894259241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DE43-854C-E20BFB71A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7D2-234D-AB76-4E1BB6C7D3E7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7D2-234D-AB76-4E1BB6C7D3E7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7D2-234D-AB76-4E1BB6C7D3E7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7D2-234D-AB76-4E1BB6C7D3E7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7D2-234D-AB76-4E1BB6C7D3E7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7D2-234D-AB76-4E1BB6C7D3E7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7D2-234D-AB76-4E1BB6C7D3E7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D2-234D-AB76-4E1BB6C7D3E7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D2-234D-AB76-4E1BB6C7D3E7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D2-234D-AB76-4E1BB6C7D3E7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D2-234D-AB76-4E1BB6C7D3E7}"/>
                </c:ext>
              </c:extLst>
            </c:dLbl>
            <c:dLbl>
              <c:idx val="4"/>
              <c:layout>
                <c:manualLayout>
                  <c:x val="0"/>
                  <c:y val="-0.15463060058669148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7D2-234D-AB76-4E1BB6C7D3E7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D2-234D-AB76-4E1BB6C7D3E7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D2-234D-AB76-4E1BB6C7D3E7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D2-234D-AB76-4E1BB6C7D3E7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Graphs!$AT$4:$AZ$4</c:f>
              <c:strCache>
                <c:ptCount val="7"/>
                <c:pt idx="0">
                  <c:v>housholds and industry, point sources</c:v>
                </c:pt>
                <c:pt idx="1">
                  <c:v>housholds, urban areas</c:v>
                </c:pt>
                <c:pt idx="2">
                  <c:v>agriculutre, drainage</c:v>
                </c:pt>
                <c:pt idx="3">
                  <c:v>agriculture: surface runoff and groundwater</c:v>
                </c:pt>
                <c:pt idx="4">
                  <c:v>agricultur erosion</c:v>
                </c:pt>
                <c:pt idx="5">
                  <c:v>deposition</c:v>
                </c:pt>
                <c:pt idx="6">
                  <c:v>background</c:v>
                </c:pt>
              </c:strCache>
            </c:strRef>
          </c:cat>
          <c:val>
            <c:numRef>
              <c:f>'Local emissions'!$HQ$90:$HW$90</c:f>
              <c:numCache>
                <c:formatCode>#,#00</c:formatCode>
                <c:ptCount val="7"/>
                <c:pt idx="0">
                  <c:v>42.190828954999986</c:v>
                </c:pt>
                <c:pt idx="1">
                  <c:v>21.37465236444018</c:v>
                </c:pt>
                <c:pt idx="2">
                  <c:v>5.4609009480140616</c:v>
                </c:pt>
                <c:pt idx="3">
                  <c:v>62.228093354281114</c:v>
                </c:pt>
                <c:pt idx="4">
                  <c:v>125.39750062639912</c:v>
                </c:pt>
                <c:pt idx="5">
                  <c:v>1.9868562766090685</c:v>
                </c:pt>
                <c:pt idx="6">
                  <c:v>12.191590797540369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7D2-234D-AB76-4E1BB6C7D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8F3-4D4B-9DA3-FE2262BF035F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8F3-4D4B-9DA3-FE2262BF035F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8F3-4D4B-9DA3-FE2262BF035F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8F3-4D4B-9DA3-FE2262BF035F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8F3-4D4B-9DA3-FE2262BF035F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8F3-4D4B-9DA3-FE2262BF035F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8F3-4D4B-9DA3-FE2262BF035F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F3-4D4B-9DA3-FE2262BF035F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F3-4D4B-9DA3-FE2262BF035F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F3-4D4B-9DA3-FE2262BF035F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F3-4D4B-9DA3-FE2262BF035F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F3-4D4B-9DA3-FE2262BF035F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F3-4D4B-9DA3-FE2262BF035F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8F3-4D4B-9DA3-FE2262BF035F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8F3-4D4B-9DA3-FE2262BF035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Graphs!$AT$4:$AZ$4</c:f>
              <c:strCache>
                <c:ptCount val="7"/>
                <c:pt idx="0">
                  <c:v>housholds and industry, point sources</c:v>
                </c:pt>
                <c:pt idx="1">
                  <c:v>housholds, urban areas</c:v>
                </c:pt>
                <c:pt idx="2">
                  <c:v>agriculutre, drainage</c:v>
                </c:pt>
                <c:pt idx="3">
                  <c:v>agriculture: surface runoff and groundwater</c:v>
                </c:pt>
                <c:pt idx="4">
                  <c:v>agricultur erosion</c:v>
                </c:pt>
                <c:pt idx="5">
                  <c:v>deposition</c:v>
                </c:pt>
                <c:pt idx="6">
                  <c:v>background</c:v>
                </c:pt>
              </c:strCache>
            </c:strRef>
          </c:cat>
          <c:val>
            <c:numRef>
              <c:f>'Local emissions'!$FS$90:$FY$90</c:f>
              <c:numCache>
                <c:formatCode>#,#00</c:formatCode>
                <c:ptCount val="7"/>
                <c:pt idx="0">
                  <c:v>148.24607416333333</c:v>
                </c:pt>
                <c:pt idx="1">
                  <c:v>62.995598969747391</c:v>
                </c:pt>
                <c:pt idx="2">
                  <c:v>9.6846447518065446</c:v>
                </c:pt>
                <c:pt idx="3">
                  <c:v>146.86961093439007</c:v>
                </c:pt>
                <c:pt idx="4">
                  <c:v>187.19235365063102</c:v>
                </c:pt>
                <c:pt idx="5">
                  <c:v>8.5529640888317378</c:v>
                </c:pt>
                <c:pt idx="6">
                  <c:v>46.217987626713743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8F3-4D4B-9DA3-FE2262BF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1E6-1E4D-982C-F5FEB8997FC3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1E6-1E4D-982C-F5FEB8997FC3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1E6-1E4D-982C-F5FEB8997FC3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1E6-1E4D-982C-F5FEB8997FC3}"/>
              </c:ext>
            </c:extLst>
          </c:dPt>
          <c:dPt>
            <c:idx val="4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1E6-1E4D-982C-F5FEB8997FC3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1E6-1E4D-982C-F5FEB8997FC3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1E6-1E4D-982C-F5FEB8997FC3}"/>
              </c:ext>
            </c:extLst>
          </c:dPt>
          <c:dPt>
            <c:idx val="7"/>
            <c:bubble3D val="0"/>
            <c:spPr>
              <a:solidFill>
                <a:srgbClr val="CC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31E6-1E4D-982C-F5FEB8997FC3}"/>
              </c:ext>
            </c:extLst>
          </c:dPt>
          <c:dPt>
            <c:idx val="8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31E6-1E4D-982C-F5FEB8997FC3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E6-1E4D-982C-F5FEB8997FC3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E6-1E4D-982C-F5FEB8997FC3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E6-1E4D-982C-F5FEB8997FC3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E6-1E4D-982C-F5FEB8997FC3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E6-1E4D-982C-F5FEB8997FC3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E6-1E4D-982C-F5FEB8997FC3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E6-1E4D-982C-F5FEB8997FC3}"/>
                </c:ext>
              </c:extLst>
            </c:dLbl>
            <c:dLbl>
              <c:idx val="7"/>
              <c:layout>
                <c:manualLayout>
                  <c:x val="1.5250544662309375E-2"/>
                  <c:y val="-6.402717307395398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E6-1E4D-982C-F5FEB8997FC3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Graphs!$AT$5:$BB$5</c:f>
              <c:strCache>
                <c:ptCount val="9"/>
                <c:pt idx="0">
                  <c:v>housholds and industry, point sources</c:v>
                </c:pt>
                <c:pt idx="1">
                  <c:v>housholds, urban areas</c:v>
                </c:pt>
                <c:pt idx="2">
                  <c:v>agriculture: NH3 via naturally covered and open areas</c:v>
                </c:pt>
                <c:pt idx="3">
                  <c:v>agriculture: NH3 via agricultural areas</c:v>
                </c:pt>
                <c:pt idx="4">
                  <c:v>agriculture: drainage</c:v>
                </c:pt>
                <c:pt idx="5">
                  <c:v>agriculture: groundwater and surface runoff</c:v>
                </c:pt>
                <c:pt idx="6">
                  <c:v>combustion: NOX via natur. covered and open areas</c:v>
                </c:pt>
                <c:pt idx="7">
                  <c:v>combustion: NOX via agricultural areas</c:v>
                </c:pt>
                <c:pt idx="8">
                  <c:v>background</c:v>
                </c:pt>
              </c:strCache>
            </c:strRef>
          </c:cat>
          <c:val>
            <c:numRef>
              <c:f>'Local emissions'!$CH$90:$CP$90</c:f>
              <c:numCache>
                <c:formatCode>0,000</c:formatCode>
                <c:ptCount val="9"/>
                <c:pt idx="0">
                  <c:v>3059.6327756946671</c:v>
                </c:pt>
                <c:pt idx="1">
                  <c:v>381.45858120259612</c:v>
                </c:pt>
                <c:pt idx="2">
                  <c:v>2498.0545412819865</c:v>
                </c:pt>
                <c:pt idx="3">
                  <c:v>1184.9528860356681</c:v>
                </c:pt>
                <c:pt idx="4">
                  <c:v>827.1553605621267</c:v>
                </c:pt>
                <c:pt idx="5">
                  <c:v>6227.9309206021244</c:v>
                </c:pt>
                <c:pt idx="6">
                  <c:v>1597.3764922506989</c:v>
                </c:pt>
                <c:pt idx="7">
                  <c:v>680.81197147796672</c:v>
                </c:pt>
                <c:pt idx="8">
                  <c:v>2510.7309213601784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1E6-1E4D-982C-F5FEB8997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052390510009771"/>
          <c:y val="4.3137254901960784E-2"/>
          <c:w val="0.34041445799667225"/>
          <c:h val="0.95372549019607911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0021505516125E-2"/>
          <c:y val="0.12705882352941175"/>
          <c:w val="0.52412688173265987"/>
          <c:h val="0.7411764705882356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702-074B-9E13-31BCB7C6D069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702-074B-9E13-31BCB7C6D069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702-074B-9E13-31BCB7C6D069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8702-074B-9E13-31BCB7C6D069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8702-074B-9E13-31BCB7C6D069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8702-074B-9E13-31BCB7C6D069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8702-074B-9E13-31BCB7C6D069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8702-074B-9E13-31BCB7C6D069}"/>
              </c:ext>
            </c:extLst>
          </c:dPt>
          <c:dPt>
            <c:idx val="8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8702-074B-9E13-31BCB7C6D069}"/>
              </c:ext>
            </c:extLst>
          </c:dPt>
          <c:dLbls>
            <c:dLbl>
              <c:idx val="0"/>
              <c:layout>
                <c:manualLayout>
                  <c:x val="8.8786405859001445E-3"/>
                  <c:y val="-1.262782152230970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702-074B-9E13-31BCB7C6D069}"/>
                </c:ext>
              </c:extLst>
            </c:dLbl>
            <c:dLbl>
              <c:idx val="1"/>
              <c:layout>
                <c:manualLayout>
                  <c:x val="-2.0538821998331735E-2"/>
                  <c:y val="-3.248936235911688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02-074B-9E13-31BCB7C6D069}"/>
                </c:ext>
              </c:extLst>
            </c:dLbl>
            <c:dLbl>
              <c:idx val="2"/>
              <c:layout>
                <c:manualLayout>
                  <c:x val="6.0267009053152898E-5"/>
                  <c:y val="-0.10166904431063765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702-074B-9E13-31BCB7C6D069}"/>
                </c:ext>
              </c:extLst>
            </c:dLbl>
            <c:dLbl>
              <c:idx val="3"/>
              <c:layout>
                <c:manualLayout>
                  <c:x val="2.1475493599905766E-2"/>
                  <c:y val="-5.66452369924347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02-074B-9E13-31BCB7C6D069}"/>
                </c:ext>
              </c:extLst>
            </c:dLbl>
            <c:dLbl>
              <c:idx val="4"/>
              <c:layout>
                <c:manualLayout>
                  <c:x val="2.1269188273262941E-2"/>
                  <c:y val="2.218459163192836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702-074B-9E13-31BCB7C6D069}"/>
                </c:ext>
              </c:extLst>
            </c:dLbl>
            <c:dLbl>
              <c:idx val="5"/>
              <c:layout>
                <c:manualLayout>
                  <c:x val="2.9413270096645659E-2"/>
                  <c:y val="4.11849930523390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02-074B-9E13-31BCB7C6D069}"/>
                </c:ext>
              </c:extLst>
            </c:dLbl>
            <c:dLbl>
              <c:idx val="6"/>
              <c:layout>
                <c:manualLayout>
                  <c:x val="-9.2361359201267954E-3"/>
                  <c:y val="-5.0623436776286238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702-074B-9E13-31BCB7C6D069}"/>
                </c:ext>
              </c:extLst>
            </c:dLbl>
            <c:dLbl>
              <c:idx val="7"/>
              <c:layout>
                <c:manualLayout>
                  <c:x val="-7.1808053943340291E-2"/>
                  <c:y val="3.3266018218310968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702-074B-9E13-31BCB7C6D069}"/>
                </c:ext>
              </c:extLst>
            </c:dLbl>
            <c:dLbl>
              <c:idx val="8"/>
              <c:layout>
                <c:manualLayout>
                  <c:x val="-3.6431669003105065E-2"/>
                  <c:y val="-4.400951057588390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702-074B-9E13-31BCB7C6D069}"/>
                </c:ext>
              </c:extLst>
            </c:dLbl>
            <c:dLbl>
              <c:idx val="9"/>
              <c:layout>
                <c:manualLayout>
                  <c:x val="1.626300872124762E-2"/>
                  <c:y val="-6.599252740466267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702-074B-9E13-31BCB7C6D069}"/>
                </c:ext>
              </c:extLst>
            </c:dLbl>
            <c:dLbl>
              <c:idx val="10"/>
              <c:layout>
                <c:manualLayout>
                  <c:x val="1.7478830121276438E-2"/>
                  <c:y val="-1.87743708507024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702-074B-9E13-31BCB7C6D069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Graphs!$AT$2:$BD$2</c:f>
              <c:strCache>
                <c:ptCount val="11"/>
                <c:pt idx="0">
                  <c:v>atmospheric deposition</c:v>
                </c:pt>
                <c:pt idx="1">
                  <c:v>surface runoff</c:v>
                </c:pt>
                <c:pt idx="2">
                  <c:v>snowmelt</c:v>
                </c:pt>
                <c:pt idx="3">
                  <c:v>agricultural erosion</c:v>
                </c:pt>
                <c:pt idx="4">
                  <c:v>natural erosion</c:v>
                </c:pt>
                <c:pt idx="5">
                  <c:v>tile drainage systems</c:v>
                </c:pt>
                <c:pt idx="6">
                  <c:v>groundwater</c:v>
                </c:pt>
                <c:pt idx="7">
                  <c:v>separated sewr systems</c:v>
                </c:pt>
                <c:pt idx="8">
                  <c:v>combined system overflows</c:v>
                </c:pt>
                <c:pt idx="9">
                  <c:v>non-sewered urban areas</c:v>
                </c:pt>
                <c:pt idx="10">
                  <c:v>point sources</c:v>
                </c:pt>
              </c:strCache>
            </c:strRef>
          </c:cat>
          <c:val>
            <c:numRef>
              <c:f>'Local emissions'!$IC$90:$IM$90</c:f>
              <c:numCache>
                <c:formatCode>#,#00</c:formatCode>
                <c:ptCount val="11"/>
                <c:pt idx="0">
                  <c:v>33.070009253912467</c:v>
                </c:pt>
                <c:pt idx="1">
                  <c:v>374.07097950793036</c:v>
                </c:pt>
                <c:pt idx="2">
                  <c:v>0</c:v>
                </c:pt>
                <c:pt idx="3">
                  <c:v>252.95186642502242</c:v>
                </c:pt>
                <c:pt idx="4">
                  <c:v>0.76677543834340067</c:v>
                </c:pt>
                <c:pt idx="5">
                  <c:v>414.39096346538071</c:v>
                </c:pt>
                <c:pt idx="6">
                  <c:v>3026.1976825224983</c:v>
                </c:pt>
                <c:pt idx="7">
                  <c:v>16.325858272350214</c:v>
                </c:pt>
                <c:pt idx="8">
                  <c:v>33.827403558289006</c:v>
                </c:pt>
                <c:pt idx="9">
                  <c:v>16.441272982384149</c:v>
                </c:pt>
                <c:pt idx="10">
                  <c:v>183.57136820744444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702-074B-9E13-31BCB7C6D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387739594114804"/>
          <c:y val="0.10588235294117651"/>
          <c:w val="0.31114826120944578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D01-A043-896F-5B4894B54EB8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D01-A043-896F-5B4894B54EB8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D01-A043-896F-5B4894B54EB8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D01-A043-896F-5B4894B54EB8}"/>
              </c:ext>
            </c:extLst>
          </c:dPt>
          <c:dPt>
            <c:idx val="4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D01-A043-896F-5B4894B54EB8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D01-A043-896F-5B4894B54EB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D01-A043-896F-5B4894B54EB8}"/>
              </c:ext>
            </c:extLst>
          </c:dPt>
          <c:dPt>
            <c:idx val="7"/>
            <c:bubble3D val="0"/>
            <c:spPr>
              <a:solidFill>
                <a:srgbClr val="CC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DD01-A043-896F-5B4894B54EB8}"/>
              </c:ext>
            </c:extLst>
          </c:dPt>
          <c:dPt>
            <c:idx val="8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DD01-A043-896F-5B4894B54EB8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01-A043-896F-5B4894B54EB8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01-A043-896F-5B4894B54EB8}"/>
                </c:ext>
              </c:extLst>
            </c:dLbl>
            <c:dLbl>
              <c:idx val="2"/>
              <c:layout>
                <c:manualLayout>
                  <c:x val="-2.5390698711680649E-3"/>
                  <c:y val="-8.7418249189439561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D01-A043-896F-5B4894B54EB8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01-A043-896F-5B4894B54EB8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D01-A043-896F-5B4894B54EB8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01-A043-896F-5B4894B54EB8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D01-A043-896F-5B4894B54EB8}"/>
                </c:ext>
              </c:extLst>
            </c:dLbl>
            <c:dLbl>
              <c:idx val="7"/>
              <c:layout>
                <c:manualLayout>
                  <c:x val="1.5250544662309375E-2"/>
                  <c:y val="-6.402717307395398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D01-A043-896F-5B4894B54EB8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Graphs!$AT$5:$BB$5</c:f>
              <c:strCache>
                <c:ptCount val="9"/>
                <c:pt idx="0">
                  <c:v>housholds and industry, point sources</c:v>
                </c:pt>
                <c:pt idx="1">
                  <c:v>housholds, urban areas</c:v>
                </c:pt>
                <c:pt idx="2">
                  <c:v>agriculture: NH3 via naturally covered and open areas</c:v>
                </c:pt>
                <c:pt idx="3">
                  <c:v>agriculture: NH3 via agricultural areas</c:v>
                </c:pt>
                <c:pt idx="4">
                  <c:v>agriculture: drainage</c:v>
                </c:pt>
                <c:pt idx="5">
                  <c:v>agriculture: groundwater and surface runoff</c:v>
                </c:pt>
                <c:pt idx="6">
                  <c:v>combustion: NOX via natur. covered and open areas</c:v>
                </c:pt>
                <c:pt idx="7">
                  <c:v>combustion: NOX via agricultural areas</c:v>
                </c:pt>
                <c:pt idx="8">
                  <c:v>background</c:v>
                </c:pt>
              </c:strCache>
            </c:strRef>
          </c:cat>
          <c:val>
            <c:numRef>
              <c:f>'Local emissions'!$IP$90:$IX$90</c:f>
              <c:numCache>
                <c:formatCode>#,#00</c:formatCode>
                <c:ptCount val="9"/>
                <c:pt idx="0">
                  <c:v>183.57136820744444</c:v>
                </c:pt>
                <c:pt idx="1">
                  <c:v>66.594534813023358</c:v>
                </c:pt>
                <c:pt idx="2">
                  <c:v>257.03367852881689</c:v>
                </c:pt>
                <c:pt idx="3">
                  <c:v>345.73419558487353</c:v>
                </c:pt>
                <c:pt idx="4">
                  <c:v>414.39096346538071</c:v>
                </c:pt>
                <c:pt idx="5">
                  <c:v>2199.245303654287</c:v>
                </c:pt>
                <c:pt idx="6">
                  <c:v>142.48456915354308</c:v>
                </c:pt>
                <c:pt idx="7">
                  <c:v>190.72022514565322</c:v>
                </c:pt>
                <c:pt idx="8">
                  <c:v>551.83934108053404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D01-A043-896F-5B4894B5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052390510009771"/>
          <c:y val="2.1176470588235307E-2"/>
          <c:w val="0.34695040570909047"/>
          <c:h val="0.95686274509803926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53347852794999"/>
          <c:y val="6.1033003761837408E-2"/>
          <c:w val="0.80720612051153173"/>
          <c:h val="0.77934450957423163"/>
        </c:manualLayout>
      </c:layout>
      <c:scatterChart>
        <c:scatterStyle val="lineMarker"/>
        <c:varyColors val="0"/>
        <c:ser>
          <c:idx val="8"/>
          <c:order val="0"/>
          <c:tx>
            <c:v>Kalibrierung Österreich</c:v>
          </c:tx>
          <c:spPr>
            <a:ln w="28575">
              <a:noFill/>
            </a:ln>
          </c:spPr>
          <c:marker>
            <c:symbol val="plus"/>
            <c:size val="4"/>
            <c:spPr>
              <a:ln>
                <a:solidFill>
                  <a:schemeClr val="tx1"/>
                </a:solidFill>
              </a:ln>
            </c:spPr>
          </c:marker>
          <c:xVal>
            <c:numRef>
              <c:f>Graphs!$CL$4:$CL$113</c:f>
              <c:numCache>
                <c:formatCode>General</c:formatCode>
                <c:ptCount val="110"/>
              </c:numCache>
            </c:numRef>
          </c:xVal>
          <c:yVal>
            <c:numRef>
              <c:f>Graphs!$CK$4:$CK$113</c:f>
              <c:numCache>
                <c:formatCode>General</c:formatCode>
                <c:ptCount val="1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9-5A43-854C-C56F86DACF26}"/>
            </c:ext>
          </c:extLst>
        </c:ser>
        <c:ser>
          <c:idx val="0"/>
          <c:order val="1"/>
          <c:tx>
            <c:v>Validierung 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Graphs!$BY$4:$BY$38</c:f>
              <c:numCache>
                <c:formatCode>0,000,000</c:formatCode>
                <c:ptCount val="35"/>
                <c:pt idx="0">
                  <c:v>0.27011734113474622</c:v>
                </c:pt>
                <c:pt idx="1">
                  <c:v>0.38617409297266475</c:v>
                </c:pt>
                <c:pt idx="3">
                  <c:v>0.83778023425585713</c:v>
                </c:pt>
                <c:pt idx="5">
                  <c:v>0.97791556083613329</c:v>
                </c:pt>
                <c:pt idx="6">
                  <c:v>1.195994507982892</c:v>
                </c:pt>
                <c:pt idx="8">
                  <c:v>0.30914767986519132</c:v>
                </c:pt>
                <c:pt idx="9">
                  <c:v>0.73752863136209101</c:v>
                </c:pt>
                <c:pt idx="10">
                  <c:v>0.72215239402769871</c:v>
                </c:pt>
                <c:pt idx="12">
                  <c:v>1.6625190838530757</c:v>
                </c:pt>
                <c:pt idx="13">
                  <c:v>0.34427935246744912</c:v>
                </c:pt>
                <c:pt idx="14">
                  <c:v>0.34553798296846777</c:v>
                </c:pt>
                <c:pt idx="15">
                  <c:v>0.12800832895117734</c:v>
                </c:pt>
                <c:pt idx="16">
                  <c:v>0.27673772238352273</c:v>
                </c:pt>
                <c:pt idx="17">
                  <c:v>7.5803652168528093E-2</c:v>
                </c:pt>
                <c:pt idx="18">
                  <c:v>0.10271834067324732</c:v>
                </c:pt>
                <c:pt idx="19">
                  <c:v>0.50732324506874826</c:v>
                </c:pt>
                <c:pt idx="24">
                  <c:v>0.63759350070091969</c:v>
                </c:pt>
                <c:pt idx="25">
                  <c:v>0.12510963306442952</c:v>
                </c:pt>
                <c:pt idx="26">
                  <c:v>0.35424439296946458</c:v>
                </c:pt>
                <c:pt idx="27">
                  <c:v>0.51932345598230623</c:v>
                </c:pt>
                <c:pt idx="28">
                  <c:v>0.35662163800749208</c:v>
                </c:pt>
                <c:pt idx="29">
                  <c:v>0.50434341509164593</c:v>
                </c:pt>
                <c:pt idx="30">
                  <c:v>0.17880692181986804</c:v>
                </c:pt>
                <c:pt idx="31">
                  <c:v>8.4087312254026991E-2</c:v>
                </c:pt>
                <c:pt idx="32">
                  <c:v>0.21886519499669288</c:v>
                </c:pt>
                <c:pt idx="33">
                  <c:v>0.25281498778493794</c:v>
                </c:pt>
              </c:numCache>
            </c:numRef>
          </c:xVal>
          <c:yVal>
            <c:numRef>
              <c:f>Graphs!$BX$4:$BX$38</c:f>
              <c:numCache>
                <c:formatCode>0,000,000</c:formatCode>
                <c:ptCount val="35"/>
                <c:pt idx="0">
                  <c:v>0.20056273395299884</c:v>
                </c:pt>
                <c:pt idx="1">
                  <c:v>0.49963462242197942</c:v>
                </c:pt>
                <c:pt idx="2">
                  <c:v>0.73681806969790031</c:v>
                </c:pt>
                <c:pt idx="3">
                  <c:v>0.76890623862353236</c:v>
                </c:pt>
                <c:pt idx="4">
                  <c:v>0.64083025484727485</c:v>
                </c:pt>
                <c:pt idx="5">
                  <c:v>0.65476201715850424</c:v>
                </c:pt>
                <c:pt idx="6">
                  <c:v>0.68340584486240863</c:v>
                </c:pt>
                <c:pt idx="8">
                  <c:v>0.17202752259266649</c:v>
                </c:pt>
                <c:pt idx="9">
                  <c:v>0.63744340078180761</c:v>
                </c:pt>
                <c:pt idx="10">
                  <c:v>0.59444199305073986</c:v>
                </c:pt>
                <c:pt idx="11">
                  <c:v>0.67854361904974747</c:v>
                </c:pt>
                <c:pt idx="12">
                  <c:v>0.65543777958215765</c:v>
                </c:pt>
                <c:pt idx="13">
                  <c:v>0.18673085390535163</c:v>
                </c:pt>
                <c:pt idx="14">
                  <c:v>0.25486736759094353</c:v>
                </c:pt>
                <c:pt idx="15">
                  <c:v>9.7571286351760836E-2</c:v>
                </c:pt>
                <c:pt idx="16">
                  <c:v>0.3028285433103432</c:v>
                </c:pt>
                <c:pt idx="17">
                  <c:v>0.11292992872045252</c:v>
                </c:pt>
                <c:pt idx="18">
                  <c:v>0.27389843303961003</c:v>
                </c:pt>
                <c:pt idx="19">
                  <c:v>0.83603367580772658</c:v>
                </c:pt>
                <c:pt idx="20">
                  <c:v>0.84787425519196036</c:v>
                </c:pt>
                <c:pt idx="21">
                  <c:v>0.73610587919136483</c:v>
                </c:pt>
                <c:pt idx="22">
                  <c:v>0.33703490168711914</c:v>
                </c:pt>
                <c:pt idx="23">
                  <c:v>0.41084170076887538</c:v>
                </c:pt>
                <c:pt idx="24">
                  <c:v>0.43740439177119439</c:v>
                </c:pt>
                <c:pt idx="25">
                  <c:v>0.22442107313266366</c:v>
                </c:pt>
                <c:pt idx="26">
                  <c:v>0.1929078968333707</c:v>
                </c:pt>
                <c:pt idx="27">
                  <c:v>0.34470041039913302</c:v>
                </c:pt>
                <c:pt idx="28">
                  <c:v>0.18096307275326762</c:v>
                </c:pt>
                <c:pt idx="29">
                  <c:v>0.27383133330379711</c:v>
                </c:pt>
                <c:pt idx="30">
                  <c:v>0.14915883116767822</c:v>
                </c:pt>
                <c:pt idx="31">
                  <c:v>0.32508920920759299</c:v>
                </c:pt>
                <c:pt idx="32">
                  <c:v>0.48004344471948085</c:v>
                </c:pt>
                <c:pt idx="33">
                  <c:v>0.23052107777700281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9-5A43-854C-C56F86DACF26}"/>
            </c:ext>
          </c:extLst>
        </c:ser>
        <c:ser>
          <c:idx val="1"/>
          <c:order val="2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79-5A43-854C-C56F86DACF26}"/>
            </c:ext>
          </c:extLst>
        </c:ser>
        <c:ser>
          <c:idx val="2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79-5A43-854C-C56F86DACF26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79-5A43-854C-C56F86DACF26}"/>
            </c:ext>
          </c:extLst>
        </c:ser>
        <c:ser>
          <c:idx val="4"/>
          <c:order val="5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Graphs!$BZ$4:$BZ$113</c:f>
              <c:numCache>
                <c:formatCode>0,000,000</c:formatCode>
                <c:ptCount val="110"/>
                <c:pt idx="20">
                  <c:v>0.48305851410932171</c:v>
                </c:pt>
                <c:pt idx="21">
                  <c:v>0.28916663005756021</c:v>
                </c:pt>
              </c:numCache>
            </c:numRef>
          </c:xVal>
          <c:yVal>
            <c:numRef>
              <c:f>Graphs!$BX$4:$BX$113</c:f>
              <c:numCache>
                <c:formatCode>0,000,000</c:formatCode>
                <c:ptCount val="110"/>
                <c:pt idx="0">
                  <c:v>0.20056273395299884</c:v>
                </c:pt>
                <c:pt idx="1">
                  <c:v>0.49963462242197942</c:v>
                </c:pt>
                <c:pt idx="2">
                  <c:v>0.73681806969790031</c:v>
                </c:pt>
                <c:pt idx="3">
                  <c:v>0.76890623862353236</c:v>
                </c:pt>
                <c:pt idx="4">
                  <c:v>0.64083025484727485</c:v>
                </c:pt>
                <c:pt idx="5">
                  <c:v>0.65476201715850424</c:v>
                </c:pt>
                <c:pt idx="6">
                  <c:v>0.68340584486240863</c:v>
                </c:pt>
                <c:pt idx="8">
                  <c:v>0.17202752259266649</c:v>
                </c:pt>
                <c:pt idx="9">
                  <c:v>0.63744340078180761</c:v>
                </c:pt>
                <c:pt idx="10">
                  <c:v>0.59444199305073986</c:v>
                </c:pt>
                <c:pt idx="11">
                  <c:v>0.67854361904974747</c:v>
                </c:pt>
                <c:pt idx="12">
                  <c:v>0.65543777958215765</c:v>
                </c:pt>
                <c:pt idx="13">
                  <c:v>0.18673085390535163</c:v>
                </c:pt>
                <c:pt idx="14">
                  <c:v>0.25486736759094353</c:v>
                </c:pt>
                <c:pt idx="15">
                  <c:v>9.7571286351760836E-2</c:v>
                </c:pt>
                <c:pt idx="16">
                  <c:v>0.3028285433103432</c:v>
                </c:pt>
                <c:pt idx="17">
                  <c:v>0.11292992872045252</c:v>
                </c:pt>
                <c:pt idx="18">
                  <c:v>0.27389843303961003</c:v>
                </c:pt>
                <c:pt idx="19">
                  <c:v>0.83603367580772658</c:v>
                </c:pt>
                <c:pt idx="20">
                  <c:v>0.84787425519196036</c:v>
                </c:pt>
                <c:pt idx="21">
                  <c:v>0.73610587919136483</c:v>
                </c:pt>
                <c:pt idx="22">
                  <c:v>0.33703490168711914</c:v>
                </c:pt>
                <c:pt idx="23">
                  <c:v>0.41084170076887538</c:v>
                </c:pt>
                <c:pt idx="24">
                  <c:v>0.43740439177119439</c:v>
                </c:pt>
                <c:pt idx="25">
                  <c:v>0.22442107313266366</c:v>
                </c:pt>
                <c:pt idx="26">
                  <c:v>0.1929078968333707</c:v>
                </c:pt>
                <c:pt idx="27">
                  <c:v>0.34470041039913302</c:v>
                </c:pt>
                <c:pt idx="28">
                  <c:v>0.18096307275326762</c:v>
                </c:pt>
                <c:pt idx="29">
                  <c:v>0.27383133330379711</c:v>
                </c:pt>
                <c:pt idx="30">
                  <c:v>0.14915883116767822</c:v>
                </c:pt>
                <c:pt idx="31">
                  <c:v>0.32508920920759299</c:v>
                </c:pt>
                <c:pt idx="32">
                  <c:v>0.48004344471948085</c:v>
                </c:pt>
                <c:pt idx="33">
                  <c:v>0.23052107777700281</c:v>
                </c:pt>
                <c:pt idx="36">
                  <c:v>0.32639361616518742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79-5A43-854C-C56F86DACF26}"/>
            </c:ext>
          </c:extLst>
        </c:ser>
        <c:ser>
          <c:idx val="5"/>
          <c:order val="6"/>
          <c:tx>
            <c:v>Innviertel 2</c:v>
          </c:tx>
          <c:spPr>
            <a:ln w="28575">
              <a:noFill/>
            </a:ln>
          </c:spPr>
          <c:marker>
            <c:symbol val="triang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Graphs!$CA$4:$CA$113</c:f>
              <c:numCache>
                <c:formatCode>0,000,000</c:formatCode>
                <c:ptCount val="110"/>
                <c:pt idx="2">
                  <c:v>0.89712924403423855</c:v>
                </c:pt>
                <c:pt idx="4">
                  <c:v>0.95594812150490416</c:v>
                </c:pt>
                <c:pt idx="11">
                  <c:v>0.51253760724999076</c:v>
                </c:pt>
              </c:numCache>
            </c:numRef>
          </c:xVal>
          <c:yVal>
            <c:numRef>
              <c:f>Graphs!$BX$4:$BX$113</c:f>
              <c:numCache>
                <c:formatCode>0,000,000</c:formatCode>
                <c:ptCount val="110"/>
                <c:pt idx="0">
                  <c:v>0.20056273395299884</c:v>
                </c:pt>
                <c:pt idx="1">
                  <c:v>0.49963462242197942</c:v>
                </c:pt>
                <c:pt idx="2">
                  <c:v>0.73681806969790031</c:v>
                </c:pt>
                <c:pt idx="3">
                  <c:v>0.76890623862353236</c:v>
                </c:pt>
                <c:pt idx="4">
                  <c:v>0.64083025484727485</c:v>
                </c:pt>
                <c:pt idx="5">
                  <c:v>0.65476201715850424</c:v>
                </c:pt>
                <c:pt idx="6">
                  <c:v>0.68340584486240863</c:v>
                </c:pt>
                <c:pt idx="8">
                  <c:v>0.17202752259266649</c:v>
                </c:pt>
                <c:pt idx="9">
                  <c:v>0.63744340078180761</c:v>
                </c:pt>
                <c:pt idx="10">
                  <c:v>0.59444199305073986</c:v>
                </c:pt>
                <c:pt idx="11">
                  <c:v>0.67854361904974747</c:v>
                </c:pt>
                <c:pt idx="12">
                  <c:v>0.65543777958215765</c:v>
                </c:pt>
                <c:pt idx="13">
                  <c:v>0.18673085390535163</c:v>
                </c:pt>
                <c:pt idx="14">
                  <c:v>0.25486736759094353</c:v>
                </c:pt>
                <c:pt idx="15">
                  <c:v>9.7571286351760836E-2</c:v>
                </c:pt>
                <c:pt idx="16">
                  <c:v>0.3028285433103432</c:v>
                </c:pt>
                <c:pt idx="17">
                  <c:v>0.11292992872045252</c:v>
                </c:pt>
                <c:pt idx="18">
                  <c:v>0.27389843303961003</c:v>
                </c:pt>
                <c:pt idx="19">
                  <c:v>0.83603367580772658</c:v>
                </c:pt>
                <c:pt idx="20">
                  <c:v>0.84787425519196036</c:v>
                </c:pt>
                <c:pt idx="21">
                  <c:v>0.73610587919136483</c:v>
                </c:pt>
                <c:pt idx="22">
                  <c:v>0.33703490168711914</c:v>
                </c:pt>
                <c:pt idx="23">
                  <c:v>0.41084170076887538</c:v>
                </c:pt>
                <c:pt idx="24">
                  <c:v>0.43740439177119439</c:v>
                </c:pt>
                <c:pt idx="25">
                  <c:v>0.22442107313266366</c:v>
                </c:pt>
                <c:pt idx="26">
                  <c:v>0.1929078968333707</c:v>
                </c:pt>
                <c:pt idx="27">
                  <c:v>0.34470041039913302</c:v>
                </c:pt>
                <c:pt idx="28">
                  <c:v>0.18096307275326762</c:v>
                </c:pt>
                <c:pt idx="29">
                  <c:v>0.27383133330379711</c:v>
                </c:pt>
                <c:pt idx="30">
                  <c:v>0.14915883116767822</c:v>
                </c:pt>
                <c:pt idx="31">
                  <c:v>0.32508920920759299</c:v>
                </c:pt>
                <c:pt idx="32">
                  <c:v>0.48004344471948085</c:v>
                </c:pt>
                <c:pt idx="33">
                  <c:v>0.23052107777700281</c:v>
                </c:pt>
                <c:pt idx="36">
                  <c:v>0.32639361616518742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B79-5A43-854C-C56F86DACF26}"/>
            </c:ext>
          </c:extLst>
        </c:ser>
        <c:ser>
          <c:idx val="7"/>
          <c:order val="7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</c:spPr>
          </c:marker>
          <c:xVal>
            <c:numRef>
              <c:f>Graphs!$CC$4:$CC$113</c:f>
              <c:numCache>
                <c:formatCode>0,000,000</c:formatCode>
                <c:ptCount val="110"/>
                <c:pt idx="22">
                  <c:v>0.44729483545855675</c:v>
                </c:pt>
                <c:pt idx="23">
                  <c:v>0.29382517222928983</c:v>
                </c:pt>
              </c:numCache>
            </c:numRef>
          </c:xVal>
          <c:yVal>
            <c:numRef>
              <c:f>Graphs!$BX$4:$BX$113</c:f>
              <c:numCache>
                <c:formatCode>0,000,000</c:formatCode>
                <c:ptCount val="110"/>
                <c:pt idx="0">
                  <c:v>0.20056273395299884</c:v>
                </c:pt>
                <c:pt idx="1">
                  <c:v>0.49963462242197942</c:v>
                </c:pt>
                <c:pt idx="2">
                  <c:v>0.73681806969790031</c:v>
                </c:pt>
                <c:pt idx="3">
                  <c:v>0.76890623862353236</c:v>
                </c:pt>
                <c:pt idx="4">
                  <c:v>0.64083025484727485</c:v>
                </c:pt>
                <c:pt idx="5">
                  <c:v>0.65476201715850424</c:v>
                </c:pt>
                <c:pt idx="6">
                  <c:v>0.68340584486240863</c:v>
                </c:pt>
                <c:pt idx="8">
                  <c:v>0.17202752259266649</c:v>
                </c:pt>
                <c:pt idx="9">
                  <c:v>0.63744340078180761</c:v>
                </c:pt>
                <c:pt idx="10">
                  <c:v>0.59444199305073986</c:v>
                </c:pt>
                <c:pt idx="11">
                  <c:v>0.67854361904974747</c:v>
                </c:pt>
                <c:pt idx="12">
                  <c:v>0.65543777958215765</c:v>
                </c:pt>
                <c:pt idx="13">
                  <c:v>0.18673085390535163</c:v>
                </c:pt>
                <c:pt idx="14">
                  <c:v>0.25486736759094353</c:v>
                </c:pt>
                <c:pt idx="15">
                  <c:v>9.7571286351760836E-2</c:v>
                </c:pt>
                <c:pt idx="16">
                  <c:v>0.3028285433103432</c:v>
                </c:pt>
                <c:pt idx="17">
                  <c:v>0.11292992872045252</c:v>
                </c:pt>
                <c:pt idx="18">
                  <c:v>0.27389843303961003</c:v>
                </c:pt>
                <c:pt idx="19">
                  <c:v>0.83603367580772658</c:v>
                </c:pt>
                <c:pt idx="20">
                  <c:v>0.84787425519196036</c:v>
                </c:pt>
                <c:pt idx="21">
                  <c:v>0.73610587919136483</c:v>
                </c:pt>
                <c:pt idx="22">
                  <c:v>0.33703490168711914</c:v>
                </c:pt>
                <c:pt idx="23">
                  <c:v>0.41084170076887538</c:v>
                </c:pt>
                <c:pt idx="24">
                  <c:v>0.43740439177119439</c:v>
                </c:pt>
                <c:pt idx="25">
                  <c:v>0.22442107313266366</c:v>
                </c:pt>
                <c:pt idx="26">
                  <c:v>0.1929078968333707</c:v>
                </c:pt>
                <c:pt idx="27">
                  <c:v>0.34470041039913302</c:v>
                </c:pt>
                <c:pt idx="28">
                  <c:v>0.18096307275326762</c:v>
                </c:pt>
                <c:pt idx="29">
                  <c:v>0.27383133330379711</c:v>
                </c:pt>
                <c:pt idx="30">
                  <c:v>0.14915883116767822</c:v>
                </c:pt>
                <c:pt idx="31">
                  <c:v>0.32508920920759299</c:v>
                </c:pt>
                <c:pt idx="32">
                  <c:v>0.48004344471948085</c:v>
                </c:pt>
                <c:pt idx="33">
                  <c:v>0.23052107777700281</c:v>
                </c:pt>
                <c:pt idx="36">
                  <c:v>0.32639361616518742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B79-5A43-854C-C56F86DACF26}"/>
            </c:ext>
          </c:extLst>
        </c:ser>
        <c:ser>
          <c:idx val="6"/>
          <c:order val="8"/>
          <c:tx>
            <c:v>Mühlvietel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</c:spPr>
          </c:marker>
          <c:dPt>
            <c:idx val="7"/>
            <c:marker>
              <c:spPr>
                <a:solidFill>
                  <a:srgbClr val="00B050"/>
                </a:solidFill>
                <a:ln>
                  <a:solidFill>
                    <a:srgbClr val="00B05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B79-5A43-854C-C56F86DACF26}"/>
              </c:ext>
            </c:extLst>
          </c:dPt>
          <c:xVal>
            <c:numRef>
              <c:f>Graphs!$CB$4:$CB$113</c:f>
              <c:numCache>
                <c:formatCode>0,000,000</c:formatCode>
                <c:ptCount val="110"/>
              </c:numCache>
            </c:numRef>
          </c:xVal>
          <c:yVal>
            <c:numRef>
              <c:f>Graphs!$BX$4:$BX$113</c:f>
              <c:numCache>
                <c:formatCode>0,000,000</c:formatCode>
                <c:ptCount val="110"/>
                <c:pt idx="0">
                  <c:v>0.20056273395299884</c:v>
                </c:pt>
                <c:pt idx="1">
                  <c:v>0.49963462242197942</c:v>
                </c:pt>
                <c:pt idx="2">
                  <c:v>0.73681806969790031</c:v>
                </c:pt>
                <c:pt idx="3">
                  <c:v>0.76890623862353236</c:v>
                </c:pt>
                <c:pt idx="4">
                  <c:v>0.64083025484727485</c:v>
                </c:pt>
                <c:pt idx="5">
                  <c:v>0.65476201715850424</c:v>
                </c:pt>
                <c:pt idx="6">
                  <c:v>0.68340584486240863</c:v>
                </c:pt>
                <c:pt idx="8">
                  <c:v>0.17202752259266649</c:v>
                </c:pt>
                <c:pt idx="9">
                  <c:v>0.63744340078180761</c:v>
                </c:pt>
                <c:pt idx="10">
                  <c:v>0.59444199305073986</c:v>
                </c:pt>
                <c:pt idx="11">
                  <c:v>0.67854361904974747</c:v>
                </c:pt>
                <c:pt idx="12">
                  <c:v>0.65543777958215765</c:v>
                </c:pt>
                <c:pt idx="13">
                  <c:v>0.18673085390535163</c:v>
                </c:pt>
                <c:pt idx="14">
                  <c:v>0.25486736759094353</c:v>
                </c:pt>
                <c:pt idx="15">
                  <c:v>9.7571286351760836E-2</c:v>
                </c:pt>
                <c:pt idx="16">
                  <c:v>0.3028285433103432</c:v>
                </c:pt>
                <c:pt idx="17">
                  <c:v>0.11292992872045252</c:v>
                </c:pt>
                <c:pt idx="18">
                  <c:v>0.27389843303961003</c:v>
                </c:pt>
                <c:pt idx="19">
                  <c:v>0.83603367580772658</c:v>
                </c:pt>
                <c:pt idx="20">
                  <c:v>0.84787425519196036</c:v>
                </c:pt>
                <c:pt idx="21">
                  <c:v>0.73610587919136483</c:v>
                </c:pt>
                <c:pt idx="22">
                  <c:v>0.33703490168711914</c:v>
                </c:pt>
                <c:pt idx="23">
                  <c:v>0.41084170076887538</c:v>
                </c:pt>
                <c:pt idx="24">
                  <c:v>0.43740439177119439</c:v>
                </c:pt>
                <c:pt idx="25">
                  <c:v>0.22442107313266366</c:v>
                </c:pt>
                <c:pt idx="26">
                  <c:v>0.1929078968333707</c:v>
                </c:pt>
                <c:pt idx="27">
                  <c:v>0.34470041039913302</c:v>
                </c:pt>
                <c:pt idx="28">
                  <c:v>0.18096307275326762</c:v>
                </c:pt>
                <c:pt idx="29">
                  <c:v>0.27383133330379711</c:v>
                </c:pt>
                <c:pt idx="30">
                  <c:v>0.14915883116767822</c:v>
                </c:pt>
                <c:pt idx="31">
                  <c:v>0.32508920920759299</c:v>
                </c:pt>
                <c:pt idx="32">
                  <c:v>0.48004344471948085</c:v>
                </c:pt>
                <c:pt idx="33">
                  <c:v>0.23052107777700281</c:v>
                </c:pt>
                <c:pt idx="36">
                  <c:v>0.32639361616518742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B79-5A43-854C-C56F86DAC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60352"/>
        <c:axId val="144678912"/>
      </c:scatterChart>
      <c:valAx>
        <c:axId val="144660352"/>
        <c:scaling>
          <c:orientation val="minMax"/>
          <c:max val="1.2"/>
          <c:min val="0"/>
        </c:scaling>
        <c:delete val="0"/>
        <c:axPos val="b"/>
        <c:majorGridlines>
          <c:spPr>
            <a:ln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beobachtete</a:t>
                </a:r>
                <a:r>
                  <a:rPr lang="de-DE" baseline="0"/>
                  <a:t> </a:t>
                </a:r>
                <a:r>
                  <a:rPr lang="de-DE"/>
                  <a:t>TP-Fracht [kg P/(ha.a)]</a:t>
                </a:r>
              </a:p>
            </c:rich>
          </c:tx>
          <c:layout>
            <c:manualLayout>
              <c:xMode val="edge"/>
              <c:yMode val="edge"/>
              <c:x val="0.20620986206511421"/>
              <c:y val="0.9131475778642423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678912"/>
        <c:crossesAt val="0"/>
        <c:crossBetween val="midCat"/>
        <c:majorUnit val="0.2"/>
      </c:valAx>
      <c:valAx>
        <c:axId val="144678912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modellierte TP-Fracht [kg P/(ha.a)]    </a:t>
                </a:r>
                <a:r>
                  <a:rPr lang="de-DE" sz="1400" b="0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 k</a:t>
                </a: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2.5761124121779874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660352"/>
        <c:crossesAt val="0"/>
        <c:crossBetween val="midCat"/>
        <c:majorUnit val="0.2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</c:spPr>
    </c:plotArea>
    <c:legend>
      <c:legendPos val="l"/>
      <c:legendEntry>
        <c:idx val="0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8723404255319145"/>
          <c:y val="0.58704309502295815"/>
          <c:w val="0.36686837549561641"/>
          <c:h val="0.2492147497956198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333363172791616E-2"/>
          <c:y val="0.10588235294117651"/>
          <c:w val="0.57000092773588495"/>
          <c:h val="0.80470588235294149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5F2-1642-A84A-5A288B40DF73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5F2-1642-A84A-5A288B40DF73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5F2-1642-A84A-5A288B40DF73}"/>
              </c:ext>
            </c:extLst>
          </c:dPt>
          <c:dPt>
            <c:idx val="3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5F2-1642-A84A-5A288B40DF73}"/>
              </c:ext>
            </c:extLst>
          </c:dPt>
          <c:dPt>
            <c:idx val="4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5F2-1642-A84A-5A288B40DF73}"/>
              </c:ext>
            </c:extLst>
          </c:dPt>
          <c:dPt>
            <c:idx val="5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95F2-1642-A84A-5A288B40DF73}"/>
              </c:ext>
            </c:extLst>
          </c:dPt>
          <c:dPt>
            <c:idx val="6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95F2-1642-A84A-5A288B40DF73}"/>
              </c:ext>
            </c:extLst>
          </c:dPt>
          <c:dLbls>
            <c:dLbl>
              <c:idx val="0"/>
              <c:layout>
                <c:manualLayout>
                  <c:x val="7.3365603876297023E-2"/>
                  <c:y val="-4.0230971128609001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F2-1642-A84A-5A288B40DF73}"/>
                </c:ext>
              </c:extLst>
            </c:dLbl>
            <c:dLbl>
              <c:idx val="2"/>
              <c:layout>
                <c:manualLayout>
                  <c:x val="-1.1363079615048123E-2"/>
                  <c:y val="-1.401191909834803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F2-1642-A84A-5A288B40DF73}"/>
                </c:ext>
              </c:extLst>
            </c:dLbl>
            <c:dLbl>
              <c:idx val="3"/>
              <c:layout>
                <c:manualLayout>
                  <c:x val="3.8138232720909908E-3"/>
                  <c:y val="5.7597282692604598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F2-1642-A84A-5A288B40DF73}"/>
                </c:ext>
              </c:extLst>
            </c:dLbl>
            <c:dLbl>
              <c:idx val="4"/>
              <c:layout>
                <c:manualLayout>
                  <c:x val="1.7220297462817159E-2"/>
                  <c:y val="-1.101621120889300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5F2-1642-A84A-5A288B40DF73}"/>
                </c:ext>
              </c:extLst>
            </c:dLbl>
            <c:dLbl>
              <c:idx val="5"/>
              <c:layout>
                <c:manualLayout>
                  <c:x val="-6.1619520249377488E-2"/>
                  <c:y val="2.5611857341361812E-3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F2-1642-A84A-5A288B40DF73}"/>
                </c:ext>
              </c:extLst>
            </c:dLbl>
            <c:dLbl>
              <c:idx val="6"/>
              <c:layout>
                <c:manualLayout>
                  <c:x val="9.542166311948784E-3"/>
                  <c:y val="-4.263949359271270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5F2-1642-A84A-5A288B40DF73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('Graphs de'!$AT$1:$AV$1,'Graphs de'!$AY$1:$BB$1)</c:f>
              <c:strCache>
                <c:ptCount val="7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Drainage</c:v>
                </c:pt>
                <c:pt idx="4">
                  <c:v>Grundwasser</c:v>
                </c:pt>
                <c:pt idx="5">
                  <c:v>Regenkanalisation</c:v>
                </c:pt>
                <c:pt idx="6">
                  <c:v>Mischwasserentlastung</c:v>
                </c:pt>
              </c:strCache>
            </c:strRef>
          </c:cat>
          <c:val>
            <c:numRef>
              <c:f>('Local emissions'!$F$90:$K$90,'Local emissions'!$O$90)</c:f>
              <c:numCache>
                <c:formatCode>0,000</c:formatCode>
                <c:ptCount val="7"/>
                <c:pt idx="0">
                  <c:v>4.6547405046542405</c:v>
                </c:pt>
                <c:pt idx="1">
                  <c:v>62.333393694874566</c:v>
                </c:pt>
                <c:pt idx="2">
                  <c:v>0.93532911575389632</c:v>
                </c:pt>
                <c:pt idx="3">
                  <c:v>2.2513436761178887</c:v>
                </c:pt>
                <c:pt idx="4">
                  <c:v>210.78463609818715</c:v>
                </c:pt>
                <c:pt idx="5">
                  <c:v>0.80929550054673571</c:v>
                </c:pt>
                <c:pt idx="6">
                  <c:v>5.4860596206804217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F2-1642-A84A-5A288B40D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833438320209971"/>
          <c:y val="0.12470588235294119"/>
          <c:w val="0.31166719160105"/>
          <c:h val="0.77176470588235258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66448445171896E-2"/>
          <c:y val="9.1981238001683632E-2"/>
          <c:w val="0.56628477905073649"/>
          <c:h val="0.81603867560468102"/>
        </c:manualLayout>
      </c:layout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BA8-B744-A2C1-BC10ECF0054E}"/>
              </c:ext>
            </c:extLst>
          </c:dPt>
          <c:dPt>
            <c:idx val="1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BA8-B744-A2C1-BC10ECF0054E}"/>
              </c:ext>
            </c:extLst>
          </c:dPt>
          <c:dLbls>
            <c:dLbl>
              <c:idx val="0"/>
              <c:layout>
                <c:manualLayout>
                  <c:x val="-2.6629895485650256E-3"/>
                  <c:y val="2.24897241618382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A8-B744-A2C1-BC10ECF0054E}"/>
                </c:ext>
              </c:extLst>
            </c:dLbl>
            <c:dLbl>
              <c:idx val="1"/>
              <c:layout>
                <c:manualLayout>
                  <c:x val="4.0250696977116836E-3"/>
                  <c:y val="-2.481726340811174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A8-B744-A2C1-BC10ECF0054E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de'!$AW$1:$AX$1</c:f>
              <c:strCache>
                <c:ptCount val="2"/>
                <c:pt idx="0">
                  <c:v>Erosion von lw Flächen</c:v>
                </c:pt>
                <c:pt idx="1">
                  <c:v>Erosion von Wald und offenen Flächen</c:v>
                </c:pt>
              </c:strCache>
            </c:strRef>
          </c:cat>
          <c:val>
            <c:numRef>
              <c:f>'Local emissions'!$P$90:$Q$90</c:f>
              <c:numCache>
                <c:formatCode>0,000</c:formatCode>
                <c:ptCount val="2"/>
                <c:pt idx="0">
                  <c:v>115461.80804789638</c:v>
                </c:pt>
                <c:pt idx="1">
                  <c:v>125194.30480036624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A8-B744-A2C1-BC10ECF00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448445171849468"/>
          <c:y val="0.34905709899470128"/>
          <c:w val="0.30605564648117828"/>
          <c:h val="0.20990590798791667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0021505516125E-2"/>
          <c:y val="0.12705882352941175"/>
          <c:w val="0.52412688173265987"/>
          <c:h val="0.7411764705882356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DD4-EA46-8D5B-BA83FA708677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DD4-EA46-8D5B-BA83FA708677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DD4-EA46-8D5B-BA83FA708677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DD4-EA46-8D5B-BA83FA708677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DD4-EA46-8D5B-BA83FA708677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DD4-EA46-8D5B-BA83FA708677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DD4-EA46-8D5B-BA83FA708677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7DD4-EA46-8D5B-BA83FA708677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7DD4-EA46-8D5B-BA83FA708677}"/>
              </c:ext>
            </c:extLst>
          </c:dPt>
          <c:dPt>
            <c:idx val="9"/>
            <c:bubble3D val="0"/>
            <c:spPr>
              <a:solidFill>
                <a:srgbClr val="FF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7DD4-EA46-8D5B-BA83FA708677}"/>
              </c:ext>
            </c:extLst>
          </c:dPt>
          <c:dPt>
            <c:idx val="1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7DD4-EA46-8D5B-BA83FA708677}"/>
              </c:ext>
            </c:extLst>
          </c:dPt>
          <c:dLbls>
            <c:dLbl>
              <c:idx val="0"/>
              <c:layout>
                <c:manualLayout>
                  <c:x val="-6.6509527250171296E-3"/>
                  <c:y val="-9.490566620348932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D4-EA46-8D5B-BA83FA708677}"/>
                </c:ext>
              </c:extLst>
            </c:dLbl>
            <c:dLbl>
              <c:idx val="1"/>
              <c:layout>
                <c:manualLayout>
                  <c:x val="-4.4942587333475642E-2"/>
                  <c:y val="-2.621485255519532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D4-EA46-8D5B-BA83FA708677}"/>
                </c:ext>
              </c:extLst>
            </c:dLbl>
            <c:dLbl>
              <c:idx val="2"/>
              <c:layout>
                <c:manualLayout>
                  <c:x val="-1.9906455120730551E-2"/>
                  <c:y val="-0.1110808090165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D4-EA46-8D5B-BA83FA708677}"/>
                </c:ext>
              </c:extLst>
            </c:dLbl>
            <c:dLbl>
              <c:idx val="3"/>
              <c:layout>
                <c:manualLayout>
                  <c:x val="2.1475493599905766E-2"/>
                  <c:y val="-5.66452369924347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D4-EA46-8D5B-BA83FA708677}"/>
                </c:ext>
              </c:extLst>
            </c:dLbl>
            <c:dLbl>
              <c:idx val="4"/>
              <c:layout>
                <c:manualLayout>
                  <c:x val="2.1269188273262941E-2"/>
                  <c:y val="2.21845916319283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D4-EA46-8D5B-BA83FA708677}"/>
                </c:ext>
              </c:extLst>
            </c:dLbl>
            <c:dLbl>
              <c:idx val="5"/>
              <c:layout>
                <c:manualLayout>
                  <c:x val="9.4465479668618853E-3"/>
                  <c:y val="6.62830322680252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D4-EA46-8D5B-BA83FA708677}"/>
                </c:ext>
              </c:extLst>
            </c:dLbl>
            <c:dLbl>
              <c:idx val="6"/>
              <c:layout>
                <c:manualLayout>
                  <c:x val="-9.2361359201267954E-3"/>
                  <c:y val="-5.0623436776286238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D4-EA46-8D5B-BA83FA708677}"/>
                </c:ext>
              </c:extLst>
            </c:dLbl>
            <c:dLbl>
              <c:idx val="7"/>
              <c:layout>
                <c:manualLayout>
                  <c:x val="1.4032605325332672E-3"/>
                  <c:y val="4.895229272811487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D4-EA46-8D5B-BA83FA708677}"/>
                </c:ext>
              </c:extLst>
            </c:dLbl>
            <c:dLbl>
              <c:idx val="8"/>
              <c:layout>
                <c:manualLayout>
                  <c:x val="3.5016879129709474E-3"/>
                  <c:y val="-9.499706654315280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D4-EA46-8D5B-BA83FA708677}"/>
                </c:ext>
              </c:extLst>
            </c:dLbl>
            <c:dLbl>
              <c:idx val="9"/>
              <c:layout>
                <c:manualLayout>
                  <c:x val="2.1976757896943415E-2"/>
                  <c:y val="-8.121809479697390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D4-EA46-8D5B-BA83FA708677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de'!$AT$1:$BD$1</c:f>
              <c:strCache>
                <c:ptCount val="11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  <c:pt idx="9">
                  <c:v>Bevölkerung ohne Kanalisation</c:v>
                </c:pt>
                <c:pt idx="10">
                  <c:v>Punktquellen</c:v>
                </c:pt>
              </c:strCache>
            </c:strRef>
          </c:cat>
          <c:val>
            <c:numRef>
              <c:f>('Local emissions'!$S$90:$AB$90,'Local emissions'!$AD$90)</c:f>
              <c:numCache>
                <c:formatCode>0,000</c:formatCode>
                <c:ptCount val="11"/>
                <c:pt idx="0">
                  <c:v>390.300207498384</c:v>
                </c:pt>
                <c:pt idx="1">
                  <c:v>2422.3154377528299</c:v>
                </c:pt>
                <c:pt idx="2">
                  <c:v>21.748232058566416</c:v>
                </c:pt>
                <c:pt idx="3">
                  <c:v>474.1724062023643</c:v>
                </c:pt>
                <c:pt idx="4">
                  <c:v>3.1298576200091559</c:v>
                </c:pt>
                <c:pt idx="5">
                  <c:v>827.1553605621267</c:v>
                </c:pt>
                <c:pt idx="6">
                  <c:v>11388.191591876464</c:v>
                </c:pt>
                <c:pt idx="7">
                  <c:v>62.350194802651394</c:v>
                </c:pt>
                <c:pt idx="8">
                  <c:v>237.23756836122297</c:v>
                </c:pt>
                <c:pt idx="9">
                  <c:v>81.870818038721737</c:v>
                </c:pt>
                <c:pt idx="10">
                  <c:v>3059.6327756946671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DD4-EA46-8D5B-BA83FA708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387739594114804"/>
          <c:y val="0.10588235294117651"/>
          <c:w val="0.31114826120944578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53A-1A4E-9C7C-1DADD38E63E6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53A-1A4E-9C7C-1DADD38E63E6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53A-1A4E-9C7C-1DADD38E63E6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53A-1A4E-9C7C-1DADD38E63E6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653A-1A4E-9C7C-1DADD38E63E6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53A-1A4E-9C7C-1DADD38E63E6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653A-1A4E-9C7C-1DADD38E63E6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653A-1A4E-9C7C-1DADD38E63E6}"/>
              </c:ext>
            </c:extLst>
          </c:dPt>
          <c:dPt>
            <c:idx val="8"/>
            <c:bubble3D val="0"/>
            <c:spPr>
              <a:solidFill>
                <a:srgbClr val="FF757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653A-1A4E-9C7C-1DADD38E63E6}"/>
              </c:ext>
            </c:extLst>
          </c:dPt>
          <c:dPt>
            <c:idx val="9"/>
            <c:bubble3D val="0"/>
            <c:spPr>
              <a:solidFill>
                <a:srgbClr val="FF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653A-1A4E-9C7C-1DADD38E63E6}"/>
              </c:ext>
            </c:extLst>
          </c:dPt>
          <c:dPt>
            <c:idx val="10"/>
            <c:bubble3D val="0"/>
            <c:spPr>
              <a:solidFill>
                <a:srgbClr val="E6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653A-1A4E-9C7C-1DADD38E63E6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3A-1A4E-9C7C-1DADD38E63E6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3A-1A4E-9C7C-1DADD38E63E6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3A-1A4E-9C7C-1DADD38E63E6}"/>
                </c:ext>
              </c:extLst>
            </c:dLbl>
            <c:dLbl>
              <c:idx val="3"/>
              <c:layout>
                <c:manualLayout>
                  <c:x val="-0.15310517557854281"/>
                  <c:y val="1.204360043229890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3A-1A4E-9C7C-1DADD38E63E6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3A-1A4E-9C7C-1DADD38E63E6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3A-1A4E-9C7C-1DADD38E63E6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53A-1A4E-9C7C-1DADD38E63E6}"/>
                </c:ext>
              </c:extLst>
            </c:dLbl>
            <c:dLbl>
              <c:idx val="7"/>
              <c:layout>
                <c:manualLayout>
                  <c:x val="2.1786492374727671E-3"/>
                  <c:y val="-1.2820750347383053E-4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53A-1A4E-9C7C-1DADD38E63E6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de'!$AT$1:$BD$1</c:f>
              <c:strCache>
                <c:ptCount val="11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  <c:pt idx="9">
                  <c:v>Bevölkerung ohne Kanalisation</c:v>
                </c:pt>
                <c:pt idx="10">
                  <c:v>Punktquellen</c:v>
                </c:pt>
              </c:strCache>
            </c:strRef>
          </c:cat>
          <c:val>
            <c:numRef>
              <c:f>('Local emissions'!$AF$90:$AO$90,'Local emissions'!$AQ$90)</c:f>
              <c:numCache>
                <c:formatCode>0,000</c:formatCode>
                <c:ptCount val="11"/>
                <c:pt idx="0">
                  <c:v>8.5529640888317378</c:v>
                </c:pt>
                <c:pt idx="1">
                  <c:v>48.469031421151222</c:v>
                </c:pt>
                <c:pt idx="2">
                  <c:v>0.17859468188438588</c:v>
                </c:pt>
                <c:pt idx="3">
                  <c:v>285.94825568484214</c:v>
                </c:pt>
                <c:pt idx="4">
                  <c:v>59.122003958615679</c:v>
                </c:pt>
                <c:pt idx="5">
                  <c:v>9.6846447518065446</c:v>
                </c:pt>
                <c:pt idx="6">
                  <c:v>144.43997245806815</c:v>
                </c:pt>
                <c:pt idx="7">
                  <c:v>14.667634124093656</c:v>
                </c:pt>
                <c:pt idx="8">
                  <c:v>42.563633195845554</c:v>
                </c:pt>
                <c:pt idx="9">
                  <c:v>12.763842646446768</c:v>
                </c:pt>
                <c:pt idx="10">
                  <c:v>148.24607416333333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53A-1A4E-9C7C-1DADD38E6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7734307721338773"/>
          <c:y val="0.10588235294117651"/>
          <c:w val="0.40795258435832782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00017903674973"/>
          <c:y val="6.1176470588235304E-2"/>
          <c:w val="0.86666807725924067"/>
          <c:h val="0.649411764705882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74A-F84C-BD70-D496B5CEADD6}"/>
              </c:ext>
            </c:extLst>
          </c:dPt>
          <c:dPt>
            <c:idx val="2"/>
            <c:invertIfNegative val="0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74A-F84C-BD70-D496B5CEADD6}"/>
              </c:ext>
            </c:extLst>
          </c:dPt>
          <c:dPt>
            <c:idx val="3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74A-F84C-BD70-D496B5CEADD6}"/>
              </c:ext>
            </c:extLst>
          </c:dPt>
          <c:dPt>
            <c:idx val="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74A-F84C-BD70-D496B5CEADD6}"/>
              </c:ext>
            </c:extLst>
          </c:dPt>
          <c:dPt>
            <c:idx val="5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74A-F84C-BD70-D496B5CEADD6}"/>
              </c:ext>
            </c:extLst>
          </c:dPt>
          <c:dPt>
            <c:idx val="6"/>
            <c:invertIfNegative val="0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74A-F84C-BD70-D496B5CEADD6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('Graphs de'!$AT$1:$AV$1,'Graphs de'!$AY$1:$BB$1)</c:f>
              <c:strCache>
                <c:ptCount val="7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Drainage</c:v>
                </c:pt>
                <c:pt idx="4">
                  <c:v>Grundwasser</c:v>
                </c:pt>
                <c:pt idx="5">
                  <c:v>Regenkanalisation</c:v>
                </c:pt>
                <c:pt idx="6">
                  <c:v>Mischwasserentlastung</c:v>
                </c:pt>
              </c:strCache>
            </c:strRef>
          </c:cat>
          <c:val>
            <c:numRef>
              <c:f>('Local emissions'!$AS$90:$AX$90,'Local emissions'!$BB$90)</c:f>
              <c:numCache>
                <c:formatCode>0,000</c:formatCode>
                <c:ptCount val="7"/>
                <c:pt idx="0">
                  <c:v>11.739871734588542</c:v>
                </c:pt>
                <c:pt idx="1">
                  <c:v>157.21307042309448</c:v>
                </c:pt>
                <c:pt idx="2">
                  <c:v>2.3590238462482276</c:v>
                </c:pt>
                <c:pt idx="3">
                  <c:v>5.6781867779038198</c:v>
                </c:pt>
                <c:pt idx="4">
                  <c:v>531.62675533476465</c:v>
                </c:pt>
                <c:pt idx="5">
                  <c:v>2.0411503847095886</c:v>
                </c:pt>
                <c:pt idx="6">
                  <c:v>13.836568592963431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4A-F84C-BD70-D496B5CEA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95744"/>
        <c:axId val="140897280"/>
      </c:barChart>
      <c:catAx>
        <c:axId val="14089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9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0897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Runoff [mm/a]</a:t>
                </a:r>
              </a:p>
            </c:rich>
          </c:tx>
          <c:layout>
            <c:manualLayout>
              <c:xMode val="edge"/>
              <c:yMode val="edge"/>
              <c:x val="8.3333333333333367E-3"/>
              <c:y val="0.268235294117647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95744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19680791880763"/>
          <c:y val="6.1033003761837408E-2"/>
          <c:w val="0.86885315449951583"/>
          <c:h val="0.821598127563196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A04-6643-B9D2-75F6B450E726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'Graphs de'!$AW$1:$AX$1</c:f>
              <c:strCache>
                <c:ptCount val="2"/>
                <c:pt idx="0">
                  <c:v>Erosion von lw Flächen</c:v>
                </c:pt>
                <c:pt idx="1">
                  <c:v>Erosion von Wald und offenen Flächen</c:v>
                </c:pt>
              </c:strCache>
            </c:strRef>
          </c:cat>
          <c:val>
            <c:numRef>
              <c:f>'Local emissions'!$BD$90:$BE$90</c:f>
              <c:numCache>
                <c:formatCode>0,000</c:formatCode>
                <c:ptCount val="2"/>
                <c:pt idx="0">
                  <c:v>92.342073952302428</c:v>
                </c:pt>
                <c:pt idx="1">
                  <c:v>100.12576407505109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04-6643-B9D2-75F6B450E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124352"/>
        <c:axId val="145130240"/>
      </c:barChart>
      <c:catAx>
        <c:axId val="14512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30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130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Sediment yield [t/ha/a]</a:t>
                </a:r>
              </a:p>
            </c:rich>
          </c:tx>
          <c:layout>
            <c:manualLayout>
              <c:xMode val="edge"/>
              <c:yMode val="edge"/>
              <c:x val="8.1967213114754103E-3"/>
              <c:y val="0.286385715870023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24352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58471760797342"/>
          <c:y val="0.11502373785884742"/>
          <c:w val="0.83720930232558211"/>
          <c:h val="0.553991880299755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609-BB49-8F34-68C9857023B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609-BB49-8F34-68C9857023B5}"/>
              </c:ext>
            </c:extLst>
          </c:dPt>
          <c:dPt>
            <c:idx val="2"/>
            <c:invertIfNegative val="0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E609-BB49-8F34-68C9857023B5}"/>
              </c:ext>
            </c:extLst>
          </c:dPt>
          <c:dPt>
            <c:idx val="3"/>
            <c:invertIfNegative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E609-BB49-8F34-68C9857023B5}"/>
              </c:ext>
            </c:extLst>
          </c:dPt>
          <c:dPt>
            <c:idx val="4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E609-BB49-8F34-68C9857023B5}"/>
              </c:ext>
            </c:extLst>
          </c:dPt>
          <c:dPt>
            <c:idx val="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E609-BB49-8F34-68C9857023B5}"/>
              </c:ext>
            </c:extLst>
          </c:dPt>
          <c:dPt>
            <c:idx val="6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E609-BB49-8F34-68C9857023B5}"/>
              </c:ext>
            </c:extLst>
          </c:dPt>
          <c:dPt>
            <c:idx val="7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E609-BB49-8F34-68C9857023B5}"/>
              </c:ext>
            </c:extLst>
          </c:dPt>
          <c:dPt>
            <c:idx val="8"/>
            <c:invertIfNegative val="0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E609-BB49-8F34-68C9857023B5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'Graphs de'!$AT$1:$BB$1</c:f>
              <c:strCache>
                <c:ptCount val="9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</c:strCache>
            </c:strRef>
          </c:cat>
          <c:val>
            <c:numRef>
              <c:f>('Local emissions'!$BG$90:$BN$90,'Local emissions'!$BR$90)</c:f>
              <c:numCache>
                <c:formatCode>0,000</c:formatCode>
                <c:ptCount val="9"/>
                <c:pt idx="0">
                  <c:v>312.14763768001984</c:v>
                </c:pt>
                <c:pt idx="1">
                  <c:v>1937.2780928217148</c:v>
                </c:pt>
                <c:pt idx="2">
                  <c:v>17.393429801921098</c:v>
                </c:pt>
                <c:pt idx="3">
                  <c:v>379.22551309361427</c:v>
                </c:pt>
                <c:pt idx="4">
                  <c:v>2.5031441018762774</c:v>
                </c:pt>
                <c:pt idx="5">
                  <c:v>661.52819504945285</c:v>
                </c:pt>
                <c:pt idx="6">
                  <c:v>9107.8534793410818</c:v>
                </c:pt>
                <c:pt idx="7">
                  <c:v>49.86537450564196</c:v>
                </c:pt>
                <c:pt idx="8">
                  <c:v>2446.9808746012686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609-BB49-8F34-68C985702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5432960"/>
        <c:axId val="145434496"/>
      </c:barChart>
      <c:catAx>
        <c:axId val="14543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434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434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Emission [g N//ha/a]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0.215962934210688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4329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29861887188624"/>
          <c:y val="0.11502373785884742"/>
          <c:w val="0.85644440160806401"/>
          <c:h val="0.553991880299755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20A-DA4E-907C-B070C42C07BF}"/>
              </c:ext>
            </c:extLst>
          </c:dPt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20A-DA4E-907C-B070C42C07BF}"/>
              </c:ext>
            </c:extLst>
          </c:dPt>
          <c:dPt>
            <c:idx val="2"/>
            <c:invertIfNegative val="0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520A-DA4E-907C-B070C42C07BF}"/>
              </c:ext>
            </c:extLst>
          </c:dPt>
          <c:dPt>
            <c:idx val="3"/>
            <c:invertIfNegative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520A-DA4E-907C-B070C42C07BF}"/>
              </c:ext>
            </c:extLst>
          </c:dPt>
          <c:dPt>
            <c:idx val="4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520A-DA4E-907C-B070C42C07BF}"/>
              </c:ext>
            </c:extLst>
          </c:dPt>
          <c:dPt>
            <c:idx val="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520A-DA4E-907C-B070C42C07BF}"/>
              </c:ext>
            </c:extLst>
          </c:dPt>
          <c:dPt>
            <c:idx val="6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520A-DA4E-907C-B070C42C07BF}"/>
              </c:ext>
            </c:extLst>
          </c:dPt>
          <c:dPt>
            <c:idx val="7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520A-DA4E-907C-B070C42C07BF}"/>
              </c:ext>
            </c:extLst>
          </c:dPt>
          <c:dPt>
            <c:idx val="8"/>
            <c:invertIfNegative val="0"/>
            <c:bubble3D val="0"/>
            <c:spPr>
              <a:solidFill>
                <a:srgbClr val="DD080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520A-DA4E-907C-B070C42C07BF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'Graphs de'!$AT$1:$BB$1</c:f>
              <c:strCache>
                <c:ptCount val="9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</c:strCache>
            </c:strRef>
          </c:cat>
          <c:val>
            <c:numRef>
              <c:f>('Local emissions'!$BT$90:$CA$90,'Local emissions'!$CE$90)</c:f>
              <c:numCache>
                <c:formatCode>0,000</c:formatCode>
                <c:ptCount val="9"/>
                <c:pt idx="0">
                  <c:v>6.840343623188887</c:v>
                </c:pt>
                <c:pt idx="1">
                  <c:v>38.763734602456367</c:v>
                </c:pt>
                <c:pt idx="2">
                  <c:v>0.14283340613560011</c:v>
                </c:pt>
                <c:pt idx="3">
                  <c:v>228.69081490589608</c:v>
                </c:pt>
                <c:pt idx="4">
                  <c:v>47.283587136363678</c:v>
                </c:pt>
                <c:pt idx="5">
                  <c:v>7.7454198664732488</c:v>
                </c:pt>
                <c:pt idx="6">
                  <c:v>115.51773563825169</c:v>
                </c:pt>
                <c:pt idx="7">
                  <c:v>11.730630048946715</c:v>
                </c:pt>
                <c:pt idx="8">
                  <c:v>118.56171469140997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20A-DA4E-907C-B070C42C0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5470976"/>
        <c:axId val="145472512"/>
      </c:barChart>
      <c:catAx>
        <c:axId val="14547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472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472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Emission [g P/ha/a]</a:t>
                </a:r>
              </a:p>
            </c:rich>
          </c:tx>
          <c:layout>
            <c:manualLayout>
              <c:xMode val="edge"/>
              <c:yMode val="edge"/>
              <c:x val="8.1566068515497685E-3"/>
              <c:y val="0.22770002341256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470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16279069767441"/>
          <c:y val="6.1320825334455757E-2"/>
          <c:w val="0.82558139534883723"/>
          <c:h val="0.7767305501906605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620-2948-B4C6-690504331C3C}"/>
              </c:ext>
            </c:extLst>
          </c:dPt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620-2948-B4C6-690504331C3C}"/>
              </c:ext>
            </c:extLst>
          </c:dPt>
          <c:dPt>
            <c:idx val="2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620-2948-B4C6-690504331C3C}"/>
              </c:ext>
            </c:extLst>
          </c:dPt>
          <c:dPt>
            <c:idx val="3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620-2948-B4C6-690504331C3C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'Graphs de'!$AT$6:$AX$6</c:f>
              <c:strCache>
                <c:ptCount val="5"/>
                <c:pt idx="0">
                  <c:v>Inflow total</c:v>
                </c:pt>
                <c:pt idx="1">
                  <c:v>Emission total</c:v>
                </c:pt>
                <c:pt idx="2">
                  <c:v>Retention total</c:v>
                </c:pt>
                <c:pt idx="3">
                  <c:v>Retention from emissions</c:v>
                </c:pt>
                <c:pt idx="4">
                  <c:v>Outflow total</c:v>
                </c:pt>
              </c:strCache>
            </c:strRef>
          </c:cat>
          <c:val>
            <c:numRef>
              <c:f>'River loads'!$D$96:$D$100</c:f>
              <c:numCache>
                <c:formatCode>0,000</c:formatCode>
                <c:ptCount val="5"/>
                <c:pt idx="0">
                  <c:v>18968.104450468007</c:v>
                </c:pt>
                <c:pt idx="1">
                  <c:v>2998.6541861066094</c:v>
                </c:pt>
                <c:pt idx="2">
                  <c:v>15969.450264361398</c:v>
                </c:pt>
                <c:pt idx="3">
                  <c:v>2566.887080286167</c:v>
                </c:pt>
                <c:pt idx="4">
                  <c:v>15.808929110112649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20-2948-B4C6-690504331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191680"/>
        <c:axId val="145193216"/>
      </c:barChart>
      <c:catAx>
        <c:axId val="14519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9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193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TN flux [t N/a]    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0.349057098994701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91680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18771760593838"/>
          <c:y val="6.1176470588235304E-2"/>
          <c:w val="0.83197456156211891"/>
          <c:h val="0.780392156862744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BED-814F-A0FF-9431772F7B8A}"/>
              </c:ext>
            </c:extLst>
          </c:dPt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BED-814F-A0FF-9431772F7B8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BED-814F-A0FF-9431772F7B8A}"/>
              </c:ext>
            </c:extLst>
          </c:dPt>
          <c:dPt>
            <c:idx val="3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CBED-814F-A0FF-9431772F7B8A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'Graphs de'!$AT$6:$AX$6</c:f>
              <c:strCache>
                <c:ptCount val="5"/>
                <c:pt idx="0">
                  <c:v>Inflow total</c:v>
                </c:pt>
                <c:pt idx="1">
                  <c:v>Emission total</c:v>
                </c:pt>
                <c:pt idx="2">
                  <c:v>Retention total</c:v>
                </c:pt>
                <c:pt idx="3">
                  <c:v>Retention from emissions</c:v>
                </c:pt>
                <c:pt idx="4">
                  <c:v>Outflow total</c:v>
                </c:pt>
              </c:strCache>
            </c:strRef>
          </c:cat>
          <c:val>
            <c:numRef>
              <c:f>'River loads'!$E$96:$E$100</c:f>
              <c:numCache>
                <c:formatCode>0,000</c:formatCode>
                <c:ptCount val="5"/>
                <c:pt idx="0">
                  <c:v>774.63665117491928</c:v>
                </c:pt>
                <c:pt idx="1">
                  <c:v>220.01606710670296</c:v>
                </c:pt>
                <c:pt idx="2">
                  <c:v>554.62058406821632</c:v>
                </c:pt>
                <c:pt idx="3">
                  <c:v>183.67168648113906</c:v>
                </c:pt>
                <c:pt idx="4">
                  <c:v>28.402486091123713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ED-814F-A0FF-9431772F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223680"/>
        <c:axId val="145225216"/>
      </c:barChart>
      <c:catAx>
        <c:axId val="14522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22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225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TP flux [t P/a]</a:t>
                </a:r>
              </a:p>
            </c:rich>
          </c:tx>
          <c:layout>
            <c:manualLayout>
              <c:xMode val="edge"/>
              <c:yMode val="edge"/>
              <c:x val="2.6101141924959239E-2"/>
              <c:y val="0.357647058823529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223680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41860465116293"/>
          <c:y val="8.6854659199537929E-2"/>
          <c:w val="0.58637873754152825"/>
          <c:h val="0.8286403972280238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1AE-324F-A55E-E14D9466BFAD}"/>
              </c:ext>
            </c:extLst>
          </c:dPt>
          <c:dPt>
            <c:idx val="1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1AE-324F-A55E-E14D9466BFAD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1AE-324F-A55E-E14D9466BFAD}"/>
              </c:ext>
            </c:extLst>
          </c:dPt>
          <c:dLbls>
            <c:dLbl>
              <c:idx val="0"/>
              <c:layout>
                <c:manualLayout>
                  <c:x val="-2.1977310975662953E-2"/>
                  <c:y val="1.617463310043991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AE-324F-A55E-E14D9466BFAD}"/>
                </c:ext>
              </c:extLst>
            </c:dLbl>
            <c:dLbl>
              <c:idx val="1"/>
              <c:layout>
                <c:manualLayout>
                  <c:x val="1.3670267960690978E-2"/>
                  <c:y val="5.904895690855546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AE-324F-A55E-E14D9466BFAD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de'!$AT$10:$AV$10</c:f>
              <c:strCache>
                <c:ptCount val="3"/>
                <c:pt idx="0">
                  <c:v>Tributaries</c:v>
                </c:pt>
                <c:pt idx="1">
                  <c:v>Main river</c:v>
                </c:pt>
                <c:pt idx="2">
                  <c:v>Outlet lakes</c:v>
                </c:pt>
              </c:strCache>
            </c:strRef>
          </c:cat>
          <c:val>
            <c:numRef>
              <c:f>'River loads'!$D$98:$D$104</c:f>
              <c:numCache>
                <c:formatCode>0,000</c:formatCode>
                <c:ptCount val="7"/>
                <c:pt idx="0">
                  <c:v>15969.450264361398</c:v>
                </c:pt>
                <c:pt idx="1">
                  <c:v>2566.887080286167</c:v>
                </c:pt>
                <c:pt idx="2">
                  <c:v>15.808929110112649</c:v>
                </c:pt>
                <c:pt idx="3">
                  <c:v>13.532649437845295</c:v>
                </c:pt>
                <c:pt idx="4">
                  <c:v>2336.1333442554719</c:v>
                </c:pt>
                <c:pt idx="5">
                  <c:v>345.96964706604348</c:v>
                </c:pt>
                <c:pt idx="6">
                  <c:v>316.55119478509403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AE-324F-A55E-E14D9466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239202657807361"/>
          <c:y val="0.37089275812354461"/>
          <c:w val="0.17774086378737552"/>
          <c:h val="0.21126809852993744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10485936360568"/>
          <c:y val="8.4507235977928724E-2"/>
          <c:w val="0.57843229554785691"/>
          <c:h val="0.830987820449632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7A9-D948-BA23-EFB800A358CE}"/>
              </c:ext>
            </c:extLst>
          </c:dPt>
          <c:dPt>
            <c:idx val="1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7A9-D948-BA23-EFB800A358C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7A9-D948-BA23-EFB800A358CE}"/>
              </c:ext>
            </c:extLst>
          </c:dPt>
          <c:dLbls>
            <c:dLbl>
              <c:idx val="0"/>
              <c:layout>
                <c:manualLayout>
                  <c:x val="-1.1328289846122105E-2"/>
                  <c:y val="1.748549037004177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9-D948-BA23-EFB800A358CE}"/>
                </c:ext>
              </c:extLst>
            </c:dLbl>
            <c:dLbl>
              <c:idx val="1"/>
              <c:layout>
                <c:manualLayout>
                  <c:x val="-7.7376357367093859E-3"/>
                  <c:y val="4.928222000418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A9-D948-BA23-EFB800A358CE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de'!$AT$10:$AV$10</c:f>
              <c:strCache>
                <c:ptCount val="3"/>
                <c:pt idx="0">
                  <c:v>Tributaries</c:v>
                </c:pt>
                <c:pt idx="1">
                  <c:v>Main river</c:v>
                </c:pt>
                <c:pt idx="2">
                  <c:v>Outlet lakes</c:v>
                </c:pt>
              </c:strCache>
            </c:strRef>
          </c:cat>
          <c:val>
            <c:numRef>
              <c:f>'River loads'!$E$98:$E$104</c:f>
              <c:numCache>
                <c:formatCode>0,000</c:formatCode>
                <c:ptCount val="7"/>
                <c:pt idx="0">
                  <c:v>554.62058406821632</c:v>
                </c:pt>
                <c:pt idx="1">
                  <c:v>183.67168648113906</c:v>
                </c:pt>
                <c:pt idx="2">
                  <c:v>28.402486091123713</c:v>
                </c:pt>
                <c:pt idx="3">
                  <c:v>23.710688902023627</c:v>
                </c:pt>
                <c:pt idx="4">
                  <c:v>172.9917961134793</c:v>
                </c:pt>
                <c:pt idx="5">
                  <c:v>32.688429756245895</c:v>
                </c:pt>
                <c:pt idx="6">
                  <c:v>14.335841236977759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A9-D948-BA23-EFB800A3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104695246427591"/>
          <c:y val="0.36854534028316877"/>
          <c:w val="0.17483694440155761"/>
          <c:h val="0.21126809852993744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84297520661157"/>
          <c:y val="6.1033003761837408E-2"/>
          <c:w val="0.83801652892561929"/>
          <c:h val="0.821598127563196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C7F-CF45-A1BE-4A0F01992183}"/>
              </c:ext>
            </c:extLst>
          </c:dPt>
          <c:dPt>
            <c:idx val="1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C7F-CF45-A1BE-4A0F01992183}"/>
              </c:ext>
            </c:extLst>
          </c:dPt>
          <c:dPt>
            <c:idx val="2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C7F-CF45-A1BE-4A0F01992183}"/>
              </c:ext>
            </c:extLst>
          </c:dPt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'Graphs de'!$AT$8:$AV$8</c:f>
              <c:strCache>
                <c:ptCount val="3"/>
                <c:pt idx="0">
                  <c:v>Inflow total</c:v>
                </c:pt>
                <c:pt idx="1">
                  <c:v>Runoff total</c:v>
                </c:pt>
                <c:pt idx="2">
                  <c:v>Outflow total</c:v>
                </c:pt>
              </c:strCache>
            </c:strRef>
          </c:cat>
          <c:val>
            <c:numRef>
              <c:f>('River loads'!$F$96:$F$97,'River loads'!$F$100)</c:f>
              <c:numCache>
                <c:formatCode>General</c:formatCode>
                <c:ptCount val="3"/>
                <c:pt idx="0" formatCode="0,000">
                  <c:v>288.95689669135305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7F-CF45-A1BE-4A0F01992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18112"/>
        <c:axId val="145419648"/>
      </c:barChart>
      <c:catAx>
        <c:axId val="14541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41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419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Discharge [m</a:t>
                </a:r>
                <a:r>
                  <a:rPr lang="de-DE" sz="1175" b="0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3</a:t>
                </a:r>
                <a:r>
                  <a:rPr lang="de-DE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/s]</a:t>
                </a:r>
              </a:p>
            </c:rich>
          </c:tx>
          <c:layout>
            <c:manualLayout>
              <c:xMode val="edge"/>
              <c:yMode val="edge"/>
              <c:x val="1.1570247933884292E-2"/>
              <c:y val="0.330986654837159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418112"/>
        <c:crosses val="autoZero"/>
        <c:crossBetween val="between"/>
      </c:valAx>
      <c:spPr>
        <a:solidFill>
          <a:srgbClr val="C0C0C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0618149475502"/>
          <c:y val="0.10787143410352394"/>
          <c:w val="0.84692248508547363"/>
          <c:h val="0.77934450957423163"/>
        </c:manualLayout>
      </c:layout>
      <c:scatterChart>
        <c:scatterStyle val="lineMarker"/>
        <c:varyColors val="0"/>
        <c:ser>
          <c:idx val="0"/>
          <c:order val="0"/>
          <c:tx>
            <c:v>DIN loads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'Graphs de'!$AC$4:$AC$113</c:f>
              <c:numCache>
                <c:formatCode>#,#00</c:formatCode>
                <c:ptCount val="110"/>
                <c:pt idx="0">
                  <c:v>3.8458657175589908</c:v>
                </c:pt>
                <c:pt idx="1">
                  <c:v>4.6750526938039112</c:v>
                </c:pt>
                <c:pt idx="2">
                  <c:v>4.5204004325549256</c:v>
                </c:pt>
                <c:pt idx="3">
                  <c:v>3.7130307850955626</c:v>
                </c:pt>
                <c:pt idx="4">
                  <c:v>2.7022601864837705</c:v>
                </c:pt>
                <c:pt idx="5">
                  <c:v>2.2909307274020625</c:v>
                </c:pt>
                <c:pt idx="6">
                  <c:v>2.5420982353164532</c:v>
                </c:pt>
                <c:pt idx="7">
                  <c:v>3.0718753401127041</c:v>
                </c:pt>
                <c:pt idx="8">
                  <c:v>3.3201805788394947</c:v>
                </c:pt>
                <c:pt idx="9">
                  <c:v>4.5989901300320524</c:v>
                </c:pt>
                <c:pt idx="10">
                  <c:v>5.301067399037712</c:v>
                </c:pt>
                <c:pt idx="11">
                  <c:v>5.4056074711975119</c:v>
                </c:pt>
                <c:pt idx="12">
                  <c:v>6.4312535980111587</c:v>
                </c:pt>
                <c:pt idx="13">
                  <c:v>6.1161244741174796</c:v>
                </c:pt>
                <c:pt idx="14">
                  <c:v>10.030101044091419</c:v>
                </c:pt>
                <c:pt idx="15">
                  <c:v>5.5319300015259136</c:v>
                </c:pt>
                <c:pt idx="16">
                  <c:v>5.9043340604315491</c:v>
                </c:pt>
                <c:pt idx="17">
                  <c:v>5.5731489426746306</c:v>
                </c:pt>
                <c:pt idx="18">
                  <c:v>7.9413634973383829</c:v>
                </c:pt>
                <c:pt idx="19">
                  <c:v>6.0492430896571916</c:v>
                </c:pt>
                <c:pt idx="20">
                  <c:v>10.404036218006826</c:v>
                </c:pt>
                <c:pt idx="21">
                  <c:v>17.602477057799859</c:v>
                </c:pt>
                <c:pt idx="22">
                  <c:v>12.11028361862682</c:v>
                </c:pt>
                <c:pt idx="23">
                  <c:v>17.452163880288211</c:v>
                </c:pt>
                <c:pt idx="24">
                  <c:v>5.5338609730681245</c:v>
                </c:pt>
                <c:pt idx="25">
                  <c:v>6.8811118021141562</c:v>
                </c:pt>
                <c:pt idx="26">
                  <c:v>4.9505563653758511</c:v>
                </c:pt>
                <c:pt idx="27">
                  <c:v>6.1725976465904235</c:v>
                </c:pt>
                <c:pt idx="28">
                  <c:v>11.088129263410432</c:v>
                </c:pt>
                <c:pt idx="29">
                  <c:v>16.744071126620813</c:v>
                </c:pt>
                <c:pt idx="30">
                  <c:v>8.9559328085712497</c:v>
                </c:pt>
                <c:pt idx="31">
                  <c:v>13.437426691217841</c:v>
                </c:pt>
                <c:pt idx="32">
                  <c:v>13.380785671226302</c:v>
                </c:pt>
                <c:pt idx="33">
                  <c:v>23.992584660341969</c:v>
                </c:pt>
                <c:pt idx="34">
                  <c:v>6.6507865021881143</c:v>
                </c:pt>
                <c:pt idx="35">
                  <c:v>1.9064952448565169</c:v>
                </c:pt>
                <c:pt idx="36">
                  <c:v>6.7942107164940317</c:v>
                </c:pt>
                <c:pt idx="37">
                  <c:v>9.3489785788635213</c:v>
                </c:pt>
                <c:pt idx="38">
                  <c:v>13.909215346750276</c:v>
                </c:pt>
                <c:pt idx="39">
                  <c:v>13.970030460170042</c:v>
                </c:pt>
                <c:pt idx="40">
                  <c:v>7.7348374507559727</c:v>
                </c:pt>
                <c:pt idx="41">
                  <c:v>7.4244476504497019</c:v>
                </c:pt>
                <c:pt idx="42">
                  <c:v>21.291776271169237</c:v>
                </c:pt>
                <c:pt idx="43">
                  <c:v>9.9089815598514992</c:v>
                </c:pt>
                <c:pt idx="44">
                  <c:v>12.887991997416989</c:v>
                </c:pt>
                <c:pt idx="45">
                  <c:v>9.046983665789039</c:v>
                </c:pt>
                <c:pt idx="46">
                  <c:v>8.7149831147749275</c:v>
                </c:pt>
                <c:pt idx="47">
                  <c:v>11.425100065897764</c:v>
                </c:pt>
                <c:pt idx="48">
                  <c:v>9.4095558492126976</c:v>
                </c:pt>
                <c:pt idx="49">
                  <c:v>4.5192280226666721</c:v>
                </c:pt>
                <c:pt idx="50">
                  <c:v>7.9649011113588379</c:v>
                </c:pt>
                <c:pt idx="51">
                  <c:v>13.626648207417528</c:v>
                </c:pt>
                <c:pt idx="52">
                  <c:v>3.0648743655080675</c:v>
                </c:pt>
                <c:pt idx="53">
                  <c:v>7.3188748858934192</c:v>
                </c:pt>
                <c:pt idx="54">
                  <c:v>3.3972065838679733</c:v>
                </c:pt>
                <c:pt idx="55">
                  <c:v>2.1433185844064697</c:v>
                </c:pt>
                <c:pt idx="56">
                  <c:v>1.128441853116793</c:v>
                </c:pt>
                <c:pt idx="57">
                  <c:v>2.7324550786363981</c:v>
                </c:pt>
                <c:pt idx="58">
                  <c:v>3.5967853061203572</c:v>
                </c:pt>
                <c:pt idx="59">
                  <c:v>1.1762533296245292</c:v>
                </c:pt>
                <c:pt idx="60">
                  <c:v>1.0850154300944728</c:v>
                </c:pt>
                <c:pt idx="61">
                  <c:v>1.190162722124265</c:v>
                </c:pt>
                <c:pt idx="62">
                  <c:v>1.6483840641383571</c:v>
                </c:pt>
                <c:pt idx="63">
                  <c:v>5.7495636059272117</c:v>
                </c:pt>
                <c:pt idx="64">
                  <c:v>7.4202096583621726</c:v>
                </c:pt>
                <c:pt idx="65">
                  <c:v>6.3113519320556435</c:v>
                </c:pt>
                <c:pt idx="66">
                  <c:v>3.6799264134938414</c:v>
                </c:pt>
                <c:pt idx="67">
                  <c:v>3.3335678675239335</c:v>
                </c:pt>
                <c:pt idx="68">
                  <c:v>2.0387747030193264</c:v>
                </c:pt>
                <c:pt idx="69">
                  <c:v>3.3521087275033197</c:v>
                </c:pt>
                <c:pt idx="70">
                  <c:v>6.1306860963625001</c:v>
                </c:pt>
                <c:pt idx="71">
                  <c:v>4.4333865221986546</c:v>
                </c:pt>
                <c:pt idx="72">
                  <c:v>3.4676442737782462</c:v>
                </c:pt>
                <c:pt idx="73">
                  <c:v>6.9025853099008909</c:v>
                </c:pt>
                <c:pt idx="74">
                  <c:v>7.590040956579422</c:v>
                </c:pt>
                <c:pt idx="75">
                  <c:v>1.7681909966111595</c:v>
                </c:pt>
                <c:pt idx="76">
                  <c:v>2.2397773470945714</c:v>
                </c:pt>
                <c:pt idx="77">
                  <c:v>4.2914224995000918</c:v>
                </c:pt>
                <c:pt idx="78">
                  <c:v>2.7473535182106681</c:v>
                </c:pt>
                <c:pt idx="79">
                  <c:v>11.853333245579744</c:v>
                </c:pt>
                <c:pt idx="80">
                  <c:v>6.6339101089219383</c:v>
                </c:pt>
                <c:pt idx="81">
                  <c:v>4.1288288874759296</c:v>
                </c:pt>
                <c:pt idx="82">
                  <c:v>7.5638265186564357</c:v>
                </c:pt>
                <c:pt idx="83">
                  <c:v>6.7277513295481075</c:v>
                </c:pt>
                <c:pt idx="84">
                  <c:v>2.5105533044252786</c:v>
                </c:pt>
                <c:pt idx="85">
                  <c:v>4.4626441758775925</c:v>
                </c:pt>
                <c:pt idx="86">
                  <c:v>8.3960645217341003</c:v>
                </c:pt>
                <c:pt idx="87">
                  <c:v>10.889717214750847</c:v>
                </c:pt>
                <c:pt idx="88">
                  <c:v>4.7748816885531262</c:v>
                </c:pt>
                <c:pt idx="89">
                  <c:v>7.3969606126009664</c:v>
                </c:pt>
                <c:pt idx="90">
                  <c:v>12.112667017886215</c:v>
                </c:pt>
                <c:pt idx="91">
                  <c:v>3.99491706204876</c:v>
                </c:pt>
                <c:pt idx="92">
                  <c:v>3.5134042557929202</c:v>
                </c:pt>
                <c:pt idx="93">
                  <c:v>3.637169465730727</c:v>
                </c:pt>
                <c:pt idx="94">
                  <c:v>4.1694995679130571</c:v>
                </c:pt>
                <c:pt idx="95">
                  <c:v>5.1696582687272041</c:v>
                </c:pt>
                <c:pt idx="96">
                  <c:v>5.1371117030501852</c:v>
                </c:pt>
                <c:pt idx="97">
                  <c:v>12.694237405307339</c:v>
                </c:pt>
                <c:pt idx="98">
                  <c:v>12.932269484169355</c:v>
                </c:pt>
                <c:pt idx="99">
                  <c:v>10.156014044749558</c:v>
                </c:pt>
              </c:numCache>
            </c:numRef>
          </c:xVal>
          <c:yVal>
            <c:numRef>
              <c:f>'Graphs de'!$AB$4:$AB$113</c:f>
              <c:numCache>
                <c:formatCode>#,#00</c:formatCode>
                <c:ptCount val="110"/>
                <c:pt idx="0">
                  <c:v>7.2337402493353702</c:v>
                </c:pt>
                <c:pt idx="1">
                  <c:v>5.6181242679406482</c:v>
                </c:pt>
                <c:pt idx="2">
                  <c:v>3.3289188687561975</c:v>
                </c:pt>
                <c:pt idx="3">
                  <c:v>2.8935992422168173</c:v>
                </c:pt>
                <c:pt idx="4">
                  <c:v>2.9357043925711581</c:v>
                </c:pt>
                <c:pt idx="5">
                  <c:v>2.8351725918889001</c:v>
                </c:pt>
                <c:pt idx="6">
                  <c:v>2.8190463742653518</c:v>
                </c:pt>
                <c:pt idx="7">
                  <c:v>3.7234810666020479</c:v>
                </c:pt>
                <c:pt idx="8">
                  <c:v>3.8293269037365643</c:v>
                </c:pt>
                <c:pt idx="9">
                  <c:v>4.8514636332840118</c:v>
                </c:pt>
                <c:pt idx="10">
                  <c:v>4.965789726846972</c:v>
                </c:pt>
                <c:pt idx="11">
                  <c:v>3.5462227306527199</c:v>
                </c:pt>
                <c:pt idx="12">
                  <c:v>4.3438004983587692</c:v>
                </c:pt>
                <c:pt idx="13">
                  <c:v>6.4400749968660449</c:v>
                </c:pt>
                <c:pt idx="14">
                  <c:v>10.275465453560825</c:v>
                </c:pt>
                <c:pt idx="15">
                  <c:v>4.6505644763260161</c:v>
                </c:pt>
                <c:pt idx="16">
                  <c:v>4.2629448459567945</c:v>
                </c:pt>
                <c:pt idx="17">
                  <c:v>7.3545863732239809</c:v>
                </c:pt>
                <c:pt idx="18">
                  <c:v>9.5069663057916625</c:v>
                </c:pt>
                <c:pt idx="19">
                  <c:v>6.5519912851156938</c:v>
                </c:pt>
                <c:pt idx="20">
                  <c:v>9.7984656834143529</c:v>
                </c:pt>
                <c:pt idx="21">
                  <c:v>15.750648252844504</c:v>
                </c:pt>
                <c:pt idx="22">
                  <c:v>13.718846340375343</c:v>
                </c:pt>
                <c:pt idx="23">
                  <c:v>13.973351487147967</c:v>
                </c:pt>
                <c:pt idx="24">
                  <c:v>5.5821682209822896</c:v>
                </c:pt>
                <c:pt idx="25">
                  <c:v>6.7295451790196106</c:v>
                </c:pt>
                <c:pt idx="26">
                  <c:v>6.1609115780032289</c:v>
                </c:pt>
                <c:pt idx="27">
                  <c:v>6.6518986509828926</c:v>
                </c:pt>
                <c:pt idx="28">
                  <c:v>10.701972491824032</c:v>
                </c:pt>
                <c:pt idx="29">
                  <c:v>14.109415264687398</c:v>
                </c:pt>
                <c:pt idx="30">
                  <c:v>9.8249695814316738</c:v>
                </c:pt>
                <c:pt idx="31">
                  <c:v>15.857047705475257</c:v>
                </c:pt>
                <c:pt idx="32">
                  <c:v>13.330335658158132</c:v>
                </c:pt>
                <c:pt idx="33">
                  <c:v>16.697824205205865</c:v>
                </c:pt>
                <c:pt idx="34">
                  <c:v>8.8169966617439322</c:v>
                </c:pt>
                <c:pt idx="35">
                  <c:v>4.4834038683477253</c:v>
                </c:pt>
                <c:pt idx="36">
                  <c:v>6.5128710886413614</c:v>
                </c:pt>
                <c:pt idx="37">
                  <c:v>10.783649480787288</c:v>
                </c:pt>
                <c:pt idx="38">
                  <c:v>11.933619189287832</c:v>
                </c:pt>
                <c:pt idx="39">
                  <c:v>10.090973236549695</c:v>
                </c:pt>
                <c:pt idx="40">
                  <c:v>6.6515164457996416</c:v>
                </c:pt>
                <c:pt idx="41">
                  <c:v>5.3571951278633545</c:v>
                </c:pt>
                <c:pt idx="42">
                  <c:v>12.430293043969092</c:v>
                </c:pt>
                <c:pt idx="43">
                  <c:v>8.9973034651038031</c:v>
                </c:pt>
                <c:pt idx="44">
                  <c:v>8.592612169687186</c:v>
                </c:pt>
                <c:pt idx="45">
                  <c:v>9.1415067810412634</c:v>
                </c:pt>
                <c:pt idx="46">
                  <c:v>8.3931128496740772</c:v>
                </c:pt>
                <c:pt idx="47">
                  <c:v>6.0554389928453602</c:v>
                </c:pt>
                <c:pt idx="48">
                  <c:v>4.2993004892491067</c:v>
                </c:pt>
                <c:pt idx="49">
                  <c:v>3.192844961657034</c:v>
                </c:pt>
                <c:pt idx="50">
                  <c:v>5.9744150616219036</c:v>
                </c:pt>
                <c:pt idx="51">
                  <c:v>7.4129508633817869</c:v>
                </c:pt>
                <c:pt idx="52">
                  <c:v>2.0859320780714681</c:v>
                </c:pt>
                <c:pt idx="53">
                  <c:v>8.0944887112746109</c:v>
                </c:pt>
                <c:pt idx="54">
                  <c:v>4.9640889082600097</c:v>
                </c:pt>
                <c:pt idx="55">
                  <c:v>1.6409788731939807</c:v>
                </c:pt>
                <c:pt idx="56">
                  <c:v>0.87219590276263514</c:v>
                </c:pt>
                <c:pt idx="57">
                  <c:v>2.4390054356200248</c:v>
                </c:pt>
                <c:pt idx="58">
                  <c:v>5.7748733008694622</c:v>
                </c:pt>
                <c:pt idx="59">
                  <c:v>3.2400983535578614</c:v>
                </c:pt>
                <c:pt idx="60">
                  <c:v>0.50896340553302921</c:v>
                </c:pt>
                <c:pt idx="61">
                  <c:v>0.51025885560344153</c:v>
                </c:pt>
                <c:pt idx="62">
                  <c:v>2.6379328316200739</c:v>
                </c:pt>
                <c:pt idx="63">
                  <c:v>6.5858363237912974</c:v>
                </c:pt>
                <c:pt idx="64">
                  <c:v>7.0456576306978569</c:v>
                </c:pt>
                <c:pt idx="65">
                  <c:v>5.8264476138750005</c:v>
                </c:pt>
                <c:pt idx="66">
                  <c:v>2.1840344203498789</c:v>
                </c:pt>
                <c:pt idx="67">
                  <c:v>2.2783853625649355</c:v>
                </c:pt>
                <c:pt idx="68">
                  <c:v>2.0612783015405434</c:v>
                </c:pt>
                <c:pt idx="69">
                  <c:v>3.5228742079423414</c:v>
                </c:pt>
                <c:pt idx="70">
                  <c:v>6.3315671619848786</c:v>
                </c:pt>
                <c:pt idx="71">
                  <c:v>6.0091578758048154</c:v>
                </c:pt>
                <c:pt idx="72">
                  <c:v>3.7397798165749911</c:v>
                </c:pt>
                <c:pt idx="73">
                  <c:v>5.6836102005367977</c:v>
                </c:pt>
                <c:pt idx="74">
                  <c:v>4.730329097912592</c:v>
                </c:pt>
                <c:pt idx="75">
                  <c:v>2.7249510853556766</c:v>
                </c:pt>
                <c:pt idx="76">
                  <c:v>2.9879214789958048</c:v>
                </c:pt>
                <c:pt idx="77">
                  <c:v>3.5700926261700663</c:v>
                </c:pt>
                <c:pt idx="78">
                  <c:v>3.7559529042716076</c:v>
                </c:pt>
                <c:pt idx="79">
                  <c:v>8.3607297265326839</c:v>
                </c:pt>
                <c:pt idx="80">
                  <c:v>7.8026019530587876</c:v>
                </c:pt>
                <c:pt idx="81">
                  <c:v>7.6479846337367681</c:v>
                </c:pt>
                <c:pt idx="82">
                  <c:v>5.2573158979404804</c:v>
                </c:pt>
                <c:pt idx="83">
                  <c:v>5.4905468976322949</c:v>
                </c:pt>
                <c:pt idx="84">
                  <c:v>3.1522856015429275</c:v>
                </c:pt>
                <c:pt idx="85">
                  <c:v>8.8795697134399294</c:v>
                </c:pt>
                <c:pt idx="86">
                  <c:v>11.198257850299109</c:v>
                </c:pt>
                <c:pt idx="87">
                  <c:v>9.868409824099162</c:v>
                </c:pt>
                <c:pt idx="88">
                  <c:v>8.2234863139244112</c:v>
                </c:pt>
                <c:pt idx="89">
                  <c:v>8.1296986145129573</c:v>
                </c:pt>
                <c:pt idx="90">
                  <c:v>9.2858670365688223</c:v>
                </c:pt>
                <c:pt idx="91">
                  <c:v>3.3781792285891248</c:v>
                </c:pt>
                <c:pt idx="92">
                  <c:v>3.9751024960723651</c:v>
                </c:pt>
                <c:pt idx="93">
                  <c:v>3.5541703102430739</c:v>
                </c:pt>
                <c:pt idx="94">
                  <c:v>4.3853524581121164</c:v>
                </c:pt>
                <c:pt idx="95">
                  <c:v>5.2171754292962271</c:v>
                </c:pt>
                <c:pt idx="96">
                  <c:v>6.4499431177347804</c:v>
                </c:pt>
                <c:pt idx="97">
                  <c:v>12.592153267605287</c:v>
                </c:pt>
                <c:pt idx="98">
                  <c:v>12.821550517159716</c:v>
                </c:pt>
                <c:pt idx="99">
                  <c:v>11.269739910077973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E-7F4C-9BBA-7A86AEE61FA1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'Graphs de'!$U$1:$U$7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E-7F4C-9BBA-7A86AEE61FA1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E-7F4C-9BBA-7A86AEE61FA1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6E-7F4C-9BBA-7A86AEE61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32416"/>
        <c:axId val="145534336"/>
      </c:scatterChart>
      <c:valAx>
        <c:axId val="14553241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Gemessene DIN-Fracht [kg N/ha,a]</a:t>
                </a:r>
              </a:p>
            </c:rich>
          </c:tx>
          <c:layout>
            <c:manualLayout>
              <c:xMode val="edge"/>
              <c:yMode val="edge"/>
              <c:x val="0.35940129576826174"/>
              <c:y val="0.9131475778642423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534336"/>
        <c:crossesAt val="0"/>
        <c:crossBetween val="midCat"/>
        <c:majorUnit val="5"/>
      </c:valAx>
      <c:valAx>
        <c:axId val="145534336"/>
        <c:scaling>
          <c:orientation val="minMax"/>
          <c:max val="2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Berechnete DIN-Fracht [kg N/ha,a]    </a:t>
                </a:r>
                <a:r>
                  <a:rPr lang="de-DE" sz="1400" b="0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 k</a:t>
                </a: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8.3056478405315673E-3"/>
              <c:y val="2.5761124121779874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532416"/>
        <c:crossesAt val="0"/>
        <c:crossBetween val="midCat"/>
        <c:majorUnit val="5"/>
      </c:valAx>
      <c:spPr>
        <a:solidFill>
          <a:srgbClr val="FFFF99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1325701666067"/>
          <c:y val="6.1033003761837408E-2"/>
          <c:w val="0.8382366316837595"/>
          <c:h val="0.77699708635262277"/>
        </c:manualLayout>
      </c:layout>
      <c:scatterChart>
        <c:scatterStyle val="lineMarker"/>
        <c:varyColors val="0"/>
        <c:ser>
          <c:idx val="0"/>
          <c:order val="0"/>
          <c:tx>
            <c:v>TP loads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'Graphs de'!$AH$4:$AH$107</c:f>
              <c:numCache>
                <c:formatCode>General</c:formatCode>
                <c:ptCount val="104"/>
                <c:pt idx="0">
                  <c:v>2.6958240315827366E-2</c:v>
                </c:pt>
                <c:pt idx="1">
                  <c:v>0.76257562765094811</c:v>
                </c:pt>
                <c:pt idx="2">
                  <c:v>0.49620246317668454</c:v>
                </c:pt>
                <c:pt idx="3">
                  <c:v>10.989012347772752</c:v>
                </c:pt>
                <c:pt idx="4">
                  <c:v>6.3521261077966278</c:v>
                </c:pt>
                <c:pt idx="5">
                  <c:v>4.5144158316826672</c:v>
                </c:pt>
                <c:pt idx="6">
                  <c:v>3.0161380959243198</c:v>
                </c:pt>
                <c:pt idx="7">
                  <c:v>3.1254860545061116</c:v>
                </c:pt>
                <c:pt idx="8">
                  <c:v>0.14324354646943563</c:v>
                </c:pt>
                <c:pt idx="9">
                  <c:v>0.83486061639651521</c:v>
                </c:pt>
                <c:pt idx="10">
                  <c:v>0.36097156044451895</c:v>
                </c:pt>
                <c:pt idx="11">
                  <c:v>0.6863676604000466</c:v>
                </c:pt>
                <c:pt idx="12">
                  <c:v>1.4219270234840773</c:v>
                </c:pt>
                <c:pt idx="13">
                  <c:v>0.89910331565297219</c:v>
                </c:pt>
                <c:pt idx="14">
                  <c:v>0.18625339776994787</c:v>
                </c:pt>
                <c:pt idx="15">
                  <c:v>0.1966390028589407</c:v>
                </c:pt>
                <c:pt idx="16">
                  <c:v>0.11114826691118831</c:v>
                </c:pt>
                <c:pt idx="17">
                  <c:v>0.1189824655052846</c:v>
                </c:pt>
                <c:pt idx="18">
                  <c:v>0.1573876880959699</c:v>
                </c:pt>
                <c:pt idx="19">
                  <c:v>0.11540814960625313</c:v>
                </c:pt>
                <c:pt idx="20">
                  <c:v>0.24345933563148922</c:v>
                </c:pt>
                <c:pt idx="21">
                  <c:v>0.76417650401518888</c:v>
                </c:pt>
                <c:pt idx="22">
                  <c:v>0.9574248846938338</c:v>
                </c:pt>
                <c:pt idx="23">
                  <c:v>0.42961702798707874</c:v>
                </c:pt>
                <c:pt idx="24">
                  <c:v>0.29008057996022307</c:v>
                </c:pt>
                <c:pt idx="25">
                  <c:v>2.1494655349847807</c:v>
                </c:pt>
                <c:pt idx="26">
                  <c:v>1.3066541977750439</c:v>
                </c:pt>
                <c:pt idx="27">
                  <c:v>0.26948684049584254</c:v>
                </c:pt>
                <c:pt idx="28">
                  <c:v>0.21473433522653337</c:v>
                </c:pt>
                <c:pt idx="29">
                  <c:v>0.24921100054570874</c:v>
                </c:pt>
                <c:pt idx="30">
                  <c:v>0.25105902741227643</c:v>
                </c:pt>
                <c:pt idx="31">
                  <c:v>0.42700711065719116</c:v>
                </c:pt>
                <c:pt idx="32">
                  <c:v>4.6523306520805149E-2</c:v>
                </c:pt>
                <c:pt idx="33">
                  <c:v>0.24276357200908397</c:v>
                </c:pt>
                <c:pt idx="34">
                  <c:v>0.23245141072454098</c:v>
                </c:pt>
                <c:pt idx="35">
                  <c:v>0.22831819685897187</c:v>
                </c:pt>
                <c:pt idx="36">
                  <c:v>0.17920063343205883</c:v>
                </c:pt>
                <c:pt idx="37">
                  <c:v>0.64034585680114109</c:v>
                </c:pt>
                <c:pt idx="38">
                  <c:v>7.3165550439637003E-2</c:v>
                </c:pt>
                <c:pt idx="39">
                  <c:v>0.10015524118949806</c:v>
                </c:pt>
                <c:pt idx="40">
                  <c:v>0.21132763116136094</c:v>
                </c:pt>
                <c:pt idx="41">
                  <c:v>0.1708157020667854</c:v>
                </c:pt>
                <c:pt idx="42">
                  <c:v>0.22826876619218556</c:v>
                </c:pt>
                <c:pt idx="43">
                  <c:v>0.18446871737046619</c:v>
                </c:pt>
                <c:pt idx="44">
                  <c:v>7.3440576456567708E-2</c:v>
                </c:pt>
                <c:pt idx="45">
                  <c:v>0.20112458748436091</c:v>
                </c:pt>
                <c:pt idx="46">
                  <c:v>0.17377290660167272</c:v>
                </c:pt>
                <c:pt idx="47">
                  <c:v>0.10415580852666494</c:v>
                </c:pt>
                <c:pt idx="48">
                  <c:v>4.985804283647835E-2</c:v>
                </c:pt>
                <c:pt idx="49">
                  <c:v>0.14418767386924983</c:v>
                </c:pt>
                <c:pt idx="50">
                  <c:v>0.14016729820359436</c:v>
                </c:pt>
                <c:pt idx="51">
                  <c:v>6.6336250381341971E-2</c:v>
                </c:pt>
                <c:pt idx="52">
                  <c:v>0.11382659021864429</c:v>
                </c:pt>
                <c:pt idx="53">
                  <c:v>0.12295690728550605</c:v>
                </c:pt>
                <c:pt idx="54">
                  <c:v>0.12307762165749335</c:v>
                </c:pt>
                <c:pt idx="55">
                  <c:v>0.2488902564744615</c:v>
                </c:pt>
                <c:pt idx="56">
                  <c:v>9.0993178923564733E-2</c:v>
                </c:pt>
                <c:pt idx="57">
                  <c:v>8.8504942327276168E-2</c:v>
                </c:pt>
                <c:pt idx="58">
                  <c:v>0.14088225711096217</c:v>
                </c:pt>
                <c:pt idx="59">
                  <c:v>0.19937387185406696</c:v>
                </c:pt>
                <c:pt idx="60">
                  <c:v>0.20897619012137877</c:v>
                </c:pt>
                <c:pt idx="61">
                  <c:v>0.96048278639569629</c:v>
                </c:pt>
                <c:pt idx="62">
                  <c:v>0.84744281729265958</c:v>
                </c:pt>
                <c:pt idx="63">
                  <c:v>8.1186837465405476E-2</c:v>
                </c:pt>
                <c:pt idx="64">
                  <c:v>6.8852118004526369E-2</c:v>
                </c:pt>
                <c:pt idx="65">
                  <c:v>0.2658282461765476</c:v>
                </c:pt>
                <c:pt idx="66">
                  <c:v>0.12907021574600774</c:v>
                </c:pt>
                <c:pt idx="67">
                  <c:v>0.23918913434273353</c:v>
                </c:pt>
                <c:pt idx="68">
                  <c:v>0.37799912029277127</c:v>
                </c:pt>
                <c:pt idx="69">
                  <c:v>0.38996090328457017</c:v>
                </c:pt>
                <c:pt idx="70">
                  <c:v>0.11407683849104255</c:v>
                </c:pt>
                <c:pt idx="71">
                  <c:v>0.1275783683468153</c:v>
                </c:pt>
                <c:pt idx="72">
                  <c:v>0.28376782531865119</c:v>
                </c:pt>
                <c:pt idx="73">
                  <c:v>0.15344245142492119</c:v>
                </c:pt>
                <c:pt idx="74">
                  <c:v>0.28408815216678729</c:v>
                </c:pt>
                <c:pt idx="75">
                  <c:v>0.20742927490748175</c:v>
                </c:pt>
                <c:pt idx="76">
                  <c:v>0.17443067162769779</c:v>
                </c:pt>
                <c:pt idx="77">
                  <c:v>0.2001999419412176</c:v>
                </c:pt>
                <c:pt idx="78">
                  <c:v>0.21552498562185346</c:v>
                </c:pt>
                <c:pt idx="79">
                  <c:v>0.10553798466692152</c:v>
                </c:pt>
                <c:pt idx="80">
                  <c:v>0.10313850026520587</c:v>
                </c:pt>
                <c:pt idx="81">
                  <c:v>0.24499304857843357</c:v>
                </c:pt>
                <c:pt idx="82">
                  <c:v>0.13438351384551156</c:v>
                </c:pt>
                <c:pt idx="83">
                  <c:v>0.18003535337640381</c:v>
                </c:pt>
                <c:pt idx="84">
                  <c:v>0.21208081520428565</c:v>
                </c:pt>
                <c:pt idx="85">
                  <c:v>0.22115758562464433</c:v>
                </c:pt>
                <c:pt idx="86">
                  <c:v>0.46921023695862157</c:v>
                </c:pt>
                <c:pt idx="87">
                  <c:v>0.67811978722835653</c:v>
                </c:pt>
                <c:pt idx="88">
                  <c:v>0.12097871448336089</c:v>
                </c:pt>
                <c:pt idx="89">
                  <c:v>0.18554292122556962</c:v>
                </c:pt>
                <c:pt idx="90">
                  <c:v>0.26232914334720719</c:v>
                </c:pt>
                <c:pt idx="91">
                  <c:v>0.22495259427955616</c:v>
                </c:pt>
                <c:pt idx="92">
                  <c:v>0.39367223379061245</c:v>
                </c:pt>
                <c:pt idx="93">
                  <c:v>0.37676628448784422</c:v>
                </c:pt>
                <c:pt idx="94">
                  <c:v>0.3071713258257433</c:v>
                </c:pt>
              </c:numCache>
            </c:numRef>
          </c:xVal>
          <c:yVal>
            <c:numRef>
              <c:f>'Graphs de'!$AG$4:$AG$107</c:f>
              <c:numCache>
                <c:formatCode>General</c:formatCode>
                <c:ptCount val="104"/>
                <c:pt idx="0">
                  <c:v>8.2042776079647689E-2</c:v>
                </c:pt>
                <c:pt idx="1">
                  <c:v>0.55641270880411198</c:v>
                </c:pt>
                <c:pt idx="2">
                  <c:v>0.31386842481168392</c:v>
                </c:pt>
                <c:pt idx="3">
                  <c:v>7.600258682111841</c:v>
                </c:pt>
                <c:pt idx="4">
                  <c:v>9.6363023299028097</c:v>
                </c:pt>
                <c:pt idx="5">
                  <c:v>6.926858670295486</c:v>
                </c:pt>
                <c:pt idx="6">
                  <c:v>4.1990740783284659</c:v>
                </c:pt>
                <c:pt idx="7">
                  <c:v>3.2527510286926375</c:v>
                </c:pt>
                <c:pt idx="8">
                  <c:v>0.49745062095642623</c:v>
                </c:pt>
                <c:pt idx="9">
                  <c:v>0.87143826275497771</c:v>
                </c:pt>
                <c:pt idx="10">
                  <c:v>0.25238979643329545</c:v>
                </c:pt>
                <c:pt idx="11">
                  <c:v>0.24675766700126847</c:v>
                </c:pt>
                <c:pt idx="12">
                  <c:v>0.23072725423914875</c:v>
                </c:pt>
                <c:pt idx="13">
                  <c:v>0.28618980555963064</c:v>
                </c:pt>
                <c:pt idx="14">
                  <c:v>0.47898071266648651</c:v>
                </c:pt>
                <c:pt idx="15">
                  <c:v>0.12803744180680043</c:v>
                </c:pt>
                <c:pt idx="16">
                  <c:v>0.16757212465390314</c:v>
                </c:pt>
                <c:pt idx="17">
                  <c:v>0.18068490787420197</c:v>
                </c:pt>
                <c:pt idx="18">
                  <c:v>0.34195047250753241</c:v>
                </c:pt>
                <c:pt idx="19">
                  <c:v>0.28464473378231031</c:v>
                </c:pt>
                <c:pt idx="20">
                  <c:v>0.43496593122152288</c:v>
                </c:pt>
                <c:pt idx="21">
                  <c:v>0.74650273322072924</c:v>
                </c:pt>
                <c:pt idx="22">
                  <c:v>0.63718868022237629</c:v>
                </c:pt>
                <c:pt idx="23">
                  <c:v>0.29883421498585688</c:v>
                </c:pt>
                <c:pt idx="24">
                  <c:v>0.28190383393607543</c:v>
                </c:pt>
                <c:pt idx="25">
                  <c:v>0.80474095025455927</c:v>
                </c:pt>
                <c:pt idx="26">
                  <c:v>0.65112652822699801</c:v>
                </c:pt>
                <c:pt idx="27">
                  <c:v>0.45645972647722333</c:v>
                </c:pt>
                <c:pt idx="28">
                  <c:v>0.39154665495636437</c:v>
                </c:pt>
                <c:pt idx="29">
                  <c:v>0.29086044746735418</c:v>
                </c:pt>
                <c:pt idx="30">
                  <c:v>0.33798894344109814</c:v>
                </c:pt>
                <c:pt idx="31">
                  <c:v>0.88430482444283021</c:v>
                </c:pt>
                <c:pt idx="32">
                  <c:v>9.187883703055813E-2</c:v>
                </c:pt>
                <c:pt idx="33">
                  <c:v>0.26128780764788395</c:v>
                </c:pt>
                <c:pt idx="34">
                  <c:v>0.12363451406882423</c:v>
                </c:pt>
                <c:pt idx="35">
                  <c:v>0.20609348417765147</c:v>
                </c:pt>
                <c:pt idx="36">
                  <c:v>0.17818733085007293</c:v>
                </c:pt>
                <c:pt idx="37">
                  <c:v>0.47297639665283198</c:v>
                </c:pt>
                <c:pt idx="38">
                  <c:v>0.11375766518132994</c:v>
                </c:pt>
                <c:pt idx="39">
                  <c:v>7.923460825963162E-2</c:v>
                </c:pt>
                <c:pt idx="40">
                  <c:v>0.11625744659693578</c:v>
                </c:pt>
                <c:pt idx="41">
                  <c:v>0.11196490526039601</c:v>
                </c:pt>
                <c:pt idx="42">
                  <c:v>0.27815471388158719</c:v>
                </c:pt>
                <c:pt idx="43">
                  <c:v>0.15058797870918517</c:v>
                </c:pt>
                <c:pt idx="44">
                  <c:v>9.2659136437552289E-2</c:v>
                </c:pt>
                <c:pt idx="45">
                  <c:v>0.35212563998088497</c:v>
                </c:pt>
                <c:pt idx="46">
                  <c:v>0.23196721522860483</c:v>
                </c:pt>
                <c:pt idx="47">
                  <c:v>0.30864800247022189</c:v>
                </c:pt>
                <c:pt idx="48">
                  <c:v>6.0102918746684518E-2</c:v>
                </c:pt>
                <c:pt idx="49">
                  <c:v>0.14569995685368856</c:v>
                </c:pt>
                <c:pt idx="50">
                  <c:v>0.12163577631928772</c:v>
                </c:pt>
                <c:pt idx="51">
                  <c:v>8.1040036446518623E-2</c:v>
                </c:pt>
                <c:pt idx="52">
                  <c:v>0.24666897248834546</c:v>
                </c:pt>
                <c:pt idx="53">
                  <c:v>0.11377503724135328</c:v>
                </c:pt>
                <c:pt idx="54">
                  <c:v>6.4209032300497779E-2</c:v>
                </c:pt>
                <c:pt idx="55">
                  <c:v>7.5827664205088713E-2</c:v>
                </c:pt>
                <c:pt idx="56">
                  <c:v>8.5704393887123545E-2</c:v>
                </c:pt>
                <c:pt idx="57">
                  <c:v>0.13288088129673212</c:v>
                </c:pt>
                <c:pt idx="58">
                  <c:v>0.21538424170639661</c:v>
                </c:pt>
                <c:pt idx="59">
                  <c:v>0.29369748270657847</c:v>
                </c:pt>
                <c:pt idx="60">
                  <c:v>0.25050650507244687</c:v>
                </c:pt>
                <c:pt idx="61">
                  <c:v>2.381478884329276</c:v>
                </c:pt>
                <c:pt idx="62">
                  <c:v>1.3660634911968619</c:v>
                </c:pt>
                <c:pt idx="63">
                  <c:v>8.168249927715264E-2</c:v>
                </c:pt>
                <c:pt idx="64">
                  <c:v>0.10705365374256018</c:v>
                </c:pt>
                <c:pt idx="65">
                  <c:v>0.18004341900005708</c:v>
                </c:pt>
                <c:pt idx="66">
                  <c:v>0.10759432962915674</c:v>
                </c:pt>
                <c:pt idx="67">
                  <c:v>8.8086723853790641E-2</c:v>
                </c:pt>
                <c:pt idx="68">
                  <c:v>0.26772852442139294</c:v>
                </c:pt>
                <c:pt idx="69">
                  <c:v>0.29039291906763814</c:v>
                </c:pt>
                <c:pt idx="70">
                  <c:v>0.11178888882487653</c:v>
                </c:pt>
                <c:pt idx="71">
                  <c:v>8.1943634584314945E-2</c:v>
                </c:pt>
                <c:pt idx="72">
                  <c:v>0.1017759089582026</c:v>
                </c:pt>
                <c:pt idx="73">
                  <c:v>0.10945925455622865</c:v>
                </c:pt>
                <c:pt idx="74">
                  <c:v>6.6102659897387769E-2</c:v>
                </c:pt>
                <c:pt idx="75">
                  <c:v>0.15948864363684689</c:v>
                </c:pt>
                <c:pt idx="76">
                  <c:v>0.25051195160355444</c:v>
                </c:pt>
                <c:pt idx="77">
                  <c:v>0.21679837571256158</c:v>
                </c:pt>
                <c:pt idx="78">
                  <c:v>0.31327369662042187</c:v>
                </c:pt>
                <c:pt idx="79">
                  <c:v>0.19393620097977457</c:v>
                </c:pt>
                <c:pt idx="80">
                  <c:v>9.1897375722425997E-2</c:v>
                </c:pt>
                <c:pt idx="81">
                  <c:v>0.27420021233962644</c:v>
                </c:pt>
                <c:pt idx="82">
                  <c:v>0.27952854301266744</c:v>
                </c:pt>
                <c:pt idx="83">
                  <c:v>0.24709212357850779</c:v>
                </c:pt>
                <c:pt idx="84">
                  <c:v>0.18394992919927614</c:v>
                </c:pt>
                <c:pt idx="85">
                  <c:v>0.19484314855147189</c:v>
                </c:pt>
                <c:pt idx="86">
                  <c:v>0.87048180684076082</c:v>
                </c:pt>
                <c:pt idx="87">
                  <c:v>0.60773258430092303</c:v>
                </c:pt>
                <c:pt idx="88">
                  <c:v>0.15531625247898534</c:v>
                </c:pt>
                <c:pt idx="89">
                  <c:v>0.18705854963967883</c:v>
                </c:pt>
                <c:pt idx="90">
                  <c:v>0.19208954949053444</c:v>
                </c:pt>
                <c:pt idx="91">
                  <c:v>0.35162603306255297</c:v>
                </c:pt>
                <c:pt idx="92">
                  <c:v>0.50148561442086736</c:v>
                </c:pt>
                <c:pt idx="93">
                  <c:v>0.51040102484000793</c:v>
                </c:pt>
                <c:pt idx="94">
                  <c:v>0.46752350434484924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9E-A045-9186-938744E6A7A3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'Graphs de'!$U$1:$U$7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9E-A045-9186-938744E6A7A3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9E-A045-9186-938744E6A7A3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9E-A045-9186-938744E6A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39616"/>
        <c:axId val="145841536"/>
      </c:scatterChart>
      <c:valAx>
        <c:axId val="145839616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Gemessene TP-Fracht [kg P/ha,a]</a:t>
                </a:r>
              </a:p>
            </c:rich>
          </c:tx>
          <c:layout>
            <c:manualLayout>
              <c:xMode val="edge"/>
              <c:yMode val="edge"/>
              <c:x val="0.35457562095113315"/>
              <c:y val="0.91080000245870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841536"/>
        <c:crossesAt val="0"/>
        <c:crossBetween val="midCat"/>
        <c:majorUnit val="2"/>
        <c:minorUnit val="0.1"/>
      </c:valAx>
      <c:valAx>
        <c:axId val="14584153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Berechnete TP-Fracht [kg P/ha,a]     </a:t>
                </a:r>
                <a:r>
                  <a:rPr lang="de-DE" sz="1400" b="0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k</a:t>
                </a: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8.1566068515497685E-3"/>
              <c:y val="3.278688524590164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839616"/>
        <c:crossesAt val="0"/>
        <c:crossBetween val="midCat"/>
        <c:majorUnit val="2"/>
        <c:minorUnit val="0.1"/>
      </c:valAx>
      <c:spPr>
        <a:solidFill>
          <a:srgbClr val="FFFF99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1325701666067"/>
          <c:y val="6.1033003761837408E-2"/>
          <c:w val="0.8382366316837595"/>
          <c:h val="0.77699708635262277"/>
        </c:manualLayout>
      </c:layout>
      <c:scatterChart>
        <c:scatterStyle val="lineMarker"/>
        <c:varyColors val="0"/>
        <c:ser>
          <c:idx val="0"/>
          <c:order val="0"/>
          <c:tx>
            <c:v>TP loads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'Graphs de'!$AH$4:$AH$107</c:f>
              <c:numCache>
                <c:formatCode>General</c:formatCode>
                <c:ptCount val="104"/>
                <c:pt idx="0">
                  <c:v>2.6958240315827366E-2</c:v>
                </c:pt>
                <c:pt idx="1">
                  <c:v>0.76257562765094811</c:v>
                </c:pt>
                <c:pt idx="2">
                  <c:v>0.49620246317668454</c:v>
                </c:pt>
                <c:pt idx="3">
                  <c:v>10.989012347772752</c:v>
                </c:pt>
                <c:pt idx="4">
                  <c:v>6.3521261077966278</c:v>
                </c:pt>
                <c:pt idx="5">
                  <c:v>4.5144158316826672</c:v>
                </c:pt>
                <c:pt idx="6">
                  <c:v>3.0161380959243198</c:v>
                </c:pt>
                <c:pt idx="7">
                  <c:v>3.1254860545061116</c:v>
                </c:pt>
                <c:pt idx="8">
                  <c:v>0.14324354646943563</c:v>
                </c:pt>
                <c:pt idx="9">
                  <c:v>0.83486061639651521</c:v>
                </c:pt>
                <c:pt idx="10">
                  <c:v>0.36097156044451895</c:v>
                </c:pt>
                <c:pt idx="11">
                  <c:v>0.6863676604000466</c:v>
                </c:pt>
                <c:pt idx="12">
                  <c:v>1.4219270234840773</c:v>
                </c:pt>
                <c:pt idx="13">
                  <c:v>0.89910331565297219</c:v>
                </c:pt>
                <c:pt idx="14">
                  <c:v>0.18625339776994787</c:v>
                </c:pt>
                <c:pt idx="15">
                  <c:v>0.1966390028589407</c:v>
                </c:pt>
                <c:pt idx="16">
                  <c:v>0.11114826691118831</c:v>
                </c:pt>
                <c:pt idx="17">
                  <c:v>0.1189824655052846</c:v>
                </c:pt>
                <c:pt idx="18">
                  <c:v>0.1573876880959699</c:v>
                </c:pt>
                <c:pt idx="19">
                  <c:v>0.11540814960625313</c:v>
                </c:pt>
                <c:pt idx="20">
                  <c:v>0.24345933563148922</c:v>
                </c:pt>
                <c:pt idx="21">
                  <c:v>0.76417650401518888</c:v>
                </c:pt>
                <c:pt idx="22">
                  <c:v>0.9574248846938338</c:v>
                </c:pt>
                <c:pt idx="23">
                  <c:v>0.42961702798707874</c:v>
                </c:pt>
                <c:pt idx="24">
                  <c:v>0.29008057996022307</c:v>
                </c:pt>
                <c:pt idx="25">
                  <c:v>2.1494655349847807</c:v>
                </c:pt>
                <c:pt idx="26">
                  <c:v>1.3066541977750439</c:v>
                </c:pt>
                <c:pt idx="27">
                  <c:v>0.26948684049584254</c:v>
                </c:pt>
                <c:pt idx="28">
                  <c:v>0.21473433522653337</c:v>
                </c:pt>
                <c:pt idx="29">
                  <c:v>0.24921100054570874</c:v>
                </c:pt>
                <c:pt idx="30">
                  <c:v>0.25105902741227643</c:v>
                </c:pt>
                <c:pt idx="31">
                  <c:v>0.42700711065719116</c:v>
                </c:pt>
                <c:pt idx="32">
                  <c:v>4.6523306520805149E-2</c:v>
                </c:pt>
                <c:pt idx="33">
                  <c:v>0.24276357200908397</c:v>
                </c:pt>
                <c:pt idx="34">
                  <c:v>0.23245141072454098</c:v>
                </c:pt>
                <c:pt idx="35">
                  <c:v>0.22831819685897187</c:v>
                </c:pt>
                <c:pt idx="36">
                  <c:v>0.17920063343205883</c:v>
                </c:pt>
                <c:pt idx="37">
                  <c:v>0.64034585680114109</c:v>
                </c:pt>
                <c:pt idx="38">
                  <c:v>7.3165550439637003E-2</c:v>
                </c:pt>
                <c:pt idx="39">
                  <c:v>0.10015524118949806</c:v>
                </c:pt>
                <c:pt idx="40">
                  <c:v>0.21132763116136094</c:v>
                </c:pt>
                <c:pt idx="41">
                  <c:v>0.1708157020667854</c:v>
                </c:pt>
                <c:pt idx="42">
                  <c:v>0.22826876619218556</c:v>
                </c:pt>
                <c:pt idx="43">
                  <c:v>0.18446871737046619</c:v>
                </c:pt>
                <c:pt idx="44">
                  <c:v>7.3440576456567708E-2</c:v>
                </c:pt>
                <c:pt idx="45">
                  <c:v>0.20112458748436091</c:v>
                </c:pt>
                <c:pt idx="46">
                  <c:v>0.17377290660167272</c:v>
                </c:pt>
                <c:pt idx="47">
                  <c:v>0.10415580852666494</c:v>
                </c:pt>
                <c:pt idx="48">
                  <c:v>4.985804283647835E-2</c:v>
                </c:pt>
                <c:pt idx="49">
                  <c:v>0.14418767386924983</c:v>
                </c:pt>
                <c:pt idx="50">
                  <c:v>0.14016729820359436</c:v>
                </c:pt>
                <c:pt idx="51">
                  <c:v>6.6336250381341971E-2</c:v>
                </c:pt>
                <c:pt idx="52">
                  <c:v>0.11382659021864429</c:v>
                </c:pt>
                <c:pt idx="53">
                  <c:v>0.12295690728550605</c:v>
                </c:pt>
                <c:pt idx="54">
                  <c:v>0.12307762165749335</c:v>
                </c:pt>
                <c:pt idx="55">
                  <c:v>0.2488902564744615</c:v>
                </c:pt>
                <c:pt idx="56">
                  <c:v>9.0993178923564733E-2</c:v>
                </c:pt>
                <c:pt idx="57">
                  <c:v>8.8504942327276168E-2</c:v>
                </c:pt>
                <c:pt idx="58">
                  <c:v>0.14088225711096217</c:v>
                </c:pt>
                <c:pt idx="59">
                  <c:v>0.19937387185406696</c:v>
                </c:pt>
                <c:pt idx="60">
                  <c:v>0.20897619012137877</c:v>
                </c:pt>
                <c:pt idx="61">
                  <c:v>0.96048278639569629</c:v>
                </c:pt>
                <c:pt idx="62">
                  <c:v>0.84744281729265958</c:v>
                </c:pt>
                <c:pt idx="63">
                  <c:v>8.1186837465405476E-2</c:v>
                </c:pt>
                <c:pt idx="64">
                  <c:v>6.8852118004526369E-2</c:v>
                </c:pt>
                <c:pt idx="65">
                  <c:v>0.2658282461765476</c:v>
                </c:pt>
                <c:pt idx="66">
                  <c:v>0.12907021574600774</c:v>
                </c:pt>
                <c:pt idx="67">
                  <c:v>0.23918913434273353</c:v>
                </c:pt>
                <c:pt idx="68">
                  <c:v>0.37799912029277127</c:v>
                </c:pt>
                <c:pt idx="69">
                  <c:v>0.38996090328457017</c:v>
                </c:pt>
                <c:pt idx="70">
                  <c:v>0.11407683849104255</c:v>
                </c:pt>
                <c:pt idx="71">
                  <c:v>0.1275783683468153</c:v>
                </c:pt>
                <c:pt idx="72">
                  <c:v>0.28376782531865119</c:v>
                </c:pt>
                <c:pt idx="73">
                  <c:v>0.15344245142492119</c:v>
                </c:pt>
                <c:pt idx="74">
                  <c:v>0.28408815216678729</c:v>
                </c:pt>
                <c:pt idx="75">
                  <c:v>0.20742927490748175</c:v>
                </c:pt>
                <c:pt idx="76">
                  <c:v>0.17443067162769779</c:v>
                </c:pt>
                <c:pt idx="77">
                  <c:v>0.2001999419412176</c:v>
                </c:pt>
                <c:pt idx="78">
                  <c:v>0.21552498562185346</c:v>
                </c:pt>
                <c:pt idx="79">
                  <c:v>0.10553798466692152</c:v>
                </c:pt>
                <c:pt idx="80">
                  <c:v>0.10313850026520587</c:v>
                </c:pt>
                <c:pt idx="81">
                  <c:v>0.24499304857843357</c:v>
                </c:pt>
                <c:pt idx="82">
                  <c:v>0.13438351384551156</c:v>
                </c:pt>
                <c:pt idx="83">
                  <c:v>0.18003535337640381</c:v>
                </c:pt>
                <c:pt idx="84">
                  <c:v>0.21208081520428565</c:v>
                </c:pt>
                <c:pt idx="85">
                  <c:v>0.22115758562464433</c:v>
                </c:pt>
                <c:pt idx="86">
                  <c:v>0.46921023695862157</c:v>
                </c:pt>
                <c:pt idx="87">
                  <c:v>0.67811978722835653</c:v>
                </c:pt>
                <c:pt idx="88">
                  <c:v>0.12097871448336089</c:v>
                </c:pt>
                <c:pt idx="89">
                  <c:v>0.18554292122556962</c:v>
                </c:pt>
                <c:pt idx="90">
                  <c:v>0.26232914334720719</c:v>
                </c:pt>
                <c:pt idx="91">
                  <c:v>0.22495259427955616</c:v>
                </c:pt>
                <c:pt idx="92">
                  <c:v>0.39367223379061245</c:v>
                </c:pt>
                <c:pt idx="93">
                  <c:v>0.37676628448784422</c:v>
                </c:pt>
                <c:pt idx="94">
                  <c:v>0.3071713258257433</c:v>
                </c:pt>
              </c:numCache>
            </c:numRef>
          </c:xVal>
          <c:yVal>
            <c:numRef>
              <c:f>'Graphs de'!$AG$4:$AG$107</c:f>
              <c:numCache>
                <c:formatCode>General</c:formatCode>
                <c:ptCount val="104"/>
                <c:pt idx="0">
                  <c:v>8.2042776079647689E-2</c:v>
                </c:pt>
                <c:pt idx="1">
                  <c:v>0.55641270880411198</c:v>
                </c:pt>
                <c:pt idx="2">
                  <c:v>0.31386842481168392</c:v>
                </c:pt>
                <c:pt idx="3">
                  <c:v>7.600258682111841</c:v>
                </c:pt>
                <c:pt idx="4">
                  <c:v>9.6363023299028097</c:v>
                </c:pt>
                <c:pt idx="5">
                  <c:v>6.926858670295486</c:v>
                </c:pt>
                <c:pt idx="6">
                  <c:v>4.1990740783284659</c:v>
                </c:pt>
                <c:pt idx="7">
                  <c:v>3.2527510286926375</c:v>
                </c:pt>
                <c:pt idx="8">
                  <c:v>0.49745062095642623</c:v>
                </c:pt>
                <c:pt idx="9">
                  <c:v>0.87143826275497771</c:v>
                </c:pt>
                <c:pt idx="10">
                  <c:v>0.25238979643329545</c:v>
                </c:pt>
                <c:pt idx="11">
                  <c:v>0.24675766700126847</c:v>
                </c:pt>
                <c:pt idx="12">
                  <c:v>0.23072725423914875</c:v>
                </c:pt>
                <c:pt idx="13">
                  <c:v>0.28618980555963064</c:v>
                </c:pt>
                <c:pt idx="14">
                  <c:v>0.47898071266648651</c:v>
                </c:pt>
                <c:pt idx="15">
                  <c:v>0.12803744180680043</c:v>
                </c:pt>
                <c:pt idx="16">
                  <c:v>0.16757212465390314</c:v>
                </c:pt>
                <c:pt idx="17">
                  <c:v>0.18068490787420197</c:v>
                </c:pt>
                <c:pt idx="18">
                  <c:v>0.34195047250753241</c:v>
                </c:pt>
                <c:pt idx="19">
                  <c:v>0.28464473378231031</c:v>
                </c:pt>
                <c:pt idx="20">
                  <c:v>0.43496593122152288</c:v>
                </c:pt>
                <c:pt idx="21">
                  <c:v>0.74650273322072924</c:v>
                </c:pt>
                <c:pt idx="22">
                  <c:v>0.63718868022237629</c:v>
                </c:pt>
                <c:pt idx="23">
                  <c:v>0.29883421498585688</c:v>
                </c:pt>
                <c:pt idx="24">
                  <c:v>0.28190383393607543</c:v>
                </c:pt>
                <c:pt idx="25">
                  <c:v>0.80474095025455927</c:v>
                </c:pt>
                <c:pt idx="26">
                  <c:v>0.65112652822699801</c:v>
                </c:pt>
                <c:pt idx="27">
                  <c:v>0.45645972647722333</c:v>
                </c:pt>
                <c:pt idx="28">
                  <c:v>0.39154665495636437</c:v>
                </c:pt>
                <c:pt idx="29">
                  <c:v>0.29086044746735418</c:v>
                </c:pt>
                <c:pt idx="30">
                  <c:v>0.33798894344109814</c:v>
                </c:pt>
                <c:pt idx="31">
                  <c:v>0.88430482444283021</c:v>
                </c:pt>
                <c:pt idx="32">
                  <c:v>9.187883703055813E-2</c:v>
                </c:pt>
                <c:pt idx="33">
                  <c:v>0.26128780764788395</c:v>
                </c:pt>
                <c:pt idx="34">
                  <c:v>0.12363451406882423</c:v>
                </c:pt>
                <c:pt idx="35">
                  <c:v>0.20609348417765147</c:v>
                </c:pt>
                <c:pt idx="36">
                  <c:v>0.17818733085007293</c:v>
                </c:pt>
                <c:pt idx="37">
                  <c:v>0.47297639665283198</c:v>
                </c:pt>
                <c:pt idx="38">
                  <c:v>0.11375766518132994</c:v>
                </c:pt>
                <c:pt idx="39">
                  <c:v>7.923460825963162E-2</c:v>
                </c:pt>
                <c:pt idx="40">
                  <c:v>0.11625744659693578</c:v>
                </c:pt>
                <c:pt idx="41">
                  <c:v>0.11196490526039601</c:v>
                </c:pt>
                <c:pt idx="42">
                  <c:v>0.27815471388158719</c:v>
                </c:pt>
                <c:pt idx="43">
                  <c:v>0.15058797870918517</c:v>
                </c:pt>
                <c:pt idx="44">
                  <c:v>9.2659136437552289E-2</c:v>
                </c:pt>
                <c:pt idx="45">
                  <c:v>0.35212563998088497</c:v>
                </c:pt>
                <c:pt idx="46">
                  <c:v>0.23196721522860483</c:v>
                </c:pt>
                <c:pt idx="47">
                  <c:v>0.30864800247022189</c:v>
                </c:pt>
                <c:pt idx="48">
                  <c:v>6.0102918746684518E-2</c:v>
                </c:pt>
                <c:pt idx="49">
                  <c:v>0.14569995685368856</c:v>
                </c:pt>
                <c:pt idx="50">
                  <c:v>0.12163577631928772</c:v>
                </c:pt>
                <c:pt idx="51">
                  <c:v>8.1040036446518623E-2</c:v>
                </c:pt>
                <c:pt idx="52">
                  <c:v>0.24666897248834546</c:v>
                </c:pt>
                <c:pt idx="53">
                  <c:v>0.11377503724135328</c:v>
                </c:pt>
                <c:pt idx="54">
                  <c:v>6.4209032300497779E-2</c:v>
                </c:pt>
                <c:pt idx="55">
                  <c:v>7.5827664205088713E-2</c:v>
                </c:pt>
                <c:pt idx="56">
                  <c:v>8.5704393887123545E-2</c:v>
                </c:pt>
                <c:pt idx="57">
                  <c:v>0.13288088129673212</c:v>
                </c:pt>
                <c:pt idx="58">
                  <c:v>0.21538424170639661</c:v>
                </c:pt>
                <c:pt idx="59">
                  <c:v>0.29369748270657847</c:v>
                </c:pt>
                <c:pt idx="60">
                  <c:v>0.25050650507244687</c:v>
                </c:pt>
                <c:pt idx="61">
                  <c:v>2.381478884329276</c:v>
                </c:pt>
                <c:pt idx="62">
                  <c:v>1.3660634911968619</c:v>
                </c:pt>
                <c:pt idx="63">
                  <c:v>8.168249927715264E-2</c:v>
                </c:pt>
                <c:pt idx="64">
                  <c:v>0.10705365374256018</c:v>
                </c:pt>
                <c:pt idx="65">
                  <c:v>0.18004341900005708</c:v>
                </c:pt>
                <c:pt idx="66">
                  <c:v>0.10759432962915674</c:v>
                </c:pt>
                <c:pt idx="67">
                  <c:v>8.8086723853790641E-2</c:v>
                </c:pt>
                <c:pt idx="68">
                  <c:v>0.26772852442139294</c:v>
                </c:pt>
                <c:pt idx="69">
                  <c:v>0.29039291906763814</c:v>
                </c:pt>
                <c:pt idx="70">
                  <c:v>0.11178888882487653</c:v>
                </c:pt>
                <c:pt idx="71">
                  <c:v>8.1943634584314945E-2</c:v>
                </c:pt>
                <c:pt idx="72">
                  <c:v>0.1017759089582026</c:v>
                </c:pt>
                <c:pt idx="73">
                  <c:v>0.10945925455622865</c:v>
                </c:pt>
                <c:pt idx="74">
                  <c:v>6.6102659897387769E-2</c:v>
                </c:pt>
                <c:pt idx="75">
                  <c:v>0.15948864363684689</c:v>
                </c:pt>
                <c:pt idx="76">
                  <c:v>0.25051195160355444</c:v>
                </c:pt>
                <c:pt idx="77">
                  <c:v>0.21679837571256158</c:v>
                </c:pt>
                <c:pt idx="78">
                  <c:v>0.31327369662042187</c:v>
                </c:pt>
                <c:pt idx="79">
                  <c:v>0.19393620097977457</c:v>
                </c:pt>
                <c:pt idx="80">
                  <c:v>9.1897375722425997E-2</c:v>
                </c:pt>
                <c:pt idx="81">
                  <c:v>0.27420021233962644</c:v>
                </c:pt>
                <c:pt idx="82">
                  <c:v>0.27952854301266744</c:v>
                </c:pt>
                <c:pt idx="83">
                  <c:v>0.24709212357850779</c:v>
                </c:pt>
                <c:pt idx="84">
                  <c:v>0.18394992919927614</c:v>
                </c:pt>
                <c:pt idx="85">
                  <c:v>0.19484314855147189</c:v>
                </c:pt>
                <c:pt idx="86">
                  <c:v>0.87048180684076082</c:v>
                </c:pt>
                <c:pt idx="87">
                  <c:v>0.60773258430092303</c:v>
                </c:pt>
                <c:pt idx="88">
                  <c:v>0.15531625247898534</c:v>
                </c:pt>
                <c:pt idx="89">
                  <c:v>0.18705854963967883</c:v>
                </c:pt>
                <c:pt idx="90">
                  <c:v>0.19208954949053444</c:v>
                </c:pt>
                <c:pt idx="91">
                  <c:v>0.35162603306255297</c:v>
                </c:pt>
                <c:pt idx="92">
                  <c:v>0.50148561442086736</c:v>
                </c:pt>
                <c:pt idx="93">
                  <c:v>0.51040102484000793</c:v>
                </c:pt>
                <c:pt idx="94">
                  <c:v>0.46752350434484924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5-0343-A34A-C00330C78BED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'Graphs de'!$U$1:$U$7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5-0343-A34A-C00330C78BED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5-0343-A34A-C00330C78BED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'Graphs de'!$V$1:$V$7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'Graphs de'!$X$1:$X$7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5-0343-A34A-C00330C7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635584"/>
        <c:axId val="145637376"/>
      </c:scatterChart>
      <c:valAx>
        <c:axId val="14563558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Gemessene TP-Fracht [kg P/ha,a]</a:t>
                </a:r>
              </a:p>
            </c:rich>
          </c:tx>
          <c:layout>
            <c:manualLayout>
              <c:xMode val="edge"/>
              <c:yMode val="edge"/>
              <c:x val="0.35457556404797952"/>
              <c:y val="0.91079991169328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37376"/>
        <c:crossesAt val="0"/>
        <c:crossBetween val="midCat"/>
        <c:majorUnit val="0.2"/>
        <c:minorUnit val="0.1"/>
      </c:valAx>
      <c:valAx>
        <c:axId val="1456373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Berechnete TP-Fracht [kg P/ha,a]     </a:t>
                </a:r>
                <a:r>
                  <a:rPr lang="de-DE" sz="1400" b="0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k</a:t>
                </a:r>
                <a:r>
                  <a:rPr lang="de-DE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</a:t>
                </a:r>
              </a:p>
            </c:rich>
          </c:tx>
          <c:layout>
            <c:manualLayout>
              <c:xMode val="edge"/>
              <c:yMode val="edge"/>
              <c:x val="8.143322475570031E-3"/>
              <c:y val="3.5046728971962614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35584"/>
        <c:crossesAt val="0"/>
        <c:crossBetween val="midCat"/>
        <c:majorUnit val="0.2"/>
        <c:minorUnit val="0.1"/>
      </c:valAx>
      <c:spPr>
        <a:solidFill>
          <a:srgbClr val="FFFF99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5A8-4244-B28F-FDB92C149EFA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5A8-4244-B28F-FDB92C149EFA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5A8-4244-B28F-FDB92C149EFA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5A8-4244-B28F-FDB92C149EFA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5A8-4244-B28F-FDB92C149EFA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5A8-4244-B28F-FDB92C149EFA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5A8-4244-B28F-FDB92C149EFA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D5A8-4244-B28F-FDB92C149EFA}"/>
              </c:ext>
            </c:extLst>
          </c:dPt>
          <c:dPt>
            <c:idx val="8"/>
            <c:bubble3D val="0"/>
            <c:spPr>
              <a:solidFill>
                <a:srgbClr val="FF757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D5A8-4244-B28F-FDB92C149EFA}"/>
              </c:ext>
            </c:extLst>
          </c:dPt>
          <c:dPt>
            <c:idx val="9"/>
            <c:bubble3D val="0"/>
            <c:spPr>
              <a:solidFill>
                <a:srgbClr val="FF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D5A8-4244-B28F-FDB92C149EFA}"/>
              </c:ext>
            </c:extLst>
          </c:dPt>
          <c:dPt>
            <c:idx val="10"/>
            <c:bubble3D val="0"/>
            <c:spPr>
              <a:solidFill>
                <a:srgbClr val="E6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D5A8-4244-B28F-FDB92C149EFA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A8-4244-B28F-FDB92C149EFA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A8-4244-B28F-FDB92C149EFA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5A8-4244-B28F-FDB92C149EFA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A8-4244-B28F-FDB92C149EFA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5A8-4244-B28F-FDB92C149EFA}"/>
                </c:ext>
              </c:extLst>
            </c:dLbl>
            <c:dLbl>
              <c:idx val="5"/>
              <c:layout>
                <c:manualLayout>
                  <c:x val="-1.4045940335889386E-2"/>
                  <c:y val="4.0721568627450952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A8-4244-B28F-FDB92C149EFA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5A8-4244-B28F-FDB92C149EFA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5A8-4244-B28F-FDB92C149EFA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de'!$AT$2:$BD$2</c:f>
              <c:strCache>
                <c:ptCount val="11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  <c:pt idx="9">
                  <c:v>Bevölkerung ohne Kanalisation</c:v>
                </c:pt>
                <c:pt idx="10">
                  <c:v>Punktquellen</c:v>
                </c:pt>
              </c:strCache>
            </c:strRef>
          </c:cat>
          <c:val>
            <c:numRef>
              <c:f>('Local emissions'!$FF$90:$FO$90,'Local emissions'!$FP$90)</c:f>
              <c:numCache>
                <c:formatCode>#,#00</c:formatCode>
                <c:ptCount val="11"/>
                <c:pt idx="0">
                  <c:v>8.5529640888317378</c:v>
                </c:pt>
                <c:pt idx="1">
                  <c:v>48.469031421151222</c:v>
                </c:pt>
                <c:pt idx="2">
                  <c:v>0.17859468188438588</c:v>
                </c:pt>
                <c:pt idx="3">
                  <c:v>187.19235365063105</c:v>
                </c:pt>
                <c:pt idx="4">
                  <c:v>0</c:v>
                </c:pt>
                <c:pt idx="5">
                  <c:v>9.6846447518065446</c:v>
                </c:pt>
                <c:pt idx="6">
                  <c:v>144.43997245806815</c:v>
                </c:pt>
                <c:pt idx="7">
                  <c:v>13.200870711684285</c:v>
                </c:pt>
                <c:pt idx="8">
                  <c:v>38.307269876260996</c:v>
                </c:pt>
                <c:pt idx="9">
                  <c:v>11.487458381802091</c:v>
                </c:pt>
                <c:pt idx="10">
                  <c:v>148.24607416333333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5A8-4244-B28F-FDB92C149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359820218551107E-2"/>
          <c:y val="0.12392156862745099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1"/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67-AA48-B728-439912F5F05F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67-AA48-B728-439912F5F05F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67-AA48-B728-439912F5F05F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67-AA48-B728-439912F5F05F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67-AA48-B728-439912F5F05F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9267-AA48-B728-439912F5F05F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9267-AA48-B728-439912F5F05F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9267-AA48-B728-439912F5F05F}"/>
              </c:ext>
            </c:extLst>
          </c:dPt>
          <c:dPt>
            <c:idx val="8"/>
            <c:bubble3D val="0"/>
            <c:spPr>
              <a:solidFill>
                <a:srgbClr val="FF757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9267-AA48-B728-439912F5F05F}"/>
              </c:ext>
            </c:extLst>
          </c:dPt>
          <c:dPt>
            <c:idx val="9"/>
            <c:bubble3D val="0"/>
            <c:spPr>
              <a:solidFill>
                <a:srgbClr val="FF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9267-AA48-B728-439912F5F05F}"/>
              </c:ext>
            </c:extLst>
          </c:dPt>
          <c:dPt>
            <c:idx val="10"/>
            <c:bubble3D val="0"/>
            <c:spPr>
              <a:solidFill>
                <a:srgbClr val="E6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9267-AA48-B728-439912F5F05F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67-AA48-B728-439912F5F05F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67-AA48-B728-439912F5F05F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67-AA48-B728-439912F5F05F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67-AA48-B728-439912F5F05F}"/>
                </c:ext>
              </c:extLst>
            </c:dLbl>
            <c:dLbl>
              <c:idx val="4"/>
              <c:layout>
                <c:manualLayout>
                  <c:x val="4.5898478376477453E-2"/>
                  <c:y val="1.478116411919098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267-AA48-B728-439912F5F05F}"/>
                </c:ext>
              </c:extLst>
            </c:dLbl>
            <c:dLbl>
              <c:idx val="5"/>
              <c:layout>
                <c:manualLayout>
                  <c:x val="-3.8011253495273893E-2"/>
                  <c:y val="1.876078431372550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67-AA48-B728-439912F5F05F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267-AA48-B728-439912F5F05F}"/>
                </c:ext>
              </c:extLst>
            </c:dLbl>
            <c:dLbl>
              <c:idx val="7"/>
              <c:layout>
                <c:manualLayout>
                  <c:x val="0"/>
                  <c:y val="2.183257681025166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267-AA48-B728-439912F5F05F}"/>
                </c:ext>
              </c:extLst>
            </c:dLbl>
            <c:dLbl>
              <c:idx val="8"/>
              <c:layout>
                <c:manualLayout>
                  <c:x val="1.0512411438766238E-3"/>
                  <c:y val="4.071267562142970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267-AA48-B728-439912F5F05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de'!$AT$2:$BD$2</c:f>
              <c:strCache>
                <c:ptCount val="11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  <c:pt idx="9">
                  <c:v>Bevölkerung ohne Kanalisation</c:v>
                </c:pt>
                <c:pt idx="10">
                  <c:v>Punktquellen</c:v>
                </c:pt>
              </c:strCache>
            </c:strRef>
          </c:cat>
          <c:val>
            <c:numRef>
              <c:f>('Local emissions'!$GR$90:$HA$90,'Local emissions'!$HB$90)</c:f>
              <c:numCache>
                <c:formatCode>#,#00</c:formatCode>
                <c:ptCount val="11"/>
                <c:pt idx="0">
                  <c:v>1.9868562766090685</c:v>
                </c:pt>
                <c:pt idx="1">
                  <c:v>12.249510359960357</c:v>
                </c:pt>
                <c:pt idx="2">
                  <c:v>0</c:v>
                </c:pt>
                <c:pt idx="3">
                  <c:v>125.39750062639912</c:v>
                </c:pt>
                <c:pt idx="4">
                  <c:v>0</c:v>
                </c:pt>
                <c:pt idx="5">
                  <c:v>5.4609009480140616</c:v>
                </c:pt>
                <c:pt idx="6">
                  <c:v>62.170173791861131</c:v>
                </c:pt>
                <c:pt idx="7">
                  <c:v>6.1001159264068772</c:v>
                </c:pt>
                <c:pt idx="8">
                  <c:v>9.9914668643536331</c:v>
                </c:pt>
                <c:pt idx="9">
                  <c:v>5.2830695736796747</c:v>
                </c:pt>
                <c:pt idx="10">
                  <c:v>42.190828954999986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267-AA48-B728-439912F5F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73959137460793"/>
          <c:y val="0.10588235294117651"/>
          <c:w val="0.30555607019710795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896-B946-91C8-1AE5DAAB576B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896-B946-91C8-1AE5DAAB576B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896-B946-91C8-1AE5DAAB576B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896-B946-91C8-1AE5DAAB576B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896-B946-91C8-1AE5DAAB576B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896-B946-91C8-1AE5DAAB576B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896-B946-91C8-1AE5DAAB576B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896-B946-91C8-1AE5DAAB576B}"/>
              </c:ext>
            </c:extLst>
          </c:dPt>
          <c:dPt>
            <c:idx val="8"/>
            <c:bubble3D val="0"/>
            <c:spPr>
              <a:solidFill>
                <a:srgbClr val="FF757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0896-B946-91C8-1AE5DAAB576B}"/>
              </c:ext>
            </c:extLst>
          </c:dPt>
          <c:dPt>
            <c:idx val="9"/>
            <c:bubble3D val="0"/>
            <c:spPr>
              <a:solidFill>
                <a:srgbClr val="FF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0896-B946-91C8-1AE5DAAB576B}"/>
              </c:ext>
            </c:extLst>
          </c:dPt>
          <c:dPt>
            <c:idx val="10"/>
            <c:bubble3D val="0"/>
            <c:spPr>
              <a:solidFill>
                <a:srgbClr val="E6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0896-B946-91C8-1AE5DAAB576B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96-B946-91C8-1AE5DAAB576B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96-B946-91C8-1AE5DAAB576B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96-B946-91C8-1AE5DAAB576B}"/>
                </c:ext>
              </c:extLst>
            </c:dLbl>
            <c:dLbl>
              <c:idx val="3"/>
              <c:layout>
                <c:manualLayout>
                  <c:x val="-0.12042543701645141"/>
                  <c:y val="-4.442698780299523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96-B946-91C8-1AE5DAAB576B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96-B946-91C8-1AE5DAAB576B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96-B946-91C8-1AE5DAAB576B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896-B946-91C8-1AE5DAAB576B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896-B946-91C8-1AE5DAAB576B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de'!$AT$1:$BD$1</c:f>
              <c:strCache>
                <c:ptCount val="11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  <c:pt idx="9">
                  <c:v>Bevölkerung ohne Kanalisation</c:v>
                </c:pt>
                <c:pt idx="10">
                  <c:v>Punktquellen</c:v>
                </c:pt>
              </c:strCache>
            </c:strRef>
          </c:cat>
          <c:val>
            <c:numRef>
              <c:f>('Local emissions'!$GE$90:$GN$90,'Local emissions'!$GO$90)</c:f>
              <c:numCache>
                <c:formatCode>#,#00</c:formatCode>
                <c:ptCount val="11"/>
                <c:pt idx="0">
                  <c:v>1.9868562766090685</c:v>
                </c:pt>
                <c:pt idx="1">
                  <c:v>12.249510359960357</c:v>
                </c:pt>
                <c:pt idx="2">
                  <c:v>0</c:v>
                </c:pt>
                <c:pt idx="3">
                  <c:v>194.18827472753512</c:v>
                </c:pt>
                <c:pt idx="4">
                  <c:v>19.20448001665148</c:v>
                </c:pt>
                <c:pt idx="5">
                  <c:v>5.4609009480140616</c:v>
                </c:pt>
                <c:pt idx="6">
                  <c:v>62.170173791861131</c:v>
                </c:pt>
                <c:pt idx="7">
                  <c:v>6.7779065848965292</c:v>
                </c:pt>
                <c:pt idx="8">
                  <c:v>11.101629849281814</c:v>
                </c:pt>
                <c:pt idx="9">
                  <c:v>5.8700773040885252</c:v>
                </c:pt>
                <c:pt idx="10">
                  <c:v>42.190828954999986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896-B946-91C8-1AE5DAAB5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41497263822407"/>
          <c:y val="0.10588235294117651"/>
          <c:w val="0.39488068893349132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B65-9140-9E1A-564730979671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B65-9140-9E1A-564730979671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B65-9140-9E1A-564730979671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B65-9140-9E1A-564730979671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B65-9140-9E1A-564730979671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B65-9140-9E1A-564730979671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B65-9140-9E1A-564730979671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65-9140-9E1A-564730979671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65-9140-9E1A-564730979671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65-9140-9E1A-564730979671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65-9140-9E1A-564730979671}"/>
                </c:ext>
              </c:extLst>
            </c:dLbl>
            <c:dLbl>
              <c:idx val="4"/>
              <c:layout>
                <c:manualLayout>
                  <c:x val="0.10457516339869286"/>
                  <c:y val="-3.541491431218157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65-9140-9E1A-564730979671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65-9140-9E1A-564730979671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B65-9140-9E1A-564730979671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B65-9140-9E1A-564730979671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emissions'!$HE$90:$HK$90</c:f>
              <c:numCache>
                <c:formatCode>#,#00</c:formatCode>
                <c:ptCount val="7"/>
                <c:pt idx="0">
                  <c:v>42.190828954999986</c:v>
                </c:pt>
                <c:pt idx="1">
                  <c:v>23.749613738266873</c:v>
                </c:pt>
                <c:pt idx="2">
                  <c:v>5.4609009480140616</c:v>
                </c:pt>
                <c:pt idx="3">
                  <c:v>62.228093354281114</c:v>
                </c:pt>
                <c:pt idx="4">
                  <c:v>188.57823371032393</c:v>
                </c:pt>
                <c:pt idx="5">
                  <c:v>1.9868562766090685</c:v>
                </c:pt>
                <c:pt idx="6">
                  <c:v>37.006111831402983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B65-9140-9E1A-564730979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616660662515245"/>
          <c:y val="4.0000000000000022E-2"/>
          <c:w val="0.36002230113392714"/>
          <c:h val="0.91607843137254941"/>
        </c:manualLayout>
      </c:layout>
      <c:overlay val="0"/>
      <c:spPr>
        <a:solidFill>
          <a:srgbClr val="C0C0C0"/>
        </a:solidFill>
        <a:ln w="25400">
          <a:noFill/>
        </a:ln>
      </c:sp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FC3-BD45-8C5E-E0972FC14A6A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FC3-BD45-8C5E-E0972FC14A6A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FC3-BD45-8C5E-E0972FC14A6A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2FC3-BD45-8C5E-E0972FC14A6A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2FC3-BD45-8C5E-E0972FC14A6A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FC3-BD45-8C5E-E0972FC14A6A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FC3-BD45-8C5E-E0972FC14A6A}"/>
              </c:ext>
            </c:extLst>
          </c:dPt>
          <c:dLbls>
            <c:dLbl>
              <c:idx val="0"/>
              <c:layout>
                <c:manualLayout>
                  <c:x val="-3.3306915066989191E-2"/>
                  <c:y val="-5.157301219700477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C3-BD45-8C5E-E0972FC14A6A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C3-BD45-8C5E-E0972FC14A6A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C3-BD45-8C5E-E0972FC14A6A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C3-BD45-8C5E-E0972FC14A6A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C3-BD45-8C5E-E0972FC14A6A}"/>
                </c:ext>
              </c:extLst>
            </c:dLbl>
            <c:dLbl>
              <c:idx val="5"/>
              <c:layout>
                <c:manualLayout>
                  <c:x val="0"/>
                  <c:y val="4.699607843137255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C3-BD45-8C5E-E0972FC14A6A}"/>
                </c:ext>
              </c:extLst>
            </c:dLbl>
            <c:dLbl>
              <c:idx val="6"/>
              <c:layout>
                <c:manualLayout>
                  <c:x val="1.7570377232257739E-2"/>
                  <c:y val="-7.520839895013130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FC3-BD45-8C5E-E0972FC14A6A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C3-BD45-8C5E-E0972FC14A6A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emissions'!$DY$90:$EE$90</c:f>
              <c:numCache>
                <c:formatCode>#,#00</c:formatCode>
                <c:ptCount val="7"/>
                <c:pt idx="0">
                  <c:v>148.24607416333333</c:v>
                </c:pt>
                <c:pt idx="1">
                  <c:v>69.995109966385968</c:v>
                </c:pt>
                <c:pt idx="2">
                  <c:v>9.6846447518065446</c:v>
                </c:pt>
                <c:pt idx="3">
                  <c:v>146.86961093439007</c:v>
                </c:pt>
                <c:pt idx="4">
                  <c:v>277.2447283275792</c:v>
                </c:pt>
                <c:pt idx="5">
                  <c:v>8.5529640888317378</c:v>
                </c:pt>
                <c:pt idx="6">
                  <c:v>114.04351894259241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3-BD45-8C5E-E0972FC14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2527336043778869"/>
          <c:y val="4.6274509803921567E-2"/>
          <c:w val="0.36002230113392714"/>
          <c:h val="0.90980392156862744"/>
        </c:manualLayout>
      </c:layout>
      <c:overlay val="0"/>
      <c:spPr>
        <a:solidFill>
          <a:srgbClr val="C0C0C0"/>
        </a:solidFill>
        <a:ln w="25400">
          <a:noFill/>
        </a:ln>
      </c:sp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2E1-A042-B134-626982152143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2E1-A042-B134-626982152143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2E1-A042-B134-626982152143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2E1-A042-B134-626982152143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2E1-A042-B134-626982152143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2E1-A042-B134-626982152143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2E1-A042-B134-626982152143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E1-A042-B134-626982152143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E1-A042-B134-626982152143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E1-A042-B134-626982152143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E1-A042-B134-626982152143}"/>
                </c:ext>
              </c:extLst>
            </c:dLbl>
            <c:dLbl>
              <c:idx val="4"/>
              <c:layout>
                <c:manualLayout>
                  <c:x val="0"/>
                  <c:y val="-0.15463060058669148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2E1-A042-B134-626982152143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E1-A042-B134-626982152143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2E1-A042-B134-626982152143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2E1-A042-B134-626982152143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emissions'!$HQ$90:$HW$90</c:f>
              <c:numCache>
                <c:formatCode>#,#00</c:formatCode>
                <c:ptCount val="7"/>
                <c:pt idx="0">
                  <c:v>42.190828954999986</c:v>
                </c:pt>
                <c:pt idx="1">
                  <c:v>21.37465236444018</c:v>
                </c:pt>
                <c:pt idx="2">
                  <c:v>5.4609009480140616</c:v>
                </c:pt>
                <c:pt idx="3">
                  <c:v>62.228093354281114</c:v>
                </c:pt>
                <c:pt idx="4">
                  <c:v>125.39750062639912</c:v>
                </c:pt>
                <c:pt idx="5">
                  <c:v>1.9868562766090685</c:v>
                </c:pt>
                <c:pt idx="6">
                  <c:v>12.191590797540369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E1-A042-B134-62698215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616660662515245"/>
          <c:y val="3.0588235294117649E-2"/>
          <c:w val="0.34912905494656299"/>
          <c:h val="0.94745098039215658"/>
        </c:manualLayout>
      </c:layout>
      <c:overlay val="0"/>
      <c:spPr>
        <a:solidFill>
          <a:srgbClr val="C0C0C0"/>
        </a:solidFill>
        <a:ln w="25400">
          <a:noFill/>
        </a:ln>
      </c:sp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87-C945-89EC-846B8580D0EB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87-C945-89EC-846B8580D0EB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C87-C945-89EC-846B8580D0EB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8C87-C945-89EC-846B8580D0EB}"/>
              </c:ext>
            </c:extLst>
          </c:dPt>
          <c:dPt>
            <c:idx val="4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8C87-C945-89EC-846B8580D0EB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8C87-C945-89EC-846B8580D0EB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8C87-C945-89EC-846B8580D0EB}"/>
              </c:ext>
            </c:extLst>
          </c:dPt>
          <c:dLbls>
            <c:dLbl>
              <c:idx val="0"/>
              <c:layout>
                <c:manualLayout>
                  <c:x val="-4.6378810491825767E-2"/>
                  <c:y val="-0.133141639647985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7-C945-89EC-846B8580D0EB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87-C945-89EC-846B8580D0EB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C87-C945-89EC-846B8580D0EB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87-C945-89EC-846B8580D0EB}"/>
                </c:ext>
              </c:extLst>
            </c:dLbl>
            <c:dLbl>
              <c:idx val="4"/>
              <c:layout>
                <c:manualLayout>
                  <c:x val="0"/>
                  <c:y val="-0.1232580515670835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C87-C945-89EC-846B8580D0EB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87-C945-89EC-846B8580D0EB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C87-C945-89EC-846B8580D0EB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C87-C945-89EC-846B8580D0EB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emissions'!$FS$90:$FY$90</c:f>
              <c:numCache>
                <c:formatCode>#,#00</c:formatCode>
                <c:ptCount val="7"/>
                <c:pt idx="0">
                  <c:v>148.24607416333333</c:v>
                </c:pt>
                <c:pt idx="1">
                  <c:v>62.995598969747391</c:v>
                </c:pt>
                <c:pt idx="2">
                  <c:v>9.6846447518065446</c:v>
                </c:pt>
                <c:pt idx="3">
                  <c:v>146.86961093439007</c:v>
                </c:pt>
                <c:pt idx="4">
                  <c:v>187.19235365063102</c:v>
                </c:pt>
                <c:pt idx="5">
                  <c:v>8.5529640888317378</c:v>
                </c:pt>
                <c:pt idx="6">
                  <c:v>46.217987626713743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87-C945-89EC-846B8580D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1655876348789762"/>
          <c:y val="2.4313725490196079E-2"/>
          <c:w val="0.3687368980838181"/>
          <c:h val="0.96313725490196056"/>
        </c:manualLayout>
      </c:layout>
      <c:overlay val="0"/>
      <c:spPr>
        <a:solidFill>
          <a:srgbClr val="C0C0C0"/>
        </a:solidFill>
        <a:ln w="25400">
          <a:noFill/>
        </a:ln>
      </c:sp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FE0-BD4B-9D2F-642906491E20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FE0-BD4B-9D2F-642906491E20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FE0-BD4B-9D2F-642906491E20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FE0-BD4B-9D2F-642906491E20}"/>
              </c:ext>
            </c:extLst>
          </c:dPt>
          <c:dPt>
            <c:idx val="4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1FE0-BD4B-9D2F-642906491E20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FE0-BD4B-9D2F-642906491E20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1FE0-BD4B-9D2F-642906491E20}"/>
              </c:ext>
            </c:extLst>
          </c:dPt>
          <c:dPt>
            <c:idx val="7"/>
            <c:bubble3D val="0"/>
            <c:spPr>
              <a:solidFill>
                <a:srgbClr val="CC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1FE0-BD4B-9D2F-642906491E20}"/>
              </c:ext>
            </c:extLst>
          </c:dPt>
          <c:dPt>
            <c:idx val="8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1FE0-BD4B-9D2F-642906491E20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E0-BD4B-9D2F-642906491E20}"/>
                </c:ext>
              </c:extLst>
            </c:dLbl>
            <c:dLbl>
              <c:idx val="1"/>
              <c:layout>
                <c:manualLayout>
                  <c:x val="-7.8234093287358683E-3"/>
                  <c:y val="1.744511347846226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E0-BD4B-9D2F-642906491E20}"/>
                </c:ext>
              </c:extLst>
            </c:dLbl>
            <c:dLbl>
              <c:idx val="2"/>
              <c:layout>
                <c:manualLayout>
                  <c:x val="-2.5390698711680649E-3"/>
                  <c:y val="6.341503782615411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E0-BD4B-9D2F-642906491E20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E0-BD4B-9D2F-642906491E20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E0-BD4B-9D2F-642906491E20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E0-BD4B-9D2F-642906491E20}"/>
                </c:ext>
              </c:extLst>
            </c:dLbl>
            <c:dLbl>
              <c:idx val="6"/>
              <c:layout>
                <c:manualLayout>
                  <c:x val="8.5108503593913504E-2"/>
                  <c:y val="3.459552261849627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FE0-BD4B-9D2F-642906491E20}"/>
                </c:ext>
              </c:extLst>
            </c:dLbl>
            <c:dLbl>
              <c:idx val="7"/>
              <c:layout>
                <c:manualLayout>
                  <c:x val="1.5250544662309375E-2"/>
                  <c:y val="-6.402717307395398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FE0-BD4B-9D2F-642906491E2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de'!$AT$5:$BB$5</c:f>
              <c:strCache>
                <c:ptCount val="9"/>
                <c:pt idx="0">
                  <c:v>Kommunen und Industrie, Punkteinleitungen</c:v>
                </c:pt>
                <c:pt idx="1">
                  <c:v>Kommunen, sonstige Wasserpfad</c:v>
                </c:pt>
                <c:pt idx="2">
                  <c:v>Landwirt., Luftpfad, NHX, Wald und offene Flächen</c:v>
                </c:pt>
                <c:pt idx="3">
                  <c:v>Landwirt., Luftpfad, NHX, Deposition auf lw Flächen)</c:v>
                </c:pt>
                <c:pt idx="4">
                  <c:v>Landwirtschaft, Drainagen</c:v>
                </c:pt>
                <c:pt idx="5">
                  <c:v>Landwirtschaft, Landbewirtschaftung</c:v>
                </c:pt>
                <c:pt idx="6">
                  <c:v>Kommun. Luftpfad, NOX, Wald und offene Flächen</c:v>
                </c:pt>
                <c:pt idx="7">
                  <c:v>Kommunen Luftpfad NOX über lw Flächen</c:v>
                </c:pt>
                <c:pt idx="8">
                  <c:v>Hintergrund</c:v>
                </c:pt>
              </c:strCache>
            </c:strRef>
          </c:cat>
          <c:val>
            <c:numRef>
              <c:f>'Local emissions'!$CH$90:$CP$90</c:f>
              <c:numCache>
                <c:formatCode>0,000</c:formatCode>
                <c:ptCount val="9"/>
                <c:pt idx="0">
                  <c:v>3059.6327756946671</c:v>
                </c:pt>
                <c:pt idx="1">
                  <c:v>381.45858120259612</c:v>
                </c:pt>
                <c:pt idx="2">
                  <c:v>2498.0545412819865</c:v>
                </c:pt>
                <c:pt idx="3">
                  <c:v>1184.9528860356681</c:v>
                </c:pt>
                <c:pt idx="4">
                  <c:v>827.1553605621267</c:v>
                </c:pt>
                <c:pt idx="5">
                  <c:v>6227.9309206021244</c:v>
                </c:pt>
                <c:pt idx="6">
                  <c:v>1597.3764922506989</c:v>
                </c:pt>
                <c:pt idx="7">
                  <c:v>680.81197147796672</c:v>
                </c:pt>
                <c:pt idx="8">
                  <c:v>2510.7309213601784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FE0-BD4B-9D2F-642906491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052390510009771"/>
          <c:y val="5.4901960784313752E-3"/>
          <c:w val="0.34041445799667225"/>
          <c:h val="0.99450980392156851"/>
        </c:manualLayout>
      </c:layout>
      <c:overlay val="0"/>
      <c:spPr>
        <a:solidFill>
          <a:srgbClr val="C0C0C0"/>
        </a:solidFill>
        <a:ln w="25400">
          <a:noFill/>
        </a:ln>
      </c:sp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0021505516125E-2"/>
          <c:y val="0.12705882352941175"/>
          <c:w val="0.52412688173265987"/>
          <c:h val="0.7411764705882356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A4A-7A44-8078-A3FB969EA874}"/>
              </c:ext>
            </c:extLst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A4A-7A44-8078-A3FB969EA874}"/>
              </c:ext>
            </c:extLst>
          </c:dPt>
          <c:dPt>
            <c:idx val="2"/>
            <c:bubble3D val="0"/>
            <c:spPr>
              <a:solidFill>
                <a:srgbClr val="FCF30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A4A-7A44-8078-A3FB969EA874}"/>
              </c:ext>
            </c:extLst>
          </c:dPt>
          <c:dPt>
            <c:idx val="3"/>
            <c:bubble3D val="0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A4A-7A44-8078-A3FB969EA874}"/>
              </c:ext>
            </c:extLst>
          </c:dPt>
          <c:dPt>
            <c:idx val="4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A4A-7A44-8078-A3FB969EA874}"/>
              </c:ext>
            </c:extLst>
          </c:dPt>
          <c:dPt>
            <c:idx val="5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A4A-7A44-8078-A3FB969EA874}"/>
              </c:ext>
            </c:extLst>
          </c:dPt>
          <c:dPt>
            <c:idx val="6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A4A-7A44-8078-A3FB969EA874}"/>
              </c:ext>
            </c:extLst>
          </c:dPt>
          <c:dPt>
            <c:idx val="7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7A4A-7A44-8078-A3FB969EA874}"/>
              </c:ext>
            </c:extLst>
          </c:dPt>
          <c:dPt>
            <c:idx val="8"/>
            <c:bubble3D val="0"/>
            <c:spPr>
              <a:solidFill>
                <a:srgbClr val="FF757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7A4A-7A44-8078-A3FB969EA874}"/>
              </c:ext>
            </c:extLst>
          </c:dPt>
          <c:dPt>
            <c:idx val="9"/>
            <c:bubble3D val="0"/>
            <c:spPr>
              <a:solidFill>
                <a:srgbClr val="FF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7A4A-7A44-8078-A3FB969EA874}"/>
              </c:ext>
            </c:extLst>
          </c:dPt>
          <c:dPt>
            <c:idx val="10"/>
            <c:bubble3D val="0"/>
            <c:spPr>
              <a:solidFill>
                <a:srgbClr val="E6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7A4A-7A44-8078-A3FB969EA874}"/>
              </c:ext>
            </c:extLst>
          </c:dPt>
          <c:dLbls>
            <c:dLbl>
              <c:idx val="0"/>
              <c:layout>
                <c:manualLayout>
                  <c:x val="-6.6509527250171296E-3"/>
                  <c:y val="-9.490566620348932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A-7A44-8078-A3FB969EA874}"/>
                </c:ext>
              </c:extLst>
            </c:dLbl>
            <c:dLbl>
              <c:idx val="1"/>
              <c:layout>
                <c:manualLayout>
                  <c:x val="-4.4942587333475642E-2"/>
                  <c:y val="-2.621485255519532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A-7A44-8078-A3FB969EA874}"/>
                </c:ext>
              </c:extLst>
            </c:dLbl>
            <c:dLbl>
              <c:idx val="2"/>
              <c:layout>
                <c:manualLayout>
                  <c:x val="-1.9906455120730551E-2"/>
                  <c:y val="-0.1110808090165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A-7A44-8078-A3FB969EA874}"/>
                </c:ext>
              </c:extLst>
            </c:dLbl>
            <c:dLbl>
              <c:idx val="3"/>
              <c:layout>
                <c:manualLayout>
                  <c:x val="2.1475493599905766E-2"/>
                  <c:y val="-5.66452369924347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A-7A44-8078-A3FB969EA874}"/>
                </c:ext>
              </c:extLst>
            </c:dLbl>
            <c:dLbl>
              <c:idx val="4"/>
              <c:layout>
                <c:manualLayout>
                  <c:x val="2.1269188273262941E-2"/>
                  <c:y val="2.21845916319283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A-7A44-8078-A3FB969EA874}"/>
                </c:ext>
              </c:extLst>
            </c:dLbl>
            <c:dLbl>
              <c:idx val="5"/>
              <c:layout>
                <c:manualLayout>
                  <c:x val="9.4465479668618853E-3"/>
                  <c:y val="6.62830322680252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A-7A44-8078-A3FB969EA874}"/>
                </c:ext>
              </c:extLst>
            </c:dLbl>
            <c:dLbl>
              <c:idx val="6"/>
              <c:layout>
                <c:manualLayout>
                  <c:x val="-9.2361359201267954E-3"/>
                  <c:y val="-5.0623436776286238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A-7A44-8078-A3FB969EA874}"/>
                </c:ext>
              </c:extLst>
            </c:dLbl>
            <c:dLbl>
              <c:idx val="7"/>
              <c:layout>
                <c:manualLayout>
                  <c:x val="-5.1841331813556581E-2"/>
                  <c:y val="3.954052802223254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A-7A44-8078-A3FB969EA874}"/>
                </c:ext>
              </c:extLst>
            </c:dLbl>
            <c:dLbl>
              <c:idx val="8"/>
              <c:layout>
                <c:manualLayout>
                  <c:x val="3.5016879129709474E-3"/>
                  <c:y val="-9.499706654315280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A-7A44-8078-A3FB969EA874}"/>
                </c:ext>
              </c:extLst>
            </c:dLbl>
            <c:dLbl>
              <c:idx val="9"/>
              <c:layout>
                <c:manualLayout>
                  <c:x val="4.3990200060267007E-2"/>
                  <c:y val="-5.501213524779991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A-7A44-8078-A3FB969EA874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de'!$AT$1:$BD$1</c:f>
              <c:strCache>
                <c:ptCount val="11"/>
                <c:pt idx="0">
                  <c:v>Deposition</c:v>
                </c:pt>
                <c:pt idx="1">
                  <c:v>Oberflächenabfluss</c:v>
                </c:pt>
                <c:pt idx="2">
                  <c:v>Schneeschmelze</c:v>
                </c:pt>
                <c:pt idx="3">
                  <c:v>Erosion von lw Flächen</c:v>
                </c:pt>
                <c:pt idx="4">
                  <c:v>Erosion von Wald und offenen Flächen</c:v>
                </c:pt>
                <c:pt idx="5">
                  <c:v>Drainage</c:v>
                </c:pt>
                <c:pt idx="6">
                  <c:v>Grundwasser</c:v>
                </c:pt>
                <c:pt idx="7">
                  <c:v>Regenkanalisation</c:v>
                </c:pt>
                <c:pt idx="8">
                  <c:v>Mischwasserentlastung</c:v>
                </c:pt>
                <c:pt idx="9">
                  <c:v>Bevölkerung ohne Kanalisation</c:v>
                </c:pt>
                <c:pt idx="10">
                  <c:v>Punktquellen</c:v>
                </c:pt>
              </c:strCache>
            </c:strRef>
          </c:cat>
          <c:val>
            <c:numRef>
              <c:f>('Local emissions'!$IC$90:$IL$90,'Local emissions'!$IM$90)</c:f>
              <c:numCache>
                <c:formatCode>#,#00</c:formatCode>
                <c:ptCount val="11"/>
                <c:pt idx="0">
                  <c:v>33.070009253912467</c:v>
                </c:pt>
                <c:pt idx="1">
                  <c:v>374.07097950793036</c:v>
                </c:pt>
                <c:pt idx="2">
                  <c:v>0</c:v>
                </c:pt>
                <c:pt idx="3">
                  <c:v>252.95186642502242</c:v>
                </c:pt>
                <c:pt idx="4">
                  <c:v>0.76677543834340067</c:v>
                </c:pt>
                <c:pt idx="5">
                  <c:v>414.39096346538071</c:v>
                </c:pt>
                <c:pt idx="6">
                  <c:v>3026.1976825224983</c:v>
                </c:pt>
                <c:pt idx="7">
                  <c:v>16.325858272350214</c:v>
                </c:pt>
                <c:pt idx="8">
                  <c:v>33.827403558289006</c:v>
                </c:pt>
                <c:pt idx="9">
                  <c:v>16.441272982384149</c:v>
                </c:pt>
                <c:pt idx="10">
                  <c:v>183.57136820744444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A4A-7A44-8078-A3FB969EA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387739594114804"/>
          <c:y val="0.10588235294117651"/>
          <c:w val="0.31114826120944578"/>
          <c:h val="0.77176470588235269"/>
        </c:manualLayout>
      </c:layout>
      <c:overlay val="0"/>
      <c:spPr>
        <a:solidFill>
          <a:srgbClr val="C0C0C0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F39-9B49-836B-C88933DA77DE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F39-9B49-836B-C88933DA77DE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F39-9B49-836B-C88933DA77DE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2F39-9B49-836B-C88933DA77DE}"/>
              </c:ext>
            </c:extLst>
          </c:dPt>
          <c:dPt>
            <c:idx val="4"/>
            <c:bubble3D val="0"/>
            <c:spPr>
              <a:solidFill>
                <a:schemeClr val="accent3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2F39-9B49-836B-C88933DA77DE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F39-9B49-836B-C88933DA77DE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F39-9B49-836B-C88933DA77DE}"/>
              </c:ext>
            </c:extLst>
          </c:dPt>
          <c:dPt>
            <c:idx val="7"/>
            <c:bubble3D val="0"/>
            <c:spPr>
              <a:solidFill>
                <a:srgbClr val="CC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2F39-9B49-836B-C88933DA77DE}"/>
              </c:ext>
            </c:extLst>
          </c:dPt>
          <c:dPt>
            <c:idx val="8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2F39-9B49-836B-C88933DA77DE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9-9B49-836B-C88933DA77DE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9-9B49-836B-C88933DA77DE}"/>
                </c:ext>
              </c:extLst>
            </c:dLbl>
            <c:dLbl>
              <c:idx val="2"/>
              <c:layout>
                <c:manualLayout>
                  <c:x val="-2.5390698711680649E-3"/>
                  <c:y val="-8.7418249189439561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39-9B49-836B-C88933DA77DE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39-9B49-836B-C88933DA77DE}"/>
                </c:ext>
              </c:extLst>
            </c:dLbl>
            <c:dLbl>
              <c:idx val="4"/>
              <c:layout>
                <c:manualLayout>
                  <c:x val="-1.2925030097172888E-2"/>
                  <c:y val="-1.34541299984561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39-9B49-836B-C88933DA77DE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39-9B49-836B-C88933DA77DE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F39-9B49-836B-C88933DA77DE}"/>
                </c:ext>
              </c:extLst>
            </c:dLbl>
            <c:dLbl>
              <c:idx val="7"/>
              <c:layout>
                <c:manualLayout>
                  <c:x val="1.5250544662309375E-2"/>
                  <c:y val="-6.402717307395398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39-9B49-836B-C88933DA77DE}"/>
                </c:ext>
              </c:extLst>
            </c:dLbl>
            <c:dLbl>
              <c:idx val="8"/>
              <c:layout>
                <c:manualLayout>
                  <c:x val="3.8733981781689054E-2"/>
                  <c:y val="-4.016180330399876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39-9B49-836B-C88933DA77DE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de'!$AT$5:$BB$5</c:f>
              <c:strCache>
                <c:ptCount val="9"/>
                <c:pt idx="0">
                  <c:v>Kommunen und Industrie, Punkteinleitungen</c:v>
                </c:pt>
                <c:pt idx="1">
                  <c:v>Kommunen, sonstige Wasserpfad</c:v>
                </c:pt>
                <c:pt idx="2">
                  <c:v>Landwirt., Luftpfad, NHX, Wald und offene Flächen</c:v>
                </c:pt>
                <c:pt idx="3">
                  <c:v>Landwirt., Luftpfad, NHX, Deposition auf lw Flächen)</c:v>
                </c:pt>
                <c:pt idx="4">
                  <c:v>Landwirtschaft, Drainagen</c:v>
                </c:pt>
                <c:pt idx="5">
                  <c:v>Landwirtschaft, Landbewirtschaftung</c:v>
                </c:pt>
                <c:pt idx="6">
                  <c:v>Kommun. Luftpfad, NOX, Wald und offene Flächen</c:v>
                </c:pt>
                <c:pt idx="7">
                  <c:v>Kommunen Luftpfad NOX über lw Flächen</c:v>
                </c:pt>
                <c:pt idx="8">
                  <c:v>Hintergrund</c:v>
                </c:pt>
              </c:strCache>
            </c:strRef>
          </c:cat>
          <c:val>
            <c:numRef>
              <c:f>'Local emissions'!$IP$90:$IX$90</c:f>
              <c:numCache>
                <c:formatCode>#,#00</c:formatCode>
                <c:ptCount val="9"/>
                <c:pt idx="0">
                  <c:v>183.57136820744444</c:v>
                </c:pt>
                <c:pt idx="1">
                  <c:v>66.594534813023358</c:v>
                </c:pt>
                <c:pt idx="2">
                  <c:v>257.03367852881689</c:v>
                </c:pt>
                <c:pt idx="3">
                  <c:v>345.73419558487353</c:v>
                </c:pt>
                <c:pt idx="4">
                  <c:v>414.39096346538071</c:v>
                </c:pt>
                <c:pt idx="5">
                  <c:v>2199.245303654287</c:v>
                </c:pt>
                <c:pt idx="6">
                  <c:v>142.48456915354308</c:v>
                </c:pt>
                <c:pt idx="7">
                  <c:v>190.72022514565322</c:v>
                </c:pt>
                <c:pt idx="8">
                  <c:v>551.83934108053404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F39-9B49-836B-C88933DA7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052390510009771"/>
          <c:y val="2.1176470588235307E-2"/>
          <c:w val="0.34695040570909047"/>
          <c:h val="0.95686274509803926"/>
        </c:manualLayout>
      </c:layout>
      <c:overlay val="0"/>
      <c:spPr>
        <a:solidFill>
          <a:srgbClr val="C0C0C0"/>
        </a:solidFill>
        <a:ln w="25400">
          <a:noFill/>
        </a:ln>
      </c:spPr>
    </c:legend>
    <c:plotVisOnly val="1"/>
    <c:dispBlanksAs val="zero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divot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342-9A42-A30B-11C61C25B33E}"/>
              </c:ext>
            </c:extLst>
          </c:dPt>
          <c:dPt>
            <c:idx val="1"/>
            <c:bubble3D val="0"/>
            <c:spPr>
              <a:pattFill prst="wdDn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342-9A42-A30B-11C61C25B33E}"/>
              </c:ext>
            </c:extLst>
          </c:dPt>
          <c:dPt>
            <c:idx val="2"/>
            <c:bubble3D val="0"/>
            <c:spPr>
              <a:solidFill>
                <a:schemeClr val="bg1">
                  <a:lumMod val="8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342-9A42-A30B-11C61C25B33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342-9A42-A30B-11C61C25B33E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342-9A42-A30B-11C61C25B33E}"/>
              </c:ext>
            </c:extLst>
          </c:dPt>
          <c:dPt>
            <c:idx val="5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342-9A42-A30B-11C61C25B33E}"/>
              </c:ext>
            </c:extLst>
          </c:dPt>
          <c:dPt>
            <c:idx val="6"/>
            <c:bubble3D val="0"/>
            <c:spPr>
              <a:solidFill>
                <a:schemeClr val="bg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342-9A42-A30B-11C61C25B33E}"/>
              </c:ext>
            </c:extLst>
          </c:dPt>
          <c:dLbls>
            <c:dLbl>
              <c:idx val="0"/>
              <c:layout>
                <c:manualLayout>
                  <c:x val="-5.9450697019948408E-2"/>
                  <c:y val="-2.96122278832793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42-9A42-A30B-11C61C25B33E}"/>
                </c:ext>
              </c:extLst>
            </c:dLbl>
            <c:dLbl>
              <c:idx val="1"/>
              <c:layout>
                <c:manualLayout>
                  <c:x val="-1.0002058566208557E-2"/>
                  <c:y val="-0.10805941022078121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42-9A42-A30B-11C61C25B33E}"/>
                </c:ext>
              </c:extLst>
            </c:dLbl>
            <c:dLbl>
              <c:idx val="2"/>
              <c:layout>
                <c:manualLayout>
                  <c:x val="-4.7177191086407522E-3"/>
                  <c:y val="1.321895939478153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42-9A42-A30B-11C61C25B33E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42-9A42-A30B-11C61C25B33E}"/>
                </c:ext>
              </c:extLst>
            </c:dLbl>
            <c:dLbl>
              <c:idx val="4"/>
              <c:layout>
                <c:manualLayout>
                  <c:x val="0.10457516339869286"/>
                  <c:y val="-3.5414914312181571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42-9A42-A30B-11C61C25B33E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42-9A42-A30B-11C61C25B33E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42-9A42-A30B-11C61C25B33E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342-9A42-A30B-11C61C25B33E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emissions'!$HE$90:$HK$90</c:f>
              <c:numCache>
                <c:formatCode>#,#00</c:formatCode>
                <c:ptCount val="7"/>
                <c:pt idx="0">
                  <c:v>42.190828954999986</c:v>
                </c:pt>
                <c:pt idx="1">
                  <c:v>23.749613738266873</c:v>
                </c:pt>
                <c:pt idx="2">
                  <c:v>5.4609009480140616</c:v>
                </c:pt>
                <c:pt idx="3">
                  <c:v>62.228093354281114</c:v>
                </c:pt>
                <c:pt idx="4">
                  <c:v>188.57823371032393</c:v>
                </c:pt>
                <c:pt idx="5">
                  <c:v>1.9868562766090685</c:v>
                </c:pt>
                <c:pt idx="6">
                  <c:v>37.006111831402983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42-9A42-A30B-11C61C25B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616660662515245"/>
          <c:y val="4.0000000000000022E-2"/>
          <c:w val="0.36002230113392714"/>
          <c:h val="0.91607843137254941"/>
        </c:manualLayout>
      </c:layout>
      <c:overlay val="0"/>
      <c:spPr>
        <a:solidFill>
          <a:schemeClr val="bg1"/>
        </a:solidFill>
        <a:ln w="25400">
          <a:noFill/>
        </a:ln>
      </c:spPr>
    </c:legend>
    <c:plotVisOnly val="1"/>
    <c:dispBlanksAs val="zero"/>
    <c:showDLblsOverMax val="0"/>
  </c:chart>
  <c:spPr>
    <a:solidFill>
      <a:schemeClr val="bg1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divot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FC4-7E4E-8DD7-FFBF25E4A0C8}"/>
              </c:ext>
            </c:extLst>
          </c:dPt>
          <c:dPt>
            <c:idx val="1"/>
            <c:bubble3D val="0"/>
            <c:spPr>
              <a:pattFill prst="wdDn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FC4-7E4E-8DD7-FFBF25E4A0C8}"/>
              </c:ext>
            </c:extLst>
          </c:dPt>
          <c:dPt>
            <c:idx val="2"/>
            <c:bubble3D val="0"/>
            <c:spPr>
              <a:solidFill>
                <a:schemeClr val="bg1">
                  <a:lumMod val="8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FC4-7E4E-8DD7-FFBF25E4A0C8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FC4-7E4E-8DD7-FFBF25E4A0C8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FC4-7E4E-8DD7-FFBF25E4A0C8}"/>
              </c:ext>
            </c:extLst>
          </c:dPt>
          <c:dPt>
            <c:idx val="5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FC4-7E4E-8DD7-FFBF25E4A0C8}"/>
              </c:ext>
            </c:extLst>
          </c:dPt>
          <c:dPt>
            <c:idx val="6"/>
            <c:bubble3D val="0"/>
            <c:spPr>
              <a:solidFill>
                <a:schemeClr val="bg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FC4-7E4E-8DD7-FFBF25E4A0C8}"/>
              </c:ext>
            </c:extLst>
          </c:dPt>
          <c:dLbls>
            <c:dLbl>
              <c:idx val="0"/>
              <c:layout>
                <c:manualLayout>
                  <c:x val="-7.1631242173159707E-3"/>
                  <c:y val="-4.514188667593020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C4-7E4E-8DD7-FFBF25E4A0C8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4-7E4E-8DD7-FFBF25E4A0C8}"/>
                </c:ext>
              </c:extLst>
            </c:dLbl>
            <c:dLbl>
              <c:idx val="2"/>
              <c:layout>
                <c:manualLayout>
                  <c:x val="2.1426071741032369E-2"/>
                  <c:y val="-1.50163347228655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C4-7E4E-8DD7-FFBF25E4A0C8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4-7E4E-8DD7-FFBF25E4A0C8}"/>
                </c:ext>
              </c:extLst>
            </c:dLbl>
            <c:dLbl>
              <c:idx val="4"/>
              <c:layout>
                <c:manualLayout>
                  <c:x val="8.932461873638349E-2"/>
                  <c:y val="-4.168942411610313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C4-7E4E-8DD7-FFBF25E4A0C8}"/>
                </c:ext>
              </c:extLst>
            </c:dLbl>
            <c:dLbl>
              <c:idx val="5"/>
              <c:layout>
                <c:manualLayout>
                  <c:x val="0"/>
                  <c:y val="4.699607843137255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4-7E4E-8DD7-FFBF25E4A0C8}"/>
                </c:ext>
              </c:extLst>
            </c:dLbl>
            <c:dLbl>
              <c:idx val="6"/>
              <c:layout>
                <c:manualLayout>
                  <c:x val="-2.0374659049971697E-3"/>
                  <c:y val="8.5718696927589974E-5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FC4-7E4E-8DD7-FFBF25E4A0C8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FC4-7E4E-8DD7-FFBF25E4A0C8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emissions'!$DY$90:$EE$90</c:f>
              <c:numCache>
                <c:formatCode>#,#00</c:formatCode>
                <c:ptCount val="7"/>
                <c:pt idx="0">
                  <c:v>148.24607416333333</c:v>
                </c:pt>
                <c:pt idx="1">
                  <c:v>69.995109966385968</c:v>
                </c:pt>
                <c:pt idx="2">
                  <c:v>9.6846447518065446</c:v>
                </c:pt>
                <c:pt idx="3">
                  <c:v>146.86961093439007</c:v>
                </c:pt>
                <c:pt idx="4">
                  <c:v>277.2447283275792</c:v>
                </c:pt>
                <c:pt idx="5">
                  <c:v>8.5529640888317378</c:v>
                </c:pt>
                <c:pt idx="6">
                  <c:v>114.04351894259241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C4-7E4E-8DD7-FFBF25E4A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2527336043778869"/>
          <c:y val="4.6274509803921567E-2"/>
          <c:w val="0.36002230113392714"/>
          <c:h val="0.90980392156862744"/>
        </c:manualLayout>
      </c:layout>
      <c:overlay val="0"/>
      <c:spPr>
        <a:solidFill>
          <a:schemeClr val="bg1"/>
        </a:solidFill>
        <a:ln w="25400">
          <a:noFill/>
        </a:ln>
      </c:spPr>
    </c:legend>
    <c:plotVisOnly val="1"/>
    <c:dispBlanksAs val="zero"/>
    <c:showDLblsOverMax val="0"/>
  </c:chart>
  <c:spPr>
    <a:solidFill>
      <a:schemeClr val="bg1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divot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8CB-3746-AE59-1CF4BC164F5A}"/>
              </c:ext>
            </c:extLst>
          </c:dPt>
          <c:dPt>
            <c:idx val="1"/>
            <c:bubble3D val="0"/>
            <c:spPr>
              <a:pattFill prst="wdDn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8CB-3746-AE59-1CF4BC164F5A}"/>
              </c:ext>
            </c:extLst>
          </c:dPt>
          <c:dPt>
            <c:idx val="2"/>
            <c:bubble3D val="0"/>
            <c:spPr>
              <a:solidFill>
                <a:schemeClr val="bg1">
                  <a:lumMod val="8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8CB-3746-AE59-1CF4BC164F5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88CB-3746-AE59-1CF4BC164F5A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88CB-3746-AE59-1CF4BC164F5A}"/>
              </c:ext>
            </c:extLst>
          </c:dPt>
          <c:dPt>
            <c:idx val="5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88CB-3746-AE59-1CF4BC164F5A}"/>
              </c:ext>
            </c:extLst>
          </c:dPt>
          <c:dPt>
            <c:idx val="6"/>
            <c:bubble3D val="0"/>
            <c:spPr>
              <a:solidFill>
                <a:schemeClr val="bg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88CB-3746-AE59-1CF4BC164F5A}"/>
              </c:ext>
            </c:extLst>
          </c:dPt>
          <c:dLbls>
            <c:dLbl>
              <c:idx val="0"/>
              <c:layout>
                <c:manualLayout>
                  <c:x val="5.9087712075206302E-3"/>
                  <c:y val="1.744659564613247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CB-3746-AE59-1CF4BC164F5A}"/>
                </c:ext>
              </c:extLst>
            </c:dLbl>
            <c:dLbl>
              <c:idx val="1"/>
              <c:layout>
                <c:manualLayout>
                  <c:x val="-7.0499990748032117E-3"/>
                  <c:y val="8.017588389686584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CB-3746-AE59-1CF4BC164F5A}"/>
                </c:ext>
              </c:extLst>
            </c:dLbl>
            <c:dLbl>
              <c:idx val="2"/>
              <c:layout>
                <c:manualLayout>
                  <c:x val="3.092781746354102E-3"/>
                  <c:y val="4.772876331635016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8CB-3746-AE59-1CF4BC164F5A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CB-3746-AE59-1CF4BC164F5A}"/>
                </c:ext>
              </c:extLst>
            </c:dLbl>
            <c:dLbl>
              <c:idx val="4"/>
              <c:layout>
                <c:manualLayout>
                  <c:x val="8.932461873638349E-2"/>
                  <c:y val="2.419292882507339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8CB-3746-AE59-1CF4BC164F5A}"/>
                </c:ext>
              </c:extLst>
            </c:dLbl>
            <c:dLbl>
              <c:idx val="5"/>
              <c:layout>
                <c:manualLayout>
                  <c:x val="-1.8403238810834922E-2"/>
                  <c:y val="6.211517677937316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CB-3746-AE59-1CF4BC164F5A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8CB-3746-AE59-1CF4BC164F5A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8CB-3746-AE59-1CF4BC164F5A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emissions'!$HQ$90:$HW$90</c:f>
              <c:numCache>
                <c:formatCode>#,#00</c:formatCode>
                <c:ptCount val="7"/>
                <c:pt idx="0">
                  <c:v>42.190828954999986</c:v>
                </c:pt>
                <c:pt idx="1">
                  <c:v>21.37465236444018</c:v>
                </c:pt>
                <c:pt idx="2">
                  <c:v>5.4609009480140616</c:v>
                </c:pt>
                <c:pt idx="3">
                  <c:v>62.228093354281114</c:v>
                </c:pt>
                <c:pt idx="4">
                  <c:v>125.39750062639912</c:v>
                </c:pt>
                <c:pt idx="5">
                  <c:v>1.9868562766090685</c:v>
                </c:pt>
                <c:pt idx="6">
                  <c:v>12.191590797540369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8CB-3746-AE59-1CF4BC164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7374781988402301"/>
          <c:y val="3.0588235294117649E-2"/>
          <c:w val="0.41154773728706545"/>
          <c:h val="0.94745098039215658"/>
        </c:manualLayout>
      </c:layout>
      <c:overlay val="0"/>
      <c:spPr>
        <a:solidFill>
          <a:schemeClr val="bg1"/>
        </a:solidFill>
        <a:ln w="25400">
          <a:noFill/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15748850702205E-2"/>
          <c:y val="0.11764705882352942"/>
          <c:w val="0.52941260948447955"/>
          <c:h val="0.762352941176470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divot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3B2-334D-B595-B3EA9ACE4399}"/>
              </c:ext>
            </c:extLst>
          </c:dPt>
          <c:dPt>
            <c:idx val="1"/>
            <c:bubble3D val="0"/>
            <c:spPr>
              <a:pattFill prst="wdDn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3B2-334D-B595-B3EA9ACE4399}"/>
              </c:ext>
            </c:extLst>
          </c:dPt>
          <c:dPt>
            <c:idx val="2"/>
            <c:bubble3D val="0"/>
            <c:spPr>
              <a:solidFill>
                <a:schemeClr val="bg1">
                  <a:lumMod val="8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3B2-334D-B595-B3EA9ACE439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3B2-334D-B595-B3EA9ACE4399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3B2-334D-B595-B3EA9ACE4399}"/>
              </c:ext>
            </c:extLst>
          </c:dPt>
          <c:dPt>
            <c:idx val="5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F3B2-334D-B595-B3EA9ACE4399}"/>
              </c:ext>
            </c:extLst>
          </c:dPt>
          <c:dPt>
            <c:idx val="6"/>
            <c:bubble3D val="0"/>
            <c:spPr>
              <a:solidFill>
                <a:schemeClr val="bg1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F3B2-334D-B595-B3EA9ACE4399}"/>
              </c:ext>
            </c:extLst>
          </c:dPt>
          <c:dLbls>
            <c:dLbl>
              <c:idx val="0"/>
              <c:layout>
                <c:manualLayout>
                  <c:x val="-4.2021512016880244E-2"/>
                  <c:y val="-6.72592867068087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B2-334D-B595-B3EA9ACE4399}"/>
                </c:ext>
              </c:extLst>
            </c:dLbl>
            <c:dLbl>
              <c:idx val="1"/>
              <c:layout>
                <c:manualLayout>
                  <c:x val="-1.8716655516099703E-2"/>
                  <c:y val="4.881766249807009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B2-334D-B595-B3EA9ACE4399}"/>
                </c:ext>
              </c:extLst>
            </c:dLbl>
            <c:dLbl>
              <c:idx val="2"/>
              <c:layout>
                <c:manualLayout>
                  <c:x val="6.175527078723003E-3"/>
                  <c:y val="1.008170449282075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B2-334D-B595-B3EA9ACE4399}"/>
                </c:ext>
              </c:extLst>
            </c:dLbl>
            <c:dLbl>
              <c:idx val="3"/>
              <c:layout>
                <c:manualLayout>
                  <c:x val="-1.3671679055070541E-2"/>
                  <c:y val="2.63183572641654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B2-334D-B595-B3EA9ACE4399}"/>
                </c:ext>
              </c:extLst>
            </c:dLbl>
            <c:dLbl>
              <c:idx val="4"/>
              <c:layout>
                <c:manualLayout>
                  <c:x val="1.0893246187363833E-2"/>
                  <c:y val="-0.13894432607688748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B2-334D-B595-B3EA9ACE4399}"/>
                </c:ext>
              </c:extLst>
            </c:dLbl>
            <c:dLbl>
              <c:idx val="5"/>
              <c:layout>
                <c:manualLayout>
                  <c:x val="-1.1867291098416628E-2"/>
                  <c:y val="-1.888627450980392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B2-334D-B595-B3EA9ACE4399}"/>
                </c:ext>
              </c:extLst>
            </c:dLbl>
            <c:dLbl>
              <c:idx val="6"/>
              <c:layout>
                <c:manualLayout>
                  <c:x val="8.8558569699557811E-3"/>
                  <c:y val="-3.051536205033275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3B2-334D-B595-B3EA9ACE4399}"/>
                </c:ext>
              </c:extLst>
            </c:dLbl>
            <c:dLbl>
              <c:idx val="7"/>
              <c:layout>
                <c:manualLayout>
                  <c:x val="2.178649237472767E-2"/>
                  <c:y val="4.06561062220163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3B2-334D-B595-B3EA9ACE4399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'Graphs de'!$AT$4:$AZ$4</c:f>
              <c:strCache>
                <c:ptCount val="7"/>
                <c:pt idx="0">
                  <c:v>Kommunen und Industrie (Punkteinleitungen)</c:v>
                </c:pt>
                <c:pt idx="1">
                  <c:v>Kommunen und Industrie (sonstige Eintragspfade)</c:v>
                </c:pt>
                <c:pt idx="2">
                  <c:v>Landwirtschaft (Drainagen)</c:v>
                </c:pt>
                <c:pt idx="3">
                  <c:v>Landwirtsch. (Grundw. und Oberflächenabfl.)</c:v>
                </c:pt>
                <c:pt idx="4">
                  <c:v>Landwirtschaft (Erosion)</c:v>
                </c:pt>
                <c:pt idx="5">
                  <c:v>Deposition</c:v>
                </c:pt>
                <c:pt idx="6">
                  <c:v>Hintergrund</c:v>
                </c:pt>
              </c:strCache>
            </c:strRef>
          </c:cat>
          <c:val>
            <c:numRef>
              <c:f>'Local emissions'!$FS$90:$FY$90</c:f>
              <c:numCache>
                <c:formatCode>#,#00</c:formatCode>
                <c:ptCount val="7"/>
                <c:pt idx="0">
                  <c:v>148.24607416333333</c:v>
                </c:pt>
                <c:pt idx="1">
                  <c:v>62.995598969747391</c:v>
                </c:pt>
                <c:pt idx="2">
                  <c:v>9.6846447518065446</c:v>
                </c:pt>
                <c:pt idx="3">
                  <c:v>146.86961093439007</c:v>
                </c:pt>
                <c:pt idx="4">
                  <c:v>187.19235365063102</c:v>
                </c:pt>
                <c:pt idx="5">
                  <c:v>8.5529640888317378</c:v>
                </c:pt>
                <c:pt idx="6">
                  <c:v>46.217987626713743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3B2-334D-B595-B3EA9ACE4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904827402903766"/>
          <c:y val="2.4313725490196079E-2"/>
          <c:w val="0.43624745008139787"/>
          <c:h val="0.96313725490196056"/>
        </c:manualLayout>
      </c:layout>
      <c:overlay val="0"/>
      <c:spPr>
        <a:solidFill>
          <a:schemeClr val="bg1"/>
        </a:solidFill>
        <a:ln w="25400">
          <a:noFill/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76595744680862"/>
          <c:y val="4.6948464432182625E-2"/>
          <c:w val="0.71914893617021314"/>
          <c:h val="0.79342904890388666"/>
        </c:manualLayout>
      </c:layout>
      <c:scatterChart>
        <c:scatterStyle val="lineMarker"/>
        <c:varyColors val="0"/>
        <c:ser>
          <c:idx val="1"/>
          <c:order val="0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9-3242-BD9A-21053581583E}"/>
            </c:ext>
          </c:extLst>
        </c:ser>
        <c:ser>
          <c:idx val="2"/>
          <c:order val="1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D9-3242-BD9A-21053581583E}"/>
            </c:ext>
          </c:extLst>
        </c:ser>
        <c:ser>
          <c:idx val="3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9-3242-BD9A-21053581583E}"/>
            </c:ext>
          </c:extLst>
        </c:ser>
        <c:ser>
          <c:idx val="4"/>
          <c:order val="3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'Graphs mz'!$Q$4:$Q$39</c:f>
              <c:numCache>
                <c:formatCode>#,#00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'Graphs mz'!$P$4:$P$39</c:f>
              <c:numCache>
                <c:formatCode>#,#00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9-3242-BD9A-21053581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8352"/>
        <c:axId val="49430912"/>
      </c:scatterChart>
      <c:valAx>
        <c:axId val="49428352"/>
        <c:scaling>
          <c:logBase val="10"/>
          <c:orientation val="minMax"/>
          <c:max val="1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Measured DIN loads t N/a</a:t>
                </a:r>
              </a:p>
            </c:rich>
          </c:tx>
          <c:layout>
            <c:manualLayout>
              <c:xMode val="edge"/>
              <c:yMode val="edge"/>
              <c:x val="0.35940135142681634"/>
              <c:y val="0.91314751149064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30912"/>
        <c:crossesAt val="10"/>
        <c:crossBetween val="midCat"/>
      </c:valAx>
      <c:valAx>
        <c:axId val="49430912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DIN loads t N/a        </a:t>
                </a:r>
              </a:p>
            </c:rich>
          </c:tx>
          <c:layout>
            <c:manualLayout>
              <c:xMode val="edge"/>
              <c:yMode val="edge"/>
              <c:x val="2.495850784609371E-2"/>
              <c:y val="0.1690145774031766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28352"/>
        <c:crossesAt val="10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paperSize="9"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03050828323877"/>
          <c:y val="6.1033003761837408E-2"/>
          <c:w val="0.72074732593909663"/>
          <c:h val="0.77699708635262277"/>
        </c:manualLayout>
      </c:layout>
      <c:scatterChart>
        <c:scatterStyle val="lineMarker"/>
        <c:varyColors val="0"/>
        <c:ser>
          <c:idx val="1"/>
          <c:order val="0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A-E94D-9248-4197A93BDDEA}"/>
            </c:ext>
          </c:extLst>
        </c:ser>
        <c:ser>
          <c:idx val="2"/>
          <c:order val="1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5A-E94D-9248-4197A93BDDEA}"/>
            </c:ext>
          </c:extLst>
        </c:ser>
        <c:ser>
          <c:idx val="4"/>
          <c:order val="2"/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'Graphs mz'!$T$4:$T$39</c:f>
              <c:numCache>
                <c:formatCode>#,#00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'Graphs mz'!$S$4:$S$39</c:f>
              <c:numCache>
                <c:formatCode>#,#00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5A-E94D-9248-4197A93BDDEA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5A-E94D-9248-4197A93BD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22848"/>
        <c:axId val="140621312"/>
      </c:scatterChart>
      <c:valAx>
        <c:axId val="140622848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Measured TP loads t P/a</a:t>
                </a:r>
              </a:p>
            </c:rich>
          </c:tx>
          <c:layout>
            <c:manualLayout>
              <c:xMode val="edge"/>
              <c:yMode val="edge"/>
              <c:x val="0.35457567804024526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21312"/>
        <c:crossesAt val="0.1"/>
        <c:crossBetween val="midCat"/>
      </c:valAx>
      <c:valAx>
        <c:axId val="140621312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TP loads t P/a  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22848"/>
        <c:crossesAt val="1.0000000000000005E-2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averages PO4-P</c:v>
          </c:tx>
          <c:xVal>
            <c:numRef>
              <c:f>'Graphs c eng'!$B$4:$B$24</c:f>
              <c:numCache>
                <c:formatCode>0,000</c:formatCode>
                <c:ptCount val="21"/>
                <c:pt idx="0">
                  <c:v>1.1322345753529623E-3</c:v>
                </c:pt>
                <c:pt idx="1">
                  <c:v>3.2577573800905133E-3</c:v>
                </c:pt>
                <c:pt idx="2">
                  <c:v>5.1937232016177667E-3</c:v>
                </c:pt>
                <c:pt idx="3">
                  <c:v>7.3838749995421464E-3</c:v>
                </c:pt>
                <c:pt idx="4">
                  <c:v>9.6728823245250378E-3</c:v>
                </c:pt>
                <c:pt idx="5">
                  <c:v>1.2840147458944094E-2</c:v>
                </c:pt>
                <c:pt idx="6">
                  <c:v>1.5602873576656937E-2</c:v>
                </c:pt>
                <c:pt idx="7">
                  <c:v>1.7698038729985519E-2</c:v>
                </c:pt>
                <c:pt idx="8">
                  <c:v>1.8465816057207582E-2</c:v>
                </c:pt>
                <c:pt idx="9">
                  <c:v>2.2114130183506563E-2</c:v>
                </c:pt>
                <c:pt idx="10">
                  <c:v>2.349876553158595E-2</c:v>
                </c:pt>
                <c:pt idx="11">
                  <c:v>2.5857888790323365E-2</c:v>
                </c:pt>
                <c:pt idx="12">
                  <c:v>3.1331580111728159E-2</c:v>
                </c:pt>
                <c:pt idx="13">
                  <c:v>3.7467671337739372E-2</c:v>
                </c:pt>
                <c:pt idx="14">
                  <c:v>4.5953318896021764E-2</c:v>
                </c:pt>
                <c:pt idx="15">
                  <c:v>5.620671206266864E-2</c:v>
                </c:pt>
                <c:pt idx="16">
                  <c:v>7.0620683493760064E-2</c:v>
                </c:pt>
                <c:pt idx="17">
                  <c:v>8.060086752558103E-2</c:v>
                </c:pt>
                <c:pt idx="18">
                  <c:v>8.6548856305455127E-2</c:v>
                </c:pt>
                <c:pt idx="19">
                  <c:v>9.1215403672192441E-2</c:v>
                </c:pt>
                <c:pt idx="20">
                  <c:v>0.10142280637629937</c:v>
                </c:pt>
              </c:numCache>
            </c:numRef>
          </c:xVal>
          <c:yVal>
            <c:numRef>
              <c:f>'Graphs c eng'!$A$4:$A$24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92-E445-9EE0-8B9996533F6E}"/>
            </c:ext>
          </c:extLst>
        </c:ser>
        <c:ser>
          <c:idx val="1"/>
          <c:order val="1"/>
          <c:tx>
            <c:v>averages from measurments PO4-P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1292-E445-9EE0-8B9996533F6E}"/>
              </c:ext>
            </c:extLst>
          </c:dPt>
          <c:xVal>
            <c:numRef>
              <c:f>'Graphs c eng'!$C$4:$C$24</c:f>
              <c:numCache>
                <c:formatCode>0,000</c:formatCode>
                <c:ptCount val="21"/>
                <c:pt idx="0">
                  <c:v>7.3210035511855048E-3</c:v>
                </c:pt>
                <c:pt idx="1">
                  <c:v>9.4374932315289088E-3</c:v>
                </c:pt>
                <c:pt idx="2">
                  <c:v>1.1614349186782474E-2</c:v>
                </c:pt>
                <c:pt idx="3">
                  <c:v>1.5575262589695485E-2</c:v>
                </c:pt>
                <c:pt idx="4">
                  <c:v>1.9494442854752523E-2</c:v>
                </c:pt>
                <c:pt idx="5">
                  <c:v>2.9536117009637028E-2</c:v>
                </c:pt>
                <c:pt idx="6">
                  <c:v>3.5201468408893967E-2</c:v>
                </c:pt>
                <c:pt idx="7">
                  <c:v>3.7611104267570444E-2</c:v>
                </c:pt>
                <c:pt idx="8">
                  <c:v>3.9400745592052124E-2</c:v>
                </c:pt>
                <c:pt idx="9">
                  <c:v>4.4423985011793621E-2</c:v>
                </c:pt>
                <c:pt idx="10">
                  <c:v>4.7681805202891774E-2</c:v>
                </c:pt>
                <c:pt idx="11">
                  <c:v>5.0911351291888972E-2</c:v>
                </c:pt>
                <c:pt idx="12">
                  <c:v>5.6770302169436682E-2</c:v>
                </c:pt>
                <c:pt idx="13">
                  <c:v>7.626721979388032E-2</c:v>
                </c:pt>
                <c:pt idx="14">
                  <c:v>7.8457096836640899E-2</c:v>
                </c:pt>
                <c:pt idx="15">
                  <c:v>8.2298010402055755E-2</c:v>
                </c:pt>
                <c:pt idx="16">
                  <c:v>8.8769842519414846E-2</c:v>
                </c:pt>
                <c:pt idx="17">
                  <c:v>9.7686365320003729E-2</c:v>
                </c:pt>
                <c:pt idx="18">
                  <c:v>0.10276816397151019</c:v>
                </c:pt>
                <c:pt idx="19">
                  <c:v>0.1177581559964611</c:v>
                </c:pt>
                <c:pt idx="20">
                  <c:v>0.1389500803147857</c:v>
                </c:pt>
              </c:numCache>
            </c:numRef>
          </c:xVal>
          <c:yVal>
            <c:numRef>
              <c:f>'Graphs c eng'!$A$4:$A$24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92-E445-9EE0-8B9996533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0240"/>
        <c:axId val="49932160"/>
      </c:scatterChart>
      <c:valAx>
        <c:axId val="49930240"/>
        <c:scaling>
          <c:orientation val="minMax"/>
          <c:max val="0.15000000000000011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PO4-P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49932160"/>
        <c:crosses val="autoZero"/>
        <c:crossBetween val="midCat"/>
        <c:majorUnit val="5.0000000000000024E-2"/>
      </c:valAx>
      <c:valAx>
        <c:axId val="49932160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93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loads'!$BN$4:$BN$84</c:f>
              <c:numCache>
                <c:formatCode>0,000</c:formatCode>
                <c:ptCount val="81"/>
                <c:pt idx="4">
                  <c:v>2.5159769253261514E-2</c:v>
                </c:pt>
                <c:pt idx="6">
                  <c:v>5.1909621770501964E-2</c:v>
                </c:pt>
                <c:pt idx="8">
                  <c:v>0.14448021085678825</c:v>
                </c:pt>
                <c:pt idx="10">
                  <c:v>0.11934325384768564</c:v>
                </c:pt>
                <c:pt idx="11">
                  <c:v>9.9871718515793628E-2</c:v>
                </c:pt>
                <c:pt idx="12">
                  <c:v>0.10349227533543931</c:v>
                </c:pt>
                <c:pt idx="18">
                  <c:v>1.5717558589079854E-2</c:v>
                </c:pt>
                <c:pt idx="19">
                  <c:v>8.1552226300315347E-2</c:v>
                </c:pt>
                <c:pt idx="20">
                  <c:v>8.3043794503796148E-2</c:v>
                </c:pt>
                <c:pt idx="21">
                  <c:v>7.6393677194191253E-2</c:v>
                </c:pt>
                <c:pt idx="24">
                  <c:v>3.3912464766012541E-2</c:v>
                </c:pt>
                <c:pt idx="33">
                  <c:v>9.303951719922314E-3</c:v>
                </c:pt>
                <c:pt idx="36">
                  <c:v>4.768180520289178E-2</c:v>
                </c:pt>
                <c:pt idx="37">
                  <c:v>5.0800432349820866E-2</c:v>
                </c:pt>
                <c:pt idx="38">
                  <c:v>3.9682052341377311E-2</c:v>
                </c:pt>
                <c:pt idx="40">
                  <c:v>7.6213023765175636E-2</c:v>
                </c:pt>
                <c:pt idx="41">
                  <c:v>4.4950866419617666E-2</c:v>
                </c:pt>
                <c:pt idx="42">
                  <c:v>9.2587207863160562E-2</c:v>
                </c:pt>
                <c:pt idx="48">
                  <c:v>3.606080417081492E-2</c:v>
                </c:pt>
                <c:pt idx="50">
                  <c:v>1.5514278589959326E-2</c:v>
                </c:pt>
                <c:pt idx="51">
                  <c:v>3.8275518594751388E-2</c:v>
                </c:pt>
                <c:pt idx="53">
                  <c:v>1.063936683598826E-2</c:v>
                </c:pt>
                <c:pt idx="58">
                  <c:v>7.3210035511855048E-3</c:v>
                </c:pt>
              </c:numCache>
            </c:numRef>
          </c:xVal>
          <c:yVal>
            <c:numRef>
              <c:f>'River loads'!$BM$4:$BM$84</c:f>
              <c:numCache>
                <c:formatCode>0,000</c:formatCode>
                <c:ptCount val="81"/>
                <c:pt idx="0">
                  <c:v>2.8172204693323454E-2</c:v>
                </c:pt>
                <c:pt idx="1">
                  <c:v>5.6206712062668633E-2</c:v>
                </c:pt>
                <c:pt idx="2">
                  <c:v>3.8629690249752005E-2</c:v>
                </c:pt>
                <c:pt idx="3">
                  <c:v>1.3149143387446487E-2</c:v>
                </c:pt>
                <c:pt idx="4">
                  <c:v>2.5806884458799331E-2</c:v>
                </c:pt>
                <c:pt idx="5">
                  <c:v>2.1350362374961778E-2</c:v>
                </c:pt>
                <c:pt idx="6">
                  <c:v>6.2943150699483336E-2</c:v>
                </c:pt>
                <c:pt idx="7">
                  <c:v>9.1215403672192413E-2</c:v>
                </c:pt>
                <c:pt idx="8">
                  <c:v>8.6548856305455127E-2</c:v>
                </c:pt>
                <c:pt idx="9">
                  <c:v>8.9155369657643577E-2</c:v>
                </c:pt>
                <c:pt idx="10">
                  <c:v>7.7625831873315634E-2</c:v>
                </c:pt>
                <c:pt idx="11">
                  <c:v>8.060086752558103E-2</c:v>
                </c:pt>
                <c:pt idx="12">
                  <c:v>8.3470389744401519E-2</c:v>
                </c:pt>
                <c:pt idx="13">
                  <c:v>5.702341357141149E-2</c:v>
                </c:pt>
                <c:pt idx="14">
                  <c:v>2.5538775071983877E-2</c:v>
                </c:pt>
                <c:pt idx="15">
                  <c:v>3.3861280384131595E-2</c:v>
                </c:pt>
                <c:pt idx="16">
                  <c:v>1.5602873576656937E-2</c:v>
                </c:pt>
                <c:pt idx="17">
                  <c:v>2.3498765531585954E-2</c:v>
                </c:pt>
                <c:pt idx="18">
                  <c:v>1.3139402271117031E-2</c:v>
                </c:pt>
                <c:pt idx="19">
                  <c:v>8.7024150057467636E-2</c:v>
                </c:pt>
                <c:pt idx="20">
                  <c:v>7.8598166337732076E-2</c:v>
                </c:pt>
                <c:pt idx="21">
                  <c:v>9.9235255873170433E-2</c:v>
                </c:pt>
                <c:pt idx="22">
                  <c:v>9.2011131595448908E-2</c:v>
                </c:pt>
                <c:pt idx="23">
                  <c:v>2.2114130183506563E-2</c:v>
                </c:pt>
                <c:pt idx="24">
                  <c:v>3.3418743397650247E-2</c:v>
                </c:pt>
                <c:pt idx="25">
                  <c:v>4.9328560813401104E-2</c:v>
                </c:pt>
                <c:pt idx="26">
                  <c:v>5.1774691851686075E-3</c:v>
                </c:pt>
                <c:pt idx="27">
                  <c:v>5.770801070649016E-3</c:v>
                </c:pt>
                <c:pt idx="28">
                  <c:v>7.3838749995421438E-3</c:v>
                </c:pt>
                <c:pt idx="29">
                  <c:v>1.7698038729985519E-2</c:v>
                </c:pt>
                <c:pt idx="30">
                  <c:v>1.7997731220936147E-2</c:v>
                </c:pt>
                <c:pt idx="31">
                  <c:v>2.6628373063957097E-2</c:v>
                </c:pt>
                <c:pt idx="32">
                  <c:v>4.8430436102357022E-3</c:v>
                </c:pt>
                <c:pt idx="33">
                  <c:v>2.0990054828674932E-2</c:v>
                </c:pt>
                <c:pt idx="34">
                  <c:v>3.2577573800905133E-3</c:v>
                </c:pt>
                <c:pt idx="35">
                  <c:v>1.2840147458944094E-2</c:v>
                </c:pt>
                <c:pt idx="36">
                  <c:v>6.8659075678107362E-2</c:v>
                </c:pt>
                <c:pt idx="37">
                  <c:v>8.2499269888256135E-2</c:v>
                </c:pt>
                <c:pt idx="38">
                  <c:v>0.11017300838881498</c:v>
                </c:pt>
                <c:pt idx="39">
                  <c:v>9.492483737529496E-2</c:v>
                </c:pt>
                <c:pt idx="40">
                  <c:v>7.837523843520236E-2</c:v>
                </c:pt>
                <c:pt idx="41">
                  <c:v>8.7390363442741606E-2</c:v>
                </c:pt>
                <c:pt idx="42">
                  <c:v>8.0993226344562019E-2</c:v>
                </c:pt>
                <c:pt idx="43">
                  <c:v>5.5533341110320109E-3</c:v>
                </c:pt>
                <c:pt idx="44">
                  <c:v>9.6728823245250378E-3</c:v>
                </c:pt>
                <c:pt idx="45">
                  <c:v>5.1937232016177667E-3</c:v>
                </c:pt>
                <c:pt idx="46">
                  <c:v>4.1117383511124136E-3</c:v>
                </c:pt>
                <c:pt idx="47">
                  <c:v>8.6570484577437688E-3</c:v>
                </c:pt>
                <c:pt idx="48">
                  <c:v>3.345048663792894E-2</c:v>
                </c:pt>
                <c:pt idx="49">
                  <c:v>7.0620683493759967E-2</c:v>
                </c:pt>
                <c:pt idx="50">
                  <c:v>2.6143192567185294E-2</c:v>
                </c:pt>
                <c:pt idx="51">
                  <c:v>4.6053843737854226E-2</c:v>
                </c:pt>
                <c:pt idx="52">
                  <c:v>4.0064601492780759E-2</c:v>
                </c:pt>
                <c:pt idx="53">
                  <c:v>1.8457580049310883E-2</c:v>
                </c:pt>
                <c:pt idx="54">
                  <c:v>3.1331580111728159E-2</c:v>
                </c:pt>
                <c:pt idx="55">
                  <c:v>4.1965927602115469E-2</c:v>
                </c:pt>
                <c:pt idx="56">
                  <c:v>2.5475462442636303E-2</c:v>
                </c:pt>
                <c:pt idx="57">
                  <c:v>9.6457053541095517E-3</c:v>
                </c:pt>
                <c:pt idx="58">
                  <c:v>2.2830974367452524E-2</c:v>
                </c:pt>
                <c:pt idx="59">
                  <c:v>1.2156796320513263E-2</c:v>
                </c:pt>
                <c:pt idx="60">
                  <c:v>5.4205878526215862E-2</c:v>
                </c:pt>
                <c:pt idx="61">
                  <c:v>4.5953318896021764E-2</c:v>
                </c:pt>
                <c:pt idx="62">
                  <c:v>3.7467671337739372E-2</c:v>
                </c:pt>
                <c:pt idx="63">
                  <c:v>2.5857888790323365E-2</c:v>
                </c:pt>
                <c:pt idx="64">
                  <c:v>2.2793423847634726E-2</c:v>
                </c:pt>
                <c:pt idx="65">
                  <c:v>1.62725650447628E-2</c:v>
                </c:pt>
                <c:pt idx="66">
                  <c:v>1.4105966590568607E-2</c:v>
                </c:pt>
                <c:pt idx="67">
                  <c:v>1.7392258452872615E-2</c:v>
                </c:pt>
                <c:pt idx="68">
                  <c:v>2.2319110732031609E-2</c:v>
                </c:pt>
                <c:pt idx="69">
                  <c:v>1.6186755570285063E-2</c:v>
                </c:pt>
                <c:pt idx="70">
                  <c:v>9.4016155307711947E-3</c:v>
                </c:pt>
                <c:pt idx="71">
                  <c:v>1.8594971665847931E-2</c:v>
                </c:pt>
                <c:pt idx="72">
                  <c:v>5.3416246176234798E-3</c:v>
                </c:pt>
                <c:pt idx="73">
                  <c:v>2.593682851051569E-3</c:v>
                </c:pt>
                <c:pt idx="74">
                  <c:v>1.1322345753529623E-3</c:v>
                </c:pt>
                <c:pt idx="75">
                  <c:v>1.3445919063256955E-3</c:v>
                </c:pt>
                <c:pt idx="76">
                  <c:v>2.4955501197209094E-3</c:v>
                </c:pt>
                <c:pt idx="77">
                  <c:v>1.0288905394693857E-2</c:v>
                </c:pt>
                <c:pt idx="78">
                  <c:v>1.7841726003166972E-2</c:v>
                </c:pt>
                <c:pt idx="79">
                  <c:v>1.8465816057207582E-2</c:v>
                </c:pt>
                <c:pt idx="80">
                  <c:v>1.2664053682721809E-2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6-5F48-85A0-2188AC47A887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6-5F48-85A0-2188AC47A887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56-5F48-85A0-2188AC47A887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56-5F48-85A0-2188AC47A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46976"/>
        <c:axId val="49669632"/>
      </c:scatterChart>
      <c:valAx>
        <c:axId val="49646976"/>
        <c:scaling>
          <c:orientation val="minMax"/>
          <c:max val="0.2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average PO4-P concentrations measured (mg/l)</a:t>
                </a:r>
              </a:p>
            </c:rich>
          </c:tx>
          <c:layout>
            <c:manualLayout>
              <c:xMode val="edge"/>
              <c:yMode val="edge"/>
              <c:x val="0.35457567804024526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69632"/>
        <c:crossesAt val="0"/>
        <c:crossBetween val="midCat"/>
      </c:valAx>
      <c:valAx>
        <c:axId val="49669632"/>
        <c:scaling>
          <c:orientation val="minMax"/>
          <c:max val="0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PO4-P concentrations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46976"/>
        <c:crossesAt val="0"/>
        <c:crossBetween val="midCat"/>
        <c:majorUnit val="5.0000000000000024E-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C-90</c:v>
          </c:tx>
          <c:xVal>
            <c:numRef>
              <c:f>'Graphs c eng'!$D$4:$D$24</c:f>
              <c:numCache>
                <c:formatCode>0,000</c:formatCode>
                <c:ptCount val="21"/>
                <c:pt idx="0">
                  <c:v>1.7418993466968651E-3</c:v>
                </c:pt>
                <c:pt idx="1">
                  <c:v>5.0119344309084816E-3</c:v>
                </c:pt>
                <c:pt idx="2">
                  <c:v>7.9903433871042553E-3</c:v>
                </c:pt>
                <c:pt idx="3">
                  <c:v>1.1359807691603302E-2</c:v>
                </c:pt>
                <c:pt idx="4">
                  <c:v>1.4881357422346211E-2</c:v>
                </c:pt>
                <c:pt idx="5">
                  <c:v>1.9754073013760143E-2</c:v>
                </c:pt>
                <c:pt idx="6">
                  <c:v>2.4004420887164517E-2</c:v>
                </c:pt>
                <c:pt idx="7">
                  <c:v>2.7227751892285414E-2</c:v>
                </c:pt>
                <c:pt idx="8">
                  <c:v>2.8408947780319355E-2</c:v>
                </c:pt>
                <c:pt idx="9">
                  <c:v>3.402173874385625E-2</c:v>
                </c:pt>
                <c:pt idx="10">
                  <c:v>3.6151946971670693E-2</c:v>
                </c:pt>
                <c:pt idx="11">
                  <c:v>3.9781367369728253E-2</c:v>
                </c:pt>
                <c:pt idx="12">
                  <c:v>4.8202430941120242E-2</c:v>
                </c:pt>
                <c:pt idx="13">
                  <c:v>5.7642571288829804E-2</c:v>
                </c:pt>
                <c:pt idx="14">
                  <c:v>7.069741368618733E-2</c:v>
                </c:pt>
                <c:pt idx="15">
                  <c:v>8.6471864711797908E-2</c:v>
                </c:pt>
                <c:pt idx="16">
                  <c:v>0.10864720537501549</c:v>
                </c:pt>
                <c:pt idx="17">
                  <c:v>0.12400133465474006</c:v>
                </c:pt>
                <c:pt idx="18">
                  <c:v>0.13315208662377712</c:v>
                </c:pt>
                <c:pt idx="19">
                  <c:v>0.14033139026491143</c:v>
                </c:pt>
                <c:pt idx="20">
                  <c:v>0.15603508673276825</c:v>
                </c:pt>
              </c:numCache>
            </c:numRef>
          </c:xVal>
          <c:yVal>
            <c:numRef>
              <c:f>'Graphs c eng'!$A$4:$A$24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08-724E-A829-042874FDADDA}"/>
            </c:ext>
          </c:extLst>
        </c:ser>
        <c:ser>
          <c:idx val="1"/>
          <c:order val="1"/>
          <c:tx>
            <c:v>measured C-90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208-724E-A829-042874FDADDA}"/>
              </c:ext>
            </c:extLst>
          </c:dPt>
          <c:xVal>
            <c:numRef>
              <c:f>'Graphs c eng'!$E$4:$E$24</c:f>
              <c:numCache>
                <c:formatCode>0,000</c:formatCode>
                <c:ptCount val="21"/>
                <c:pt idx="0">
                  <c:v>1.2999999999999999E-2</c:v>
                </c:pt>
                <c:pt idx="1">
                  <c:v>1.635E-2</c:v>
                </c:pt>
                <c:pt idx="2">
                  <c:v>2.2320000000000003E-2</c:v>
                </c:pt>
                <c:pt idx="3">
                  <c:v>3.5645000000000003E-2</c:v>
                </c:pt>
                <c:pt idx="4">
                  <c:v>3.9740000000000004E-2</c:v>
                </c:pt>
                <c:pt idx="5">
                  <c:v>4.4249999999999998E-2</c:v>
                </c:pt>
                <c:pt idx="6">
                  <c:v>5.1130000000000002E-2</c:v>
                </c:pt>
                <c:pt idx="7">
                  <c:v>5.7629999999999994E-2</c:v>
                </c:pt>
                <c:pt idx="8">
                  <c:v>6.1619999999999994E-2</c:v>
                </c:pt>
                <c:pt idx="9">
                  <c:v>6.3049999999999995E-2</c:v>
                </c:pt>
                <c:pt idx="10">
                  <c:v>6.8999999999999978E-2</c:v>
                </c:pt>
                <c:pt idx="11">
                  <c:v>7.5899999999999995E-2</c:v>
                </c:pt>
                <c:pt idx="12">
                  <c:v>0.11607999999999997</c:v>
                </c:pt>
                <c:pt idx="13">
                  <c:v>0.13</c:v>
                </c:pt>
                <c:pt idx="14">
                  <c:v>0.13300000000000001</c:v>
                </c:pt>
                <c:pt idx="15">
                  <c:v>0.14074999999999999</c:v>
                </c:pt>
                <c:pt idx="16">
                  <c:v>0.15</c:v>
                </c:pt>
                <c:pt idx="17">
                  <c:v>0.15650000000000006</c:v>
                </c:pt>
                <c:pt idx="18">
                  <c:v>0.16290000000000016</c:v>
                </c:pt>
                <c:pt idx="19">
                  <c:v>0.19100000000000017</c:v>
                </c:pt>
                <c:pt idx="20">
                  <c:v>0.22911000000000004</c:v>
                </c:pt>
              </c:numCache>
            </c:numRef>
          </c:xVal>
          <c:yVal>
            <c:numRef>
              <c:f>'Graphs c eng'!$A$4:$A$24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08-724E-A829-042874FD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93056"/>
        <c:axId val="49694976"/>
      </c:scatterChart>
      <c:valAx>
        <c:axId val="49693056"/>
        <c:scaling>
          <c:orientation val="minMax"/>
          <c:max val="0.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PO4-P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49694976"/>
        <c:crosses val="autoZero"/>
        <c:crossBetween val="midCat"/>
        <c:majorUnit val="5.0000000000000024E-2"/>
      </c:valAx>
      <c:valAx>
        <c:axId val="49694976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69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27445909886264241"/>
          <c:h val="0.1149489781362041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'River loads'!$BQ$4:$BQ$84</c:f>
              <c:strCache>
                <c:ptCount val="81"/>
                <c:pt idx="0">
                  <c:v>n.b.</c:v>
                </c:pt>
                <c:pt idx="1">
                  <c:v>n.b.</c:v>
                </c:pt>
                <c:pt idx="2">
                  <c:v>n.b.</c:v>
                </c:pt>
                <c:pt idx="3">
                  <c:v>n.b.</c:v>
                </c:pt>
                <c:pt idx="4">
                  <c:v>0,04</c:v>
                </c:pt>
                <c:pt idx="5">
                  <c:v>n.b.</c:v>
                </c:pt>
                <c:pt idx="6">
                  <c:v>0,0612</c:v>
                </c:pt>
                <c:pt idx="7">
                  <c:v>n.b.</c:v>
                </c:pt>
                <c:pt idx="8">
                  <c:v>0,2</c:v>
                </c:pt>
                <c:pt idx="9">
                  <c:v>0,18</c:v>
                </c:pt>
                <c:pt idx="10">
                  <c:v>0,241</c:v>
                </c:pt>
                <c:pt idx="11">
                  <c:v>0,15</c:v>
                </c:pt>
                <c:pt idx="12">
                  <c:v>0,141</c:v>
                </c:pt>
                <c:pt idx="13">
                  <c:v>0,034</c:v>
                </c:pt>
                <c:pt idx="14">
                  <c:v>n.b.</c:v>
                </c:pt>
                <c:pt idx="15">
                  <c:v>n.b.</c:v>
                </c:pt>
                <c:pt idx="16">
                  <c:v>n.b.</c:v>
                </c:pt>
                <c:pt idx="17">
                  <c:v>n.b.</c:v>
                </c:pt>
                <c:pt idx="18">
                  <c:v>0,0387</c:v>
                </c:pt>
                <c:pt idx="19">
                  <c:v>0,13</c:v>
                </c:pt>
                <c:pt idx="20">
                  <c:v>0,13</c:v>
                </c:pt>
                <c:pt idx="21">
                  <c:v>0,13</c:v>
                </c:pt>
                <c:pt idx="22">
                  <c:v>0,161</c:v>
                </c:pt>
                <c:pt idx="23">
                  <c:v>0,0498</c:v>
                </c:pt>
                <c:pt idx="24">
                  <c:v>0,057</c:v>
                </c:pt>
                <c:pt idx="25">
                  <c:v>n.b.</c:v>
                </c:pt>
                <c:pt idx="26">
                  <c:v>n.b.</c:v>
                </c:pt>
                <c:pt idx="27">
                  <c:v>n.b.</c:v>
                </c:pt>
                <c:pt idx="28">
                  <c:v>n.b.</c:v>
                </c:pt>
                <c:pt idx="29">
                  <c:v>n.b.</c:v>
                </c:pt>
                <c:pt idx="30">
                  <c:v>n.b.</c:v>
                </c:pt>
                <c:pt idx="31">
                  <c:v>n.b.</c:v>
                </c:pt>
                <c:pt idx="32">
                  <c:v>n.b.</c:v>
                </c:pt>
                <c:pt idx="33">
                  <c:v>0,018</c:v>
                </c:pt>
                <c:pt idx="34">
                  <c:v>n.b.</c:v>
                </c:pt>
                <c:pt idx="35">
                  <c:v>n.b.</c:v>
                </c:pt>
                <c:pt idx="36">
                  <c:v>0,074</c:v>
                </c:pt>
                <c:pt idx="37">
                  <c:v>0,076</c:v>
                </c:pt>
                <c:pt idx="38">
                  <c:v>0,064</c:v>
                </c:pt>
                <c:pt idx="39">
                  <c:v>n.b.</c:v>
                </c:pt>
                <c:pt idx="40">
                  <c:v>0,14</c:v>
                </c:pt>
                <c:pt idx="41">
                  <c:v>0,15</c:v>
                </c:pt>
                <c:pt idx="42">
                  <c:v>0,16</c:v>
                </c:pt>
                <c:pt idx="43">
                  <c:v>n.b.</c:v>
                </c:pt>
                <c:pt idx="44">
                  <c:v>n.b.</c:v>
                </c:pt>
                <c:pt idx="45">
                  <c:v>n.b.</c:v>
                </c:pt>
                <c:pt idx="46">
                  <c:v>n.b.</c:v>
                </c:pt>
                <c:pt idx="47">
                  <c:v>n.b.</c:v>
                </c:pt>
                <c:pt idx="48">
                  <c:v>0,063</c:v>
                </c:pt>
                <c:pt idx="49">
                  <c:v>0,1068</c:v>
                </c:pt>
                <c:pt idx="50">
                  <c:v>0,0228</c:v>
                </c:pt>
                <c:pt idx="51">
                  <c:v>0,0619</c:v>
                </c:pt>
                <c:pt idx="52">
                  <c:v>n.b.</c:v>
                </c:pt>
                <c:pt idx="53">
                  <c:v>0,015</c:v>
                </c:pt>
                <c:pt idx="54">
                  <c:v>n.b.</c:v>
                </c:pt>
                <c:pt idx="55">
                  <c:v>n.b.</c:v>
                </c:pt>
                <c:pt idx="56">
                  <c:v>n.b.</c:v>
                </c:pt>
                <c:pt idx="57">
                  <c:v>n.b.</c:v>
                </c:pt>
                <c:pt idx="58">
                  <c:v>0,013</c:v>
                </c:pt>
                <c:pt idx="59">
                  <c:v>n.b.</c:v>
                </c:pt>
                <c:pt idx="60">
                  <c:v>0,0517</c:v>
                </c:pt>
                <c:pt idx="61">
                  <c:v>n.b.</c:v>
                </c:pt>
                <c:pt idx="62">
                  <c:v>0,0424</c:v>
                </c:pt>
                <c:pt idx="63">
                  <c:v>n.b.</c:v>
                </c:pt>
                <c:pt idx="64">
                  <c:v>n.b.</c:v>
                </c:pt>
                <c:pt idx="65">
                  <c:v>n.b.</c:v>
                </c:pt>
                <c:pt idx="66">
                  <c:v>n.b.</c:v>
                </c:pt>
                <c:pt idx="67">
                  <c:v>n.b.</c:v>
                </c:pt>
                <c:pt idx="68">
                  <c:v>n.b.</c:v>
                </c:pt>
                <c:pt idx="69">
                  <c:v>n.b.</c:v>
                </c:pt>
                <c:pt idx="70">
                  <c:v>n.b.</c:v>
                </c:pt>
                <c:pt idx="71">
                  <c:v>n.b.</c:v>
                </c:pt>
                <c:pt idx="72">
                  <c:v>n.b.</c:v>
                </c:pt>
                <c:pt idx="73">
                  <c:v>n.b.</c:v>
                </c:pt>
                <c:pt idx="74">
                  <c:v>n.b.</c:v>
                </c:pt>
                <c:pt idx="75">
                  <c:v>n.b.</c:v>
                </c:pt>
                <c:pt idx="76">
                  <c:v>n.b.</c:v>
                </c:pt>
                <c:pt idx="77">
                  <c:v>n.b.</c:v>
                </c:pt>
                <c:pt idx="78">
                  <c:v>n.b.</c:v>
                </c:pt>
                <c:pt idx="79">
                  <c:v>n.b.</c:v>
                </c:pt>
                <c:pt idx="80">
                  <c:v>n.b.</c:v>
                </c:pt>
              </c:strCache>
            </c:str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F-F140-9717-40A181A1F5CC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F-F140-9717-40A181A1F5CC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F-F140-9717-40A181A1F5CC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AF-F140-9717-40A181A1F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552"/>
        <c:axId val="49817472"/>
      </c:scatterChart>
      <c:valAx>
        <c:axId val="49815552"/>
        <c:scaling>
          <c:orientation val="minMax"/>
          <c:max val="0.3000000000000002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measured PO4-P C-90 (mg/l)</a:t>
                </a:r>
              </a:p>
            </c:rich>
          </c:tx>
          <c:layout>
            <c:manualLayout>
              <c:xMode val="edge"/>
              <c:yMode val="edge"/>
              <c:x val="0.35457567804024526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17472"/>
        <c:crossesAt val="0"/>
        <c:crossBetween val="midCat"/>
      </c:valAx>
      <c:valAx>
        <c:axId val="49817472"/>
        <c:scaling>
          <c:orientation val="minMax"/>
          <c:max val="0.3000000000000002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PO4-P C-900</a:t>
                </a:r>
                <a:r>
                  <a:rPr lang="de-DE" baseline="0"/>
                  <a:t> </a:t>
                </a:r>
                <a:r>
                  <a:rPr lang="de-DE"/>
                  <a:t>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15552"/>
        <c:crossesAt val="0"/>
        <c:crossBetween val="midCat"/>
        <c:majorUnit val="5.0000000000000024E-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TP</c:v>
          </c:tx>
          <c:xVal>
            <c:numRef>
              <c:f>'Graphs c eng'!$B$29:$B$49</c:f>
              <c:numCache>
                <c:formatCode>0,000</c:formatCode>
                <c:ptCount val="21"/>
                <c:pt idx="0">
                  <c:v>5.1972960237561998E-3</c:v>
                </c:pt>
                <c:pt idx="1">
                  <c:v>8.9048714971147781E-3</c:v>
                </c:pt>
                <c:pt idx="2">
                  <c:v>1.2269101261775685E-2</c:v>
                </c:pt>
                <c:pt idx="3">
                  <c:v>1.6826112048516324E-2</c:v>
                </c:pt>
                <c:pt idx="4">
                  <c:v>2.0601503532891807E-2</c:v>
                </c:pt>
                <c:pt idx="5">
                  <c:v>2.3477366384890758E-2</c:v>
                </c:pt>
                <c:pt idx="6">
                  <c:v>2.5955951593671738E-2</c:v>
                </c:pt>
                <c:pt idx="7">
                  <c:v>3.0373117764175495E-2</c:v>
                </c:pt>
                <c:pt idx="8">
                  <c:v>3.3531835804240288E-2</c:v>
                </c:pt>
                <c:pt idx="9">
                  <c:v>4.1662542393360064E-2</c:v>
                </c:pt>
                <c:pt idx="10">
                  <c:v>4.3509228084652997E-2</c:v>
                </c:pt>
                <c:pt idx="11">
                  <c:v>4.4893154830520046E-2</c:v>
                </c:pt>
                <c:pt idx="12">
                  <c:v>5.5198013054885572E-2</c:v>
                </c:pt>
                <c:pt idx="13">
                  <c:v>6.7904047965280059E-2</c:v>
                </c:pt>
                <c:pt idx="14">
                  <c:v>8.0226360587548659E-2</c:v>
                </c:pt>
                <c:pt idx="15">
                  <c:v>0.10728702186777463</c:v>
                </c:pt>
                <c:pt idx="16">
                  <c:v>0.12822574022161276</c:v>
                </c:pt>
                <c:pt idx="17">
                  <c:v>0.14354933621371205</c:v>
                </c:pt>
                <c:pt idx="18">
                  <c:v>0.15827461776940474</c:v>
                </c:pt>
                <c:pt idx="19">
                  <c:v>0.18183219043032181</c:v>
                </c:pt>
                <c:pt idx="20">
                  <c:v>0.19592196423419164</c:v>
                </c:pt>
              </c:numCache>
            </c:numRef>
          </c:xVal>
          <c:yVal>
            <c:numRef>
              <c:f>'Graphs c eng'!$A$29:$A$49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45-2142-A88D-B2712DFA80BA}"/>
            </c:ext>
          </c:extLst>
        </c:ser>
        <c:ser>
          <c:idx val="1"/>
          <c:order val="1"/>
          <c:tx>
            <c:v>measured TP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A345-2142-A88D-B2712DFA80BA}"/>
              </c:ext>
            </c:extLst>
          </c:dPt>
          <c:xVal>
            <c:numRef>
              <c:f>'Graphs c eng'!$C$29:$C$49</c:f>
              <c:numCache>
                <c:formatCode>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'Graphs c eng'!$A$29:$A$49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45-2142-A88D-B2712DFA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2800"/>
        <c:axId val="49854720"/>
      </c:scatterChart>
      <c:valAx>
        <c:axId val="49852800"/>
        <c:scaling>
          <c:orientation val="minMax"/>
          <c:max val="0.30000000000000021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TP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49854720"/>
        <c:crosses val="autoZero"/>
        <c:crossBetween val="midCat"/>
        <c:majorUnit val="5.0000000000000024E-2"/>
      </c:valAx>
      <c:valAx>
        <c:axId val="49854720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852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loads'!#REF!</c:f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8A-AB47-8616-E1C69625BC2E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8A-AB47-8616-E1C69625BC2E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8A-AB47-8616-E1C69625BC2E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8A-AB47-8616-E1C69625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9520"/>
        <c:axId val="54629888"/>
      </c:scatterChart>
      <c:valAx>
        <c:axId val="54619520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average TP concentrations measured (mg/l)</a:t>
                </a:r>
              </a:p>
            </c:rich>
          </c:tx>
          <c:layout>
            <c:manualLayout>
              <c:xMode val="edge"/>
              <c:yMode val="edge"/>
              <c:x val="0.1965160161431434"/>
              <c:y val="0.9076629303689980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29888"/>
        <c:crossesAt val="0"/>
        <c:crossBetween val="midCat"/>
      </c:valAx>
      <c:valAx>
        <c:axId val="54629888"/>
        <c:scaling>
          <c:orientation val="minMax"/>
          <c:max val="0.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TP concentrations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520"/>
        <c:crossesAt val="0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averages DIN</c:v>
          </c:tx>
          <c:xVal>
            <c:numRef>
              <c:f>'Graphs c eng'!$B$57:$B$77</c:f>
              <c:numCache>
                <c:formatCode>0,000</c:formatCode>
                <c:ptCount val="21"/>
                <c:pt idx="0">
                  <c:v>0.41140284325176629</c:v>
                </c:pt>
                <c:pt idx="1">
                  <c:v>0.51281532618072256</c:v>
                </c:pt>
                <c:pt idx="2">
                  <c:v>0.58325002459189834</c:v>
                </c:pt>
                <c:pt idx="3">
                  <c:v>0.68411705306112736</c:v>
                </c:pt>
                <c:pt idx="4">
                  <c:v>0.77184508033378207</c:v>
                </c:pt>
                <c:pt idx="5">
                  <c:v>0.88027837432211598</c:v>
                </c:pt>
                <c:pt idx="6">
                  <c:v>0.94820944610177316</c:v>
                </c:pt>
                <c:pt idx="7">
                  <c:v>1.0571915877724458</c:v>
                </c:pt>
                <c:pt idx="8">
                  <c:v>1.2624053779914362</c:v>
                </c:pt>
                <c:pt idx="9">
                  <c:v>1.4370458287534633</c:v>
                </c:pt>
                <c:pt idx="10">
                  <c:v>1.5022418610239929</c:v>
                </c:pt>
                <c:pt idx="11">
                  <c:v>1.6613917586774296</c:v>
                </c:pt>
                <c:pt idx="12">
                  <c:v>1.8734991491935404</c:v>
                </c:pt>
                <c:pt idx="13">
                  <c:v>1.936641913316189</c:v>
                </c:pt>
                <c:pt idx="14">
                  <c:v>2.0186129017405721</c:v>
                </c:pt>
                <c:pt idx="15">
                  <c:v>2.4354076929624147</c:v>
                </c:pt>
                <c:pt idx="16">
                  <c:v>2.5104786968023665</c:v>
                </c:pt>
                <c:pt idx="17">
                  <c:v>2.818753715060005</c:v>
                </c:pt>
                <c:pt idx="18">
                  <c:v>2.9538660241678496</c:v>
                </c:pt>
                <c:pt idx="19">
                  <c:v>3.2671292679132948</c:v>
                </c:pt>
                <c:pt idx="20">
                  <c:v>3.762087289993707</c:v>
                </c:pt>
              </c:numCache>
            </c:numRef>
          </c:xVal>
          <c:yVal>
            <c:numRef>
              <c:f>'Graphs c eng'!$A$57:$A$77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F7-F241-A51A-5021120BF90F}"/>
            </c:ext>
          </c:extLst>
        </c:ser>
        <c:ser>
          <c:idx val="1"/>
          <c:order val="1"/>
          <c:tx>
            <c:v>averages from measurments DIN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ABF7-F241-A51A-5021120BF90F}"/>
              </c:ext>
            </c:extLst>
          </c:dPt>
          <c:xVal>
            <c:numRef>
              <c:f>'Graphs c eng'!$C$57:$C$77</c:f>
              <c:numCache>
                <c:formatCode>0,000</c:formatCode>
                <c:ptCount val="21"/>
                <c:pt idx="0">
                  <c:v>0.51242475728155301</c:v>
                </c:pt>
                <c:pt idx="1">
                  <c:v>0.69342899038461536</c:v>
                </c:pt>
                <c:pt idx="2">
                  <c:v>0.90868034540702058</c:v>
                </c:pt>
                <c:pt idx="3">
                  <c:v>1.071699239346551</c:v>
                </c:pt>
                <c:pt idx="4">
                  <c:v>1.3874354079536939</c:v>
                </c:pt>
                <c:pt idx="5">
                  <c:v>1.46291538461538</c:v>
                </c:pt>
                <c:pt idx="6">
                  <c:v>1.5960300330032979</c:v>
                </c:pt>
                <c:pt idx="7">
                  <c:v>1.7183890614886719</c:v>
                </c:pt>
                <c:pt idx="8">
                  <c:v>2.0106665999999995</c:v>
                </c:pt>
                <c:pt idx="9">
                  <c:v>2.2327386165413543</c:v>
                </c:pt>
                <c:pt idx="10">
                  <c:v>2.3237448979591799</c:v>
                </c:pt>
                <c:pt idx="11">
                  <c:v>2.45795786904762</c:v>
                </c:pt>
                <c:pt idx="12">
                  <c:v>2.4811050691244279</c:v>
                </c:pt>
                <c:pt idx="13">
                  <c:v>2.5588147233546903</c:v>
                </c:pt>
                <c:pt idx="14">
                  <c:v>2.9169598141414159</c:v>
                </c:pt>
                <c:pt idx="15">
                  <c:v>3.0674520000000003</c:v>
                </c:pt>
                <c:pt idx="16">
                  <c:v>3.1376124000000001</c:v>
                </c:pt>
                <c:pt idx="17">
                  <c:v>3.3341996116504866</c:v>
                </c:pt>
                <c:pt idx="18">
                  <c:v>3.7934601980198002</c:v>
                </c:pt>
                <c:pt idx="19">
                  <c:v>3.8610871287128758</c:v>
                </c:pt>
                <c:pt idx="20">
                  <c:v>5.5549827326732659</c:v>
                </c:pt>
              </c:numCache>
            </c:numRef>
          </c:xVal>
          <c:yVal>
            <c:numRef>
              <c:f>'Graphs c eng'!$A$57:$A$77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F7-F241-A51A-5021120BF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4848"/>
        <c:axId val="54736768"/>
      </c:scatterChart>
      <c:valAx>
        <c:axId val="54734848"/>
        <c:scaling>
          <c:orientation val="minMax"/>
          <c:max val="6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DIN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54736768"/>
        <c:crosses val="autoZero"/>
        <c:crossBetween val="midCat"/>
        <c:majorUnit val="1"/>
      </c:valAx>
      <c:valAx>
        <c:axId val="54736768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473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0.21379008269127667"/>
                  <c:y val="-0.18185999691215071"/>
                </c:manualLayout>
              </c:layout>
              <c:numFmt formatCode="General" sourceLinked="0"/>
            </c:trendlineLbl>
          </c:trendline>
          <c:xVal>
            <c:numRef>
              <c:f>'River loads'!$BX$4:$BX$84</c:f>
              <c:numCache>
                <c:formatCode>0,000</c:formatCode>
                <c:ptCount val="81"/>
                <c:pt idx="4">
                  <c:v>1.7702222222222199</c:v>
                </c:pt>
                <c:pt idx="6">
                  <c:v>2.9039767676767698</c:v>
                </c:pt>
                <c:pt idx="8">
                  <c:v>2.3237448979591799</c:v>
                </c:pt>
                <c:pt idx="9">
                  <c:v>2.4810642857142899</c:v>
                </c:pt>
                <c:pt idx="10">
                  <c:v>2.1632099999999999</c:v>
                </c:pt>
                <c:pt idx="11">
                  <c:v>3.1379779999999999</c:v>
                </c:pt>
                <c:pt idx="12">
                  <c:v>3.0674519999999998</c:v>
                </c:pt>
                <c:pt idx="13">
                  <c:v>1.22843790419162</c:v>
                </c:pt>
                <c:pt idx="18">
                  <c:v>1.44871490384615</c:v>
                </c:pt>
                <c:pt idx="19">
                  <c:v>3.1361500000000002</c:v>
                </c:pt>
                <c:pt idx="20">
                  <c:v>2.9688919999999999</c:v>
                </c:pt>
                <c:pt idx="21">
                  <c:v>1.908971</c:v>
                </c:pt>
                <c:pt idx="22">
                  <c:v>2.47133</c:v>
                </c:pt>
                <c:pt idx="23">
                  <c:v>2.4811322580645201</c:v>
                </c:pt>
                <c:pt idx="24">
                  <c:v>2.28250736842105</c:v>
                </c:pt>
                <c:pt idx="32">
                  <c:v>0.70625576923076905</c:v>
                </c:pt>
                <c:pt idx="33">
                  <c:v>1.46291538461538</c:v>
                </c:pt>
                <c:pt idx="34">
                  <c:v>0.94657403846153898</c:v>
                </c:pt>
                <c:pt idx="35">
                  <c:v>1.3721155339805799</c:v>
                </c:pt>
                <c:pt idx="36">
                  <c:v>2.5985544554455502</c:v>
                </c:pt>
                <c:pt idx="37">
                  <c:v>4.0057366336633704</c:v>
                </c:pt>
                <c:pt idx="38">
                  <c:v>6.4264336633663302</c:v>
                </c:pt>
                <c:pt idx="40">
                  <c:v>3.7739623762376202</c:v>
                </c:pt>
                <c:pt idx="41">
                  <c:v>3.8249247524752499</c:v>
                </c:pt>
                <c:pt idx="42">
                  <c:v>3.8227069306930699</c:v>
                </c:pt>
                <c:pt idx="47">
                  <c:v>0.96720679611650495</c:v>
                </c:pt>
                <c:pt idx="48">
                  <c:v>3.28247961165048</c:v>
                </c:pt>
                <c:pt idx="49">
                  <c:v>3.36867961165049</c:v>
                </c:pt>
                <c:pt idx="50">
                  <c:v>1.64063932038835</c:v>
                </c:pt>
                <c:pt idx="51">
                  <c:v>2.5323215686274501</c:v>
                </c:pt>
                <c:pt idx="53">
                  <c:v>1.55391683168317</c:v>
                </c:pt>
                <c:pt idx="57">
                  <c:v>0.64212187500000095</c:v>
                </c:pt>
                <c:pt idx="58">
                  <c:v>1.60655833333333</c:v>
                </c:pt>
                <c:pt idx="59">
                  <c:v>0.85183980582524299</c:v>
                </c:pt>
                <c:pt idx="60">
                  <c:v>2.2202964285714302</c:v>
                </c:pt>
                <c:pt idx="62">
                  <c:v>2.4044693452381001</c:v>
                </c:pt>
                <c:pt idx="77">
                  <c:v>0.51242475728155301</c:v>
                </c:pt>
              </c:numCache>
            </c:numRef>
          </c:xVal>
          <c:yVal>
            <c:numRef>
              <c:f>'River loads'!$BW$4:$BW$84</c:f>
              <c:numCache>
                <c:formatCode>0,000</c:formatCode>
                <c:ptCount val="81"/>
                <c:pt idx="0">
                  <c:v>1.9724894114652691</c:v>
                </c:pt>
                <c:pt idx="1">
                  <c:v>1.4419610328235679</c:v>
                </c:pt>
                <c:pt idx="2">
                  <c:v>1.8361920490196721</c:v>
                </c:pt>
                <c:pt idx="3">
                  <c:v>1.5022418610239929</c:v>
                </c:pt>
                <c:pt idx="4">
                  <c:v>1.4948946373261036</c:v>
                </c:pt>
                <c:pt idx="5">
                  <c:v>2.0171874472883862</c:v>
                </c:pt>
                <c:pt idx="6">
                  <c:v>2.5104786968023642</c:v>
                </c:pt>
                <c:pt idx="7">
                  <c:v>3.2893690675666201</c:v>
                </c:pt>
                <c:pt idx="8">
                  <c:v>2.9406127599309033</c:v>
                </c:pt>
                <c:pt idx="9">
                  <c:v>2.9936462573384737</c:v>
                </c:pt>
                <c:pt idx="10">
                  <c:v>2.7927748594290365</c:v>
                </c:pt>
                <c:pt idx="11">
                  <c:v>2.8310637515064339</c:v>
                </c:pt>
                <c:pt idx="12">
                  <c:v>2.7537472322256078</c:v>
                </c:pt>
                <c:pt idx="13">
                  <c:v>2.1444513834569392</c:v>
                </c:pt>
                <c:pt idx="14">
                  <c:v>2.0391967065540539</c:v>
                </c:pt>
                <c:pt idx="15">
                  <c:v>1.4733352906900019</c:v>
                </c:pt>
                <c:pt idx="16">
                  <c:v>1.5175308694385281</c:v>
                </c:pt>
                <c:pt idx="17">
                  <c:v>1.4370458287534633</c:v>
                </c:pt>
                <c:pt idx="18">
                  <c:v>1.3753167896273519</c:v>
                </c:pt>
                <c:pt idx="19">
                  <c:v>3.3117516837843688</c:v>
                </c:pt>
                <c:pt idx="20">
                  <c:v>2.9392876998778723</c:v>
                </c:pt>
                <c:pt idx="21">
                  <c:v>3.0870432714771114</c:v>
                </c:pt>
                <c:pt idx="22">
                  <c:v>2.6514545814367958</c:v>
                </c:pt>
                <c:pt idx="23">
                  <c:v>1.3559993271847806</c:v>
                </c:pt>
                <c:pt idx="24">
                  <c:v>1.8209924281757959</c:v>
                </c:pt>
                <c:pt idx="25">
                  <c:v>2.0186129017405721</c:v>
                </c:pt>
                <c:pt idx="26">
                  <c:v>0.45896018363408747</c:v>
                </c:pt>
                <c:pt idx="27">
                  <c:v>0.51281532618072256</c:v>
                </c:pt>
                <c:pt idx="28">
                  <c:v>0.99292814149876818</c:v>
                </c:pt>
                <c:pt idx="29">
                  <c:v>1.9169776035826684</c:v>
                </c:pt>
                <c:pt idx="30">
                  <c:v>1.936641913316189</c:v>
                </c:pt>
                <c:pt idx="31">
                  <c:v>2.0093007703844306</c:v>
                </c:pt>
                <c:pt idx="32">
                  <c:v>0.54797728507207832</c:v>
                </c:pt>
                <c:pt idx="33">
                  <c:v>1.2624053779914362</c:v>
                </c:pt>
                <c:pt idx="34">
                  <c:v>0.60845904795665762</c:v>
                </c:pt>
                <c:pt idx="35">
                  <c:v>0.92601025586051999</c:v>
                </c:pt>
                <c:pt idx="36">
                  <c:v>2.5011980440936754</c:v>
                </c:pt>
                <c:pt idx="37">
                  <c:v>3.2671292679132944</c:v>
                </c:pt>
                <c:pt idx="38">
                  <c:v>4.6238646559686334</c:v>
                </c:pt>
                <c:pt idx="39">
                  <c:v>3.5466429484999717</c:v>
                </c:pt>
                <c:pt idx="40">
                  <c:v>3.0142460915819331</c:v>
                </c:pt>
                <c:pt idx="41">
                  <c:v>2.9538660241678492</c:v>
                </c:pt>
                <c:pt idx="42">
                  <c:v>2.818753715060005</c:v>
                </c:pt>
                <c:pt idx="43">
                  <c:v>0.68738830906910087</c:v>
                </c:pt>
                <c:pt idx="44">
                  <c:v>0.80918996749854233</c:v>
                </c:pt>
                <c:pt idx="45">
                  <c:v>0.96996788634160191</c:v>
                </c:pt>
                <c:pt idx="46">
                  <c:v>0.58325002459189834</c:v>
                </c:pt>
                <c:pt idx="47">
                  <c:v>0.92661908386753999</c:v>
                </c:pt>
                <c:pt idx="48">
                  <c:v>2.4785036271114</c:v>
                </c:pt>
                <c:pt idx="49">
                  <c:v>2.4939789873660172</c:v>
                </c:pt>
                <c:pt idx="50">
                  <c:v>1.5066369262871828</c:v>
                </c:pt>
                <c:pt idx="51">
                  <c:v>1.922617417763743</c:v>
                </c:pt>
                <c:pt idx="52">
                  <c:v>1.6613917586774301</c:v>
                </c:pt>
                <c:pt idx="53">
                  <c:v>1.1605918783265363</c:v>
                </c:pt>
                <c:pt idx="54">
                  <c:v>1.5921559107181278</c:v>
                </c:pt>
                <c:pt idx="55">
                  <c:v>2.4354076929624142</c:v>
                </c:pt>
                <c:pt idx="56">
                  <c:v>1.8901299398910749</c:v>
                </c:pt>
                <c:pt idx="57">
                  <c:v>0.59084271792647969</c:v>
                </c:pt>
                <c:pt idx="58">
                  <c:v>1.1847938275115859</c:v>
                </c:pt>
                <c:pt idx="59">
                  <c:v>0.88625156188317633</c:v>
                </c:pt>
                <c:pt idx="60">
                  <c:v>2.041962494934336</c:v>
                </c:pt>
                <c:pt idx="61">
                  <c:v>1.8734991491935404</c:v>
                </c:pt>
                <c:pt idx="62">
                  <c:v>1.7042895982020347</c:v>
                </c:pt>
                <c:pt idx="63">
                  <c:v>1.3215107068558898</c:v>
                </c:pt>
                <c:pt idx="64">
                  <c:v>0.41140284325176629</c:v>
                </c:pt>
                <c:pt idx="65">
                  <c:v>0.4601223251543633</c:v>
                </c:pt>
                <c:pt idx="66">
                  <c:v>0.44396283930803404</c:v>
                </c:pt>
                <c:pt idx="67">
                  <c:v>0.94820944610177316</c:v>
                </c:pt>
                <c:pt idx="68">
                  <c:v>1.0571915877724458</c:v>
                </c:pt>
                <c:pt idx="69">
                  <c:v>0.51354865317414322</c:v>
                </c:pt>
                <c:pt idx="70">
                  <c:v>0.56424330409510559</c:v>
                </c:pt>
                <c:pt idx="71">
                  <c:v>0.68411705306112736</c:v>
                </c:pt>
                <c:pt idx="72">
                  <c:v>0.77045587182096376</c:v>
                </c:pt>
                <c:pt idx="73">
                  <c:v>1.1043684555442539</c:v>
                </c:pt>
                <c:pt idx="74">
                  <c:v>0.74240166363063598</c:v>
                </c:pt>
                <c:pt idx="75">
                  <c:v>0.77184508033378207</c:v>
                </c:pt>
                <c:pt idx="76">
                  <c:v>0.88027837432211598</c:v>
                </c:pt>
                <c:pt idx="77">
                  <c:v>0.59552342465633779</c:v>
                </c:pt>
                <c:pt idx="78">
                  <c:v>0.98445678559164584</c:v>
                </c:pt>
                <c:pt idx="79">
                  <c:v>0.84739485529392744</c:v>
                </c:pt>
                <c:pt idx="80">
                  <c:v>0.86845026528326053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5-334A-AFBE-CF59C4B33F2F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05-334A-AFBE-CF59C4B33F2F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05-334A-AFBE-CF59C4B33F2F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05-334A-AFBE-CF59C4B33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84384"/>
        <c:axId val="54786304"/>
      </c:scatterChart>
      <c:valAx>
        <c:axId val="54784384"/>
        <c:scaling>
          <c:orientation val="minMax"/>
          <c:max val="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average DIN concentrations measured (mg/l)</a:t>
                </a:r>
              </a:p>
            </c:rich>
          </c:tx>
          <c:layout>
            <c:manualLayout>
              <c:xMode val="edge"/>
              <c:yMode val="edge"/>
              <c:x val="0.35457567804024526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86304"/>
        <c:crossesAt val="0"/>
        <c:crossBetween val="midCat"/>
        <c:majorUnit val="1"/>
      </c:valAx>
      <c:valAx>
        <c:axId val="54786304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DIN concentrations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84384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'River loads'!$CA$4:$CA$84</c:f>
              <c:strCache>
                <c:ptCount val="81"/>
                <c:pt idx="4">
                  <c:v>2,0866</c:v>
                </c:pt>
                <c:pt idx="6">
                  <c:v>3,25888</c:v>
                </c:pt>
                <c:pt idx="8">
                  <c:v>3,149</c:v>
                </c:pt>
                <c:pt idx="9">
                  <c:v>3,5156</c:v>
                </c:pt>
                <c:pt idx="10">
                  <c:v>3,5972</c:v>
                </c:pt>
                <c:pt idx="11">
                  <c:v>4,4707</c:v>
                </c:pt>
                <c:pt idx="12">
                  <c:v>4,5589</c:v>
                </c:pt>
                <c:pt idx="13">
                  <c:v>1,782</c:v>
                </c:pt>
                <c:pt idx="18">
                  <c:v>1,814</c:v>
                </c:pt>
                <c:pt idx="19">
                  <c:v>4,3894</c:v>
                </c:pt>
                <c:pt idx="20">
                  <c:v>4,5674</c:v>
                </c:pt>
                <c:pt idx="21">
                  <c:v>3,1764</c:v>
                </c:pt>
                <c:pt idx="22">
                  <c:v>3,495</c:v>
                </c:pt>
                <c:pt idx="23">
                  <c:v>3,514</c:v>
                </c:pt>
                <c:pt idx="24">
                  <c:v>2,8382</c:v>
                </c:pt>
                <c:pt idx="32">
                  <c:v>0,847</c:v>
                </c:pt>
                <c:pt idx="33">
                  <c:v>1,726</c:v>
                </c:pt>
                <c:pt idx="34">
                  <c:v>1,1055</c:v>
                </c:pt>
                <c:pt idx="35">
                  <c:v>1,6238</c:v>
                </c:pt>
                <c:pt idx="36">
                  <c:v>3,198</c:v>
                </c:pt>
                <c:pt idx="37">
                  <c:v>4,76</c:v>
                </c:pt>
                <c:pt idx="38">
                  <c:v>7,18</c:v>
                </c:pt>
                <c:pt idx="40">
                  <c:v>5,23</c:v>
                </c:pt>
                <c:pt idx="41">
                  <c:v>5,23</c:v>
                </c:pt>
                <c:pt idx="42">
                  <c:v>5,015</c:v>
                </c:pt>
                <c:pt idx="47">
                  <c:v>1,2064</c:v>
                </c:pt>
                <c:pt idx="48">
                  <c:v>4,1036</c:v>
                </c:pt>
                <c:pt idx="49">
                  <c:v>4,6924</c:v>
                </c:pt>
                <c:pt idx="50">
                  <c:v>2,12182</c:v>
                </c:pt>
                <c:pt idx="51">
                  <c:v>3,439</c:v>
                </c:pt>
                <c:pt idx="53">
                  <c:v>1,9091</c:v>
                </c:pt>
                <c:pt idx="57">
                  <c:v>0,763575</c:v>
                </c:pt>
                <c:pt idx="58">
                  <c:v>2,115</c:v>
                </c:pt>
                <c:pt idx="59">
                  <c:v>1,1322</c:v>
                </c:pt>
                <c:pt idx="60">
                  <c:v>3,1533</c:v>
                </c:pt>
                <c:pt idx="62">
                  <c:v>3,8492</c:v>
                </c:pt>
                <c:pt idx="63">
                  <c:v>n.b.</c:v>
                </c:pt>
                <c:pt idx="64">
                  <c:v>n.b.</c:v>
                </c:pt>
                <c:pt idx="65">
                  <c:v>n.b.</c:v>
                </c:pt>
                <c:pt idx="66">
                  <c:v>n.b.</c:v>
                </c:pt>
                <c:pt idx="67">
                  <c:v>n.b.</c:v>
                </c:pt>
                <c:pt idx="68">
                  <c:v>n.b.</c:v>
                </c:pt>
                <c:pt idx="69">
                  <c:v>n.b.</c:v>
                </c:pt>
                <c:pt idx="70">
                  <c:v>n.b.</c:v>
                </c:pt>
                <c:pt idx="71">
                  <c:v>n.b.</c:v>
                </c:pt>
                <c:pt idx="72">
                  <c:v>n.b.</c:v>
                </c:pt>
                <c:pt idx="73">
                  <c:v>n.b.</c:v>
                </c:pt>
                <c:pt idx="74">
                  <c:v>n.b.</c:v>
                </c:pt>
                <c:pt idx="75">
                  <c:v>n.b.</c:v>
                </c:pt>
                <c:pt idx="76">
                  <c:v>n.b.</c:v>
                </c:pt>
                <c:pt idx="77">
                  <c:v>0,6602</c:v>
                </c:pt>
                <c:pt idx="78">
                  <c:v>n.b.</c:v>
                </c:pt>
                <c:pt idx="79">
                  <c:v>n.b.</c:v>
                </c:pt>
                <c:pt idx="80">
                  <c:v>n.b.</c:v>
                </c:pt>
              </c:strCache>
            </c:str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D-9940-BC50-0A96EB0DFD30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9D-9940-BC50-0A96EB0DFD30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9D-9940-BC50-0A96EB0DFD30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9D-9940-BC50-0A96EB0DF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07712"/>
        <c:axId val="54709632"/>
      </c:scatterChart>
      <c:valAx>
        <c:axId val="54707712"/>
        <c:scaling>
          <c:orientation val="minMax"/>
          <c:max val="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DIN C-90 measured (mg/l)</a:t>
                </a:r>
              </a:p>
            </c:rich>
          </c:tx>
          <c:layout>
            <c:manualLayout>
              <c:xMode val="edge"/>
              <c:yMode val="edge"/>
              <c:x val="0.35457567804024526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09632"/>
        <c:crossesAt val="0"/>
        <c:crossBetween val="midCat"/>
        <c:majorUnit val="1"/>
      </c:valAx>
      <c:valAx>
        <c:axId val="54709632"/>
        <c:scaling>
          <c:orientation val="minMax"/>
          <c:max val="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DIN C-90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07712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DIN C-90</c:v>
          </c:tx>
          <c:xVal>
            <c:numRef>
              <c:f>'Graphs c eng'!$D$57:$D$77</c:f>
              <c:numCache>
                <c:formatCode>0,000</c:formatCode>
                <c:ptCount val="21"/>
                <c:pt idx="0">
                  <c:v>0.55594978817806251</c:v>
                </c:pt>
                <c:pt idx="1">
                  <c:v>0.69299368402800343</c:v>
                </c:pt>
                <c:pt idx="2">
                  <c:v>0.78817570890797073</c:v>
                </c:pt>
                <c:pt idx="3">
                  <c:v>0.92448250413665856</c:v>
                </c:pt>
                <c:pt idx="4">
                  <c:v>1.0430338923429487</c:v>
                </c:pt>
                <c:pt idx="5">
                  <c:v>1.1895653707055622</c:v>
                </c:pt>
                <c:pt idx="6">
                  <c:v>1.2813641163537475</c:v>
                </c:pt>
                <c:pt idx="7">
                  <c:v>1.4286372807735754</c:v>
                </c:pt>
                <c:pt idx="8">
                  <c:v>1.7059532135019408</c:v>
                </c:pt>
                <c:pt idx="9">
                  <c:v>1.9419538226398154</c:v>
                </c:pt>
                <c:pt idx="10">
                  <c:v>2.0300565689513417</c:v>
                </c:pt>
                <c:pt idx="11">
                  <c:v>2.2451239982127431</c:v>
                </c:pt>
                <c:pt idx="12">
                  <c:v>2.5317556070182978</c:v>
                </c:pt>
                <c:pt idx="13">
                  <c:v>2.6170836666434987</c:v>
                </c:pt>
                <c:pt idx="14">
                  <c:v>2.7278552726223948</c:v>
                </c:pt>
                <c:pt idx="15">
                  <c:v>3.2910914769762361</c:v>
                </c:pt>
                <c:pt idx="16">
                  <c:v>3.3925387794626571</c:v>
                </c:pt>
                <c:pt idx="17">
                  <c:v>3.8091266419729801</c:v>
                </c:pt>
                <c:pt idx="18">
                  <c:v>3.9917108434700674</c:v>
                </c:pt>
                <c:pt idx="19">
                  <c:v>4.4150395512341829</c:v>
                </c:pt>
                <c:pt idx="20">
                  <c:v>5.0839017432347386</c:v>
                </c:pt>
              </c:numCache>
            </c:numRef>
          </c:xVal>
          <c:yVal>
            <c:numRef>
              <c:f>'Graphs c eng'!$A$57:$A$77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93-BC47-8211-9791B738D214}"/>
            </c:ext>
          </c:extLst>
        </c:ser>
        <c:ser>
          <c:idx val="1"/>
          <c:order val="1"/>
          <c:tx>
            <c:v>C-90 from measurments DIN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EE93-BC47-8211-9791B738D214}"/>
              </c:ext>
            </c:extLst>
          </c:dPt>
          <c:xVal>
            <c:numRef>
              <c:f>'Graphs c eng'!$E$57:$E$77</c:f>
              <c:numCache>
                <c:formatCode>0,000</c:formatCode>
                <c:ptCount val="21"/>
                <c:pt idx="0">
                  <c:v>0.66020000000000001</c:v>
                </c:pt>
                <c:pt idx="1">
                  <c:v>0.83031499999999991</c:v>
                </c:pt>
                <c:pt idx="2">
                  <c:v>1.1215200000000001</c:v>
                </c:pt>
                <c:pt idx="3">
                  <c:v>1.3733600000000001</c:v>
                </c:pt>
                <c:pt idx="4">
                  <c:v>1.7371999999999999</c:v>
                </c:pt>
                <c:pt idx="5">
                  <c:v>1.8140000000000001</c:v>
                </c:pt>
                <c:pt idx="6">
                  <c:v>2.0510999999999995</c:v>
                </c:pt>
                <c:pt idx="7">
                  <c:v>2.1190920000000002</c:v>
                </c:pt>
                <c:pt idx="8">
                  <c:v>2.9625199999999996</c:v>
                </c:pt>
                <c:pt idx="9">
                  <c:v>3.1579200000000003</c:v>
                </c:pt>
                <c:pt idx="10">
                  <c:v>3.198</c:v>
                </c:pt>
                <c:pt idx="11">
                  <c:v>3.4029759999999993</c:v>
                </c:pt>
                <c:pt idx="12">
                  <c:v>3.5063999999999997</c:v>
                </c:pt>
                <c:pt idx="13">
                  <c:v>3.5482400000000003</c:v>
                </c:pt>
                <c:pt idx="14">
                  <c:v>3.9000800000000009</c:v>
                </c:pt>
                <c:pt idx="15">
                  <c:v>4.3894000000000002</c:v>
                </c:pt>
                <c:pt idx="16">
                  <c:v>4.5412600000000003</c:v>
                </c:pt>
                <c:pt idx="17">
                  <c:v>4.6424000000000012</c:v>
                </c:pt>
                <c:pt idx="18">
                  <c:v>4.862000000000001</c:v>
                </c:pt>
                <c:pt idx="19">
                  <c:v>5.23</c:v>
                </c:pt>
                <c:pt idx="20">
                  <c:v>6.4780000000000015</c:v>
                </c:pt>
              </c:numCache>
            </c:numRef>
          </c:xVal>
          <c:yVal>
            <c:numRef>
              <c:f>'Graphs c eng'!$A$57:$A$77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93-BC47-8211-9791B738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0496"/>
        <c:axId val="54816768"/>
      </c:scatterChart>
      <c:valAx>
        <c:axId val="54810496"/>
        <c:scaling>
          <c:orientation val="minMax"/>
          <c:max val="7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DIN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54816768"/>
        <c:crosses val="autoZero"/>
        <c:crossBetween val="midCat"/>
        <c:majorUnit val="1"/>
      </c:valAx>
      <c:valAx>
        <c:axId val="54816768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4810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averages NO3 GW</c:v>
          </c:tx>
          <c:xVal>
            <c:numRef>
              <c:f>'Graphs c eng'!$D$83:$D$103</c:f>
              <c:numCache>
                <c:formatCode>0.00</c:formatCode>
                <c:ptCount val="21"/>
                <c:pt idx="0">
                  <c:v>2.2933072854831797</c:v>
                </c:pt>
                <c:pt idx="1">
                  <c:v>3.0734949722991018</c:v>
                </c:pt>
                <c:pt idx="2">
                  <c:v>3.3751439871608553</c:v>
                </c:pt>
                <c:pt idx="3">
                  <c:v>3.6893268805664308</c:v>
                </c:pt>
                <c:pt idx="4">
                  <c:v>4.1767084416714919</c:v>
                </c:pt>
                <c:pt idx="5">
                  <c:v>5.4616199673529406</c:v>
                </c:pt>
                <c:pt idx="6">
                  <c:v>5.9840220668824644</c:v>
                </c:pt>
                <c:pt idx="7">
                  <c:v>7.842851822846403</c:v>
                </c:pt>
                <c:pt idx="8">
                  <c:v>9.5447041328867481</c:v>
                </c:pt>
                <c:pt idx="9">
                  <c:v>10.390242466923386</c:v>
                </c:pt>
                <c:pt idx="10">
                  <c:v>10.936324718288658</c:v>
                </c:pt>
                <c:pt idx="11">
                  <c:v>12.420019727844311</c:v>
                </c:pt>
                <c:pt idx="12">
                  <c:v>13.15165521391698</c:v>
                </c:pt>
                <c:pt idx="13">
                  <c:v>13.490442462216075</c:v>
                </c:pt>
                <c:pt idx="14">
                  <c:v>15.045822641583049</c:v>
                </c:pt>
                <c:pt idx="15">
                  <c:v>16.958624861097292</c:v>
                </c:pt>
                <c:pt idx="16">
                  <c:v>17.819428885839869</c:v>
                </c:pt>
                <c:pt idx="17">
                  <c:v>18.465507163384395</c:v>
                </c:pt>
                <c:pt idx="18">
                  <c:v>19.806286088720739</c:v>
                </c:pt>
                <c:pt idx="19">
                  <c:v>22.003105528462456</c:v>
                </c:pt>
                <c:pt idx="20">
                  <c:v>29.773816722603854</c:v>
                </c:pt>
              </c:numCache>
            </c:numRef>
          </c:xVal>
          <c:yVal>
            <c:numRef>
              <c:f>'Graphs c eng'!$A$83:$A$103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29-C943-9A4E-3A239529A21B}"/>
            </c:ext>
          </c:extLst>
        </c:ser>
        <c:ser>
          <c:idx val="1"/>
          <c:order val="1"/>
          <c:tx>
            <c:v>averages from measurments NO3 GW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729-C943-9A4E-3A239529A21B}"/>
              </c:ext>
            </c:extLst>
          </c:dPt>
          <c:xVal>
            <c:numRef>
              <c:f>'Graphs c eng'!$E$83:$E$103</c:f>
              <c:numCache>
                <c:formatCode>0.00</c:formatCode>
                <c:ptCount val="21"/>
                <c:pt idx="0">
                  <c:v>2.06</c:v>
                </c:pt>
                <c:pt idx="1">
                  <c:v>3.0634999999999999</c:v>
                </c:pt>
                <c:pt idx="2">
                  <c:v>3.3533333333333331</c:v>
                </c:pt>
                <c:pt idx="3">
                  <c:v>3.7501250000000006</c:v>
                </c:pt>
                <c:pt idx="4">
                  <c:v>4.4208571428571437</c:v>
                </c:pt>
                <c:pt idx="5">
                  <c:v>4.7866666666666653</c:v>
                </c:pt>
                <c:pt idx="6">
                  <c:v>5.3859999999999992</c:v>
                </c:pt>
                <c:pt idx="7">
                  <c:v>7.0190000000000001</c:v>
                </c:pt>
                <c:pt idx="8">
                  <c:v>8.6135999999999981</c:v>
                </c:pt>
                <c:pt idx="9">
                  <c:v>10.258800000000001</c:v>
                </c:pt>
                <c:pt idx="10">
                  <c:v>11.577999999999998</c:v>
                </c:pt>
                <c:pt idx="11">
                  <c:v>13.1416</c:v>
                </c:pt>
                <c:pt idx="12">
                  <c:v>13.865733333333333</c:v>
                </c:pt>
                <c:pt idx="13">
                  <c:v>14.845333333333331</c:v>
                </c:pt>
                <c:pt idx="14">
                  <c:v>17.002171428571437</c:v>
                </c:pt>
                <c:pt idx="15">
                  <c:v>19.052941176470604</c:v>
                </c:pt>
                <c:pt idx="16">
                  <c:v>22.228666666666673</c:v>
                </c:pt>
                <c:pt idx="17">
                  <c:v>25.266000000000002</c:v>
                </c:pt>
                <c:pt idx="18">
                  <c:v>28.51955555555557</c:v>
                </c:pt>
                <c:pt idx="19">
                  <c:v>32.408928039702282</c:v>
                </c:pt>
                <c:pt idx="20">
                  <c:v>40.677552941176465</c:v>
                </c:pt>
              </c:numCache>
            </c:numRef>
          </c:xVal>
          <c:yVal>
            <c:numRef>
              <c:f>'Graphs c eng'!$A$83:$A$103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29-C943-9A4E-3A239529A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9936"/>
        <c:axId val="54921856"/>
      </c:scatterChart>
      <c:valAx>
        <c:axId val="54919936"/>
        <c:scaling>
          <c:orientation val="minMax"/>
          <c:max val="10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NO3 (mg/l)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54921856"/>
        <c:crosses val="autoZero"/>
        <c:crossBetween val="midCat"/>
        <c:majorUnit val="10"/>
      </c:valAx>
      <c:valAx>
        <c:axId val="54921856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4919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713801399825039"/>
          <c:y val="0.55308083135547492"/>
          <c:w val="0.53001465441819806"/>
          <c:h val="0.14362278182324928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0.32402201337736053"/>
                  <c:y val="-0.21936229735988891"/>
                </c:manualLayout>
              </c:layout>
              <c:numFmt formatCode="General" sourceLinked="0"/>
            </c:trendlineLbl>
          </c:trendline>
          <c:xVal>
            <c:numRef>
              <c:f>'River loads'!$CE$4:$CE$84</c:f>
              <c:numCache>
                <c:formatCode>0.00</c:formatCode>
                <c:ptCount val="81"/>
                <c:pt idx="0">
                  <c:v>22.076666666666672</c:v>
                </c:pt>
                <c:pt idx="1">
                  <c:v>16.776000000000003</c:v>
                </c:pt>
                <c:pt idx="2">
                  <c:v>18.640000000000004</c:v>
                </c:pt>
                <c:pt idx="3">
                  <c:v>8.7419999999999991</c:v>
                </c:pt>
                <c:pt idx="4">
                  <c:v>12.329545454545455</c:v>
                </c:pt>
                <c:pt idx="5">
                  <c:v>14.68</c:v>
                </c:pt>
                <c:pt idx="6">
                  <c:v>13.346</c:v>
                </c:pt>
                <c:pt idx="7">
                  <c:v>8.1</c:v>
                </c:pt>
                <c:pt idx="8">
                  <c:v>11.65</c:v>
                </c:pt>
                <c:pt idx="9">
                  <c:v>11.578000000000001</c:v>
                </c:pt>
                <c:pt idx="10">
                  <c:v>14.886666666666663</c:v>
                </c:pt>
                <c:pt idx="11">
                  <c:v>17.341428571428573</c:v>
                </c:pt>
                <c:pt idx="12">
                  <c:v>26.95</c:v>
                </c:pt>
                <c:pt idx="13">
                  <c:v>30.318750000000005</c:v>
                </c:pt>
                <c:pt idx="14">
                  <c:v>22.330000000000002</c:v>
                </c:pt>
                <c:pt idx="15">
                  <c:v>15.850000000000001</c:v>
                </c:pt>
                <c:pt idx="16">
                  <c:v>13.320000000000002</c:v>
                </c:pt>
                <c:pt idx="17">
                  <c:v>9.6</c:v>
                </c:pt>
                <c:pt idx="18">
                  <c:v>6.55</c:v>
                </c:pt>
                <c:pt idx="19">
                  <c:v>13.667499999999997</c:v>
                </c:pt>
                <c:pt idx="20">
                  <c:v>25.453999999999997</c:v>
                </c:pt>
                <c:pt idx="21">
                  <c:v>11.1875</c:v>
                </c:pt>
                <c:pt idx="22">
                  <c:v>33.671935483870975</c:v>
                </c:pt>
                <c:pt idx="23">
                  <c:v>23.579000000000001</c:v>
                </c:pt>
                <c:pt idx="24">
                  <c:v>12.874000000000001</c:v>
                </c:pt>
                <c:pt idx="25">
                  <c:v>25.299999999999997</c:v>
                </c:pt>
                <c:pt idx="26">
                  <c:v>2.3699999999999997</c:v>
                </c:pt>
                <c:pt idx="27">
                  <c:v>4.0739999999999998</c:v>
                </c:pt>
                <c:pt idx="28">
                  <c:v>7.1550000000000002</c:v>
                </c:pt>
                <c:pt idx="29">
                  <c:v>13.82666666666667</c:v>
                </c:pt>
                <c:pt idx="30">
                  <c:v>7.2459999999999996</c:v>
                </c:pt>
                <c:pt idx="31">
                  <c:v>10.108000000000001</c:v>
                </c:pt>
                <c:pt idx="32">
                  <c:v>9.5599999999999969</c:v>
                </c:pt>
                <c:pt idx="33">
                  <c:v>19.052941176470586</c:v>
                </c:pt>
                <c:pt idx="34">
                  <c:v>4.41</c:v>
                </c:pt>
                <c:pt idx="35">
                  <c:v>15.084666666666667</c:v>
                </c:pt>
                <c:pt idx="36">
                  <c:v>14.022</c:v>
                </c:pt>
                <c:pt idx="37">
                  <c:v>43.234117647058824</c:v>
                </c:pt>
                <c:pt idx="38">
                  <c:v>39.683333333333323</c:v>
                </c:pt>
                <c:pt idx="39">
                  <c:v>35.078421052631576</c:v>
                </c:pt>
                <c:pt idx="41">
                  <c:v>5.379999999999999</c:v>
                </c:pt>
                <c:pt idx="42">
                  <c:v>22.07</c:v>
                </c:pt>
                <c:pt idx="44">
                  <c:v>3.05</c:v>
                </c:pt>
                <c:pt idx="45">
                  <c:v>5.32</c:v>
                </c:pt>
                <c:pt idx="46">
                  <c:v>2.06</c:v>
                </c:pt>
                <c:pt idx="47">
                  <c:v>4.4371428571428577</c:v>
                </c:pt>
                <c:pt idx="49">
                  <c:v>21.610000000000003</c:v>
                </c:pt>
                <c:pt idx="50">
                  <c:v>4.7866666666666653</c:v>
                </c:pt>
                <c:pt idx="51">
                  <c:v>25.2575</c:v>
                </c:pt>
                <c:pt idx="53">
                  <c:v>10.485000000000001</c:v>
                </c:pt>
                <c:pt idx="54">
                  <c:v>17.454999999999998</c:v>
                </c:pt>
                <c:pt idx="56">
                  <c:v>6.9849999999999994</c:v>
                </c:pt>
                <c:pt idx="57">
                  <c:v>3.0733333333333328</c:v>
                </c:pt>
                <c:pt idx="58">
                  <c:v>28.911944444444437</c:v>
                </c:pt>
                <c:pt idx="60">
                  <c:v>14.530000000000001</c:v>
                </c:pt>
                <c:pt idx="61">
                  <c:v>10.545</c:v>
                </c:pt>
                <c:pt idx="62">
                  <c:v>31.566923076923082</c:v>
                </c:pt>
                <c:pt idx="63">
                  <c:v>24.017083333333336</c:v>
                </c:pt>
                <c:pt idx="64">
                  <c:v>3.5</c:v>
                </c:pt>
                <c:pt idx="67">
                  <c:v>4.7600000000000007</c:v>
                </c:pt>
                <c:pt idx="68">
                  <c:v>3.3166666666666664</c:v>
                </c:pt>
                <c:pt idx="69">
                  <c:v>4.83</c:v>
                </c:pt>
                <c:pt idx="70">
                  <c:v>3.0725000000000002</c:v>
                </c:pt>
                <c:pt idx="71">
                  <c:v>3.9987500000000002</c:v>
                </c:pt>
                <c:pt idx="72">
                  <c:v>3.28</c:v>
                </c:pt>
                <c:pt idx="73">
                  <c:v>6.33</c:v>
                </c:pt>
                <c:pt idx="75">
                  <c:v>3.7900000000000005</c:v>
                </c:pt>
                <c:pt idx="76">
                  <c:v>5.39</c:v>
                </c:pt>
                <c:pt idx="77">
                  <c:v>2.59</c:v>
                </c:pt>
                <c:pt idx="78">
                  <c:v>3.5564999999999998</c:v>
                </c:pt>
                <c:pt idx="79">
                  <c:v>3.5906250000000002</c:v>
                </c:pt>
                <c:pt idx="80">
                  <c:v>4.6218181818181812</c:v>
                </c:pt>
              </c:numCache>
            </c:numRef>
          </c:xVal>
          <c:yVal>
            <c:numRef>
              <c:f>'River loads'!$CF$4:$CF$84</c:f>
              <c:numCache>
                <c:formatCode>0.00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84-7F40-B879-AE1A44FEC1CF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84-7F40-B879-AE1A44FEC1CF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84-7F40-B879-AE1A44FEC1CF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84-7F40-B879-AE1A44FEC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9856"/>
        <c:axId val="54971776"/>
      </c:scatterChart>
      <c:valAx>
        <c:axId val="54969856"/>
        <c:scaling>
          <c:orientation val="minMax"/>
          <c:max val="10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average DIN concentrations measured (mg/l)</a:t>
                </a:r>
              </a:p>
            </c:rich>
          </c:tx>
          <c:layout>
            <c:manualLayout>
              <c:xMode val="edge"/>
              <c:yMode val="edge"/>
              <c:x val="0.35457567804024526"/>
              <c:y val="0.91080009365026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71776"/>
        <c:crossesAt val="0"/>
        <c:crossBetween val="midCat"/>
        <c:majorUnit val="25"/>
      </c:valAx>
      <c:valAx>
        <c:axId val="5497177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Calculated DIN concentrations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69856"/>
        <c:crossesAt val="0"/>
        <c:crossBetween val="midCat"/>
        <c:majorUnit val="25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values</c:v>
          </c:tx>
          <c:xVal>
            <c:numRef>
              <c:f>'Graphs c eng'!$F$4:$F$24</c:f>
              <c:numCache>
                <c:formatCode>0,000</c:formatCode>
                <c:ptCount val="21"/>
                <c:pt idx="0">
                  <c:v>5.8063311556562171E-2</c:v>
                </c:pt>
                <c:pt idx="1">
                  <c:v>0.14901672646879083</c:v>
                </c:pt>
                <c:pt idx="2">
                  <c:v>0.23378454462525503</c:v>
                </c:pt>
                <c:pt idx="3">
                  <c:v>0.26637072177673132</c:v>
                </c:pt>
                <c:pt idx="4">
                  <c:v>0.3549534624867477</c:v>
                </c:pt>
                <c:pt idx="5">
                  <c:v>0.39508146027520286</c:v>
                </c:pt>
                <c:pt idx="6">
                  <c:v>0.42171675396024755</c:v>
                </c:pt>
                <c:pt idx="7">
                  <c:v>0.49604524741154038</c:v>
                </c:pt>
                <c:pt idx="8">
                  <c:v>0.55377634525957375</c:v>
                </c:pt>
                <c:pt idx="9">
                  <c:v>0.65693422692190084</c:v>
                </c:pt>
                <c:pt idx="10">
                  <c:v>0.79405798334767108</c:v>
                </c:pt>
                <c:pt idx="11">
                  <c:v>0.83393659271101317</c:v>
                </c:pt>
                <c:pt idx="12">
                  <c:v>0.94696492601064519</c:v>
                </c:pt>
                <c:pt idx="13">
                  <c:v>1.0552723481737289</c:v>
                </c:pt>
                <c:pt idx="14">
                  <c:v>1.1688935306479349</c:v>
                </c:pt>
                <c:pt idx="15">
                  <c:v>1.3444671298883326</c:v>
                </c:pt>
                <c:pt idx="16">
                  <c:v>1.783821379781809</c:v>
                </c:pt>
                <c:pt idx="17">
                  <c:v>2.4184051180840647</c:v>
                </c:pt>
                <c:pt idx="18">
                  <c:v>2.5683196844431246</c:v>
                </c:pt>
                <c:pt idx="19">
                  <c:v>2.8066278052982288</c:v>
                </c:pt>
                <c:pt idx="20">
                  <c:v>3.1207017346553649</c:v>
                </c:pt>
              </c:numCache>
            </c:numRef>
          </c:xVal>
          <c:yVal>
            <c:numRef>
              <c:f>'Graphs c eng'!$A$4:$A$24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D-8740-8778-EDACFC49C39E}"/>
            </c:ext>
          </c:extLst>
        </c:ser>
        <c:ser>
          <c:idx val="1"/>
          <c:order val="1"/>
          <c:tx>
            <c:v>measured values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19D-8740-8778-EDACFC49C39E}"/>
              </c:ext>
            </c:extLst>
          </c:dPt>
          <c:xVal>
            <c:numRef>
              <c:f>'Graphs c eng'!$G$4:$G$24</c:f>
              <c:numCache>
                <c:formatCode>0,000</c:formatCode>
                <c:ptCount val="21"/>
                <c:pt idx="0">
                  <c:v>0.16249999999999998</c:v>
                </c:pt>
                <c:pt idx="1">
                  <c:v>0.20572500000000002</c:v>
                </c:pt>
                <c:pt idx="2">
                  <c:v>0.3468</c:v>
                </c:pt>
                <c:pt idx="3">
                  <c:v>0.42435</c:v>
                </c:pt>
                <c:pt idx="4">
                  <c:v>0.47200000000000003</c:v>
                </c:pt>
                <c:pt idx="5">
                  <c:v>0.58462499999999995</c:v>
                </c:pt>
                <c:pt idx="6">
                  <c:v>0.7962499999999999</c:v>
                </c:pt>
                <c:pt idx="7">
                  <c:v>1.0067999999999999</c:v>
                </c:pt>
                <c:pt idx="8">
                  <c:v>1.1112</c:v>
                </c:pt>
                <c:pt idx="9">
                  <c:v>1.2246999999999999</c:v>
                </c:pt>
                <c:pt idx="10">
                  <c:v>1.2589999999999999</c:v>
                </c:pt>
                <c:pt idx="11">
                  <c:v>1.3939999999999997</c:v>
                </c:pt>
                <c:pt idx="12">
                  <c:v>1.4879999999999998</c:v>
                </c:pt>
                <c:pt idx="13">
                  <c:v>1.5169999999999999</c:v>
                </c:pt>
                <c:pt idx="14">
                  <c:v>2.6</c:v>
                </c:pt>
                <c:pt idx="15">
                  <c:v>2.6</c:v>
                </c:pt>
                <c:pt idx="16">
                  <c:v>2.8559999999999999</c:v>
                </c:pt>
                <c:pt idx="17">
                  <c:v>3.1300000000000008</c:v>
                </c:pt>
                <c:pt idx="18">
                  <c:v>3.2580000000000031</c:v>
                </c:pt>
                <c:pt idx="19">
                  <c:v>3.8200000000000029</c:v>
                </c:pt>
                <c:pt idx="20">
                  <c:v>4.5822000000000003</c:v>
                </c:pt>
              </c:numCache>
            </c:numRef>
          </c:xVal>
          <c:yVal>
            <c:numRef>
              <c:f>'Graphs c eng'!$A$4:$A$24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9D-8740-8778-EDACFC49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104"/>
        <c:axId val="55009280"/>
      </c:scatterChart>
      <c:valAx>
        <c:axId val="55007104"/>
        <c:scaling>
          <c:orientation val="minMax"/>
          <c:max val="4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relation value to limit (mg/l)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55009280"/>
        <c:crosses val="autoZero"/>
        <c:crossBetween val="midCat"/>
        <c:majorUnit val="1"/>
      </c:valAx>
      <c:valAx>
        <c:axId val="55009280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007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713801399825021"/>
          <c:y val="0.64228830722292052"/>
          <c:w val="0.27445909886264241"/>
          <c:h val="0.1149489781362041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loads'!$BT$4:$BT$84</c:f>
              <c:numCache>
                <c:formatCode>0.00</c:formatCode>
                <c:ptCount val="81"/>
                <c:pt idx="4">
                  <c:v>0.79999999999999993</c:v>
                </c:pt>
                <c:pt idx="6">
                  <c:v>1.224</c:v>
                </c:pt>
                <c:pt idx="8">
                  <c:v>4</c:v>
                </c:pt>
                <c:pt idx="9">
                  <c:v>3.5999999999999996</c:v>
                </c:pt>
                <c:pt idx="10">
                  <c:v>4.8199999999999994</c:v>
                </c:pt>
                <c:pt idx="11">
                  <c:v>2.9999999999999996</c:v>
                </c:pt>
                <c:pt idx="12">
                  <c:v>2.8199999999999994</c:v>
                </c:pt>
                <c:pt idx="13">
                  <c:v>0.42500000000000004</c:v>
                </c:pt>
                <c:pt idx="18">
                  <c:v>0.48374999999999996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3.2199999999999998</c:v>
                </c:pt>
                <c:pt idx="23">
                  <c:v>0.99599999999999989</c:v>
                </c:pt>
                <c:pt idx="24">
                  <c:v>1.1399999999999999</c:v>
                </c:pt>
                <c:pt idx="33">
                  <c:v>0.35999999999999993</c:v>
                </c:pt>
                <c:pt idx="36">
                  <c:v>1.4799999999999998</c:v>
                </c:pt>
                <c:pt idx="37">
                  <c:v>1.5199999999999998</c:v>
                </c:pt>
                <c:pt idx="38">
                  <c:v>1.28</c:v>
                </c:pt>
                <c:pt idx="40">
                  <c:v>1.4000000000000001</c:v>
                </c:pt>
                <c:pt idx="41">
                  <c:v>1.4999999999999998</c:v>
                </c:pt>
                <c:pt idx="42">
                  <c:v>3.1999999999999997</c:v>
                </c:pt>
                <c:pt idx="48">
                  <c:v>0.78749999999999998</c:v>
                </c:pt>
                <c:pt idx="49">
                  <c:v>1.0680000000000001</c:v>
                </c:pt>
                <c:pt idx="50">
                  <c:v>0.22800000000000001</c:v>
                </c:pt>
                <c:pt idx="51">
                  <c:v>1.2379999999999998</c:v>
                </c:pt>
                <c:pt idx="53">
                  <c:v>0.1875</c:v>
                </c:pt>
                <c:pt idx="58">
                  <c:v>0.16249999999999998</c:v>
                </c:pt>
                <c:pt idx="60">
                  <c:v>0.51700000000000002</c:v>
                </c:pt>
                <c:pt idx="62">
                  <c:v>0.42399999999999999</c:v>
                </c:pt>
              </c:numCache>
            </c:numRef>
          </c:xVal>
          <c:yVal>
            <c:numRef>
              <c:f>'River loads'!$BS$4:$BS$84</c:f>
              <c:numCache>
                <c:formatCode>0.00</c:formatCode>
                <c:ptCount val="81"/>
                <c:pt idx="0">
                  <c:v>0.86683706748687539</c:v>
                </c:pt>
                <c:pt idx="1">
                  <c:v>1.7294372942359577</c:v>
                </c:pt>
                <c:pt idx="2">
                  <c:v>1.1886058538385231</c:v>
                </c:pt>
                <c:pt idx="3">
                  <c:v>0.40458902730604573</c:v>
                </c:pt>
                <c:pt idx="4">
                  <c:v>0.79405798334767164</c:v>
                </c:pt>
                <c:pt idx="5">
                  <c:v>0.65693422692190084</c:v>
                </c:pt>
                <c:pt idx="6">
                  <c:v>1.9367123292148718</c:v>
                </c:pt>
                <c:pt idx="7">
                  <c:v>2.8066278052982279</c:v>
                </c:pt>
                <c:pt idx="8">
                  <c:v>2.6630417324755422</c:v>
                </c:pt>
                <c:pt idx="9">
                  <c:v>2.7432421433121101</c:v>
                </c:pt>
                <c:pt idx="10">
                  <c:v>2.3884871345635577</c:v>
                </c:pt>
                <c:pt idx="11">
                  <c:v>2.4800266930948007</c:v>
                </c:pt>
                <c:pt idx="12">
                  <c:v>2.5683196844431233</c:v>
                </c:pt>
                <c:pt idx="13">
                  <c:v>1.0966041071425288</c:v>
                </c:pt>
                <c:pt idx="14">
                  <c:v>0.392904231876675</c:v>
                </c:pt>
                <c:pt idx="15">
                  <c:v>0.52094277514048604</c:v>
                </c:pt>
                <c:pt idx="16">
                  <c:v>0.24004420887164515</c:v>
                </c:pt>
                <c:pt idx="17">
                  <c:v>0.36151946971670695</c:v>
                </c:pt>
                <c:pt idx="18">
                  <c:v>0.25268081290609673</c:v>
                </c:pt>
                <c:pt idx="19">
                  <c:v>2.6776661556143888</c:v>
                </c:pt>
                <c:pt idx="20">
                  <c:v>2.4184051180840638</c:v>
                </c:pt>
                <c:pt idx="21">
                  <c:v>3.0533924884052435</c:v>
                </c:pt>
                <c:pt idx="22">
                  <c:v>2.8311117413984275</c:v>
                </c:pt>
                <c:pt idx="23">
                  <c:v>0.680434774877125</c:v>
                </c:pt>
                <c:pt idx="24">
                  <c:v>1.0282690276200075</c:v>
                </c:pt>
                <c:pt idx="25">
                  <c:v>1.5178018711815724</c:v>
                </c:pt>
                <c:pt idx="26">
                  <c:v>0.53102248053011358</c:v>
                </c:pt>
                <c:pt idx="27">
                  <c:v>0.29593851644353925</c:v>
                </c:pt>
                <c:pt idx="28">
                  <c:v>0.22719615383206596</c:v>
                </c:pt>
                <c:pt idx="29">
                  <c:v>0.54455503784570825</c:v>
                </c:pt>
                <c:pt idx="30">
                  <c:v>0.55377634525957375</c:v>
                </c:pt>
                <c:pt idx="31">
                  <c:v>0.81933455581406445</c:v>
                </c:pt>
                <c:pt idx="32">
                  <c:v>0.14901672646879083</c:v>
                </c:pt>
                <c:pt idx="33">
                  <c:v>0.64584784088230551</c:v>
                </c:pt>
                <c:pt idx="34">
                  <c:v>0.16706448103028274</c:v>
                </c:pt>
                <c:pt idx="35">
                  <c:v>0.39508146027520286</c:v>
                </c:pt>
                <c:pt idx="36">
                  <c:v>2.1125869439417646</c:v>
                </c:pt>
                <c:pt idx="37">
                  <c:v>2.5384390734848039</c:v>
                </c:pt>
                <c:pt idx="38">
                  <c:v>3.3899387196558455</c:v>
                </c:pt>
                <c:pt idx="39">
                  <c:v>2.9207642269321523</c:v>
                </c:pt>
                <c:pt idx="40">
                  <c:v>1.2057728990031131</c:v>
                </c:pt>
                <c:pt idx="41">
                  <c:v>1.3444671298883322</c:v>
                </c:pt>
                <c:pt idx="42">
                  <c:v>2.4920992721403699</c:v>
                </c:pt>
                <c:pt idx="43">
                  <c:v>0.28478636466830826</c:v>
                </c:pt>
                <c:pt idx="44">
                  <c:v>0.49604524741154038</c:v>
                </c:pt>
                <c:pt idx="45">
                  <c:v>0.26634477957014185</c:v>
                </c:pt>
                <c:pt idx="46">
                  <c:v>0.42171675396024755</c:v>
                </c:pt>
                <c:pt idx="47">
                  <c:v>0.26637072177673132</c:v>
                </c:pt>
                <c:pt idx="48">
                  <c:v>0.64327858919094116</c:v>
                </c:pt>
                <c:pt idx="49">
                  <c:v>1.0864720537501533</c:v>
                </c:pt>
                <c:pt idx="50">
                  <c:v>0.40220296257208143</c:v>
                </c:pt>
                <c:pt idx="51">
                  <c:v>1.4170413457801301</c:v>
                </c:pt>
                <c:pt idx="52">
                  <c:v>1.2327569690086386</c:v>
                </c:pt>
                <c:pt idx="53">
                  <c:v>0.3549534624867477</c:v>
                </c:pt>
                <c:pt idx="54">
                  <c:v>0.96404861882240478</c:v>
                </c:pt>
                <c:pt idx="55">
                  <c:v>0.80703706927145125</c:v>
                </c:pt>
                <c:pt idx="56">
                  <c:v>0.48991273928146734</c:v>
                </c:pt>
                <c:pt idx="57">
                  <c:v>0.18549433373287599</c:v>
                </c:pt>
                <c:pt idx="58">
                  <c:v>0.43905719937408699</c:v>
                </c:pt>
                <c:pt idx="59">
                  <c:v>0.23378454462525503</c:v>
                </c:pt>
                <c:pt idx="60">
                  <c:v>0.83393659271101317</c:v>
                </c:pt>
                <c:pt idx="61">
                  <c:v>0.70697413686187327</c:v>
                </c:pt>
                <c:pt idx="62">
                  <c:v>0.57642571288829803</c:v>
                </c:pt>
                <c:pt idx="63">
                  <c:v>0.39781367369728249</c:v>
                </c:pt>
                <c:pt idx="64">
                  <c:v>1.1688935306479347</c:v>
                </c:pt>
                <c:pt idx="65">
                  <c:v>0.83449051511604111</c:v>
                </c:pt>
                <c:pt idx="66">
                  <c:v>0.72338290208044131</c:v>
                </c:pt>
                <c:pt idx="67">
                  <c:v>1.7838213797818068</c:v>
                </c:pt>
                <c:pt idx="68">
                  <c:v>1.1445697811298261</c:v>
                </c:pt>
                <c:pt idx="69">
                  <c:v>0.83009002924538788</c:v>
                </c:pt>
                <c:pt idx="70">
                  <c:v>0.48213412978313819</c:v>
                </c:pt>
                <c:pt idx="71">
                  <c:v>0.95358829055630412</c:v>
                </c:pt>
                <c:pt idx="72">
                  <c:v>0.2739294675704349</c:v>
                </c:pt>
                <c:pt idx="73">
                  <c:v>0.13300937697700355</c:v>
                </c:pt>
                <c:pt idx="74">
                  <c:v>5.8063311556562171E-2</c:v>
                </c:pt>
                <c:pt idx="75">
                  <c:v>6.8953431093625409E-2</c:v>
                </c:pt>
                <c:pt idx="76">
                  <c:v>0.1279769292164569</c:v>
                </c:pt>
                <c:pt idx="77">
                  <c:v>1.0552723481737289</c:v>
                </c:pt>
                <c:pt idx="78">
                  <c:v>0.91496030785471649</c:v>
                </c:pt>
                <c:pt idx="79">
                  <c:v>0.94696492601064519</c:v>
                </c:pt>
                <c:pt idx="80">
                  <c:v>0.3896631902375941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B-DD4E-A28B-3C3BF8DDC6A4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4B-DD4E-A28B-3C3BF8DDC6A4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4B-DD4E-A28B-3C3BF8DDC6A4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4B-DD4E-A28B-3C3BF8DDC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3696"/>
        <c:axId val="55135616"/>
      </c:scatterChart>
      <c:valAx>
        <c:axId val="55133696"/>
        <c:scaling>
          <c:orientation val="minMax"/>
          <c:max val="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relation</a:t>
                </a:r>
                <a:r>
                  <a:rPr lang="de-DE" baseline="0"/>
                  <a:t> </a:t>
                </a:r>
                <a:r>
                  <a:rPr lang="de-DE"/>
                  <a:t>measurement</a:t>
                </a:r>
                <a:r>
                  <a:rPr lang="de-DE" baseline="0"/>
                  <a:t> to limit</a:t>
                </a:r>
                <a:r>
                  <a:rPr lang="de-DE"/>
                  <a:t> PO4-P C-90 (-)</a:t>
                </a:r>
              </a:p>
            </c:rich>
          </c:tx>
          <c:layout>
            <c:manualLayout>
              <c:xMode val="edge"/>
              <c:yMode val="edge"/>
              <c:x val="0.18513272937656985"/>
              <c:y val="0.913937440172919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135616"/>
        <c:crossesAt val="0"/>
        <c:crossBetween val="midCat"/>
      </c:valAx>
      <c:valAx>
        <c:axId val="5513561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relation</a:t>
                </a:r>
                <a:r>
                  <a:rPr lang="de-DE" baseline="0"/>
                  <a:t> c</a:t>
                </a:r>
                <a:r>
                  <a:rPr lang="de-DE"/>
                  <a:t>alculation</a:t>
                </a:r>
                <a:r>
                  <a:rPr lang="de-DE" baseline="0"/>
                  <a:t> to limit</a:t>
                </a:r>
                <a:r>
                  <a:rPr lang="de-DE"/>
                  <a:t> PO4-P C-90</a:t>
                </a:r>
                <a:r>
                  <a:rPr lang="de-DE" baseline="0"/>
                  <a:t> (-</a:t>
                </a:r>
                <a:r>
                  <a:rPr lang="de-DE"/>
                  <a:t>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5.846484483557202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133696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loads'!$CD$4:$CD$84</c:f>
              <c:numCache>
                <c:formatCode>0.00</c:formatCode>
                <c:ptCount val="81"/>
              </c:numCache>
            </c:numRef>
          </c:xVal>
          <c:yVal>
            <c:numRef>
              <c:f>'River loads'!$CC$4:$CC$84</c:f>
              <c:numCache>
                <c:formatCode>0.00</c:formatCode>
                <c:ptCount val="81"/>
                <c:pt idx="0">
                  <c:v>0.66638155792745579</c:v>
                </c:pt>
                <c:pt idx="1">
                  <c:v>0.48714899757552971</c:v>
                </c:pt>
                <c:pt idx="2">
                  <c:v>0.6203351516958352</c:v>
                </c:pt>
                <c:pt idx="3">
                  <c:v>0.50751414223783542</c:v>
                </c:pt>
                <c:pt idx="4">
                  <c:v>0.50503197206962958</c:v>
                </c:pt>
                <c:pt idx="5">
                  <c:v>0.68148224570553584</c:v>
                </c:pt>
                <c:pt idx="6">
                  <c:v>0.84813469486566362</c:v>
                </c:pt>
                <c:pt idx="7">
                  <c:v>1.1112733336373717</c:v>
                </c:pt>
                <c:pt idx="8">
                  <c:v>0.99345025673341325</c:v>
                </c:pt>
                <c:pt idx="9">
                  <c:v>1.0113669788305655</c:v>
                </c:pt>
                <c:pt idx="10">
                  <c:v>0.94350502007737724</c:v>
                </c:pt>
                <c:pt idx="11">
                  <c:v>0.95644045659001142</c:v>
                </c:pt>
                <c:pt idx="12">
                  <c:v>0.93032001088702965</c:v>
                </c:pt>
                <c:pt idx="13">
                  <c:v>0.52689223180760181</c:v>
                </c:pt>
                <c:pt idx="14">
                  <c:v>0.50103113183146286</c:v>
                </c:pt>
                <c:pt idx="15">
                  <c:v>0.36199884292137641</c:v>
                </c:pt>
                <c:pt idx="16">
                  <c:v>0.3728577074787538</c:v>
                </c:pt>
                <c:pt idx="17">
                  <c:v>0.35308251320723916</c:v>
                </c:pt>
                <c:pt idx="18">
                  <c:v>0.33791567312711351</c:v>
                </c:pt>
                <c:pt idx="19">
                  <c:v>1.1188350283055299</c:v>
                </c:pt>
                <c:pt idx="20">
                  <c:v>0.99300260131009199</c:v>
                </c:pt>
                <c:pt idx="21">
                  <c:v>1.0429200241476728</c:v>
                </c:pt>
                <c:pt idx="22">
                  <c:v>0.89576168291783642</c:v>
                </c:pt>
                <c:pt idx="23">
                  <c:v>0.45810788080566911</c:v>
                </c:pt>
                <c:pt idx="24">
                  <c:v>0.61520014465398509</c:v>
                </c:pt>
                <c:pt idx="25">
                  <c:v>0.6819638181555987</c:v>
                </c:pt>
                <c:pt idx="26">
                  <c:v>0.15505411609259712</c:v>
                </c:pt>
                <c:pt idx="27">
                  <c:v>9.8999097718286203E-2</c:v>
                </c:pt>
                <c:pt idx="28">
                  <c:v>0.33544869645228653</c:v>
                </c:pt>
                <c:pt idx="29">
                  <c:v>0.64762756877792849</c:v>
                </c:pt>
                <c:pt idx="30">
                  <c:v>0.65427091666087467</c:v>
                </c:pt>
                <c:pt idx="31">
                  <c:v>0.67881782783257794</c:v>
                </c:pt>
                <c:pt idx="32">
                  <c:v>0.1057871206702854</c:v>
                </c:pt>
                <c:pt idx="33">
                  <c:v>0.42648830337548521</c:v>
                </c:pt>
                <c:pt idx="34">
                  <c:v>0.14949853758148837</c:v>
                </c:pt>
                <c:pt idx="35">
                  <c:v>0.31284130265558108</c:v>
                </c:pt>
                <c:pt idx="36">
                  <c:v>0.84499933922083625</c:v>
                </c:pt>
                <c:pt idx="37">
                  <c:v>1.1037598878085455</c:v>
                </c:pt>
                <c:pt idx="38">
                  <c:v>1.562116437827241</c:v>
                </c:pt>
                <c:pt idx="39">
                  <c:v>1.1981901853040444</c:v>
                </c:pt>
                <c:pt idx="40">
                  <c:v>0.74060100530268624</c:v>
                </c:pt>
                <c:pt idx="41">
                  <c:v>0.72576560790364841</c:v>
                </c:pt>
                <c:pt idx="42">
                  <c:v>0.95228166049324492</c:v>
                </c:pt>
                <c:pt idx="43">
                  <c:v>0.16889147642975452</c:v>
                </c:pt>
                <c:pt idx="44">
                  <c:v>0.19881817383256567</c:v>
                </c:pt>
                <c:pt idx="45">
                  <c:v>0.23832134799547958</c:v>
                </c:pt>
                <c:pt idx="46">
                  <c:v>0.19704392722699268</c:v>
                </c:pt>
                <c:pt idx="47">
                  <c:v>0.31304698779308782</c:v>
                </c:pt>
                <c:pt idx="48">
                  <c:v>0.8373323064565541</c:v>
                </c:pt>
                <c:pt idx="49">
                  <c:v>0.61277124996708043</c:v>
                </c:pt>
                <c:pt idx="50">
                  <c:v>0.37018106296982384</c:v>
                </c:pt>
                <c:pt idx="51">
                  <c:v>0.64953291140666991</c:v>
                </c:pt>
                <c:pt idx="52">
                  <c:v>0.56128099955318589</c:v>
                </c:pt>
                <c:pt idx="53">
                  <c:v>0.39209185078599201</c:v>
                </c:pt>
                <c:pt idx="55">
                  <c:v>0.8227728692440589</c:v>
                </c:pt>
                <c:pt idx="56">
                  <c:v>0.63855741212536321</c:v>
                </c:pt>
                <c:pt idx="57">
                  <c:v>0.11406230075800768</c:v>
                </c:pt>
                <c:pt idx="58">
                  <c:v>0.29110413452373118</c:v>
                </c:pt>
                <c:pt idx="59">
                  <c:v>0.21775222650692294</c:v>
                </c:pt>
                <c:pt idx="60">
                  <c:v>0.50171068671605312</c:v>
                </c:pt>
                <c:pt idx="61">
                  <c:v>0.46031920127605414</c:v>
                </c:pt>
                <c:pt idx="62">
                  <c:v>0.41874437302261297</c:v>
                </c:pt>
                <c:pt idx="63">
                  <c:v>0.32469550536999753</c:v>
                </c:pt>
                <c:pt idx="64">
                  <c:v>0.13898744704451563</c:v>
                </c:pt>
                <c:pt idx="65">
                  <c:v>0.15544673147106869</c:v>
                </c:pt>
                <c:pt idx="66">
                  <c:v>0.14998744571217365</c:v>
                </c:pt>
                <c:pt idx="68">
                  <c:v>0.35715932019339386</c:v>
                </c:pt>
                <c:pt idx="69">
                  <c:v>0.17349616661288622</c:v>
                </c:pt>
                <c:pt idx="70">
                  <c:v>0.19062273786996811</c:v>
                </c:pt>
                <c:pt idx="71">
                  <c:v>0.23112062603416464</c:v>
                </c:pt>
                <c:pt idx="72">
                  <c:v>0.18930119700760778</c:v>
                </c:pt>
                <c:pt idx="73">
                  <c:v>0.27134360087082404</c:v>
                </c:pt>
                <c:pt idx="74">
                  <c:v>0.18240827116231842</c:v>
                </c:pt>
                <c:pt idx="75">
                  <c:v>0.18964252588053612</c:v>
                </c:pt>
                <c:pt idx="76">
                  <c:v>0.21628461285555678</c:v>
                </c:pt>
                <c:pt idx="77">
                  <c:v>0.20119034616768169</c:v>
                </c:pt>
                <c:pt idx="78">
                  <c:v>0.33258675188906955</c:v>
                </c:pt>
                <c:pt idx="79">
                  <c:v>0.20820512415084211</c:v>
                </c:pt>
                <c:pt idx="80">
                  <c:v>0.21337844355854066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EF-D74D-A9C7-F2C6BB9322B6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EF-D74D-A9C7-F2C6BB9322B6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EF-D74D-A9C7-F2C6BB9322B6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EF-D74D-A9C7-F2C6BB932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84000"/>
        <c:axId val="55194368"/>
      </c:scatterChart>
      <c:valAx>
        <c:axId val="55184000"/>
        <c:scaling>
          <c:orientation val="minMax"/>
          <c:max val="1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relation measured to standard (-)</a:t>
                </a:r>
              </a:p>
            </c:rich>
          </c:tx>
          <c:layout>
            <c:manualLayout>
              <c:xMode val="edge"/>
              <c:yMode val="edge"/>
              <c:x val="0.25134987158863226"/>
              <c:y val="0.910800185270958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194368"/>
        <c:crossesAt val="0"/>
        <c:crossBetween val="midCat"/>
        <c:majorUnit val="0.5"/>
      </c:valAx>
      <c:valAx>
        <c:axId val="55194368"/>
        <c:scaling>
          <c:orientation val="minMax"/>
          <c:max val="1.5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relation calculated to standard (-)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149354330708661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184000"/>
        <c:crossesAt val="0"/>
        <c:crossBetween val="midCat"/>
        <c:majorUnit val="0.5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values</c:v>
          </c:tx>
          <c:xVal>
            <c:numRef>
              <c:f>'Graphs c eng'!$F$57:$F$77</c:f>
              <c:numCache>
                <c:formatCode>0,000</c:formatCode>
                <c:ptCount val="21"/>
                <c:pt idx="0">
                  <c:v>9.8999097718286203E-2</c:v>
                </c:pt>
                <c:pt idx="1">
                  <c:v>0.14844742852779111</c:v>
                </c:pt>
                <c:pt idx="2">
                  <c:v>0.16620252743801736</c:v>
                </c:pt>
                <c:pt idx="3">
                  <c:v>0.18954012721865762</c:v>
                </c:pt>
                <c:pt idx="4">
                  <c:v>0.20024147723363528</c:v>
                </c:pt>
                <c:pt idx="5">
                  <c:v>0.21701841968123986</c:v>
                </c:pt>
                <c:pt idx="6">
                  <c:v>0.27924781433198687</c:v>
                </c:pt>
                <c:pt idx="7">
                  <c:v>0.32706287932571909</c:v>
                </c:pt>
                <c:pt idx="8">
                  <c:v>0.35389787460447009</c:v>
                </c:pt>
                <c:pt idx="9">
                  <c:v>0.37478112180947754</c:v>
                </c:pt>
                <c:pt idx="10">
                  <c:v>0.45810788080566889</c:v>
                </c:pt>
                <c:pt idx="11">
                  <c:v>0.50164273122759406</c:v>
                </c:pt>
                <c:pt idx="12">
                  <c:v>0.55440324600406898</c:v>
                </c:pt>
                <c:pt idx="13">
                  <c:v>0.63309073399650484</c:v>
                </c:pt>
                <c:pt idx="14">
                  <c:v>0.66153730142082345</c:v>
                </c:pt>
                <c:pt idx="15">
                  <c:v>0.70386471302962383</c:v>
                </c:pt>
                <c:pt idx="16">
                  <c:v>0.84039911956226709</c:v>
                </c:pt>
                <c:pt idx="17">
                  <c:v>0.93427551364413408</c:v>
                </c:pt>
                <c:pt idx="18">
                  <c:v>0.99309213239475624</c:v>
                </c:pt>
                <c:pt idx="19">
                  <c:v>1.1045112323914283</c:v>
                </c:pt>
                <c:pt idx="20">
                  <c:v>1.2782539608591472</c:v>
                </c:pt>
              </c:numCache>
            </c:numRef>
          </c:xVal>
          <c:yVal>
            <c:numRef>
              <c:f>'Graphs c eng'!$A$57:$A$77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2E-904A-BB39-AB3DD8CE29AD}"/>
            </c:ext>
          </c:extLst>
        </c:ser>
        <c:ser>
          <c:idx val="1"/>
          <c:order val="1"/>
          <c:tx>
            <c:v>measured values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72E-904A-BB39-AB3DD8CE29AD}"/>
              </c:ext>
            </c:extLst>
          </c:dPt>
          <c:xVal>
            <c:numRef>
              <c:f>'Graphs c eng'!$G$57:$G$77</c:f>
              <c:numCache>
                <c:formatCode>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'Graphs c eng'!$A$57:$A$77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2E-904A-BB39-AB3DD8CE2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7152"/>
        <c:axId val="55219328"/>
      </c:scatterChart>
      <c:valAx>
        <c:axId val="55217152"/>
        <c:scaling>
          <c:orientation val="minMax"/>
          <c:max val="1.5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relation</a:t>
                </a:r>
                <a:r>
                  <a:rPr lang="de-DE" sz="1200" baseline="0"/>
                  <a:t> DIN value to NO3-N limit </a:t>
                </a:r>
                <a:r>
                  <a:rPr lang="de-DE" sz="1200"/>
                  <a:t> (-)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55219328"/>
        <c:crosses val="autoZero"/>
        <c:crossBetween val="midCat"/>
        <c:majorUnit val="0.5"/>
      </c:valAx>
      <c:valAx>
        <c:axId val="55219328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217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32445909886264257"/>
          <c:h val="0.14043680054226926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averages PO4-P</c:v>
          </c:tx>
          <c:xVal>
            <c:numRef>
              <c:f>'Graphs c de'!$C$4:$C$24</c:f>
              <c:numCache>
                <c:formatCode>0,000</c:formatCode>
                <c:ptCount val="21"/>
                <c:pt idx="0">
                  <c:v>1.1322345753529623E-3</c:v>
                </c:pt>
                <c:pt idx="1">
                  <c:v>3.2577573800905133E-3</c:v>
                </c:pt>
                <c:pt idx="2">
                  <c:v>5.1937232016177667E-3</c:v>
                </c:pt>
                <c:pt idx="3">
                  <c:v>7.3838749995421464E-3</c:v>
                </c:pt>
                <c:pt idx="4">
                  <c:v>9.6728823245250378E-3</c:v>
                </c:pt>
                <c:pt idx="5">
                  <c:v>1.2840147458944094E-2</c:v>
                </c:pt>
                <c:pt idx="6">
                  <c:v>1.5602873576656937E-2</c:v>
                </c:pt>
                <c:pt idx="7">
                  <c:v>1.7698038729985519E-2</c:v>
                </c:pt>
                <c:pt idx="8">
                  <c:v>1.8465816057207582E-2</c:v>
                </c:pt>
                <c:pt idx="9">
                  <c:v>2.2114130183506563E-2</c:v>
                </c:pt>
                <c:pt idx="10">
                  <c:v>2.349876553158595E-2</c:v>
                </c:pt>
                <c:pt idx="11">
                  <c:v>2.5857888790323365E-2</c:v>
                </c:pt>
                <c:pt idx="12">
                  <c:v>3.1331580111728159E-2</c:v>
                </c:pt>
                <c:pt idx="13">
                  <c:v>3.7467671337739372E-2</c:v>
                </c:pt>
                <c:pt idx="14">
                  <c:v>4.5953318896021764E-2</c:v>
                </c:pt>
                <c:pt idx="15">
                  <c:v>5.620671206266864E-2</c:v>
                </c:pt>
                <c:pt idx="16">
                  <c:v>7.0620683493760064E-2</c:v>
                </c:pt>
                <c:pt idx="17">
                  <c:v>8.060086752558103E-2</c:v>
                </c:pt>
                <c:pt idx="18">
                  <c:v>8.6548856305455127E-2</c:v>
                </c:pt>
                <c:pt idx="19">
                  <c:v>9.1215403672192441E-2</c:v>
                </c:pt>
                <c:pt idx="20">
                  <c:v>0.10142280637629937</c:v>
                </c:pt>
              </c:numCache>
            </c:numRef>
          </c:xVal>
          <c:yVal>
            <c:numRef>
              <c:f>'Graphs c de'!$A$4:$A$24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5F-944F-AC0D-67136F3B0ABB}"/>
            </c:ext>
          </c:extLst>
        </c:ser>
        <c:ser>
          <c:idx val="1"/>
          <c:order val="1"/>
          <c:tx>
            <c:v>averages from measurments PO4-P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F5F-944F-AC0D-67136F3B0ABB}"/>
              </c:ext>
            </c:extLst>
          </c:dPt>
          <c:xVal>
            <c:numRef>
              <c:f>'Graphs c de'!$D$4:$D$24</c:f>
              <c:numCache>
                <c:formatCode>0,000</c:formatCode>
                <c:ptCount val="21"/>
                <c:pt idx="0">
                  <c:v>7.3210035511855048E-3</c:v>
                </c:pt>
                <c:pt idx="1">
                  <c:v>9.4374932315289088E-3</c:v>
                </c:pt>
                <c:pt idx="2">
                  <c:v>1.1614349186782474E-2</c:v>
                </c:pt>
                <c:pt idx="3">
                  <c:v>1.5575262589695485E-2</c:v>
                </c:pt>
                <c:pt idx="4">
                  <c:v>1.9494442854752523E-2</c:v>
                </c:pt>
                <c:pt idx="5">
                  <c:v>2.9536117009637028E-2</c:v>
                </c:pt>
                <c:pt idx="6">
                  <c:v>3.5201468408893967E-2</c:v>
                </c:pt>
                <c:pt idx="7">
                  <c:v>3.7611104267570444E-2</c:v>
                </c:pt>
                <c:pt idx="8">
                  <c:v>3.9400745592052124E-2</c:v>
                </c:pt>
                <c:pt idx="9">
                  <c:v>4.4423985011793621E-2</c:v>
                </c:pt>
                <c:pt idx="10">
                  <c:v>4.7681805202891774E-2</c:v>
                </c:pt>
                <c:pt idx="11">
                  <c:v>5.0911351291888972E-2</c:v>
                </c:pt>
                <c:pt idx="12">
                  <c:v>5.6770302169436682E-2</c:v>
                </c:pt>
                <c:pt idx="13">
                  <c:v>7.626721979388032E-2</c:v>
                </c:pt>
                <c:pt idx="14">
                  <c:v>7.8457096836640899E-2</c:v>
                </c:pt>
                <c:pt idx="15">
                  <c:v>8.2298010402055755E-2</c:v>
                </c:pt>
                <c:pt idx="16">
                  <c:v>8.8769842519414846E-2</c:v>
                </c:pt>
                <c:pt idx="17">
                  <c:v>9.7686365320003729E-2</c:v>
                </c:pt>
                <c:pt idx="18">
                  <c:v>0.10276816397151019</c:v>
                </c:pt>
                <c:pt idx="19">
                  <c:v>0.1177581559964611</c:v>
                </c:pt>
                <c:pt idx="20">
                  <c:v>0.1389500803147857</c:v>
                </c:pt>
              </c:numCache>
            </c:numRef>
          </c:xVal>
          <c:yVal>
            <c:numRef>
              <c:f>'Graphs c de'!$A$4:$A$24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5F-944F-AC0D-67136F3B0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80256"/>
        <c:axId val="54482432"/>
      </c:scatterChart>
      <c:valAx>
        <c:axId val="54480256"/>
        <c:scaling>
          <c:orientation val="minMax"/>
          <c:max val="0.15000000000000011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PO4-P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54482432"/>
        <c:crosses val="autoZero"/>
        <c:crossBetween val="midCat"/>
        <c:majorUnit val="5.0000000000000024E-2"/>
      </c:valAx>
      <c:valAx>
        <c:axId val="54482432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448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69359072051467"/>
          <c:y val="6.1033003761837408E-2"/>
          <c:w val="0.75661106877769313"/>
          <c:h val="0.7769970863526227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noFill/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loads'!$CP$4:$CP$84</c:f>
              <c:numCache>
                <c:formatCode>0,000</c:formatCode>
                <c:ptCount val="81"/>
                <c:pt idx="4">
                  <c:v>3.4674157303370777E-2</c:v>
                </c:pt>
                <c:pt idx="6">
                  <c:v>4.5584269662921333E-2</c:v>
                </c:pt>
                <c:pt idx="7">
                  <c:v>0.08</c:v>
                </c:pt>
                <c:pt idx="8">
                  <c:v>0.13777777777777778</c:v>
                </c:pt>
                <c:pt idx="9">
                  <c:v>0.12955555555555562</c:v>
                </c:pt>
                <c:pt idx="10">
                  <c:v>0.1745268817204301</c:v>
                </c:pt>
                <c:pt idx="11">
                  <c:v>9.9526881720430088E-2</c:v>
                </c:pt>
                <c:pt idx="12">
                  <c:v>0.10176344086021508</c:v>
                </c:pt>
                <c:pt idx="15">
                  <c:v>0.06</c:v>
                </c:pt>
                <c:pt idx="17">
                  <c:v>2.5000000000000001E-2</c:v>
                </c:pt>
                <c:pt idx="18">
                  <c:v>2.5723958333333314E-2</c:v>
                </c:pt>
                <c:pt idx="19">
                  <c:v>7.4840425531914875E-2</c:v>
                </c:pt>
                <c:pt idx="20">
                  <c:v>8.0468085106382967E-2</c:v>
                </c:pt>
                <c:pt idx="21">
                  <c:v>7.619101123595505E-2</c:v>
                </c:pt>
                <c:pt idx="22">
                  <c:v>0.12262921348314608</c:v>
                </c:pt>
                <c:pt idx="23">
                  <c:v>2.9219512195121936E-2</c:v>
                </c:pt>
                <c:pt idx="24">
                  <c:v>3.838823529411764E-2</c:v>
                </c:pt>
                <c:pt idx="30">
                  <c:v>7.4500000000000009E-3</c:v>
                </c:pt>
                <c:pt idx="31">
                  <c:v>1.715934065934064E-2</c:v>
                </c:pt>
                <c:pt idx="32">
                  <c:v>1.1451612903225801E-2</c:v>
                </c:pt>
                <c:pt idx="33">
                  <c:v>1.0075268817204304E-2</c:v>
                </c:pt>
                <c:pt idx="34">
                  <c:v>2.5260416666666682E-3</c:v>
                </c:pt>
                <c:pt idx="35">
                  <c:v>4.0156250000000027E-3</c:v>
                </c:pt>
                <c:pt idx="36">
                  <c:v>4.6946808510638281E-2</c:v>
                </c:pt>
                <c:pt idx="37">
                  <c:v>4.490425531914892E-2</c:v>
                </c:pt>
                <c:pt idx="38">
                  <c:v>3.4268817204301055E-2</c:v>
                </c:pt>
                <c:pt idx="39">
                  <c:v>0.05</c:v>
                </c:pt>
                <c:pt idx="40">
                  <c:v>0.10210309278350517</c:v>
                </c:pt>
                <c:pt idx="41">
                  <c:v>0.11341237113402061</c:v>
                </c:pt>
                <c:pt idx="42">
                  <c:v>0.12065979381443291</c:v>
                </c:pt>
                <c:pt idx="47">
                  <c:v>3.0053763440860237E-3</c:v>
                </c:pt>
                <c:pt idx="48">
                  <c:v>4.6632653061224487E-2</c:v>
                </c:pt>
                <c:pt idx="49">
                  <c:v>8.515306122448979E-2</c:v>
                </c:pt>
                <c:pt idx="50">
                  <c:v>1.3091836734693874E-2</c:v>
                </c:pt>
                <c:pt idx="51">
                  <c:v>4.3795918367346927E-2</c:v>
                </c:pt>
                <c:pt idx="53">
                  <c:v>1.1688172043010755E-2</c:v>
                </c:pt>
                <c:pt idx="57">
                  <c:v>2.5000000000000014E-3</c:v>
                </c:pt>
                <c:pt idx="58">
                  <c:v>8.6547619047619064E-3</c:v>
                </c:pt>
                <c:pt idx="59">
                  <c:v>4.1774193548387122E-3</c:v>
                </c:pt>
              </c:numCache>
            </c:numRef>
          </c:xVal>
          <c:yVal>
            <c:numRef>
              <c:f>'River loads'!$BM$4:$BM$84</c:f>
              <c:numCache>
                <c:formatCode>0,000</c:formatCode>
                <c:ptCount val="81"/>
                <c:pt idx="0">
                  <c:v>2.8172204693323454E-2</c:v>
                </c:pt>
                <c:pt idx="1">
                  <c:v>5.6206712062668633E-2</c:v>
                </c:pt>
                <c:pt idx="2">
                  <c:v>3.8629690249752005E-2</c:v>
                </c:pt>
                <c:pt idx="3">
                  <c:v>1.3149143387446487E-2</c:v>
                </c:pt>
                <c:pt idx="4">
                  <c:v>2.5806884458799331E-2</c:v>
                </c:pt>
                <c:pt idx="5">
                  <c:v>2.1350362374961778E-2</c:v>
                </c:pt>
                <c:pt idx="6">
                  <c:v>6.2943150699483336E-2</c:v>
                </c:pt>
                <c:pt idx="7">
                  <c:v>9.1215403672192413E-2</c:v>
                </c:pt>
                <c:pt idx="8">
                  <c:v>8.6548856305455127E-2</c:v>
                </c:pt>
                <c:pt idx="9">
                  <c:v>8.9155369657643577E-2</c:v>
                </c:pt>
                <c:pt idx="10">
                  <c:v>7.7625831873315634E-2</c:v>
                </c:pt>
                <c:pt idx="11">
                  <c:v>8.060086752558103E-2</c:v>
                </c:pt>
                <c:pt idx="12">
                  <c:v>8.3470389744401519E-2</c:v>
                </c:pt>
                <c:pt idx="13">
                  <c:v>5.702341357141149E-2</c:v>
                </c:pt>
                <c:pt idx="14">
                  <c:v>2.5538775071983877E-2</c:v>
                </c:pt>
                <c:pt idx="15">
                  <c:v>3.3861280384131595E-2</c:v>
                </c:pt>
                <c:pt idx="16">
                  <c:v>1.5602873576656937E-2</c:v>
                </c:pt>
                <c:pt idx="17">
                  <c:v>2.3498765531585954E-2</c:v>
                </c:pt>
                <c:pt idx="18">
                  <c:v>1.3139402271117031E-2</c:v>
                </c:pt>
                <c:pt idx="19">
                  <c:v>8.7024150057467636E-2</c:v>
                </c:pt>
                <c:pt idx="20">
                  <c:v>7.8598166337732076E-2</c:v>
                </c:pt>
                <c:pt idx="21">
                  <c:v>9.9235255873170433E-2</c:v>
                </c:pt>
                <c:pt idx="22">
                  <c:v>9.2011131595448908E-2</c:v>
                </c:pt>
                <c:pt idx="23">
                  <c:v>2.2114130183506563E-2</c:v>
                </c:pt>
                <c:pt idx="24">
                  <c:v>3.3418743397650247E-2</c:v>
                </c:pt>
                <c:pt idx="25">
                  <c:v>4.9328560813401104E-2</c:v>
                </c:pt>
                <c:pt idx="26">
                  <c:v>5.1774691851686075E-3</c:v>
                </c:pt>
                <c:pt idx="27">
                  <c:v>5.770801070649016E-3</c:v>
                </c:pt>
                <c:pt idx="28">
                  <c:v>7.3838749995421438E-3</c:v>
                </c:pt>
                <c:pt idx="29">
                  <c:v>1.7698038729985519E-2</c:v>
                </c:pt>
                <c:pt idx="30">
                  <c:v>1.7997731220936147E-2</c:v>
                </c:pt>
                <c:pt idx="31">
                  <c:v>2.6628373063957097E-2</c:v>
                </c:pt>
                <c:pt idx="32">
                  <c:v>4.8430436102357022E-3</c:v>
                </c:pt>
                <c:pt idx="33">
                  <c:v>2.0990054828674932E-2</c:v>
                </c:pt>
                <c:pt idx="34">
                  <c:v>3.2577573800905133E-3</c:v>
                </c:pt>
                <c:pt idx="35">
                  <c:v>1.2840147458944094E-2</c:v>
                </c:pt>
                <c:pt idx="36">
                  <c:v>6.8659075678107362E-2</c:v>
                </c:pt>
                <c:pt idx="37">
                  <c:v>8.2499269888256135E-2</c:v>
                </c:pt>
                <c:pt idx="38">
                  <c:v>0.11017300838881498</c:v>
                </c:pt>
                <c:pt idx="39">
                  <c:v>9.492483737529496E-2</c:v>
                </c:pt>
                <c:pt idx="40">
                  <c:v>7.837523843520236E-2</c:v>
                </c:pt>
                <c:pt idx="41">
                  <c:v>8.7390363442741606E-2</c:v>
                </c:pt>
                <c:pt idx="42">
                  <c:v>8.0993226344562019E-2</c:v>
                </c:pt>
                <c:pt idx="43">
                  <c:v>5.5533341110320109E-3</c:v>
                </c:pt>
                <c:pt idx="44">
                  <c:v>9.6728823245250378E-3</c:v>
                </c:pt>
                <c:pt idx="45">
                  <c:v>5.1937232016177667E-3</c:v>
                </c:pt>
                <c:pt idx="46">
                  <c:v>4.1117383511124136E-3</c:v>
                </c:pt>
                <c:pt idx="47">
                  <c:v>8.6570484577437688E-3</c:v>
                </c:pt>
                <c:pt idx="48">
                  <c:v>3.345048663792894E-2</c:v>
                </c:pt>
                <c:pt idx="49">
                  <c:v>7.0620683493759967E-2</c:v>
                </c:pt>
                <c:pt idx="50">
                  <c:v>2.6143192567185294E-2</c:v>
                </c:pt>
                <c:pt idx="51">
                  <c:v>4.6053843737854226E-2</c:v>
                </c:pt>
                <c:pt idx="52">
                  <c:v>4.0064601492780759E-2</c:v>
                </c:pt>
                <c:pt idx="53">
                  <c:v>1.8457580049310883E-2</c:v>
                </c:pt>
                <c:pt idx="54">
                  <c:v>3.1331580111728159E-2</c:v>
                </c:pt>
                <c:pt idx="55">
                  <c:v>4.1965927602115469E-2</c:v>
                </c:pt>
                <c:pt idx="56">
                  <c:v>2.5475462442636303E-2</c:v>
                </c:pt>
                <c:pt idx="57">
                  <c:v>9.6457053541095517E-3</c:v>
                </c:pt>
                <c:pt idx="58">
                  <c:v>2.2830974367452524E-2</c:v>
                </c:pt>
                <c:pt idx="59">
                  <c:v>1.2156796320513263E-2</c:v>
                </c:pt>
                <c:pt idx="60">
                  <c:v>5.4205878526215862E-2</c:v>
                </c:pt>
                <c:pt idx="61">
                  <c:v>4.5953318896021764E-2</c:v>
                </c:pt>
                <c:pt idx="62">
                  <c:v>3.7467671337739372E-2</c:v>
                </c:pt>
                <c:pt idx="63">
                  <c:v>2.5857888790323365E-2</c:v>
                </c:pt>
                <c:pt idx="64">
                  <c:v>2.2793423847634726E-2</c:v>
                </c:pt>
                <c:pt idx="65">
                  <c:v>1.62725650447628E-2</c:v>
                </c:pt>
                <c:pt idx="66">
                  <c:v>1.4105966590568607E-2</c:v>
                </c:pt>
                <c:pt idx="67">
                  <c:v>1.7392258452872615E-2</c:v>
                </c:pt>
                <c:pt idx="68">
                  <c:v>2.2319110732031609E-2</c:v>
                </c:pt>
                <c:pt idx="69">
                  <c:v>1.6186755570285063E-2</c:v>
                </c:pt>
                <c:pt idx="70">
                  <c:v>9.4016155307711947E-3</c:v>
                </c:pt>
                <c:pt idx="71">
                  <c:v>1.8594971665847931E-2</c:v>
                </c:pt>
                <c:pt idx="72">
                  <c:v>5.3416246176234798E-3</c:v>
                </c:pt>
                <c:pt idx="73">
                  <c:v>2.593682851051569E-3</c:v>
                </c:pt>
                <c:pt idx="74">
                  <c:v>1.1322345753529623E-3</c:v>
                </c:pt>
                <c:pt idx="75">
                  <c:v>1.3445919063256955E-3</c:v>
                </c:pt>
                <c:pt idx="76">
                  <c:v>2.4955501197209094E-3</c:v>
                </c:pt>
                <c:pt idx="77">
                  <c:v>1.0288905394693857E-2</c:v>
                </c:pt>
                <c:pt idx="78">
                  <c:v>1.7841726003166972E-2</c:v>
                </c:pt>
                <c:pt idx="79">
                  <c:v>1.8465816057207582E-2</c:v>
                </c:pt>
                <c:pt idx="80">
                  <c:v>1.2664053682721809E-2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6-6245-A9A8-21184808EC79}"/>
            </c:ext>
          </c:extLst>
        </c:ser>
        <c:ser>
          <c:idx val="0"/>
          <c:order val="1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loads'!$BN$4:$BN$84</c:f>
              <c:numCache>
                <c:formatCode>0,000</c:formatCode>
                <c:ptCount val="81"/>
                <c:pt idx="4">
                  <c:v>2.5159769253261514E-2</c:v>
                </c:pt>
                <c:pt idx="6">
                  <c:v>5.1909621770501964E-2</c:v>
                </c:pt>
                <c:pt idx="8">
                  <c:v>0.14448021085678825</c:v>
                </c:pt>
                <c:pt idx="10">
                  <c:v>0.11934325384768564</c:v>
                </c:pt>
                <c:pt idx="11">
                  <c:v>9.9871718515793628E-2</c:v>
                </c:pt>
                <c:pt idx="12">
                  <c:v>0.10349227533543931</c:v>
                </c:pt>
                <c:pt idx="18">
                  <c:v>1.5717558589079854E-2</c:v>
                </c:pt>
                <c:pt idx="19">
                  <c:v>8.1552226300315347E-2</c:v>
                </c:pt>
                <c:pt idx="20">
                  <c:v>8.3043794503796148E-2</c:v>
                </c:pt>
                <c:pt idx="21">
                  <c:v>7.6393677194191253E-2</c:v>
                </c:pt>
                <c:pt idx="24">
                  <c:v>3.3912464766012541E-2</c:v>
                </c:pt>
                <c:pt idx="33">
                  <c:v>9.303951719922314E-3</c:v>
                </c:pt>
                <c:pt idx="36">
                  <c:v>4.768180520289178E-2</c:v>
                </c:pt>
                <c:pt idx="37">
                  <c:v>5.0800432349820866E-2</c:v>
                </c:pt>
                <c:pt idx="38">
                  <c:v>3.9682052341377311E-2</c:v>
                </c:pt>
                <c:pt idx="40">
                  <c:v>7.6213023765175636E-2</c:v>
                </c:pt>
                <c:pt idx="41">
                  <c:v>4.4950866419617666E-2</c:v>
                </c:pt>
                <c:pt idx="42">
                  <c:v>9.2587207863160562E-2</c:v>
                </c:pt>
                <c:pt idx="48">
                  <c:v>3.606080417081492E-2</c:v>
                </c:pt>
                <c:pt idx="50">
                  <c:v>1.5514278589959326E-2</c:v>
                </c:pt>
                <c:pt idx="51">
                  <c:v>3.8275518594751388E-2</c:v>
                </c:pt>
                <c:pt idx="53">
                  <c:v>1.063936683598826E-2</c:v>
                </c:pt>
                <c:pt idx="58">
                  <c:v>7.3210035511855048E-3</c:v>
                </c:pt>
              </c:numCache>
            </c:numRef>
          </c:xVal>
          <c:yVal>
            <c:numRef>
              <c:f>'River loads'!$BM$4:$BM$84</c:f>
              <c:numCache>
                <c:formatCode>0,000</c:formatCode>
                <c:ptCount val="81"/>
                <c:pt idx="0">
                  <c:v>2.8172204693323454E-2</c:v>
                </c:pt>
                <c:pt idx="1">
                  <c:v>5.6206712062668633E-2</c:v>
                </c:pt>
                <c:pt idx="2">
                  <c:v>3.8629690249752005E-2</c:v>
                </c:pt>
                <c:pt idx="3">
                  <c:v>1.3149143387446487E-2</c:v>
                </c:pt>
                <c:pt idx="4">
                  <c:v>2.5806884458799331E-2</c:v>
                </c:pt>
                <c:pt idx="5">
                  <c:v>2.1350362374961778E-2</c:v>
                </c:pt>
                <c:pt idx="6">
                  <c:v>6.2943150699483336E-2</c:v>
                </c:pt>
                <c:pt idx="7">
                  <c:v>9.1215403672192413E-2</c:v>
                </c:pt>
                <c:pt idx="8">
                  <c:v>8.6548856305455127E-2</c:v>
                </c:pt>
                <c:pt idx="9">
                  <c:v>8.9155369657643577E-2</c:v>
                </c:pt>
                <c:pt idx="10">
                  <c:v>7.7625831873315634E-2</c:v>
                </c:pt>
                <c:pt idx="11">
                  <c:v>8.060086752558103E-2</c:v>
                </c:pt>
                <c:pt idx="12">
                  <c:v>8.3470389744401519E-2</c:v>
                </c:pt>
                <c:pt idx="13">
                  <c:v>5.702341357141149E-2</c:v>
                </c:pt>
                <c:pt idx="14">
                  <c:v>2.5538775071983877E-2</c:v>
                </c:pt>
                <c:pt idx="15">
                  <c:v>3.3861280384131595E-2</c:v>
                </c:pt>
                <c:pt idx="16">
                  <c:v>1.5602873576656937E-2</c:v>
                </c:pt>
                <c:pt idx="17">
                  <c:v>2.3498765531585954E-2</c:v>
                </c:pt>
                <c:pt idx="18">
                  <c:v>1.3139402271117031E-2</c:v>
                </c:pt>
                <c:pt idx="19">
                  <c:v>8.7024150057467636E-2</c:v>
                </c:pt>
                <c:pt idx="20">
                  <c:v>7.8598166337732076E-2</c:v>
                </c:pt>
                <c:pt idx="21">
                  <c:v>9.9235255873170433E-2</c:v>
                </c:pt>
                <c:pt idx="22">
                  <c:v>9.2011131595448908E-2</c:v>
                </c:pt>
                <c:pt idx="23">
                  <c:v>2.2114130183506563E-2</c:v>
                </c:pt>
                <c:pt idx="24">
                  <c:v>3.3418743397650247E-2</c:v>
                </c:pt>
                <c:pt idx="25">
                  <c:v>4.9328560813401104E-2</c:v>
                </c:pt>
                <c:pt idx="26">
                  <c:v>5.1774691851686075E-3</c:v>
                </c:pt>
                <c:pt idx="27">
                  <c:v>5.770801070649016E-3</c:v>
                </c:pt>
                <c:pt idx="28">
                  <c:v>7.3838749995421438E-3</c:v>
                </c:pt>
                <c:pt idx="29">
                  <c:v>1.7698038729985519E-2</c:v>
                </c:pt>
                <c:pt idx="30">
                  <c:v>1.7997731220936147E-2</c:v>
                </c:pt>
                <c:pt idx="31">
                  <c:v>2.6628373063957097E-2</c:v>
                </c:pt>
                <c:pt idx="32">
                  <c:v>4.8430436102357022E-3</c:v>
                </c:pt>
                <c:pt idx="33">
                  <c:v>2.0990054828674932E-2</c:v>
                </c:pt>
                <c:pt idx="34">
                  <c:v>3.2577573800905133E-3</c:v>
                </c:pt>
                <c:pt idx="35">
                  <c:v>1.2840147458944094E-2</c:v>
                </c:pt>
                <c:pt idx="36">
                  <c:v>6.8659075678107362E-2</c:v>
                </c:pt>
                <c:pt idx="37">
                  <c:v>8.2499269888256135E-2</c:v>
                </c:pt>
                <c:pt idx="38">
                  <c:v>0.11017300838881498</c:v>
                </c:pt>
                <c:pt idx="39">
                  <c:v>9.492483737529496E-2</c:v>
                </c:pt>
                <c:pt idx="40">
                  <c:v>7.837523843520236E-2</c:v>
                </c:pt>
                <c:pt idx="41">
                  <c:v>8.7390363442741606E-2</c:v>
                </c:pt>
                <c:pt idx="42">
                  <c:v>8.0993226344562019E-2</c:v>
                </c:pt>
                <c:pt idx="43">
                  <c:v>5.5533341110320109E-3</c:v>
                </c:pt>
                <c:pt idx="44">
                  <c:v>9.6728823245250378E-3</c:v>
                </c:pt>
                <c:pt idx="45">
                  <c:v>5.1937232016177667E-3</c:v>
                </c:pt>
                <c:pt idx="46">
                  <c:v>4.1117383511124136E-3</c:v>
                </c:pt>
                <c:pt idx="47">
                  <c:v>8.6570484577437688E-3</c:v>
                </c:pt>
                <c:pt idx="48">
                  <c:v>3.345048663792894E-2</c:v>
                </c:pt>
                <c:pt idx="49">
                  <c:v>7.0620683493759967E-2</c:v>
                </c:pt>
                <c:pt idx="50">
                  <c:v>2.6143192567185294E-2</c:v>
                </c:pt>
                <c:pt idx="51">
                  <c:v>4.6053843737854226E-2</c:v>
                </c:pt>
                <c:pt idx="52">
                  <c:v>4.0064601492780759E-2</c:v>
                </c:pt>
                <c:pt idx="53">
                  <c:v>1.8457580049310883E-2</c:v>
                </c:pt>
                <c:pt idx="54">
                  <c:v>3.1331580111728159E-2</c:v>
                </c:pt>
                <c:pt idx="55">
                  <c:v>4.1965927602115469E-2</c:v>
                </c:pt>
                <c:pt idx="56">
                  <c:v>2.5475462442636303E-2</c:v>
                </c:pt>
                <c:pt idx="57">
                  <c:v>9.6457053541095517E-3</c:v>
                </c:pt>
                <c:pt idx="58">
                  <c:v>2.2830974367452524E-2</c:v>
                </c:pt>
                <c:pt idx="59">
                  <c:v>1.2156796320513263E-2</c:v>
                </c:pt>
                <c:pt idx="60">
                  <c:v>5.4205878526215862E-2</c:v>
                </c:pt>
                <c:pt idx="61">
                  <c:v>4.5953318896021764E-2</c:v>
                </c:pt>
                <c:pt idx="62">
                  <c:v>3.7467671337739372E-2</c:v>
                </c:pt>
                <c:pt idx="63">
                  <c:v>2.5857888790323365E-2</c:v>
                </c:pt>
                <c:pt idx="64">
                  <c:v>2.2793423847634726E-2</c:v>
                </c:pt>
                <c:pt idx="65">
                  <c:v>1.62725650447628E-2</c:v>
                </c:pt>
                <c:pt idx="66">
                  <c:v>1.4105966590568607E-2</c:v>
                </c:pt>
                <c:pt idx="67">
                  <c:v>1.7392258452872615E-2</c:v>
                </c:pt>
                <c:pt idx="68">
                  <c:v>2.2319110732031609E-2</c:v>
                </c:pt>
                <c:pt idx="69">
                  <c:v>1.6186755570285063E-2</c:v>
                </c:pt>
                <c:pt idx="70">
                  <c:v>9.4016155307711947E-3</c:v>
                </c:pt>
                <c:pt idx="71">
                  <c:v>1.8594971665847931E-2</c:v>
                </c:pt>
                <c:pt idx="72">
                  <c:v>5.3416246176234798E-3</c:v>
                </c:pt>
                <c:pt idx="73">
                  <c:v>2.593682851051569E-3</c:v>
                </c:pt>
                <c:pt idx="74">
                  <c:v>1.1322345753529623E-3</c:v>
                </c:pt>
                <c:pt idx="75">
                  <c:v>1.3445919063256955E-3</c:v>
                </c:pt>
                <c:pt idx="76">
                  <c:v>2.4955501197209094E-3</c:v>
                </c:pt>
                <c:pt idx="77">
                  <c:v>1.0288905394693857E-2</c:v>
                </c:pt>
                <c:pt idx="78">
                  <c:v>1.7841726003166972E-2</c:v>
                </c:pt>
                <c:pt idx="79">
                  <c:v>1.8465816057207582E-2</c:v>
                </c:pt>
                <c:pt idx="80">
                  <c:v>1.2664053682721809E-2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66-6245-A9A8-21184808EC79}"/>
            </c:ext>
          </c:extLst>
        </c:ser>
        <c:ser>
          <c:idx val="1"/>
          <c:order val="2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66-6245-A9A8-21184808EC79}"/>
            </c:ext>
          </c:extLst>
        </c:ser>
        <c:ser>
          <c:idx val="2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66-6245-A9A8-21184808EC79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66-6245-A9A8-21184808E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39008"/>
        <c:axId val="54540928"/>
      </c:scatterChart>
      <c:valAx>
        <c:axId val="54539008"/>
        <c:scaling>
          <c:orientation val="minMax"/>
          <c:max val="0.2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gemessene PO4-P Konzentrationen (mg/l)</a:t>
                </a:r>
              </a:p>
            </c:rich>
          </c:tx>
          <c:layout>
            <c:manualLayout>
              <c:xMode val="edge"/>
              <c:yMode val="edge"/>
              <c:x val="0.21089605734767033"/>
              <c:y val="0.9039686274509806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40928"/>
        <c:crossesAt val="0"/>
        <c:crossBetween val="midCat"/>
      </c:valAx>
      <c:valAx>
        <c:axId val="54540928"/>
        <c:scaling>
          <c:orientation val="minMax"/>
          <c:max val="0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modellierte PO4-P Konzentrationen (mg/l)</a:t>
                </a:r>
              </a:p>
            </c:rich>
          </c:tx>
          <c:layout>
            <c:manualLayout>
              <c:xMode val="edge"/>
              <c:yMode val="edge"/>
              <c:x val="1.5707391414782866E-3"/>
              <c:y val="7.728837424733675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39008"/>
        <c:crossesAt val="0"/>
        <c:crossBetween val="midCat"/>
        <c:majorUnit val="5.0000000000000024E-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C-90</c:v>
          </c:tx>
          <c:xVal>
            <c:numRef>
              <c:f>'Graphs c de'!$E$4:$E$24</c:f>
              <c:numCache>
                <c:formatCode>0,000</c:formatCode>
                <c:ptCount val="21"/>
                <c:pt idx="0">
                  <c:v>1.7418993466968651E-3</c:v>
                </c:pt>
                <c:pt idx="1">
                  <c:v>5.0119344309084816E-3</c:v>
                </c:pt>
                <c:pt idx="2">
                  <c:v>7.9903433871042553E-3</c:v>
                </c:pt>
                <c:pt idx="3">
                  <c:v>1.1359807691603302E-2</c:v>
                </c:pt>
                <c:pt idx="4">
                  <c:v>1.4881357422346211E-2</c:v>
                </c:pt>
                <c:pt idx="5">
                  <c:v>1.9754073013760143E-2</c:v>
                </c:pt>
                <c:pt idx="6">
                  <c:v>2.4004420887164517E-2</c:v>
                </c:pt>
                <c:pt idx="7">
                  <c:v>2.7227751892285414E-2</c:v>
                </c:pt>
                <c:pt idx="8">
                  <c:v>2.8408947780319355E-2</c:v>
                </c:pt>
                <c:pt idx="9">
                  <c:v>3.402173874385625E-2</c:v>
                </c:pt>
                <c:pt idx="10">
                  <c:v>3.6151946971670693E-2</c:v>
                </c:pt>
                <c:pt idx="11">
                  <c:v>3.9781367369728253E-2</c:v>
                </c:pt>
                <c:pt idx="12">
                  <c:v>4.8202430941120242E-2</c:v>
                </c:pt>
                <c:pt idx="13">
                  <c:v>5.7642571288829804E-2</c:v>
                </c:pt>
                <c:pt idx="14">
                  <c:v>7.069741368618733E-2</c:v>
                </c:pt>
                <c:pt idx="15">
                  <c:v>8.6471864711797908E-2</c:v>
                </c:pt>
                <c:pt idx="16">
                  <c:v>0.10864720537501549</c:v>
                </c:pt>
                <c:pt idx="17">
                  <c:v>0.12400133465474006</c:v>
                </c:pt>
                <c:pt idx="18">
                  <c:v>0.13315208662377712</c:v>
                </c:pt>
                <c:pt idx="19">
                  <c:v>0.14033139026491143</c:v>
                </c:pt>
                <c:pt idx="20">
                  <c:v>0.15603508673276825</c:v>
                </c:pt>
              </c:numCache>
            </c:numRef>
          </c:xVal>
          <c:yVal>
            <c:numRef>
              <c:f>'Graphs c de'!$A$4:$A$24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BE-0A4C-98FE-99E55C9F715C}"/>
            </c:ext>
          </c:extLst>
        </c:ser>
        <c:ser>
          <c:idx val="1"/>
          <c:order val="1"/>
          <c:tx>
            <c:v>measured C-90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DBE-0A4C-98FE-99E55C9F715C}"/>
              </c:ext>
            </c:extLst>
          </c:dPt>
          <c:xVal>
            <c:numRef>
              <c:f>'Graphs c de'!$F$4:$F$24</c:f>
              <c:numCache>
                <c:formatCode>0,000</c:formatCode>
                <c:ptCount val="21"/>
                <c:pt idx="0">
                  <c:v>1.2999999999999999E-2</c:v>
                </c:pt>
                <c:pt idx="1">
                  <c:v>1.635E-2</c:v>
                </c:pt>
                <c:pt idx="2">
                  <c:v>2.2320000000000003E-2</c:v>
                </c:pt>
                <c:pt idx="3">
                  <c:v>3.5645000000000003E-2</c:v>
                </c:pt>
                <c:pt idx="4">
                  <c:v>3.9740000000000004E-2</c:v>
                </c:pt>
                <c:pt idx="5">
                  <c:v>4.4249999999999998E-2</c:v>
                </c:pt>
                <c:pt idx="6">
                  <c:v>5.1130000000000002E-2</c:v>
                </c:pt>
                <c:pt idx="7">
                  <c:v>5.7629999999999994E-2</c:v>
                </c:pt>
                <c:pt idx="8">
                  <c:v>6.1619999999999994E-2</c:v>
                </c:pt>
                <c:pt idx="9">
                  <c:v>6.3049999999999995E-2</c:v>
                </c:pt>
                <c:pt idx="10">
                  <c:v>6.8999999999999978E-2</c:v>
                </c:pt>
                <c:pt idx="11">
                  <c:v>7.5899999999999995E-2</c:v>
                </c:pt>
                <c:pt idx="12">
                  <c:v>0.11607999999999997</c:v>
                </c:pt>
                <c:pt idx="13">
                  <c:v>0.13</c:v>
                </c:pt>
                <c:pt idx="14">
                  <c:v>0.13300000000000001</c:v>
                </c:pt>
                <c:pt idx="15">
                  <c:v>0.14074999999999999</c:v>
                </c:pt>
                <c:pt idx="16">
                  <c:v>0.15</c:v>
                </c:pt>
                <c:pt idx="17">
                  <c:v>0.15650000000000006</c:v>
                </c:pt>
                <c:pt idx="18">
                  <c:v>0.16290000000000016</c:v>
                </c:pt>
                <c:pt idx="19">
                  <c:v>0.19100000000000017</c:v>
                </c:pt>
                <c:pt idx="20">
                  <c:v>0.22911000000000004</c:v>
                </c:pt>
              </c:numCache>
            </c:numRef>
          </c:xVal>
          <c:yVal>
            <c:numRef>
              <c:f>'Graphs c de'!$A$4:$A$24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BE-0A4C-98FE-99E55C9F7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0352"/>
        <c:axId val="54582272"/>
      </c:scatterChart>
      <c:valAx>
        <c:axId val="54580352"/>
        <c:scaling>
          <c:orientation val="minMax"/>
          <c:max val="0.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PO4-P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54582272"/>
        <c:crosses val="autoZero"/>
        <c:crossBetween val="midCat"/>
        <c:majorUnit val="5.0000000000000024E-2"/>
      </c:valAx>
      <c:valAx>
        <c:axId val="54582272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458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27445909886264241"/>
          <c:h val="0.1149489781362041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noFill/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loads'!$CQ$4:$CQ$84</c:f>
              <c:numCache>
                <c:formatCode>0,000</c:formatCode>
                <c:ptCount val="81"/>
                <c:pt idx="4">
                  <c:v>5.3800000000000008E-2</c:v>
                </c:pt>
                <c:pt idx="6">
                  <c:v>7.0999999999999994E-2</c:v>
                </c:pt>
                <c:pt idx="7">
                  <c:v>0.12</c:v>
                </c:pt>
                <c:pt idx="8">
                  <c:v>0.2010000000000001</c:v>
                </c:pt>
                <c:pt idx="9">
                  <c:v>0.2010000000000001</c:v>
                </c:pt>
                <c:pt idx="10">
                  <c:v>0.32</c:v>
                </c:pt>
                <c:pt idx="11">
                  <c:v>0.14000000000000001</c:v>
                </c:pt>
                <c:pt idx="12">
                  <c:v>0.15</c:v>
                </c:pt>
                <c:pt idx="15">
                  <c:v>0.09</c:v>
                </c:pt>
                <c:pt idx="17">
                  <c:v>0.04</c:v>
                </c:pt>
                <c:pt idx="18">
                  <c:v>4.1000000000000002E-2</c:v>
                </c:pt>
                <c:pt idx="19">
                  <c:v>0.13</c:v>
                </c:pt>
                <c:pt idx="20">
                  <c:v>0.14000000000000001</c:v>
                </c:pt>
                <c:pt idx="21">
                  <c:v>0.12</c:v>
                </c:pt>
                <c:pt idx="22">
                  <c:v>0.21</c:v>
                </c:pt>
                <c:pt idx="23">
                  <c:v>4.9700000000000022E-2</c:v>
                </c:pt>
                <c:pt idx="24">
                  <c:v>6.2400000000000032E-2</c:v>
                </c:pt>
                <c:pt idx="30">
                  <c:v>1.3100000000000007E-2</c:v>
                </c:pt>
                <c:pt idx="31">
                  <c:v>2.5999999999999999E-2</c:v>
                </c:pt>
                <c:pt idx="32">
                  <c:v>2.7999999999999987E-2</c:v>
                </c:pt>
                <c:pt idx="33">
                  <c:v>1.7799999999999996E-2</c:v>
                </c:pt>
                <c:pt idx="34">
                  <c:v>2.5000000000000001E-3</c:v>
                </c:pt>
                <c:pt idx="35">
                  <c:v>7.0000000000000001E-3</c:v>
                </c:pt>
                <c:pt idx="36">
                  <c:v>8.5999999999999993E-2</c:v>
                </c:pt>
                <c:pt idx="37">
                  <c:v>7.0400000000000004E-2</c:v>
                </c:pt>
                <c:pt idx="38">
                  <c:v>5.3799999999999994E-2</c:v>
                </c:pt>
                <c:pt idx="39">
                  <c:v>0.08</c:v>
                </c:pt>
                <c:pt idx="40">
                  <c:v>0.18400000000000005</c:v>
                </c:pt>
                <c:pt idx="41">
                  <c:v>0.21</c:v>
                </c:pt>
                <c:pt idx="42">
                  <c:v>0.2</c:v>
                </c:pt>
                <c:pt idx="47">
                  <c:v>5.0000000000000001E-3</c:v>
                </c:pt>
                <c:pt idx="48">
                  <c:v>7.1999999999999995E-2</c:v>
                </c:pt>
                <c:pt idx="49">
                  <c:v>0.15</c:v>
                </c:pt>
                <c:pt idx="50">
                  <c:v>2.0299999999999999E-2</c:v>
                </c:pt>
                <c:pt idx="51">
                  <c:v>6.83E-2</c:v>
                </c:pt>
                <c:pt idx="53">
                  <c:v>1.4999999999999999E-2</c:v>
                </c:pt>
                <c:pt idx="57">
                  <c:v>2.5000000000000001E-3</c:v>
                </c:pt>
                <c:pt idx="58">
                  <c:v>1.6E-2</c:v>
                </c:pt>
                <c:pt idx="59">
                  <c:v>7.799999999999997E-3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5-764D-9B4A-2197057C9BDD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5-764D-9B4A-2197057C9BDD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5-764D-9B4A-2197057C9BDD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5-764D-9B4A-2197057C9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51520"/>
        <c:axId val="111053440"/>
      </c:scatterChart>
      <c:valAx>
        <c:axId val="111051520"/>
        <c:scaling>
          <c:orientation val="minMax"/>
          <c:max val="0.35000000000000009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PO4-P gemessen als C-90% (mg/l)</a:t>
                </a:r>
              </a:p>
            </c:rich>
          </c:tx>
          <c:layout>
            <c:manualLayout>
              <c:xMode val="edge"/>
              <c:yMode val="edge"/>
              <c:x val="0.26855417266390086"/>
              <c:y val="0.9170746950748808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53440"/>
        <c:crossesAt val="0"/>
        <c:crossBetween val="midCat"/>
        <c:majorUnit val="5.0000000000000024E-2"/>
      </c:valAx>
      <c:valAx>
        <c:axId val="111053440"/>
        <c:scaling>
          <c:orientation val="minMax"/>
          <c:max val="0.3500000000000000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PO4-P modelliert als C-90%</a:t>
                </a:r>
                <a:r>
                  <a:rPr lang="de-DE" baseline="0"/>
                  <a:t> </a:t>
                </a:r>
                <a:r>
                  <a:rPr lang="de-DE"/>
                  <a:t>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368962173845917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51520"/>
        <c:crossesAt val="0"/>
        <c:crossBetween val="midCat"/>
        <c:majorUnit val="5.0000000000000024E-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TP</c:v>
          </c:tx>
          <c:xVal>
            <c:numRef>
              <c:f>'Graphs c de'!$B$29:$B$49</c:f>
              <c:numCache>
                <c:formatCode>0,000</c:formatCode>
                <c:ptCount val="21"/>
                <c:pt idx="0">
                  <c:v>5.1972960237561998E-3</c:v>
                </c:pt>
                <c:pt idx="1">
                  <c:v>8.9048714971147781E-3</c:v>
                </c:pt>
                <c:pt idx="2">
                  <c:v>1.2269101261775685E-2</c:v>
                </c:pt>
                <c:pt idx="3">
                  <c:v>1.6826112048516324E-2</c:v>
                </c:pt>
                <c:pt idx="4">
                  <c:v>2.0601503532891807E-2</c:v>
                </c:pt>
                <c:pt idx="5">
                  <c:v>2.3477366384890758E-2</c:v>
                </c:pt>
                <c:pt idx="6">
                  <c:v>2.5955951593671738E-2</c:v>
                </c:pt>
                <c:pt idx="7">
                  <c:v>3.0373117764175495E-2</c:v>
                </c:pt>
                <c:pt idx="8">
                  <c:v>3.3531835804240288E-2</c:v>
                </c:pt>
                <c:pt idx="9">
                  <c:v>4.1662542393360064E-2</c:v>
                </c:pt>
                <c:pt idx="10">
                  <c:v>4.3509228084652997E-2</c:v>
                </c:pt>
                <c:pt idx="11">
                  <c:v>4.4893154830520046E-2</c:v>
                </c:pt>
                <c:pt idx="12">
                  <c:v>5.5198013054885572E-2</c:v>
                </c:pt>
                <c:pt idx="13">
                  <c:v>6.7904047965280059E-2</c:v>
                </c:pt>
                <c:pt idx="14">
                  <c:v>8.0226360587548659E-2</c:v>
                </c:pt>
                <c:pt idx="15">
                  <c:v>0.10728702186777463</c:v>
                </c:pt>
                <c:pt idx="16">
                  <c:v>0.12822574022161276</c:v>
                </c:pt>
                <c:pt idx="17">
                  <c:v>0.14354933621371205</c:v>
                </c:pt>
                <c:pt idx="18">
                  <c:v>0.15827461776940474</c:v>
                </c:pt>
                <c:pt idx="19">
                  <c:v>0.18183219043032181</c:v>
                </c:pt>
                <c:pt idx="20">
                  <c:v>0.19592196423419164</c:v>
                </c:pt>
              </c:numCache>
            </c:numRef>
          </c:xVal>
          <c:yVal>
            <c:numRef>
              <c:f>'Graphs c de'!$A$29:$A$49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AA-A84C-A516-20F1ABFB3F45}"/>
            </c:ext>
          </c:extLst>
        </c:ser>
        <c:ser>
          <c:idx val="1"/>
          <c:order val="1"/>
          <c:tx>
            <c:v>measured TP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8AA-A84C-A516-20F1ABFB3F45}"/>
              </c:ext>
            </c:extLst>
          </c:dPt>
          <c:xVal>
            <c:numRef>
              <c:f>'Graphs c de'!$C$29:$C$49</c:f>
              <c:numCache>
                <c:formatCode>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'Graphs c de'!$A$29:$A$49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AA-A84C-A516-20F1ABFB3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54688"/>
        <c:axId val="111156608"/>
      </c:scatterChart>
      <c:valAx>
        <c:axId val="111154688"/>
        <c:scaling>
          <c:orientation val="minMax"/>
          <c:max val="0.30000000000000021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TP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111156608"/>
        <c:crosses val="autoZero"/>
        <c:crossBetween val="midCat"/>
        <c:majorUnit val="5.0000000000000024E-2"/>
      </c:valAx>
      <c:valAx>
        <c:axId val="111156608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15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averages DIN</c:v>
          </c:tx>
          <c:xVal>
            <c:numRef>
              <c:f>'Graphs c de'!$C$57:$C$77</c:f>
              <c:numCache>
                <c:formatCode>0,000</c:formatCode>
                <c:ptCount val="21"/>
                <c:pt idx="0">
                  <c:v>0.41140284325176629</c:v>
                </c:pt>
                <c:pt idx="1">
                  <c:v>0.51281532618072256</c:v>
                </c:pt>
                <c:pt idx="2">
                  <c:v>0.58325002459189834</c:v>
                </c:pt>
                <c:pt idx="3">
                  <c:v>0.68411705306112736</c:v>
                </c:pt>
                <c:pt idx="4">
                  <c:v>0.77184508033378207</c:v>
                </c:pt>
                <c:pt idx="5">
                  <c:v>0.88027837432211598</c:v>
                </c:pt>
                <c:pt idx="6">
                  <c:v>0.94820944610177316</c:v>
                </c:pt>
                <c:pt idx="7">
                  <c:v>1.0571915877724458</c:v>
                </c:pt>
                <c:pt idx="8">
                  <c:v>1.2624053779914362</c:v>
                </c:pt>
                <c:pt idx="9">
                  <c:v>1.4370458287534633</c:v>
                </c:pt>
                <c:pt idx="10">
                  <c:v>1.5022418610239929</c:v>
                </c:pt>
                <c:pt idx="11">
                  <c:v>1.6613917586774296</c:v>
                </c:pt>
                <c:pt idx="12">
                  <c:v>1.8734991491935404</c:v>
                </c:pt>
                <c:pt idx="13">
                  <c:v>1.936641913316189</c:v>
                </c:pt>
                <c:pt idx="14">
                  <c:v>2.0186129017405721</c:v>
                </c:pt>
                <c:pt idx="15">
                  <c:v>2.4354076929624147</c:v>
                </c:pt>
                <c:pt idx="16">
                  <c:v>2.5104786968023665</c:v>
                </c:pt>
                <c:pt idx="17">
                  <c:v>2.818753715060005</c:v>
                </c:pt>
                <c:pt idx="18">
                  <c:v>2.9538660241678496</c:v>
                </c:pt>
                <c:pt idx="19">
                  <c:v>3.2671292679132948</c:v>
                </c:pt>
                <c:pt idx="20">
                  <c:v>3.762087289993707</c:v>
                </c:pt>
              </c:numCache>
            </c:numRef>
          </c:xVal>
          <c:yVal>
            <c:numRef>
              <c:f>'Graphs c de'!$A$57:$A$77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A1-7A4A-82D5-7151FD7267DF}"/>
            </c:ext>
          </c:extLst>
        </c:ser>
        <c:ser>
          <c:idx val="1"/>
          <c:order val="1"/>
          <c:tx>
            <c:v>averages from measurments DIN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A1-7A4A-82D5-7151FD7267DF}"/>
              </c:ext>
            </c:extLst>
          </c:dPt>
          <c:xVal>
            <c:numRef>
              <c:f>'Graphs c de'!$D$57:$D$77</c:f>
              <c:numCache>
                <c:formatCode>0,000</c:formatCode>
                <c:ptCount val="21"/>
                <c:pt idx="0">
                  <c:v>0.51242475728155301</c:v>
                </c:pt>
                <c:pt idx="1">
                  <c:v>0.69342899038461536</c:v>
                </c:pt>
                <c:pt idx="2">
                  <c:v>0.90868034540702058</c:v>
                </c:pt>
                <c:pt idx="3">
                  <c:v>1.071699239346551</c:v>
                </c:pt>
                <c:pt idx="4">
                  <c:v>1.3874354079536939</c:v>
                </c:pt>
                <c:pt idx="5">
                  <c:v>1.46291538461538</c:v>
                </c:pt>
                <c:pt idx="6">
                  <c:v>1.5960300330032979</c:v>
                </c:pt>
                <c:pt idx="7">
                  <c:v>1.7183890614886719</c:v>
                </c:pt>
                <c:pt idx="8">
                  <c:v>2.0106665999999995</c:v>
                </c:pt>
                <c:pt idx="9">
                  <c:v>2.2327386165413543</c:v>
                </c:pt>
                <c:pt idx="10">
                  <c:v>2.3237448979591799</c:v>
                </c:pt>
                <c:pt idx="11">
                  <c:v>2.45795786904762</c:v>
                </c:pt>
                <c:pt idx="12">
                  <c:v>2.4811050691244279</c:v>
                </c:pt>
                <c:pt idx="13">
                  <c:v>2.5588147233546903</c:v>
                </c:pt>
                <c:pt idx="14">
                  <c:v>2.9169598141414159</c:v>
                </c:pt>
                <c:pt idx="15">
                  <c:v>3.0674520000000003</c:v>
                </c:pt>
                <c:pt idx="16">
                  <c:v>3.1376124000000001</c:v>
                </c:pt>
                <c:pt idx="17">
                  <c:v>3.3341996116504866</c:v>
                </c:pt>
                <c:pt idx="18">
                  <c:v>3.7934601980198002</c:v>
                </c:pt>
                <c:pt idx="19">
                  <c:v>3.8610871287128758</c:v>
                </c:pt>
                <c:pt idx="20">
                  <c:v>5.5549827326732659</c:v>
                </c:pt>
              </c:numCache>
            </c:numRef>
          </c:xVal>
          <c:yVal>
            <c:numRef>
              <c:f>'Graphs c de'!$A$57:$A$77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A1-7A4A-82D5-7151FD726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90400"/>
        <c:axId val="111192320"/>
      </c:scatterChart>
      <c:valAx>
        <c:axId val="111190400"/>
        <c:scaling>
          <c:orientation val="minMax"/>
          <c:max val="6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DIN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111192320"/>
        <c:crosses val="autoZero"/>
        <c:crossBetween val="midCat"/>
        <c:majorUnit val="1"/>
      </c:valAx>
      <c:valAx>
        <c:axId val="111192320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19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158245844269478"/>
          <c:y val="0.61998651210265388"/>
          <c:w val="0.58001465441819811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noFill/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loads'!$CS$4:$CS$84</c:f>
              <c:numCache>
                <c:formatCode>#,#00</c:formatCode>
                <c:ptCount val="81"/>
                <c:pt idx="4">
                  <c:v>1.8053202247191007</c:v>
                </c:pt>
                <c:pt idx="6">
                  <c:v>3.0234438202247196</c:v>
                </c:pt>
                <c:pt idx="7">
                  <c:v>3.4</c:v>
                </c:pt>
                <c:pt idx="8">
                  <c:v>2.7018222222222232</c:v>
                </c:pt>
                <c:pt idx="9">
                  <c:v>2.788411111111111</c:v>
                </c:pt>
                <c:pt idx="10">
                  <c:v>2.4173870967741942</c:v>
                </c:pt>
                <c:pt idx="11">
                  <c:v>3.1153655913978486</c:v>
                </c:pt>
                <c:pt idx="12">
                  <c:v>3.0028387096774187</c:v>
                </c:pt>
                <c:pt idx="15">
                  <c:v>2.5</c:v>
                </c:pt>
                <c:pt idx="17">
                  <c:v>1.4</c:v>
                </c:pt>
                <c:pt idx="18">
                  <c:v>1.5563489583333336</c:v>
                </c:pt>
                <c:pt idx="19">
                  <c:v>3.039308510638298</c:v>
                </c:pt>
                <c:pt idx="20">
                  <c:v>2.8436382978723391</c:v>
                </c:pt>
                <c:pt idx="21">
                  <c:v>2.0305842696629215</c:v>
                </c:pt>
                <c:pt idx="22">
                  <c:v>2.7204382022471911</c:v>
                </c:pt>
                <c:pt idx="23">
                  <c:v>2.4465853658536583</c:v>
                </c:pt>
                <c:pt idx="24">
                  <c:v>2.2831999999999999</c:v>
                </c:pt>
                <c:pt idx="30">
                  <c:v>1.5426483516483509</c:v>
                </c:pt>
                <c:pt idx="31">
                  <c:v>1.9221538461538472</c:v>
                </c:pt>
                <c:pt idx="32">
                  <c:v>0.79375806451612962</c:v>
                </c:pt>
                <c:pt idx="33">
                  <c:v>1.6211881720430104</c:v>
                </c:pt>
                <c:pt idx="34">
                  <c:v>0.92077083333333276</c:v>
                </c:pt>
                <c:pt idx="35">
                  <c:v>1.4122656250000003</c:v>
                </c:pt>
                <c:pt idx="36">
                  <c:v>2.9572765957446814</c:v>
                </c:pt>
                <c:pt idx="37">
                  <c:v>4.5539042553191491</c:v>
                </c:pt>
                <c:pt idx="38">
                  <c:v>7.2901182795698931</c:v>
                </c:pt>
                <c:pt idx="39">
                  <c:v>5.9</c:v>
                </c:pt>
                <c:pt idx="40">
                  <c:v>3.7588350515463924</c:v>
                </c:pt>
                <c:pt idx="41">
                  <c:v>3.9002680412371142</c:v>
                </c:pt>
                <c:pt idx="42">
                  <c:v>3.9391958762886596</c:v>
                </c:pt>
                <c:pt idx="47">
                  <c:v>0.97609677419354823</c:v>
                </c:pt>
                <c:pt idx="48">
                  <c:v>3.2620102040816334</c:v>
                </c:pt>
                <c:pt idx="49">
                  <c:v>3.6285408163265314</c:v>
                </c:pt>
                <c:pt idx="50">
                  <c:v>1.6773163265306126</c:v>
                </c:pt>
                <c:pt idx="51">
                  <c:v>2.6619183673469382</c:v>
                </c:pt>
                <c:pt idx="53">
                  <c:v>1.6215698924731177</c:v>
                </c:pt>
                <c:pt idx="57">
                  <c:v>0.69269047619047674</c:v>
                </c:pt>
                <c:pt idx="58">
                  <c:v>1.7711607142857135</c:v>
                </c:pt>
                <c:pt idx="59">
                  <c:v>0.89217741935483885</c:v>
                </c:pt>
              </c:numCache>
            </c:numRef>
          </c:xVal>
          <c:yVal>
            <c:numRef>
              <c:f>'River loads'!$BW$4:$BW$84</c:f>
              <c:numCache>
                <c:formatCode>0,000</c:formatCode>
                <c:ptCount val="81"/>
                <c:pt idx="0">
                  <c:v>1.9724894114652691</c:v>
                </c:pt>
                <c:pt idx="1">
                  <c:v>1.4419610328235679</c:v>
                </c:pt>
                <c:pt idx="2">
                  <c:v>1.8361920490196721</c:v>
                </c:pt>
                <c:pt idx="3">
                  <c:v>1.5022418610239929</c:v>
                </c:pt>
                <c:pt idx="4">
                  <c:v>1.4948946373261036</c:v>
                </c:pt>
                <c:pt idx="5">
                  <c:v>2.0171874472883862</c:v>
                </c:pt>
                <c:pt idx="6">
                  <c:v>2.5104786968023642</c:v>
                </c:pt>
                <c:pt idx="7">
                  <c:v>3.2893690675666201</c:v>
                </c:pt>
                <c:pt idx="8">
                  <c:v>2.9406127599309033</c:v>
                </c:pt>
                <c:pt idx="9">
                  <c:v>2.9936462573384737</c:v>
                </c:pt>
                <c:pt idx="10">
                  <c:v>2.7927748594290365</c:v>
                </c:pt>
                <c:pt idx="11">
                  <c:v>2.8310637515064339</c:v>
                </c:pt>
                <c:pt idx="12">
                  <c:v>2.7537472322256078</c:v>
                </c:pt>
                <c:pt idx="13">
                  <c:v>2.1444513834569392</c:v>
                </c:pt>
                <c:pt idx="14">
                  <c:v>2.0391967065540539</c:v>
                </c:pt>
                <c:pt idx="15">
                  <c:v>1.4733352906900019</c:v>
                </c:pt>
                <c:pt idx="16">
                  <c:v>1.5175308694385281</c:v>
                </c:pt>
                <c:pt idx="17">
                  <c:v>1.4370458287534633</c:v>
                </c:pt>
                <c:pt idx="18">
                  <c:v>1.3753167896273519</c:v>
                </c:pt>
                <c:pt idx="19">
                  <c:v>3.3117516837843688</c:v>
                </c:pt>
                <c:pt idx="20">
                  <c:v>2.9392876998778723</c:v>
                </c:pt>
                <c:pt idx="21">
                  <c:v>3.0870432714771114</c:v>
                </c:pt>
                <c:pt idx="22">
                  <c:v>2.6514545814367958</c:v>
                </c:pt>
                <c:pt idx="23">
                  <c:v>1.3559993271847806</c:v>
                </c:pt>
                <c:pt idx="24">
                  <c:v>1.8209924281757959</c:v>
                </c:pt>
                <c:pt idx="25">
                  <c:v>2.0186129017405721</c:v>
                </c:pt>
                <c:pt idx="26">
                  <c:v>0.45896018363408747</c:v>
                </c:pt>
                <c:pt idx="27">
                  <c:v>0.51281532618072256</c:v>
                </c:pt>
                <c:pt idx="28">
                  <c:v>0.99292814149876818</c:v>
                </c:pt>
                <c:pt idx="29">
                  <c:v>1.9169776035826684</c:v>
                </c:pt>
                <c:pt idx="30">
                  <c:v>1.936641913316189</c:v>
                </c:pt>
                <c:pt idx="31">
                  <c:v>2.0093007703844306</c:v>
                </c:pt>
                <c:pt idx="32">
                  <c:v>0.54797728507207832</c:v>
                </c:pt>
                <c:pt idx="33">
                  <c:v>1.2624053779914362</c:v>
                </c:pt>
                <c:pt idx="34">
                  <c:v>0.60845904795665762</c:v>
                </c:pt>
                <c:pt idx="35">
                  <c:v>0.92601025586051999</c:v>
                </c:pt>
                <c:pt idx="36">
                  <c:v>2.5011980440936754</c:v>
                </c:pt>
                <c:pt idx="37">
                  <c:v>3.2671292679132944</c:v>
                </c:pt>
                <c:pt idx="38">
                  <c:v>4.6238646559686334</c:v>
                </c:pt>
                <c:pt idx="39">
                  <c:v>3.5466429484999717</c:v>
                </c:pt>
                <c:pt idx="40">
                  <c:v>3.0142460915819331</c:v>
                </c:pt>
                <c:pt idx="41">
                  <c:v>2.9538660241678492</c:v>
                </c:pt>
                <c:pt idx="42">
                  <c:v>2.818753715060005</c:v>
                </c:pt>
                <c:pt idx="43">
                  <c:v>0.68738830906910087</c:v>
                </c:pt>
                <c:pt idx="44">
                  <c:v>0.80918996749854233</c:v>
                </c:pt>
                <c:pt idx="45">
                  <c:v>0.96996788634160191</c:v>
                </c:pt>
                <c:pt idx="46">
                  <c:v>0.58325002459189834</c:v>
                </c:pt>
                <c:pt idx="47">
                  <c:v>0.92661908386753999</c:v>
                </c:pt>
                <c:pt idx="48">
                  <c:v>2.4785036271114</c:v>
                </c:pt>
                <c:pt idx="49">
                  <c:v>2.4939789873660172</c:v>
                </c:pt>
                <c:pt idx="50">
                  <c:v>1.5066369262871828</c:v>
                </c:pt>
                <c:pt idx="51">
                  <c:v>1.922617417763743</c:v>
                </c:pt>
                <c:pt idx="52">
                  <c:v>1.6613917586774301</c:v>
                </c:pt>
                <c:pt idx="53">
                  <c:v>1.1605918783265363</c:v>
                </c:pt>
                <c:pt idx="54">
                  <c:v>1.5921559107181278</c:v>
                </c:pt>
                <c:pt idx="55">
                  <c:v>2.4354076929624142</c:v>
                </c:pt>
                <c:pt idx="56">
                  <c:v>1.8901299398910749</c:v>
                </c:pt>
                <c:pt idx="57">
                  <c:v>0.59084271792647969</c:v>
                </c:pt>
                <c:pt idx="58">
                  <c:v>1.1847938275115859</c:v>
                </c:pt>
                <c:pt idx="59">
                  <c:v>0.88625156188317633</c:v>
                </c:pt>
                <c:pt idx="60">
                  <c:v>2.041962494934336</c:v>
                </c:pt>
                <c:pt idx="61">
                  <c:v>1.8734991491935404</c:v>
                </c:pt>
                <c:pt idx="62">
                  <c:v>1.7042895982020347</c:v>
                </c:pt>
                <c:pt idx="63">
                  <c:v>1.3215107068558898</c:v>
                </c:pt>
                <c:pt idx="64">
                  <c:v>0.41140284325176629</c:v>
                </c:pt>
                <c:pt idx="65">
                  <c:v>0.4601223251543633</c:v>
                </c:pt>
                <c:pt idx="66">
                  <c:v>0.44396283930803404</c:v>
                </c:pt>
                <c:pt idx="67">
                  <c:v>0.94820944610177316</c:v>
                </c:pt>
                <c:pt idx="68">
                  <c:v>1.0571915877724458</c:v>
                </c:pt>
                <c:pt idx="69">
                  <c:v>0.51354865317414322</c:v>
                </c:pt>
                <c:pt idx="70">
                  <c:v>0.56424330409510559</c:v>
                </c:pt>
                <c:pt idx="71">
                  <c:v>0.68411705306112736</c:v>
                </c:pt>
                <c:pt idx="72">
                  <c:v>0.77045587182096376</c:v>
                </c:pt>
                <c:pt idx="73">
                  <c:v>1.1043684555442539</c:v>
                </c:pt>
                <c:pt idx="74">
                  <c:v>0.74240166363063598</c:v>
                </c:pt>
                <c:pt idx="75">
                  <c:v>0.77184508033378207</c:v>
                </c:pt>
                <c:pt idx="76">
                  <c:v>0.88027837432211598</c:v>
                </c:pt>
                <c:pt idx="77">
                  <c:v>0.59552342465633779</c:v>
                </c:pt>
                <c:pt idx="78">
                  <c:v>0.98445678559164584</c:v>
                </c:pt>
                <c:pt idx="79">
                  <c:v>0.84739485529392744</c:v>
                </c:pt>
                <c:pt idx="80">
                  <c:v>0.86845026528326053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34E-99CB-6C3DA17B8661}"/>
            </c:ext>
          </c:extLst>
        </c:ser>
        <c:ser>
          <c:idx val="0"/>
          <c:order val="1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loads'!$BX$4:$BX$84</c:f>
              <c:numCache>
                <c:formatCode>0,000</c:formatCode>
                <c:ptCount val="81"/>
                <c:pt idx="4">
                  <c:v>1.7702222222222199</c:v>
                </c:pt>
                <c:pt idx="6">
                  <c:v>2.9039767676767698</c:v>
                </c:pt>
                <c:pt idx="8">
                  <c:v>2.3237448979591799</c:v>
                </c:pt>
                <c:pt idx="9">
                  <c:v>2.4810642857142899</c:v>
                </c:pt>
                <c:pt idx="10">
                  <c:v>2.1632099999999999</c:v>
                </c:pt>
                <c:pt idx="11">
                  <c:v>3.1379779999999999</c:v>
                </c:pt>
                <c:pt idx="12">
                  <c:v>3.0674519999999998</c:v>
                </c:pt>
                <c:pt idx="13">
                  <c:v>1.22843790419162</c:v>
                </c:pt>
                <c:pt idx="18">
                  <c:v>1.44871490384615</c:v>
                </c:pt>
                <c:pt idx="19">
                  <c:v>3.1361500000000002</c:v>
                </c:pt>
                <c:pt idx="20">
                  <c:v>2.9688919999999999</c:v>
                </c:pt>
                <c:pt idx="21">
                  <c:v>1.908971</c:v>
                </c:pt>
                <c:pt idx="22">
                  <c:v>2.47133</c:v>
                </c:pt>
                <c:pt idx="23">
                  <c:v>2.4811322580645201</c:v>
                </c:pt>
                <c:pt idx="24">
                  <c:v>2.28250736842105</c:v>
                </c:pt>
                <c:pt idx="32">
                  <c:v>0.70625576923076905</c:v>
                </c:pt>
                <c:pt idx="33">
                  <c:v>1.46291538461538</c:v>
                </c:pt>
                <c:pt idx="34">
                  <c:v>0.94657403846153898</c:v>
                </c:pt>
                <c:pt idx="35">
                  <c:v>1.3721155339805799</c:v>
                </c:pt>
                <c:pt idx="36">
                  <c:v>2.5985544554455502</c:v>
                </c:pt>
                <c:pt idx="37">
                  <c:v>4.0057366336633704</c:v>
                </c:pt>
                <c:pt idx="38">
                  <c:v>6.4264336633663302</c:v>
                </c:pt>
                <c:pt idx="40">
                  <c:v>3.7739623762376202</c:v>
                </c:pt>
                <c:pt idx="41">
                  <c:v>3.8249247524752499</c:v>
                </c:pt>
                <c:pt idx="42">
                  <c:v>3.8227069306930699</c:v>
                </c:pt>
                <c:pt idx="47">
                  <c:v>0.96720679611650495</c:v>
                </c:pt>
                <c:pt idx="48">
                  <c:v>3.28247961165048</c:v>
                </c:pt>
                <c:pt idx="49">
                  <c:v>3.36867961165049</c:v>
                </c:pt>
                <c:pt idx="50">
                  <c:v>1.64063932038835</c:v>
                </c:pt>
                <c:pt idx="51">
                  <c:v>2.5323215686274501</c:v>
                </c:pt>
                <c:pt idx="53">
                  <c:v>1.55391683168317</c:v>
                </c:pt>
                <c:pt idx="57">
                  <c:v>0.64212187500000095</c:v>
                </c:pt>
                <c:pt idx="58">
                  <c:v>1.60655833333333</c:v>
                </c:pt>
                <c:pt idx="59">
                  <c:v>0.85183980582524299</c:v>
                </c:pt>
                <c:pt idx="60">
                  <c:v>2.2202964285714302</c:v>
                </c:pt>
                <c:pt idx="62">
                  <c:v>2.4044693452381001</c:v>
                </c:pt>
                <c:pt idx="77">
                  <c:v>0.51242475728155301</c:v>
                </c:pt>
              </c:numCache>
            </c:numRef>
          </c:xVal>
          <c:yVal>
            <c:numRef>
              <c:f>'River loads'!$BW$4:$BW$84</c:f>
              <c:numCache>
                <c:formatCode>0,000</c:formatCode>
                <c:ptCount val="81"/>
                <c:pt idx="0">
                  <c:v>1.9724894114652691</c:v>
                </c:pt>
                <c:pt idx="1">
                  <c:v>1.4419610328235679</c:v>
                </c:pt>
                <c:pt idx="2">
                  <c:v>1.8361920490196721</c:v>
                </c:pt>
                <c:pt idx="3">
                  <c:v>1.5022418610239929</c:v>
                </c:pt>
                <c:pt idx="4">
                  <c:v>1.4948946373261036</c:v>
                </c:pt>
                <c:pt idx="5">
                  <c:v>2.0171874472883862</c:v>
                </c:pt>
                <c:pt idx="6">
                  <c:v>2.5104786968023642</c:v>
                </c:pt>
                <c:pt idx="7">
                  <c:v>3.2893690675666201</c:v>
                </c:pt>
                <c:pt idx="8">
                  <c:v>2.9406127599309033</c:v>
                </c:pt>
                <c:pt idx="9">
                  <c:v>2.9936462573384737</c:v>
                </c:pt>
                <c:pt idx="10">
                  <c:v>2.7927748594290365</c:v>
                </c:pt>
                <c:pt idx="11">
                  <c:v>2.8310637515064339</c:v>
                </c:pt>
                <c:pt idx="12">
                  <c:v>2.7537472322256078</c:v>
                </c:pt>
                <c:pt idx="13">
                  <c:v>2.1444513834569392</c:v>
                </c:pt>
                <c:pt idx="14">
                  <c:v>2.0391967065540539</c:v>
                </c:pt>
                <c:pt idx="15">
                  <c:v>1.4733352906900019</c:v>
                </c:pt>
                <c:pt idx="16">
                  <c:v>1.5175308694385281</c:v>
                </c:pt>
                <c:pt idx="17">
                  <c:v>1.4370458287534633</c:v>
                </c:pt>
                <c:pt idx="18">
                  <c:v>1.3753167896273519</c:v>
                </c:pt>
                <c:pt idx="19">
                  <c:v>3.3117516837843688</c:v>
                </c:pt>
                <c:pt idx="20">
                  <c:v>2.9392876998778723</c:v>
                </c:pt>
                <c:pt idx="21">
                  <c:v>3.0870432714771114</c:v>
                </c:pt>
                <c:pt idx="22">
                  <c:v>2.6514545814367958</c:v>
                </c:pt>
                <c:pt idx="23">
                  <c:v>1.3559993271847806</c:v>
                </c:pt>
                <c:pt idx="24">
                  <c:v>1.8209924281757959</c:v>
                </c:pt>
                <c:pt idx="25">
                  <c:v>2.0186129017405721</c:v>
                </c:pt>
                <c:pt idx="26">
                  <c:v>0.45896018363408747</c:v>
                </c:pt>
                <c:pt idx="27">
                  <c:v>0.51281532618072256</c:v>
                </c:pt>
                <c:pt idx="28">
                  <c:v>0.99292814149876818</c:v>
                </c:pt>
                <c:pt idx="29">
                  <c:v>1.9169776035826684</c:v>
                </c:pt>
                <c:pt idx="30">
                  <c:v>1.936641913316189</c:v>
                </c:pt>
                <c:pt idx="31">
                  <c:v>2.0093007703844306</c:v>
                </c:pt>
                <c:pt idx="32">
                  <c:v>0.54797728507207832</c:v>
                </c:pt>
                <c:pt idx="33">
                  <c:v>1.2624053779914362</c:v>
                </c:pt>
                <c:pt idx="34">
                  <c:v>0.60845904795665762</c:v>
                </c:pt>
                <c:pt idx="35">
                  <c:v>0.92601025586051999</c:v>
                </c:pt>
                <c:pt idx="36">
                  <c:v>2.5011980440936754</c:v>
                </c:pt>
                <c:pt idx="37">
                  <c:v>3.2671292679132944</c:v>
                </c:pt>
                <c:pt idx="38">
                  <c:v>4.6238646559686334</c:v>
                </c:pt>
                <c:pt idx="39">
                  <c:v>3.5466429484999717</c:v>
                </c:pt>
                <c:pt idx="40">
                  <c:v>3.0142460915819331</c:v>
                </c:pt>
                <c:pt idx="41">
                  <c:v>2.9538660241678492</c:v>
                </c:pt>
                <c:pt idx="42">
                  <c:v>2.818753715060005</c:v>
                </c:pt>
                <c:pt idx="43">
                  <c:v>0.68738830906910087</c:v>
                </c:pt>
                <c:pt idx="44">
                  <c:v>0.80918996749854233</c:v>
                </c:pt>
                <c:pt idx="45">
                  <c:v>0.96996788634160191</c:v>
                </c:pt>
                <c:pt idx="46">
                  <c:v>0.58325002459189834</c:v>
                </c:pt>
                <c:pt idx="47">
                  <c:v>0.92661908386753999</c:v>
                </c:pt>
                <c:pt idx="48">
                  <c:v>2.4785036271114</c:v>
                </c:pt>
                <c:pt idx="49">
                  <c:v>2.4939789873660172</c:v>
                </c:pt>
                <c:pt idx="50">
                  <c:v>1.5066369262871828</c:v>
                </c:pt>
                <c:pt idx="51">
                  <c:v>1.922617417763743</c:v>
                </c:pt>
                <c:pt idx="52">
                  <c:v>1.6613917586774301</c:v>
                </c:pt>
                <c:pt idx="53">
                  <c:v>1.1605918783265363</c:v>
                </c:pt>
                <c:pt idx="54">
                  <c:v>1.5921559107181278</c:v>
                </c:pt>
                <c:pt idx="55">
                  <c:v>2.4354076929624142</c:v>
                </c:pt>
                <c:pt idx="56">
                  <c:v>1.8901299398910749</c:v>
                </c:pt>
                <c:pt idx="57">
                  <c:v>0.59084271792647969</c:v>
                </c:pt>
                <c:pt idx="58">
                  <c:v>1.1847938275115859</c:v>
                </c:pt>
                <c:pt idx="59">
                  <c:v>0.88625156188317633</c:v>
                </c:pt>
                <c:pt idx="60">
                  <c:v>2.041962494934336</c:v>
                </c:pt>
                <c:pt idx="61">
                  <c:v>1.8734991491935404</c:v>
                </c:pt>
                <c:pt idx="62">
                  <c:v>1.7042895982020347</c:v>
                </c:pt>
                <c:pt idx="63">
                  <c:v>1.3215107068558898</c:v>
                </c:pt>
                <c:pt idx="64">
                  <c:v>0.41140284325176629</c:v>
                </c:pt>
                <c:pt idx="65">
                  <c:v>0.4601223251543633</c:v>
                </c:pt>
                <c:pt idx="66">
                  <c:v>0.44396283930803404</c:v>
                </c:pt>
                <c:pt idx="67">
                  <c:v>0.94820944610177316</c:v>
                </c:pt>
                <c:pt idx="68">
                  <c:v>1.0571915877724458</c:v>
                </c:pt>
                <c:pt idx="69">
                  <c:v>0.51354865317414322</c:v>
                </c:pt>
                <c:pt idx="70">
                  <c:v>0.56424330409510559</c:v>
                </c:pt>
                <c:pt idx="71">
                  <c:v>0.68411705306112736</c:v>
                </c:pt>
                <c:pt idx="72">
                  <c:v>0.77045587182096376</c:v>
                </c:pt>
                <c:pt idx="73">
                  <c:v>1.1043684555442539</c:v>
                </c:pt>
                <c:pt idx="74">
                  <c:v>0.74240166363063598</c:v>
                </c:pt>
                <c:pt idx="75">
                  <c:v>0.77184508033378207</c:v>
                </c:pt>
                <c:pt idx="76">
                  <c:v>0.88027837432211598</c:v>
                </c:pt>
                <c:pt idx="77">
                  <c:v>0.59552342465633779</c:v>
                </c:pt>
                <c:pt idx="78">
                  <c:v>0.98445678559164584</c:v>
                </c:pt>
                <c:pt idx="79">
                  <c:v>0.84739485529392744</c:v>
                </c:pt>
                <c:pt idx="80">
                  <c:v>0.86845026528326053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45-434E-99CB-6C3DA17B8661}"/>
            </c:ext>
          </c:extLst>
        </c:ser>
        <c:ser>
          <c:idx val="1"/>
          <c:order val="2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45-434E-99CB-6C3DA17B8661}"/>
            </c:ext>
          </c:extLst>
        </c:ser>
        <c:ser>
          <c:idx val="2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45-434E-99CB-6C3DA17B8661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45-434E-99CB-6C3DA17B8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48896"/>
        <c:axId val="111250816"/>
      </c:scatterChart>
      <c:valAx>
        <c:axId val="111248896"/>
        <c:scaling>
          <c:orientation val="minMax"/>
          <c:max val="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gemessene DIN Fließgewässer Konzentrationen  (mg/l)</a:t>
                </a:r>
              </a:p>
            </c:rich>
          </c:tx>
          <c:layout>
            <c:manualLayout>
              <c:xMode val="edge"/>
              <c:yMode val="edge"/>
              <c:x val="0.19981373296079935"/>
              <c:y val="0.9039686274509806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250816"/>
        <c:crossesAt val="0"/>
        <c:crossBetween val="midCat"/>
        <c:majorUnit val="1"/>
      </c:valAx>
      <c:valAx>
        <c:axId val="111250816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modellierte DIN Fließgewässer Konzentrationen (mg/l)</a:t>
                </a:r>
              </a:p>
            </c:rich>
          </c:tx>
          <c:layout>
            <c:manualLayout>
              <c:xMode val="edge"/>
              <c:yMode val="edge"/>
              <c:x val="4.438122654023091E-3"/>
              <c:y val="8.98373938551799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248896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914401828804"/>
          <c:y val="6.1032947352169228E-2"/>
          <c:w val="0.74942116106454471"/>
          <c:h val="0.77699708635262277"/>
        </c:manualLayout>
      </c:layout>
      <c:scatterChart>
        <c:scatterStyle val="lineMarker"/>
        <c:varyColors val="0"/>
        <c:ser>
          <c:idx val="4"/>
          <c:order val="0"/>
          <c:tx>
            <c:v>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'River loads'!$CQ$4:$CQ$84</c:f>
              <c:numCache>
                <c:formatCode>0,000</c:formatCode>
                <c:ptCount val="81"/>
                <c:pt idx="4">
                  <c:v>5.3800000000000008E-2</c:v>
                </c:pt>
                <c:pt idx="6">
                  <c:v>7.0999999999999994E-2</c:v>
                </c:pt>
                <c:pt idx="7">
                  <c:v>0.12</c:v>
                </c:pt>
                <c:pt idx="8">
                  <c:v>0.2010000000000001</c:v>
                </c:pt>
                <c:pt idx="9">
                  <c:v>0.2010000000000001</c:v>
                </c:pt>
                <c:pt idx="10">
                  <c:v>0.32</c:v>
                </c:pt>
                <c:pt idx="11">
                  <c:v>0.14000000000000001</c:v>
                </c:pt>
                <c:pt idx="12">
                  <c:v>0.15</c:v>
                </c:pt>
                <c:pt idx="15">
                  <c:v>0.09</c:v>
                </c:pt>
                <c:pt idx="17">
                  <c:v>0.04</c:v>
                </c:pt>
                <c:pt idx="18">
                  <c:v>4.1000000000000002E-2</c:v>
                </c:pt>
                <c:pt idx="19">
                  <c:v>0.13</c:v>
                </c:pt>
                <c:pt idx="20">
                  <c:v>0.14000000000000001</c:v>
                </c:pt>
                <c:pt idx="21">
                  <c:v>0.12</c:v>
                </c:pt>
                <c:pt idx="22">
                  <c:v>0.21</c:v>
                </c:pt>
                <c:pt idx="23">
                  <c:v>4.9700000000000022E-2</c:v>
                </c:pt>
                <c:pt idx="24">
                  <c:v>6.2400000000000032E-2</c:v>
                </c:pt>
                <c:pt idx="30">
                  <c:v>1.3100000000000007E-2</c:v>
                </c:pt>
                <c:pt idx="31">
                  <c:v>2.5999999999999999E-2</c:v>
                </c:pt>
                <c:pt idx="32">
                  <c:v>2.7999999999999987E-2</c:v>
                </c:pt>
                <c:pt idx="33">
                  <c:v>1.7799999999999996E-2</c:v>
                </c:pt>
                <c:pt idx="34">
                  <c:v>2.5000000000000001E-3</c:v>
                </c:pt>
                <c:pt idx="35">
                  <c:v>7.0000000000000001E-3</c:v>
                </c:pt>
                <c:pt idx="36">
                  <c:v>8.5999999999999993E-2</c:v>
                </c:pt>
                <c:pt idx="37">
                  <c:v>7.0400000000000004E-2</c:v>
                </c:pt>
                <c:pt idx="38">
                  <c:v>5.3799999999999994E-2</c:v>
                </c:pt>
                <c:pt idx="39">
                  <c:v>0.08</c:v>
                </c:pt>
                <c:pt idx="40">
                  <c:v>0.18400000000000005</c:v>
                </c:pt>
                <c:pt idx="41">
                  <c:v>0.21</c:v>
                </c:pt>
                <c:pt idx="42">
                  <c:v>0.2</c:v>
                </c:pt>
                <c:pt idx="47">
                  <c:v>5.0000000000000001E-3</c:v>
                </c:pt>
                <c:pt idx="48">
                  <c:v>7.1999999999999995E-2</c:v>
                </c:pt>
                <c:pt idx="49">
                  <c:v>0.15</c:v>
                </c:pt>
                <c:pt idx="50">
                  <c:v>2.0299999999999999E-2</c:v>
                </c:pt>
                <c:pt idx="51">
                  <c:v>6.83E-2</c:v>
                </c:pt>
                <c:pt idx="53">
                  <c:v>1.4999999999999999E-2</c:v>
                </c:pt>
                <c:pt idx="57">
                  <c:v>2.5000000000000001E-3</c:v>
                </c:pt>
                <c:pt idx="58">
                  <c:v>1.6E-2</c:v>
                </c:pt>
                <c:pt idx="59">
                  <c:v>7.799999999999997E-3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4-2345-BAC0-F73E73085962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4-2345-BAC0-F73E73085962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04-2345-BAC0-F73E73085962}"/>
            </c:ext>
          </c:extLst>
        </c:ser>
        <c:ser>
          <c:idx val="0"/>
          <c:order val="3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loads'!$DD$4:$DD$84</c:f>
              <c:numCache>
                <c:formatCode>General</c:formatCode>
                <c:ptCount val="81"/>
                <c:pt idx="37" formatCode="00,000">
                  <c:v>7.0400000000000004E-2</c:v>
                </c:pt>
                <c:pt idx="38" formatCode="00,000">
                  <c:v>5.3799999999999994E-2</c:v>
                </c:pt>
                <c:pt idx="39" formatCode="00,000">
                  <c:v>0.08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04-2345-BAC0-F73E73085962}"/>
            </c:ext>
          </c:extLst>
        </c:ser>
        <c:ser>
          <c:idx val="5"/>
          <c:order val="4"/>
          <c:tx>
            <c:v>Innviertel 1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loads'!$DE$4:$DE$84</c:f>
              <c:numCache>
                <c:formatCode>General</c:formatCode>
                <c:ptCount val="81"/>
                <c:pt idx="7" formatCode="00,000">
                  <c:v>0.12</c:v>
                </c:pt>
                <c:pt idx="22" formatCode="00,000">
                  <c:v>0.21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04-2345-BAC0-F73E73085962}"/>
            </c:ext>
          </c:extLst>
        </c:ser>
        <c:ser>
          <c:idx val="6"/>
          <c:order val="5"/>
          <c:tx>
            <c:v>Innviertel 2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loads'!$DF$4:$DF$84</c:f>
              <c:numCache>
                <c:formatCode>General</c:formatCode>
                <c:ptCount val="81"/>
                <c:pt idx="8" formatCode="00,000">
                  <c:v>0.2010000000000001</c:v>
                </c:pt>
                <c:pt idx="9" formatCode="00,000">
                  <c:v>0.2010000000000001</c:v>
                </c:pt>
                <c:pt idx="10" formatCode="00,000">
                  <c:v>0.32</c:v>
                </c:pt>
                <c:pt idx="21" formatCode="00,000">
                  <c:v>0.12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04-2345-BAC0-F73E73085962}"/>
            </c:ext>
          </c:extLst>
        </c:ser>
        <c:ser>
          <c:idx val="8"/>
          <c:order val="6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loads'!$DH$4:$DH$84</c:f>
              <c:numCache>
                <c:formatCode>General</c:formatCode>
                <c:ptCount val="81"/>
                <c:pt idx="40" formatCode="00,000">
                  <c:v>0.18400000000000005</c:v>
                </c:pt>
                <c:pt idx="41" formatCode="00,000">
                  <c:v>0.21</c:v>
                </c:pt>
                <c:pt idx="49" formatCode="00,000">
                  <c:v>0.15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04-2345-BAC0-F73E73085962}"/>
            </c:ext>
          </c:extLst>
        </c:ser>
        <c:ser>
          <c:idx val="7"/>
          <c:order val="7"/>
          <c:tx>
            <c:v>Mühlviertel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'River loads'!$DG$4:$DG$84</c:f>
              <c:numCache>
                <c:formatCode>General</c:formatCode>
                <c:ptCount val="81"/>
                <c:pt idx="15" formatCode="00,000">
                  <c:v>0.09</c:v>
                </c:pt>
                <c:pt idx="17" formatCode="00,000">
                  <c:v>0.04</c:v>
                </c:pt>
              </c:numCache>
            </c:numRef>
          </c:xVal>
          <c:yVal>
            <c:numRef>
              <c:f>'River loads'!$BP$4:$BP$84</c:f>
              <c:numCache>
                <c:formatCode>0,000</c:formatCode>
                <c:ptCount val="81"/>
                <c:pt idx="0">
                  <c:v>4.3341853374343771E-2</c:v>
                </c:pt>
                <c:pt idx="1">
                  <c:v>8.6471864711797894E-2</c:v>
                </c:pt>
                <c:pt idx="2">
                  <c:v>5.9430292691926158E-2</c:v>
                </c:pt>
                <c:pt idx="3">
                  <c:v>2.0229451365302287E-2</c:v>
                </c:pt>
                <c:pt idx="4">
                  <c:v>3.9702899167383586E-2</c:v>
                </c:pt>
                <c:pt idx="5">
                  <c:v>3.2846711346095042E-2</c:v>
                </c:pt>
                <c:pt idx="6">
                  <c:v>9.6835616460743595E-2</c:v>
                </c:pt>
                <c:pt idx="7">
                  <c:v>0.1403313902649114</c:v>
                </c:pt>
                <c:pt idx="8">
                  <c:v>0.13315208662377712</c:v>
                </c:pt>
                <c:pt idx="9">
                  <c:v>0.13716210716560551</c:v>
                </c:pt>
                <c:pt idx="10">
                  <c:v>0.11942435672817789</c:v>
                </c:pt>
                <c:pt idx="11">
                  <c:v>0.12400133465474004</c:v>
                </c:pt>
                <c:pt idx="12">
                  <c:v>0.12841598422215617</c:v>
                </c:pt>
                <c:pt idx="13">
                  <c:v>8.7728328571402295E-2</c:v>
                </c:pt>
                <c:pt idx="14">
                  <c:v>3.9290423187667504E-2</c:v>
                </c:pt>
                <c:pt idx="15">
                  <c:v>5.2094277514048604E-2</c:v>
                </c:pt>
                <c:pt idx="16">
                  <c:v>2.4004420887164517E-2</c:v>
                </c:pt>
                <c:pt idx="17">
                  <c:v>3.61519469716707E-2</c:v>
                </c:pt>
                <c:pt idx="18">
                  <c:v>2.0214465032487739E-2</c:v>
                </c:pt>
                <c:pt idx="19">
                  <c:v>0.13388330778071944</c:v>
                </c:pt>
                <c:pt idx="20">
                  <c:v>0.12092025590420319</c:v>
                </c:pt>
                <c:pt idx="21">
                  <c:v>0.15266962442026219</c:v>
                </c:pt>
                <c:pt idx="22">
                  <c:v>0.14155558706992138</c:v>
                </c:pt>
                <c:pt idx="23">
                  <c:v>3.402173874385625E-2</c:v>
                </c:pt>
                <c:pt idx="24">
                  <c:v>5.1413451381000376E-2</c:v>
                </c:pt>
                <c:pt idx="25">
                  <c:v>7.5890093559078622E-2</c:v>
                </c:pt>
                <c:pt idx="26">
                  <c:v>7.9653372079517039E-3</c:v>
                </c:pt>
                <c:pt idx="27">
                  <c:v>8.8781554933061776E-3</c:v>
                </c:pt>
                <c:pt idx="28">
                  <c:v>1.1359807691603298E-2</c:v>
                </c:pt>
                <c:pt idx="29">
                  <c:v>2.7227751892285414E-2</c:v>
                </c:pt>
                <c:pt idx="30">
                  <c:v>2.7688817262978688E-2</c:v>
                </c:pt>
                <c:pt idx="31">
                  <c:v>4.0966727790703227E-2</c:v>
                </c:pt>
                <c:pt idx="32">
                  <c:v>7.4508363234395414E-3</c:v>
                </c:pt>
                <c:pt idx="33">
                  <c:v>3.2292392044115277E-2</c:v>
                </c:pt>
                <c:pt idx="34">
                  <c:v>5.0119344309084816E-3</c:v>
                </c:pt>
                <c:pt idx="35">
                  <c:v>1.9754073013760143E-2</c:v>
                </c:pt>
                <c:pt idx="36">
                  <c:v>0.10562934719708825</c:v>
                </c:pt>
                <c:pt idx="37">
                  <c:v>0.1269219536742402</c:v>
                </c:pt>
                <c:pt idx="38">
                  <c:v>0.16949693598279228</c:v>
                </c:pt>
                <c:pt idx="39">
                  <c:v>0.14603821134660763</c:v>
                </c:pt>
                <c:pt idx="40">
                  <c:v>0.12057728990031132</c:v>
                </c:pt>
                <c:pt idx="41">
                  <c:v>0.13444671298883323</c:v>
                </c:pt>
                <c:pt idx="42">
                  <c:v>0.12460496360701849</c:v>
                </c:pt>
                <c:pt idx="43">
                  <c:v>8.543590940049247E-3</c:v>
                </c:pt>
                <c:pt idx="44">
                  <c:v>1.4881357422346211E-2</c:v>
                </c:pt>
                <c:pt idx="45">
                  <c:v>7.9903433871042553E-3</c:v>
                </c:pt>
                <c:pt idx="46">
                  <c:v>6.3257513094037128E-3</c:v>
                </c:pt>
                <c:pt idx="47">
                  <c:v>1.3318536088836567E-2</c:v>
                </c:pt>
                <c:pt idx="48">
                  <c:v>5.1462287135275293E-2</c:v>
                </c:pt>
                <c:pt idx="49">
                  <c:v>0.10864720537501533</c:v>
                </c:pt>
                <c:pt idx="50">
                  <c:v>4.0220296257208146E-2</c:v>
                </c:pt>
                <c:pt idx="51">
                  <c:v>7.0852067289006504E-2</c:v>
                </c:pt>
                <c:pt idx="52">
                  <c:v>6.1637848450431937E-2</c:v>
                </c:pt>
                <c:pt idx="53">
                  <c:v>2.8396276998939818E-2</c:v>
                </c:pt>
                <c:pt idx="54">
                  <c:v>4.8202430941120242E-2</c:v>
                </c:pt>
                <c:pt idx="55">
                  <c:v>6.4562965541716102E-2</c:v>
                </c:pt>
                <c:pt idx="56">
                  <c:v>3.9193019142517389E-2</c:v>
                </c:pt>
                <c:pt idx="57">
                  <c:v>1.4839546698630079E-2</c:v>
                </c:pt>
                <c:pt idx="58">
                  <c:v>3.5124575949926962E-2</c:v>
                </c:pt>
                <c:pt idx="59">
                  <c:v>1.8702763570020403E-2</c:v>
                </c:pt>
                <c:pt idx="60">
                  <c:v>8.3393659271101317E-2</c:v>
                </c:pt>
                <c:pt idx="61">
                  <c:v>7.069741368618733E-2</c:v>
                </c:pt>
                <c:pt idx="62">
                  <c:v>5.7642571288829804E-2</c:v>
                </c:pt>
                <c:pt idx="63">
                  <c:v>3.9781367369728253E-2</c:v>
                </c:pt>
                <c:pt idx="64">
                  <c:v>3.5066805919438039E-2</c:v>
                </c:pt>
                <c:pt idx="65">
                  <c:v>2.5034715453481231E-2</c:v>
                </c:pt>
                <c:pt idx="66">
                  <c:v>2.170148706241324E-2</c:v>
                </c:pt>
                <c:pt idx="67">
                  <c:v>2.6757320696727101E-2</c:v>
                </c:pt>
                <c:pt idx="68">
                  <c:v>3.433709343389478E-2</c:v>
                </c:pt>
                <c:pt idx="69">
                  <c:v>2.4902700877361635E-2</c:v>
                </c:pt>
                <c:pt idx="70">
                  <c:v>1.4464023893494144E-2</c:v>
                </c:pt>
                <c:pt idx="71">
                  <c:v>2.8607648716689124E-2</c:v>
                </c:pt>
                <c:pt idx="72">
                  <c:v>8.2178840271130461E-3</c:v>
                </c:pt>
                <c:pt idx="73">
                  <c:v>3.9902813093101062E-3</c:v>
                </c:pt>
                <c:pt idx="74">
                  <c:v>1.7418993466968651E-3</c:v>
                </c:pt>
                <c:pt idx="75">
                  <c:v>2.0686029328087622E-3</c:v>
                </c:pt>
                <c:pt idx="76">
                  <c:v>3.8393078764937067E-3</c:v>
                </c:pt>
                <c:pt idx="77">
                  <c:v>1.5829085222605933E-2</c:v>
                </c:pt>
                <c:pt idx="78">
                  <c:v>2.7448809235641494E-2</c:v>
                </c:pt>
                <c:pt idx="79">
                  <c:v>2.8408947780319355E-2</c:v>
                </c:pt>
                <c:pt idx="80">
                  <c:v>1.9483159511879705E-2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04-2345-BAC0-F73E73085962}"/>
            </c:ext>
          </c:extLst>
        </c:ser>
        <c:ser>
          <c:idx val="3"/>
          <c:order val="8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04-2345-BAC0-F73E73085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01984"/>
        <c:axId val="111399680"/>
      </c:scatterChart>
      <c:valAx>
        <c:axId val="111401984"/>
        <c:scaling>
          <c:orientation val="minMax"/>
          <c:max val="0.300000000000000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PO4-P beobachtet als C-90 % (mg/l)</a:t>
                </a:r>
              </a:p>
            </c:rich>
          </c:tx>
          <c:layout>
            <c:manualLayout>
              <c:xMode val="edge"/>
              <c:yMode val="edge"/>
              <c:x val="0.28575847373916974"/>
              <c:y val="0.917074695074880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399680"/>
        <c:crossesAt val="0"/>
        <c:crossBetween val="midCat"/>
        <c:majorUnit val="0.1"/>
      </c:valAx>
      <c:valAx>
        <c:axId val="111399680"/>
        <c:scaling>
          <c:orientation val="minMax"/>
          <c:max val="0.3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PO4-P</a:t>
                </a:r>
                <a:r>
                  <a:rPr lang="de-DE" baseline="0"/>
                  <a:t> </a:t>
                </a:r>
                <a:r>
                  <a:rPr lang="de-DE"/>
                  <a:t>modelliert als</a:t>
                </a:r>
                <a:r>
                  <a:rPr lang="de-DE" baseline="0"/>
                  <a:t> </a:t>
                </a:r>
                <a:r>
                  <a:rPr lang="de-DE"/>
                  <a:t>C-90%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401984"/>
        <c:crossesAt val="0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8979076002596451"/>
          <c:y val="7.1006700633009082E-2"/>
          <c:w val="0.30448023029379395"/>
          <c:h val="0.24568114867994439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DIN C-90</c:v>
          </c:tx>
          <c:xVal>
            <c:numRef>
              <c:f>'Graphs c de'!$E$57:$E$77</c:f>
              <c:numCache>
                <c:formatCode>0,000</c:formatCode>
                <c:ptCount val="21"/>
                <c:pt idx="0">
                  <c:v>0.55594978817806251</c:v>
                </c:pt>
                <c:pt idx="1">
                  <c:v>0.69299368402800343</c:v>
                </c:pt>
                <c:pt idx="2">
                  <c:v>0.78817570890797073</c:v>
                </c:pt>
                <c:pt idx="3">
                  <c:v>0.92448250413665856</c:v>
                </c:pt>
                <c:pt idx="4">
                  <c:v>1.0430338923429487</c:v>
                </c:pt>
                <c:pt idx="5">
                  <c:v>1.1895653707055622</c:v>
                </c:pt>
                <c:pt idx="6">
                  <c:v>1.2813641163537475</c:v>
                </c:pt>
                <c:pt idx="7">
                  <c:v>1.4286372807735754</c:v>
                </c:pt>
                <c:pt idx="8">
                  <c:v>1.7059532135019408</c:v>
                </c:pt>
                <c:pt idx="9">
                  <c:v>1.9419538226398154</c:v>
                </c:pt>
                <c:pt idx="10">
                  <c:v>2.0300565689513417</c:v>
                </c:pt>
                <c:pt idx="11">
                  <c:v>2.2451239982127431</c:v>
                </c:pt>
                <c:pt idx="12">
                  <c:v>2.5317556070182978</c:v>
                </c:pt>
                <c:pt idx="13">
                  <c:v>2.6170836666434987</c:v>
                </c:pt>
                <c:pt idx="14">
                  <c:v>2.7278552726223948</c:v>
                </c:pt>
                <c:pt idx="15">
                  <c:v>3.2910914769762361</c:v>
                </c:pt>
                <c:pt idx="16">
                  <c:v>3.3925387794626571</c:v>
                </c:pt>
                <c:pt idx="17">
                  <c:v>3.8091266419729801</c:v>
                </c:pt>
                <c:pt idx="18">
                  <c:v>3.9917108434700674</c:v>
                </c:pt>
                <c:pt idx="19">
                  <c:v>4.4150395512341829</c:v>
                </c:pt>
                <c:pt idx="20">
                  <c:v>5.0839017432347386</c:v>
                </c:pt>
              </c:numCache>
            </c:numRef>
          </c:xVal>
          <c:yVal>
            <c:numRef>
              <c:f>'Graphs c de'!$A$57:$A$77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A6-7649-BD84-0DA6CB4FB5BF}"/>
            </c:ext>
          </c:extLst>
        </c:ser>
        <c:ser>
          <c:idx val="1"/>
          <c:order val="1"/>
          <c:tx>
            <c:v>C-90 from measurments DIN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4A6-7649-BD84-0DA6CB4FB5BF}"/>
              </c:ext>
            </c:extLst>
          </c:dPt>
          <c:xVal>
            <c:numRef>
              <c:f>'Graphs c de'!$F$57:$F$77</c:f>
              <c:numCache>
                <c:formatCode>0,000</c:formatCode>
                <c:ptCount val="21"/>
                <c:pt idx="0">
                  <c:v>0.66020000000000001</c:v>
                </c:pt>
                <c:pt idx="1">
                  <c:v>0.83031499999999991</c:v>
                </c:pt>
                <c:pt idx="2">
                  <c:v>1.1215200000000001</c:v>
                </c:pt>
                <c:pt idx="3">
                  <c:v>1.3733600000000001</c:v>
                </c:pt>
                <c:pt idx="4">
                  <c:v>1.7371999999999999</c:v>
                </c:pt>
                <c:pt idx="5">
                  <c:v>1.8140000000000001</c:v>
                </c:pt>
                <c:pt idx="6">
                  <c:v>2.0510999999999995</c:v>
                </c:pt>
                <c:pt idx="7">
                  <c:v>2.1190920000000002</c:v>
                </c:pt>
                <c:pt idx="8">
                  <c:v>2.9625199999999996</c:v>
                </c:pt>
                <c:pt idx="9">
                  <c:v>3.1579200000000003</c:v>
                </c:pt>
                <c:pt idx="10">
                  <c:v>3.198</c:v>
                </c:pt>
                <c:pt idx="11">
                  <c:v>3.4029759999999993</c:v>
                </c:pt>
                <c:pt idx="12">
                  <c:v>3.5063999999999997</c:v>
                </c:pt>
                <c:pt idx="13">
                  <c:v>3.5482400000000003</c:v>
                </c:pt>
                <c:pt idx="14">
                  <c:v>3.9000800000000009</c:v>
                </c:pt>
                <c:pt idx="15">
                  <c:v>4.3894000000000002</c:v>
                </c:pt>
                <c:pt idx="16">
                  <c:v>4.5412600000000003</c:v>
                </c:pt>
                <c:pt idx="17">
                  <c:v>4.6424000000000012</c:v>
                </c:pt>
                <c:pt idx="18">
                  <c:v>4.862000000000001</c:v>
                </c:pt>
                <c:pt idx="19">
                  <c:v>5.23</c:v>
                </c:pt>
                <c:pt idx="20">
                  <c:v>6.4780000000000015</c:v>
                </c:pt>
              </c:numCache>
            </c:numRef>
          </c:xVal>
          <c:yVal>
            <c:numRef>
              <c:f>'Graphs c de'!$A$57:$A$77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A6-7649-BD84-0DA6CB4FB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08864"/>
        <c:axId val="111110784"/>
      </c:scatterChart>
      <c:valAx>
        <c:axId val="111108864"/>
        <c:scaling>
          <c:orientation val="minMax"/>
          <c:max val="7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DIN (mg/l)</a:t>
                </a:r>
              </a:p>
            </c:rich>
          </c:tx>
          <c:overlay val="0"/>
        </c:title>
        <c:numFmt formatCode="0,000" sourceLinked="1"/>
        <c:majorTickMark val="out"/>
        <c:minorTickMark val="none"/>
        <c:tickLblPos val="nextTo"/>
        <c:crossAx val="111110784"/>
        <c:crosses val="autoZero"/>
        <c:crossBetween val="midCat"/>
        <c:majorUnit val="1"/>
      </c:valAx>
      <c:valAx>
        <c:axId val="111110784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10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115824584426947"/>
          <c:y val="0.66777615747076247"/>
          <c:w val="0.50223687664041994"/>
          <c:h val="0.1945984823189328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91907261592309"/>
          <c:y val="5.1400554097404488E-2"/>
          <c:w val="0.81492038495188091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v>calculated averages NO3 GW</c:v>
          </c:tx>
          <c:xVal>
            <c:numRef>
              <c:f>'Graphs c de'!$D$83:$D$103</c:f>
              <c:numCache>
                <c:formatCode>0.00</c:formatCode>
                <c:ptCount val="21"/>
                <c:pt idx="0">
                  <c:v>2.2933072854831797</c:v>
                </c:pt>
                <c:pt idx="1">
                  <c:v>3.0734949722991018</c:v>
                </c:pt>
                <c:pt idx="2">
                  <c:v>3.3751439871608553</c:v>
                </c:pt>
                <c:pt idx="3">
                  <c:v>3.6893268805664308</c:v>
                </c:pt>
                <c:pt idx="4">
                  <c:v>4.1767084416714919</c:v>
                </c:pt>
                <c:pt idx="5">
                  <c:v>5.4616199673529406</c:v>
                </c:pt>
                <c:pt idx="6">
                  <c:v>5.9840220668824644</c:v>
                </c:pt>
                <c:pt idx="7">
                  <c:v>7.842851822846403</c:v>
                </c:pt>
                <c:pt idx="8">
                  <c:v>9.5447041328867481</c:v>
                </c:pt>
                <c:pt idx="9">
                  <c:v>10.390242466923386</c:v>
                </c:pt>
                <c:pt idx="10">
                  <c:v>10.936324718288658</c:v>
                </c:pt>
                <c:pt idx="11">
                  <c:v>12.420019727844311</c:v>
                </c:pt>
                <c:pt idx="12">
                  <c:v>13.15165521391698</c:v>
                </c:pt>
                <c:pt idx="13">
                  <c:v>13.490442462216075</c:v>
                </c:pt>
                <c:pt idx="14">
                  <c:v>15.045822641583049</c:v>
                </c:pt>
                <c:pt idx="15">
                  <c:v>16.958624861097292</c:v>
                </c:pt>
                <c:pt idx="16">
                  <c:v>17.819428885839869</c:v>
                </c:pt>
                <c:pt idx="17">
                  <c:v>18.465507163384395</c:v>
                </c:pt>
                <c:pt idx="18">
                  <c:v>19.806286088720739</c:v>
                </c:pt>
                <c:pt idx="19">
                  <c:v>22.003105528462456</c:v>
                </c:pt>
                <c:pt idx="20">
                  <c:v>29.773816722603854</c:v>
                </c:pt>
              </c:numCache>
            </c:numRef>
          </c:xVal>
          <c:yVal>
            <c:numRef>
              <c:f>'Graphs c de'!$A$83:$A$103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BE-CC4A-B264-6028E2032761}"/>
            </c:ext>
          </c:extLst>
        </c:ser>
        <c:ser>
          <c:idx val="1"/>
          <c:order val="1"/>
          <c:tx>
            <c:v>averages from measurments NO3 GW</c:v>
          </c:tx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A5BE-CC4A-B264-6028E2032761}"/>
              </c:ext>
            </c:extLst>
          </c:dPt>
          <c:xVal>
            <c:numRef>
              <c:f>'Graphs c de'!$E$83:$E$103</c:f>
              <c:numCache>
                <c:formatCode>0.00</c:formatCode>
                <c:ptCount val="21"/>
                <c:pt idx="0">
                  <c:v>2.06</c:v>
                </c:pt>
                <c:pt idx="1">
                  <c:v>3.0634999999999999</c:v>
                </c:pt>
                <c:pt idx="2">
                  <c:v>3.3533333333333331</c:v>
                </c:pt>
                <c:pt idx="3">
                  <c:v>3.7501250000000006</c:v>
                </c:pt>
                <c:pt idx="4">
                  <c:v>4.4208571428571437</c:v>
                </c:pt>
                <c:pt idx="5">
                  <c:v>4.7866666666666653</c:v>
                </c:pt>
                <c:pt idx="6">
                  <c:v>5.3859999999999992</c:v>
                </c:pt>
                <c:pt idx="7">
                  <c:v>7.0190000000000001</c:v>
                </c:pt>
                <c:pt idx="8">
                  <c:v>8.6135999999999981</c:v>
                </c:pt>
                <c:pt idx="9">
                  <c:v>10.258800000000001</c:v>
                </c:pt>
                <c:pt idx="10">
                  <c:v>11.577999999999998</c:v>
                </c:pt>
                <c:pt idx="11">
                  <c:v>13.1416</c:v>
                </c:pt>
                <c:pt idx="12">
                  <c:v>13.865733333333333</c:v>
                </c:pt>
                <c:pt idx="13">
                  <c:v>14.845333333333331</c:v>
                </c:pt>
                <c:pt idx="14">
                  <c:v>17.002171428571437</c:v>
                </c:pt>
                <c:pt idx="15">
                  <c:v>19.052941176470604</c:v>
                </c:pt>
                <c:pt idx="16">
                  <c:v>22.228666666666673</c:v>
                </c:pt>
                <c:pt idx="17">
                  <c:v>25.266000000000002</c:v>
                </c:pt>
                <c:pt idx="18">
                  <c:v>28.51955555555557</c:v>
                </c:pt>
                <c:pt idx="19">
                  <c:v>32.408928039702282</c:v>
                </c:pt>
                <c:pt idx="20">
                  <c:v>40.677552941176465</c:v>
                </c:pt>
              </c:numCache>
            </c:numRef>
          </c:xVal>
          <c:yVal>
            <c:numRef>
              <c:f>'Graphs c de'!$A$83:$A$103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BE-CC4A-B264-6028E2032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44320"/>
        <c:axId val="111416832"/>
      </c:scatterChart>
      <c:valAx>
        <c:axId val="111144320"/>
        <c:scaling>
          <c:orientation val="minMax"/>
          <c:max val="10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de-DE" sz="1200"/>
                  <a:t>NO3 (mg/l)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1416832"/>
        <c:crosses val="autoZero"/>
        <c:crossBetween val="midCat"/>
        <c:majorUnit val="10"/>
      </c:valAx>
      <c:valAx>
        <c:axId val="111416832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de-DE" sz="1200"/>
                  <a:t>Unterschreitungshäufigkeit</a:t>
                </a:r>
                <a:r>
                  <a:rPr lang="de-DE" sz="1200" baseline="0"/>
                  <a:t> (-)</a:t>
                </a:r>
                <a:endParaRPr lang="de-DE" sz="1200"/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144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713801399825039"/>
          <c:y val="0.55308083135547492"/>
          <c:w val="0.53001465441819806"/>
          <c:h val="0.14362278182324928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29" r="0.70000000000000029" t="0.78740157499999996" header="0.30000000000000016" footer="0.30000000000000016"/>
    <c:pageSetup/>
  </c:printSettings>
  <c:userShapes r:id="rId1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loads'!$CE$4:$CE$84</c:f>
              <c:numCache>
                <c:formatCode>0.00</c:formatCode>
                <c:ptCount val="81"/>
                <c:pt idx="0">
                  <c:v>22.076666666666672</c:v>
                </c:pt>
                <c:pt idx="1">
                  <c:v>16.776000000000003</c:v>
                </c:pt>
                <c:pt idx="2">
                  <c:v>18.640000000000004</c:v>
                </c:pt>
                <c:pt idx="3">
                  <c:v>8.7419999999999991</c:v>
                </c:pt>
                <c:pt idx="4">
                  <c:v>12.329545454545455</c:v>
                </c:pt>
                <c:pt idx="5">
                  <c:v>14.68</c:v>
                </c:pt>
                <c:pt idx="6">
                  <c:v>13.346</c:v>
                </c:pt>
                <c:pt idx="7">
                  <c:v>8.1</c:v>
                </c:pt>
                <c:pt idx="8">
                  <c:v>11.65</c:v>
                </c:pt>
                <c:pt idx="9">
                  <c:v>11.578000000000001</c:v>
                </c:pt>
                <c:pt idx="10">
                  <c:v>14.886666666666663</c:v>
                </c:pt>
                <c:pt idx="11">
                  <c:v>17.341428571428573</c:v>
                </c:pt>
                <c:pt idx="12">
                  <c:v>26.95</c:v>
                </c:pt>
                <c:pt idx="13">
                  <c:v>30.318750000000005</c:v>
                </c:pt>
                <c:pt idx="14">
                  <c:v>22.330000000000002</c:v>
                </c:pt>
                <c:pt idx="15">
                  <c:v>15.850000000000001</c:v>
                </c:pt>
                <c:pt idx="16">
                  <c:v>13.320000000000002</c:v>
                </c:pt>
                <c:pt idx="17">
                  <c:v>9.6</c:v>
                </c:pt>
                <c:pt idx="18">
                  <c:v>6.55</c:v>
                </c:pt>
                <c:pt idx="19">
                  <c:v>13.667499999999997</c:v>
                </c:pt>
                <c:pt idx="20">
                  <c:v>25.453999999999997</c:v>
                </c:pt>
                <c:pt idx="21">
                  <c:v>11.1875</c:v>
                </c:pt>
                <c:pt idx="22">
                  <c:v>33.671935483870975</c:v>
                </c:pt>
                <c:pt idx="23">
                  <c:v>23.579000000000001</c:v>
                </c:pt>
                <c:pt idx="24">
                  <c:v>12.874000000000001</c:v>
                </c:pt>
                <c:pt idx="25">
                  <c:v>25.299999999999997</c:v>
                </c:pt>
                <c:pt idx="26">
                  <c:v>2.3699999999999997</c:v>
                </c:pt>
                <c:pt idx="27">
                  <c:v>4.0739999999999998</c:v>
                </c:pt>
                <c:pt idx="28">
                  <c:v>7.1550000000000002</c:v>
                </c:pt>
                <c:pt idx="29">
                  <c:v>13.82666666666667</c:v>
                </c:pt>
                <c:pt idx="30">
                  <c:v>7.2459999999999996</c:v>
                </c:pt>
                <c:pt idx="31">
                  <c:v>10.108000000000001</c:v>
                </c:pt>
                <c:pt idx="32">
                  <c:v>9.5599999999999969</c:v>
                </c:pt>
                <c:pt idx="33">
                  <c:v>19.052941176470586</c:v>
                </c:pt>
                <c:pt idx="34">
                  <c:v>4.41</c:v>
                </c:pt>
                <c:pt idx="35">
                  <c:v>15.084666666666667</c:v>
                </c:pt>
                <c:pt idx="36">
                  <c:v>14.022</c:v>
                </c:pt>
                <c:pt idx="37">
                  <c:v>43.234117647058824</c:v>
                </c:pt>
                <c:pt idx="38">
                  <c:v>39.683333333333323</c:v>
                </c:pt>
                <c:pt idx="39">
                  <c:v>35.078421052631576</c:v>
                </c:pt>
                <c:pt idx="41">
                  <c:v>5.379999999999999</c:v>
                </c:pt>
                <c:pt idx="42">
                  <c:v>22.07</c:v>
                </c:pt>
                <c:pt idx="44">
                  <c:v>3.05</c:v>
                </c:pt>
                <c:pt idx="45">
                  <c:v>5.32</c:v>
                </c:pt>
                <c:pt idx="46">
                  <c:v>2.06</c:v>
                </c:pt>
                <c:pt idx="47">
                  <c:v>4.4371428571428577</c:v>
                </c:pt>
                <c:pt idx="49">
                  <c:v>21.610000000000003</c:v>
                </c:pt>
                <c:pt idx="50">
                  <c:v>4.7866666666666653</c:v>
                </c:pt>
                <c:pt idx="51">
                  <c:v>25.2575</c:v>
                </c:pt>
                <c:pt idx="53">
                  <c:v>10.485000000000001</c:v>
                </c:pt>
                <c:pt idx="54">
                  <c:v>17.454999999999998</c:v>
                </c:pt>
                <c:pt idx="56">
                  <c:v>6.9849999999999994</c:v>
                </c:pt>
                <c:pt idx="57">
                  <c:v>3.0733333333333328</c:v>
                </c:pt>
                <c:pt idx="58">
                  <c:v>28.911944444444437</c:v>
                </c:pt>
                <c:pt idx="60">
                  <c:v>14.530000000000001</c:v>
                </c:pt>
                <c:pt idx="61">
                  <c:v>10.545</c:v>
                </c:pt>
                <c:pt idx="62">
                  <c:v>31.566923076923082</c:v>
                </c:pt>
                <c:pt idx="63">
                  <c:v>24.017083333333336</c:v>
                </c:pt>
                <c:pt idx="64">
                  <c:v>3.5</c:v>
                </c:pt>
                <c:pt idx="67">
                  <c:v>4.7600000000000007</c:v>
                </c:pt>
                <c:pt idx="68">
                  <c:v>3.3166666666666664</c:v>
                </c:pt>
                <c:pt idx="69">
                  <c:v>4.83</c:v>
                </c:pt>
                <c:pt idx="70">
                  <c:v>3.0725000000000002</c:v>
                </c:pt>
                <c:pt idx="71">
                  <c:v>3.9987500000000002</c:v>
                </c:pt>
                <c:pt idx="72">
                  <c:v>3.28</c:v>
                </c:pt>
                <c:pt idx="73">
                  <c:v>6.33</c:v>
                </c:pt>
                <c:pt idx="75">
                  <c:v>3.7900000000000005</c:v>
                </c:pt>
                <c:pt idx="76">
                  <c:v>5.39</c:v>
                </c:pt>
                <c:pt idx="77">
                  <c:v>2.59</c:v>
                </c:pt>
                <c:pt idx="78">
                  <c:v>3.5564999999999998</c:v>
                </c:pt>
                <c:pt idx="79">
                  <c:v>3.5906250000000002</c:v>
                </c:pt>
                <c:pt idx="80">
                  <c:v>4.6218181818181812</c:v>
                </c:pt>
              </c:numCache>
            </c:numRef>
          </c:xVal>
          <c:yVal>
            <c:numRef>
              <c:f>'River loads'!$CF$4:$CF$84</c:f>
              <c:numCache>
                <c:formatCode>0.00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C-1944-907C-3934F9C0512A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EC-1944-907C-3934F9C0512A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EC-1944-907C-3934F9C0512A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EC-1944-907C-3934F9C0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63808"/>
        <c:axId val="111470080"/>
      </c:scatterChart>
      <c:valAx>
        <c:axId val="111463808"/>
        <c:scaling>
          <c:orientation val="minMax"/>
          <c:max val="5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gemessene NO3 Grundwasser</a:t>
                </a:r>
                <a:r>
                  <a:rPr lang="de-DE" baseline="0"/>
                  <a:t> Konzentrationen </a:t>
                </a:r>
                <a:r>
                  <a:rPr lang="de-DE"/>
                  <a:t>(mg/l)</a:t>
                </a:r>
              </a:p>
            </c:rich>
          </c:tx>
          <c:layout>
            <c:manualLayout>
              <c:xMode val="edge"/>
              <c:yMode val="edge"/>
              <c:x val="0.27810752688172025"/>
              <c:y val="0.897694117647059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470080"/>
        <c:crossesAt val="0"/>
        <c:crossBetween val="midCat"/>
        <c:majorUnit val="10"/>
      </c:valAx>
      <c:valAx>
        <c:axId val="111470080"/>
        <c:scaling>
          <c:orientation val="minMax"/>
          <c:max val="5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modellierte NO3</a:t>
                </a:r>
                <a:r>
                  <a:rPr lang="de-DE" baseline="0"/>
                  <a:t> Grundwasser Konzentrationen</a:t>
                </a:r>
                <a:r>
                  <a:rPr lang="de-DE"/>
                  <a:t> (mg/l)</a:t>
                </a:r>
              </a:p>
            </c:rich>
          </c:tx>
          <c:layout>
            <c:manualLayout>
              <c:xMode val="edge"/>
              <c:yMode val="edge"/>
              <c:x val="1.0172889679112703E-2"/>
              <c:y val="0.1149354330708661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463808"/>
        <c:crossesAt val="0"/>
        <c:crossBetween val="midCat"/>
        <c:majorUnit val="1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6968503937008"/>
          <c:y val="5.1400554097404488E-2"/>
          <c:w val="0.81214260717410358"/>
          <c:h val="0.77845789976601854"/>
        </c:manualLayout>
      </c:layout>
      <c:scatterChart>
        <c:scatterStyle val="smoothMarker"/>
        <c:varyColors val="0"/>
        <c:ser>
          <c:idx val="0"/>
          <c:order val="0"/>
          <c:tx>
            <c:v>modellierte Werte</c:v>
          </c:tx>
          <c:spPr>
            <a:ln w="41275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'Graphs c de'!$G$4:$G$24</c:f>
              <c:numCache>
                <c:formatCode>0,000</c:formatCode>
                <c:ptCount val="21"/>
                <c:pt idx="0">
                  <c:v>5.8063311556562171E-2</c:v>
                </c:pt>
                <c:pt idx="1">
                  <c:v>0.14901672646879083</c:v>
                </c:pt>
                <c:pt idx="2">
                  <c:v>0.23378454462525503</c:v>
                </c:pt>
                <c:pt idx="3">
                  <c:v>0.26637072177673132</c:v>
                </c:pt>
                <c:pt idx="4">
                  <c:v>0.3549534624867477</c:v>
                </c:pt>
                <c:pt idx="5">
                  <c:v>0.39508146027520286</c:v>
                </c:pt>
                <c:pt idx="6">
                  <c:v>0.42171675396024755</c:v>
                </c:pt>
                <c:pt idx="7">
                  <c:v>0.49604524741154038</c:v>
                </c:pt>
                <c:pt idx="8">
                  <c:v>0.55377634525957375</c:v>
                </c:pt>
                <c:pt idx="9">
                  <c:v>0.65693422692190084</c:v>
                </c:pt>
                <c:pt idx="10">
                  <c:v>0.79405798334767108</c:v>
                </c:pt>
                <c:pt idx="11">
                  <c:v>0.83393659271101317</c:v>
                </c:pt>
                <c:pt idx="12">
                  <c:v>0.94696492601064519</c:v>
                </c:pt>
                <c:pt idx="13">
                  <c:v>1.0552723481737289</c:v>
                </c:pt>
                <c:pt idx="14">
                  <c:v>1.1688935306479349</c:v>
                </c:pt>
                <c:pt idx="15">
                  <c:v>1.3444671298883326</c:v>
                </c:pt>
                <c:pt idx="16">
                  <c:v>1.783821379781809</c:v>
                </c:pt>
                <c:pt idx="17">
                  <c:v>2.4184051180840647</c:v>
                </c:pt>
                <c:pt idx="18">
                  <c:v>2.5683196844431246</c:v>
                </c:pt>
                <c:pt idx="19">
                  <c:v>2.8066278052982288</c:v>
                </c:pt>
                <c:pt idx="20">
                  <c:v>3.1207017346553649</c:v>
                </c:pt>
              </c:numCache>
            </c:numRef>
          </c:xVal>
          <c:yVal>
            <c:numRef>
              <c:f>'Graphs c de'!$B$4:$B$24</c:f>
              <c:numCache>
                <c:formatCode>General</c:formatCode>
                <c:ptCount val="2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0.60000000000000009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0.45000000000000007</c:v>
                </c:pt>
                <c:pt idx="12">
                  <c:v>0.4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0.24999999999999989</c:v>
                </c:pt>
                <c:pt idx="16">
                  <c:v>0.19999999999999984</c:v>
                </c:pt>
                <c:pt idx="17">
                  <c:v>0.1499999999999998</c:v>
                </c:pt>
                <c:pt idx="18">
                  <c:v>9.9999999999999756E-2</c:v>
                </c:pt>
                <c:pt idx="19">
                  <c:v>4.9999999999999711E-2</c:v>
                </c:pt>
                <c:pt idx="20">
                  <c:v>1.0000000000000009E-2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9-3843-B0C0-50C10F9BDB00}"/>
            </c:ext>
          </c:extLst>
        </c:ser>
        <c:ser>
          <c:idx val="1"/>
          <c:order val="1"/>
          <c:tx>
            <c:v>gemessene Werte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'Graphs c de'!$H$4:$H$24</c:f>
              <c:numCache>
                <c:formatCode>0,000</c:formatCode>
                <c:ptCount val="21"/>
                <c:pt idx="0">
                  <c:v>0.16249999999999998</c:v>
                </c:pt>
                <c:pt idx="1">
                  <c:v>0.20572500000000002</c:v>
                </c:pt>
                <c:pt idx="2">
                  <c:v>0.3468</c:v>
                </c:pt>
                <c:pt idx="3">
                  <c:v>0.42435</c:v>
                </c:pt>
                <c:pt idx="4">
                  <c:v>0.47200000000000003</c:v>
                </c:pt>
                <c:pt idx="5">
                  <c:v>0.58462499999999995</c:v>
                </c:pt>
                <c:pt idx="6">
                  <c:v>0.7962499999999999</c:v>
                </c:pt>
                <c:pt idx="7">
                  <c:v>1.0067999999999999</c:v>
                </c:pt>
                <c:pt idx="8">
                  <c:v>1.1112</c:v>
                </c:pt>
                <c:pt idx="9">
                  <c:v>1.2246999999999999</c:v>
                </c:pt>
                <c:pt idx="10">
                  <c:v>1.2589999999999999</c:v>
                </c:pt>
                <c:pt idx="11">
                  <c:v>1.3939999999999997</c:v>
                </c:pt>
                <c:pt idx="12">
                  <c:v>1.4879999999999998</c:v>
                </c:pt>
                <c:pt idx="13">
                  <c:v>1.5169999999999999</c:v>
                </c:pt>
                <c:pt idx="14">
                  <c:v>2.6</c:v>
                </c:pt>
                <c:pt idx="15">
                  <c:v>2.6</c:v>
                </c:pt>
                <c:pt idx="16">
                  <c:v>2.8559999999999999</c:v>
                </c:pt>
                <c:pt idx="17">
                  <c:v>3.1300000000000008</c:v>
                </c:pt>
                <c:pt idx="18">
                  <c:v>3.2580000000000031</c:v>
                </c:pt>
                <c:pt idx="19">
                  <c:v>3.8200000000000029</c:v>
                </c:pt>
                <c:pt idx="20">
                  <c:v>4.5822000000000003</c:v>
                </c:pt>
              </c:numCache>
            </c:numRef>
          </c:xVal>
          <c:yVal>
            <c:numRef>
              <c:f>'Graphs c de'!$B$4:$B$24</c:f>
              <c:numCache>
                <c:formatCode>General</c:formatCode>
                <c:ptCount val="2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0.60000000000000009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0.45000000000000007</c:v>
                </c:pt>
                <c:pt idx="12">
                  <c:v>0.4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0.24999999999999989</c:v>
                </c:pt>
                <c:pt idx="16">
                  <c:v>0.19999999999999984</c:v>
                </c:pt>
                <c:pt idx="17">
                  <c:v>0.1499999999999998</c:v>
                </c:pt>
                <c:pt idx="18">
                  <c:v>9.9999999999999756E-2</c:v>
                </c:pt>
                <c:pt idx="19">
                  <c:v>4.9999999999999711E-2</c:v>
                </c:pt>
                <c:pt idx="20">
                  <c:v>1.0000000000000009E-2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9-3843-B0C0-50C10F9BD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92704"/>
        <c:axId val="110794624"/>
      </c:scatterChart>
      <c:valAx>
        <c:axId val="110792704"/>
        <c:scaling>
          <c:orientation val="minMax"/>
          <c:max val="3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Verhältnis Messwert zu typenspezifischem Richtwert, PO4-P als C-90% (-)</a:t>
                </a:r>
              </a:p>
            </c:rich>
          </c:tx>
          <c:overlay val="0"/>
        </c:title>
        <c:numFmt formatCode="0.0" sourceLinked="0"/>
        <c:majorTickMark val="out"/>
        <c:minorTickMark val="in"/>
        <c:tickLblPos val="nextTo"/>
        <c:crossAx val="110794624"/>
        <c:crosses val="autoZero"/>
        <c:crossBetween val="midCat"/>
        <c:majorUnit val="0.5"/>
        <c:minorUnit val="0.1"/>
      </c:valAx>
      <c:valAx>
        <c:axId val="110794624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Überschreitungshäufigkeit (-)</a:t>
                </a:r>
              </a:p>
            </c:rich>
          </c:tx>
          <c:layout>
            <c:manualLayout>
              <c:xMode val="edge"/>
              <c:yMode val="edge"/>
              <c:x val="0"/>
              <c:y val="0.1737410921092276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0792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713801399825021"/>
          <c:y val="0.17076307763784829"/>
          <c:w val="0.4133479877515312"/>
          <c:h val="0.1149489781362041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8740157499999996" l="0.70000000000000029" r="0.70000000000000029" t="0.78740157499999996" header="0.30000000000000016" footer="0.30000000000000016"/>
    <c:pageSetup/>
  </c:printSettings>
  <c:userShapes r:id="rId1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loads'!$BT$4:$BT$84</c:f>
              <c:numCache>
                <c:formatCode>0.00</c:formatCode>
                <c:ptCount val="81"/>
                <c:pt idx="4">
                  <c:v>0.79999999999999993</c:v>
                </c:pt>
                <c:pt idx="6">
                  <c:v>1.224</c:v>
                </c:pt>
                <c:pt idx="8">
                  <c:v>4</c:v>
                </c:pt>
                <c:pt idx="9">
                  <c:v>3.5999999999999996</c:v>
                </c:pt>
                <c:pt idx="10">
                  <c:v>4.8199999999999994</c:v>
                </c:pt>
                <c:pt idx="11">
                  <c:v>2.9999999999999996</c:v>
                </c:pt>
                <c:pt idx="12">
                  <c:v>2.8199999999999994</c:v>
                </c:pt>
                <c:pt idx="13">
                  <c:v>0.42500000000000004</c:v>
                </c:pt>
                <c:pt idx="18">
                  <c:v>0.48374999999999996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3.2199999999999998</c:v>
                </c:pt>
                <c:pt idx="23">
                  <c:v>0.99599999999999989</c:v>
                </c:pt>
                <c:pt idx="24">
                  <c:v>1.1399999999999999</c:v>
                </c:pt>
                <c:pt idx="33">
                  <c:v>0.35999999999999993</c:v>
                </c:pt>
                <c:pt idx="36">
                  <c:v>1.4799999999999998</c:v>
                </c:pt>
                <c:pt idx="37">
                  <c:v>1.5199999999999998</c:v>
                </c:pt>
                <c:pt idx="38">
                  <c:v>1.28</c:v>
                </c:pt>
                <c:pt idx="40">
                  <c:v>1.4000000000000001</c:v>
                </c:pt>
                <c:pt idx="41">
                  <c:v>1.4999999999999998</c:v>
                </c:pt>
                <c:pt idx="42">
                  <c:v>3.1999999999999997</c:v>
                </c:pt>
                <c:pt idx="48">
                  <c:v>0.78749999999999998</c:v>
                </c:pt>
                <c:pt idx="49">
                  <c:v>1.0680000000000001</c:v>
                </c:pt>
                <c:pt idx="50">
                  <c:v>0.22800000000000001</c:v>
                </c:pt>
                <c:pt idx="51">
                  <c:v>1.2379999999999998</c:v>
                </c:pt>
                <c:pt idx="53">
                  <c:v>0.1875</c:v>
                </c:pt>
                <c:pt idx="58">
                  <c:v>0.16249999999999998</c:v>
                </c:pt>
                <c:pt idx="60">
                  <c:v>0.51700000000000002</c:v>
                </c:pt>
                <c:pt idx="62">
                  <c:v>0.42399999999999999</c:v>
                </c:pt>
              </c:numCache>
            </c:numRef>
          </c:xVal>
          <c:yVal>
            <c:numRef>
              <c:f>'River loads'!$BS$4:$BS$84</c:f>
              <c:numCache>
                <c:formatCode>0.00</c:formatCode>
                <c:ptCount val="81"/>
                <c:pt idx="0">
                  <c:v>0.86683706748687539</c:v>
                </c:pt>
                <c:pt idx="1">
                  <c:v>1.7294372942359577</c:v>
                </c:pt>
                <c:pt idx="2">
                  <c:v>1.1886058538385231</c:v>
                </c:pt>
                <c:pt idx="3">
                  <c:v>0.40458902730604573</c:v>
                </c:pt>
                <c:pt idx="4">
                  <c:v>0.79405798334767164</c:v>
                </c:pt>
                <c:pt idx="5">
                  <c:v>0.65693422692190084</c:v>
                </c:pt>
                <c:pt idx="6">
                  <c:v>1.9367123292148718</c:v>
                </c:pt>
                <c:pt idx="7">
                  <c:v>2.8066278052982279</c:v>
                </c:pt>
                <c:pt idx="8">
                  <c:v>2.6630417324755422</c:v>
                </c:pt>
                <c:pt idx="9">
                  <c:v>2.7432421433121101</c:v>
                </c:pt>
                <c:pt idx="10">
                  <c:v>2.3884871345635577</c:v>
                </c:pt>
                <c:pt idx="11">
                  <c:v>2.4800266930948007</c:v>
                </c:pt>
                <c:pt idx="12">
                  <c:v>2.5683196844431233</c:v>
                </c:pt>
                <c:pt idx="13">
                  <c:v>1.0966041071425288</c:v>
                </c:pt>
                <c:pt idx="14">
                  <c:v>0.392904231876675</c:v>
                </c:pt>
                <c:pt idx="15">
                  <c:v>0.52094277514048604</c:v>
                </c:pt>
                <c:pt idx="16">
                  <c:v>0.24004420887164515</c:v>
                </c:pt>
                <c:pt idx="17">
                  <c:v>0.36151946971670695</c:v>
                </c:pt>
                <c:pt idx="18">
                  <c:v>0.25268081290609673</c:v>
                </c:pt>
                <c:pt idx="19">
                  <c:v>2.6776661556143888</c:v>
                </c:pt>
                <c:pt idx="20">
                  <c:v>2.4184051180840638</c:v>
                </c:pt>
                <c:pt idx="21">
                  <c:v>3.0533924884052435</c:v>
                </c:pt>
                <c:pt idx="22">
                  <c:v>2.8311117413984275</c:v>
                </c:pt>
                <c:pt idx="23">
                  <c:v>0.680434774877125</c:v>
                </c:pt>
                <c:pt idx="24">
                  <c:v>1.0282690276200075</c:v>
                </c:pt>
                <c:pt idx="25">
                  <c:v>1.5178018711815724</c:v>
                </c:pt>
                <c:pt idx="26">
                  <c:v>0.53102248053011358</c:v>
                </c:pt>
                <c:pt idx="27">
                  <c:v>0.29593851644353925</c:v>
                </c:pt>
                <c:pt idx="28">
                  <c:v>0.22719615383206596</c:v>
                </c:pt>
                <c:pt idx="29">
                  <c:v>0.54455503784570825</c:v>
                </c:pt>
                <c:pt idx="30">
                  <c:v>0.55377634525957375</c:v>
                </c:pt>
                <c:pt idx="31">
                  <c:v>0.81933455581406445</c:v>
                </c:pt>
                <c:pt idx="32">
                  <c:v>0.14901672646879083</c:v>
                </c:pt>
                <c:pt idx="33">
                  <c:v>0.64584784088230551</c:v>
                </c:pt>
                <c:pt idx="34">
                  <c:v>0.16706448103028274</c:v>
                </c:pt>
                <c:pt idx="35">
                  <c:v>0.39508146027520286</c:v>
                </c:pt>
                <c:pt idx="36">
                  <c:v>2.1125869439417646</c:v>
                </c:pt>
                <c:pt idx="37">
                  <c:v>2.5384390734848039</c:v>
                </c:pt>
                <c:pt idx="38">
                  <c:v>3.3899387196558455</c:v>
                </c:pt>
                <c:pt idx="39">
                  <c:v>2.9207642269321523</c:v>
                </c:pt>
                <c:pt idx="40">
                  <c:v>1.2057728990031131</c:v>
                </c:pt>
                <c:pt idx="41">
                  <c:v>1.3444671298883322</c:v>
                </c:pt>
                <c:pt idx="42">
                  <c:v>2.4920992721403699</c:v>
                </c:pt>
                <c:pt idx="43">
                  <c:v>0.28478636466830826</c:v>
                </c:pt>
                <c:pt idx="44">
                  <c:v>0.49604524741154038</c:v>
                </c:pt>
                <c:pt idx="45">
                  <c:v>0.26634477957014185</c:v>
                </c:pt>
                <c:pt idx="46">
                  <c:v>0.42171675396024755</c:v>
                </c:pt>
                <c:pt idx="47">
                  <c:v>0.26637072177673132</c:v>
                </c:pt>
                <c:pt idx="48">
                  <c:v>0.64327858919094116</c:v>
                </c:pt>
                <c:pt idx="49">
                  <c:v>1.0864720537501533</c:v>
                </c:pt>
                <c:pt idx="50">
                  <c:v>0.40220296257208143</c:v>
                </c:pt>
                <c:pt idx="51">
                  <c:v>1.4170413457801301</c:v>
                </c:pt>
                <c:pt idx="52">
                  <c:v>1.2327569690086386</c:v>
                </c:pt>
                <c:pt idx="53">
                  <c:v>0.3549534624867477</c:v>
                </c:pt>
                <c:pt idx="54">
                  <c:v>0.96404861882240478</c:v>
                </c:pt>
                <c:pt idx="55">
                  <c:v>0.80703706927145125</c:v>
                </c:pt>
                <c:pt idx="56">
                  <c:v>0.48991273928146734</c:v>
                </c:pt>
                <c:pt idx="57">
                  <c:v>0.18549433373287599</c:v>
                </c:pt>
                <c:pt idx="58">
                  <c:v>0.43905719937408699</c:v>
                </c:pt>
                <c:pt idx="59">
                  <c:v>0.23378454462525503</c:v>
                </c:pt>
                <c:pt idx="60">
                  <c:v>0.83393659271101317</c:v>
                </c:pt>
                <c:pt idx="61">
                  <c:v>0.70697413686187327</c:v>
                </c:pt>
                <c:pt idx="62">
                  <c:v>0.57642571288829803</c:v>
                </c:pt>
                <c:pt idx="63">
                  <c:v>0.39781367369728249</c:v>
                </c:pt>
                <c:pt idx="64">
                  <c:v>1.1688935306479347</c:v>
                </c:pt>
                <c:pt idx="65">
                  <c:v>0.83449051511604111</c:v>
                </c:pt>
                <c:pt idx="66">
                  <c:v>0.72338290208044131</c:v>
                </c:pt>
                <c:pt idx="67">
                  <c:v>1.7838213797818068</c:v>
                </c:pt>
                <c:pt idx="68">
                  <c:v>1.1445697811298261</c:v>
                </c:pt>
                <c:pt idx="69">
                  <c:v>0.83009002924538788</c:v>
                </c:pt>
                <c:pt idx="70">
                  <c:v>0.48213412978313819</c:v>
                </c:pt>
                <c:pt idx="71">
                  <c:v>0.95358829055630412</c:v>
                </c:pt>
                <c:pt idx="72">
                  <c:v>0.2739294675704349</c:v>
                </c:pt>
                <c:pt idx="73">
                  <c:v>0.13300937697700355</c:v>
                </c:pt>
                <c:pt idx="74">
                  <c:v>5.8063311556562171E-2</c:v>
                </c:pt>
                <c:pt idx="75">
                  <c:v>6.8953431093625409E-2</c:v>
                </c:pt>
                <c:pt idx="76">
                  <c:v>0.1279769292164569</c:v>
                </c:pt>
                <c:pt idx="77">
                  <c:v>1.0552723481737289</c:v>
                </c:pt>
                <c:pt idx="78">
                  <c:v>0.91496030785471649</c:v>
                </c:pt>
                <c:pt idx="79">
                  <c:v>0.94696492601064519</c:v>
                </c:pt>
                <c:pt idx="80">
                  <c:v>0.3896631902375941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7-4D4B-8E19-2351788CA4CC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57-4D4B-8E19-2351788CA4CC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57-4D4B-8E19-2351788CA4CC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57-4D4B-8E19-2351788CA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89696"/>
        <c:axId val="110991616"/>
      </c:scatterChart>
      <c:valAx>
        <c:axId val="110989696"/>
        <c:scaling>
          <c:orientation val="minMax"/>
          <c:max val="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Verhältnis Messwert zu typenspezifischem</a:t>
                </a:r>
                <a:r>
                  <a:rPr lang="de-DE" baseline="0"/>
                  <a:t> Richtwert, </a:t>
                </a:r>
                <a:r>
                  <a:rPr lang="de-DE"/>
                  <a:t>PO4-P als C-90% (-)</a:t>
                </a:r>
              </a:p>
            </c:rich>
          </c:tx>
          <c:layout>
            <c:manualLayout>
              <c:xMode val="edge"/>
              <c:yMode val="edge"/>
              <c:x val="0.18513272937656985"/>
              <c:y val="0.9139374401729195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91616"/>
        <c:crossesAt val="0"/>
        <c:crossBetween val="midCat"/>
        <c:majorUnit val="1"/>
      </c:valAx>
      <c:valAx>
        <c:axId val="110991616"/>
        <c:scaling>
          <c:orientation val="minMax"/>
          <c:max val="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Verhältnis modellierter Wert</a:t>
                </a:r>
                <a:r>
                  <a:rPr lang="de-DE" baseline="0"/>
                  <a:t> zu typenspezi-fischem Richt wert, </a:t>
                </a:r>
                <a:r>
                  <a:rPr lang="de-DE"/>
                  <a:t>PO4-P als C-90%</a:t>
                </a:r>
                <a:r>
                  <a:rPr lang="de-DE" baseline="0"/>
                  <a:t> (-</a:t>
                </a:r>
                <a:r>
                  <a:rPr lang="de-DE"/>
                  <a:t>)</a:t>
                </a:r>
              </a:p>
            </c:rich>
          </c:tx>
          <c:layout>
            <c:manualLayout>
              <c:xMode val="edge"/>
              <c:yMode val="edge"/>
              <c:x val="1.5707391414782866E-3"/>
              <c:y val="6.78766095414544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89696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14129483814531"/>
          <c:y val="5.1400554097404488E-2"/>
          <c:w val="0.79269816272965854"/>
          <c:h val="0.78164388104699878"/>
        </c:manualLayout>
      </c:layout>
      <c:scatterChart>
        <c:scatterStyle val="smoothMarker"/>
        <c:varyColors val="0"/>
        <c:ser>
          <c:idx val="0"/>
          <c:order val="0"/>
          <c:tx>
            <c:v>modellierte Werte</c:v>
          </c:tx>
          <c:spPr>
            <a:ln w="444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'Graphs c de'!$G$57:$G$77</c:f>
              <c:numCache>
                <c:formatCode>0,000</c:formatCode>
                <c:ptCount val="21"/>
                <c:pt idx="0">
                  <c:v>9.8999097718286203E-2</c:v>
                </c:pt>
                <c:pt idx="1">
                  <c:v>0.14844742852779111</c:v>
                </c:pt>
                <c:pt idx="2">
                  <c:v>0.16620252743801736</c:v>
                </c:pt>
                <c:pt idx="3">
                  <c:v>0.18954012721865762</c:v>
                </c:pt>
                <c:pt idx="4">
                  <c:v>0.20024147723363528</c:v>
                </c:pt>
                <c:pt idx="5">
                  <c:v>0.21701841968123986</c:v>
                </c:pt>
                <c:pt idx="6">
                  <c:v>0.27924781433198687</c:v>
                </c:pt>
                <c:pt idx="7">
                  <c:v>0.32706287932571909</c:v>
                </c:pt>
                <c:pt idx="8">
                  <c:v>0.35389787460447009</c:v>
                </c:pt>
                <c:pt idx="9">
                  <c:v>0.37478112180947754</c:v>
                </c:pt>
                <c:pt idx="10">
                  <c:v>0.45810788080566889</c:v>
                </c:pt>
                <c:pt idx="11">
                  <c:v>0.50164273122759406</c:v>
                </c:pt>
                <c:pt idx="12">
                  <c:v>0.55440324600406898</c:v>
                </c:pt>
                <c:pt idx="13">
                  <c:v>0.63309073399650484</c:v>
                </c:pt>
                <c:pt idx="14">
                  <c:v>0.66153730142082345</c:v>
                </c:pt>
                <c:pt idx="15">
                  <c:v>0.70386471302962383</c:v>
                </c:pt>
                <c:pt idx="16">
                  <c:v>0.84039911956226709</c:v>
                </c:pt>
                <c:pt idx="17">
                  <c:v>0.93427551364413408</c:v>
                </c:pt>
                <c:pt idx="18">
                  <c:v>0.99309213239475624</c:v>
                </c:pt>
                <c:pt idx="19">
                  <c:v>1.1045112323914283</c:v>
                </c:pt>
                <c:pt idx="20">
                  <c:v>1.2782539608591472</c:v>
                </c:pt>
              </c:numCache>
            </c:numRef>
          </c:xVal>
          <c:yVal>
            <c:numRef>
              <c:f>'Graphs c de'!$B$57:$B$77</c:f>
              <c:numCache>
                <c:formatCode>General</c:formatCode>
                <c:ptCount val="2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0.60000000000000009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0.45000000000000007</c:v>
                </c:pt>
                <c:pt idx="12">
                  <c:v>0.4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0.24999999999999989</c:v>
                </c:pt>
                <c:pt idx="16">
                  <c:v>0.19999999999999984</c:v>
                </c:pt>
                <c:pt idx="17">
                  <c:v>0.1499999999999998</c:v>
                </c:pt>
                <c:pt idx="18">
                  <c:v>9.9999999999999756E-2</c:v>
                </c:pt>
                <c:pt idx="19">
                  <c:v>4.9999999999999711E-2</c:v>
                </c:pt>
                <c:pt idx="20">
                  <c:v>1.0000000000000009E-2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9D-064F-ABC9-A4150A3B5B9D}"/>
            </c:ext>
          </c:extLst>
        </c:ser>
        <c:ser>
          <c:idx val="1"/>
          <c:order val="1"/>
          <c:tx>
            <c:v>gemessene Werte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'Graphs c de'!$H$57:$H$77</c:f>
              <c:numCache>
                <c:formatCode>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'Graphs c de'!$B$57:$B$77</c:f>
              <c:numCache>
                <c:formatCode>General</c:formatCode>
                <c:ptCount val="2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0.60000000000000009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0.45000000000000007</c:v>
                </c:pt>
                <c:pt idx="12">
                  <c:v>0.4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0.24999999999999989</c:v>
                </c:pt>
                <c:pt idx="16">
                  <c:v>0.19999999999999984</c:v>
                </c:pt>
                <c:pt idx="17">
                  <c:v>0.1499999999999998</c:v>
                </c:pt>
                <c:pt idx="18">
                  <c:v>9.9999999999999756E-2</c:v>
                </c:pt>
                <c:pt idx="19">
                  <c:v>4.9999999999999711E-2</c:v>
                </c:pt>
                <c:pt idx="20">
                  <c:v>1.0000000000000009E-2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9D-064F-ABC9-A4150A3B5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12992"/>
        <c:axId val="111814912"/>
      </c:scatterChart>
      <c:valAx>
        <c:axId val="111812992"/>
        <c:scaling>
          <c:orientation val="minMax"/>
          <c:max val="1.5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Verhältnis Messwert DIN zu typenspezifischem Richtwert NO3-N als C-90% (-)</a:t>
                </a:r>
              </a:p>
            </c:rich>
          </c:tx>
          <c:overlay val="0"/>
        </c:title>
        <c:numFmt formatCode="0.0" sourceLinked="0"/>
        <c:majorTickMark val="out"/>
        <c:minorTickMark val="in"/>
        <c:tickLblPos val="nextTo"/>
        <c:crossAx val="111814912"/>
        <c:crosses val="autoZero"/>
        <c:crossBetween val="midCat"/>
        <c:majorUnit val="0.5"/>
        <c:minorUnit val="0.1"/>
      </c:valAx>
      <c:valAx>
        <c:axId val="111814912"/>
        <c:scaling>
          <c:orientation val="minMax"/>
          <c:max val="1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Überschreitungshäufigkeit (-)</a:t>
                </a:r>
              </a:p>
            </c:rich>
          </c:tx>
          <c:layout>
            <c:manualLayout>
              <c:xMode val="edge"/>
              <c:yMode val="edge"/>
              <c:x val="2.7777777777777822E-3"/>
              <c:y val="0.2438328038525049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812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713801399825032"/>
          <c:y val="7.1997657927461531E-2"/>
          <c:w val="0.38834798775153118"/>
          <c:h val="0.14043680054226926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8740157499999996" l="0.70000000000000029" r="0.70000000000000029" t="0.78740157499999996" header="0.30000000000000016" footer="0.30000000000000016"/>
    <c:pageSetup/>
  </c:printSettings>
  <c:userShapes r:id="rId1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5667315779086"/>
          <c:y val="6.1033003761837408E-2"/>
          <c:w val="0.74942116106454471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loads'!$BX$4:$BX$84</c:f>
              <c:numCache>
                <c:formatCode>0,000</c:formatCode>
                <c:ptCount val="81"/>
                <c:pt idx="4">
                  <c:v>1.7702222222222199</c:v>
                </c:pt>
                <c:pt idx="6">
                  <c:v>2.9039767676767698</c:v>
                </c:pt>
                <c:pt idx="8">
                  <c:v>2.3237448979591799</c:v>
                </c:pt>
                <c:pt idx="9">
                  <c:v>2.4810642857142899</c:v>
                </c:pt>
                <c:pt idx="10">
                  <c:v>2.1632099999999999</c:v>
                </c:pt>
                <c:pt idx="11">
                  <c:v>3.1379779999999999</c:v>
                </c:pt>
                <c:pt idx="12">
                  <c:v>3.0674519999999998</c:v>
                </c:pt>
                <c:pt idx="13">
                  <c:v>1.22843790419162</c:v>
                </c:pt>
                <c:pt idx="18">
                  <c:v>1.44871490384615</c:v>
                </c:pt>
                <c:pt idx="19">
                  <c:v>3.1361500000000002</c:v>
                </c:pt>
                <c:pt idx="20">
                  <c:v>2.9688919999999999</c:v>
                </c:pt>
                <c:pt idx="21">
                  <c:v>1.908971</c:v>
                </c:pt>
                <c:pt idx="22">
                  <c:v>2.47133</c:v>
                </c:pt>
                <c:pt idx="23">
                  <c:v>2.4811322580645201</c:v>
                </c:pt>
                <c:pt idx="24">
                  <c:v>2.28250736842105</c:v>
                </c:pt>
                <c:pt idx="32">
                  <c:v>0.70625576923076905</c:v>
                </c:pt>
                <c:pt idx="33">
                  <c:v>1.46291538461538</c:v>
                </c:pt>
                <c:pt idx="34">
                  <c:v>0.94657403846153898</c:v>
                </c:pt>
                <c:pt idx="35">
                  <c:v>1.3721155339805799</c:v>
                </c:pt>
                <c:pt idx="36">
                  <c:v>2.5985544554455502</c:v>
                </c:pt>
                <c:pt idx="37">
                  <c:v>4.0057366336633704</c:v>
                </c:pt>
                <c:pt idx="38">
                  <c:v>6.4264336633663302</c:v>
                </c:pt>
                <c:pt idx="40">
                  <c:v>3.7739623762376202</c:v>
                </c:pt>
                <c:pt idx="41">
                  <c:v>3.8249247524752499</c:v>
                </c:pt>
                <c:pt idx="42">
                  <c:v>3.8227069306930699</c:v>
                </c:pt>
                <c:pt idx="47">
                  <c:v>0.96720679611650495</c:v>
                </c:pt>
                <c:pt idx="48">
                  <c:v>3.28247961165048</c:v>
                </c:pt>
                <c:pt idx="49">
                  <c:v>3.36867961165049</c:v>
                </c:pt>
                <c:pt idx="50">
                  <c:v>1.64063932038835</c:v>
                </c:pt>
                <c:pt idx="51">
                  <c:v>2.5323215686274501</c:v>
                </c:pt>
                <c:pt idx="53">
                  <c:v>1.55391683168317</c:v>
                </c:pt>
                <c:pt idx="57">
                  <c:v>0.64212187500000095</c:v>
                </c:pt>
                <c:pt idx="58">
                  <c:v>1.60655833333333</c:v>
                </c:pt>
                <c:pt idx="59">
                  <c:v>0.85183980582524299</c:v>
                </c:pt>
                <c:pt idx="60">
                  <c:v>2.2202964285714302</c:v>
                </c:pt>
                <c:pt idx="62">
                  <c:v>2.4044693452381001</c:v>
                </c:pt>
                <c:pt idx="77">
                  <c:v>0.51242475728155301</c:v>
                </c:pt>
              </c:numCache>
            </c:numRef>
          </c:xVal>
          <c:yVal>
            <c:numRef>
              <c:f>'River loads'!$BW$4:$BW$84</c:f>
              <c:numCache>
                <c:formatCode>0,000</c:formatCode>
                <c:ptCount val="81"/>
                <c:pt idx="0">
                  <c:v>1.9724894114652691</c:v>
                </c:pt>
                <c:pt idx="1">
                  <c:v>1.4419610328235679</c:v>
                </c:pt>
                <c:pt idx="2">
                  <c:v>1.8361920490196721</c:v>
                </c:pt>
                <c:pt idx="3">
                  <c:v>1.5022418610239929</c:v>
                </c:pt>
                <c:pt idx="4">
                  <c:v>1.4948946373261036</c:v>
                </c:pt>
                <c:pt idx="5">
                  <c:v>2.0171874472883862</c:v>
                </c:pt>
                <c:pt idx="6">
                  <c:v>2.5104786968023642</c:v>
                </c:pt>
                <c:pt idx="7">
                  <c:v>3.2893690675666201</c:v>
                </c:pt>
                <c:pt idx="8">
                  <c:v>2.9406127599309033</c:v>
                </c:pt>
                <c:pt idx="9">
                  <c:v>2.9936462573384737</c:v>
                </c:pt>
                <c:pt idx="10">
                  <c:v>2.7927748594290365</c:v>
                </c:pt>
                <c:pt idx="11">
                  <c:v>2.8310637515064339</c:v>
                </c:pt>
                <c:pt idx="12">
                  <c:v>2.7537472322256078</c:v>
                </c:pt>
                <c:pt idx="13">
                  <c:v>2.1444513834569392</c:v>
                </c:pt>
                <c:pt idx="14">
                  <c:v>2.0391967065540539</c:v>
                </c:pt>
                <c:pt idx="15">
                  <c:v>1.4733352906900019</c:v>
                </c:pt>
                <c:pt idx="16">
                  <c:v>1.5175308694385281</c:v>
                </c:pt>
                <c:pt idx="17">
                  <c:v>1.4370458287534633</c:v>
                </c:pt>
                <c:pt idx="18">
                  <c:v>1.3753167896273519</c:v>
                </c:pt>
                <c:pt idx="19">
                  <c:v>3.3117516837843688</c:v>
                </c:pt>
                <c:pt idx="20">
                  <c:v>2.9392876998778723</c:v>
                </c:pt>
                <c:pt idx="21">
                  <c:v>3.0870432714771114</c:v>
                </c:pt>
                <c:pt idx="22">
                  <c:v>2.6514545814367958</c:v>
                </c:pt>
                <c:pt idx="23">
                  <c:v>1.3559993271847806</c:v>
                </c:pt>
                <c:pt idx="24">
                  <c:v>1.8209924281757959</c:v>
                </c:pt>
                <c:pt idx="25">
                  <c:v>2.0186129017405721</c:v>
                </c:pt>
                <c:pt idx="26">
                  <c:v>0.45896018363408747</c:v>
                </c:pt>
                <c:pt idx="27">
                  <c:v>0.51281532618072256</c:v>
                </c:pt>
                <c:pt idx="28">
                  <c:v>0.99292814149876818</c:v>
                </c:pt>
                <c:pt idx="29">
                  <c:v>1.9169776035826684</c:v>
                </c:pt>
                <c:pt idx="30">
                  <c:v>1.936641913316189</c:v>
                </c:pt>
                <c:pt idx="31">
                  <c:v>2.0093007703844306</c:v>
                </c:pt>
                <c:pt idx="32">
                  <c:v>0.54797728507207832</c:v>
                </c:pt>
                <c:pt idx="33">
                  <c:v>1.2624053779914362</c:v>
                </c:pt>
                <c:pt idx="34">
                  <c:v>0.60845904795665762</c:v>
                </c:pt>
                <c:pt idx="35">
                  <c:v>0.92601025586051999</c:v>
                </c:pt>
                <c:pt idx="36">
                  <c:v>2.5011980440936754</c:v>
                </c:pt>
                <c:pt idx="37">
                  <c:v>3.2671292679132944</c:v>
                </c:pt>
                <c:pt idx="38">
                  <c:v>4.6238646559686334</c:v>
                </c:pt>
                <c:pt idx="39">
                  <c:v>3.5466429484999717</c:v>
                </c:pt>
                <c:pt idx="40">
                  <c:v>3.0142460915819331</c:v>
                </c:pt>
                <c:pt idx="41">
                  <c:v>2.9538660241678492</c:v>
                </c:pt>
                <c:pt idx="42">
                  <c:v>2.818753715060005</c:v>
                </c:pt>
                <c:pt idx="43">
                  <c:v>0.68738830906910087</c:v>
                </c:pt>
                <c:pt idx="44">
                  <c:v>0.80918996749854233</c:v>
                </c:pt>
                <c:pt idx="45">
                  <c:v>0.96996788634160191</c:v>
                </c:pt>
                <c:pt idx="46">
                  <c:v>0.58325002459189834</c:v>
                </c:pt>
                <c:pt idx="47">
                  <c:v>0.92661908386753999</c:v>
                </c:pt>
                <c:pt idx="48">
                  <c:v>2.4785036271114</c:v>
                </c:pt>
                <c:pt idx="49">
                  <c:v>2.4939789873660172</c:v>
                </c:pt>
                <c:pt idx="50">
                  <c:v>1.5066369262871828</c:v>
                </c:pt>
                <c:pt idx="51">
                  <c:v>1.922617417763743</c:v>
                </c:pt>
                <c:pt idx="52">
                  <c:v>1.6613917586774301</c:v>
                </c:pt>
                <c:pt idx="53">
                  <c:v>1.1605918783265363</c:v>
                </c:pt>
                <c:pt idx="54">
                  <c:v>1.5921559107181278</c:v>
                </c:pt>
                <c:pt idx="55">
                  <c:v>2.4354076929624142</c:v>
                </c:pt>
                <c:pt idx="56">
                  <c:v>1.8901299398910749</c:v>
                </c:pt>
                <c:pt idx="57">
                  <c:v>0.59084271792647969</c:v>
                </c:pt>
                <c:pt idx="58">
                  <c:v>1.1847938275115859</c:v>
                </c:pt>
                <c:pt idx="59">
                  <c:v>0.88625156188317633</c:v>
                </c:pt>
                <c:pt idx="60">
                  <c:v>2.041962494934336</c:v>
                </c:pt>
                <c:pt idx="61">
                  <c:v>1.8734991491935404</c:v>
                </c:pt>
                <c:pt idx="62">
                  <c:v>1.7042895982020347</c:v>
                </c:pt>
                <c:pt idx="63">
                  <c:v>1.3215107068558898</c:v>
                </c:pt>
                <c:pt idx="64">
                  <c:v>0.41140284325176629</c:v>
                </c:pt>
                <c:pt idx="65">
                  <c:v>0.4601223251543633</c:v>
                </c:pt>
                <c:pt idx="66">
                  <c:v>0.44396283930803404</c:v>
                </c:pt>
                <c:pt idx="67">
                  <c:v>0.94820944610177316</c:v>
                </c:pt>
                <c:pt idx="68">
                  <c:v>1.0571915877724458</c:v>
                </c:pt>
                <c:pt idx="69">
                  <c:v>0.51354865317414322</c:v>
                </c:pt>
                <c:pt idx="70">
                  <c:v>0.56424330409510559</c:v>
                </c:pt>
                <c:pt idx="71">
                  <c:v>0.68411705306112736</c:v>
                </c:pt>
                <c:pt idx="72">
                  <c:v>0.77045587182096376</c:v>
                </c:pt>
                <c:pt idx="73">
                  <c:v>1.1043684555442539</c:v>
                </c:pt>
                <c:pt idx="74">
                  <c:v>0.74240166363063598</c:v>
                </c:pt>
                <c:pt idx="75">
                  <c:v>0.77184508033378207</c:v>
                </c:pt>
                <c:pt idx="76">
                  <c:v>0.88027837432211598</c:v>
                </c:pt>
                <c:pt idx="77">
                  <c:v>0.59552342465633779</c:v>
                </c:pt>
                <c:pt idx="78">
                  <c:v>0.98445678559164584</c:v>
                </c:pt>
                <c:pt idx="79">
                  <c:v>0.84739485529392744</c:v>
                </c:pt>
                <c:pt idx="80">
                  <c:v>0.86845026528326053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4-E147-A349-7EF14A18EF45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64-E147-A349-7EF14A18EF45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64-E147-A349-7EF14A18EF45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64-E147-A349-7EF14A18E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50240"/>
        <c:axId val="111852160"/>
      </c:scatterChart>
      <c:valAx>
        <c:axId val="111850240"/>
        <c:scaling>
          <c:orientation val="minMax"/>
          <c:max val="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gemessene DIN Fließgewässer Konzentrationen  (mg/l)</a:t>
                </a:r>
              </a:p>
            </c:rich>
          </c:tx>
          <c:layout>
            <c:manualLayout>
              <c:xMode val="edge"/>
              <c:yMode val="edge"/>
              <c:x val="0.19981373296079935"/>
              <c:y val="0.9039686274509806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852160"/>
        <c:crossesAt val="0"/>
        <c:crossBetween val="midCat"/>
        <c:majorUnit val="1"/>
      </c:valAx>
      <c:valAx>
        <c:axId val="111852160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modellierte DIN Fließgewässer Konzentrationen (mg/l)</a:t>
                </a:r>
              </a:p>
            </c:rich>
          </c:tx>
          <c:layout>
            <c:manualLayout>
              <c:xMode val="edge"/>
              <c:yMode val="edge"/>
              <c:x val="4.438122654023091E-3"/>
              <c:y val="8.98373938551799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850240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'Graphs c de'!$AW$3:$AW$369</c:f>
              <c:numCache>
                <c:formatCode>0.00</c:formatCode>
                <c:ptCount val="367"/>
                <c:pt idx="0">
                  <c:v>0.86657641981662392</c:v>
                </c:pt>
                <c:pt idx="1">
                  <c:v>0.89149245172984504</c:v>
                </c:pt>
                <c:pt idx="2">
                  <c:v>0.77452582299720529</c:v>
                </c:pt>
                <c:pt idx="3">
                  <c:v>1.2296756708896259</c:v>
                </c:pt>
                <c:pt idx="4">
                  <c:v>0.68953585501427128</c:v>
                </c:pt>
                <c:pt idx="5">
                  <c:v>0.84723847454043699</c:v>
                </c:pt>
                <c:pt idx="6">
                  <c:v>0.92996617756942146</c:v>
                </c:pt>
                <c:pt idx="7">
                  <c:v>1.0015971848045235</c:v>
                </c:pt>
                <c:pt idx="8">
                  <c:v>0.78002546715391119</c:v>
                </c:pt>
                <c:pt idx="9">
                  <c:v>0.86893214393043094</c:v>
                </c:pt>
                <c:pt idx="10">
                  <c:v>0.64846613569941702</c:v>
                </c:pt>
                <c:pt idx="11">
                  <c:v>1.1912453105386114</c:v>
                </c:pt>
                <c:pt idx="12">
                  <c:v>0.73646281127276325</c:v>
                </c:pt>
                <c:pt idx="13">
                  <c:v>0.87559333109610282</c:v>
                </c:pt>
                <c:pt idx="14">
                  <c:v>0.39133454934014172</c:v>
                </c:pt>
                <c:pt idx="15">
                  <c:v>0.41523120975626793</c:v>
                </c:pt>
                <c:pt idx="16">
                  <c:v>0.4517145834945826</c:v>
                </c:pt>
                <c:pt idx="17">
                  <c:v>0.44669431360024064</c:v>
                </c:pt>
                <c:pt idx="18">
                  <c:v>1.1318463479443037</c:v>
                </c:pt>
                <c:pt idx="19">
                  <c:v>0.5241046076190381</c:v>
                </c:pt>
                <c:pt idx="20">
                  <c:v>0.69587726897245394</c:v>
                </c:pt>
                <c:pt idx="21">
                  <c:v>0.23129761448535893</c:v>
                </c:pt>
                <c:pt idx="22">
                  <c:v>0.26917335815199445</c:v>
                </c:pt>
                <c:pt idx="23">
                  <c:v>0.23278877269939244</c:v>
                </c:pt>
                <c:pt idx="24">
                  <c:v>0.26844188329875546</c:v>
                </c:pt>
                <c:pt idx="25">
                  <c:v>0.39928251496020223</c:v>
                </c:pt>
                <c:pt idx="26">
                  <c:v>0.44451785079577405</c:v>
                </c:pt>
                <c:pt idx="27">
                  <c:v>0.42458403414405343</c:v>
                </c:pt>
                <c:pt idx="28">
                  <c:v>0.58879525468231164</c:v>
                </c:pt>
                <c:pt idx="29">
                  <c:v>0.49567326560398467</c:v>
                </c:pt>
                <c:pt idx="30">
                  <c:v>0.59637309162948282</c:v>
                </c:pt>
                <c:pt idx="31">
                  <c:v>0.70613299994500089</c:v>
                </c:pt>
                <c:pt idx="32">
                  <c:v>0.71516798555841543</c:v>
                </c:pt>
                <c:pt idx="33">
                  <c:v>0.62195585465478431</c:v>
                </c:pt>
                <c:pt idx="34">
                  <c:v>0.37634332589954195</c:v>
                </c:pt>
                <c:pt idx="35">
                  <c:v>0.27400364532284616</c:v>
                </c:pt>
                <c:pt idx="36">
                  <c:v>0.32151444359464709</c:v>
                </c:pt>
                <c:pt idx="37">
                  <c:v>0.40257148236591034</c:v>
                </c:pt>
                <c:pt idx="38">
                  <c:v>1.0179576351803776</c:v>
                </c:pt>
                <c:pt idx="39">
                  <c:v>0.47522345188860449</c:v>
                </c:pt>
                <c:pt idx="40">
                  <c:v>0.76597363644774175</c:v>
                </c:pt>
                <c:pt idx="41">
                  <c:v>0.85183584798462342</c:v>
                </c:pt>
                <c:pt idx="42">
                  <c:v>1.314228429281824</c:v>
                </c:pt>
                <c:pt idx="43">
                  <c:v>1.2433457040305067</c:v>
                </c:pt>
                <c:pt idx="44">
                  <c:v>1.0429663718627689</c:v>
                </c:pt>
                <c:pt idx="45">
                  <c:v>0.86878289276237564</c:v>
                </c:pt>
                <c:pt idx="46">
                  <c:v>1.2477687387241849</c:v>
                </c:pt>
                <c:pt idx="47">
                  <c:v>1.0541140517059717</c:v>
                </c:pt>
                <c:pt idx="48">
                  <c:v>1.131692895217592</c:v>
                </c:pt>
                <c:pt idx="49">
                  <c:v>0.35239587760306174</c:v>
                </c:pt>
                <c:pt idx="50">
                  <c:v>0.43335853212902575</c:v>
                </c:pt>
                <c:pt idx="51">
                  <c:v>0.55469874932819818</c:v>
                </c:pt>
                <c:pt idx="52">
                  <c:v>0.6931206708781924</c:v>
                </c:pt>
                <c:pt idx="53">
                  <c:v>0.39343805209229826</c:v>
                </c:pt>
                <c:pt idx="54">
                  <c:v>0.62206562870484672</c:v>
                </c:pt>
                <c:pt idx="55">
                  <c:v>0.59044500924109933</c:v>
                </c:pt>
                <c:pt idx="56">
                  <c:v>0.72177172748208351</c:v>
                </c:pt>
                <c:pt idx="57">
                  <c:v>0.9474516451482532</c:v>
                </c:pt>
                <c:pt idx="58">
                  <c:v>0.91005827235472159</c:v>
                </c:pt>
                <c:pt idx="59">
                  <c:v>0.89397397606226514</c:v>
                </c:pt>
                <c:pt idx="60">
                  <c:v>0.89003855596510795</c:v>
                </c:pt>
                <c:pt idx="61">
                  <c:v>1.2979792941233712</c:v>
                </c:pt>
                <c:pt idx="62">
                  <c:v>1.8023562695336621</c:v>
                </c:pt>
                <c:pt idx="63">
                  <c:v>1.1377554368166571</c:v>
                </c:pt>
                <c:pt idx="64">
                  <c:v>1.2582851153434134</c:v>
                </c:pt>
                <c:pt idx="65">
                  <c:v>1.0680966687246618</c:v>
                </c:pt>
                <c:pt idx="66">
                  <c:v>1.2584448098106655</c:v>
                </c:pt>
                <c:pt idx="67">
                  <c:v>2.4084836870250239</c:v>
                </c:pt>
                <c:pt idx="68">
                  <c:v>3.1340525177389571</c:v>
                </c:pt>
                <c:pt idx="69">
                  <c:v>3.6728947291840428</c:v>
                </c:pt>
                <c:pt idx="70">
                  <c:v>3.6369903478631938</c:v>
                </c:pt>
                <c:pt idx="71">
                  <c:v>2.9285387029604522</c:v>
                </c:pt>
                <c:pt idx="72">
                  <c:v>2.6694364472856238</c:v>
                </c:pt>
                <c:pt idx="73">
                  <c:v>3.6227502684554622</c:v>
                </c:pt>
                <c:pt idx="74">
                  <c:v>4.2402217504982849</c:v>
                </c:pt>
                <c:pt idx="75">
                  <c:v>4.6221018377317318</c:v>
                </c:pt>
                <c:pt idx="76">
                  <c:v>4.3946140645084517</c:v>
                </c:pt>
                <c:pt idx="77">
                  <c:v>4.4646324110157911</c:v>
                </c:pt>
                <c:pt idx="78">
                  <c:v>4.3783908560440077</c:v>
                </c:pt>
                <c:pt idx="79">
                  <c:v>3.9571865517552038</c:v>
                </c:pt>
                <c:pt idx="80">
                  <c:v>3.9445495973843401</c:v>
                </c:pt>
                <c:pt idx="81">
                  <c:v>0.50903669077593294</c:v>
                </c:pt>
                <c:pt idx="82">
                  <c:v>0.71026796214072896</c:v>
                </c:pt>
                <c:pt idx="83">
                  <c:v>1.0719301839909647</c:v>
                </c:pt>
                <c:pt idx="84">
                  <c:v>1.0308886726970605</c:v>
                </c:pt>
                <c:pt idx="85">
                  <c:v>0.89365905305364779</c:v>
                </c:pt>
                <c:pt idx="86">
                  <c:v>0.89285269341427265</c:v>
                </c:pt>
                <c:pt idx="87">
                  <c:v>0.85896974872588638</c:v>
                </c:pt>
                <c:pt idx="88">
                  <c:v>1.5385675392712228</c:v>
                </c:pt>
                <c:pt idx="89">
                  <c:v>1.2107458714791497</c:v>
                </c:pt>
                <c:pt idx="90">
                  <c:v>2.653961627235923</c:v>
                </c:pt>
                <c:pt idx="91">
                  <c:v>1.8427192092682705</c:v>
                </c:pt>
                <c:pt idx="92">
                  <c:v>1.8669628702645065</c:v>
                </c:pt>
                <c:pt idx="93">
                  <c:v>1.5986073007434469</c:v>
                </c:pt>
                <c:pt idx="94">
                  <c:v>4.4673544569686543</c:v>
                </c:pt>
                <c:pt idx="95">
                  <c:v>4.2904345788142697</c:v>
                </c:pt>
                <c:pt idx="96">
                  <c:v>4.5965126887758645</c:v>
                </c:pt>
                <c:pt idx="97">
                  <c:v>4.244820428126042</c:v>
                </c:pt>
                <c:pt idx="98">
                  <c:v>2.9102410813101622</c:v>
                </c:pt>
                <c:pt idx="99">
                  <c:v>2.7427209635099867</c:v>
                </c:pt>
                <c:pt idx="100">
                  <c:v>2.9402521409427043</c:v>
                </c:pt>
                <c:pt idx="101">
                  <c:v>0.83844494170313233</c:v>
                </c:pt>
                <c:pt idx="102">
                  <c:v>0.76778846277544066</c:v>
                </c:pt>
                <c:pt idx="103">
                  <c:v>1.7967879626649754</c:v>
                </c:pt>
                <c:pt idx="104">
                  <c:v>3.4339850098699154</c:v>
                </c:pt>
                <c:pt idx="105">
                  <c:v>3.1070537940406133</c:v>
                </c:pt>
                <c:pt idx="106">
                  <c:v>3.3484122545441064</c:v>
                </c:pt>
                <c:pt idx="107">
                  <c:v>0.9447865284301239</c:v>
                </c:pt>
                <c:pt idx="108">
                  <c:v>2.182430694430177</c:v>
                </c:pt>
                <c:pt idx="109">
                  <c:v>0.78570059182358698</c:v>
                </c:pt>
                <c:pt idx="110">
                  <c:v>1.5496309649776525</c:v>
                </c:pt>
                <c:pt idx="111">
                  <c:v>4.3487291057765045</c:v>
                </c:pt>
                <c:pt idx="112">
                  <c:v>4.5096096456090207</c:v>
                </c:pt>
                <c:pt idx="113">
                  <c:v>2.6809794038123895</c:v>
                </c:pt>
                <c:pt idx="114">
                  <c:v>4.2320377913933394</c:v>
                </c:pt>
                <c:pt idx="115">
                  <c:v>7.0179985998562033</c:v>
                </c:pt>
                <c:pt idx="116">
                  <c:v>6.9134821368342836</c:v>
                </c:pt>
                <c:pt idx="117">
                  <c:v>5.6112509677626132</c:v>
                </c:pt>
                <c:pt idx="118">
                  <c:v>0.61423793071251975</c:v>
                </c:pt>
                <c:pt idx="119">
                  <c:v>0.56775077477331659</c:v>
                </c:pt>
                <c:pt idx="120">
                  <c:v>0.53656429425433283</c:v>
                </c:pt>
                <c:pt idx="121">
                  <c:v>1.3247151952073495</c:v>
                </c:pt>
                <c:pt idx="122">
                  <c:v>1.5334073543815989</c:v>
                </c:pt>
                <c:pt idx="123">
                  <c:v>0.73367093008959217</c:v>
                </c:pt>
                <c:pt idx="124">
                  <c:v>0.76174645930944218</c:v>
                </c:pt>
                <c:pt idx="125">
                  <c:v>1.0170760117749151</c:v>
                </c:pt>
                <c:pt idx="126">
                  <c:v>0.99311075239172675</c:v>
                </c:pt>
                <c:pt idx="127">
                  <c:v>1.179996396725115</c:v>
                </c:pt>
                <c:pt idx="128">
                  <c:v>1.0024033813942266</c:v>
                </c:pt>
                <c:pt idx="129">
                  <c:v>1.1518913936592305</c:v>
                </c:pt>
                <c:pt idx="130">
                  <c:v>1.1642455368500058</c:v>
                </c:pt>
                <c:pt idx="131">
                  <c:v>1.1030689995129115</c:v>
                </c:pt>
                <c:pt idx="132">
                  <c:v>1.1891831033743392</c:v>
                </c:pt>
                <c:pt idx="133">
                  <c:v>1.2556243908032205</c:v>
                </c:pt>
                <c:pt idx="134">
                  <c:v>0.74076624349297693</c:v>
                </c:pt>
                <c:pt idx="135">
                  <c:v>1.2561733957376879</c:v>
                </c:pt>
                <c:pt idx="136">
                  <c:v>4.2304637782651211</c:v>
                </c:pt>
                <c:pt idx="137">
                  <c:v>4.409596543759549</c:v>
                </c:pt>
                <c:pt idx="138">
                  <c:v>2.310957634755975</c:v>
                </c:pt>
                <c:pt idx="139">
                  <c:v>3.2755192295248143</c:v>
                </c:pt>
                <c:pt idx="140">
                  <c:v>4.0582042139394972</c:v>
                </c:pt>
                <c:pt idx="141">
                  <c:v>3.573503408877579</c:v>
                </c:pt>
                <c:pt idx="142">
                  <c:v>1.8719503545317546</c:v>
                </c:pt>
                <c:pt idx="143">
                  <c:v>2.9725917361042415</c:v>
                </c:pt>
                <c:pt idx="144">
                  <c:v>1.6514567431656439</c:v>
                </c:pt>
                <c:pt idx="145">
                  <c:v>1.7314621011766</c:v>
                </c:pt>
                <c:pt idx="146">
                  <c:v>3.8102034792284174</c:v>
                </c:pt>
                <c:pt idx="147">
                  <c:v>1.2920822300470149</c:v>
                </c:pt>
                <c:pt idx="148">
                  <c:v>1.8950230933136616</c:v>
                </c:pt>
                <c:pt idx="149">
                  <c:v>2.0145090126012661</c:v>
                </c:pt>
                <c:pt idx="150">
                  <c:v>2.592536090610547</c:v>
                </c:pt>
                <c:pt idx="151">
                  <c:v>1.104965488688455</c:v>
                </c:pt>
                <c:pt idx="152">
                  <c:v>1.8518943189835702</c:v>
                </c:pt>
                <c:pt idx="153">
                  <c:v>2.7576595699049351</c:v>
                </c:pt>
                <c:pt idx="154">
                  <c:v>2.9702408005560703</c:v>
                </c:pt>
                <c:pt idx="155">
                  <c:v>2.9727517848684397</c:v>
                </c:pt>
                <c:pt idx="156">
                  <c:v>1.9315638131775497</c:v>
                </c:pt>
                <c:pt idx="157">
                  <c:v>2.5749386242768</c:v>
                </c:pt>
                <c:pt idx="158">
                  <c:v>3.5007720546840129</c:v>
                </c:pt>
                <c:pt idx="159">
                  <c:v>5.350176439779589</c:v>
                </c:pt>
                <c:pt idx="160">
                  <c:v>5.5218919954313561</c:v>
                </c:pt>
                <c:pt idx="161">
                  <c:v>1.8272028786206911</c:v>
                </c:pt>
                <c:pt idx="162">
                  <c:v>2.0694441604404918</c:v>
                </c:pt>
                <c:pt idx="163">
                  <c:v>1.8502103397503815</c:v>
                </c:pt>
                <c:pt idx="164">
                  <c:v>1.9625034517179496</c:v>
                </c:pt>
                <c:pt idx="165">
                  <c:v>1.870476588736266</c:v>
                </c:pt>
                <c:pt idx="166">
                  <c:v>2.5940464109836392</c:v>
                </c:pt>
                <c:pt idx="167">
                  <c:v>2.4964485036479354</c:v>
                </c:pt>
                <c:pt idx="168">
                  <c:v>4.868159019716999</c:v>
                </c:pt>
                <c:pt idx="169">
                  <c:v>2.4699458871423476</c:v>
                </c:pt>
                <c:pt idx="170">
                  <c:v>2.3014122240488475</c:v>
                </c:pt>
                <c:pt idx="171">
                  <c:v>2.4529856388652118</c:v>
                </c:pt>
                <c:pt idx="172">
                  <c:v>1.6729981318193217</c:v>
                </c:pt>
                <c:pt idx="173">
                  <c:v>2.919104716896666</c:v>
                </c:pt>
                <c:pt idx="174">
                  <c:v>3.3942886955921234</c:v>
                </c:pt>
                <c:pt idx="175">
                  <c:v>4.4158453112216041</c:v>
                </c:pt>
                <c:pt idx="176">
                  <c:v>3.0127657037155329</c:v>
                </c:pt>
                <c:pt idx="177">
                  <c:v>4.2516834262273449</c:v>
                </c:pt>
                <c:pt idx="178">
                  <c:v>4.1178324795524981</c:v>
                </c:pt>
                <c:pt idx="179">
                  <c:v>4.4918301719325013</c:v>
                </c:pt>
                <c:pt idx="180">
                  <c:v>3.8246837265296496</c:v>
                </c:pt>
                <c:pt idx="181">
                  <c:v>2.5114348125647776</c:v>
                </c:pt>
                <c:pt idx="182">
                  <c:v>2.9285802326711723</c:v>
                </c:pt>
                <c:pt idx="183">
                  <c:v>3.1215257227987148</c:v>
                </c:pt>
                <c:pt idx="184">
                  <c:v>2.3646135570372944</c:v>
                </c:pt>
                <c:pt idx="185">
                  <c:v>2.4314152045249369</c:v>
                </c:pt>
                <c:pt idx="186">
                  <c:v>2.5117704261467404</c:v>
                </c:pt>
                <c:pt idx="187">
                  <c:v>3.5952450984558024</c:v>
                </c:pt>
                <c:pt idx="188">
                  <c:v>3.5085612449690484</c:v>
                </c:pt>
                <c:pt idx="189">
                  <c:v>2.2349915067019488</c:v>
                </c:pt>
                <c:pt idx="190">
                  <c:v>2.2900225795571507</c:v>
                </c:pt>
                <c:pt idx="191">
                  <c:v>5.1841684237509433</c:v>
                </c:pt>
                <c:pt idx="192">
                  <c:v>4.2952571682310676</c:v>
                </c:pt>
                <c:pt idx="193">
                  <c:v>3.3177858223842058</c:v>
                </c:pt>
                <c:pt idx="194">
                  <c:v>2.9336104451094918</c:v>
                </c:pt>
                <c:pt idx="195">
                  <c:v>3.3957871702771398</c:v>
                </c:pt>
                <c:pt idx="196">
                  <c:v>4.6777790500806216</c:v>
                </c:pt>
                <c:pt idx="197">
                  <c:v>5.0022192774643717</c:v>
                </c:pt>
                <c:pt idx="198">
                  <c:v>6.1938245058403636</c:v>
                </c:pt>
                <c:pt idx="199">
                  <c:v>18.48861147233168</c:v>
                </c:pt>
                <c:pt idx="200">
                  <c:v>2.2332594774745087</c:v>
                </c:pt>
                <c:pt idx="201">
                  <c:v>4.3834819038462562</c:v>
                </c:pt>
                <c:pt idx="202">
                  <c:v>4.5423719790364165</c:v>
                </c:pt>
                <c:pt idx="203">
                  <c:v>4.4099621337406347</c:v>
                </c:pt>
                <c:pt idx="204">
                  <c:v>3.1478571285698624</c:v>
                </c:pt>
                <c:pt idx="205">
                  <c:v>4.3132785239684193</c:v>
                </c:pt>
                <c:pt idx="206">
                  <c:v>3.0494470071781845</c:v>
                </c:pt>
                <c:pt idx="207">
                  <c:v>2.7734055284602275</c:v>
                </c:pt>
                <c:pt idx="208">
                  <c:v>1.6877053209990143</c:v>
                </c:pt>
                <c:pt idx="209">
                  <c:v>2.3254936545262503</c:v>
                </c:pt>
                <c:pt idx="210">
                  <c:v>2.1408328788178514</c:v>
                </c:pt>
                <c:pt idx="211">
                  <c:v>2.6185422102663067</c:v>
                </c:pt>
                <c:pt idx="212">
                  <c:v>3.0760291049387067</c:v>
                </c:pt>
                <c:pt idx="213">
                  <c:v>3.7270152286894138</c:v>
                </c:pt>
                <c:pt idx="214">
                  <c:v>2.7015145723392706</c:v>
                </c:pt>
                <c:pt idx="215">
                  <c:v>2.9189247831497562</c:v>
                </c:pt>
                <c:pt idx="216">
                  <c:v>4.5898304488142934</c:v>
                </c:pt>
                <c:pt idx="217">
                  <c:v>3.4162218778140025</c:v>
                </c:pt>
                <c:pt idx="218">
                  <c:v>4.5743351606169851</c:v>
                </c:pt>
                <c:pt idx="219">
                  <c:v>3.5794324981126842</c:v>
                </c:pt>
                <c:pt idx="220">
                  <c:v>5.0259339748305409</c:v>
                </c:pt>
                <c:pt idx="221">
                  <c:v>2.4139927378538841</c:v>
                </c:pt>
                <c:pt idx="222">
                  <c:v>2.2242655510176377</c:v>
                </c:pt>
                <c:pt idx="223">
                  <c:v>5.3362294178045167</c:v>
                </c:pt>
                <c:pt idx="224">
                  <c:v>4.4079983400243803</c:v>
                </c:pt>
                <c:pt idx="225">
                  <c:v>5.4036508678221828</c:v>
                </c:pt>
                <c:pt idx="226">
                  <c:v>5.1052768105331818</c:v>
                </c:pt>
                <c:pt idx="227">
                  <c:v>5.895639823953382</c:v>
                </c:pt>
                <c:pt idx="228">
                  <c:v>7.5225196591061065</c:v>
                </c:pt>
                <c:pt idx="229">
                  <c:v>8.0413738907950325</c:v>
                </c:pt>
                <c:pt idx="230">
                  <c:v>2.4751937369832442</c:v>
                </c:pt>
                <c:pt idx="231">
                  <c:v>3.3107303490448916</c:v>
                </c:pt>
                <c:pt idx="232">
                  <c:v>11.199525650620371</c:v>
                </c:pt>
                <c:pt idx="233">
                  <c:v>5.5414533060181377</c:v>
                </c:pt>
                <c:pt idx="234">
                  <c:v>4.6172464632682537</c:v>
                </c:pt>
                <c:pt idx="235">
                  <c:v>5.0974670339578827</c:v>
                </c:pt>
                <c:pt idx="236">
                  <c:v>4.6237294971337928</c:v>
                </c:pt>
                <c:pt idx="237">
                  <c:v>4.3893712899203612</c:v>
                </c:pt>
                <c:pt idx="238">
                  <c:v>0.97992455442973425</c:v>
                </c:pt>
                <c:pt idx="239">
                  <c:v>1.4073086247796922</c:v>
                </c:pt>
                <c:pt idx="240">
                  <c:v>1.4119038780210216</c:v>
                </c:pt>
                <c:pt idx="241">
                  <c:v>4.1857992809589017</c:v>
                </c:pt>
                <c:pt idx="242">
                  <c:v>3.2947786711914713</c:v>
                </c:pt>
                <c:pt idx="243">
                  <c:v>4.9546085347905597</c:v>
                </c:pt>
                <c:pt idx="244">
                  <c:v>4.2507348486303522</c:v>
                </c:pt>
                <c:pt idx="245">
                  <c:v>4.3427344870103806</c:v>
                </c:pt>
                <c:pt idx="246">
                  <c:v>5.6472459892170228</c:v>
                </c:pt>
                <c:pt idx="247">
                  <c:v>5.159158335037918</c:v>
                </c:pt>
                <c:pt idx="248">
                  <c:v>0.35829856958654799</c:v>
                </c:pt>
                <c:pt idx="249">
                  <c:v>0.21335874793449888</c:v>
                </c:pt>
                <c:pt idx="250">
                  <c:v>0.28680063409071005</c:v>
                </c:pt>
                <c:pt idx="251">
                  <c:v>0.26773831505420326</c:v>
                </c:pt>
                <c:pt idx="252">
                  <c:v>0.23467444502954532</c:v>
                </c:pt>
                <c:pt idx="253">
                  <c:v>0.30061608460812522</c:v>
                </c:pt>
                <c:pt idx="254">
                  <c:v>0.26877233447655713</c:v>
                </c:pt>
                <c:pt idx="255">
                  <c:v>0.61482498282032572</c:v>
                </c:pt>
                <c:pt idx="256">
                  <c:v>0.58661030737147479</c:v>
                </c:pt>
                <c:pt idx="257">
                  <c:v>0.49369993232600973</c:v>
                </c:pt>
                <c:pt idx="258">
                  <c:v>0.43110925656294846</c:v>
                </c:pt>
                <c:pt idx="259">
                  <c:v>0.52752406762902893</c:v>
                </c:pt>
                <c:pt idx="260">
                  <c:v>0.52873510973035975</c:v>
                </c:pt>
                <c:pt idx="261">
                  <c:v>0.55831626794552602</c:v>
                </c:pt>
                <c:pt idx="262">
                  <c:v>1.2582820206675913</c:v>
                </c:pt>
                <c:pt idx="263">
                  <c:v>0.84995134947314477</c:v>
                </c:pt>
                <c:pt idx="264">
                  <c:v>0.48378507595827774</c:v>
                </c:pt>
                <c:pt idx="265">
                  <c:v>0.69630184604715795</c:v>
                </c:pt>
                <c:pt idx="266">
                  <c:v>0.85047951890345563</c:v>
                </c:pt>
                <c:pt idx="267">
                  <c:v>0.96516311621793283</c:v>
                </c:pt>
                <c:pt idx="268">
                  <c:v>1.7519727976472343</c:v>
                </c:pt>
                <c:pt idx="269">
                  <c:v>1.4702910617532412</c:v>
                </c:pt>
                <c:pt idx="270">
                  <c:v>1.3343352464669878</c:v>
                </c:pt>
                <c:pt idx="271">
                  <c:v>1.8618680562985386</c:v>
                </c:pt>
                <c:pt idx="272">
                  <c:v>0.89966042615060959</c:v>
                </c:pt>
                <c:pt idx="273">
                  <c:v>2.7892918940884286</c:v>
                </c:pt>
                <c:pt idx="274">
                  <c:v>1.9236260251180228</c:v>
                </c:pt>
                <c:pt idx="275">
                  <c:v>0.6388054957972914</c:v>
                </c:pt>
                <c:pt idx="276">
                  <c:v>0.75745892615871313</c:v>
                </c:pt>
                <c:pt idx="277">
                  <c:v>1.3101316891314538</c:v>
                </c:pt>
                <c:pt idx="278">
                  <c:v>1.6164314614294804</c:v>
                </c:pt>
                <c:pt idx="279">
                  <c:v>1.9247657705074963</c:v>
                </c:pt>
                <c:pt idx="280">
                  <c:v>1.8696881887577343</c:v>
                </c:pt>
                <c:pt idx="281">
                  <c:v>1.1109245278453435</c:v>
                </c:pt>
                <c:pt idx="282">
                  <c:v>1.3027105302073181</c:v>
                </c:pt>
                <c:pt idx="283">
                  <c:v>1.4816999747537325</c:v>
                </c:pt>
                <c:pt idx="284">
                  <c:v>1.7347085960954551</c:v>
                </c:pt>
                <c:pt idx="285">
                  <c:v>0.64161452128394525</c:v>
                </c:pt>
                <c:pt idx="286">
                  <c:v>0.49980665100420107</c:v>
                </c:pt>
                <c:pt idx="287">
                  <c:v>0.52739202899792748</c:v>
                </c:pt>
                <c:pt idx="288">
                  <c:v>0.59865872364068584</c:v>
                </c:pt>
                <c:pt idx="289">
                  <c:v>0.69497621274327659</c:v>
                </c:pt>
                <c:pt idx="290">
                  <c:v>0.8811954425038131</c:v>
                </c:pt>
                <c:pt idx="291">
                  <c:v>1.0881771816621193</c:v>
                </c:pt>
                <c:pt idx="292">
                  <c:v>1.152785665474972</c:v>
                </c:pt>
                <c:pt idx="293">
                  <c:v>0.61108549169591564</c:v>
                </c:pt>
                <c:pt idx="294">
                  <c:v>0.97153033220974716</c:v>
                </c:pt>
                <c:pt idx="295">
                  <c:v>1.6232522913677752</c:v>
                </c:pt>
                <c:pt idx="296">
                  <c:v>0.98661632290456236</c:v>
                </c:pt>
                <c:pt idx="297">
                  <c:v>1.1924423495817236</c:v>
                </c:pt>
                <c:pt idx="298">
                  <c:v>1.7168453946978806</c:v>
                </c:pt>
                <c:pt idx="299">
                  <c:v>1.5231795218614206</c:v>
                </c:pt>
                <c:pt idx="300">
                  <c:v>1.6237479012473275</c:v>
                </c:pt>
                <c:pt idx="301">
                  <c:v>1.3372298622900345</c:v>
                </c:pt>
                <c:pt idx="302">
                  <c:v>1.3471896767500724</c:v>
                </c:pt>
                <c:pt idx="303">
                  <c:v>1.8351986272994312</c:v>
                </c:pt>
                <c:pt idx="304">
                  <c:v>1.8400180569979743</c:v>
                </c:pt>
                <c:pt idx="305">
                  <c:v>1.7595526168196347</c:v>
                </c:pt>
                <c:pt idx="306">
                  <c:v>1.5775779396166232</c:v>
                </c:pt>
                <c:pt idx="307">
                  <c:v>3.5179911281515963</c:v>
                </c:pt>
                <c:pt idx="308">
                  <c:v>3.477601667959195</c:v>
                </c:pt>
                <c:pt idx="309">
                  <c:v>7.1699993996527853</c:v>
                </c:pt>
                <c:pt idx="310">
                  <c:v>2.1626031355540953</c:v>
                </c:pt>
                <c:pt idx="311">
                  <c:v>3.4012586141212746</c:v>
                </c:pt>
                <c:pt idx="312">
                  <c:v>2.8694627868961518</c:v>
                </c:pt>
                <c:pt idx="313">
                  <c:v>1.6071750981323776</c:v>
                </c:pt>
                <c:pt idx="314">
                  <c:v>2.2694019412705924</c:v>
                </c:pt>
                <c:pt idx="315">
                  <c:v>3.3079069423685272</c:v>
                </c:pt>
                <c:pt idx="316">
                  <c:v>3.5201904312462622</c:v>
                </c:pt>
                <c:pt idx="317">
                  <c:v>4.7381078531705061</c:v>
                </c:pt>
                <c:pt idx="318">
                  <c:v>4.6165218671141579</c:v>
                </c:pt>
                <c:pt idx="319">
                  <c:v>6.1307406119334287</c:v>
                </c:pt>
                <c:pt idx="320">
                  <c:v>0.25063774971852215</c:v>
                </c:pt>
                <c:pt idx="321">
                  <c:v>0.33560208429454352</c:v>
                </c:pt>
                <c:pt idx="322">
                  <c:v>0.64925310761623178</c:v>
                </c:pt>
                <c:pt idx="323">
                  <c:v>0.55598687792437984</c:v>
                </c:pt>
                <c:pt idx="324">
                  <c:v>0.66335408371448368</c:v>
                </c:pt>
                <c:pt idx="325">
                  <c:v>0.37568856430764158</c:v>
                </c:pt>
                <c:pt idx="326">
                  <c:v>0.61923687447143239</c:v>
                </c:pt>
                <c:pt idx="327">
                  <c:v>1.1085036594518141</c:v>
                </c:pt>
                <c:pt idx="328">
                  <c:v>3.3632784906195465</c:v>
                </c:pt>
                <c:pt idx="329">
                  <c:v>0.84169433091452139</c:v>
                </c:pt>
                <c:pt idx="330">
                  <c:v>1.1971598178020828</c:v>
                </c:pt>
                <c:pt idx="331">
                  <c:v>1.443482401915023</c:v>
                </c:pt>
                <c:pt idx="332">
                  <c:v>0.7868264974130541</c:v>
                </c:pt>
                <c:pt idx="333">
                  <c:v>4.3150046850434407</c:v>
                </c:pt>
                <c:pt idx="334">
                  <c:v>2.6507352565660587</c:v>
                </c:pt>
                <c:pt idx="335">
                  <c:v>1.5839729416471853</c:v>
                </c:pt>
                <c:pt idx="336">
                  <c:v>1.4955631153332614</c:v>
                </c:pt>
                <c:pt idx="337">
                  <c:v>2.0451060609593927</c:v>
                </c:pt>
                <c:pt idx="338">
                  <c:v>0.74601617514686558</c:v>
                </c:pt>
                <c:pt idx="339">
                  <c:v>0.84990553919334366</c:v>
                </c:pt>
                <c:pt idx="340">
                  <c:v>1.8383078732387457</c:v>
                </c:pt>
                <c:pt idx="341">
                  <c:v>1.092566287819702</c:v>
                </c:pt>
                <c:pt idx="342">
                  <c:v>1.0557949280827528</c:v>
                </c:pt>
                <c:pt idx="343">
                  <c:v>1.0942135072201529</c:v>
                </c:pt>
                <c:pt idx="344">
                  <c:v>1.2119221469701689</c:v>
                </c:pt>
                <c:pt idx="345">
                  <c:v>5.3745229117052968</c:v>
                </c:pt>
                <c:pt idx="346">
                  <c:v>5.271276967564658</c:v>
                </c:pt>
                <c:pt idx="347">
                  <c:v>0.48903204418058754</c:v>
                </c:pt>
                <c:pt idx="348">
                  <c:v>0.63247198059532139</c:v>
                </c:pt>
                <c:pt idx="349">
                  <c:v>0.72889629566667558</c:v>
                </c:pt>
                <c:pt idx="350">
                  <c:v>0.86200844592196635</c:v>
                </c:pt>
                <c:pt idx="351">
                  <c:v>0.9122166756053387</c:v>
                </c:pt>
                <c:pt idx="352">
                  <c:v>0.59962257617935577</c:v>
                </c:pt>
                <c:pt idx="353">
                  <c:v>0.95549933039718327</c:v>
                </c:pt>
                <c:pt idx="354">
                  <c:v>1.2971946742463634</c:v>
                </c:pt>
                <c:pt idx="355">
                  <c:v>1.6957489897856117</c:v>
                </c:pt>
                <c:pt idx="356">
                  <c:v>1.9710891873659087</c:v>
                </c:pt>
                <c:pt idx="357">
                  <c:v>2.0121042734159964</c:v>
                </c:pt>
                <c:pt idx="358">
                  <c:v>0.94305747870680812</c:v>
                </c:pt>
                <c:pt idx="359">
                  <c:v>2.7863790243593041</c:v>
                </c:pt>
                <c:pt idx="360">
                  <c:v>2.7828033420004066</c:v>
                </c:pt>
                <c:pt idx="361">
                  <c:v>2.7484765526400841</c:v>
                </c:pt>
                <c:pt idx="362">
                  <c:v>2.5908679002709909</c:v>
                </c:pt>
                <c:pt idx="363">
                  <c:v>2.5657426389027989</c:v>
                </c:pt>
                <c:pt idx="364">
                  <c:v>2.5517900800580042</c:v>
                </c:pt>
                <c:pt idx="365">
                  <c:v>2.626477586791359</c:v>
                </c:pt>
                <c:pt idx="366">
                  <c:v>2.7596202975142066</c:v>
                </c:pt>
              </c:numCache>
            </c:numRef>
          </c:xVal>
          <c:yVal>
            <c:numRef>
              <c:f>'Graphs c de'!$AX$3:$AX$369</c:f>
              <c:numCache>
                <c:formatCode>General</c:formatCode>
                <c:ptCount val="367"/>
                <c:pt idx="6" formatCode="00,000">
                  <c:v>0.51185000000000003</c:v>
                </c:pt>
                <c:pt idx="12" formatCode="00,000">
                  <c:v>0.45600000000000002</c:v>
                </c:pt>
                <c:pt idx="15" formatCode="00,000">
                  <c:v>1.1571000000000002</c:v>
                </c:pt>
                <c:pt idx="17" formatCode="00,000">
                  <c:v>1.0223000000000002</c:v>
                </c:pt>
                <c:pt idx="19" formatCode="00,000">
                  <c:v>0.41084999999999999</c:v>
                </c:pt>
                <c:pt idx="21" formatCode="00,000">
                  <c:v>0.20735000000000003</c:v>
                </c:pt>
                <c:pt idx="25" formatCode="00,000">
                  <c:v>0.67100000000000004</c:v>
                </c:pt>
                <c:pt idx="26" formatCode="00,000">
                  <c:v>0.77744999999999997</c:v>
                </c:pt>
                <c:pt idx="29" formatCode="00,000">
                  <c:v>0.56000000000000005</c:v>
                </c:pt>
                <c:pt idx="32" formatCode="00,000">
                  <c:v>0.93799999999999994</c:v>
                </c:pt>
                <c:pt idx="36" formatCode="00,000">
                  <c:v>0.51212499999999994</c:v>
                </c:pt>
                <c:pt idx="37" formatCode="00,000">
                  <c:v>0.70862000000000014</c:v>
                </c:pt>
                <c:pt idx="40" formatCode="00,000">
                  <c:v>0.79603000000000002</c:v>
                </c:pt>
                <c:pt idx="47" formatCode="00,000">
                  <c:v>1.17862</c:v>
                </c:pt>
                <c:pt idx="53" formatCode="00,000">
                  <c:v>0.64640000000000031</c:v>
                </c:pt>
                <c:pt idx="55" formatCode="00,000">
                  <c:v>0.78600000000000003</c:v>
                </c:pt>
                <c:pt idx="59" formatCode="00,000">
                  <c:v>0.69152499999999995</c:v>
                </c:pt>
                <c:pt idx="60" formatCode="00,000">
                  <c:v>0.75600000000000001</c:v>
                </c:pt>
                <c:pt idx="72" formatCode="00,000">
                  <c:v>2.2216</c:v>
                </c:pt>
                <c:pt idx="73" formatCode="00,000">
                  <c:v>3.7444999999999999</c:v>
                </c:pt>
                <c:pt idx="74" formatCode="00,000">
                  <c:v>3.9439599999999997</c:v>
                </c:pt>
                <c:pt idx="76" formatCode="00,000">
                  <c:v>3.11382</c:v>
                </c:pt>
                <c:pt idx="79" formatCode="00,000">
                  <c:v>3.95512</c:v>
                </c:pt>
                <c:pt idx="81" formatCode="00,000">
                  <c:v>0.59357800000000016</c:v>
                </c:pt>
                <c:pt idx="82" formatCode="00,000">
                  <c:v>0.82965</c:v>
                </c:pt>
                <c:pt idx="84" formatCode="00,000">
                  <c:v>0.86250000000000004</c:v>
                </c:pt>
                <c:pt idx="86" formatCode="00,000">
                  <c:v>0.82800000000000007</c:v>
                </c:pt>
                <c:pt idx="87" formatCode="00,000">
                  <c:v>0.90100000000000002</c:v>
                </c:pt>
                <c:pt idx="90" formatCode="00,000">
                  <c:v>3.1121399999999997</c:v>
                </c:pt>
                <c:pt idx="99" formatCode="00,000">
                  <c:v>2.9696000000000002</c:v>
                </c:pt>
                <c:pt idx="106" formatCode="00,000">
                  <c:v>2.5868099999999998</c:v>
                </c:pt>
                <c:pt idx="107" formatCode="00,000">
                  <c:v>1.4794499999999999</c:v>
                </c:pt>
                <c:pt idx="108" formatCode="00,000">
                  <c:v>1.9368999999999998</c:v>
                </c:pt>
                <c:pt idx="112" formatCode="00,000">
                  <c:v>5.5815999999999999</c:v>
                </c:pt>
                <c:pt idx="122" formatCode="00,000">
                  <c:v>0.90382499999999988</c:v>
                </c:pt>
                <c:pt idx="125" formatCode="00,000">
                  <c:v>1.1586000000000001</c:v>
                </c:pt>
                <c:pt idx="134" formatCode="00,000">
                  <c:v>0.70977999999999997</c:v>
                </c:pt>
                <c:pt idx="135" formatCode="00,000">
                  <c:v>1.2734000000000001</c:v>
                </c:pt>
                <c:pt idx="144" formatCode="00,000">
                  <c:v>2.6019999999999999</c:v>
                </c:pt>
                <c:pt idx="147" formatCode="00,000">
                  <c:v>1.1672500000000001</c:v>
                </c:pt>
                <c:pt idx="151" formatCode="00,000">
                  <c:v>1.2202999999999999</c:v>
                </c:pt>
                <c:pt idx="156" formatCode="00,000">
                  <c:v>1.7196739999999999</c:v>
                </c:pt>
                <c:pt idx="163" formatCode="00,000">
                  <c:v>1.5840000000000001</c:v>
                </c:pt>
                <c:pt idx="169" formatCode="00,000">
                  <c:v>4.1479999999999997</c:v>
                </c:pt>
                <c:pt idx="170" formatCode="00,000">
                  <c:v>4.1840000000000002</c:v>
                </c:pt>
                <c:pt idx="184" formatCode="00,000">
                  <c:v>2.8141240000000001</c:v>
                </c:pt>
                <c:pt idx="188" formatCode="00,000">
                  <c:v>3.90449</c:v>
                </c:pt>
                <c:pt idx="190" formatCode="00,000">
                  <c:v>3.3504</c:v>
                </c:pt>
                <c:pt idx="202" formatCode="00,000">
                  <c:v>6.495140000000001</c:v>
                </c:pt>
                <c:pt idx="208" formatCode="00,000">
                  <c:v>1.2985</c:v>
                </c:pt>
                <c:pt idx="212" formatCode="00,000">
                  <c:v>1.8492690000000007</c:v>
                </c:pt>
                <c:pt idx="220" formatCode="00,000">
                  <c:v>6.3569999999999993</c:v>
                </c:pt>
                <c:pt idx="230" formatCode="00,000">
                  <c:v>1.382625</c:v>
                </c:pt>
                <c:pt idx="240" formatCode="00,000">
                  <c:v>4.0129999999999999</c:v>
                </c:pt>
                <c:pt idx="241" formatCode="00,000">
                  <c:v>3.1133999999999999</c:v>
                </c:pt>
                <c:pt idx="245" formatCode="00,000">
                  <c:v>3.52</c:v>
                </c:pt>
                <c:pt idx="246" formatCode="00,000">
                  <c:v>4.7449999999999992</c:v>
                </c:pt>
                <c:pt idx="247" formatCode="00,000">
                  <c:v>5.6514000000000006</c:v>
                </c:pt>
                <c:pt idx="252" formatCode="00,000">
                  <c:v>0.48609999999999998</c:v>
                </c:pt>
                <c:pt idx="253" formatCode="00,000">
                  <c:v>0.49864999999999998</c:v>
                </c:pt>
                <c:pt idx="259" formatCode="00,000">
                  <c:v>0.55745</c:v>
                </c:pt>
                <c:pt idx="260" formatCode="00,000">
                  <c:v>0.5535000000000001</c:v>
                </c:pt>
                <c:pt idx="264" formatCode="00,000">
                  <c:v>0.52079399999999998</c:v>
                </c:pt>
                <c:pt idx="266" formatCode="00,000">
                  <c:v>0.70250000000000012</c:v>
                </c:pt>
                <c:pt idx="267" formatCode="00,000">
                  <c:v>0.62960800000000006</c:v>
                </c:pt>
                <c:pt idx="269" formatCode="00,000">
                  <c:v>1.3643780000000001</c:v>
                </c:pt>
                <c:pt idx="273" formatCode="00,000">
                  <c:v>3.0183600000000004</c:v>
                </c:pt>
                <c:pt idx="274" formatCode="00,000">
                  <c:v>3.0726</c:v>
                </c:pt>
                <c:pt idx="276" formatCode="00,000">
                  <c:v>0.52187000000000006</c:v>
                </c:pt>
                <c:pt idx="277" formatCode="00,000">
                  <c:v>1.6588850000000002</c:v>
                </c:pt>
                <c:pt idx="282" formatCode="00,000">
                  <c:v>0.94935499999999995</c:v>
                </c:pt>
                <c:pt idx="303" formatCode="00,000">
                  <c:v>1.4683619999999999</c:v>
                </c:pt>
                <c:pt idx="307" formatCode="00,000">
                  <c:v>2.1654800000000001</c:v>
                </c:pt>
                <c:pt idx="313" formatCode="00,000">
                  <c:v>2.0674000000000001</c:v>
                </c:pt>
                <c:pt idx="314" formatCode="00,000">
                  <c:v>2.4251000000000005</c:v>
                </c:pt>
                <c:pt idx="338" formatCode="00,000">
                  <c:v>0.68102499999999999</c:v>
                </c:pt>
                <c:pt idx="339" formatCode="00,000">
                  <c:v>0.84151200000000004</c:v>
                </c:pt>
                <c:pt idx="341" formatCode="00,000">
                  <c:v>0.86495999999999995</c:v>
                </c:pt>
                <c:pt idx="343" formatCode="00,000">
                  <c:v>0.90965000000000007</c:v>
                </c:pt>
                <c:pt idx="344" formatCode="00,000">
                  <c:v>1.7630440000000001</c:v>
                </c:pt>
                <c:pt idx="347" formatCode="00,000">
                  <c:v>0.51800000000000002</c:v>
                </c:pt>
                <c:pt idx="348" formatCode="00,000">
                  <c:v>0.68807099999999999</c:v>
                </c:pt>
                <c:pt idx="352" formatCode="00,000">
                  <c:v>0.70024999999999993</c:v>
                </c:pt>
                <c:pt idx="353" formatCode="00,000">
                  <c:v>1.07731</c:v>
                </c:pt>
                <c:pt idx="354" formatCode="00,000">
                  <c:v>1.3411299999999999</c:v>
                </c:pt>
                <c:pt idx="355" formatCode="00,000">
                  <c:v>1.4299299999999999</c:v>
                </c:pt>
                <c:pt idx="364" formatCode="00,000">
                  <c:v>3.0876600000000001</c:v>
                </c:pt>
                <c:pt idx="365" formatCode="00,000">
                  <c:v>3.2045000000000003</c:v>
                </c:pt>
                <c:pt idx="366" formatCode="00,000">
                  <c:v>3.2966000000000006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9-244D-904F-E2919954E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05984"/>
        <c:axId val="110911872"/>
      </c:scatterChart>
      <c:valAx>
        <c:axId val="1109059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10911872"/>
        <c:crosses val="autoZero"/>
        <c:crossBetween val="midCat"/>
      </c:valAx>
      <c:valAx>
        <c:axId val="1109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905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914401828804"/>
          <c:y val="6.1032947352169228E-2"/>
          <c:w val="0.74942116106454471"/>
          <c:h val="0.77699708635262277"/>
        </c:manualLayout>
      </c:layout>
      <c:scatterChart>
        <c:scatterStyle val="lineMarker"/>
        <c:varyColors val="0"/>
        <c:ser>
          <c:idx val="9"/>
          <c:order val="0"/>
          <c:tx>
            <c:v>Österreich</c:v>
          </c:tx>
          <c:spPr>
            <a:ln w="28575">
              <a:noFill/>
            </a:ln>
          </c:spPr>
          <c:marker>
            <c:symbol val="plus"/>
            <c:size val="4"/>
            <c:spPr>
              <a:ln>
                <a:solidFill>
                  <a:srgbClr val="000000"/>
                </a:solidFill>
              </a:ln>
            </c:spPr>
          </c:marker>
          <c:xVal>
            <c:numRef>
              <c:f>'Graphs c de'!$AX$3:$AX$369</c:f>
              <c:numCache>
                <c:formatCode>General</c:formatCode>
                <c:ptCount val="367"/>
                <c:pt idx="6" formatCode="00,000">
                  <c:v>0.51185000000000003</c:v>
                </c:pt>
                <c:pt idx="12" formatCode="00,000">
                  <c:v>0.45600000000000002</c:v>
                </c:pt>
                <c:pt idx="15" formatCode="00,000">
                  <c:v>1.1571000000000002</c:v>
                </c:pt>
                <c:pt idx="17" formatCode="00,000">
                  <c:v>1.0223000000000002</c:v>
                </c:pt>
                <c:pt idx="19" formatCode="00,000">
                  <c:v>0.41084999999999999</c:v>
                </c:pt>
                <c:pt idx="21" formatCode="00,000">
                  <c:v>0.20735000000000003</c:v>
                </c:pt>
                <c:pt idx="25" formatCode="00,000">
                  <c:v>0.67100000000000004</c:v>
                </c:pt>
                <c:pt idx="26" formatCode="00,000">
                  <c:v>0.77744999999999997</c:v>
                </c:pt>
                <c:pt idx="29" formatCode="00,000">
                  <c:v>0.56000000000000005</c:v>
                </c:pt>
                <c:pt idx="32" formatCode="00,000">
                  <c:v>0.93799999999999994</c:v>
                </c:pt>
                <c:pt idx="36" formatCode="00,000">
                  <c:v>0.51212499999999994</c:v>
                </c:pt>
                <c:pt idx="37" formatCode="00,000">
                  <c:v>0.70862000000000014</c:v>
                </c:pt>
                <c:pt idx="40" formatCode="00,000">
                  <c:v>0.79603000000000002</c:v>
                </c:pt>
                <c:pt idx="47" formatCode="00,000">
                  <c:v>1.17862</c:v>
                </c:pt>
                <c:pt idx="53" formatCode="00,000">
                  <c:v>0.64640000000000031</c:v>
                </c:pt>
                <c:pt idx="55" formatCode="00,000">
                  <c:v>0.78600000000000003</c:v>
                </c:pt>
                <c:pt idx="59" formatCode="00,000">
                  <c:v>0.69152499999999995</c:v>
                </c:pt>
                <c:pt idx="60" formatCode="00,000">
                  <c:v>0.75600000000000001</c:v>
                </c:pt>
                <c:pt idx="72" formatCode="00,000">
                  <c:v>2.2216</c:v>
                </c:pt>
                <c:pt idx="73" formatCode="00,000">
                  <c:v>3.7444999999999999</c:v>
                </c:pt>
                <c:pt idx="74" formatCode="00,000">
                  <c:v>3.9439599999999997</c:v>
                </c:pt>
                <c:pt idx="76" formatCode="00,000">
                  <c:v>3.11382</c:v>
                </c:pt>
                <c:pt idx="79" formatCode="00,000">
                  <c:v>3.95512</c:v>
                </c:pt>
                <c:pt idx="81" formatCode="00,000">
                  <c:v>0.59357800000000016</c:v>
                </c:pt>
                <c:pt idx="82" formatCode="00,000">
                  <c:v>0.82965</c:v>
                </c:pt>
                <c:pt idx="84" formatCode="00,000">
                  <c:v>0.86250000000000004</c:v>
                </c:pt>
                <c:pt idx="86" formatCode="00,000">
                  <c:v>0.82800000000000007</c:v>
                </c:pt>
                <c:pt idx="87" formatCode="00,000">
                  <c:v>0.90100000000000002</c:v>
                </c:pt>
                <c:pt idx="90" formatCode="00,000">
                  <c:v>3.1121399999999997</c:v>
                </c:pt>
                <c:pt idx="99" formatCode="00,000">
                  <c:v>2.9696000000000002</c:v>
                </c:pt>
                <c:pt idx="106" formatCode="00,000">
                  <c:v>2.5868099999999998</c:v>
                </c:pt>
                <c:pt idx="107" formatCode="00,000">
                  <c:v>1.4794499999999999</c:v>
                </c:pt>
                <c:pt idx="108" formatCode="00,000">
                  <c:v>1.9368999999999998</c:v>
                </c:pt>
                <c:pt idx="112" formatCode="00,000">
                  <c:v>5.5815999999999999</c:v>
                </c:pt>
                <c:pt idx="122" formatCode="00,000">
                  <c:v>0.90382499999999988</c:v>
                </c:pt>
                <c:pt idx="125" formatCode="00,000">
                  <c:v>1.1586000000000001</c:v>
                </c:pt>
                <c:pt idx="134" formatCode="00,000">
                  <c:v>0.70977999999999997</c:v>
                </c:pt>
                <c:pt idx="135" formatCode="00,000">
                  <c:v>1.2734000000000001</c:v>
                </c:pt>
                <c:pt idx="144" formatCode="00,000">
                  <c:v>2.6019999999999999</c:v>
                </c:pt>
                <c:pt idx="147" formatCode="00,000">
                  <c:v>1.1672500000000001</c:v>
                </c:pt>
                <c:pt idx="151" formatCode="00,000">
                  <c:v>1.2202999999999999</c:v>
                </c:pt>
                <c:pt idx="156" formatCode="00,000">
                  <c:v>1.7196739999999999</c:v>
                </c:pt>
                <c:pt idx="163" formatCode="00,000">
                  <c:v>1.5840000000000001</c:v>
                </c:pt>
                <c:pt idx="169" formatCode="00,000">
                  <c:v>4.1479999999999997</c:v>
                </c:pt>
                <c:pt idx="170" formatCode="00,000">
                  <c:v>4.1840000000000002</c:v>
                </c:pt>
                <c:pt idx="184" formatCode="00,000">
                  <c:v>2.8141240000000001</c:v>
                </c:pt>
                <c:pt idx="188" formatCode="00,000">
                  <c:v>3.90449</c:v>
                </c:pt>
                <c:pt idx="190" formatCode="00,000">
                  <c:v>3.3504</c:v>
                </c:pt>
                <c:pt idx="202" formatCode="00,000">
                  <c:v>6.495140000000001</c:v>
                </c:pt>
                <c:pt idx="208" formatCode="00,000">
                  <c:v>1.2985</c:v>
                </c:pt>
                <c:pt idx="212" formatCode="00,000">
                  <c:v>1.8492690000000007</c:v>
                </c:pt>
                <c:pt idx="220" formatCode="00,000">
                  <c:v>6.3569999999999993</c:v>
                </c:pt>
                <c:pt idx="230" formatCode="00,000">
                  <c:v>1.382625</c:v>
                </c:pt>
                <c:pt idx="240" formatCode="00,000">
                  <c:v>4.0129999999999999</c:v>
                </c:pt>
                <c:pt idx="241" formatCode="00,000">
                  <c:v>3.1133999999999999</c:v>
                </c:pt>
                <c:pt idx="245" formatCode="00,000">
                  <c:v>3.52</c:v>
                </c:pt>
                <c:pt idx="246" formatCode="00,000">
                  <c:v>4.7449999999999992</c:v>
                </c:pt>
                <c:pt idx="247" formatCode="00,000">
                  <c:v>5.6514000000000006</c:v>
                </c:pt>
                <c:pt idx="252" formatCode="00,000">
                  <c:v>0.48609999999999998</c:v>
                </c:pt>
                <c:pt idx="253" formatCode="00,000">
                  <c:v>0.49864999999999998</c:v>
                </c:pt>
                <c:pt idx="259" formatCode="00,000">
                  <c:v>0.55745</c:v>
                </c:pt>
                <c:pt idx="260" formatCode="00,000">
                  <c:v>0.5535000000000001</c:v>
                </c:pt>
                <c:pt idx="264" formatCode="00,000">
                  <c:v>0.52079399999999998</c:v>
                </c:pt>
                <c:pt idx="266" formatCode="00,000">
                  <c:v>0.70250000000000012</c:v>
                </c:pt>
                <c:pt idx="267" formatCode="00,000">
                  <c:v>0.62960800000000006</c:v>
                </c:pt>
                <c:pt idx="269" formatCode="00,000">
                  <c:v>1.3643780000000001</c:v>
                </c:pt>
                <c:pt idx="273" formatCode="00,000">
                  <c:v>3.0183600000000004</c:v>
                </c:pt>
                <c:pt idx="274" formatCode="00,000">
                  <c:v>3.0726</c:v>
                </c:pt>
                <c:pt idx="276" formatCode="00,000">
                  <c:v>0.52187000000000006</c:v>
                </c:pt>
                <c:pt idx="277" formatCode="00,000">
                  <c:v>1.6588850000000002</c:v>
                </c:pt>
                <c:pt idx="282" formatCode="00,000">
                  <c:v>0.94935499999999995</c:v>
                </c:pt>
                <c:pt idx="303" formatCode="00,000">
                  <c:v>1.4683619999999999</c:v>
                </c:pt>
                <c:pt idx="307" formatCode="00,000">
                  <c:v>2.1654800000000001</c:v>
                </c:pt>
                <c:pt idx="313" formatCode="00,000">
                  <c:v>2.0674000000000001</c:v>
                </c:pt>
                <c:pt idx="314" formatCode="00,000">
                  <c:v>2.4251000000000005</c:v>
                </c:pt>
                <c:pt idx="338" formatCode="00,000">
                  <c:v>0.68102499999999999</c:v>
                </c:pt>
                <c:pt idx="339" formatCode="00,000">
                  <c:v>0.84151200000000004</c:v>
                </c:pt>
                <c:pt idx="341" formatCode="00,000">
                  <c:v>0.86495999999999995</c:v>
                </c:pt>
                <c:pt idx="343" formatCode="00,000">
                  <c:v>0.90965000000000007</c:v>
                </c:pt>
                <c:pt idx="344" formatCode="00,000">
                  <c:v>1.7630440000000001</c:v>
                </c:pt>
                <c:pt idx="347" formatCode="00,000">
                  <c:v>0.51800000000000002</c:v>
                </c:pt>
                <c:pt idx="348" formatCode="00,000">
                  <c:v>0.68807099999999999</c:v>
                </c:pt>
                <c:pt idx="352" formatCode="00,000">
                  <c:v>0.70024999999999993</c:v>
                </c:pt>
                <c:pt idx="353" formatCode="00,000">
                  <c:v>1.07731</c:v>
                </c:pt>
                <c:pt idx="354" formatCode="00,000">
                  <c:v>1.3411299999999999</c:v>
                </c:pt>
                <c:pt idx="355" formatCode="00,000">
                  <c:v>1.4299299999999999</c:v>
                </c:pt>
                <c:pt idx="364" formatCode="00,000">
                  <c:v>3.0876600000000001</c:v>
                </c:pt>
                <c:pt idx="365" formatCode="00,000">
                  <c:v>3.2045000000000003</c:v>
                </c:pt>
                <c:pt idx="366" formatCode="00,000">
                  <c:v>3.2966000000000006</c:v>
                </c:pt>
              </c:numCache>
            </c:numRef>
          </c:xVal>
          <c:yVal>
            <c:numRef>
              <c:f>'Graphs c de'!$AW$3:$AW$369</c:f>
              <c:numCache>
                <c:formatCode>0.00</c:formatCode>
                <c:ptCount val="367"/>
                <c:pt idx="0">
                  <c:v>0.86657641981662392</c:v>
                </c:pt>
                <c:pt idx="1">
                  <c:v>0.89149245172984504</c:v>
                </c:pt>
                <c:pt idx="2">
                  <c:v>0.77452582299720529</c:v>
                </c:pt>
                <c:pt idx="3">
                  <c:v>1.2296756708896259</c:v>
                </c:pt>
                <c:pt idx="4">
                  <c:v>0.68953585501427128</c:v>
                </c:pt>
                <c:pt idx="5">
                  <c:v>0.84723847454043699</c:v>
                </c:pt>
                <c:pt idx="6">
                  <c:v>0.92996617756942146</c:v>
                </c:pt>
                <c:pt idx="7">
                  <c:v>1.0015971848045235</c:v>
                </c:pt>
                <c:pt idx="8">
                  <c:v>0.78002546715391119</c:v>
                </c:pt>
                <c:pt idx="9">
                  <c:v>0.86893214393043094</c:v>
                </c:pt>
                <c:pt idx="10">
                  <c:v>0.64846613569941702</c:v>
                </c:pt>
                <c:pt idx="11">
                  <c:v>1.1912453105386114</c:v>
                </c:pt>
                <c:pt idx="12">
                  <c:v>0.73646281127276325</c:v>
                </c:pt>
                <c:pt idx="13">
                  <c:v>0.87559333109610282</c:v>
                </c:pt>
                <c:pt idx="14">
                  <c:v>0.39133454934014172</c:v>
                </c:pt>
                <c:pt idx="15">
                  <c:v>0.41523120975626793</c:v>
                </c:pt>
                <c:pt idx="16">
                  <c:v>0.4517145834945826</c:v>
                </c:pt>
                <c:pt idx="17">
                  <c:v>0.44669431360024064</c:v>
                </c:pt>
                <c:pt idx="18">
                  <c:v>1.1318463479443037</c:v>
                </c:pt>
                <c:pt idx="19">
                  <c:v>0.5241046076190381</c:v>
                </c:pt>
                <c:pt idx="20">
                  <c:v>0.69587726897245394</c:v>
                </c:pt>
                <c:pt idx="21">
                  <c:v>0.23129761448535893</c:v>
                </c:pt>
                <c:pt idx="22">
                  <c:v>0.26917335815199445</c:v>
                </c:pt>
                <c:pt idx="23">
                  <c:v>0.23278877269939244</c:v>
                </c:pt>
                <c:pt idx="24">
                  <c:v>0.26844188329875546</c:v>
                </c:pt>
                <c:pt idx="25">
                  <c:v>0.39928251496020223</c:v>
                </c:pt>
                <c:pt idx="26">
                  <c:v>0.44451785079577405</c:v>
                </c:pt>
                <c:pt idx="27">
                  <c:v>0.42458403414405343</c:v>
                </c:pt>
                <c:pt idx="28">
                  <c:v>0.58879525468231164</c:v>
                </c:pt>
                <c:pt idx="29">
                  <c:v>0.49567326560398467</c:v>
                </c:pt>
                <c:pt idx="30">
                  <c:v>0.59637309162948282</c:v>
                </c:pt>
                <c:pt idx="31">
                  <c:v>0.70613299994500089</c:v>
                </c:pt>
                <c:pt idx="32">
                  <c:v>0.71516798555841543</c:v>
                </c:pt>
                <c:pt idx="33">
                  <c:v>0.62195585465478431</c:v>
                </c:pt>
                <c:pt idx="34">
                  <c:v>0.37634332589954195</c:v>
                </c:pt>
                <c:pt idx="35">
                  <c:v>0.27400364532284616</c:v>
                </c:pt>
                <c:pt idx="36">
                  <c:v>0.32151444359464709</c:v>
                </c:pt>
                <c:pt idx="37">
                  <c:v>0.40257148236591034</c:v>
                </c:pt>
                <c:pt idx="38">
                  <c:v>1.0179576351803776</c:v>
                </c:pt>
                <c:pt idx="39">
                  <c:v>0.47522345188860449</c:v>
                </c:pt>
                <c:pt idx="40">
                  <c:v>0.76597363644774175</c:v>
                </c:pt>
                <c:pt idx="41">
                  <c:v>0.85183584798462342</c:v>
                </c:pt>
                <c:pt idx="42">
                  <c:v>1.314228429281824</c:v>
                </c:pt>
                <c:pt idx="43">
                  <c:v>1.2433457040305067</c:v>
                </c:pt>
                <c:pt idx="44">
                  <c:v>1.0429663718627689</c:v>
                </c:pt>
                <c:pt idx="45">
                  <c:v>0.86878289276237564</c:v>
                </c:pt>
                <c:pt idx="46">
                  <c:v>1.2477687387241849</c:v>
                </c:pt>
                <c:pt idx="47">
                  <c:v>1.0541140517059717</c:v>
                </c:pt>
                <c:pt idx="48">
                  <c:v>1.131692895217592</c:v>
                </c:pt>
                <c:pt idx="49">
                  <c:v>0.35239587760306174</c:v>
                </c:pt>
                <c:pt idx="50">
                  <c:v>0.43335853212902575</c:v>
                </c:pt>
                <c:pt idx="51">
                  <c:v>0.55469874932819818</c:v>
                </c:pt>
                <c:pt idx="52">
                  <c:v>0.6931206708781924</c:v>
                </c:pt>
                <c:pt idx="53">
                  <c:v>0.39343805209229826</c:v>
                </c:pt>
                <c:pt idx="54">
                  <c:v>0.62206562870484672</c:v>
                </c:pt>
                <c:pt idx="55">
                  <c:v>0.59044500924109933</c:v>
                </c:pt>
                <c:pt idx="56">
                  <c:v>0.72177172748208351</c:v>
                </c:pt>
                <c:pt idx="57">
                  <c:v>0.9474516451482532</c:v>
                </c:pt>
                <c:pt idx="58">
                  <c:v>0.91005827235472159</c:v>
                </c:pt>
                <c:pt idx="59">
                  <c:v>0.89397397606226514</c:v>
                </c:pt>
                <c:pt idx="60">
                  <c:v>0.89003855596510795</c:v>
                </c:pt>
                <c:pt idx="61">
                  <c:v>1.2979792941233712</c:v>
                </c:pt>
                <c:pt idx="62">
                  <c:v>1.8023562695336621</c:v>
                </c:pt>
                <c:pt idx="63">
                  <c:v>1.1377554368166571</c:v>
                </c:pt>
                <c:pt idx="64">
                  <c:v>1.2582851153434134</c:v>
                </c:pt>
                <c:pt idx="65">
                  <c:v>1.0680966687246618</c:v>
                </c:pt>
                <c:pt idx="66">
                  <c:v>1.2584448098106655</c:v>
                </c:pt>
                <c:pt idx="67">
                  <c:v>2.4084836870250239</c:v>
                </c:pt>
                <c:pt idx="68">
                  <c:v>3.1340525177389571</c:v>
                </c:pt>
                <c:pt idx="69">
                  <c:v>3.6728947291840428</c:v>
                </c:pt>
                <c:pt idx="70">
                  <c:v>3.6369903478631938</c:v>
                </c:pt>
                <c:pt idx="71">
                  <c:v>2.9285387029604522</c:v>
                </c:pt>
                <c:pt idx="72">
                  <c:v>2.6694364472856238</c:v>
                </c:pt>
                <c:pt idx="73">
                  <c:v>3.6227502684554622</c:v>
                </c:pt>
                <c:pt idx="74">
                  <c:v>4.2402217504982849</c:v>
                </c:pt>
                <c:pt idx="75">
                  <c:v>4.6221018377317318</c:v>
                </c:pt>
                <c:pt idx="76">
                  <c:v>4.3946140645084517</c:v>
                </c:pt>
                <c:pt idx="77">
                  <c:v>4.4646324110157911</c:v>
                </c:pt>
                <c:pt idx="78">
                  <c:v>4.3783908560440077</c:v>
                </c:pt>
                <c:pt idx="79">
                  <c:v>3.9571865517552038</c:v>
                </c:pt>
                <c:pt idx="80">
                  <c:v>3.9445495973843401</c:v>
                </c:pt>
                <c:pt idx="81">
                  <c:v>0.50903669077593294</c:v>
                </c:pt>
                <c:pt idx="82">
                  <c:v>0.71026796214072896</c:v>
                </c:pt>
                <c:pt idx="83">
                  <c:v>1.0719301839909647</c:v>
                </c:pt>
                <c:pt idx="84">
                  <c:v>1.0308886726970605</c:v>
                </c:pt>
                <c:pt idx="85">
                  <c:v>0.89365905305364779</c:v>
                </c:pt>
                <c:pt idx="86">
                  <c:v>0.89285269341427265</c:v>
                </c:pt>
                <c:pt idx="87">
                  <c:v>0.85896974872588638</c:v>
                </c:pt>
                <c:pt idx="88">
                  <c:v>1.5385675392712228</c:v>
                </c:pt>
                <c:pt idx="89">
                  <c:v>1.2107458714791497</c:v>
                </c:pt>
                <c:pt idx="90">
                  <c:v>2.653961627235923</c:v>
                </c:pt>
                <c:pt idx="91">
                  <c:v>1.8427192092682705</c:v>
                </c:pt>
                <c:pt idx="92">
                  <c:v>1.8669628702645065</c:v>
                </c:pt>
                <c:pt idx="93">
                  <c:v>1.5986073007434469</c:v>
                </c:pt>
                <c:pt idx="94">
                  <c:v>4.4673544569686543</c:v>
                </c:pt>
                <c:pt idx="95">
                  <c:v>4.2904345788142697</c:v>
                </c:pt>
                <c:pt idx="96">
                  <c:v>4.5965126887758645</c:v>
                </c:pt>
                <c:pt idx="97">
                  <c:v>4.244820428126042</c:v>
                </c:pt>
                <c:pt idx="98">
                  <c:v>2.9102410813101622</c:v>
                </c:pt>
                <c:pt idx="99">
                  <c:v>2.7427209635099867</c:v>
                </c:pt>
                <c:pt idx="100">
                  <c:v>2.9402521409427043</c:v>
                </c:pt>
                <c:pt idx="101">
                  <c:v>0.83844494170313233</c:v>
                </c:pt>
                <c:pt idx="102">
                  <c:v>0.76778846277544066</c:v>
                </c:pt>
                <c:pt idx="103">
                  <c:v>1.7967879626649754</c:v>
                </c:pt>
                <c:pt idx="104">
                  <c:v>3.4339850098699154</c:v>
                </c:pt>
                <c:pt idx="105">
                  <c:v>3.1070537940406133</c:v>
                </c:pt>
                <c:pt idx="106">
                  <c:v>3.3484122545441064</c:v>
                </c:pt>
                <c:pt idx="107">
                  <c:v>0.9447865284301239</c:v>
                </c:pt>
                <c:pt idx="108">
                  <c:v>2.182430694430177</c:v>
                </c:pt>
                <c:pt idx="109">
                  <c:v>0.78570059182358698</c:v>
                </c:pt>
                <c:pt idx="110">
                  <c:v>1.5496309649776525</c:v>
                </c:pt>
                <c:pt idx="111">
                  <c:v>4.3487291057765045</c:v>
                </c:pt>
                <c:pt idx="112">
                  <c:v>4.5096096456090207</c:v>
                </c:pt>
                <c:pt idx="113">
                  <c:v>2.6809794038123895</c:v>
                </c:pt>
                <c:pt idx="114">
                  <c:v>4.2320377913933394</c:v>
                </c:pt>
                <c:pt idx="115">
                  <c:v>7.0179985998562033</c:v>
                </c:pt>
                <c:pt idx="116">
                  <c:v>6.9134821368342836</c:v>
                </c:pt>
                <c:pt idx="117">
                  <c:v>5.6112509677626132</c:v>
                </c:pt>
                <c:pt idx="118">
                  <c:v>0.61423793071251975</c:v>
                </c:pt>
                <c:pt idx="119">
                  <c:v>0.56775077477331659</c:v>
                </c:pt>
                <c:pt idx="120">
                  <c:v>0.53656429425433283</c:v>
                </c:pt>
                <c:pt idx="121">
                  <c:v>1.3247151952073495</c:v>
                </c:pt>
                <c:pt idx="122">
                  <c:v>1.5334073543815989</c:v>
                </c:pt>
                <c:pt idx="123">
                  <c:v>0.73367093008959217</c:v>
                </c:pt>
                <c:pt idx="124">
                  <c:v>0.76174645930944218</c:v>
                </c:pt>
                <c:pt idx="125">
                  <c:v>1.0170760117749151</c:v>
                </c:pt>
                <c:pt idx="126">
                  <c:v>0.99311075239172675</c:v>
                </c:pt>
                <c:pt idx="127">
                  <c:v>1.179996396725115</c:v>
                </c:pt>
                <c:pt idx="128">
                  <c:v>1.0024033813942266</c:v>
                </c:pt>
                <c:pt idx="129">
                  <c:v>1.1518913936592305</c:v>
                </c:pt>
                <c:pt idx="130">
                  <c:v>1.1642455368500058</c:v>
                </c:pt>
                <c:pt idx="131">
                  <c:v>1.1030689995129115</c:v>
                </c:pt>
                <c:pt idx="132">
                  <c:v>1.1891831033743392</c:v>
                </c:pt>
                <c:pt idx="133">
                  <c:v>1.2556243908032205</c:v>
                </c:pt>
                <c:pt idx="134">
                  <c:v>0.74076624349297693</c:v>
                </c:pt>
                <c:pt idx="135">
                  <c:v>1.2561733957376879</c:v>
                </c:pt>
                <c:pt idx="136">
                  <c:v>4.2304637782651211</c:v>
                </c:pt>
                <c:pt idx="137">
                  <c:v>4.409596543759549</c:v>
                </c:pt>
                <c:pt idx="138">
                  <c:v>2.310957634755975</c:v>
                </c:pt>
                <c:pt idx="139">
                  <c:v>3.2755192295248143</c:v>
                </c:pt>
                <c:pt idx="140">
                  <c:v>4.0582042139394972</c:v>
                </c:pt>
                <c:pt idx="141">
                  <c:v>3.573503408877579</c:v>
                </c:pt>
                <c:pt idx="142">
                  <c:v>1.8719503545317546</c:v>
                </c:pt>
                <c:pt idx="143">
                  <c:v>2.9725917361042415</c:v>
                </c:pt>
                <c:pt idx="144">
                  <c:v>1.6514567431656439</c:v>
                </c:pt>
                <c:pt idx="145">
                  <c:v>1.7314621011766</c:v>
                </c:pt>
                <c:pt idx="146">
                  <c:v>3.8102034792284174</c:v>
                </c:pt>
                <c:pt idx="147">
                  <c:v>1.2920822300470149</c:v>
                </c:pt>
                <c:pt idx="148">
                  <c:v>1.8950230933136616</c:v>
                </c:pt>
                <c:pt idx="149">
                  <c:v>2.0145090126012661</c:v>
                </c:pt>
                <c:pt idx="150">
                  <c:v>2.592536090610547</c:v>
                </c:pt>
                <c:pt idx="151">
                  <c:v>1.104965488688455</c:v>
                </c:pt>
                <c:pt idx="152">
                  <c:v>1.8518943189835702</c:v>
                </c:pt>
                <c:pt idx="153">
                  <c:v>2.7576595699049351</c:v>
                </c:pt>
                <c:pt idx="154">
                  <c:v>2.9702408005560703</c:v>
                </c:pt>
                <c:pt idx="155">
                  <c:v>2.9727517848684397</c:v>
                </c:pt>
                <c:pt idx="156">
                  <c:v>1.9315638131775497</c:v>
                </c:pt>
                <c:pt idx="157">
                  <c:v>2.5749386242768</c:v>
                </c:pt>
                <c:pt idx="158">
                  <c:v>3.5007720546840129</c:v>
                </c:pt>
                <c:pt idx="159">
                  <c:v>5.350176439779589</c:v>
                </c:pt>
                <c:pt idx="160">
                  <c:v>5.5218919954313561</c:v>
                </c:pt>
                <c:pt idx="161">
                  <c:v>1.8272028786206911</c:v>
                </c:pt>
                <c:pt idx="162">
                  <c:v>2.0694441604404918</c:v>
                </c:pt>
                <c:pt idx="163">
                  <c:v>1.8502103397503815</c:v>
                </c:pt>
                <c:pt idx="164">
                  <c:v>1.9625034517179496</c:v>
                </c:pt>
                <c:pt idx="165">
                  <c:v>1.870476588736266</c:v>
                </c:pt>
                <c:pt idx="166">
                  <c:v>2.5940464109836392</c:v>
                </c:pt>
                <c:pt idx="167">
                  <c:v>2.4964485036479354</c:v>
                </c:pt>
                <c:pt idx="168">
                  <c:v>4.868159019716999</c:v>
                </c:pt>
                <c:pt idx="169">
                  <c:v>2.4699458871423476</c:v>
                </c:pt>
                <c:pt idx="170">
                  <c:v>2.3014122240488475</c:v>
                </c:pt>
                <c:pt idx="171">
                  <c:v>2.4529856388652118</c:v>
                </c:pt>
                <c:pt idx="172">
                  <c:v>1.6729981318193217</c:v>
                </c:pt>
                <c:pt idx="173">
                  <c:v>2.919104716896666</c:v>
                </c:pt>
                <c:pt idx="174">
                  <c:v>3.3942886955921234</c:v>
                </c:pt>
                <c:pt idx="175">
                  <c:v>4.4158453112216041</c:v>
                </c:pt>
                <c:pt idx="176">
                  <c:v>3.0127657037155329</c:v>
                </c:pt>
                <c:pt idx="177">
                  <c:v>4.2516834262273449</c:v>
                </c:pt>
                <c:pt idx="178">
                  <c:v>4.1178324795524981</c:v>
                </c:pt>
                <c:pt idx="179">
                  <c:v>4.4918301719325013</c:v>
                </c:pt>
                <c:pt idx="180">
                  <c:v>3.8246837265296496</c:v>
                </c:pt>
                <c:pt idx="181">
                  <c:v>2.5114348125647776</c:v>
                </c:pt>
                <c:pt idx="182">
                  <c:v>2.9285802326711723</c:v>
                </c:pt>
                <c:pt idx="183">
                  <c:v>3.1215257227987148</c:v>
                </c:pt>
                <c:pt idx="184">
                  <c:v>2.3646135570372944</c:v>
                </c:pt>
                <c:pt idx="185">
                  <c:v>2.4314152045249369</c:v>
                </c:pt>
                <c:pt idx="186">
                  <c:v>2.5117704261467404</c:v>
                </c:pt>
                <c:pt idx="187">
                  <c:v>3.5952450984558024</c:v>
                </c:pt>
                <c:pt idx="188">
                  <c:v>3.5085612449690484</c:v>
                </c:pt>
                <c:pt idx="189">
                  <c:v>2.2349915067019488</c:v>
                </c:pt>
                <c:pt idx="190">
                  <c:v>2.2900225795571507</c:v>
                </c:pt>
                <c:pt idx="191">
                  <c:v>5.1841684237509433</c:v>
                </c:pt>
                <c:pt idx="192">
                  <c:v>4.2952571682310676</c:v>
                </c:pt>
                <c:pt idx="193">
                  <c:v>3.3177858223842058</c:v>
                </c:pt>
                <c:pt idx="194">
                  <c:v>2.9336104451094918</c:v>
                </c:pt>
                <c:pt idx="195">
                  <c:v>3.3957871702771398</c:v>
                </c:pt>
                <c:pt idx="196">
                  <c:v>4.6777790500806216</c:v>
                </c:pt>
                <c:pt idx="197">
                  <c:v>5.0022192774643717</c:v>
                </c:pt>
                <c:pt idx="198">
                  <c:v>6.1938245058403636</c:v>
                </c:pt>
                <c:pt idx="199">
                  <c:v>18.48861147233168</c:v>
                </c:pt>
                <c:pt idx="200">
                  <c:v>2.2332594774745087</c:v>
                </c:pt>
                <c:pt idx="201">
                  <c:v>4.3834819038462562</c:v>
                </c:pt>
                <c:pt idx="202">
                  <c:v>4.5423719790364165</c:v>
                </c:pt>
                <c:pt idx="203">
                  <c:v>4.4099621337406347</c:v>
                </c:pt>
                <c:pt idx="204">
                  <c:v>3.1478571285698624</c:v>
                </c:pt>
                <c:pt idx="205">
                  <c:v>4.3132785239684193</c:v>
                </c:pt>
                <c:pt idx="206">
                  <c:v>3.0494470071781845</c:v>
                </c:pt>
                <c:pt idx="207">
                  <c:v>2.7734055284602275</c:v>
                </c:pt>
                <c:pt idx="208">
                  <c:v>1.6877053209990143</c:v>
                </c:pt>
                <c:pt idx="209">
                  <c:v>2.3254936545262503</c:v>
                </c:pt>
                <c:pt idx="210">
                  <c:v>2.1408328788178514</c:v>
                </c:pt>
                <c:pt idx="211">
                  <c:v>2.6185422102663067</c:v>
                </c:pt>
                <c:pt idx="212">
                  <c:v>3.0760291049387067</c:v>
                </c:pt>
                <c:pt idx="213">
                  <c:v>3.7270152286894138</c:v>
                </c:pt>
                <c:pt idx="214">
                  <c:v>2.7015145723392706</c:v>
                </c:pt>
                <c:pt idx="215">
                  <c:v>2.9189247831497562</c:v>
                </c:pt>
                <c:pt idx="216">
                  <c:v>4.5898304488142934</c:v>
                </c:pt>
                <c:pt idx="217">
                  <c:v>3.4162218778140025</c:v>
                </c:pt>
                <c:pt idx="218">
                  <c:v>4.5743351606169851</c:v>
                </c:pt>
                <c:pt idx="219">
                  <c:v>3.5794324981126842</c:v>
                </c:pt>
                <c:pt idx="220">
                  <c:v>5.0259339748305409</c:v>
                </c:pt>
                <c:pt idx="221">
                  <c:v>2.4139927378538841</c:v>
                </c:pt>
                <c:pt idx="222">
                  <c:v>2.2242655510176377</c:v>
                </c:pt>
                <c:pt idx="223">
                  <c:v>5.3362294178045167</c:v>
                </c:pt>
                <c:pt idx="224">
                  <c:v>4.4079983400243803</c:v>
                </c:pt>
                <c:pt idx="225">
                  <c:v>5.4036508678221828</c:v>
                </c:pt>
                <c:pt idx="226">
                  <c:v>5.1052768105331818</c:v>
                </c:pt>
                <c:pt idx="227">
                  <c:v>5.895639823953382</c:v>
                </c:pt>
                <c:pt idx="228">
                  <c:v>7.5225196591061065</c:v>
                </c:pt>
                <c:pt idx="229">
                  <c:v>8.0413738907950325</c:v>
                </c:pt>
                <c:pt idx="230">
                  <c:v>2.4751937369832442</c:v>
                </c:pt>
                <c:pt idx="231">
                  <c:v>3.3107303490448916</c:v>
                </c:pt>
                <c:pt idx="232">
                  <c:v>11.199525650620371</c:v>
                </c:pt>
                <c:pt idx="233">
                  <c:v>5.5414533060181377</c:v>
                </c:pt>
                <c:pt idx="234">
                  <c:v>4.6172464632682537</c:v>
                </c:pt>
                <c:pt idx="235">
                  <c:v>5.0974670339578827</c:v>
                </c:pt>
                <c:pt idx="236">
                  <c:v>4.6237294971337928</c:v>
                </c:pt>
                <c:pt idx="237">
                  <c:v>4.3893712899203612</c:v>
                </c:pt>
                <c:pt idx="238">
                  <c:v>0.97992455442973425</c:v>
                </c:pt>
                <c:pt idx="239">
                  <c:v>1.4073086247796922</c:v>
                </c:pt>
                <c:pt idx="240">
                  <c:v>1.4119038780210216</c:v>
                </c:pt>
                <c:pt idx="241">
                  <c:v>4.1857992809589017</c:v>
                </c:pt>
                <c:pt idx="242">
                  <c:v>3.2947786711914713</c:v>
                </c:pt>
                <c:pt idx="243">
                  <c:v>4.9546085347905597</c:v>
                </c:pt>
                <c:pt idx="244">
                  <c:v>4.2507348486303522</c:v>
                </c:pt>
                <c:pt idx="245">
                  <c:v>4.3427344870103806</c:v>
                </c:pt>
                <c:pt idx="246">
                  <c:v>5.6472459892170228</c:v>
                </c:pt>
                <c:pt idx="247">
                  <c:v>5.159158335037918</c:v>
                </c:pt>
                <c:pt idx="248">
                  <c:v>0.35829856958654799</c:v>
                </c:pt>
                <c:pt idx="249">
                  <c:v>0.21335874793449888</c:v>
                </c:pt>
                <c:pt idx="250">
                  <c:v>0.28680063409071005</c:v>
                </c:pt>
                <c:pt idx="251">
                  <c:v>0.26773831505420326</c:v>
                </c:pt>
                <c:pt idx="252">
                  <c:v>0.23467444502954532</c:v>
                </c:pt>
                <c:pt idx="253">
                  <c:v>0.30061608460812522</c:v>
                </c:pt>
                <c:pt idx="254">
                  <c:v>0.26877233447655713</c:v>
                </c:pt>
                <c:pt idx="255">
                  <c:v>0.61482498282032572</c:v>
                </c:pt>
                <c:pt idx="256">
                  <c:v>0.58661030737147479</c:v>
                </c:pt>
                <c:pt idx="257">
                  <c:v>0.49369993232600973</c:v>
                </c:pt>
                <c:pt idx="258">
                  <c:v>0.43110925656294846</c:v>
                </c:pt>
                <c:pt idx="259">
                  <c:v>0.52752406762902893</c:v>
                </c:pt>
                <c:pt idx="260">
                  <c:v>0.52873510973035975</c:v>
                </c:pt>
                <c:pt idx="261">
                  <c:v>0.55831626794552602</c:v>
                </c:pt>
                <c:pt idx="262">
                  <c:v>1.2582820206675913</c:v>
                </c:pt>
                <c:pt idx="263">
                  <c:v>0.84995134947314477</c:v>
                </c:pt>
                <c:pt idx="264">
                  <c:v>0.48378507595827774</c:v>
                </c:pt>
                <c:pt idx="265">
                  <c:v>0.69630184604715795</c:v>
                </c:pt>
                <c:pt idx="266">
                  <c:v>0.85047951890345563</c:v>
                </c:pt>
                <c:pt idx="267">
                  <c:v>0.96516311621793283</c:v>
                </c:pt>
                <c:pt idx="268">
                  <c:v>1.7519727976472343</c:v>
                </c:pt>
                <c:pt idx="269">
                  <c:v>1.4702910617532412</c:v>
                </c:pt>
                <c:pt idx="270">
                  <c:v>1.3343352464669878</c:v>
                </c:pt>
                <c:pt idx="271">
                  <c:v>1.8618680562985386</c:v>
                </c:pt>
                <c:pt idx="272">
                  <c:v>0.89966042615060959</c:v>
                </c:pt>
                <c:pt idx="273">
                  <c:v>2.7892918940884286</c:v>
                </c:pt>
                <c:pt idx="274">
                  <c:v>1.9236260251180228</c:v>
                </c:pt>
                <c:pt idx="275">
                  <c:v>0.6388054957972914</c:v>
                </c:pt>
                <c:pt idx="276">
                  <c:v>0.75745892615871313</c:v>
                </c:pt>
                <c:pt idx="277">
                  <c:v>1.3101316891314538</c:v>
                </c:pt>
                <c:pt idx="278">
                  <c:v>1.6164314614294804</c:v>
                </c:pt>
                <c:pt idx="279">
                  <c:v>1.9247657705074963</c:v>
                </c:pt>
                <c:pt idx="280">
                  <c:v>1.8696881887577343</c:v>
                </c:pt>
                <c:pt idx="281">
                  <c:v>1.1109245278453435</c:v>
                </c:pt>
                <c:pt idx="282">
                  <c:v>1.3027105302073181</c:v>
                </c:pt>
                <c:pt idx="283">
                  <c:v>1.4816999747537325</c:v>
                </c:pt>
                <c:pt idx="284">
                  <c:v>1.7347085960954551</c:v>
                </c:pt>
                <c:pt idx="285">
                  <c:v>0.64161452128394525</c:v>
                </c:pt>
                <c:pt idx="286">
                  <c:v>0.49980665100420107</c:v>
                </c:pt>
                <c:pt idx="287">
                  <c:v>0.52739202899792748</c:v>
                </c:pt>
                <c:pt idx="288">
                  <c:v>0.59865872364068584</c:v>
                </c:pt>
                <c:pt idx="289">
                  <c:v>0.69497621274327659</c:v>
                </c:pt>
                <c:pt idx="290">
                  <c:v>0.8811954425038131</c:v>
                </c:pt>
                <c:pt idx="291">
                  <c:v>1.0881771816621193</c:v>
                </c:pt>
                <c:pt idx="292">
                  <c:v>1.152785665474972</c:v>
                </c:pt>
                <c:pt idx="293">
                  <c:v>0.61108549169591564</c:v>
                </c:pt>
                <c:pt idx="294">
                  <c:v>0.97153033220974716</c:v>
                </c:pt>
                <c:pt idx="295">
                  <c:v>1.6232522913677752</c:v>
                </c:pt>
                <c:pt idx="296">
                  <c:v>0.98661632290456236</c:v>
                </c:pt>
                <c:pt idx="297">
                  <c:v>1.1924423495817236</c:v>
                </c:pt>
                <c:pt idx="298">
                  <c:v>1.7168453946978806</c:v>
                </c:pt>
                <c:pt idx="299">
                  <c:v>1.5231795218614206</c:v>
                </c:pt>
                <c:pt idx="300">
                  <c:v>1.6237479012473275</c:v>
                </c:pt>
                <c:pt idx="301">
                  <c:v>1.3372298622900345</c:v>
                </c:pt>
                <c:pt idx="302">
                  <c:v>1.3471896767500724</c:v>
                </c:pt>
                <c:pt idx="303">
                  <c:v>1.8351986272994312</c:v>
                </c:pt>
                <c:pt idx="304">
                  <c:v>1.8400180569979743</c:v>
                </c:pt>
                <c:pt idx="305">
                  <c:v>1.7595526168196347</c:v>
                </c:pt>
                <c:pt idx="306">
                  <c:v>1.5775779396166232</c:v>
                </c:pt>
                <c:pt idx="307">
                  <c:v>3.5179911281515963</c:v>
                </c:pt>
                <c:pt idx="308">
                  <c:v>3.477601667959195</c:v>
                </c:pt>
                <c:pt idx="309">
                  <c:v>7.1699993996527853</c:v>
                </c:pt>
                <c:pt idx="310">
                  <c:v>2.1626031355540953</c:v>
                </c:pt>
                <c:pt idx="311">
                  <c:v>3.4012586141212746</c:v>
                </c:pt>
                <c:pt idx="312">
                  <c:v>2.8694627868961518</c:v>
                </c:pt>
                <c:pt idx="313">
                  <c:v>1.6071750981323776</c:v>
                </c:pt>
                <c:pt idx="314">
                  <c:v>2.2694019412705924</c:v>
                </c:pt>
                <c:pt idx="315">
                  <c:v>3.3079069423685272</c:v>
                </c:pt>
                <c:pt idx="316">
                  <c:v>3.5201904312462622</c:v>
                </c:pt>
                <c:pt idx="317">
                  <c:v>4.7381078531705061</c:v>
                </c:pt>
                <c:pt idx="318">
                  <c:v>4.6165218671141579</c:v>
                </c:pt>
                <c:pt idx="319">
                  <c:v>6.1307406119334287</c:v>
                </c:pt>
                <c:pt idx="320">
                  <c:v>0.25063774971852215</c:v>
                </c:pt>
                <c:pt idx="321">
                  <c:v>0.33560208429454352</c:v>
                </c:pt>
                <c:pt idx="322">
                  <c:v>0.64925310761623178</c:v>
                </c:pt>
                <c:pt idx="323">
                  <c:v>0.55598687792437984</c:v>
                </c:pt>
                <c:pt idx="324">
                  <c:v>0.66335408371448368</c:v>
                </c:pt>
                <c:pt idx="325">
                  <c:v>0.37568856430764158</c:v>
                </c:pt>
                <c:pt idx="326">
                  <c:v>0.61923687447143239</c:v>
                </c:pt>
                <c:pt idx="327">
                  <c:v>1.1085036594518141</c:v>
                </c:pt>
                <c:pt idx="328">
                  <c:v>3.3632784906195465</c:v>
                </c:pt>
                <c:pt idx="329">
                  <c:v>0.84169433091452139</c:v>
                </c:pt>
                <c:pt idx="330">
                  <c:v>1.1971598178020828</c:v>
                </c:pt>
                <c:pt idx="331">
                  <c:v>1.443482401915023</c:v>
                </c:pt>
                <c:pt idx="332">
                  <c:v>0.7868264974130541</c:v>
                </c:pt>
                <c:pt idx="333">
                  <c:v>4.3150046850434407</c:v>
                </c:pt>
                <c:pt idx="334">
                  <c:v>2.6507352565660587</c:v>
                </c:pt>
                <c:pt idx="335">
                  <c:v>1.5839729416471853</c:v>
                </c:pt>
                <c:pt idx="336">
                  <c:v>1.4955631153332614</c:v>
                </c:pt>
                <c:pt idx="337">
                  <c:v>2.0451060609593927</c:v>
                </c:pt>
                <c:pt idx="338">
                  <c:v>0.74601617514686558</c:v>
                </c:pt>
                <c:pt idx="339">
                  <c:v>0.84990553919334366</c:v>
                </c:pt>
                <c:pt idx="340">
                  <c:v>1.8383078732387457</c:v>
                </c:pt>
                <c:pt idx="341">
                  <c:v>1.092566287819702</c:v>
                </c:pt>
                <c:pt idx="342">
                  <c:v>1.0557949280827528</c:v>
                </c:pt>
                <c:pt idx="343">
                  <c:v>1.0942135072201529</c:v>
                </c:pt>
                <c:pt idx="344">
                  <c:v>1.2119221469701689</c:v>
                </c:pt>
                <c:pt idx="345">
                  <c:v>5.3745229117052968</c:v>
                </c:pt>
                <c:pt idx="346">
                  <c:v>5.271276967564658</c:v>
                </c:pt>
                <c:pt idx="347">
                  <c:v>0.48903204418058754</c:v>
                </c:pt>
                <c:pt idx="348">
                  <c:v>0.63247198059532139</c:v>
                </c:pt>
                <c:pt idx="349">
                  <c:v>0.72889629566667558</c:v>
                </c:pt>
                <c:pt idx="350">
                  <c:v>0.86200844592196635</c:v>
                </c:pt>
                <c:pt idx="351">
                  <c:v>0.9122166756053387</c:v>
                </c:pt>
                <c:pt idx="352">
                  <c:v>0.59962257617935577</c:v>
                </c:pt>
                <c:pt idx="353">
                  <c:v>0.95549933039718327</c:v>
                </c:pt>
                <c:pt idx="354">
                  <c:v>1.2971946742463634</c:v>
                </c:pt>
                <c:pt idx="355">
                  <c:v>1.6957489897856117</c:v>
                </c:pt>
                <c:pt idx="356">
                  <c:v>1.9710891873659087</c:v>
                </c:pt>
                <c:pt idx="357">
                  <c:v>2.0121042734159964</c:v>
                </c:pt>
                <c:pt idx="358">
                  <c:v>0.94305747870680812</c:v>
                </c:pt>
                <c:pt idx="359">
                  <c:v>2.7863790243593041</c:v>
                </c:pt>
                <c:pt idx="360">
                  <c:v>2.7828033420004066</c:v>
                </c:pt>
                <c:pt idx="361">
                  <c:v>2.7484765526400841</c:v>
                </c:pt>
                <c:pt idx="362">
                  <c:v>2.5908679002709909</c:v>
                </c:pt>
                <c:pt idx="363">
                  <c:v>2.5657426389027989</c:v>
                </c:pt>
                <c:pt idx="364">
                  <c:v>2.5517900800580042</c:v>
                </c:pt>
                <c:pt idx="365">
                  <c:v>2.626477586791359</c:v>
                </c:pt>
                <c:pt idx="366">
                  <c:v>2.7596202975142066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4-CF49-989B-D3E3B1024EF0}"/>
            </c:ext>
          </c:extLst>
        </c:ser>
        <c:ser>
          <c:idx val="4"/>
          <c:order val="1"/>
          <c:tx>
            <c:v>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'River loads'!$CT$4:$CT$84</c:f>
              <c:numCache>
                <c:formatCode>#,#00</c:formatCode>
                <c:ptCount val="81"/>
                <c:pt idx="4">
                  <c:v>2.2220000000000009</c:v>
                </c:pt>
                <c:pt idx="6">
                  <c:v>3.552</c:v>
                </c:pt>
                <c:pt idx="7">
                  <c:v>3.7</c:v>
                </c:pt>
                <c:pt idx="8">
                  <c:v>3.5441000000000016</c:v>
                </c:pt>
                <c:pt idx="9">
                  <c:v>3.7690999999999999</c:v>
                </c:pt>
                <c:pt idx="10">
                  <c:v>3.5657999999999994</c:v>
                </c:pt>
                <c:pt idx="11">
                  <c:v>3.8408000000000002</c:v>
                </c:pt>
                <c:pt idx="12">
                  <c:v>3.9154</c:v>
                </c:pt>
                <c:pt idx="15">
                  <c:v>3.2</c:v>
                </c:pt>
                <c:pt idx="17">
                  <c:v>2.2000000000000002</c:v>
                </c:pt>
                <c:pt idx="18">
                  <c:v>1.859</c:v>
                </c:pt>
                <c:pt idx="19">
                  <c:v>4.1326999999999998</c:v>
                </c:pt>
                <c:pt idx="20">
                  <c:v>4.1294000000000004</c:v>
                </c:pt>
                <c:pt idx="21">
                  <c:v>3.2192000000000003</c:v>
                </c:pt>
                <c:pt idx="22">
                  <c:v>3.6758000000000002</c:v>
                </c:pt>
                <c:pt idx="23">
                  <c:v>3.7509000000000001</c:v>
                </c:pt>
                <c:pt idx="24">
                  <c:v>2.9609999999999999</c:v>
                </c:pt>
                <c:pt idx="30">
                  <c:v>1.6260000000000001</c:v>
                </c:pt>
                <c:pt idx="31">
                  <c:v>2.0499999999999998</c:v>
                </c:pt>
                <c:pt idx="32">
                  <c:v>0.98399999999999999</c:v>
                </c:pt>
                <c:pt idx="33">
                  <c:v>1.847</c:v>
                </c:pt>
                <c:pt idx="34">
                  <c:v>1.0115000000000001</c:v>
                </c:pt>
                <c:pt idx="35">
                  <c:v>1.6240000000000001</c:v>
                </c:pt>
                <c:pt idx="36">
                  <c:v>3.8546999999999998</c:v>
                </c:pt>
                <c:pt idx="37">
                  <c:v>5.2686999999999999</c:v>
                </c:pt>
                <c:pt idx="38">
                  <c:v>8.4029999999999987</c:v>
                </c:pt>
                <c:pt idx="39">
                  <c:v>7</c:v>
                </c:pt>
                <c:pt idx="40">
                  <c:v>5.1710000000000029</c:v>
                </c:pt>
                <c:pt idx="41">
                  <c:v>5.0527999999999995</c:v>
                </c:pt>
                <c:pt idx="42">
                  <c:v>5.0683999999999996</c:v>
                </c:pt>
                <c:pt idx="47">
                  <c:v>1.2129999999999999</c:v>
                </c:pt>
                <c:pt idx="48">
                  <c:v>4.5079999999999991</c:v>
                </c:pt>
                <c:pt idx="49">
                  <c:v>5.2382999999999997</c:v>
                </c:pt>
                <c:pt idx="50">
                  <c:v>2.4239999999999999</c:v>
                </c:pt>
                <c:pt idx="51">
                  <c:v>3.8723000000000001</c:v>
                </c:pt>
                <c:pt idx="53">
                  <c:v>1.9215</c:v>
                </c:pt>
                <c:pt idx="57">
                  <c:v>0.8287000000000001</c:v>
                </c:pt>
                <c:pt idx="58">
                  <c:v>2.4510000000000001</c:v>
                </c:pt>
                <c:pt idx="59">
                  <c:v>1.236</c:v>
                </c:pt>
              </c:numCache>
            </c:num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24-CF49-989B-D3E3B1024EF0}"/>
            </c:ext>
          </c:extLst>
        </c:ser>
        <c:ser>
          <c:idx val="1"/>
          <c:order val="2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24-CF49-989B-D3E3B1024EF0}"/>
            </c:ext>
          </c:extLst>
        </c:ser>
        <c:ser>
          <c:idx val="2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24-CF49-989B-D3E3B1024EF0}"/>
            </c:ext>
          </c:extLst>
        </c:ser>
        <c:ser>
          <c:idx val="0"/>
          <c:order val="4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loads'!$CY$4:$CY$84</c:f>
              <c:numCache>
                <c:formatCode>General</c:formatCode>
                <c:ptCount val="81"/>
                <c:pt idx="37" formatCode="#,#00">
                  <c:v>5.2686999999999999</c:v>
                </c:pt>
                <c:pt idx="38" formatCode="#,#00">
                  <c:v>8.4029999999999987</c:v>
                </c:pt>
                <c:pt idx="39" formatCode="#,#00">
                  <c:v>7</c:v>
                </c:pt>
              </c:numCache>
            </c:num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24-CF49-989B-D3E3B1024EF0}"/>
            </c:ext>
          </c:extLst>
        </c:ser>
        <c:ser>
          <c:idx val="5"/>
          <c:order val="5"/>
          <c:tx>
            <c:v>Innviertel 1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loads'!$CZ$4:$CZ$84</c:f>
              <c:numCache>
                <c:formatCode>General</c:formatCode>
                <c:ptCount val="81"/>
                <c:pt idx="7" formatCode="#,#00">
                  <c:v>3.6758000000000002</c:v>
                </c:pt>
                <c:pt idx="22" formatCode="#,#00">
                  <c:v>3.6758000000000002</c:v>
                </c:pt>
              </c:numCache>
            </c:num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24-CF49-989B-D3E3B1024EF0}"/>
            </c:ext>
          </c:extLst>
        </c:ser>
        <c:ser>
          <c:idx val="6"/>
          <c:order val="6"/>
          <c:tx>
            <c:v>Innviertel 2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loads'!$DA$4:$DA$84</c:f>
              <c:numCache>
                <c:formatCode>General</c:formatCode>
                <c:ptCount val="81"/>
                <c:pt idx="8" formatCode="#,#00">
                  <c:v>3.5441000000000016</c:v>
                </c:pt>
                <c:pt idx="9" formatCode="#,#00">
                  <c:v>3.7690999999999999</c:v>
                </c:pt>
                <c:pt idx="10" formatCode="#,#00">
                  <c:v>3.5657999999999994</c:v>
                </c:pt>
                <c:pt idx="21" formatCode="#,#00">
                  <c:v>3.2192000000000003</c:v>
                </c:pt>
              </c:numCache>
            </c:num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224-CF49-989B-D3E3B1024EF0}"/>
            </c:ext>
          </c:extLst>
        </c:ser>
        <c:ser>
          <c:idx val="8"/>
          <c:order val="7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loads'!$DC$4:$DC$84</c:f>
              <c:numCache>
                <c:formatCode>General</c:formatCode>
                <c:ptCount val="81"/>
                <c:pt idx="40" formatCode="00,000">
                  <c:v>5.1710000000000029</c:v>
                </c:pt>
                <c:pt idx="41" formatCode="00,000">
                  <c:v>5.0527999999999995</c:v>
                </c:pt>
                <c:pt idx="49" formatCode="00,000">
                  <c:v>5.2382999999999997</c:v>
                </c:pt>
              </c:numCache>
            </c:num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224-CF49-989B-D3E3B1024EF0}"/>
            </c:ext>
          </c:extLst>
        </c:ser>
        <c:ser>
          <c:idx val="7"/>
          <c:order val="8"/>
          <c:tx>
            <c:v>Mühlviertel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'River loads'!$DB$4:$DB$84</c:f>
              <c:numCache>
                <c:formatCode>General</c:formatCode>
                <c:ptCount val="81"/>
                <c:pt idx="15" formatCode="#,#00">
                  <c:v>3.2</c:v>
                </c:pt>
                <c:pt idx="17" formatCode="#,#00">
                  <c:v>2.2000000000000002</c:v>
                </c:pt>
              </c:numCache>
            </c:numRef>
          </c:xVal>
          <c:yVal>
            <c:numRef>
              <c:f>'River loads'!$BZ$4:$BZ$84</c:f>
              <c:numCache>
                <c:formatCode>0.00</c:formatCode>
                <c:ptCount val="81"/>
                <c:pt idx="0">
                  <c:v>2.6655262317098232</c:v>
                </c:pt>
                <c:pt idx="1">
                  <c:v>1.9485959903021188</c:v>
                </c:pt>
                <c:pt idx="2">
                  <c:v>2.4813406067833408</c:v>
                </c:pt>
                <c:pt idx="3">
                  <c:v>2.0300565689513417</c:v>
                </c:pt>
                <c:pt idx="4">
                  <c:v>2.0201278882785183</c:v>
                </c:pt>
                <c:pt idx="5">
                  <c:v>2.7259289828221434</c:v>
                </c:pt>
                <c:pt idx="6">
                  <c:v>3.3925387794626545</c:v>
                </c:pt>
                <c:pt idx="7">
                  <c:v>4.4450933345494867</c:v>
                </c:pt>
                <c:pt idx="8">
                  <c:v>3.973801026933653</c:v>
                </c:pt>
                <c:pt idx="9">
                  <c:v>4.0454679153222619</c:v>
                </c:pt>
                <c:pt idx="10">
                  <c:v>3.774020080309509</c:v>
                </c:pt>
                <c:pt idx="11">
                  <c:v>3.8257618263600457</c:v>
                </c:pt>
                <c:pt idx="12">
                  <c:v>3.7212800435481186</c:v>
                </c:pt>
                <c:pt idx="13">
                  <c:v>2.8979072749418098</c:v>
                </c:pt>
                <c:pt idx="14">
                  <c:v>2.755671225073046</c:v>
                </c:pt>
                <c:pt idx="15">
                  <c:v>1.9909936360675702</c:v>
                </c:pt>
                <c:pt idx="16">
                  <c:v>2.050717391133146</c:v>
                </c:pt>
                <c:pt idx="17">
                  <c:v>1.9419538226398154</c:v>
                </c:pt>
                <c:pt idx="18">
                  <c:v>1.8585362021991243</c:v>
                </c:pt>
                <c:pt idx="19">
                  <c:v>4.4753401132221198</c:v>
                </c:pt>
                <c:pt idx="20">
                  <c:v>3.972010405240368</c:v>
                </c:pt>
                <c:pt idx="21">
                  <c:v>4.1716800965906913</c:v>
                </c:pt>
                <c:pt idx="22">
                  <c:v>3.5830467316713457</c:v>
                </c:pt>
                <c:pt idx="23">
                  <c:v>1.8324315232226764</c:v>
                </c:pt>
                <c:pt idx="24">
                  <c:v>2.4608005786159404</c:v>
                </c:pt>
                <c:pt idx="25">
                  <c:v>2.7278552726223948</c:v>
                </c:pt>
                <c:pt idx="26">
                  <c:v>0.62021646437038846</c:v>
                </c:pt>
                <c:pt idx="27">
                  <c:v>0.69299368402800343</c:v>
                </c:pt>
                <c:pt idx="28">
                  <c:v>1.3417947858091461</c:v>
                </c:pt>
                <c:pt idx="29">
                  <c:v>2.5905102751117139</c:v>
                </c:pt>
                <c:pt idx="30">
                  <c:v>2.6170836666434987</c:v>
                </c:pt>
                <c:pt idx="31">
                  <c:v>2.7152713113303117</c:v>
                </c:pt>
                <c:pt idx="32">
                  <c:v>0.74050984469199777</c:v>
                </c:pt>
                <c:pt idx="33">
                  <c:v>1.7059532135019408</c:v>
                </c:pt>
                <c:pt idx="34">
                  <c:v>0.82224195669818601</c:v>
                </c:pt>
                <c:pt idx="35">
                  <c:v>1.2513652106223243</c:v>
                </c:pt>
                <c:pt idx="36">
                  <c:v>3.379997356883345</c:v>
                </c:pt>
                <c:pt idx="37">
                  <c:v>4.415039551234182</c:v>
                </c:pt>
                <c:pt idx="38">
                  <c:v>6.2484657513089639</c:v>
                </c:pt>
                <c:pt idx="39">
                  <c:v>4.7927607412161777</c:v>
                </c:pt>
                <c:pt idx="40">
                  <c:v>4.0733055291647746</c:v>
                </c:pt>
                <c:pt idx="41">
                  <c:v>3.9917108434700665</c:v>
                </c:pt>
                <c:pt idx="42">
                  <c:v>3.8091266419729797</c:v>
                </c:pt>
                <c:pt idx="43">
                  <c:v>0.92890312036364986</c:v>
                </c:pt>
                <c:pt idx="44">
                  <c:v>1.0934999560791112</c:v>
                </c:pt>
                <c:pt idx="45">
                  <c:v>1.3107674139751377</c:v>
                </c:pt>
                <c:pt idx="46">
                  <c:v>0.78817570890797073</c:v>
                </c:pt>
                <c:pt idx="47">
                  <c:v>1.2521879511723513</c:v>
                </c:pt>
                <c:pt idx="48">
                  <c:v>3.3493292258262164</c:v>
                </c:pt>
                <c:pt idx="49">
                  <c:v>3.3702418748189422</c:v>
                </c:pt>
                <c:pt idx="50">
                  <c:v>2.0359958463340311</c:v>
                </c:pt>
                <c:pt idx="51">
                  <c:v>2.5981316456266796</c:v>
                </c:pt>
                <c:pt idx="52">
                  <c:v>2.2451239982127436</c:v>
                </c:pt>
                <c:pt idx="53">
                  <c:v>1.5683674031439681</c:v>
                </c:pt>
                <c:pt idx="54">
                  <c:v>2.1515620415109837</c:v>
                </c:pt>
                <c:pt idx="55">
                  <c:v>3.2910914769762356</c:v>
                </c:pt>
                <c:pt idx="56">
                  <c:v>2.5542296485014528</c:v>
                </c:pt>
                <c:pt idx="57">
                  <c:v>0.79843610530605369</c:v>
                </c:pt>
                <c:pt idx="58">
                  <c:v>1.6010727398805216</c:v>
                </c:pt>
                <c:pt idx="59">
                  <c:v>1.1976372457880762</c:v>
                </c:pt>
                <c:pt idx="60">
                  <c:v>2.759408776938292</c:v>
                </c:pt>
                <c:pt idx="61">
                  <c:v>2.5317556070182978</c:v>
                </c:pt>
                <c:pt idx="62">
                  <c:v>2.3030940516243712</c:v>
                </c:pt>
                <c:pt idx="63">
                  <c:v>1.7858252795349863</c:v>
                </c:pt>
                <c:pt idx="64">
                  <c:v>0.55594978817806251</c:v>
                </c:pt>
                <c:pt idx="65">
                  <c:v>0.62178692588427475</c:v>
                </c:pt>
                <c:pt idx="66">
                  <c:v>0.5999497828486946</c:v>
                </c:pt>
                <c:pt idx="67">
                  <c:v>1.2813641163537475</c:v>
                </c:pt>
                <c:pt idx="68">
                  <c:v>1.4286372807735754</c:v>
                </c:pt>
                <c:pt idx="69">
                  <c:v>0.69398466645154488</c:v>
                </c:pt>
                <c:pt idx="70">
                  <c:v>0.76249095147987245</c:v>
                </c:pt>
                <c:pt idx="71">
                  <c:v>0.92448250413665856</c:v>
                </c:pt>
                <c:pt idx="72">
                  <c:v>1.0411565835418428</c:v>
                </c:pt>
                <c:pt idx="73">
                  <c:v>1.4923898047895323</c:v>
                </c:pt>
                <c:pt idx="74">
                  <c:v>1.0032454913927513</c:v>
                </c:pt>
                <c:pt idx="75">
                  <c:v>1.0430338923429487</c:v>
                </c:pt>
                <c:pt idx="76">
                  <c:v>1.1895653707055622</c:v>
                </c:pt>
                <c:pt idx="77">
                  <c:v>0.80476138467072678</c:v>
                </c:pt>
                <c:pt idx="78">
                  <c:v>1.3303470075562782</c:v>
                </c:pt>
                <c:pt idx="79">
                  <c:v>1.1451281828296316</c:v>
                </c:pt>
                <c:pt idx="80">
                  <c:v>1.1735814395719737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224-CF49-989B-D3E3B1024EF0}"/>
            </c:ext>
          </c:extLst>
        </c:ser>
        <c:ser>
          <c:idx val="3"/>
          <c:order val="9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224-CF49-989B-D3E3B1024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62336"/>
        <c:axId val="110864256"/>
      </c:scatterChart>
      <c:valAx>
        <c:axId val="110862336"/>
        <c:scaling>
          <c:orientation val="minMax"/>
          <c:max val="9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NO3-N beobachtet als C-90 % (mg/l)</a:t>
                </a:r>
              </a:p>
            </c:rich>
          </c:tx>
          <c:layout>
            <c:manualLayout>
              <c:xMode val="edge"/>
              <c:yMode val="edge"/>
              <c:x val="0.28575847373916974"/>
              <c:y val="0.917074695074880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864256"/>
        <c:crossesAt val="0"/>
        <c:crossBetween val="midCat"/>
        <c:majorUnit val="1"/>
      </c:valAx>
      <c:valAx>
        <c:axId val="110864256"/>
        <c:scaling>
          <c:orientation val="minMax"/>
          <c:max val="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NO3.N modelliert als</a:t>
                </a:r>
                <a:r>
                  <a:rPr lang="de-DE" baseline="0"/>
                  <a:t> </a:t>
                </a:r>
                <a:r>
                  <a:rPr lang="de-DE"/>
                  <a:t>C-90%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862336"/>
        <c:crossesAt val="0"/>
        <c:crossBetween val="midCat"/>
        <c:majorUnit val="1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.18979076002596451"/>
          <c:y val="7.1006700633009082E-2"/>
          <c:w val="0.30448023029379395"/>
          <c:h val="0.24568114867994439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914401828804"/>
          <c:y val="6.1032947352169228E-2"/>
          <c:w val="0.74942116106454471"/>
          <c:h val="0.77699708635262277"/>
        </c:manualLayout>
      </c:layout>
      <c:scatterChart>
        <c:scatterStyle val="lineMarker"/>
        <c:varyColors val="0"/>
        <c:ser>
          <c:idx val="4"/>
          <c:order val="0"/>
          <c:tx>
            <c:v>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'River loads'!$DI$4:$DI$84</c:f>
              <c:numCache>
                <c:formatCode>0,000</c:formatCode>
                <c:ptCount val="81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0.12</c:v>
                </c:pt>
                <c:pt idx="8">
                  <c:v>0</c:v>
                </c:pt>
                <c:pt idx="9">
                  <c:v>0.18301111111111118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7">
                  <c:v>0.06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0.20147191011235949</c:v>
                </c:pt>
                <c:pt idx="23">
                  <c:v>7.3670731707317083E-2</c:v>
                </c:pt>
                <c:pt idx="24">
                  <c:v>0</c:v>
                </c:pt>
                <c:pt idx="30">
                  <c:v>2.4994505494505478E-2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6.6505376344086042E-2</c:v>
                </c:pt>
                <c:pt idx="39">
                  <c:v>0.08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0.12622448979591838</c:v>
                </c:pt>
                <c:pt idx="50">
                  <c:v>0</c:v>
                </c:pt>
                <c:pt idx="51">
                  <c:v>0</c:v>
                </c:pt>
                <c:pt idx="53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8">
                  <c:v>0</c:v>
                </c:pt>
                <c:pt idx="71">
                  <c:v>0</c:v>
                </c:pt>
                <c:pt idx="77">
                  <c:v>0</c:v>
                </c:pt>
                <c:pt idx="80">
                  <c:v>0</c:v>
                </c:pt>
              </c:numCache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A-5644-AF95-330A185EC55B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4A-5644-AF95-330A185EC55B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4A-5644-AF95-330A185EC55B}"/>
            </c:ext>
          </c:extLst>
        </c:ser>
        <c:ser>
          <c:idx val="0"/>
          <c:order val="3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loads'!$DL$4:$DL$84</c:f>
              <c:numCache>
                <c:formatCode>General</c:formatCode>
                <c:ptCount val="81"/>
                <c:pt idx="37" formatCode="0,000">
                  <c:v>0</c:v>
                </c:pt>
                <c:pt idx="38" formatCode="0,000">
                  <c:v>6.6505376344086042E-2</c:v>
                </c:pt>
                <c:pt idx="39" formatCode="0,000">
                  <c:v>0.08</c:v>
                </c:pt>
              </c:numCache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4A-5644-AF95-330A185EC55B}"/>
            </c:ext>
          </c:extLst>
        </c:ser>
        <c:ser>
          <c:idx val="5"/>
          <c:order val="4"/>
          <c:tx>
            <c:v>Innviertel 1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loads'!$DM$4:$DM$84</c:f>
              <c:numCache>
                <c:formatCode>General</c:formatCode>
                <c:ptCount val="81"/>
                <c:pt idx="7" formatCode="0,000">
                  <c:v>0.12</c:v>
                </c:pt>
                <c:pt idx="22" formatCode="0,000">
                  <c:v>0.20147191011235949</c:v>
                </c:pt>
              </c:numCache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4A-5644-AF95-330A185EC55B}"/>
            </c:ext>
          </c:extLst>
        </c:ser>
        <c:ser>
          <c:idx val="6"/>
          <c:order val="5"/>
          <c:tx>
            <c:v>Innviertel 2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loads'!$DN$4:$DN$84</c:f>
              <c:numCache>
                <c:formatCode>General</c:formatCode>
                <c:ptCount val="81"/>
                <c:pt idx="8" formatCode="0,000">
                  <c:v>0</c:v>
                </c:pt>
                <c:pt idx="9" formatCode="0,000">
                  <c:v>0.18301111111111118</c:v>
                </c:pt>
                <c:pt idx="10" formatCode="0,000">
                  <c:v>0</c:v>
                </c:pt>
                <c:pt idx="21" formatCode="0,000">
                  <c:v>0</c:v>
                </c:pt>
              </c:numCache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4A-5644-AF95-330A185EC55B}"/>
            </c:ext>
          </c:extLst>
        </c:ser>
        <c:ser>
          <c:idx val="8"/>
          <c:order val="6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loads'!$DP$4:$DP$84</c:f>
              <c:numCache>
                <c:formatCode>General</c:formatCode>
                <c:ptCount val="81"/>
                <c:pt idx="40" formatCode="0,000">
                  <c:v>0</c:v>
                </c:pt>
                <c:pt idx="41" formatCode="0,000">
                  <c:v>0</c:v>
                </c:pt>
                <c:pt idx="49" formatCode="0,000">
                  <c:v>0.12622448979591838</c:v>
                </c:pt>
              </c:numCache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4A-5644-AF95-330A185EC55B}"/>
            </c:ext>
          </c:extLst>
        </c:ser>
        <c:ser>
          <c:idx val="7"/>
          <c:order val="7"/>
          <c:tx>
            <c:v>Mühlviertel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'River loads'!$DO$4:$DO$84</c:f>
              <c:numCache>
                <c:formatCode>General</c:formatCode>
                <c:ptCount val="81"/>
                <c:pt idx="15" formatCode="0,000">
                  <c:v>0</c:v>
                </c:pt>
                <c:pt idx="17" formatCode="0,000">
                  <c:v>0.06</c:v>
                </c:pt>
              </c:numCache>
            </c:numRef>
          </c:xVal>
          <c:yVal>
            <c:numRef>
              <c:f>'River loads'!$BU$4:$BU$84</c:f>
              <c:numCache>
                <c:formatCode>0,000</c:formatCode>
                <c:ptCount val="81"/>
                <c:pt idx="0">
                  <c:v>4.4893154830520046E-2</c:v>
                </c:pt>
                <c:pt idx="1">
                  <c:v>0.11547492975517214</c:v>
                </c:pt>
                <c:pt idx="2">
                  <c:v>8.0226360587548631E-2</c:v>
                </c:pt>
                <c:pt idx="3">
                  <c:v>4.3509228084652997E-2</c:v>
                </c:pt>
                <c:pt idx="4">
                  <c:v>4.7747030968567604E-2</c:v>
                </c:pt>
                <c:pt idx="5">
                  <c:v>4.1857270984172218E-2</c:v>
                </c:pt>
                <c:pt idx="6">
                  <c:v>0.10728702186777461</c:v>
                </c:pt>
                <c:pt idx="7">
                  <c:v>0.18183219043032167</c:v>
                </c:pt>
                <c:pt idx="8">
                  <c:v>0.15498097623018542</c:v>
                </c:pt>
                <c:pt idx="9">
                  <c:v>0.16949992796121682</c:v>
                </c:pt>
                <c:pt idx="10">
                  <c:v>0.14354933621371205</c:v>
                </c:pt>
                <c:pt idx="11">
                  <c:v>0.15323932323307321</c:v>
                </c:pt>
                <c:pt idx="12">
                  <c:v>0.15827461776940469</c:v>
                </c:pt>
                <c:pt idx="13">
                  <c:v>0.10410468931490341</c:v>
                </c:pt>
                <c:pt idx="14">
                  <c:v>4.2745808511382301E-2</c:v>
                </c:pt>
                <c:pt idx="15">
                  <c:v>5.5198013054885572E-2</c:v>
                </c:pt>
                <c:pt idx="16">
                  <c:v>3.2993236530585349E-2</c:v>
                </c:pt>
                <c:pt idx="17">
                  <c:v>4.1662542393360064E-2</c:v>
                </c:pt>
                <c:pt idx="18">
                  <c:v>2.5516066741822486E-2</c:v>
                </c:pt>
                <c:pt idx="19">
                  <c:v>0.16230683511548266</c:v>
                </c:pt>
                <c:pt idx="20">
                  <c:v>0.14366301402557885</c:v>
                </c:pt>
                <c:pt idx="21">
                  <c:v>0.1894213613236633</c:v>
                </c:pt>
                <c:pt idx="22">
                  <c:v>0.18750717956877269</c:v>
                </c:pt>
                <c:pt idx="23">
                  <c:v>4.4888371264125169E-2</c:v>
                </c:pt>
                <c:pt idx="24">
                  <c:v>6.0447523012655879E-2</c:v>
                </c:pt>
                <c:pt idx="25">
                  <c:v>0.10972486462896942</c:v>
                </c:pt>
                <c:pt idx="26">
                  <c:v>2.5646807480376978E-2</c:v>
                </c:pt>
                <c:pt idx="27">
                  <c:v>1.1639810156267593E-2</c:v>
                </c:pt>
                <c:pt idx="28">
                  <c:v>1.9667337277922012E-2</c:v>
                </c:pt>
                <c:pt idx="29">
                  <c:v>3.7208836938645386E-2</c:v>
                </c:pt>
                <c:pt idx="30">
                  <c:v>3.3116222066567898E-2</c:v>
                </c:pt>
                <c:pt idx="31">
                  <c:v>4.6345458575035137E-2</c:v>
                </c:pt>
                <c:pt idx="32">
                  <c:v>9.3636412930116833E-3</c:v>
                </c:pt>
                <c:pt idx="33">
                  <c:v>3.6525965750663164E-2</c:v>
                </c:pt>
                <c:pt idx="34">
                  <c:v>7.8877176081994602E-3</c:v>
                </c:pt>
                <c:pt idx="35">
                  <c:v>2.7280132311819971E-2</c:v>
                </c:pt>
                <c:pt idx="36">
                  <c:v>0.13324425994177838</c:v>
                </c:pt>
                <c:pt idx="37">
                  <c:v>0.16879882599510843</c:v>
                </c:pt>
                <c:pt idx="38">
                  <c:v>0.22192437587630451</c:v>
                </c:pt>
                <c:pt idx="39">
                  <c:v>0.18711097010011987</c:v>
                </c:pt>
                <c:pt idx="40">
                  <c:v>0.12822574022161268</c:v>
                </c:pt>
                <c:pt idx="41">
                  <c:v>0.14175350795638222</c:v>
                </c:pt>
                <c:pt idx="42">
                  <c:v>0.14269888946050507</c:v>
                </c:pt>
                <c:pt idx="43">
                  <c:v>1.2269101261775685E-2</c:v>
                </c:pt>
                <c:pt idx="44">
                  <c:v>1.682611204851632E-2</c:v>
                </c:pt>
                <c:pt idx="45">
                  <c:v>1.3466466305241818E-2</c:v>
                </c:pt>
                <c:pt idx="46">
                  <c:v>8.9048714971147781E-3</c:v>
                </c:pt>
                <c:pt idx="47">
                  <c:v>1.7888936296150782E-2</c:v>
                </c:pt>
                <c:pt idx="48">
                  <c:v>5.9731141916982193E-2</c:v>
                </c:pt>
                <c:pt idx="49">
                  <c:v>0.11093324927493101</c:v>
                </c:pt>
                <c:pt idx="50">
                  <c:v>4.4337850271206687E-2</c:v>
                </c:pt>
                <c:pt idx="51">
                  <c:v>7.6762175716749051E-2</c:v>
                </c:pt>
                <c:pt idx="52">
                  <c:v>7.2701817246107844E-2</c:v>
                </c:pt>
                <c:pt idx="53">
                  <c:v>3.3531835804240288E-2</c:v>
                </c:pt>
                <c:pt idx="54">
                  <c:v>5.7151008800293168E-2</c:v>
                </c:pt>
                <c:pt idx="55">
                  <c:v>7.0668897740502806E-2</c:v>
                </c:pt>
                <c:pt idx="56">
                  <c:v>4.4527355791951655E-2</c:v>
                </c:pt>
                <c:pt idx="57">
                  <c:v>2.0601503532891807E-2</c:v>
                </c:pt>
                <c:pt idx="58">
                  <c:v>4.3451735760915274E-2</c:v>
                </c:pt>
                <c:pt idx="59">
                  <c:v>2.1868393650677949E-2</c:v>
                </c:pt>
                <c:pt idx="60">
                  <c:v>9.8646086636145699E-2</c:v>
                </c:pt>
                <c:pt idx="61">
                  <c:v>8.4826886531200546E-2</c:v>
                </c:pt>
                <c:pt idx="62">
                  <c:v>6.7904047965280059E-2</c:v>
                </c:pt>
                <c:pt idx="63">
                  <c:v>4.6708776752156199E-2</c:v>
                </c:pt>
                <c:pt idx="64">
                  <c:v>3.2147266024212223E-2</c:v>
                </c:pt>
                <c:pt idx="65">
                  <c:v>2.3477366384890758E-2</c:v>
                </c:pt>
                <c:pt idx="66">
                  <c:v>2.1203376458291859E-2</c:v>
                </c:pt>
                <c:pt idx="67">
                  <c:v>2.5955951593671738E-2</c:v>
                </c:pt>
                <c:pt idx="68">
                  <c:v>3.6665910854215118E-2</c:v>
                </c:pt>
                <c:pt idx="69">
                  <c:v>2.5460329134457088E-2</c:v>
                </c:pt>
                <c:pt idx="70">
                  <c:v>1.8140588626861329E-2</c:v>
                </c:pt>
                <c:pt idx="71">
                  <c:v>3.0373117764175495E-2</c:v>
                </c:pt>
                <c:pt idx="72">
                  <c:v>1.2329231276893326E-2</c:v>
                </c:pt>
                <c:pt idx="73">
                  <c:v>9.2376770082762856E-3</c:v>
                </c:pt>
                <c:pt idx="74">
                  <c:v>5.1972960237561998E-3</c:v>
                </c:pt>
                <c:pt idx="75">
                  <c:v>5.7470838446304533E-3</c:v>
                </c:pt>
                <c:pt idx="76">
                  <c:v>8.1419934643150779E-3</c:v>
                </c:pt>
                <c:pt idx="77">
                  <c:v>1.6489836870734048E-2</c:v>
                </c:pt>
                <c:pt idx="78">
                  <c:v>2.8365066710578576E-2</c:v>
                </c:pt>
                <c:pt idx="79">
                  <c:v>2.860003629010124E-2</c:v>
                </c:pt>
                <c:pt idx="80">
                  <c:v>2.1675673354418178E-2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4A-5644-AF95-330A185EC55B}"/>
            </c:ext>
          </c:extLst>
        </c:ser>
        <c:ser>
          <c:idx val="3"/>
          <c:order val="8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4A-5644-AF95-330A185EC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10496"/>
        <c:axId val="111620864"/>
      </c:scatterChart>
      <c:valAx>
        <c:axId val="111610496"/>
        <c:scaling>
          <c:orientation val="minMax"/>
          <c:max val="0.300000000000000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TP-Mittelwerte beobachtet  (mg/l)</a:t>
                </a:r>
              </a:p>
            </c:rich>
          </c:tx>
          <c:layout>
            <c:manualLayout>
              <c:xMode val="edge"/>
              <c:yMode val="edge"/>
              <c:x val="0.28575847373916974"/>
              <c:y val="0.917074695074880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620864"/>
        <c:crossesAt val="0"/>
        <c:crossBetween val="midCat"/>
        <c:majorUnit val="0.1"/>
      </c:valAx>
      <c:valAx>
        <c:axId val="111620864"/>
        <c:scaling>
          <c:orientation val="minMax"/>
          <c:max val="0.3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TP Mittelwerte</a:t>
                </a:r>
                <a:r>
                  <a:rPr lang="de-DE" baseline="0"/>
                  <a:t> </a:t>
                </a:r>
                <a:r>
                  <a:rPr lang="de-DE"/>
                  <a:t>modelliert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610496"/>
        <c:crossesAt val="0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8979076002596451"/>
          <c:y val="7.1006700633009082E-2"/>
          <c:w val="0.30448023029379395"/>
          <c:h val="0.24568114867994439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914401828804"/>
          <c:y val="6.1032947352169228E-2"/>
          <c:w val="0.74942116106454471"/>
          <c:h val="0.77699708635262277"/>
        </c:manualLayout>
      </c:layout>
      <c:scatterChart>
        <c:scatterStyle val="lineMarker"/>
        <c:varyColors val="0"/>
        <c:ser>
          <c:idx val="4"/>
          <c:order val="0"/>
          <c:tx>
            <c:v>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trendline>
            <c:trendlineType val="linear"/>
            <c:intercept val="0"/>
            <c:dispRSqr val="1"/>
            <c:dispEq val="0"/>
            <c:trendlineLbl>
              <c:numFmt formatCode="General" sourceLinked="0"/>
            </c:trendlineLbl>
          </c:trendline>
          <c:xVal>
            <c:numRef>
              <c:f>'River loads'!$DR$4:$DR$84</c:f>
              <c:numCache>
                <c:formatCode>#,#00</c:formatCode>
                <c:ptCount val="81"/>
                <c:pt idx="0">
                  <c:v>22.076666666666672</c:v>
                </c:pt>
                <c:pt idx="1">
                  <c:v>16.776000000000003</c:v>
                </c:pt>
                <c:pt idx="2">
                  <c:v>18.640000000000004</c:v>
                </c:pt>
                <c:pt idx="3">
                  <c:v>8.7419999999999991</c:v>
                </c:pt>
                <c:pt idx="4">
                  <c:v>12.329545454545455</c:v>
                </c:pt>
                <c:pt idx="5">
                  <c:v>14.68</c:v>
                </c:pt>
                <c:pt idx="6">
                  <c:v>13.346</c:v>
                </c:pt>
                <c:pt idx="7">
                  <c:v>8.1</c:v>
                </c:pt>
                <c:pt idx="8">
                  <c:v>11.65</c:v>
                </c:pt>
                <c:pt idx="9">
                  <c:v>11.578000000000001</c:v>
                </c:pt>
                <c:pt idx="10">
                  <c:v>14.886666666666663</c:v>
                </c:pt>
                <c:pt idx="11">
                  <c:v>17.341428571428573</c:v>
                </c:pt>
                <c:pt idx="12">
                  <c:v>26.95</c:v>
                </c:pt>
                <c:pt idx="13">
                  <c:v>30.318750000000005</c:v>
                </c:pt>
                <c:pt idx="14">
                  <c:v>22.330000000000002</c:v>
                </c:pt>
                <c:pt idx="15">
                  <c:v>15.850000000000001</c:v>
                </c:pt>
                <c:pt idx="16">
                  <c:v>13.320000000000002</c:v>
                </c:pt>
                <c:pt idx="17">
                  <c:v>9.6</c:v>
                </c:pt>
                <c:pt idx="18">
                  <c:v>6.55</c:v>
                </c:pt>
                <c:pt idx="19">
                  <c:v>13.667499999999997</c:v>
                </c:pt>
                <c:pt idx="20">
                  <c:v>25.453999999999997</c:v>
                </c:pt>
                <c:pt idx="21">
                  <c:v>11.1875</c:v>
                </c:pt>
                <c:pt idx="22">
                  <c:v>33.671935483870975</c:v>
                </c:pt>
                <c:pt idx="23">
                  <c:v>23.579000000000001</c:v>
                </c:pt>
                <c:pt idx="24">
                  <c:v>12.874000000000001</c:v>
                </c:pt>
                <c:pt idx="25">
                  <c:v>25.299999999999997</c:v>
                </c:pt>
                <c:pt idx="26">
                  <c:v>2.3699999999999997</c:v>
                </c:pt>
                <c:pt idx="27">
                  <c:v>4.0739999999999998</c:v>
                </c:pt>
                <c:pt idx="28">
                  <c:v>7.1550000000000002</c:v>
                </c:pt>
                <c:pt idx="29">
                  <c:v>13.82666666666667</c:v>
                </c:pt>
                <c:pt idx="30">
                  <c:v>7.2459999999999996</c:v>
                </c:pt>
                <c:pt idx="31">
                  <c:v>10.108000000000001</c:v>
                </c:pt>
                <c:pt idx="32">
                  <c:v>9.5599999999999969</c:v>
                </c:pt>
                <c:pt idx="33">
                  <c:v>19.052941176470586</c:v>
                </c:pt>
                <c:pt idx="34">
                  <c:v>4.41</c:v>
                </c:pt>
                <c:pt idx="35">
                  <c:v>15.084666666666667</c:v>
                </c:pt>
                <c:pt idx="36">
                  <c:v>14.022</c:v>
                </c:pt>
                <c:pt idx="37">
                  <c:v>43.234117647058824</c:v>
                </c:pt>
                <c:pt idx="38">
                  <c:v>39.683333333333323</c:v>
                </c:pt>
                <c:pt idx="39">
                  <c:v>35.078421052631576</c:v>
                </c:pt>
                <c:pt idx="41">
                  <c:v>5.379999999999999</c:v>
                </c:pt>
                <c:pt idx="42">
                  <c:v>22.07</c:v>
                </c:pt>
                <c:pt idx="44">
                  <c:v>3.05</c:v>
                </c:pt>
                <c:pt idx="45">
                  <c:v>5.32</c:v>
                </c:pt>
                <c:pt idx="46">
                  <c:v>2.06</c:v>
                </c:pt>
                <c:pt idx="47">
                  <c:v>4.4371428571428577</c:v>
                </c:pt>
                <c:pt idx="49">
                  <c:v>21.610000000000003</c:v>
                </c:pt>
                <c:pt idx="50">
                  <c:v>4.7866666666666653</c:v>
                </c:pt>
                <c:pt idx="51">
                  <c:v>25.2575</c:v>
                </c:pt>
                <c:pt idx="53">
                  <c:v>10.485000000000001</c:v>
                </c:pt>
                <c:pt idx="54">
                  <c:v>17.454999999999998</c:v>
                </c:pt>
                <c:pt idx="56">
                  <c:v>6.9849999999999994</c:v>
                </c:pt>
                <c:pt idx="57">
                  <c:v>3.0733333333333328</c:v>
                </c:pt>
                <c:pt idx="58">
                  <c:v>28.911944444444437</c:v>
                </c:pt>
                <c:pt idx="60">
                  <c:v>14.530000000000001</c:v>
                </c:pt>
                <c:pt idx="61">
                  <c:v>10.545</c:v>
                </c:pt>
                <c:pt idx="62">
                  <c:v>31.566923076923082</c:v>
                </c:pt>
                <c:pt idx="63">
                  <c:v>24.017083333333336</c:v>
                </c:pt>
                <c:pt idx="64">
                  <c:v>3.5</c:v>
                </c:pt>
                <c:pt idx="67">
                  <c:v>4.7600000000000007</c:v>
                </c:pt>
                <c:pt idx="68">
                  <c:v>3.3166666666666664</c:v>
                </c:pt>
                <c:pt idx="69">
                  <c:v>4.83</c:v>
                </c:pt>
                <c:pt idx="70">
                  <c:v>3.0725000000000002</c:v>
                </c:pt>
                <c:pt idx="71">
                  <c:v>3.9987500000000002</c:v>
                </c:pt>
                <c:pt idx="72">
                  <c:v>3.28</c:v>
                </c:pt>
                <c:pt idx="73">
                  <c:v>6.33</c:v>
                </c:pt>
                <c:pt idx="75">
                  <c:v>3.7900000000000005</c:v>
                </c:pt>
                <c:pt idx="76">
                  <c:v>5.39</c:v>
                </c:pt>
                <c:pt idx="77">
                  <c:v>2.59</c:v>
                </c:pt>
                <c:pt idx="78">
                  <c:v>3.5564999999999998</c:v>
                </c:pt>
                <c:pt idx="79">
                  <c:v>3.5906250000000002</c:v>
                </c:pt>
                <c:pt idx="80">
                  <c:v>4.6218181818181812</c:v>
                </c:pt>
              </c:numCache>
            </c:numRef>
          </c:xVal>
          <c:yVal>
            <c:numRef>
              <c:f>'River loads'!$DS$4:$DS$84</c:f>
              <c:numCache>
                <c:formatCode>#,#00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2-A845-B6F2-A08CDAE505DD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F2-A845-B6F2-A08CDAE505DD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2-A845-B6F2-A08CDAE505DD}"/>
            </c:ext>
          </c:extLst>
        </c:ser>
        <c:ser>
          <c:idx val="0"/>
          <c:order val="3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loads'!$DT$4:$DT$84</c:f>
              <c:numCache>
                <c:formatCode>General</c:formatCode>
                <c:ptCount val="81"/>
                <c:pt idx="37" formatCode="#,#00">
                  <c:v>43.234117647058824</c:v>
                </c:pt>
                <c:pt idx="38" formatCode="#,#00">
                  <c:v>39.683333333333323</c:v>
                </c:pt>
                <c:pt idx="39" formatCode="#,#00">
                  <c:v>35.078421052631576</c:v>
                </c:pt>
              </c:numCache>
            </c:numRef>
          </c:xVal>
          <c:yVal>
            <c:numRef>
              <c:f>'River loads'!$DS$4:$DS$84</c:f>
              <c:numCache>
                <c:formatCode>#,#00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F2-A845-B6F2-A08CDAE505DD}"/>
            </c:ext>
          </c:extLst>
        </c:ser>
        <c:ser>
          <c:idx val="5"/>
          <c:order val="4"/>
          <c:tx>
            <c:v>Innviertel 1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loads'!$DU$4:$DU$84</c:f>
              <c:numCache>
                <c:formatCode>General</c:formatCode>
                <c:ptCount val="81"/>
                <c:pt idx="7" formatCode="#,#00">
                  <c:v>8.1</c:v>
                </c:pt>
                <c:pt idx="22" formatCode="#,#00">
                  <c:v>33.671935483870975</c:v>
                </c:pt>
              </c:numCache>
            </c:numRef>
          </c:xVal>
          <c:yVal>
            <c:numRef>
              <c:f>'River loads'!$DS$4:$DS$84</c:f>
              <c:numCache>
                <c:formatCode>#,#00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F2-A845-B6F2-A08CDAE505DD}"/>
            </c:ext>
          </c:extLst>
        </c:ser>
        <c:ser>
          <c:idx val="6"/>
          <c:order val="5"/>
          <c:tx>
            <c:v>Innviertel 2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loads'!$DV$4:$DV$84</c:f>
              <c:numCache>
                <c:formatCode>General</c:formatCode>
                <c:ptCount val="81"/>
                <c:pt idx="8" formatCode="#,#00">
                  <c:v>11.65</c:v>
                </c:pt>
                <c:pt idx="9" formatCode="#,#00">
                  <c:v>11.578000000000001</c:v>
                </c:pt>
                <c:pt idx="10" formatCode="#,#00">
                  <c:v>14.886666666666663</c:v>
                </c:pt>
                <c:pt idx="21" formatCode="#,#00">
                  <c:v>11.1875</c:v>
                </c:pt>
              </c:numCache>
            </c:numRef>
          </c:xVal>
          <c:yVal>
            <c:numRef>
              <c:f>'River loads'!$DS$4:$DS$84</c:f>
              <c:numCache>
                <c:formatCode>#,#00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F2-A845-B6F2-A08CDAE505DD}"/>
            </c:ext>
          </c:extLst>
        </c:ser>
        <c:ser>
          <c:idx val="8"/>
          <c:order val="6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loads'!$DW$4:$DW$84</c:f>
              <c:numCache>
                <c:formatCode>General</c:formatCode>
                <c:ptCount val="81"/>
                <c:pt idx="15" formatCode="0,000">
                  <c:v>15.850000000000001</c:v>
                </c:pt>
                <c:pt idx="17" formatCode="0,000">
                  <c:v>9.6</c:v>
                </c:pt>
              </c:numCache>
            </c:numRef>
          </c:xVal>
          <c:yVal>
            <c:numRef>
              <c:f>'River loads'!$DS$4:$DS$84</c:f>
              <c:numCache>
                <c:formatCode>#,#00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F2-A845-B6F2-A08CDAE505DD}"/>
            </c:ext>
          </c:extLst>
        </c:ser>
        <c:ser>
          <c:idx val="7"/>
          <c:order val="7"/>
          <c:tx>
            <c:v>Mühlviertel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'River loads'!$DX$4:$DX$84</c:f>
              <c:numCache>
                <c:formatCode>General</c:formatCode>
                <c:ptCount val="81"/>
                <c:pt idx="41" formatCode="#,#00">
                  <c:v>5.379999999999999</c:v>
                </c:pt>
                <c:pt idx="49" formatCode="#,#00">
                  <c:v>21.610000000000003</c:v>
                </c:pt>
              </c:numCache>
            </c:numRef>
          </c:xVal>
          <c:yVal>
            <c:numRef>
              <c:f>'River loads'!$DS$4:$DS$84</c:f>
              <c:numCache>
                <c:formatCode>#,#00</c:formatCode>
                <c:ptCount val="81"/>
                <c:pt idx="0">
                  <c:v>18.461452325519563</c:v>
                </c:pt>
                <c:pt idx="1">
                  <c:v>35.466457071676736</c:v>
                </c:pt>
                <c:pt idx="2">
                  <c:v>13.15165521391698</c:v>
                </c:pt>
                <c:pt idx="3">
                  <c:v>18.623541543768972</c:v>
                </c:pt>
                <c:pt idx="4">
                  <c:v>14.98368571006892</c:v>
                </c:pt>
                <c:pt idx="5">
                  <c:v>15.045822641583046</c:v>
                </c:pt>
                <c:pt idx="6">
                  <c:v>16.259524198911407</c:v>
                </c:pt>
                <c:pt idx="7">
                  <c:v>18.465507163384395</c:v>
                </c:pt>
                <c:pt idx="8">
                  <c:v>18.495909847983199</c:v>
                </c:pt>
                <c:pt idx="9">
                  <c:v>20.241196008571304</c:v>
                </c:pt>
                <c:pt idx="10">
                  <c:v>19.806286088720732</c:v>
                </c:pt>
                <c:pt idx="11">
                  <c:v>18.171571813727798</c:v>
                </c:pt>
                <c:pt idx="12">
                  <c:v>16.958624861097288</c:v>
                </c:pt>
                <c:pt idx="13">
                  <c:v>17.304878410471904</c:v>
                </c:pt>
                <c:pt idx="14">
                  <c:v>8.1245737846722434</c:v>
                </c:pt>
                <c:pt idx="15">
                  <c:v>10.258037992239629</c:v>
                </c:pt>
                <c:pt idx="16">
                  <c:v>9.5447041328867481</c:v>
                </c:pt>
                <c:pt idx="17">
                  <c:v>10.390242466923386</c:v>
                </c:pt>
                <c:pt idx="18">
                  <c:v>6.3288782745437802</c:v>
                </c:pt>
                <c:pt idx="19">
                  <c:v>20.325631904147794</c:v>
                </c:pt>
                <c:pt idx="20">
                  <c:v>13.344671949616243</c:v>
                </c:pt>
                <c:pt idx="21">
                  <c:v>22.003105528462349</c:v>
                </c:pt>
                <c:pt idx="22">
                  <c:v>19.434174780556166</c:v>
                </c:pt>
                <c:pt idx="23">
                  <c:v>14.010354143846188</c:v>
                </c:pt>
                <c:pt idx="24">
                  <c:v>13.221149257747474</c:v>
                </c:pt>
                <c:pt idx="25">
                  <c:v>13.032254621706274</c:v>
                </c:pt>
                <c:pt idx="26">
                  <c:v>2.2933072854831797</c:v>
                </c:pt>
                <c:pt idx="27">
                  <c:v>3.6504461845422216</c:v>
                </c:pt>
                <c:pt idx="28">
                  <c:v>6.9559175990361632</c:v>
                </c:pt>
                <c:pt idx="29">
                  <c:v>12.420019727844316</c:v>
                </c:pt>
                <c:pt idx="30">
                  <c:v>11.843348521568009</c:v>
                </c:pt>
                <c:pt idx="31">
                  <c:v>13.355957434313149</c:v>
                </c:pt>
                <c:pt idx="32">
                  <c:v>5.7511776763981857</c:v>
                </c:pt>
                <c:pt idx="33">
                  <c:v>9.9755141760423918</c:v>
                </c:pt>
                <c:pt idx="34">
                  <c:v>3.3633984979801563</c:v>
                </c:pt>
                <c:pt idx="35">
                  <c:v>11.159203011307291</c:v>
                </c:pt>
                <c:pt idx="36">
                  <c:v>15.534504048539954</c:v>
                </c:pt>
                <c:pt idx="37">
                  <c:v>27.667363130289051</c:v>
                </c:pt>
                <c:pt idx="38">
                  <c:v>28.350656635335611</c:v>
                </c:pt>
                <c:pt idx="39">
                  <c:v>25.684590350167035</c:v>
                </c:pt>
                <c:pt idx="40">
                  <c:v>21.422363501391924</c:v>
                </c:pt>
                <c:pt idx="41">
                  <c:v>18.387610712715393</c:v>
                </c:pt>
                <c:pt idx="42">
                  <c:v>17.819428885839862</c:v>
                </c:pt>
                <c:pt idx="43">
                  <c:v>3.6893268805664308</c:v>
                </c:pt>
                <c:pt idx="44">
                  <c:v>3.635684275194675</c:v>
                </c:pt>
                <c:pt idx="45">
                  <c:v>5.3923051934562585</c:v>
                </c:pt>
                <c:pt idx="46">
                  <c:v>2.4976937446165612</c:v>
                </c:pt>
                <c:pt idx="47">
                  <c:v>5.8124664556249375</c:v>
                </c:pt>
                <c:pt idx="48">
                  <c:v>17.211308222427895</c:v>
                </c:pt>
                <c:pt idx="49">
                  <c:v>15.619067551413028</c:v>
                </c:pt>
                <c:pt idx="50">
                  <c:v>10.911566046286872</c:v>
                </c:pt>
                <c:pt idx="51">
                  <c:v>14.919854509197387</c:v>
                </c:pt>
                <c:pt idx="52">
                  <c:v>11.079334106588766</c:v>
                </c:pt>
                <c:pt idx="53">
                  <c:v>8.0250713242975227</c:v>
                </c:pt>
                <c:pt idx="54">
                  <c:v>13.490442462216075</c:v>
                </c:pt>
                <c:pt idx="55">
                  <c:v>10.936324718288658</c:v>
                </c:pt>
                <c:pt idx="56">
                  <c:v>12.599987761294996</c:v>
                </c:pt>
                <c:pt idx="57">
                  <c:v>3.7226449773912709</c:v>
                </c:pt>
                <c:pt idx="58">
                  <c:v>10.701996843993136</c:v>
                </c:pt>
                <c:pt idx="59">
                  <c:v>5.4616199673529406</c:v>
                </c:pt>
                <c:pt idx="60">
                  <c:v>10.717609710330096</c:v>
                </c:pt>
                <c:pt idx="61">
                  <c:v>10.005185420168935</c:v>
                </c:pt>
                <c:pt idx="62">
                  <c:v>17.759242160650231</c:v>
                </c:pt>
                <c:pt idx="63">
                  <c:v>12.626063417004593</c:v>
                </c:pt>
                <c:pt idx="64">
                  <c:v>2.5723469545378861</c:v>
                </c:pt>
                <c:pt idx="65">
                  <c:v>3.2094200693323578</c:v>
                </c:pt>
                <c:pt idx="66">
                  <c:v>3.3751439871608553</c:v>
                </c:pt>
                <c:pt idx="67">
                  <c:v>4.5000842756003934</c:v>
                </c:pt>
                <c:pt idx="68">
                  <c:v>7.842851822846403</c:v>
                </c:pt>
                <c:pt idx="69">
                  <c:v>3.1791910288351426</c:v>
                </c:pt>
                <c:pt idx="70">
                  <c:v>3.5860151180448767</c:v>
                </c:pt>
                <c:pt idx="71">
                  <c:v>3.040366154980604</c:v>
                </c:pt>
                <c:pt idx="72">
                  <c:v>3.9716549715688876</c:v>
                </c:pt>
                <c:pt idx="73">
                  <c:v>6.3247636685719497</c:v>
                </c:pt>
                <c:pt idx="74">
                  <c:v>3.8303674472932712</c:v>
                </c:pt>
                <c:pt idx="75">
                  <c:v>4.1767084416714919</c:v>
                </c:pt>
                <c:pt idx="76">
                  <c:v>5.9398878927474277</c:v>
                </c:pt>
                <c:pt idx="77">
                  <c:v>3.0734949722991018</c:v>
                </c:pt>
                <c:pt idx="78">
                  <c:v>5.9840220668824644</c:v>
                </c:pt>
                <c:pt idx="79">
                  <c:v>4.3756576589216003</c:v>
                </c:pt>
                <c:pt idx="80">
                  <c:v>8.1956333710097482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F2-A845-B6F2-A08CDAE505DD}"/>
            </c:ext>
          </c:extLst>
        </c:ser>
        <c:ser>
          <c:idx val="3"/>
          <c:order val="8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F2-A845-B6F2-A08CDAE5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73952"/>
        <c:axId val="111780224"/>
      </c:scatterChart>
      <c:valAx>
        <c:axId val="111773952"/>
        <c:scaling>
          <c:orientation val="minMax"/>
          <c:max val="5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GW NO3</a:t>
                </a:r>
                <a:r>
                  <a:rPr lang="de-DE" baseline="0"/>
                  <a:t> Mittelwert</a:t>
                </a:r>
                <a:r>
                  <a:rPr lang="de-DE"/>
                  <a:t> beobachtet  (mg/l)</a:t>
                </a:r>
              </a:p>
            </c:rich>
          </c:tx>
          <c:layout>
            <c:manualLayout>
              <c:xMode val="edge"/>
              <c:yMode val="edge"/>
              <c:x val="0.28575847373916974"/>
              <c:y val="0.917074695074880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780224"/>
        <c:crossesAt val="0"/>
        <c:crossBetween val="midCat"/>
        <c:majorUnit val="10"/>
      </c:valAx>
      <c:valAx>
        <c:axId val="111780224"/>
        <c:scaling>
          <c:orientation val="minMax"/>
          <c:max val="5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GW NO3 modelliert (mg/l)</a:t>
                </a:r>
              </a:p>
            </c:rich>
          </c:tx>
          <c:layout>
            <c:manualLayout>
              <c:xMode val="edge"/>
              <c:yMode val="edge"/>
              <c:x val="2.4509807241836712E-2"/>
              <c:y val="0.152582406072480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773952"/>
        <c:crossesAt val="0"/>
        <c:crossBetween val="midCat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8979076002596451"/>
          <c:y val="7.1006700633009082E-2"/>
          <c:w val="0.30448023029379395"/>
          <c:h val="0.24568114867994439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12957412581492"/>
          <c:y val="6.1033003761837408E-2"/>
          <c:w val="0.72648209296418609"/>
          <c:h val="0.7769970863526227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loads'!$DY$4:$DY$84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1">
                  <c:v>7.6771173684210534E-2</c:v>
                </c:pt>
                <c:pt idx="42">
                  <c:v>5.4250000000000001E-3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9">
                  <c:v>4.591238684210526E-2</c:v>
                </c:pt>
                <c:pt idx="50">
                  <c:v>3.732748070175438E-2</c:v>
                </c:pt>
                <c:pt idx="51">
                  <c:v>4.4428465789473681E-2</c:v>
                </c:pt>
                <c:pt idx="53">
                  <c:v>2.8345257894736842E-2</c:v>
                </c:pt>
                <c:pt idx="54">
                  <c:v>2.4060867543859648E-2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4.2941199999999999E-2</c:v>
                </c:pt>
                <c:pt idx="61">
                  <c:v>3.9552247368421056E-2</c:v>
                </c:pt>
                <c:pt idx="62">
                  <c:v>5.4400787559808615E-2</c:v>
                </c:pt>
                <c:pt idx="63">
                  <c:v>2.2720403070175439E-2</c:v>
                </c:pt>
                <c:pt idx="67">
                  <c:v>2.5762631578947369E-3</c:v>
                </c:pt>
                <c:pt idx="68">
                  <c:v>9.2128084210526314E-3</c:v>
                </c:pt>
                <c:pt idx="69">
                  <c:v>1.4050505263157894E-2</c:v>
                </c:pt>
                <c:pt idx="70">
                  <c:v>9.4209000000000011E-3</c:v>
                </c:pt>
                <c:pt idx="71">
                  <c:v>1.9541135526315794E-2</c:v>
                </c:pt>
                <c:pt idx="72">
                  <c:v>1.0688364912280699E-2</c:v>
                </c:pt>
                <c:pt idx="73">
                  <c:v>4.3553368421052627E-3</c:v>
                </c:pt>
                <c:pt idx="75">
                  <c:v>2.9776315789473685E-3</c:v>
                </c:pt>
                <c:pt idx="76">
                  <c:v>4.111578947368421E-3</c:v>
                </c:pt>
                <c:pt idx="77">
                  <c:v>6.0407578947368427E-3</c:v>
                </c:pt>
                <c:pt idx="78">
                  <c:v>9.1800300000000022E-3</c:v>
                </c:pt>
                <c:pt idx="79">
                  <c:v>7.7451052631578952E-3</c:v>
                </c:pt>
                <c:pt idx="80">
                  <c:v>2.0216640935672513E-2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8E-3544-9435-081C2ECF9780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8E-3544-9435-081C2ECF9780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8E-3544-9435-081C2ECF9780}"/>
            </c:ext>
          </c:extLst>
        </c:ser>
        <c:ser>
          <c:idx val="3"/>
          <c:order val="3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8E-3544-9435-081C2ECF9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85184"/>
        <c:axId val="112287104"/>
      </c:scatterChart>
      <c:valAx>
        <c:axId val="112285184"/>
        <c:scaling>
          <c:orientation val="minMax"/>
          <c:max val="0.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beobachtete PO4-P Grundwasser</a:t>
                </a:r>
                <a:r>
                  <a:rPr lang="de-DE" baseline="0"/>
                  <a:t> Konzentrationen </a:t>
                </a:r>
                <a:r>
                  <a:rPr lang="de-DE"/>
                  <a:t>(mg/l)</a:t>
                </a:r>
              </a:p>
            </c:rich>
          </c:tx>
          <c:layout>
            <c:manualLayout>
              <c:xMode val="edge"/>
              <c:yMode val="edge"/>
              <c:x val="0.25230107526881734"/>
              <c:y val="0.8945568627450979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287104"/>
        <c:crossesAt val="0"/>
        <c:crossBetween val="midCat"/>
        <c:majorUnit val="2.0000000000000007E-2"/>
      </c:valAx>
      <c:valAx>
        <c:axId val="112287104"/>
        <c:scaling>
          <c:orientation val="minMax"/>
          <c:max val="0.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mittlere modellierte PO4-P</a:t>
                </a:r>
                <a:r>
                  <a:rPr lang="de-DE" baseline="0"/>
                  <a:t> Grundwasser Konzentrationen</a:t>
                </a:r>
                <a:r>
                  <a:rPr lang="de-DE"/>
                  <a:t> (mg/l)</a:t>
                </a:r>
              </a:p>
            </c:rich>
          </c:tx>
          <c:layout>
            <c:manualLayout>
              <c:xMode val="edge"/>
              <c:yMode val="edge"/>
              <c:x val="1.0172889679112696E-2"/>
              <c:y val="8.042562914929753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285184"/>
        <c:crossesAt val="0"/>
        <c:crossBetween val="midCat"/>
        <c:majorUnit val="2.0000000000000007E-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914401828804"/>
          <c:y val="6.1032947352169228E-2"/>
          <c:w val="0.74942116106454471"/>
          <c:h val="0.77699708635262277"/>
        </c:manualLayout>
      </c:layout>
      <c:scatterChart>
        <c:scatterStyle val="lineMarker"/>
        <c:varyColors val="0"/>
        <c:ser>
          <c:idx val="4"/>
          <c:order val="0"/>
          <c:tx>
            <c:v>Oberösterreich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'River loads'!$DY$4:$DY$84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1">
                  <c:v>7.6771173684210534E-2</c:v>
                </c:pt>
                <c:pt idx="42">
                  <c:v>5.4250000000000001E-3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9">
                  <c:v>4.591238684210526E-2</c:v>
                </c:pt>
                <c:pt idx="50">
                  <c:v>3.732748070175438E-2</c:v>
                </c:pt>
                <c:pt idx="51">
                  <c:v>4.4428465789473681E-2</c:v>
                </c:pt>
                <c:pt idx="53">
                  <c:v>2.8345257894736842E-2</c:v>
                </c:pt>
                <c:pt idx="54">
                  <c:v>2.4060867543859648E-2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4.2941199999999999E-2</c:v>
                </c:pt>
                <c:pt idx="61">
                  <c:v>3.9552247368421056E-2</c:v>
                </c:pt>
                <c:pt idx="62">
                  <c:v>5.4400787559808615E-2</c:v>
                </c:pt>
                <c:pt idx="63">
                  <c:v>2.2720403070175439E-2</c:v>
                </c:pt>
                <c:pt idx="67">
                  <c:v>2.5762631578947369E-3</c:v>
                </c:pt>
                <c:pt idx="68">
                  <c:v>9.2128084210526314E-3</c:v>
                </c:pt>
                <c:pt idx="69">
                  <c:v>1.4050505263157894E-2</c:v>
                </c:pt>
                <c:pt idx="70">
                  <c:v>9.4209000000000011E-3</c:v>
                </c:pt>
                <c:pt idx="71">
                  <c:v>1.9541135526315794E-2</c:v>
                </c:pt>
                <c:pt idx="72">
                  <c:v>1.0688364912280699E-2</c:v>
                </c:pt>
                <c:pt idx="73">
                  <c:v>4.3553368421052627E-3</c:v>
                </c:pt>
                <c:pt idx="75">
                  <c:v>2.9776315789473685E-3</c:v>
                </c:pt>
                <c:pt idx="76">
                  <c:v>4.111578947368421E-3</c:v>
                </c:pt>
                <c:pt idx="77">
                  <c:v>6.0407578947368427E-3</c:v>
                </c:pt>
                <c:pt idx="78">
                  <c:v>9.1800300000000022E-3</c:v>
                </c:pt>
                <c:pt idx="79">
                  <c:v>7.7451052631578952E-3</c:v>
                </c:pt>
                <c:pt idx="80">
                  <c:v>2.0216640935672513E-2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A1-1745-82A1-1BFDA3E79134}"/>
            </c:ext>
          </c:extLst>
        </c:ser>
        <c:ser>
          <c:idx val="1"/>
          <c:order val="1"/>
          <c:tx>
            <c:v>1:1 line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[2]Graphs!$U$1:$U$7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A1-1745-82A1-1BFDA3E79134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[2]Graphs!$W$1:$W$7</c:f>
              <c:numCache>
                <c:formatCode>General</c:formatCode>
                <c:ptCount val="7"/>
                <c:pt idx="0">
                  <c:v>6.9999999999999993E-3</c:v>
                </c:pt>
                <c:pt idx="1">
                  <c:v>0.7</c:v>
                </c:pt>
                <c:pt idx="2">
                  <c:v>7</c:v>
                </c:pt>
                <c:pt idx="3">
                  <c:v>70</c:v>
                </c:pt>
                <c:pt idx="4">
                  <c:v>700</c:v>
                </c:pt>
                <c:pt idx="5">
                  <c:v>2100</c:v>
                </c:pt>
                <c:pt idx="6">
                  <c:v>140000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A1-1745-82A1-1BFDA3E79134}"/>
            </c:ext>
          </c:extLst>
        </c:ser>
        <c:ser>
          <c:idx val="0"/>
          <c:order val="3"/>
          <c:tx>
            <c:v>Traun/Enns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00206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loads'!$EA$4:$EA$84</c:f>
              <c:numCache>
                <c:formatCode>General</c:formatCode>
                <c:ptCount val="81"/>
                <c:pt idx="37" formatCode="0,000">
                  <c:v>2.8192954798761615E-2</c:v>
                </c:pt>
                <c:pt idx="38" formatCode="0,000">
                  <c:v>3.3872144561403507E-2</c:v>
                </c:pt>
                <c:pt idx="39" formatCode="0,000">
                  <c:v>4.0478322991689748E-2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A1-1745-82A1-1BFDA3E79134}"/>
            </c:ext>
          </c:extLst>
        </c:ser>
        <c:ser>
          <c:idx val="5"/>
          <c:order val="4"/>
          <c:tx>
            <c:v>Innviertel 1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loads'!$EC$4:$EC$84</c:f>
              <c:numCache>
                <c:formatCode>General</c:formatCode>
                <c:ptCount val="81"/>
                <c:pt idx="8" formatCode="0,000">
                  <c:v>2.5731876315789475E-2</c:v>
                </c:pt>
                <c:pt idx="9" formatCode="0,000">
                  <c:v>4.5473802105263153E-2</c:v>
                </c:pt>
                <c:pt idx="10" formatCode="0,000">
                  <c:v>2.9986136842105268E-2</c:v>
                </c:pt>
                <c:pt idx="21" formatCode="0,000">
                  <c:v>1.7004560526315788E-2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A1-1745-82A1-1BFDA3E79134}"/>
            </c:ext>
          </c:extLst>
        </c:ser>
        <c:ser>
          <c:idx val="6"/>
          <c:order val="5"/>
          <c:tx>
            <c:v>Innviertel 2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'River loads'!$EB$4:$EB$84</c:f>
              <c:numCache>
                <c:formatCode>General</c:formatCode>
                <c:ptCount val="81"/>
                <c:pt idx="7" formatCode="0,000">
                  <c:v>3.8494385964912281E-2</c:v>
                </c:pt>
                <c:pt idx="22" formatCode="0,000">
                  <c:v>5.1301836155606406E-2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A1-1745-82A1-1BFDA3E79134}"/>
            </c:ext>
          </c:extLst>
        </c:ser>
        <c:ser>
          <c:idx val="8"/>
          <c:order val="6"/>
          <c:tx>
            <c:v>Mühlviertel Ost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'River loads'!$EE$4:$EE$84</c:f>
              <c:numCache>
                <c:formatCode>General</c:formatCode>
                <c:ptCount val="81"/>
                <c:pt idx="41" formatCode="0,000">
                  <c:v>7.6771173684210534E-2</c:v>
                </c:pt>
                <c:pt idx="49" formatCode="0,000">
                  <c:v>4.591238684210526E-2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A1-1745-82A1-1BFDA3E79134}"/>
            </c:ext>
          </c:extLst>
        </c:ser>
        <c:ser>
          <c:idx val="7"/>
          <c:order val="7"/>
          <c:tx>
            <c:v>Mühlviertel West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'River loads'!$ED$4:$ED$84</c:f>
              <c:numCache>
                <c:formatCode>General</c:formatCode>
                <c:ptCount val="81"/>
                <c:pt idx="15" formatCode="0,000">
                  <c:v>3.9697213157894741E-2</c:v>
                </c:pt>
                <c:pt idx="17" formatCode="0,000">
                  <c:v>4.3740021052631577E-2</c:v>
                </c:pt>
              </c:numCache>
            </c:numRef>
          </c:xVal>
          <c:yVal>
            <c:numRef>
              <c:f>'River loads'!$DZ$4:$DZ$84</c:f>
              <c:numCache>
                <c:formatCode>0,000</c:formatCode>
                <c:ptCount val="81"/>
                <c:pt idx="0">
                  <c:v>3.0369449122807014E-2</c:v>
                </c:pt>
                <c:pt idx="1">
                  <c:v>1.8990404210526318E-2</c:v>
                </c:pt>
                <c:pt idx="2">
                  <c:v>1.5731031578947369E-2</c:v>
                </c:pt>
                <c:pt idx="3">
                  <c:v>1.4726631578947371E-2</c:v>
                </c:pt>
                <c:pt idx="4">
                  <c:v>2.4476735263157894E-2</c:v>
                </c:pt>
                <c:pt idx="5">
                  <c:v>1.2095873684210523E-2</c:v>
                </c:pt>
                <c:pt idx="6">
                  <c:v>5.0690547368421053E-2</c:v>
                </c:pt>
                <c:pt idx="7">
                  <c:v>3.8494385964912281E-2</c:v>
                </c:pt>
                <c:pt idx="8">
                  <c:v>2.5731876315789475E-2</c:v>
                </c:pt>
                <c:pt idx="9">
                  <c:v>4.5473802105263153E-2</c:v>
                </c:pt>
                <c:pt idx="10">
                  <c:v>2.9986136842105268E-2</c:v>
                </c:pt>
                <c:pt idx="11">
                  <c:v>5.1469649624060143E-2</c:v>
                </c:pt>
                <c:pt idx="12">
                  <c:v>9.3163157894736823E-2</c:v>
                </c:pt>
                <c:pt idx="13">
                  <c:v>2.67007350877193E-2</c:v>
                </c:pt>
                <c:pt idx="14">
                  <c:v>4.4678178947368419E-2</c:v>
                </c:pt>
                <c:pt idx="15">
                  <c:v>3.9697213157894741E-2</c:v>
                </c:pt>
                <c:pt idx="16">
                  <c:v>2.053081052631579E-2</c:v>
                </c:pt>
                <c:pt idx="17">
                  <c:v>4.3740021052631577E-2</c:v>
                </c:pt>
                <c:pt idx="18">
                  <c:v>4.2966000000000002E-3</c:v>
                </c:pt>
                <c:pt idx="19">
                  <c:v>4.6966876315789476E-2</c:v>
                </c:pt>
                <c:pt idx="20">
                  <c:v>4.9059838596491226E-2</c:v>
                </c:pt>
                <c:pt idx="21">
                  <c:v>1.7004560526315788E-2</c:v>
                </c:pt>
                <c:pt idx="22">
                  <c:v>5.1301836155606406E-2</c:v>
                </c:pt>
                <c:pt idx="23">
                  <c:v>2.7218946315789479E-2</c:v>
                </c:pt>
                <c:pt idx="24">
                  <c:v>3.4430753684210523E-2</c:v>
                </c:pt>
                <c:pt idx="25">
                  <c:v>6.0233815789473691E-2</c:v>
                </c:pt>
                <c:pt idx="26">
                  <c:v>4.0358736842105265E-3</c:v>
                </c:pt>
                <c:pt idx="27">
                  <c:v>4.9986357894736839E-3</c:v>
                </c:pt>
                <c:pt idx="28">
                  <c:v>5.0053578947368412E-3</c:v>
                </c:pt>
                <c:pt idx="29">
                  <c:v>6.1619298245614027E-3</c:v>
                </c:pt>
                <c:pt idx="30">
                  <c:v>1.2592591578947369E-2</c:v>
                </c:pt>
                <c:pt idx="31">
                  <c:v>3.4716410526315786E-2</c:v>
                </c:pt>
                <c:pt idx="32">
                  <c:v>8.6318684210526311E-3</c:v>
                </c:pt>
                <c:pt idx="33">
                  <c:v>3.631576099071207E-2</c:v>
                </c:pt>
                <c:pt idx="34">
                  <c:v>3.0569263157894737E-3</c:v>
                </c:pt>
                <c:pt idx="35">
                  <c:v>1.6499940350877193E-2</c:v>
                </c:pt>
                <c:pt idx="36">
                  <c:v>1.8936953684210531E-2</c:v>
                </c:pt>
                <c:pt idx="37">
                  <c:v>2.8192954798761615E-2</c:v>
                </c:pt>
                <c:pt idx="38">
                  <c:v>3.3872144561403507E-2</c:v>
                </c:pt>
                <c:pt idx="39">
                  <c:v>4.0478322991689748E-2</c:v>
                </c:pt>
                <c:pt idx="40">
                  <c:v>0.11433322495043016</c:v>
                </c:pt>
                <c:pt idx="41">
                  <c:v>0.10927772708504881</c:v>
                </c:pt>
                <c:pt idx="42">
                  <c:v>5.4250000000000001E-3</c:v>
                </c:pt>
                <c:pt idx="43">
                  <c:v>4.9260631578947368E-3</c:v>
                </c:pt>
                <c:pt idx="44">
                  <c:v>4.9260631578947368E-3</c:v>
                </c:pt>
                <c:pt idx="45">
                  <c:v>5.0964000000000001E-3</c:v>
                </c:pt>
                <c:pt idx="46">
                  <c:v>3.555863157894737E-3</c:v>
                </c:pt>
                <c:pt idx="47">
                  <c:v>6.6287789473684208E-3</c:v>
                </c:pt>
                <c:pt idx="48">
                  <c:v>4.5999999999999999E-2</c:v>
                </c:pt>
                <c:pt idx="49">
                  <c:v>0.11969880290276348</c:v>
                </c:pt>
                <c:pt idx="50">
                  <c:v>3.732748070175438E-2</c:v>
                </c:pt>
                <c:pt idx="51">
                  <c:v>4.4428465789473681E-2</c:v>
                </c:pt>
                <c:pt idx="52">
                  <c:v>2.4060867543859648E-2</c:v>
                </c:pt>
                <c:pt idx="53">
                  <c:v>2.8345257894736842E-2</c:v>
                </c:pt>
                <c:pt idx="54">
                  <c:v>2.4060867543859648E-2</c:v>
                </c:pt>
                <c:pt idx="55">
                  <c:v>3.3987257894736847E-2</c:v>
                </c:pt>
                <c:pt idx="56">
                  <c:v>3.3987257894736847E-2</c:v>
                </c:pt>
                <c:pt idx="57">
                  <c:v>7.7006719298245612E-3</c:v>
                </c:pt>
                <c:pt idx="58">
                  <c:v>4.4348712018853098E-2</c:v>
                </c:pt>
                <c:pt idx="59">
                  <c:v>1.2376729605263159E-2</c:v>
                </c:pt>
                <c:pt idx="60">
                  <c:v>2.8566725977585729E-2</c:v>
                </c:pt>
                <c:pt idx="61">
                  <c:v>3.4590843200697101E-2</c:v>
                </c:pt>
                <c:pt idx="62">
                  <c:v>1.7897632704527849E-2</c:v>
                </c:pt>
                <c:pt idx="63">
                  <c:v>2.3590623671786493E-2</c:v>
                </c:pt>
                <c:pt idx="64">
                  <c:v>3.6986670271911798E-2</c:v>
                </c:pt>
                <c:pt idx="65">
                  <c:v>2.3974220086271612E-2</c:v>
                </c:pt>
                <c:pt idx="66">
                  <c:v>1.6363598885999229E-2</c:v>
                </c:pt>
                <c:pt idx="67">
                  <c:v>2.3083309904646229E-2</c:v>
                </c:pt>
                <c:pt idx="68">
                  <c:v>2.9353334832869678E-2</c:v>
                </c:pt>
                <c:pt idx="69">
                  <c:v>2.1649525701658956E-2</c:v>
                </c:pt>
                <c:pt idx="70">
                  <c:v>1.0966921092696716E-2</c:v>
                </c:pt>
                <c:pt idx="71">
                  <c:v>8.1234506068629617E-3</c:v>
                </c:pt>
                <c:pt idx="72">
                  <c:v>1.13708103028407E-3</c:v>
                </c:pt>
                <c:pt idx="73">
                  <c:v>3.4710265082643181E-3</c:v>
                </c:pt>
                <c:pt idx="74">
                  <c:v>1.0691491143911087E-3</c:v>
                </c:pt>
                <c:pt idx="75">
                  <c:v>1.2876129953716569E-3</c:v>
                </c:pt>
                <c:pt idx="76">
                  <c:v>2.8423733823403768E-3</c:v>
                </c:pt>
                <c:pt idx="77">
                  <c:v>1.4151714121880305E-2</c:v>
                </c:pt>
                <c:pt idx="78">
                  <c:v>1.9444600758330651E-2</c:v>
                </c:pt>
                <c:pt idx="79">
                  <c:v>1.8561925851198841E-2</c:v>
                </c:pt>
                <c:pt idx="80">
                  <c:v>3.8322922032684079E-3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A1-1745-82A1-1BFDA3E79134}"/>
            </c:ext>
          </c:extLst>
        </c:ser>
        <c:ser>
          <c:idx val="3"/>
          <c:order val="8"/>
          <c:spPr>
            <a:ln w="254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[2]Graphs!$V$1:$V$7</c:f>
              <c:numCache>
                <c:formatCode>General</c:formatCode>
                <c:ptCount val="7"/>
                <c:pt idx="0">
                  <c:v>0.01</c:v>
                </c:pt>
                <c:pt idx="1">
                  <c:v>1</c:v>
                </c:pt>
                <c:pt idx="2">
                  <c:v>10</c:v>
                </c:pt>
                <c:pt idx="3">
                  <c:v>100</c:v>
                </c:pt>
                <c:pt idx="4">
                  <c:v>1000</c:v>
                </c:pt>
                <c:pt idx="5">
                  <c:v>3000</c:v>
                </c:pt>
                <c:pt idx="6">
                  <c:v>200000</c:v>
                </c:pt>
              </c:numCache>
            </c:numRef>
          </c:xVal>
          <c:yVal>
            <c:numRef>
              <c:f>[2]Graphs!$X$1:$X$7</c:f>
              <c:numCache>
                <c:formatCode>General</c:formatCode>
                <c:ptCount val="7"/>
                <c:pt idx="0">
                  <c:v>1.3000000000000001E-2</c:v>
                </c:pt>
                <c:pt idx="1">
                  <c:v>1.3</c:v>
                </c:pt>
                <c:pt idx="2">
                  <c:v>13</c:v>
                </c:pt>
                <c:pt idx="3">
                  <c:v>130</c:v>
                </c:pt>
                <c:pt idx="4">
                  <c:v>1300</c:v>
                </c:pt>
                <c:pt idx="5">
                  <c:v>3900</c:v>
                </c:pt>
                <c:pt idx="6">
                  <c:v>260000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EA1-1745-82A1-1BFDA3E79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68256"/>
        <c:axId val="112386816"/>
      </c:scatterChart>
      <c:valAx>
        <c:axId val="112368256"/>
        <c:scaling>
          <c:orientation val="minMax"/>
          <c:max val="0.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GW PO4-P</a:t>
                </a:r>
                <a:r>
                  <a:rPr lang="de-DE" baseline="0"/>
                  <a:t> Mittelwert</a:t>
                </a:r>
                <a:r>
                  <a:rPr lang="de-DE"/>
                  <a:t> beobachtet  (mg/l)</a:t>
                </a:r>
              </a:p>
            </c:rich>
          </c:tx>
          <c:layout>
            <c:manualLayout>
              <c:xMode val="edge"/>
              <c:yMode val="edge"/>
              <c:x val="0.28575847373916974"/>
              <c:y val="0.917074695074880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86816"/>
        <c:crossesAt val="0"/>
        <c:crossBetween val="midCat"/>
        <c:majorUnit val="2.0000000000000007E-2"/>
      </c:valAx>
      <c:valAx>
        <c:axId val="112386816"/>
        <c:scaling>
          <c:orientation val="minMax"/>
          <c:max val="0.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 GW PO4-P MIttelwert modelliert (mg/l)</a:t>
                </a:r>
              </a:p>
            </c:rich>
          </c:tx>
          <c:layout>
            <c:manualLayout>
              <c:xMode val="edge"/>
              <c:yMode val="edge"/>
              <c:x val="2.1642423729291906E-2"/>
              <c:y val="0.10319958371216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68256"/>
        <c:crossesAt val="0"/>
        <c:crossBetween val="midCat"/>
        <c:majorUnit val="2.0000000000000007E-2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8979076002596451"/>
          <c:y val="7.1006700633009082E-2"/>
          <c:w val="0.30448023029379395"/>
          <c:h val="0.24568114867994439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67" l="0.78740157499999996" r="0.78740157499999996" t="0.98425196899999967" header="0.5" footer="0.5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6" Type="http://schemas.openxmlformats.org/officeDocument/2006/relationships/chart" Target="../charts/chart76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5" Type="http://schemas.openxmlformats.org/officeDocument/2006/relationships/chart" Target="../charts/chart7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4.xml"/><Relationship Id="rId13" Type="http://schemas.openxmlformats.org/officeDocument/2006/relationships/chart" Target="../charts/chart89.xml"/><Relationship Id="rId18" Type="http://schemas.openxmlformats.org/officeDocument/2006/relationships/chart" Target="../charts/chart94.xml"/><Relationship Id="rId3" Type="http://schemas.openxmlformats.org/officeDocument/2006/relationships/chart" Target="../charts/chart79.xml"/><Relationship Id="rId21" Type="http://schemas.openxmlformats.org/officeDocument/2006/relationships/chart" Target="../charts/chart97.xml"/><Relationship Id="rId7" Type="http://schemas.openxmlformats.org/officeDocument/2006/relationships/chart" Target="../charts/chart83.xml"/><Relationship Id="rId12" Type="http://schemas.openxmlformats.org/officeDocument/2006/relationships/chart" Target="../charts/chart88.xml"/><Relationship Id="rId17" Type="http://schemas.openxmlformats.org/officeDocument/2006/relationships/chart" Target="../charts/chart93.xml"/><Relationship Id="rId2" Type="http://schemas.openxmlformats.org/officeDocument/2006/relationships/chart" Target="../charts/chart78.xml"/><Relationship Id="rId16" Type="http://schemas.openxmlformats.org/officeDocument/2006/relationships/chart" Target="../charts/chart92.xml"/><Relationship Id="rId20" Type="http://schemas.openxmlformats.org/officeDocument/2006/relationships/chart" Target="../charts/chart96.xml"/><Relationship Id="rId1" Type="http://schemas.openxmlformats.org/officeDocument/2006/relationships/chart" Target="../charts/chart77.xml"/><Relationship Id="rId6" Type="http://schemas.openxmlformats.org/officeDocument/2006/relationships/chart" Target="../charts/chart82.xml"/><Relationship Id="rId11" Type="http://schemas.openxmlformats.org/officeDocument/2006/relationships/chart" Target="../charts/chart87.xml"/><Relationship Id="rId5" Type="http://schemas.openxmlformats.org/officeDocument/2006/relationships/chart" Target="../charts/chart81.xml"/><Relationship Id="rId15" Type="http://schemas.openxmlformats.org/officeDocument/2006/relationships/chart" Target="../charts/chart91.xml"/><Relationship Id="rId10" Type="http://schemas.openxmlformats.org/officeDocument/2006/relationships/chart" Target="../charts/chart86.xml"/><Relationship Id="rId19" Type="http://schemas.openxmlformats.org/officeDocument/2006/relationships/chart" Target="../charts/chart95.xml"/><Relationship Id="rId4" Type="http://schemas.openxmlformats.org/officeDocument/2006/relationships/chart" Target="../charts/chart80.xml"/><Relationship Id="rId9" Type="http://schemas.openxmlformats.org/officeDocument/2006/relationships/chart" Target="../charts/chart85.xml"/><Relationship Id="rId14" Type="http://schemas.openxmlformats.org/officeDocument/2006/relationships/chart" Target="../charts/chart9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409575</xdr:colOff>
      <xdr:row>25</xdr:row>
      <xdr:rowOff>9525</xdr:rowOff>
    </xdr:to>
    <xdr:graphicFrame macro="">
      <xdr:nvGraphicFramePr>
        <xdr:cNvPr id="1122580" name="Chart 11">
          <a:extLst>
            <a:ext uri="{FF2B5EF4-FFF2-40B4-BE49-F238E27FC236}">
              <a16:creationId xmlns:a16="http://schemas.microsoft.com/office/drawing/2014/main" id="{00000000-0008-0000-0600-000014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9525</xdr:rowOff>
    </xdr:from>
    <xdr:to>
      <xdr:col>9</xdr:col>
      <xdr:colOff>400050</xdr:colOff>
      <xdr:row>50</xdr:row>
      <xdr:rowOff>0</xdr:rowOff>
    </xdr:to>
    <xdr:graphicFrame macro="">
      <xdr:nvGraphicFramePr>
        <xdr:cNvPr id="1122581" name="Chart 14">
          <a:extLst>
            <a:ext uri="{FF2B5EF4-FFF2-40B4-BE49-F238E27FC236}">
              <a16:creationId xmlns:a16="http://schemas.microsoft.com/office/drawing/2014/main" id="{00000000-0008-0000-0600-000015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400050</xdr:colOff>
      <xdr:row>25</xdr:row>
      <xdr:rowOff>0</xdr:rowOff>
    </xdr:from>
    <xdr:to>
      <xdr:col>19</xdr:col>
      <xdr:colOff>314325</xdr:colOff>
      <xdr:row>50</xdr:row>
      <xdr:rowOff>0</xdr:rowOff>
    </xdr:to>
    <xdr:graphicFrame macro="">
      <xdr:nvGraphicFramePr>
        <xdr:cNvPr id="1122582" name="Chart 16">
          <a:extLst>
            <a:ext uri="{FF2B5EF4-FFF2-40B4-BE49-F238E27FC236}">
              <a16:creationId xmlns:a16="http://schemas.microsoft.com/office/drawing/2014/main" id="{00000000-0008-0000-0600-000016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400050</xdr:colOff>
      <xdr:row>0</xdr:row>
      <xdr:rowOff>0</xdr:rowOff>
    </xdr:from>
    <xdr:to>
      <xdr:col>19</xdr:col>
      <xdr:colOff>323850</xdr:colOff>
      <xdr:row>25</xdr:row>
      <xdr:rowOff>9525</xdr:rowOff>
    </xdr:to>
    <xdr:graphicFrame macro="">
      <xdr:nvGraphicFramePr>
        <xdr:cNvPr id="1122583" name="Chart 18">
          <a:extLst>
            <a:ext uri="{FF2B5EF4-FFF2-40B4-BE49-F238E27FC236}">
              <a16:creationId xmlns:a16="http://schemas.microsoft.com/office/drawing/2014/main" id="{00000000-0008-0000-0600-000017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9525</xdr:rowOff>
    </xdr:from>
    <xdr:to>
      <xdr:col>9</xdr:col>
      <xdr:colOff>400050</xdr:colOff>
      <xdr:row>125</xdr:row>
      <xdr:rowOff>9525</xdr:rowOff>
    </xdr:to>
    <xdr:graphicFrame macro="">
      <xdr:nvGraphicFramePr>
        <xdr:cNvPr id="1122584" name="Chart 19">
          <a:extLst>
            <a:ext uri="{FF2B5EF4-FFF2-40B4-BE49-F238E27FC236}">
              <a16:creationId xmlns:a16="http://schemas.microsoft.com/office/drawing/2014/main" id="{00000000-0008-0000-0600-000018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438150</xdr:colOff>
      <xdr:row>98</xdr:row>
      <xdr:rowOff>85725</xdr:rowOff>
    </xdr:from>
    <xdr:to>
      <xdr:col>19</xdr:col>
      <xdr:colOff>352425</xdr:colOff>
      <xdr:row>123</xdr:row>
      <xdr:rowOff>76200</xdr:rowOff>
    </xdr:to>
    <xdr:graphicFrame macro="">
      <xdr:nvGraphicFramePr>
        <xdr:cNvPr id="1122585" name="Chart 20">
          <a:extLst>
            <a:ext uri="{FF2B5EF4-FFF2-40B4-BE49-F238E27FC236}">
              <a16:creationId xmlns:a16="http://schemas.microsoft.com/office/drawing/2014/main" id="{00000000-0008-0000-0600-000019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125</xdr:row>
      <xdr:rowOff>66675</xdr:rowOff>
    </xdr:from>
    <xdr:to>
      <xdr:col>9</xdr:col>
      <xdr:colOff>409575</xdr:colOff>
      <xdr:row>150</xdr:row>
      <xdr:rowOff>66675</xdr:rowOff>
    </xdr:to>
    <xdr:graphicFrame macro="">
      <xdr:nvGraphicFramePr>
        <xdr:cNvPr id="1122586" name="Chart 21">
          <a:extLst>
            <a:ext uri="{FF2B5EF4-FFF2-40B4-BE49-F238E27FC236}">
              <a16:creationId xmlns:a16="http://schemas.microsoft.com/office/drawing/2014/main" id="{00000000-0008-0000-0600-00001A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371475</xdr:colOff>
      <xdr:row>126</xdr:row>
      <xdr:rowOff>9525</xdr:rowOff>
    </xdr:from>
    <xdr:to>
      <xdr:col>28</xdr:col>
      <xdr:colOff>561975</xdr:colOff>
      <xdr:row>151</xdr:row>
      <xdr:rowOff>9525</xdr:rowOff>
    </xdr:to>
    <xdr:graphicFrame macro="">
      <xdr:nvGraphicFramePr>
        <xdr:cNvPr id="1122587" name="Chart 22">
          <a:extLst>
            <a:ext uri="{FF2B5EF4-FFF2-40B4-BE49-F238E27FC236}">
              <a16:creationId xmlns:a16="http://schemas.microsoft.com/office/drawing/2014/main" id="{00000000-0008-0000-0600-00001B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9</xdr:col>
      <xdr:colOff>400050</xdr:colOff>
      <xdr:row>75</xdr:row>
      <xdr:rowOff>0</xdr:rowOff>
    </xdr:to>
    <xdr:graphicFrame macro="">
      <xdr:nvGraphicFramePr>
        <xdr:cNvPr id="1122588" name="Chart 23">
          <a:extLst>
            <a:ext uri="{FF2B5EF4-FFF2-40B4-BE49-F238E27FC236}">
              <a16:creationId xmlns:a16="http://schemas.microsoft.com/office/drawing/2014/main" id="{00000000-0008-0000-0600-00001C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400050</xdr:colOff>
      <xdr:row>50</xdr:row>
      <xdr:rowOff>0</xdr:rowOff>
    </xdr:from>
    <xdr:to>
      <xdr:col>19</xdr:col>
      <xdr:colOff>304800</xdr:colOff>
      <xdr:row>75</xdr:row>
      <xdr:rowOff>9525</xdr:rowOff>
    </xdr:to>
    <xdr:graphicFrame macro="">
      <xdr:nvGraphicFramePr>
        <xdr:cNvPr id="1122589" name="Chart 24">
          <a:extLst>
            <a:ext uri="{FF2B5EF4-FFF2-40B4-BE49-F238E27FC236}">
              <a16:creationId xmlns:a16="http://schemas.microsoft.com/office/drawing/2014/main" id="{00000000-0008-0000-0600-00001D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75</xdr:row>
      <xdr:rowOff>0</xdr:rowOff>
    </xdr:from>
    <xdr:to>
      <xdr:col>9</xdr:col>
      <xdr:colOff>419100</xdr:colOff>
      <xdr:row>100</xdr:row>
      <xdr:rowOff>9525</xdr:rowOff>
    </xdr:to>
    <xdr:graphicFrame macro="">
      <xdr:nvGraphicFramePr>
        <xdr:cNvPr id="1122590" name="Chart 25">
          <a:extLst>
            <a:ext uri="{FF2B5EF4-FFF2-40B4-BE49-F238E27FC236}">
              <a16:creationId xmlns:a16="http://schemas.microsoft.com/office/drawing/2014/main" id="{00000000-0008-0000-0600-00001E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400050</xdr:colOff>
      <xdr:row>75</xdr:row>
      <xdr:rowOff>0</xdr:rowOff>
    </xdr:from>
    <xdr:to>
      <xdr:col>19</xdr:col>
      <xdr:colOff>333375</xdr:colOff>
      <xdr:row>100</xdr:row>
      <xdr:rowOff>9525</xdr:rowOff>
    </xdr:to>
    <xdr:graphicFrame macro="">
      <xdr:nvGraphicFramePr>
        <xdr:cNvPr id="1122591" name="Chart 26">
          <a:extLst>
            <a:ext uri="{FF2B5EF4-FFF2-40B4-BE49-F238E27FC236}">
              <a16:creationId xmlns:a16="http://schemas.microsoft.com/office/drawing/2014/main" id="{00000000-0008-0000-0600-00001F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174</xdr:row>
      <xdr:rowOff>123825</xdr:rowOff>
    </xdr:from>
    <xdr:to>
      <xdr:col>9</xdr:col>
      <xdr:colOff>419100</xdr:colOff>
      <xdr:row>199</xdr:row>
      <xdr:rowOff>114300</xdr:rowOff>
    </xdr:to>
    <xdr:graphicFrame macro="">
      <xdr:nvGraphicFramePr>
        <xdr:cNvPr id="1122592" name="Chart 27">
          <a:extLst>
            <a:ext uri="{FF2B5EF4-FFF2-40B4-BE49-F238E27FC236}">
              <a16:creationId xmlns:a16="http://schemas.microsoft.com/office/drawing/2014/main" id="{00000000-0008-0000-0600-000020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419100</xdr:colOff>
      <xdr:row>174</xdr:row>
      <xdr:rowOff>123825</xdr:rowOff>
    </xdr:from>
    <xdr:to>
      <xdr:col>19</xdr:col>
      <xdr:colOff>352425</xdr:colOff>
      <xdr:row>199</xdr:row>
      <xdr:rowOff>123825</xdr:rowOff>
    </xdr:to>
    <xdr:graphicFrame macro="">
      <xdr:nvGraphicFramePr>
        <xdr:cNvPr id="1122593" name="Chart 28">
          <a:extLst>
            <a:ext uri="{FF2B5EF4-FFF2-40B4-BE49-F238E27FC236}">
              <a16:creationId xmlns:a16="http://schemas.microsoft.com/office/drawing/2014/main" id="{00000000-0008-0000-0600-000021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199</xdr:row>
      <xdr:rowOff>142875</xdr:rowOff>
    </xdr:from>
    <xdr:to>
      <xdr:col>9</xdr:col>
      <xdr:colOff>419100</xdr:colOff>
      <xdr:row>224</xdr:row>
      <xdr:rowOff>152400</xdr:rowOff>
    </xdr:to>
    <xdr:graphicFrame macro="">
      <xdr:nvGraphicFramePr>
        <xdr:cNvPr id="1122594" name="Chart 29">
          <a:extLst>
            <a:ext uri="{FF2B5EF4-FFF2-40B4-BE49-F238E27FC236}">
              <a16:creationId xmlns:a16="http://schemas.microsoft.com/office/drawing/2014/main" id="{00000000-0008-0000-0600-000022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428625</xdr:colOff>
      <xdr:row>199</xdr:row>
      <xdr:rowOff>152400</xdr:rowOff>
    </xdr:from>
    <xdr:to>
      <xdr:col>19</xdr:col>
      <xdr:colOff>352425</xdr:colOff>
      <xdr:row>225</xdr:row>
      <xdr:rowOff>0</xdr:rowOff>
    </xdr:to>
    <xdr:graphicFrame macro="">
      <xdr:nvGraphicFramePr>
        <xdr:cNvPr id="1122595" name="Chart 30">
          <a:extLst>
            <a:ext uri="{FF2B5EF4-FFF2-40B4-BE49-F238E27FC236}">
              <a16:creationId xmlns:a16="http://schemas.microsoft.com/office/drawing/2014/main" id="{00000000-0008-0000-0600-000023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58</xdr:col>
      <xdr:colOff>133351</xdr:colOff>
      <xdr:row>1</xdr:row>
      <xdr:rowOff>28575</xdr:rowOff>
    </xdr:from>
    <xdr:to>
      <xdr:col>64</xdr:col>
      <xdr:colOff>457201</xdr:colOff>
      <xdr:row>26</xdr:row>
      <xdr:rowOff>47625</xdr:rowOff>
    </xdr:to>
    <xdr:graphicFrame macro="">
      <xdr:nvGraphicFramePr>
        <xdr:cNvPr id="1122597" name="Chart 61">
          <a:extLst>
            <a:ext uri="{FF2B5EF4-FFF2-40B4-BE49-F238E27FC236}">
              <a16:creationId xmlns:a16="http://schemas.microsoft.com/office/drawing/2014/main" id="{00000000-0008-0000-0600-00002521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37</xdr:col>
      <xdr:colOff>552450</xdr:colOff>
      <xdr:row>125</xdr:row>
      <xdr:rowOff>123825</xdr:rowOff>
    </xdr:from>
    <xdr:to>
      <xdr:col>47</xdr:col>
      <xdr:colOff>476250</xdr:colOff>
      <xdr:row>150</xdr:row>
      <xdr:rowOff>123825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552450</xdr:colOff>
      <xdr:row>125</xdr:row>
      <xdr:rowOff>133350</xdr:rowOff>
    </xdr:from>
    <xdr:to>
      <xdr:col>57</xdr:col>
      <xdr:colOff>257175</xdr:colOff>
      <xdr:row>150</xdr:row>
      <xdr:rowOff>133350</xdr:rowOff>
    </xdr:to>
    <xdr:graphicFrame macro="">
      <xdr:nvGraphicFramePr>
        <xdr:cNvPr id="24" name="Chart 2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28</xdr:col>
      <xdr:colOff>666750</xdr:colOff>
      <xdr:row>125</xdr:row>
      <xdr:rowOff>104775</xdr:rowOff>
    </xdr:from>
    <xdr:to>
      <xdr:col>37</xdr:col>
      <xdr:colOff>323850</xdr:colOff>
      <xdr:row>150</xdr:row>
      <xdr:rowOff>104775</xdr:rowOff>
    </xdr:to>
    <xdr:graphicFrame macro="">
      <xdr:nvGraphicFramePr>
        <xdr:cNvPr id="25" name="Chart 22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28</xdr:col>
      <xdr:colOff>609600</xdr:colOff>
      <xdr:row>151</xdr:row>
      <xdr:rowOff>57150</xdr:rowOff>
    </xdr:from>
    <xdr:to>
      <xdr:col>37</xdr:col>
      <xdr:colOff>266700</xdr:colOff>
      <xdr:row>176</xdr:row>
      <xdr:rowOff>57150</xdr:rowOff>
    </xdr:to>
    <xdr:graphicFrame macro="">
      <xdr:nvGraphicFramePr>
        <xdr:cNvPr id="26" name="Chart 2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19</xdr:col>
      <xdr:colOff>390525</xdr:colOff>
      <xdr:row>152</xdr:row>
      <xdr:rowOff>95250</xdr:rowOff>
    </xdr:from>
    <xdr:to>
      <xdr:col>28</xdr:col>
      <xdr:colOff>581025</xdr:colOff>
      <xdr:row>177</xdr:row>
      <xdr:rowOff>95250</xdr:rowOff>
    </xdr:to>
    <xdr:graphicFrame macro="">
      <xdr:nvGraphicFramePr>
        <xdr:cNvPr id="27" name="Chart 22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48</xdr:col>
      <xdr:colOff>28575</xdr:colOff>
      <xdr:row>152</xdr:row>
      <xdr:rowOff>28575</xdr:rowOff>
    </xdr:from>
    <xdr:to>
      <xdr:col>57</xdr:col>
      <xdr:colOff>323850</xdr:colOff>
      <xdr:row>177</xdr:row>
      <xdr:rowOff>28575</xdr:rowOff>
    </xdr:to>
    <xdr:graphicFrame macro="">
      <xdr:nvGraphicFramePr>
        <xdr:cNvPr id="28" name="Chart 22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38</xdr:col>
      <xdr:colOff>66675</xdr:colOff>
      <xdr:row>152</xdr:row>
      <xdr:rowOff>9525</xdr:rowOff>
    </xdr:from>
    <xdr:to>
      <xdr:col>47</xdr:col>
      <xdr:colOff>581025</xdr:colOff>
      <xdr:row>177</xdr:row>
      <xdr:rowOff>9525</xdr:rowOff>
    </xdr:to>
    <xdr:graphicFrame macro="">
      <xdr:nvGraphicFramePr>
        <xdr:cNvPr id="29" name="Chart 22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28575</xdr:colOff>
      <xdr:row>149</xdr:row>
      <xdr:rowOff>123825</xdr:rowOff>
    </xdr:from>
    <xdr:to>
      <xdr:col>9</xdr:col>
      <xdr:colOff>542925</xdr:colOff>
      <xdr:row>174</xdr:row>
      <xdr:rowOff>123825</xdr:rowOff>
    </xdr:to>
    <xdr:graphicFrame macro="">
      <xdr:nvGraphicFramePr>
        <xdr:cNvPr id="30" name="Chart 2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504825</xdr:colOff>
      <xdr:row>126</xdr:row>
      <xdr:rowOff>104775</xdr:rowOff>
    </xdr:from>
    <xdr:to>
      <xdr:col>19</xdr:col>
      <xdr:colOff>323850</xdr:colOff>
      <xdr:row>151</xdr:row>
      <xdr:rowOff>104775</xdr:rowOff>
    </xdr:to>
    <xdr:graphicFrame macro="">
      <xdr:nvGraphicFramePr>
        <xdr:cNvPr id="31" name="Chart 2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151</xdr:row>
      <xdr:rowOff>0</xdr:rowOff>
    </xdr:from>
    <xdr:to>
      <xdr:col>19</xdr:col>
      <xdr:colOff>514350</xdr:colOff>
      <xdr:row>176</xdr:row>
      <xdr:rowOff>0</xdr:rowOff>
    </xdr:to>
    <xdr:graphicFrame macro="">
      <xdr:nvGraphicFramePr>
        <xdr:cNvPr id="32" name="Chart 22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58</xdr:col>
      <xdr:colOff>419100</xdr:colOff>
      <xdr:row>27</xdr:row>
      <xdr:rowOff>114300</xdr:rowOff>
    </xdr:from>
    <xdr:to>
      <xdr:col>64</xdr:col>
      <xdr:colOff>742950</xdr:colOff>
      <xdr:row>52</xdr:row>
      <xdr:rowOff>133350</xdr:rowOff>
    </xdr:to>
    <xdr:graphicFrame macro="">
      <xdr:nvGraphicFramePr>
        <xdr:cNvPr id="34" name="Chart 6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0.50319</cdr:x>
      <cdr:y>0.50098</cdr:y>
    </cdr:from>
    <cdr:to>
      <cdr:x>0.51819</cdr:x>
      <cdr:y>0.54614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100</xdr:row>
      <xdr:rowOff>9525</xdr:rowOff>
    </xdr:from>
    <xdr:to>
      <xdr:col>9</xdr:col>
      <xdr:colOff>400050</xdr:colOff>
      <xdr:row>125</xdr:row>
      <xdr:rowOff>9525</xdr:rowOff>
    </xdr:to>
    <xdr:graphicFrame macro="">
      <xdr:nvGraphicFramePr>
        <xdr:cNvPr id="6" name="Chart 19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438150</xdr:colOff>
      <xdr:row>98</xdr:row>
      <xdr:rowOff>85725</xdr:rowOff>
    </xdr:from>
    <xdr:to>
      <xdr:col>19</xdr:col>
      <xdr:colOff>352425</xdr:colOff>
      <xdr:row>123</xdr:row>
      <xdr:rowOff>76200</xdr:rowOff>
    </xdr:to>
    <xdr:graphicFrame macro="">
      <xdr:nvGraphicFramePr>
        <xdr:cNvPr id="7" name="Chart 20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125</xdr:row>
      <xdr:rowOff>66675</xdr:rowOff>
    </xdr:from>
    <xdr:to>
      <xdr:col>9</xdr:col>
      <xdr:colOff>409575</xdr:colOff>
      <xdr:row>150</xdr:row>
      <xdr:rowOff>66675</xdr:rowOff>
    </xdr:to>
    <xdr:graphicFrame macro="">
      <xdr:nvGraphicFramePr>
        <xdr:cNvPr id="8" name="Chart 2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371475</xdr:colOff>
      <xdr:row>126</xdr:row>
      <xdr:rowOff>9525</xdr:rowOff>
    </xdr:from>
    <xdr:to>
      <xdr:col>28</xdr:col>
      <xdr:colOff>561975</xdr:colOff>
      <xdr:row>151</xdr:row>
      <xdr:rowOff>9525</xdr:rowOff>
    </xdr:to>
    <xdr:graphicFrame macro="">
      <xdr:nvGraphicFramePr>
        <xdr:cNvPr id="9" name="Chart 22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9</xdr:col>
      <xdr:colOff>400050</xdr:colOff>
      <xdr:row>75</xdr:row>
      <xdr:rowOff>0</xdr:rowOff>
    </xdr:to>
    <xdr:graphicFrame macro="">
      <xdr:nvGraphicFramePr>
        <xdr:cNvPr id="10" name="Chart 2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400050</xdr:colOff>
      <xdr:row>50</xdr:row>
      <xdr:rowOff>0</xdr:rowOff>
    </xdr:from>
    <xdr:to>
      <xdr:col>19</xdr:col>
      <xdr:colOff>304800</xdr:colOff>
      <xdr:row>75</xdr:row>
      <xdr:rowOff>9525</xdr:rowOff>
    </xdr:to>
    <xdr:graphicFrame macro="">
      <xdr:nvGraphicFramePr>
        <xdr:cNvPr id="11" name="Chart 24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75</xdr:row>
      <xdr:rowOff>0</xdr:rowOff>
    </xdr:from>
    <xdr:to>
      <xdr:col>9</xdr:col>
      <xdr:colOff>419100</xdr:colOff>
      <xdr:row>100</xdr:row>
      <xdr:rowOff>9525</xdr:rowOff>
    </xdr:to>
    <xdr:graphicFrame macro="">
      <xdr:nvGraphicFramePr>
        <xdr:cNvPr id="12" name="Chart 25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400050</xdr:colOff>
      <xdr:row>75</xdr:row>
      <xdr:rowOff>0</xdr:rowOff>
    </xdr:from>
    <xdr:to>
      <xdr:col>19</xdr:col>
      <xdr:colOff>333375</xdr:colOff>
      <xdr:row>100</xdr:row>
      <xdr:rowOff>9525</xdr:rowOff>
    </xdr:to>
    <xdr:graphicFrame macro="">
      <xdr:nvGraphicFramePr>
        <xdr:cNvPr id="13" name="Chart 26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174</xdr:row>
      <xdr:rowOff>123825</xdr:rowOff>
    </xdr:from>
    <xdr:to>
      <xdr:col>9</xdr:col>
      <xdr:colOff>419100</xdr:colOff>
      <xdr:row>199</xdr:row>
      <xdr:rowOff>114300</xdr:rowOff>
    </xdr:to>
    <xdr:graphicFrame macro="">
      <xdr:nvGraphicFramePr>
        <xdr:cNvPr id="14" name="Chart 27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419100</xdr:colOff>
      <xdr:row>174</xdr:row>
      <xdr:rowOff>123825</xdr:rowOff>
    </xdr:from>
    <xdr:to>
      <xdr:col>19</xdr:col>
      <xdr:colOff>352425</xdr:colOff>
      <xdr:row>199</xdr:row>
      <xdr:rowOff>123825</xdr:rowOff>
    </xdr:to>
    <xdr:graphicFrame macro="">
      <xdr:nvGraphicFramePr>
        <xdr:cNvPr id="15" name="Chart 28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224</xdr:row>
      <xdr:rowOff>114300</xdr:rowOff>
    </xdr:from>
    <xdr:to>
      <xdr:col>9</xdr:col>
      <xdr:colOff>419100</xdr:colOff>
      <xdr:row>249</xdr:row>
      <xdr:rowOff>123825</xdr:rowOff>
    </xdr:to>
    <xdr:graphicFrame macro="">
      <xdr:nvGraphicFramePr>
        <xdr:cNvPr id="16" name="Chart 29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400050</xdr:colOff>
      <xdr:row>224</xdr:row>
      <xdr:rowOff>114300</xdr:rowOff>
    </xdr:from>
    <xdr:to>
      <xdr:col>19</xdr:col>
      <xdr:colOff>323850</xdr:colOff>
      <xdr:row>249</xdr:row>
      <xdr:rowOff>123825</xdr:rowOff>
    </xdr:to>
    <xdr:graphicFrame macro="">
      <xdr:nvGraphicFramePr>
        <xdr:cNvPr id="17" name="Chart 30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199</xdr:row>
      <xdr:rowOff>114300</xdr:rowOff>
    </xdr:from>
    <xdr:to>
      <xdr:col>9</xdr:col>
      <xdr:colOff>447675</xdr:colOff>
      <xdr:row>224</xdr:row>
      <xdr:rowOff>123825</xdr:rowOff>
    </xdr:to>
    <xdr:graphicFrame macro="">
      <xdr:nvGraphicFramePr>
        <xdr:cNvPr id="18" name="Chart 3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58</xdr:col>
      <xdr:colOff>266700</xdr:colOff>
      <xdr:row>0</xdr:row>
      <xdr:rowOff>0</xdr:rowOff>
    </xdr:from>
    <xdr:to>
      <xdr:col>66</xdr:col>
      <xdr:colOff>323850</xdr:colOff>
      <xdr:row>25</xdr:row>
      <xdr:rowOff>19050</xdr:rowOff>
    </xdr:to>
    <xdr:graphicFrame macro="">
      <xdr:nvGraphicFramePr>
        <xdr:cNvPr id="19" name="Chart 6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55</xdr:col>
      <xdr:colOff>0</xdr:colOff>
      <xdr:row>26</xdr:row>
      <xdr:rowOff>0</xdr:rowOff>
    </xdr:from>
    <xdr:to>
      <xdr:col>63</xdr:col>
      <xdr:colOff>676275</xdr:colOff>
      <xdr:row>51</xdr:row>
      <xdr:rowOff>19050</xdr:rowOff>
    </xdr:to>
    <xdr:graphicFrame macro="">
      <xdr:nvGraphicFramePr>
        <xdr:cNvPr id="20" name="Chart 6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0</xdr:colOff>
      <xdr:row>26</xdr:row>
      <xdr:rowOff>0</xdr:rowOff>
    </xdr:from>
    <xdr:to>
      <xdr:col>72</xdr:col>
      <xdr:colOff>514350</xdr:colOff>
      <xdr:row>51</xdr:row>
      <xdr:rowOff>28575</xdr:rowOff>
    </xdr:to>
    <xdr:graphicFrame macro="">
      <xdr:nvGraphicFramePr>
        <xdr:cNvPr id="21" name="Diagramm 31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37</xdr:col>
      <xdr:colOff>552450</xdr:colOff>
      <xdr:row>125</xdr:row>
      <xdr:rowOff>123825</xdr:rowOff>
    </xdr:from>
    <xdr:to>
      <xdr:col>47</xdr:col>
      <xdr:colOff>476250</xdr:colOff>
      <xdr:row>150</xdr:row>
      <xdr:rowOff>123825</xdr:rowOff>
    </xdr:to>
    <xdr:graphicFrame macro="">
      <xdr:nvGraphicFramePr>
        <xdr:cNvPr id="22" name="Chart 2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47</xdr:col>
      <xdr:colOff>552450</xdr:colOff>
      <xdr:row>125</xdr:row>
      <xdr:rowOff>133350</xdr:rowOff>
    </xdr:from>
    <xdr:to>
      <xdr:col>57</xdr:col>
      <xdr:colOff>257175</xdr:colOff>
      <xdr:row>150</xdr:row>
      <xdr:rowOff>133350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28</xdr:col>
      <xdr:colOff>666750</xdr:colOff>
      <xdr:row>125</xdr:row>
      <xdr:rowOff>104775</xdr:rowOff>
    </xdr:from>
    <xdr:to>
      <xdr:col>37</xdr:col>
      <xdr:colOff>323850</xdr:colOff>
      <xdr:row>150</xdr:row>
      <xdr:rowOff>104775</xdr:rowOff>
    </xdr:to>
    <xdr:graphicFrame macro="">
      <xdr:nvGraphicFramePr>
        <xdr:cNvPr id="24" name="Chart 2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28</xdr:col>
      <xdr:colOff>609600</xdr:colOff>
      <xdr:row>151</xdr:row>
      <xdr:rowOff>57150</xdr:rowOff>
    </xdr:from>
    <xdr:to>
      <xdr:col>37</xdr:col>
      <xdr:colOff>266700</xdr:colOff>
      <xdr:row>176</xdr:row>
      <xdr:rowOff>57150</xdr:rowOff>
    </xdr:to>
    <xdr:graphicFrame macro="">
      <xdr:nvGraphicFramePr>
        <xdr:cNvPr id="25" name="Chart 22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19</xdr:col>
      <xdr:colOff>581025</xdr:colOff>
      <xdr:row>151</xdr:row>
      <xdr:rowOff>95250</xdr:rowOff>
    </xdr:from>
    <xdr:to>
      <xdr:col>28</xdr:col>
      <xdr:colOff>771525</xdr:colOff>
      <xdr:row>176</xdr:row>
      <xdr:rowOff>95250</xdr:rowOff>
    </xdr:to>
    <xdr:graphicFrame macro="">
      <xdr:nvGraphicFramePr>
        <xdr:cNvPr id="26" name="Chart 22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48</xdr:col>
      <xdr:colOff>28575</xdr:colOff>
      <xdr:row>152</xdr:row>
      <xdr:rowOff>28575</xdr:rowOff>
    </xdr:from>
    <xdr:to>
      <xdr:col>57</xdr:col>
      <xdr:colOff>323850</xdr:colOff>
      <xdr:row>177</xdr:row>
      <xdr:rowOff>28575</xdr:rowOff>
    </xdr:to>
    <xdr:graphicFrame macro="">
      <xdr:nvGraphicFramePr>
        <xdr:cNvPr id="27" name="Chart 22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38</xdr:col>
      <xdr:colOff>66675</xdr:colOff>
      <xdr:row>152</xdr:row>
      <xdr:rowOff>9525</xdr:rowOff>
    </xdr:from>
    <xdr:to>
      <xdr:col>47</xdr:col>
      <xdr:colOff>581025</xdr:colOff>
      <xdr:row>177</xdr:row>
      <xdr:rowOff>9525</xdr:rowOff>
    </xdr:to>
    <xdr:graphicFrame macro="">
      <xdr:nvGraphicFramePr>
        <xdr:cNvPr id="28" name="Chart 22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28575</xdr:colOff>
      <xdr:row>149</xdr:row>
      <xdr:rowOff>123825</xdr:rowOff>
    </xdr:from>
    <xdr:to>
      <xdr:col>9</xdr:col>
      <xdr:colOff>542925</xdr:colOff>
      <xdr:row>174</xdr:row>
      <xdr:rowOff>123825</xdr:rowOff>
    </xdr:to>
    <xdr:graphicFrame macro="">
      <xdr:nvGraphicFramePr>
        <xdr:cNvPr id="29" name="Chart 22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504825</xdr:colOff>
      <xdr:row>126</xdr:row>
      <xdr:rowOff>104775</xdr:rowOff>
    </xdr:from>
    <xdr:to>
      <xdr:col>19</xdr:col>
      <xdr:colOff>323850</xdr:colOff>
      <xdr:row>151</xdr:row>
      <xdr:rowOff>104775</xdr:rowOff>
    </xdr:to>
    <xdr:graphicFrame macro="">
      <xdr:nvGraphicFramePr>
        <xdr:cNvPr id="30" name="Chart 21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0</xdr:colOff>
      <xdr:row>151</xdr:row>
      <xdr:rowOff>0</xdr:rowOff>
    </xdr:from>
    <xdr:to>
      <xdr:col>19</xdr:col>
      <xdr:colOff>514350</xdr:colOff>
      <xdr:row>176</xdr:row>
      <xdr:rowOff>0</xdr:rowOff>
    </xdr:to>
    <xdr:graphicFrame macro="">
      <xdr:nvGraphicFramePr>
        <xdr:cNvPr id="31" name="Chart 22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28</xdr:col>
      <xdr:colOff>619125</xdr:colOff>
      <xdr:row>182</xdr:row>
      <xdr:rowOff>0</xdr:rowOff>
    </xdr:from>
    <xdr:to>
      <xdr:col>37</xdr:col>
      <xdr:colOff>276225</xdr:colOff>
      <xdr:row>207</xdr:row>
      <xdr:rowOff>0</xdr:rowOff>
    </xdr:to>
    <xdr:graphicFrame macro="">
      <xdr:nvGraphicFramePr>
        <xdr:cNvPr id="32" name="Chart 22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0</xdr:colOff>
      <xdr:row>182</xdr:row>
      <xdr:rowOff>38100</xdr:rowOff>
    </xdr:from>
    <xdr:to>
      <xdr:col>28</xdr:col>
      <xdr:colOff>781050</xdr:colOff>
      <xdr:row>207</xdr:row>
      <xdr:rowOff>38100</xdr:rowOff>
    </xdr:to>
    <xdr:graphicFrame macro="">
      <xdr:nvGraphicFramePr>
        <xdr:cNvPr id="33" name="Chart 2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53</xdr:col>
      <xdr:colOff>723899</xdr:colOff>
      <xdr:row>182</xdr:row>
      <xdr:rowOff>47625</xdr:rowOff>
    </xdr:from>
    <xdr:to>
      <xdr:col>65</xdr:col>
      <xdr:colOff>257175</xdr:colOff>
      <xdr:row>207</xdr:row>
      <xdr:rowOff>47625</xdr:rowOff>
    </xdr:to>
    <xdr:graphicFrame macro="">
      <xdr:nvGraphicFramePr>
        <xdr:cNvPr id="34" name="Chart 22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37</xdr:col>
      <xdr:colOff>485775</xdr:colOff>
      <xdr:row>182</xdr:row>
      <xdr:rowOff>47625</xdr:rowOff>
    </xdr:from>
    <xdr:to>
      <xdr:col>50</xdr:col>
      <xdr:colOff>333375</xdr:colOff>
      <xdr:row>207</xdr:row>
      <xdr:rowOff>47625</xdr:rowOff>
    </xdr:to>
    <xdr:graphicFrame macro="">
      <xdr:nvGraphicFramePr>
        <xdr:cNvPr id="35" name="Chart 22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0.50737</cdr:x>
      <cdr:y>0.49635</cdr:y>
    </cdr:from>
    <cdr:to>
      <cdr:x>0.52016</cdr:x>
      <cdr:y>0.54053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0.50245</cdr:x>
      <cdr:y>0.49659</cdr:y>
    </cdr:from>
    <cdr:to>
      <cdr:x>0.51598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104775</xdr:rowOff>
    </xdr:from>
    <xdr:to>
      <xdr:col>6</xdr:col>
      <xdr:colOff>533400</xdr:colOff>
      <xdr:row>26</xdr:row>
      <xdr:rowOff>114300</xdr:rowOff>
    </xdr:to>
    <xdr:graphicFrame macro="">
      <xdr:nvGraphicFramePr>
        <xdr:cNvPr id="314465" name="Chart 11">
          <a:extLst>
            <a:ext uri="{FF2B5EF4-FFF2-40B4-BE49-F238E27FC236}">
              <a16:creationId xmlns:a16="http://schemas.microsoft.com/office/drawing/2014/main" id="{00000000-0008-0000-0800-000061CC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723900</xdr:colOff>
      <xdr:row>2</xdr:row>
      <xdr:rowOff>47625</xdr:rowOff>
    </xdr:from>
    <xdr:to>
      <xdr:col>13</xdr:col>
      <xdr:colOff>581025</xdr:colOff>
      <xdr:row>27</xdr:row>
      <xdr:rowOff>57150</xdr:rowOff>
    </xdr:to>
    <xdr:graphicFrame macro="">
      <xdr:nvGraphicFramePr>
        <xdr:cNvPr id="314466" name="Chart 18">
          <a:extLst>
            <a:ext uri="{FF2B5EF4-FFF2-40B4-BE49-F238E27FC236}">
              <a16:creationId xmlns:a16="http://schemas.microsoft.com/office/drawing/2014/main" id="{00000000-0008-0000-0800-000062CC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23812</xdr:rowOff>
    </xdr:from>
    <xdr:to>
      <xdr:col>13</xdr:col>
      <xdr:colOff>581025</xdr:colOff>
      <xdr:row>23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0</xdr:row>
      <xdr:rowOff>142875</xdr:rowOff>
    </xdr:from>
    <xdr:to>
      <xdr:col>19</xdr:col>
      <xdr:colOff>733425</xdr:colOff>
      <xdr:row>23</xdr:row>
      <xdr:rowOff>142875</xdr:rowOff>
    </xdr:to>
    <xdr:graphicFrame macro="">
      <xdr:nvGraphicFramePr>
        <xdr:cNvPr id="3" name="Chart 18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390525</xdr:colOff>
      <xdr:row>0</xdr:row>
      <xdr:rowOff>128587</xdr:rowOff>
    </xdr:from>
    <xdr:to>
      <xdr:col>26</xdr:col>
      <xdr:colOff>390525</xdr:colOff>
      <xdr:row>23</xdr:row>
      <xdr:rowOff>66675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685800</xdr:colOff>
      <xdr:row>0</xdr:row>
      <xdr:rowOff>85725</xdr:rowOff>
    </xdr:from>
    <xdr:to>
      <xdr:col>32</xdr:col>
      <xdr:colOff>542925</xdr:colOff>
      <xdr:row>23</xdr:row>
      <xdr:rowOff>85725</xdr:rowOff>
    </xdr:to>
    <xdr:graphicFrame macro="">
      <xdr:nvGraphicFramePr>
        <xdr:cNvPr id="7" name="Chart 18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42862</xdr:rowOff>
    </xdr:from>
    <xdr:to>
      <xdr:col>12</xdr:col>
      <xdr:colOff>0</xdr:colOff>
      <xdr:row>51</xdr:row>
      <xdr:rowOff>142875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295275</xdr:colOff>
      <xdr:row>27</xdr:row>
      <xdr:rowOff>0</xdr:rowOff>
    </xdr:from>
    <xdr:to>
      <xdr:col>18</xdr:col>
      <xdr:colOff>152400</xdr:colOff>
      <xdr:row>52</xdr:row>
      <xdr:rowOff>0</xdr:rowOff>
    </xdr:to>
    <xdr:graphicFrame macro="">
      <xdr:nvGraphicFramePr>
        <xdr:cNvPr id="9" name="Chart 1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295275</xdr:colOff>
      <xdr:row>54</xdr:row>
      <xdr:rowOff>157162</xdr:rowOff>
    </xdr:from>
    <xdr:to>
      <xdr:col>13</xdr:col>
      <xdr:colOff>295275</xdr:colOff>
      <xdr:row>77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628650</xdr:colOff>
      <xdr:row>54</xdr:row>
      <xdr:rowOff>66675</xdr:rowOff>
    </xdr:from>
    <xdr:to>
      <xdr:col>19</xdr:col>
      <xdr:colOff>485775</xdr:colOff>
      <xdr:row>77</xdr:row>
      <xdr:rowOff>66675</xdr:rowOff>
    </xdr:to>
    <xdr:graphicFrame macro="">
      <xdr:nvGraphicFramePr>
        <xdr:cNvPr id="11" name="Chart 18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438150</xdr:colOff>
      <xdr:row>54</xdr:row>
      <xdr:rowOff>9525</xdr:rowOff>
    </xdr:from>
    <xdr:to>
      <xdr:col>32</xdr:col>
      <xdr:colOff>295275</xdr:colOff>
      <xdr:row>77</xdr:row>
      <xdr:rowOff>9525</xdr:rowOff>
    </xdr:to>
    <xdr:graphicFrame macro="">
      <xdr:nvGraphicFramePr>
        <xdr:cNvPr id="13" name="Chart 18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333375</xdr:colOff>
      <xdr:row>54</xdr:row>
      <xdr:rowOff>9525</xdr:rowOff>
    </xdr:from>
    <xdr:to>
      <xdr:col>26</xdr:col>
      <xdr:colOff>333375</xdr:colOff>
      <xdr:row>76</xdr:row>
      <xdr:rowOff>109538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219075</xdr:colOff>
      <xdr:row>81</xdr:row>
      <xdr:rowOff>57150</xdr:rowOff>
    </xdr:from>
    <xdr:to>
      <xdr:col>12</xdr:col>
      <xdr:colOff>219075</xdr:colOff>
      <xdr:row>105</xdr:row>
      <xdr:rowOff>157163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81</xdr:row>
      <xdr:rowOff>0</xdr:rowOff>
    </xdr:from>
    <xdr:to>
      <xdr:col>18</xdr:col>
      <xdr:colOff>619125</xdr:colOff>
      <xdr:row>106</xdr:row>
      <xdr:rowOff>0</xdr:rowOff>
    </xdr:to>
    <xdr:graphicFrame macro="">
      <xdr:nvGraphicFramePr>
        <xdr:cNvPr id="15" name="Chart 18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</xdr:row>
      <xdr:rowOff>42862</xdr:rowOff>
    </xdr:from>
    <xdr:to>
      <xdr:col>39</xdr:col>
      <xdr:colOff>0</xdr:colOff>
      <xdr:row>23</xdr:row>
      <xdr:rowOff>142875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295275</xdr:colOff>
      <xdr:row>1</xdr:row>
      <xdr:rowOff>0</xdr:rowOff>
    </xdr:from>
    <xdr:to>
      <xdr:col>45</xdr:col>
      <xdr:colOff>152400</xdr:colOff>
      <xdr:row>24</xdr:row>
      <xdr:rowOff>0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34</xdr:col>
      <xdr:colOff>742950</xdr:colOff>
      <xdr:row>1</xdr:row>
      <xdr:rowOff>228600</xdr:rowOff>
    </xdr:from>
    <xdr:to>
      <xdr:col>35</xdr:col>
      <xdr:colOff>0</xdr:colOff>
      <xdr:row>21</xdr:row>
      <xdr:rowOff>9525</xdr:rowOff>
    </xdr:to>
    <xdr:cxnSp macro="">
      <xdr:nvCxnSpPr>
        <xdr:cNvPr id="5" name="Gerade Verbindung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>
          <a:off x="26812875" y="390525"/>
          <a:ext cx="19050" cy="3343275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54</xdr:row>
      <xdr:rowOff>0</xdr:rowOff>
    </xdr:from>
    <xdr:to>
      <xdr:col>44</xdr:col>
      <xdr:colOff>723900</xdr:colOff>
      <xdr:row>77</xdr:row>
      <xdr:rowOff>0</xdr:rowOff>
    </xdr:to>
    <xdr:graphicFrame macro="">
      <xdr:nvGraphicFramePr>
        <xdr:cNvPr id="18" name="Chart 18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0</xdr:colOff>
      <xdr:row>54</xdr:row>
      <xdr:rowOff>0</xdr:rowOff>
    </xdr:from>
    <xdr:to>
      <xdr:col>39</xdr:col>
      <xdr:colOff>0</xdr:colOff>
      <xdr:row>76</xdr:row>
      <xdr:rowOff>100013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0.37361</cdr:x>
      <cdr:y>0.0462</cdr:y>
    </cdr:from>
    <cdr:to>
      <cdr:x>0.37778</cdr:x>
      <cdr:y>0.88491</cdr:y>
    </cdr:to>
    <cdr:cxnSp macro="">
      <cdr:nvCxnSpPr>
        <cdr:cNvPr id="2" name="Gerade Verbindung 1">
          <a:extLst xmlns:a="http://schemas.openxmlformats.org/drawingml/2006/main">
            <a:ext uri="{FF2B5EF4-FFF2-40B4-BE49-F238E27FC236}">
              <a16:creationId xmlns:a16="http://schemas.microsoft.com/office/drawing/2014/main" id="{A50CD373-4403-FB4B-A94F-C21C95414A6D}"/>
            </a:ext>
          </a:extLst>
        </cdr:cNvPr>
        <cdr:cNvCxnSpPr/>
      </cdr:nvCxnSpPr>
      <cdr:spPr>
        <a:xfrm xmlns:a="http://schemas.openxmlformats.org/drawingml/2006/main">
          <a:off x="1708150" y="184150"/>
          <a:ext cx="19050" cy="334327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0.66944</cdr:x>
      <cdr:y>0.0462</cdr:y>
    </cdr:from>
    <cdr:to>
      <cdr:x>0.67361</cdr:x>
      <cdr:y>0.88491</cdr:y>
    </cdr:to>
    <cdr:cxnSp macro="">
      <cdr:nvCxnSpPr>
        <cdr:cNvPr id="2" name="Gerade Verbindung 1">
          <a:extLst xmlns:a="http://schemas.openxmlformats.org/drawingml/2006/main">
            <a:ext uri="{FF2B5EF4-FFF2-40B4-BE49-F238E27FC236}">
              <a16:creationId xmlns:a16="http://schemas.microsoft.com/office/drawing/2014/main" id="{87AE5126-6EC9-1345-87D2-EFDA5B39C8E7}"/>
            </a:ext>
          </a:extLst>
        </cdr:cNvPr>
        <cdr:cNvCxnSpPr/>
      </cdr:nvCxnSpPr>
      <cdr:spPr>
        <a:xfrm xmlns:a="http://schemas.openxmlformats.org/drawingml/2006/main">
          <a:off x="3060700" y="184150"/>
          <a:ext cx="19050" cy="334327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23812</xdr:rowOff>
    </xdr:from>
    <xdr:to>
      <xdr:col>13</xdr:col>
      <xdr:colOff>581025</xdr:colOff>
      <xdr:row>23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0</xdr:row>
      <xdr:rowOff>142875</xdr:rowOff>
    </xdr:from>
    <xdr:to>
      <xdr:col>19</xdr:col>
      <xdr:colOff>733425</xdr:colOff>
      <xdr:row>23</xdr:row>
      <xdr:rowOff>142875</xdr:rowOff>
    </xdr:to>
    <xdr:graphicFrame macro="">
      <xdr:nvGraphicFramePr>
        <xdr:cNvPr id="3" name="Chart 18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390525</xdr:colOff>
      <xdr:row>0</xdr:row>
      <xdr:rowOff>128587</xdr:rowOff>
    </xdr:from>
    <xdr:to>
      <xdr:col>26</xdr:col>
      <xdr:colOff>390525</xdr:colOff>
      <xdr:row>23</xdr:row>
      <xdr:rowOff>66675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9525</xdr:colOff>
      <xdr:row>24</xdr:row>
      <xdr:rowOff>57150</xdr:rowOff>
    </xdr:from>
    <xdr:to>
      <xdr:col>38</xdr:col>
      <xdr:colOff>628650</xdr:colOff>
      <xdr:row>48</xdr:row>
      <xdr:rowOff>57150</xdr:rowOff>
    </xdr:to>
    <xdr:graphicFrame macro="">
      <xdr:nvGraphicFramePr>
        <xdr:cNvPr id="5" name="Chart 18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42862</xdr:rowOff>
    </xdr:from>
    <xdr:to>
      <xdr:col>12</xdr:col>
      <xdr:colOff>0</xdr:colOff>
      <xdr:row>51</xdr:row>
      <xdr:rowOff>142875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295275</xdr:colOff>
      <xdr:row>54</xdr:row>
      <xdr:rowOff>157162</xdr:rowOff>
    </xdr:from>
    <xdr:to>
      <xdr:col>13</xdr:col>
      <xdr:colOff>295275</xdr:colOff>
      <xdr:row>77</xdr:row>
      <xdr:rowOff>95250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628650</xdr:colOff>
      <xdr:row>54</xdr:row>
      <xdr:rowOff>66675</xdr:rowOff>
    </xdr:from>
    <xdr:to>
      <xdr:col>19</xdr:col>
      <xdr:colOff>485775</xdr:colOff>
      <xdr:row>77</xdr:row>
      <xdr:rowOff>66675</xdr:rowOff>
    </xdr:to>
    <xdr:graphicFrame macro="">
      <xdr:nvGraphicFramePr>
        <xdr:cNvPr id="9" name="Chart 1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695325</xdr:colOff>
      <xdr:row>0</xdr:row>
      <xdr:rowOff>76200</xdr:rowOff>
    </xdr:from>
    <xdr:to>
      <xdr:col>32</xdr:col>
      <xdr:colOff>552450</xdr:colOff>
      <xdr:row>22</xdr:row>
      <xdr:rowOff>76200</xdr:rowOff>
    </xdr:to>
    <xdr:graphicFrame macro="">
      <xdr:nvGraphicFramePr>
        <xdr:cNvPr id="10" name="Chart 18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333375</xdr:colOff>
      <xdr:row>54</xdr:row>
      <xdr:rowOff>9525</xdr:rowOff>
    </xdr:from>
    <xdr:to>
      <xdr:col>26</xdr:col>
      <xdr:colOff>333375</xdr:colOff>
      <xdr:row>76</xdr:row>
      <xdr:rowOff>109538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219075</xdr:colOff>
      <xdr:row>81</xdr:row>
      <xdr:rowOff>57150</xdr:rowOff>
    </xdr:from>
    <xdr:to>
      <xdr:col>12</xdr:col>
      <xdr:colOff>219075</xdr:colOff>
      <xdr:row>105</xdr:row>
      <xdr:rowOff>157163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95250</xdr:colOff>
      <xdr:row>80</xdr:row>
      <xdr:rowOff>142875</xdr:rowOff>
    </xdr:from>
    <xdr:to>
      <xdr:col>25</xdr:col>
      <xdr:colOff>714375</xdr:colOff>
      <xdr:row>105</xdr:row>
      <xdr:rowOff>142875</xdr:rowOff>
    </xdr:to>
    <xdr:graphicFrame macro="">
      <xdr:nvGraphicFramePr>
        <xdr:cNvPr id="13" name="Chart 18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1</xdr:row>
      <xdr:rowOff>42862</xdr:rowOff>
    </xdr:from>
    <xdr:to>
      <xdr:col>39</xdr:col>
      <xdr:colOff>0</xdr:colOff>
      <xdr:row>23</xdr:row>
      <xdr:rowOff>142875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295275</xdr:colOff>
      <xdr:row>1</xdr:row>
      <xdr:rowOff>0</xdr:rowOff>
    </xdr:from>
    <xdr:to>
      <xdr:col>45</xdr:col>
      <xdr:colOff>152400</xdr:colOff>
      <xdr:row>24</xdr:row>
      <xdr:rowOff>0</xdr:rowOff>
    </xdr:to>
    <xdr:graphicFrame macro="">
      <xdr:nvGraphicFramePr>
        <xdr:cNvPr id="15" name="Chart 18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33</xdr:col>
      <xdr:colOff>0</xdr:colOff>
      <xdr:row>54</xdr:row>
      <xdr:rowOff>0</xdr:rowOff>
    </xdr:from>
    <xdr:to>
      <xdr:col>39</xdr:col>
      <xdr:colOff>0</xdr:colOff>
      <xdr:row>76</xdr:row>
      <xdr:rowOff>100013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152400</xdr:colOff>
      <xdr:row>81</xdr:row>
      <xdr:rowOff>28575</xdr:rowOff>
    </xdr:from>
    <xdr:to>
      <xdr:col>33</xdr:col>
      <xdr:colOff>9525</xdr:colOff>
      <xdr:row>106</xdr:row>
      <xdr:rowOff>28575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36</xdr:col>
      <xdr:colOff>666750</xdr:colOff>
      <xdr:row>345</xdr:row>
      <xdr:rowOff>33337</xdr:rowOff>
    </xdr:from>
    <xdr:to>
      <xdr:col>42</xdr:col>
      <xdr:colOff>666750</xdr:colOff>
      <xdr:row>362</xdr:row>
      <xdr:rowOff>23812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27</xdr:col>
      <xdr:colOff>0</xdr:colOff>
      <xdr:row>54</xdr:row>
      <xdr:rowOff>0</xdr:rowOff>
    </xdr:from>
    <xdr:to>
      <xdr:col>32</xdr:col>
      <xdr:colOff>619125</xdr:colOff>
      <xdr:row>79</xdr:row>
      <xdr:rowOff>0</xdr:rowOff>
    </xdr:to>
    <xdr:graphicFrame macro="">
      <xdr:nvGraphicFramePr>
        <xdr:cNvPr id="22" name="Chart 18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18</xdr:col>
      <xdr:colOff>619125</xdr:colOff>
      <xdr:row>54</xdr:row>
      <xdr:rowOff>0</xdr:rowOff>
    </xdr:to>
    <xdr:graphicFrame macro="">
      <xdr:nvGraphicFramePr>
        <xdr:cNvPr id="24" name="Chart 18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104775</xdr:colOff>
      <xdr:row>81</xdr:row>
      <xdr:rowOff>9525</xdr:rowOff>
    </xdr:from>
    <xdr:to>
      <xdr:col>18</xdr:col>
      <xdr:colOff>723900</xdr:colOff>
      <xdr:row>108</xdr:row>
      <xdr:rowOff>9525</xdr:rowOff>
    </xdr:to>
    <xdr:graphicFrame macro="">
      <xdr:nvGraphicFramePr>
        <xdr:cNvPr id="20" name="Chart 18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0</xdr:colOff>
      <xdr:row>112</xdr:row>
      <xdr:rowOff>0</xdr:rowOff>
    </xdr:from>
    <xdr:to>
      <xdr:col>25</xdr:col>
      <xdr:colOff>619125</xdr:colOff>
      <xdr:row>137</xdr:row>
      <xdr:rowOff>0</xdr:rowOff>
    </xdr:to>
    <xdr:graphicFrame macro="">
      <xdr:nvGraphicFramePr>
        <xdr:cNvPr id="23" name="Chart 18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18</xdr:col>
      <xdr:colOff>619125</xdr:colOff>
      <xdr:row>139</xdr:row>
      <xdr:rowOff>0</xdr:rowOff>
    </xdr:to>
    <xdr:graphicFrame macro="">
      <xdr:nvGraphicFramePr>
        <xdr:cNvPr id="26" name="Chart 18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0.37361</cdr:x>
      <cdr:y>0.0462</cdr:y>
    </cdr:from>
    <cdr:to>
      <cdr:x>0.37778</cdr:x>
      <cdr:y>0.88491</cdr:y>
    </cdr:to>
    <cdr:cxnSp macro="">
      <cdr:nvCxnSpPr>
        <cdr:cNvPr id="2" name="Gerade Verbindung 1">
          <a:extLst xmlns:a="http://schemas.openxmlformats.org/drawingml/2006/main">
            <a:ext uri="{FF2B5EF4-FFF2-40B4-BE49-F238E27FC236}">
              <a16:creationId xmlns:a16="http://schemas.microsoft.com/office/drawing/2014/main" id="{1B86FBEF-CC1F-C447-927E-8D327818F417}"/>
            </a:ext>
          </a:extLst>
        </cdr:cNvPr>
        <cdr:cNvCxnSpPr/>
      </cdr:nvCxnSpPr>
      <cdr:spPr>
        <a:xfrm xmlns:a="http://schemas.openxmlformats.org/drawingml/2006/main">
          <a:off x="1708150" y="184150"/>
          <a:ext cx="19050" cy="334327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0.35069</cdr:x>
      <cdr:y>0.05257</cdr:y>
    </cdr:from>
    <cdr:to>
      <cdr:x>0.45625</cdr:x>
      <cdr:y>0.82676</cdr:y>
    </cdr:to>
    <cdr:sp macro="" textlink="">
      <cdr:nvSpPr>
        <cdr:cNvPr id="2" name="Rechteck 1"/>
        <cdr:cNvSpPr/>
      </cdr:nvSpPr>
      <cdr:spPr>
        <a:xfrm xmlns:a="http://schemas.openxmlformats.org/drawingml/2006/main">
          <a:off x="1603376" y="209551"/>
          <a:ext cx="482599" cy="30861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alpha val="24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0.45556</cdr:x>
      <cdr:y>0.04859</cdr:y>
    </cdr:from>
    <cdr:to>
      <cdr:x>0.94167</cdr:x>
      <cdr:y>0.83154</cdr:y>
    </cdr:to>
    <cdr:sp macro="" textlink="">
      <cdr:nvSpPr>
        <cdr:cNvPr id="3" name="Rechteck 2"/>
        <cdr:cNvSpPr/>
      </cdr:nvSpPr>
      <cdr:spPr>
        <a:xfrm xmlns:a="http://schemas.openxmlformats.org/drawingml/2006/main">
          <a:off x="2082800" y="193675"/>
          <a:ext cx="2222500" cy="3121025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4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0.57292</cdr:x>
      <cdr:y>0.05496</cdr:y>
    </cdr:from>
    <cdr:to>
      <cdr:x>0.77917</cdr:x>
      <cdr:y>0.82915</cdr:y>
    </cdr:to>
    <cdr:sp macro="" textlink="">
      <cdr:nvSpPr>
        <cdr:cNvPr id="3" name="Rechteck 2"/>
        <cdr:cNvSpPr/>
      </cdr:nvSpPr>
      <cdr:spPr>
        <a:xfrm xmlns:a="http://schemas.openxmlformats.org/drawingml/2006/main">
          <a:off x="2619375" y="219075"/>
          <a:ext cx="942975" cy="30861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alpha val="24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0.77569</cdr:x>
      <cdr:y>0.05098</cdr:y>
    </cdr:from>
    <cdr:to>
      <cdr:x>0.94167</cdr:x>
      <cdr:y>0.83393</cdr:y>
    </cdr:to>
    <cdr:sp macro="" textlink="">
      <cdr:nvSpPr>
        <cdr:cNvPr id="4" name="Rechteck 3"/>
        <cdr:cNvSpPr/>
      </cdr:nvSpPr>
      <cdr:spPr>
        <a:xfrm xmlns:a="http://schemas.openxmlformats.org/drawingml/2006/main">
          <a:off x="3546475" y="203199"/>
          <a:ext cx="758825" cy="3121025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4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0.5259</cdr:x>
      <cdr:y>0.49659</cdr:y>
    </cdr:from>
    <cdr:to>
      <cdr:x>0.53869</cdr:x>
      <cdr:y>0.54078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8280" y="2040734"/>
          <a:ext cx="77538" cy="1837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e-AT" sz="9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3000/3775_MONERIS_OOE_M2/Intern/100086_Ma&#223;nahmenstrategien/Auswertungen/MONERIS_Files/Moneris_IWAG_Oberoesterreich_new_with%20geology_mz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3000/3775_MONERIS_OOE_M2/Intern/100086_Ma&#223;nahmenstrategien/Auswertungen/MONERIS_Files/Moneris_IWAG_final_Oesterreich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kte%20laufend/STOBIMO/O&#214;%20follow%20up/MODUL_II/MONERIS/Ma&#223;nahmen/Moneris_IWAG_Oberoesterreich_Phase2_P1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3000/3730_Naehrstoffstroeme_OOE/Intern/Auswertungen/Frachten/4_Mittlere_monatliche_Frachten/Mittlere%20Monatliche%20Fracht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icinfo"/>
      <sheetName val="Intermediate"/>
      <sheetName val="Local emissions"/>
      <sheetName val="Summed emissions"/>
      <sheetName val="River loads"/>
      <sheetName val="Graphs"/>
      <sheetName val="Graphs de"/>
      <sheetName val="Graphs mz"/>
      <sheetName val="Graphs c eng"/>
      <sheetName val="Graphs c de"/>
      <sheetName val="TN"/>
      <sheetName val="DIN"/>
      <sheetName val="TP"/>
      <sheetName val="Tabelle2"/>
      <sheetName val="Tabelle1"/>
    </sheetNames>
    <sheetDataSet>
      <sheetData sheetId="0"/>
      <sheetData sheetId="1">
        <row r="2">
          <cell r="DD2" t="str">
            <v>o-P</v>
          </cell>
          <cell r="DL2" t="str">
            <v>DIN</v>
          </cell>
        </row>
        <row r="3">
          <cell r="DD3" t="str">
            <v>MW</v>
          </cell>
          <cell r="DE3" t="str">
            <v>C-90%</v>
          </cell>
          <cell r="DL3" t="str">
            <v>MW</v>
          </cell>
          <cell r="DM3" t="str">
            <v>C-90%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icinfo"/>
      <sheetName val="Intermediate"/>
      <sheetName val="Local emissions"/>
      <sheetName val="Summed emissions"/>
      <sheetName val="River loads"/>
      <sheetName val="Graphs"/>
      <sheetName val="Graphs mz"/>
      <sheetName val="Graphs c"/>
      <sheetName val="TN"/>
      <sheetName val="DIN"/>
      <sheetName val="TP"/>
      <sheetName val="Tabelle1"/>
      <sheetName val="Tabelle3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U1">
            <v>0.01</v>
          </cell>
          <cell r="V1">
            <v>0.01</v>
          </cell>
          <cell r="W1">
            <v>6.9999999999999993E-3</v>
          </cell>
          <cell r="X1">
            <v>1.3000000000000001E-2</v>
          </cell>
        </row>
        <row r="2">
          <cell r="U2">
            <v>1</v>
          </cell>
          <cell r="V2">
            <v>1</v>
          </cell>
          <cell r="W2">
            <v>0.7</v>
          </cell>
          <cell r="X2">
            <v>1.3</v>
          </cell>
        </row>
        <row r="3">
          <cell r="U3">
            <v>10</v>
          </cell>
          <cell r="V3">
            <v>10</v>
          </cell>
          <cell r="W3">
            <v>7</v>
          </cell>
          <cell r="X3">
            <v>13</v>
          </cell>
        </row>
        <row r="4">
          <cell r="U4">
            <v>100</v>
          </cell>
          <cell r="V4">
            <v>100</v>
          </cell>
          <cell r="W4">
            <v>70</v>
          </cell>
          <cell r="X4">
            <v>130</v>
          </cell>
        </row>
        <row r="5">
          <cell r="U5">
            <v>1000</v>
          </cell>
          <cell r="V5">
            <v>1000</v>
          </cell>
          <cell r="W5">
            <v>700</v>
          </cell>
          <cell r="X5">
            <v>1300</v>
          </cell>
        </row>
        <row r="6">
          <cell r="U6">
            <v>3000</v>
          </cell>
          <cell r="V6">
            <v>3000</v>
          </cell>
          <cell r="W6">
            <v>2100</v>
          </cell>
          <cell r="X6">
            <v>3900</v>
          </cell>
        </row>
        <row r="7">
          <cell r="U7">
            <v>200000</v>
          </cell>
          <cell r="V7">
            <v>200000</v>
          </cell>
          <cell r="W7">
            <v>140000</v>
          </cell>
          <cell r="X7">
            <v>260000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icinfo"/>
      <sheetName val="Intermediate"/>
      <sheetName val="Local emissions"/>
      <sheetName val="Summed emissions"/>
      <sheetName val="River loads"/>
      <sheetName val="Graphs"/>
      <sheetName val="Graphs de"/>
      <sheetName val="Graphs mz"/>
      <sheetName val="Graphs c eng"/>
      <sheetName val="Graphs c de"/>
      <sheetName val="TN"/>
      <sheetName val="DIN"/>
      <sheetName val="TP"/>
      <sheetName val="Übertrag"/>
      <sheetName val="Tabelle2"/>
    </sheetNames>
    <sheetDataSet>
      <sheetData sheetId="0"/>
      <sheetData sheetId="1">
        <row r="2">
          <cell r="A2" t="str">
            <v>Name</v>
          </cell>
          <cell r="B2" t="str">
            <v>ID</v>
          </cell>
          <cell r="C2" t="str">
            <v>Downstream ID</v>
          </cell>
        </row>
      </sheetData>
      <sheetData sheetId="2"/>
      <sheetData sheetId="3">
        <row r="1">
          <cell r="BU1">
            <v>0</v>
          </cell>
        </row>
        <row r="2">
          <cell r="AR2" t="str">
            <v>Total TP emissions</v>
          </cell>
        </row>
        <row r="3">
          <cell r="AR3" t="str">
            <v>t/y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itrat"/>
      <sheetName val="Nitrat_y_loads"/>
      <sheetName val="Nitrat_m_loads"/>
      <sheetName val="Nitrit_y_loads"/>
      <sheetName val="Nitrit_m_loads"/>
      <sheetName val="Ammonium"/>
      <sheetName val="Nitrit"/>
      <sheetName val="Schwebstoffe"/>
      <sheetName val="Ammonium_y_loads"/>
      <sheetName val="Ammonium_m_loads"/>
      <sheetName val="Pges_unfiltr"/>
      <sheetName val="Pges_unfiltr_y_loads"/>
      <sheetName val="Pges_unfiltr_m_loads"/>
      <sheetName val="Ortho_P_y_loads"/>
      <sheetName val="Ortho_P_m_loads"/>
      <sheetName val="Schwebstoffe_y_loads"/>
      <sheetName val="Schwebstoffe_m_loads"/>
      <sheetName val="Ortho_P"/>
      <sheetName val="alt"/>
    </sheetNames>
    <sheetDataSet>
      <sheetData sheetId="0"/>
      <sheetData sheetId="1">
        <row r="2">
          <cell r="B2" t="str">
            <v>Ager 32,9</v>
          </cell>
          <cell r="C2">
            <v>205369</v>
          </cell>
          <cell r="E2">
            <v>26.775958358756167</v>
          </cell>
          <cell r="F2">
            <v>25.137425921985407</v>
          </cell>
          <cell r="G2">
            <v>38.492681296470074</v>
          </cell>
          <cell r="H2">
            <v>37.848674229637574</v>
          </cell>
          <cell r="I2">
            <v>27.086817845816</v>
          </cell>
          <cell r="J2">
            <v>38.569794948007726</v>
          </cell>
          <cell r="K2">
            <v>20.886104401801418</v>
          </cell>
          <cell r="L2">
            <v>28.224970680437487</v>
          </cell>
          <cell r="M2">
            <v>22.756901342483385</v>
          </cell>
          <cell r="N2">
            <v>18.25977404211881</v>
          </cell>
          <cell r="O2">
            <v>20.176521385888915</v>
          </cell>
          <cell r="P2">
            <v>14.430079925301309</v>
          </cell>
          <cell r="Q2">
            <v>318.64570437870424</v>
          </cell>
          <cell r="R2" t="str">
            <v/>
          </cell>
        </row>
        <row r="3">
          <cell r="A3">
            <v>1280</v>
          </cell>
          <cell r="B3" t="str">
            <v>Ager 31,2</v>
          </cell>
          <cell r="C3">
            <v>205369</v>
          </cell>
          <cell r="E3">
            <v>33.813200482309327</v>
          </cell>
          <cell r="F3">
            <v>29.354114457499534</v>
          </cell>
          <cell r="G3">
            <v>46.784266796670941</v>
          </cell>
          <cell r="H3">
            <v>42.867224854667455</v>
          </cell>
          <cell r="I3">
            <v>31.880863858622323</v>
          </cell>
          <cell r="J3">
            <v>47.821667143365744</v>
          </cell>
          <cell r="K3">
            <v>24.031205782507751</v>
          </cell>
          <cell r="L3">
            <v>36.435933842378404</v>
          </cell>
          <cell r="M3">
            <v>28.893112360435278</v>
          </cell>
          <cell r="N3">
            <v>20.399038929133404</v>
          </cell>
          <cell r="O3">
            <v>23.972478573436291</v>
          </cell>
          <cell r="P3">
            <v>19.367928888739979</v>
          </cell>
          <cell r="Q3">
            <v>385.62103596976641</v>
          </cell>
          <cell r="R3" t="str">
            <v/>
          </cell>
        </row>
        <row r="4">
          <cell r="B4" t="str">
            <v>Ager 25,16</v>
          </cell>
          <cell r="C4">
            <v>205369</v>
          </cell>
          <cell r="E4">
            <v>34.236481851855025</v>
          </cell>
          <cell r="F4">
            <v>28.786910569049081</v>
          </cell>
          <cell r="G4">
            <v>45.837006163928805</v>
          </cell>
          <cell r="H4">
            <v>41.758344478661805</v>
          </cell>
          <cell r="I4">
            <v>33.970016636500105</v>
          </cell>
          <cell r="J4">
            <v>51.959335390950038</v>
          </cell>
          <cell r="K4">
            <v>27.311771180613338</v>
          </cell>
          <cell r="L4">
            <v>35.807131420699122</v>
          </cell>
          <cell r="M4">
            <v>31.523719202573449</v>
          </cell>
          <cell r="N4">
            <v>23.555721532060911</v>
          </cell>
          <cell r="O4">
            <v>25.62373599348059</v>
          </cell>
          <cell r="P4">
            <v>17.944907885224104</v>
          </cell>
          <cell r="Q4">
            <v>398.31508230559632</v>
          </cell>
          <cell r="R4" t="str">
            <v/>
          </cell>
        </row>
        <row r="5">
          <cell r="B5" t="str">
            <v>Ager 21,3</v>
          </cell>
          <cell r="C5">
            <v>205369</v>
          </cell>
          <cell r="E5">
            <v>39.030925985571528</v>
          </cell>
          <cell r="F5">
            <v>32.922641599519629</v>
          </cell>
          <cell r="G5">
            <v>55.780068411237401</v>
          </cell>
          <cell r="H5">
            <v>48.293029419000653</v>
          </cell>
          <cell r="I5">
            <v>39.881224379395249</v>
          </cell>
          <cell r="J5">
            <v>59.006835472717142</v>
          </cell>
          <cell r="K5">
            <v>31.421445876285656</v>
          </cell>
          <cell r="L5">
            <v>44.346515358140259</v>
          </cell>
          <cell r="M5">
            <v>36.973521741076567</v>
          </cell>
          <cell r="N5">
            <v>28.091170936650229</v>
          </cell>
          <cell r="O5">
            <v>29.15398606450783</v>
          </cell>
          <cell r="P5">
            <v>22.675956002882266</v>
          </cell>
          <cell r="Q5">
            <v>467.57732124698441</v>
          </cell>
          <cell r="R5" t="str">
            <v/>
          </cell>
        </row>
        <row r="6">
          <cell r="B6" t="str">
            <v>Ager 17,2</v>
          </cell>
          <cell r="C6">
            <v>205427</v>
          </cell>
          <cell r="E6">
            <v>100.90169381265396</v>
          </cell>
          <cell r="F6">
            <v>85.161149377872789</v>
          </cell>
          <cell r="G6">
            <v>132.43207008131381</v>
          </cell>
          <cell r="H6">
            <v>95.823421157932401</v>
          </cell>
          <cell r="I6">
            <v>77.125410537024948</v>
          </cell>
          <cell r="J6">
            <v>121.86601585430047</v>
          </cell>
          <cell r="K6">
            <v>62.4386320933151</v>
          </cell>
          <cell r="L6">
            <v>90.571293682821363</v>
          </cell>
          <cell r="M6">
            <v>74.883575511359098</v>
          </cell>
          <cell r="N6">
            <v>62.221023906348044</v>
          </cell>
          <cell r="O6">
            <v>69.042551764017261</v>
          </cell>
          <cell r="P6">
            <v>60.255163855900626</v>
          </cell>
          <cell r="Q6">
            <v>1032.7220016348599</v>
          </cell>
          <cell r="R6" t="str">
            <v/>
          </cell>
        </row>
        <row r="7">
          <cell r="B7" t="str">
            <v>Ager 8,1</v>
          </cell>
          <cell r="C7">
            <v>205450</v>
          </cell>
          <cell r="E7">
            <v>127.1411763427753</v>
          </cell>
          <cell r="F7">
            <v>112.75612522799145</v>
          </cell>
          <cell r="G7">
            <v>177.96201209878197</v>
          </cell>
          <cell r="H7">
            <v>124.9793509395749</v>
          </cell>
          <cell r="I7">
            <v>99.574935134845973</v>
          </cell>
          <cell r="J7">
            <v>167.06521434955818</v>
          </cell>
          <cell r="K7">
            <v>87.493166267590183</v>
          </cell>
          <cell r="L7">
            <v>126.76920965342254</v>
          </cell>
          <cell r="M7">
            <v>104.57486448951518</v>
          </cell>
          <cell r="N7">
            <v>85.979092704848355</v>
          </cell>
          <cell r="O7">
            <v>94.55753907255793</v>
          </cell>
          <cell r="P7">
            <v>88.15683371807981</v>
          </cell>
          <cell r="Q7">
            <v>1397.0095199995417</v>
          </cell>
          <cell r="R7" t="str">
            <v/>
          </cell>
        </row>
        <row r="8">
          <cell r="A8">
            <v>1290</v>
          </cell>
          <cell r="B8" t="str">
            <v>Ager 1,57</v>
          </cell>
          <cell r="C8">
            <v>205450</v>
          </cell>
          <cell r="E8">
            <v>152.1580446374015</v>
          </cell>
          <cell r="F8">
            <v>135.38964130664536</v>
          </cell>
          <cell r="G8">
            <v>213.19275072710775</v>
          </cell>
          <cell r="H8">
            <v>152.79869553704324</v>
          </cell>
          <cell r="I8">
            <v>119.17114725311677</v>
          </cell>
          <cell r="J8">
            <v>191.47909159417247</v>
          </cell>
          <cell r="K8">
            <v>100.57866327184142</v>
          </cell>
          <cell r="L8">
            <v>143.69242403401003</v>
          </cell>
          <cell r="M8">
            <v>120.29606629739673</v>
          </cell>
          <cell r="N8">
            <v>101.39693675739194</v>
          </cell>
          <cell r="O8">
            <v>112.18396287957967</v>
          </cell>
          <cell r="P8">
            <v>103.97854820463341</v>
          </cell>
          <cell r="Q8">
            <v>1646.3159725003404</v>
          </cell>
          <cell r="R8" t="str">
            <v/>
          </cell>
        </row>
        <row r="9">
          <cell r="A9">
            <v>1600</v>
          </cell>
          <cell r="B9" t="str">
            <v>Aist 6</v>
          </cell>
          <cell r="C9">
            <v>205989</v>
          </cell>
          <cell r="E9">
            <v>55.322491046559399</v>
          </cell>
          <cell r="F9">
            <v>75.058595563548565</v>
          </cell>
          <cell r="G9">
            <v>153.18874285713841</v>
          </cell>
          <cell r="H9">
            <v>102.39733329819182</v>
          </cell>
          <cell r="I9">
            <v>41.460773310582347</v>
          </cell>
          <cell r="J9">
            <v>34.325384201312495</v>
          </cell>
          <cell r="K9">
            <v>32.789567234851624</v>
          </cell>
          <cell r="L9">
            <v>70.781598055119844</v>
          </cell>
          <cell r="M9">
            <v>32.466335847353108</v>
          </cell>
          <cell r="N9">
            <v>27.593954992629381</v>
          </cell>
          <cell r="O9">
            <v>33.201088999763812</v>
          </cell>
          <cell r="P9">
            <v>38.898849280579441</v>
          </cell>
          <cell r="Q9">
            <v>697.48471468763023</v>
          </cell>
          <cell r="R9" t="str">
            <v/>
          </cell>
        </row>
        <row r="10">
          <cell r="C10">
            <v>206508</v>
          </cell>
          <cell r="Q10" t="str">
            <v>k.Wert</v>
          </cell>
          <cell r="R10" t="str">
            <v/>
          </cell>
        </row>
        <row r="11">
          <cell r="A11">
            <v>1300</v>
          </cell>
          <cell r="B11" t="str">
            <v>Alm 33,3</v>
          </cell>
          <cell r="C11">
            <v>205500</v>
          </cell>
          <cell r="E11">
            <v>18.332517264839005</v>
          </cell>
          <cell r="F11">
            <v>17.45806152979856</v>
          </cell>
          <cell r="G11">
            <v>32.410970312566697</v>
          </cell>
          <cell r="H11">
            <v>29.561103582999081</v>
          </cell>
          <cell r="I11">
            <v>27.970783646439742</v>
          </cell>
          <cell r="J11">
            <v>42.261088602612695</v>
          </cell>
          <cell r="K11">
            <v>20.140525834995401</v>
          </cell>
          <cell r="L11">
            <v>25.964323157343152</v>
          </cell>
          <cell r="M11">
            <v>19.790034025390984</v>
          </cell>
          <cell r="N11">
            <v>15.899402502447103</v>
          </cell>
          <cell r="O11">
            <v>15.599858286292552</v>
          </cell>
          <cell r="P11">
            <v>11.066904135786569</v>
          </cell>
          <cell r="Q11">
            <v>276.45557288151156</v>
          </cell>
          <cell r="R11" t="str">
            <v/>
          </cell>
        </row>
        <row r="12">
          <cell r="B12" t="str">
            <v>Alm 22,26</v>
          </cell>
          <cell r="C12">
            <v>205500</v>
          </cell>
          <cell r="E12">
            <v>26.808997065096587</v>
          </cell>
          <cell r="F12">
            <v>25.547689841375497</v>
          </cell>
          <cell r="G12">
            <v>48.781535246881312</v>
          </cell>
          <cell r="H12">
            <v>42.451215774866597</v>
          </cell>
          <cell r="I12">
            <v>40.910743815565773</v>
          </cell>
          <cell r="J12">
            <v>60.520177665206973</v>
          </cell>
          <cell r="K12">
            <v>30.106546341195948</v>
          </cell>
          <cell r="L12">
            <v>39.422843204091997</v>
          </cell>
          <cell r="M12">
            <v>30.603511101085548</v>
          </cell>
          <cell r="N12">
            <v>23.24922463043238</v>
          </cell>
          <cell r="O12">
            <v>23.160372155216194</v>
          </cell>
          <cell r="P12">
            <v>16.720760034811406</v>
          </cell>
          <cell r="Q12">
            <v>408.28361687582611</v>
          </cell>
          <cell r="R12" t="str">
            <v/>
          </cell>
        </row>
        <row r="13">
          <cell r="B13" t="str">
            <v>Alm 10,5</v>
          </cell>
          <cell r="C13">
            <v>205500</v>
          </cell>
          <cell r="E13">
            <v>33.45045297162833</v>
          </cell>
          <cell r="F13">
            <v>31.747974323641785</v>
          </cell>
          <cell r="G13">
            <v>60.547608398307261</v>
          </cell>
          <cell r="H13">
            <v>51.891746609751607</v>
          </cell>
          <cell r="I13">
            <v>50.818181784728608</v>
          </cell>
          <cell r="J13">
            <v>76.890279309659604</v>
          </cell>
          <cell r="K13">
            <v>36.329041846697329</v>
          </cell>
          <cell r="L13">
            <v>49.086145508092002</v>
          </cell>
          <cell r="M13">
            <v>38.45171739819687</v>
          </cell>
          <cell r="N13">
            <v>28.544369121030357</v>
          </cell>
          <cell r="O13">
            <v>28.540828469696411</v>
          </cell>
          <cell r="P13">
            <v>22.326780807654092</v>
          </cell>
          <cell r="Q13">
            <v>508.62512654908426</v>
          </cell>
          <cell r="R13" t="str">
            <v/>
          </cell>
        </row>
        <row r="14">
          <cell r="A14">
            <v>1310</v>
          </cell>
          <cell r="B14" t="str">
            <v>Alm 4,75</v>
          </cell>
          <cell r="C14">
            <v>205518</v>
          </cell>
          <cell r="E14">
            <v>54.14348279060173</v>
          </cell>
          <cell r="F14">
            <v>49.463401282274425</v>
          </cell>
          <cell r="G14">
            <v>98.956307558609254</v>
          </cell>
          <cell r="H14">
            <v>74.053231941652086</v>
          </cell>
          <cell r="I14">
            <v>68.818100926183718</v>
          </cell>
          <cell r="J14">
            <v>113.23276253824143</v>
          </cell>
          <cell r="K14">
            <v>53.99548690955254</v>
          </cell>
          <cell r="L14">
            <v>78.06353059884654</v>
          </cell>
          <cell r="M14">
            <v>59.101466593012454</v>
          </cell>
          <cell r="N14">
            <v>43.927886044116939</v>
          </cell>
          <cell r="O14">
            <v>47.564063974753878</v>
          </cell>
          <cell r="P14">
            <v>35.767895900882003</v>
          </cell>
          <cell r="Q14">
            <v>777.08761705872689</v>
          </cell>
          <cell r="R14" t="str">
            <v/>
          </cell>
        </row>
        <row r="15">
          <cell r="B15" t="str">
            <v>Antiesen 23,5</v>
          </cell>
          <cell r="C15">
            <v>206805</v>
          </cell>
          <cell r="E15">
            <v>7.43994521715108</v>
          </cell>
          <cell r="F15">
            <v>7.0961699871515762</v>
          </cell>
          <cell r="G15">
            <v>10.353568938474821</v>
          </cell>
          <cell r="H15">
            <v>4.8818360646906473</v>
          </cell>
          <cell r="I15">
            <v>3.9723367011798567</v>
          </cell>
          <cell r="J15">
            <v>4.7463147137266191</v>
          </cell>
          <cell r="K15">
            <v>3.2026482756258989</v>
          </cell>
          <cell r="L15">
            <v>3.389827923246044</v>
          </cell>
          <cell r="M15">
            <v>3.4591228093812947</v>
          </cell>
          <cell r="N15">
            <v>3.4398430347625903</v>
          </cell>
          <cell r="O15">
            <v>3.7738310710791367</v>
          </cell>
          <cell r="P15">
            <v>7.1182431867625899</v>
          </cell>
          <cell r="Q15">
            <v>62.873687923232147</v>
          </cell>
          <cell r="R15" t="str">
            <v/>
          </cell>
        </row>
        <row r="16">
          <cell r="A16">
            <v>670</v>
          </cell>
          <cell r="B16" t="str">
            <v>Antiesen 21,7</v>
          </cell>
          <cell r="C16">
            <v>204750</v>
          </cell>
          <cell r="E16">
            <v>22.675655075861737</v>
          </cell>
          <cell r="F16">
            <v>21.648017007699547</v>
          </cell>
          <cell r="G16">
            <v>30.104472226464519</v>
          </cell>
          <cell r="H16">
            <v>14.198756755415403</v>
          </cell>
          <cell r="I16">
            <v>11.114705829132809</v>
          </cell>
          <cell r="J16">
            <v>12.532851874348088</v>
          </cell>
          <cell r="K16">
            <v>9.1926250203711337</v>
          </cell>
          <cell r="L16">
            <v>9.9831091543248025</v>
          </cell>
          <cell r="M16">
            <v>10.928063815684659</v>
          </cell>
          <cell r="N16">
            <v>10.675402651255306</v>
          </cell>
          <cell r="O16">
            <v>11.609480248460885</v>
          </cell>
          <cell r="P16">
            <v>22.190517599272283</v>
          </cell>
          <cell r="Q16">
            <v>186.85365725829115</v>
          </cell>
          <cell r="R16" t="str">
            <v/>
          </cell>
        </row>
        <row r="17">
          <cell r="B17" t="str">
            <v>Antiesen 16,8</v>
          </cell>
          <cell r="C17">
            <v>204750</v>
          </cell>
          <cell r="E17">
            <v>28.722804830350515</v>
          </cell>
          <cell r="F17">
            <v>26.380168657518663</v>
          </cell>
          <cell r="G17">
            <v>37.979249626391749</v>
          </cell>
          <cell r="H17">
            <v>18.039279191752577</v>
          </cell>
          <cell r="I17">
            <v>14.17188325360825</v>
          </cell>
          <cell r="J17">
            <v>18.802182890226803</v>
          </cell>
          <cell r="K17">
            <v>11.109753918185566</v>
          </cell>
          <cell r="L17">
            <v>12.835623986276286</v>
          </cell>
          <cell r="M17">
            <v>13.547681300783504</v>
          </cell>
          <cell r="N17">
            <v>13.256315066226803</v>
          </cell>
          <cell r="O17">
            <v>13.379183334927838</v>
          </cell>
          <cell r="P17">
            <v>25.752639730639174</v>
          </cell>
          <cell r="Q17">
            <v>233.97676578688768</v>
          </cell>
          <cell r="R17" t="str">
            <v/>
          </cell>
        </row>
        <row r="18">
          <cell r="B18" t="str">
            <v>Faule Aschach 0,88</v>
          </cell>
          <cell r="C18">
            <v>206151</v>
          </cell>
          <cell r="E18">
            <v>7.4267128528695636</v>
          </cell>
          <cell r="F18">
            <v>11.078604246116939</v>
          </cell>
          <cell r="G18">
            <v>21.601193951999992</v>
          </cell>
          <cell r="H18">
            <v>4.9896484925217388</v>
          </cell>
          <cell r="I18">
            <v>2.8372035506086948</v>
          </cell>
          <cell r="J18">
            <v>3.5098361488695637</v>
          </cell>
          <cell r="K18">
            <v>1.4892228939130432</v>
          </cell>
          <cell r="L18">
            <v>4.4060488052869555</v>
          </cell>
          <cell r="M18">
            <v>3.6064036883478252</v>
          </cell>
          <cell r="N18">
            <v>3.4034786608695646</v>
          </cell>
          <cell r="O18">
            <v>3.4515325815652163</v>
          </cell>
          <cell r="P18">
            <v>6.1759253376000007</v>
          </cell>
          <cell r="Q18">
            <v>73.975811210569105</v>
          </cell>
          <cell r="R18" t="str">
            <v/>
          </cell>
        </row>
        <row r="19">
          <cell r="B19" t="str">
            <v>D. Aschach 9,5</v>
          </cell>
          <cell r="C19">
            <v>205407</v>
          </cell>
          <cell r="E19">
            <v>3.0628353687272725</v>
          </cell>
          <cell r="F19">
            <v>4.0273859409153614</v>
          </cell>
          <cell r="G19">
            <v>7.0129319207272731</v>
          </cell>
          <cell r="H19">
            <v>1.2924224123636361</v>
          </cell>
          <cell r="I19">
            <v>0.84931981406060608</v>
          </cell>
          <cell r="J19">
            <v>1.4276794080000004</v>
          </cell>
          <cell r="K19">
            <v>0.48440988363636367</v>
          </cell>
          <cell r="L19">
            <v>1.4422055473454543</v>
          </cell>
          <cell r="M19">
            <v>0.90732294375757572</v>
          </cell>
          <cell r="N19">
            <v>0.93914157648484842</v>
          </cell>
          <cell r="O19">
            <v>1.2586738729696971</v>
          </cell>
          <cell r="P19">
            <v>2.2032587793454548</v>
          </cell>
          <cell r="Q19">
            <v>24.907587468333542</v>
          </cell>
          <cell r="R19" t="str">
            <v/>
          </cell>
        </row>
        <row r="20">
          <cell r="C20">
            <v>206169</v>
          </cell>
          <cell r="Q20" t="str">
            <v>k.Wert</v>
          </cell>
          <cell r="R20" t="str">
            <v/>
          </cell>
        </row>
        <row r="21">
          <cell r="A21">
            <v>1150</v>
          </cell>
          <cell r="B21" t="str">
            <v>Aschach 18,7</v>
          </cell>
          <cell r="C21">
            <v>205054</v>
          </cell>
          <cell r="E21">
            <v>57.763114854272906</v>
          </cell>
          <cell r="F21">
            <v>79.749996413262949</v>
          </cell>
          <cell r="G21">
            <v>136.83515073393983</v>
          </cell>
          <cell r="H21">
            <v>41.219316476233189</v>
          </cell>
          <cell r="I21">
            <v>27.154939528481737</v>
          </cell>
          <cell r="J21">
            <v>24.013636262590651</v>
          </cell>
          <cell r="K21">
            <v>10.782411046570147</v>
          </cell>
          <cell r="L21">
            <v>31.307252191204618</v>
          </cell>
          <cell r="M21">
            <v>20.381921236458684</v>
          </cell>
          <cell r="N21">
            <v>22.604064826716211</v>
          </cell>
          <cell r="O21">
            <v>28.729766842639336</v>
          </cell>
          <cell r="P21">
            <v>44.152141854940169</v>
          </cell>
          <cell r="Q21">
            <v>524.6937122673105</v>
          </cell>
          <cell r="R21" t="str">
            <v/>
          </cell>
        </row>
        <row r="22">
          <cell r="A22">
            <v>1160</v>
          </cell>
          <cell r="B22" t="str">
            <v>Aschach 5,4</v>
          </cell>
          <cell r="C22">
            <v>205054</v>
          </cell>
          <cell r="E22">
            <v>68.511568907162072</v>
          </cell>
          <cell r="F22">
            <v>90.029682819628434</v>
          </cell>
          <cell r="G22">
            <v>147.43237492643178</v>
          </cell>
          <cell r="H22">
            <v>44.414481101396539</v>
          </cell>
          <cell r="I22">
            <v>25.204338257511846</v>
          </cell>
          <cell r="J22">
            <v>25.812039433675846</v>
          </cell>
          <cell r="K22">
            <v>10.316515317509287</v>
          </cell>
          <cell r="L22">
            <v>32.661735737493402</v>
          </cell>
          <cell r="M22">
            <v>21.386052257281232</v>
          </cell>
          <cell r="N22">
            <v>25.85186727926714</v>
          </cell>
          <cell r="O22">
            <v>38.55233883874439</v>
          </cell>
          <cell r="P22">
            <v>49.08528159296656</v>
          </cell>
          <cell r="Q22">
            <v>579.25827646906851</v>
          </cell>
          <cell r="R22" t="str">
            <v/>
          </cell>
        </row>
        <row r="23">
          <cell r="B23" t="str">
            <v>Enns 33,8</v>
          </cell>
          <cell r="C23">
            <v>205757</v>
          </cell>
          <cell r="E23">
            <v>202.9565849011509</v>
          </cell>
          <cell r="F23">
            <v>211.76307859674489</v>
          </cell>
          <cell r="G23">
            <v>407.59164856517685</v>
          </cell>
          <cell r="H23">
            <v>487.51502038825475</v>
          </cell>
          <cell r="I23">
            <v>439.71393175733073</v>
          </cell>
          <cell r="J23">
            <v>315.16764061094051</v>
          </cell>
          <cell r="K23">
            <v>286.03869252986931</v>
          </cell>
          <cell r="L23">
            <v>272.97445605116309</v>
          </cell>
          <cell r="M23">
            <v>253.17692859973181</v>
          </cell>
          <cell r="N23">
            <v>218.68886845830946</v>
          </cell>
          <cell r="O23">
            <v>223.92461376910788</v>
          </cell>
          <cell r="P23">
            <v>152.21160862527171</v>
          </cell>
          <cell r="Q23">
            <v>3471.7230728530526</v>
          </cell>
          <cell r="R23" t="str">
            <v/>
          </cell>
        </row>
        <row r="24">
          <cell r="B24" t="str">
            <v>Enns 17,8</v>
          </cell>
          <cell r="C24">
            <v>205922</v>
          </cell>
          <cell r="E24">
            <v>319.82165396409374</v>
          </cell>
          <cell r="F24">
            <v>306.16094760296738</v>
          </cell>
          <cell r="G24">
            <v>576.9901477683336</v>
          </cell>
          <cell r="H24">
            <v>685.11207056293745</v>
          </cell>
          <cell r="I24">
            <v>589.15269066639621</v>
          </cell>
          <cell r="J24">
            <v>447.56610938553604</v>
          </cell>
          <cell r="K24">
            <v>374.74047635175981</v>
          </cell>
          <cell r="L24">
            <v>393.61297742002228</v>
          </cell>
          <cell r="M24">
            <v>354.24715495526931</v>
          </cell>
          <cell r="N24">
            <v>291.04992626594992</v>
          </cell>
          <cell r="O24">
            <v>317.39865024038954</v>
          </cell>
          <cell r="P24">
            <v>220.67675172573288</v>
          </cell>
          <cell r="Q24">
            <v>4876.5295569093878</v>
          </cell>
          <cell r="R24" t="str">
            <v/>
          </cell>
        </row>
        <row r="25">
          <cell r="B25" t="str">
            <v>Enns 8,2</v>
          </cell>
          <cell r="C25">
            <v>205922</v>
          </cell>
          <cell r="E25">
            <v>330.89676626619331</v>
          </cell>
          <cell r="F25">
            <v>310.79448635830312</v>
          </cell>
          <cell r="G25">
            <v>600.79945362418096</v>
          </cell>
          <cell r="H25">
            <v>679.02451277168075</v>
          </cell>
          <cell r="I25">
            <v>604.13467227629576</v>
          </cell>
          <cell r="J25">
            <v>447.88968820841865</v>
          </cell>
          <cell r="K25">
            <v>351.47328452224366</v>
          </cell>
          <cell r="L25">
            <v>356.58187124604115</v>
          </cell>
          <cell r="M25">
            <v>330.53942141060963</v>
          </cell>
          <cell r="N25">
            <v>297.29404031350037</v>
          </cell>
          <cell r="O25">
            <v>317.92016522957704</v>
          </cell>
          <cell r="P25">
            <v>226.75189556105084</v>
          </cell>
          <cell r="Q25">
            <v>4854.1002577880954</v>
          </cell>
          <cell r="R25" t="str">
            <v/>
          </cell>
        </row>
        <row r="26">
          <cell r="A26">
            <v>4080</v>
          </cell>
          <cell r="B26" t="str">
            <v>Enns 2,7</v>
          </cell>
          <cell r="C26">
            <v>205922</v>
          </cell>
          <cell r="E26">
            <v>360.65099202953644</v>
          </cell>
          <cell r="F26">
            <v>354.3952977528532</v>
          </cell>
          <cell r="G26">
            <v>680.0021646684653</v>
          </cell>
          <cell r="H26">
            <v>724.74433681022413</v>
          </cell>
          <cell r="I26">
            <v>637.47218500050712</v>
          </cell>
          <cell r="J26">
            <v>491.03934639436039</v>
          </cell>
          <cell r="K26">
            <v>405.54328092220311</v>
          </cell>
          <cell r="L26">
            <v>418.59422754788113</v>
          </cell>
          <cell r="M26">
            <v>379.83641466079729</v>
          </cell>
          <cell r="N26">
            <v>371.95144744509588</v>
          </cell>
          <cell r="O26">
            <v>350.79871305759207</v>
          </cell>
          <cell r="P26">
            <v>251.13934616804951</v>
          </cell>
          <cell r="Q26">
            <v>5426.1677524575653</v>
          </cell>
          <cell r="R26" t="str">
            <v/>
          </cell>
        </row>
        <row r="27">
          <cell r="A27">
            <v>1570</v>
          </cell>
          <cell r="B27" t="str">
            <v>Feldaist 31</v>
          </cell>
          <cell r="C27">
            <v>205948</v>
          </cell>
          <cell r="E27">
            <v>4.234727807098591</v>
          </cell>
          <cell r="F27">
            <v>7.1877878488275861</v>
          </cell>
          <cell r="G27">
            <v>17.45105063909859</v>
          </cell>
          <cell r="H27">
            <v>13.452357456450699</v>
          </cell>
          <cell r="I27">
            <v>4.0249370393239436</v>
          </cell>
          <cell r="J27">
            <v>3.5149187632676053</v>
          </cell>
          <cell r="K27">
            <v>4.0430776522816894</v>
          </cell>
          <cell r="L27">
            <v>13.980129956957745</v>
          </cell>
          <cell r="M27">
            <v>3.3741278143098588</v>
          </cell>
          <cell r="N27">
            <v>3.2218470828169017</v>
          </cell>
          <cell r="O27">
            <v>2.9219761289014077</v>
          </cell>
          <cell r="P27">
            <v>3.7382236691830983</v>
          </cell>
          <cell r="Q27">
            <v>81.145161858517724</v>
          </cell>
          <cell r="R27" t="str">
            <v/>
          </cell>
        </row>
        <row r="28">
          <cell r="B28" t="str">
            <v>Feldaist 29,2</v>
          </cell>
          <cell r="C28">
            <v>205948</v>
          </cell>
          <cell r="E28">
            <v>5.623944715267605</v>
          </cell>
          <cell r="F28">
            <v>9.4427181958309863</v>
          </cell>
          <cell r="G28">
            <v>22.634520638197184</v>
          </cell>
          <cell r="H28">
            <v>17.105794016450702</v>
          </cell>
          <cell r="I28">
            <v>5.3189623774647883</v>
          </cell>
          <cell r="J28">
            <v>5.3197713451267612</v>
          </cell>
          <cell r="K28">
            <v>4.8901238792112673</v>
          </cell>
          <cell r="L28">
            <v>15.325620151436617</v>
          </cell>
          <cell r="M28">
            <v>4.5507061277746468</v>
          </cell>
          <cell r="N28">
            <v>4.8882520901408446</v>
          </cell>
          <cell r="O28">
            <v>4.3545513498591548</v>
          </cell>
          <cell r="P28">
            <v>4.8841142740732391</v>
          </cell>
          <cell r="Q28">
            <v>104.3390791608338</v>
          </cell>
          <cell r="R28" t="str">
            <v/>
          </cell>
        </row>
        <row r="29">
          <cell r="B29" t="str">
            <v>Feldaist 17,45</v>
          </cell>
          <cell r="C29">
            <v>206581</v>
          </cell>
          <cell r="E29">
            <v>21.032892001065537</v>
          </cell>
          <cell r="F29">
            <v>33.210022148217249</v>
          </cell>
          <cell r="G29">
            <v>61.986498010858348</v>
          </cell>
          <cell r="H29">
            <v>43.351355882968285</v>
          </cell>
          <cell r="I29">
            <v>16.256608742283301</v>
          </cell>
          <cell r="J29">
            <v>12.567147650334038</v>
          </cell>
          <cell r="K29">
            <v>14.962741987052857</v>
          </cell>
          <cell r="L29">
            <v>32.863940229348835</v>
          </cell>
          <cell r="M29">
            <v>12.476812167399574</v>
          </cell>
          <cell r="N29">
            <v>11.53113308843975</v>
          </cell>
          <cell r="O29">
            <v>11.876543241183933</v>
          </cell>
          <cell r="P29">
            <v>15.554905547883299</v>
          </cell>
          <cell r="Q29">
            <v>287.67060069703501</v>
          </cell>
          <cell r="R29" t="str">
            <v/>
          </cell>
        </row>
        <row r="30">
          <cell r="C30">
            <v>206680</v>
          </cell>
          <cell r="Q30" t="str">
            <v>k.Wert</v>
          </cell>
          <cell r="R30" t="str">
            <v/>
          </cell>
        </row>
        <row r="31">
          <cell r="A31">
            <v>1590</v>
          </cell>
          <cell r="B31" t="str">
            <v>Waldaist 2,4</v>
          </cell>
          <cell r="C31">
            <v>205971</v>
          </cell>
          <cell r="E31">
            <v>15.461699118395757</v>
          </cell>
          <cell r="F31">
            <v>18.91629531188838</v>
          </cell>
          <cell r="G31">
            <v>43.177227729128276</v>
          </cell>
          <cell r="H31">
            <v>33.463710608100357</v>
          </cell>
          <cell r="I31">
            <v>14.355568233854179</v>
          </cell>
          <cell r="J31">
            <v>12.815298073434278</v>
          </cell>
          <cell r="K31">
            <v>11.95497922511305</v>
          </cell>
          <cell r="L31">
            <v>23.498274864680198</v>
          </cell>
          <cell r="M31">
            <v>10.463038942978798</v>
          </cell>
          <cell r="N31">
            <v>8.1151027351676923</v>
          </cell>
          <cell r="O31">
            <v>10.063285372237679</v>
          </cell>
          <cell r="P31">
            <v>12.574533873687344</v>
          </cell>
          <cell r="Q31">
            <v>214.85901408866596</v>
          </cell>
          <cell r="R31" t="str">
            <v/>
          </cell>
        </row>
        <row r="32">
          <cell r="B32" t="str">
            <v>Große Mühl 52,1</v>
          </cell>
          <cell r="C32">
            <v>204891</v>
          </cell>
          <cell r="E32">
            <v>12.127322922757282</v>
          </cell>
          <cell r="F32">
            <v>11.577401596495482</v>
          </cell>
          <cell r="G32">
            <v>20.458013353747575</v>
          </cell>
          <cell r="H32">
            <v>19.317789194563108</v>
          </cell>
          <cell r="I32">
            <v>9.5094770551456325</v>
          </cell>
          <cell r="J32">
            <v>9.8980267160388351</v>
          </cell>
          <cell r="K32">
            <v>4.5839402923689327</v>
          </cell>
          <cell r="L32">
            <v>7.1914367682174767</v>
          </cell>
          <cell r="M32">
            <v>6.9338961757864084</v>
          </cell>
          <cell r="N32">
            <v>6.7880625433398061</v>
          </cell>
          <cell r="O32">
            <v>8.9195250730485451</v>
          </cell>
          <cell r="P32">
            <v>8.583523605786409</v>
          </cell>
          <cell r="Q32">
            <v>125.88841529729548</v>
          </cell>
          <cell r="R32" t="str">
            <v/>
          </cell>
        </row>
        <row r="33">
          <cell r="A33">
            <v>1140</v>
          </cell>
          <cell r="B33" t="str">
            <v>Große Mühl 30,9</v>
          </cell>
          <cell r="C33">
            <v>204917</v>
          </cell>
          <cell r="E33">
            <v>17.895291073529332</v>
          </cell>
          <cell r="F33">
            <v>18.542705086786338</v>
          </cell>
          <cell r="G33">
            <v>30.688418914085677</v>
          </cell>
          <cell r="H33">
            <v>26.863211893102871</v>
          </cell>
          <cell r="I33">
            <v>12.633116339575304</v>
          </cell>
          <cell r="J33">
            <v>12.034505797086389</v>
          </cell>
          <cell r="K33">
            <v>6.1399140639261125</v>
          </cell>
          <cell r="L33">
            <v>9.7575547672218175</v>
          </cell>
          <cell r="M33">
            <v>8.5801878233735032</v>
          </cell>
          <cell r="N33">
            <v>7.8132975883038638</v>
          </cell>
          <cell r="O33">
            <v>11.483026695906576</v>
          </cell>
          <cell r="P33">
            <v>11.084299513515644</v>
          </cell>
          <cell r="Q33">
            <v>173.51552955641344</v>
          </cell>
          <cell r="R33" t="str">
            <v/>
          </cell>
        </row>
        <row r="34">
          <cell r="B34" t="str">
            <v>Große Mühl 21,8</v>
          </cell>
          <cell r="C34">
            <v>204933</v>
          </cell>
          <cell r="E34">
            <v>43.202651922565245</v>
          </cell>
          <cell r="F34">
            <v>43.952020050106604</v>
          </cell>
          <cell r="G34">
            <v>73.224945753914213</v>
          </cell>
          <cell r="H34">
            <v>63.40086707198585</v>
          </cell>
          <cell r="I34">
            <v>28.552224517841665</v>
          </cell>
          <cell r="J34">
            <v>27.555950372720037</v>
          </cell>
          <cell r="K34">
            <v>13.611676430340557</v>
          </cell>
          <cell r="L34">
            <v>23.957434868974794</v>
          </cell>
          <cell r="M34">
            <v>19.271488394356481</v>
          </cell>
          <cell r="N34">
            <v>18.379487686068114</v>
          </cell>
          <cell r="O34">
            <v>25.718100077169396</v>
          </cell>
          <cell r="P34">
            <v>25.302804257249008</v>
          </cell>
          <cell r="Q34">
            <v>406.12965140329197</v>
          </cell>
          <cell r="R34" t="str">
            <v/>
          </cell>
        </row>
        <row r="35">
          <cell r="C35">
            <v>206656</v>
          </cell>
          <cell r="Q35" t="str">
            <v>k.Wert</v>
          </cell>
          <cell r="R35" t="str">
            <v/>
          </cell>
        </row>
        <row r="36">
          <cell r="B36" t="str">
            <v>Große Rodl 23,2</v>
          </cell>
          <cell r="C36">
            <v>205088</v>
          </cell>
          <cell r="E36">
            <v>23.484243359240111</v>
          </cell>
          <cell r="F36">
            <v>26.112740713336368</v>
          </cell>
          <cell r="G36">
            <v>42.347983391240113</v>
          </cell>
          <cell r="H36">
            <v>28.968117086754617</v>
          </cell>
          <cell r="I36">
            <v>12.358978391683378</v>
          </cell>
          <cell r="J36">
            <v>10.393649636532984</v>
          </cell>
          <cell r="K36">
            <v>6.1819600511556727</v>
          </cell>
          <cell r="L36">
            <v>20.582787531799472</v>
          </cell>
          <cell r="M36">
            <v>8.919342397880742</v>
          </cell>
          <cell r="N36">
            <v>10.802461433350926</v>
          </cell>
          <cell r="O36">
            <v>11.865490687978891</v>
          </cell>
          <cell r="P36">
            <v>15.113823221445912</v>
          </cell>
          <cell r="Q36">
            <v>217.13157790239916</v>
          </cell>
          <cell r="R36" t="str">
            <v/>
          </cell>
        </row>
        <row r="37">
          <cell r="B37" t="str">
            <v>Gusen 19,6</v>
          </cell>
          <cell r="C37">
            <v>206573</v>
          </cell>
          <cell r="E37">
            <v>17.896360703887535</v>
          </cell>
          <cell r="F37">
            <v>21.84960700753463</v>
          </cell>
          <cell r="G37">
            <v>36.719068762189316</v>
          </cell>
          <cell r="H37">
            <v>19.376262231047793</v>
          </cell>
          <cell r="I37">
            <v>8.8247755719362679</v>
          </cell>
          <cell r="J37">
            <v>6.913885822447984</v>
          </cell>
          <cell r="K37">
            <v>4.2903819111002806</v>
          </cell>
          <cell r="L37">
            <v>12.231118389728207</v>
          </cell>
          <cell r="M37">
            <v>6.1678248436813483</v>
          </cell>
          <cell r="N37">
            <v>6.6119988656344892</v>
          </cell>
          <cell r="O37">
            <v>8.5813360015445159</v>
          </cell>
          <cell r="P37">
            <v>11.54801401075164</v>
          </cell>
          <cell r="Q37">
            <v>161.01063412148403</v>
          </cell>
          <cell r="R37" t="str">
            <v/>
          </cell>
        </row>
        <row r="38">
          <cell r="A38">
            <v>1370</v>
          </cell>
          <cell r="B38" t="str">
            <v>Gusen 15,7</v>
          </cell>
          <cell r="C38">
            <v>206375</v>
          </cell>
          <cell r="E38">
            <v>34.9659793947311</v>
          </cell>
          <cell r="F38">
            <v>44.703409991682001</v>
          </cell>
          <cell r="G38">
            <v>69.87122536293063</v>
          </cell>
          <cell r="H38">
            <v>34.644200282824627</v>
          </cell>
          <cell r="I38">
            <v>13.470925280773187</v>
          </cell>
          <cell r="J38">
            <v>11.265634131516757</v>
          </cell>
          <cell r="K38">
            <v>8.3035629014871386</v>
          </cell>
          <cell r="L38">
            <v>22.641619919064691</v>
          </cell>
          <cell r="M38">
            <v>9.6650878476570536</v>
          </cell>
          <cell r="N38">
            <v>11.565002558777863</v>
          </cell>
          <cell r="O38">
            <v>15.699161704517538</v>
          </cell>
          <cell r="P38">
            <v>23.77393724016336</v>
          </cell>
          <cell r="Q38">
            <v>300.56974661612594</v>
          </cell>
          <cell r="R38" t="str">
            <v/>
          </cell>
        </row>
        <row r="39">
          <cell r="B39" t="str">
            <v>Gusen 10,4</v>
          </cell>
          <cell r="C39">
            <v>206375</v>
          </cell>
          <cell r="E39">
            <v>39.022487218550268</v>
          </cell>
          <cell r="F39">
            <v>49.412305825282345</v>
          </cell>
          <cell r="G39">
            <v>75.687434631021034</v>
          </cell>
          <cell r="H39">
            <v>38.054682157131722</v>
          </cell>
          <cell r="I39">
            <v>15.229315626874511</v>
          </cell>
          <cell r="J39">
            <v>12.412937587061576</v>
          </cell>
          <cell r="K39">
            <v>8.6143798171473112</v>
          </cell>
          <cell r="L39">
            <v>24.911161690756042</v>
          </cell>
          <cell r="M39">
            <v>10.836929536554946</v>
          </cell>
          <cell r="N39">
            <v>13.020255917256426</v>
          </cell>
          <cell r="O39">
            <v>17.29896333979735</v>
          </cell>
          <cell r="P39">
            <v>25.91828104876695</v>
          </cell>
          <cell r="Q39">
            <v>330.41913439620049</v>
          </cell>
          <cell r="R39" t="str">
            <v/>
          </cell>
        </row>
        <row r="40">
          <cell r="B40" t="str">
            <v>Gusen 6,1</v>
          </cell>
          <cell r="C40">
            <v>206375</v>
          </cell>
          <cell r="E40">
            <v>42.180360634662513</v>
          </cell>
          <cell r="F40">
            <v>52.870165408052465</v>
          </cell>
          <cell r="G40">
            <v>81.0398101928605</v>
          </cell>
          <cell r="H40">
            <v>41.09383277458457</v>
          </cell>
          <cell r="I40">
            <v>16.42433939713796</v>
          </cell>
          <cell r="J40">
            <v>13.53593536723305</v>
          </cell>
          <cell r="K40">
            <v>9.5842727521870614</v>
          </cell>
          <cell r="L40">
            <v>27.511129560093536</v>
          </cell>
          <cell r="M40">
            <v>11.5897841073484</v>
          </cell>
          <cell r="N40">
            <v>14.251076427423227</v>
          </cell>
          <cell r="O40">
            <v>18.725428309300082</v>
          </cell>
          <cell r="P40">
            <v>27.58766608724801</v>
          </cell>
          <cell r="Q40">
            <v>356.3938010181314</v>
          </cell>
          <cell r="R40" t="str">
            <v/>
          </cell>
        </row>
        <row r="41">
          <cell r="A41">
            <v>1380</v>
          </cell>
          <cell r="B41" t="str">
            <v>Gusen 2,1</v>
          </cell>
          <cell r="C41">
            <v>206375</v>
          </cell>
          <cell r="E41">
            <v>47.613550623713159</v>
          </cell>
          <cell r="F41">
            <v>59.636190127875288</v>
          </cell>
          <cell r="G41">
            <v>91.545408059485567</v>
          </cell>
          <cell r="H41">
            <v>46.015242033830084</v>
          </cell>
          <cell r="I41">
            <v>18.697584739510518</v>
          </cell>
          <cell r="J41">
            <v>14.747655058653157</v>
          </cell>
          <cell r="K41">
            <v>10.345487804558067</v>
          </cell>
          <cell r="L41">
            <v>30.240712515198755</v>
          </cell>
          <cell r="M41">
            <v>13.278887389992201</v>
          </cell>
          <cell r="N41">
            <v>15.726318681689785</v>
          </cell>
          <cell r="O41">
            <v>20.107848716642241</v>
          </cell>
          <cell r="P41">
            <v>31.36532497796539</v>
          </cell>
          <cell r="Q41">
            <v>399.32021072911414</v>
          </cell>
          <cell r="R41" t="str">
            <v/>
          </cell>
        </row>
        <row r="42">
          <cell r="A42">
            <v>1360</v>
          </cell>
          <cell r="B42" t="str">
            <v>Kleine Gusen 0,1</v>
          </cell>
          <cell r="C42">
            <v>206854</v>
          </cell>
          <cell r="E42">
            <v>17.777714227826081</v>
          </cell>
          <cell r="F42">
            <v>23.596520390402617</v>
          </cell>
          <cell r="G42">
            <v>35.923583244806316</v>
          </cell>
          <cell r="H42">
            <v>16.432223367272726</v>
          </cell>
          <cell r="I42">
            <v>4.8939538267826084</v>
          </cell>
          <cell r="J42">
            <v>3.7504671556363633</v>
          </cell>
          <cell r="K42">
            <v>3.8510416494545456</v>
          </cell>
          <cell r="L42">
            <v>10.722703818972329</v>
          </cell>
          <cell r="M42">
            <v>4.6938036382292498</v>
          </cell>
          <cell r="N42">
            <v>4.9164720127114627</v>
          </cell>
          <cell r="O42">
            <v>6.8296572964743083</v>
          </cell>
          <cell r="P42">
            <v>11.749994948831619</v>
          </cell>
          <cell r="Q42">
            <v>145.13813557740022</v>
          </cell>
          <cell r="R42" t="str">
            <v/>
          </cell>
        </row>
        <row r="43">
          <cell r="C43">
            <v>206771</v>
          </cell>
          <cell r="Q43" t="str">
            <v>k.Wert</v>
          </cell>
          <cell r="R43" t="str">
            <v/>
          </cell>
        </row>
        <row r="44">
          <cell r="B44" t="str">
            <v>Krems 54,8</v>
          </cell>
          <cell r="C44">
            <v>205633</v>
          </cell>
          <cell r="E44">
            <v>6.337799921207548</v>
          </cell>
          <cell r="F44">
            <v>5.6683840044219735</v>
          </cell>
          <cell r="G44">
            <v>7.6166623059622642</v>
          </cell>
          <cell r="H44">
            <v>6.4891122551805935</v>
          </cell>
          <cell r="I44">
            <v>5.3329021139838284</v>
          </cell>
          <cell r="J44">
            <v>5.8584724558059298</v>
          </cell>
          <cell r="K44">
            <v>5.2238632366576825</v>
          </cell>
          <cell r="L44">
            <v>6.2116392886253378</v>
          </cell>
          <cell r="M44">
            <v>4.5407064585832879</v>
          </cell>
          <cell r="N44">
            <v>4.5682248892075483</v>
          </cell>
          <cell r="O44">
            <v>4.7454429101239901</v>
          </cell>
          <cell r="P44">
            <v>5.1650429387385453</v>
          </cell>
          <cell r="Q44">
            <v>67.75825277849853</v>
          </cell>
          <cell r="R44" t="str">
            <v/>
          </cell>
        </row>
        <row r="45">
          <cell r="A45">
            <v>1320</v>
          </cell>
          <cell r="B45" t="str">
            <v>Krems 36,5</v>
          </cell>
          <cell r="C45">
            <v>205641</v>
          </cell>
          <cell r="E45">
            <v>26.228909700000003</v>
          </cell>
          <cell r="F45">
            <v>24.010355172413799</v>
          </cell>
          <cell r="G45">
            <v>34.989934500000004</v>
          </cell>
          <cell r="H45">
            <v>19.056991500000002</v>
          </cell>
          <cell r="I45">
            <v>17.418692250000003</v>
          </cell>
          <cell r="J45">
            <v>21.131844300000004</v>
          </cell>
          <cell r="K45">
            <v>16.066226475000004</v>
          </cell>
          <cell r="L45">
            <v>14.655093480000001</v>
          </cell>
          <cell r="M45">
            <v>16.665698160000002</v>
          </cell>
          <cell r="N45">
            <v>15.728665049999998</v>
          </cell>
          <cell r="O45">
            <v>17.022447000000003</v>
          </cell>
          <cell r="P45">
            <v>18.038131650000004</v>
          </cell>
          <cell r="Q45">
            <v>241.01298923741382</v>
          </cell>
          <cell r="R45" t="str">
            <v/>
          </cell>
        </row>
        <row r="46">
          <cell r="B46" t="str">
            <v>Krems 12,8</v>
          </cell>
          <cell r="C46">
            <v>205658</v>
          </cell>
          <cell r="E46">
            <v>101.99580218541954</v>
          </cell>
          <cell r="F46">
            <v>86.209813354828043</v>
          </cell>
          <cell r="G46">
            <v>117.10917592341127</v>
          </cell>
          <cell r="H46">
            <v>81.2351406840165</v>
          </cell>
          <cell r="I46">
            <v>47.318216718899592</v>
          </cell>
          <cell r="J46">
            <v>68.95633838657497</v>
          </cell>
          <cell r="K46">
            <v>35.806846304055028</v>
          </cell>
          <cell r="L46">
            <v>38.950381511306745</v>
          </cell>
          <cell r="M46">
            <v>72.482207520330135</v>
          </cell>
          <cell r="N46">
            <v>62.493568584759288</v>
          </cell>
          <cell r="O46">
            <v>88.712307271856957</v>
          </cell>
          <cell r="P46">
            <v>139.28469710261351</v>
          </cell>
          <cell r="Q46">
            <v>940.5544955480716</v>
          </cell>
          <cell r="R46" t="str">
            <v/>
          </cell>
        </row>
        <row r="47">
          <cell r="A47">
            <v>1330</v>
          </cell>
          <cell r="B47" t="str">
            <v>Krems 7,9</v>
          </cell>
          <cell r="C47">
            <v>205658</v>
          </cell>
          <cell r="E47">
            <v>92.305001420764782</v>
          </cell>
          <cell r="F47">
            <v>88.261595738255096</v>
          </cell>
          <cell r="G47">
            <v>125.99883505069602</v>
          </cell>
          <cell r="H47">
            <v>72.230789650927093</v>
          </cell>
          <cell r="I47">
            <v>60.675581490883097</v>
          </cell>
          <cell r="J47">
            <v>76.683402486668498</v>
          </cell>
          <cell r="K47">
            <v>52.992300920226683</v>
          </cell>
          <cell r="L47">
            <v>56.808937223465207</v>
          </cell>
          <cell r="M47">
            <v>54.098186755028351</v>
          </cell>
          <cell r="N47">
            <v>52.500069854195324</v>
          </cell>
          <cell r="O47">
            <v>53.940884986894083</v>
          </cell>
          <cell r="P47">
            <v>76.47725515761212</v>
          </cell>
          <cell r="Q47">
            <v>862.97284073561639</v>
          </cell>
          <cell r="R47" t="str">
            <v/>
          </cell>
        </row>
        <row r="48">
          <cell r="B48" t="str">
            <v>Mattig 36,3</v>
          </cell>
          <cell r="C48">
            <v>204586</v>
          </cell>
          <cell r="E48">
            <v>1.5518826841081086</v>
          </cell>
          <cell r="F48">
            <v>1.6901783159142594</v>
          </cell>
          <cell r="G48">
            <v>2.639569277621622</v>
          </cell>
          <cell r="H48">
            <v>1.7810473167567573</v>
          </cell>
          <cell r="I48">
            <v>1.4152548791351354</v>
          </cell>
          <cell r="J48">
            <v>1.6739825085405409</v>
          </cell>
          <cell r="K48">
            <v>0.76867664756756782</v>
          </cell>
          <cell r="L48">
            <v>0.96816490464864868</v>
          </cell>
          <cell r="M48">
            <v>0.48714297600000006</v>
          </cell>
          <cell r="N48">
            <v>0.39443784064864862</v>
          </cell>
          <cell r="O48">
            <v>0.7497212596756756</v>
          </cell>
          <cell r="P48">
            <v>0.69871769600000011</v>
          </cell>
          <cell r="Q48">
            <v>14.818776306616968</v>
          </cell>
          <cell r="R48" t="str">
            <v/>
          </cell>
        </row>
        <row r="49">
          <cell r="B49" t="str">
            <v>Mattig 25,1</v>
          </cell>
          <cell r="C49">
            <v>204610</v>
          </cell>
          <cell r="E49">
            <v>4.741290885176471</v>
          </cell>
          <cell r="F49">
            <v>4.8668090669014203</v>
          </cell>
          <cell r="G49">
            <v>8.4695175820588258</v>
          </cell>
          <cell r="H49">
            <v>4.2690368107058818</v>
          </cell>
          <cell r="I49">
            <v>4.278884658088236</v>
          </cell>
          <cell r="J49">
            <v>4.2893548277294116</v>
          </cell>
          <cell r="K49">
            <v>2.3009292550588234</v>
          </cell>
          <cell r="L49">
            <v>3.6393861708000004</v>
          </cell>
          <cell r="M49">
            <v>2.7853601911411765</v>
          </cell>
          <cell r="N49">
            <v>2.5086400386352943</v>
          </cell>
          <cell r="O49">
            <v>3.6668072453294123</v>
          </cell>
          <cell r="P49">
            <v>3.8692242660705873</v>
          </cell>
          <cell r="Q49">
            <v>49.685240997695544</v>
          </cell>
          <cell r="R49" t="str">
            <v/>
          </cell>
        </row>
        <row r="50">
          <cell r="B50" t="str">
            <v>Mattig 18,1</v>
          </cell>
          <cell r="C50">
            <v>204610</v>
          </cell>
          <cell r="E50">
            <v>11.926499507576471</v>
          </cell>
          <cell r="F50">
            <v>11.31481346134199</v>
          </cell>
          <cell r="G50">
            <v>18.092277635294117</v>
          </cell>
          <cell r="H50">
            <v>11.400687029647059</v>
          </cell>
          <cell r="I50">
            <v>10.686738957882353</v>
          </cell>
          <cell r="J50">
            <v>11.534680143529412</v>
          </cell>
          <cell r="K50">
            <v>7.1345102450823532</v>
          </cell>
          <cell r="L50">
            <v>10.859468746447059</v>
          </cell>
          <cell r="M50">
            <v>8.573587996235295</v>
          </cell>
          <cell r="N50">
            <v>8.4497220050823518</v>
          </cell>
          <cell r="O50">
            <v>9.8059648048941188</v>
          </cell>
          <cell r="P50">
            <v>10.869148417129411</v>
          </cell>
          <cell r="Q50">
            <v>130.64809895014199</v>
          </cell>
          <cell r="R50" t="str">
            <v/>
          </cell>
        </row>
        <row r="51">
          <cell r="A51">
            <v>630</v>
          </cell>
          <cell r="B51" t="str">
            <v>Mattig 1,93</v>
          </cell>
          <cell r="C51">
            <v>204677</v>
          </cell>
          <cell r="E51">
            <v>25.304589762452451</v>
          </cell>
          <cell r="F51">
            <v>23.764965042022833</v>
          </cell>
          <cell r="G51">
            <v>36.711488911738634</v>
          </cell>
          <cell r="H51">
            <v>22.811616747388683</v>
          </cell>
          <cell r="I51">
            <v>22.235838431505933</v>
          </cell>
          <cell r="J51">
            <v>22.625810505151041</v>
          </cell>
          <cell r="K51">
            <v>15.922688500049228</v>
          </cell>
          <cell r="L51">
            <v>21.361257441892146</v>
          </cell>
          <cell r="M51">
            <v>18.912997586287762</v>
          </cell>
          <cell r="N51">
            <v>17.834612917162676</v>
          </cell>
          <cell r="O51">
            <v>19.151413051295595</v>
          </cell>
          <cell r="P51">
            <v>22.709386234987694</v>
          </cell>
          <cell r="Q51">
            <v>269.34666513193469</v>
          </cell>
          <cell r="R51" t="str">
            <v/>
          </cell>
        </row>
        <row r="52">
          <cell r="C52">
            <v>206748</v>
          </cell>
          <cell r="Q52" t="str">
            <v>k.Wert</v>
          </cell>
          <cell r="R52" t="str">
            <v/>
          </cell>
        </row>
        <row r="53">
          <cell r="A53">
            <v>1630</v>
          </cell>
          <cell r="B53" t="str">
            <v>Naarn 49,85</v>
          </cell>
          <cell r="C53">
            <v>205997</v>
          </cell>
          <cell r="E53">
            <v>3.73352489838806</v>
          </cell>
          <cell r="F53">
            <v>5.0218663805990742</v>
          </cell>
          <cell r="G53">
            <v>8.8077003367164171</v>
          </cell>
          <cell r="H53">
            <v>9.7411533119999998</v>
          </cell>
          <cell r="I53">
            <v>4.610530090746269</v>
          </cell>
          <cell r="J53">
            <v>4.300487785074627</v>
          </cell>
          <cell r="K53">
            <v>3.9280106536119406</v>
          </cell>
          <cell r="L53">
            <v>3.4252538687999996</v>
          </cell>
          <cell r="M53">
            <v>2.8280568985791046</v>
          </cell>
          <cell r="N53">
            <v>3.0564109096119405</v>
          </cell>
          <cell r="O53">
            <v>3.3381758557611931</v>
          </cell>
          <cell r="P53">
            <v>2.3455255284537317</v>
          </cell>
          <cell r="Q53">
            <v>55.136696518342362</v>
          </cell>
          <cell r="R53" t="str">
            <v/>
          </cell>
        </row>
        <row r="54">
          <cell r="B54" t="str">
            <v>Naarn 13,7</v>
          </cell>
          <cell r="C54">
            <v>206029</v>
          </cell>
          <cell r="E54">
            <v>21.799300977193003</v>
          </cell>
          <cell r="F54">
            <v>29.730056765115418</v>
          </cell>
          <cell r="G54">
            <v>62.080040851494566</v>
          </cell>
          <cell r="H54">
            <v>50.278892205450347</v>
          </cell>
          <cell r="I54">
            <v>22.30947113950511</v>
          </cell>
          <cell r="J54">
            <v>19.971606062316066</v>
          </cell>
          <cell r="K54">
            <v>19.342248759590895</v>
          </cell>
          <cell r="L54">
            <v>14.79277732603629</v>
          </cell>
          <cell r="M54">
            <v>14.404324998125507</v>
          </cell>
          <cell r="N54">
            <v>13.295005170188055</v>
          </cell>
          <cell r="O54">
            <v>15.842031601029364</v>
          </cell>
          <cell r="P54">
            <v>14.892755466384429</v>
          </cell>
          <cell r="Q54">
            <v>298.73851132242902</v>
          </cell>
          <cell r="R54" t="str">
            <v/>
          </cell>
        </row>
        <row r="55">
          <cell r="C55">
            <v>210526</v>
          </cell>
          <cell r="Q55" t="str">
            <v>k.Wert</v>
          </cell>
          <cell r="R55" t="str">
            <v/>
          </cell>
        </row>
        <row r="56">
          <cell r="A56">
            <v>4000</v>
          </cell>
          <cell r="B56" t="str">
            <v>Traun obere 130,93</v>
          </cell>
          <cell r="C56">
            <v>205104</v>
          </cell>
          <cell r="E56">
            <v>10.665893147942583</v>
          </cell>
          <cell r="F56">
            <v>10.149206364213827</v>
          </cell>
          <cell r="G56">
            <v>28.373797289066985</v>
          </cell>
          <cell r="H56">
            <v>38.114617456076552</v>
          </cell>
          <cell r="I56">
            <v>53.456895111961728</v>
          </cell>
          <cell r="J56">
            <v>34.986041786196175</v>
          </cell>
          <cell r="K56">
            <v>21.895962067033494</v>
          </cell>
          <cell r="L56">
            <v>20.269539424076559</v>
          </cell>
          <cell r="M56">
            <v>20.167708042248805</v>
          </cell>
          <cell r="N56">
            <v>14.845480848947366</v>
          </cell>
          <cell r="O56">
            <v>15.12128613832536</v>
          </cell>
          <cell r="P56">
            <v>9.3612515462009576</v>
          </cell>
          <cell r="Q56">
            <v>277.40767922229043</v>
          </cell>
          <cell r="R56" t="str">
            <v/>
          </cell>
        </row>
        <row r="57">
          <cell r="B57" t="str">
            <v>Traun obere 117,95</v>
          </cell>
          <cell r="C57">
            <v>205146</v>
          </cell>
          <cell r="E57">
            <v>16.985987644213264</v>
          </cell>
          <cell r="F57">
            <v>15.606001148921573</v>
          </cell>
          <cell r="G57">
            <v>36.696164037893361</v>
          </cell>
          <cell r="H57">
            <v>50.262692838881662</v>
          </cell>
          <cell r="I57">
            <v>91.267789143042918</v>
          </cell>
          <cell r="J57">
            <v>70.557135139661895</v>
          </cell>
          <cell r="K57">
            <v>41.220293809622895</v>
          </cell>
          <cell r="L57">
            <v>36.499766255625481</v>
          </cell>
          <cell r="M57">
            <v>37.902983584915468</v>
          </cell>
          <cell r="N57">
            <v>26.252864526358902</v>
          </cell>
          <cell r="O57">
            <v>25.503330678881664</v>
          </cell>
          <cell r="P57">
            <v>15.088903199344603</v>
          </cell>
          <cell r="Q57">
            <v>463.84391200736371</v>
          </cell>
          <cell r="R57" t="str">
            <v/>
          </cell>
        </row>
        <row r="58">
          <cell r="B58" t="str">
            <v>Traun obere 103,2</v>
          </cell>
          <cell r="C58">
            <v>205153</v>
          </cell>
          <cell r="E58">
            <v>25.400229402321575</v>
          </cell>
          <cell r="F58">
            <v>23.733256373392067</v>
          </cell>
          <cell r="G58">
            <v>50.95975376404332</v>
          </cell>
          <cell r="H58">
            <v>66.605240906192748</v>
          </cell>
          <cell r="I58">
            <v>107.57587565831716</v>
          </cell>
          <cell r="J58">
            <v>78.828464522299356</v>
          </cell>
          <cell r="K58">
            <v>48.430780651374626</v>
          </cell>
          <cell r="L58">
            <v>45.780420746859214</v>
          </cell>
          <cell r="M58">
            <v>50.105682172951958</v>
          </cell>
          <cell r="N58">
            <v>36.259911210441558</v>
          </cell>
          <cell r="O58">
            <v>31.983936163287975</v>
          </cell>
          <cell r="P58">
            <v>22.098675736562065</v>
          </cell>
          <cell r="Q58">
            <v>587.76222730804352</v>
          </cell>
          <cell r="R58" t="str">
            <v/>
          </cell>
        </row>
        <row r="59">
          <cell r="B59" t="str">
            <v>Traun obere 86,65</v>
          </cell>
          <cell r="C59">
            <v>206128</v>
          </cell>
          <cell r="E59">
            <v>63.94119076824154</v>
          </cell>
          <cell r="F59">
            <v>59.466282935170106</v>
          </cell>
          <cell r="G59">
            <v>124.62870610064299</v>
          </cell>
          <cell r="H59">
            <v>136.14637002571988</v>
          </cell>
          <cell r="I59">
            <v>148.19455795974281</v>
          </cell>
          <cell r="J59">
            <v>112.79592814705059</v>
          </cell>
          <cell r="K59">
            <v>84.366795932625095</v>
          </cell>
          <cell r="L59">
            <v>82.499117547441998</v>
          </cell>
          <cell r="M59">
            <v>90.077191422421024</v>
          </cell>
          <cell r="N59">
            <v>60.83097837936819</v>
          </cell>
          <cell r="O59">
            <v>66.624091301649415</v>
          </cell>
          <cell r="P59">
            <v>48.635339236455124</v>
          </cell>
          <cell r="Q59">
            <v>1078.2065497565288</v>
          </cell>
          <cell r="R59" t="str">
            <v/>
          </cell>
        </row>
        <row r="60">
          <cell r="A60">
            <v>4010</v>
          </cell>
          <cell r="B60" t="str">
            <v>Traun untere 71</v>
          </cell>
          <cell r="C60">
            <v>206128</v>
          </cell>
          <cell r="E60">
            <v>70.998242104109593</v>
          </cell>
          <cell r="F60">
            <v>71.756012855172429</v>
          </cell>
          <cell r="G60">
            <v>148.70058336986304</v>
          </cell>
          <cell r="H60">
            <v>169.79256256438359</v>
          </cell>
          <cell r="I60">
            <v>203.08734353095889</v>
          </cell>
          <cell r="J60">
            <v>219.07548752054797</v>
          </cell>
          <cell r="K60">
            <v>108.60983699178082</v>
          </cell>
          <cell r="L60">
            <v>124.57535888219179</v>
          </cell>
          <cell r="M60">
            <v>90.758962080000003</v>
          </cell>
          <cell r="N60">
            <v>74.958726328767128</v>
          </cell>
          <cell r="O60">
            <v>106.53005201917807</v>
          </cell>
          <cell r="P60">
            <v>48.11913113424658</v>
          </cell>
          <cell r="Q60">
            <v>1436.9622993812</v>
          </cell>
          <cell r="R60" t="str">
            <v/>
          </cell>
        </row>
        <row r="61">
          <cell r="B61" t="str">
            <v>Traun untere 66,1</v>
          </cell>
          <cell r="C61">
            <v>206128</v>
          </cell>
          <cell r="E61">
            <v>75.196209894884007</v>
          </cell>
          <cell r="F61">
            <v>72.617202308002291</v>
          </cell>
          <cell r="G61">
            <v>152.60645950953315</v>
          </cell>
          <cell r="H61">
            <v>175.49879741582336</v>
          </cell>
          <cell r="I61">
            <v>213.21484853434725</v>
          </cell>
          <cell r="J61">
            <v>222.19933501509649</v>
          </cell>
          <cell r="K61">
            <v>112.7326394475818</v>
          </cell>
          <cell r="L61">
            <v>129.82741894688289</v>
          </cell>
          <cell r="M61">
            <v>95.835349553324008</v>
          </cell>
          <cell r="N61">
            <v>77.174813599105406</v>
          </cell>
          <cell r="O61">
            <v>106.70313877573385</v>
          </cell>
          <cell r="P61">
            <v>52.91934251741683</v>
          </cell>
          <cell r="Q61">
            <v>1486.5255555177314</v>
          </cell>
          <cell r="R61" t="str">
            <v/>
          </cell>
        </row>
        <row r="62">
          <cell r="B62" t="str">
            <v>Traun untere 57,4</v>
          </cell>
          <cell r="C62">
            <v>205252</v>
          </cell>
          <cell r="E62">
            <v>124.1122543886312</v>
          </cell>
          <cell r="F62">
            <v>112.62613038733305</v>
          </cell>
          <cell r="G62">
            <v>227.75053216570589</v>
          </cell>
          <cell r="H62">
            <v>196.33939562944093</v>
          </cell>
          <cell r="I62">
            <v>271.50115637025874</v>
          </cell>
          <cell r="J62">
            <v>294.18270558863117</v>
          </cell>
          <cell r="K62">
            <v>195.55579736050404</v>
          </cell>
          <cell r="L62">
            <v>204.10789104984582</v>
          </cell>
          <cell r="M62">
            <v>136.3514189592814</v>
          </cell>
          <cell r="N62">
            <v>137.73539354358493</v>
          </cell>
          <cell r="O62">
            <v>126.25284640879477</v>
          </cell>
          <cell r="P62">
            <v>100.84779532012332</v>
          </cell>
          <cell r="Q62">
            <v>2127.3633171721353</v>
          </cell>
          <cell r="R62" t="str">
            <v/>
          </cell>
        </row>
        <row r="63">
          <cell r="C63">
            <v>205468</v>
          </cell>
          <cell r="Q63" t="str">
            <v>k.Wert</v>
          </cell>
          <cell r="R63" t="str">
            <v/>
          </cell>
        </row>
        <row r="64">
          <cell r="B64" t="str">
            <v>Traun untere 42</v>
          </cell>
          <cell r="C64">
            <v>206409</v>
          </cell>
          <cell r="E64">
            <v>336.46011893598023</v>
          </cell>
          <cell r="F64">
            <v>295.14348560746123</v>
          </cell>
          <cell r="G64">
            <v>511.0309966511166</v>
          </cell>
          <cell r="H64">
            <v>447.90730785111668</v>
          </cell>
          <cell r="I64">
            <v>459.75730479007444</v>
          </cell>
          <cell r="J64">
            <v>564.78601693697271</v>
          </cell>
          <cell r="K64">
            <v>315.23881864019853</v>
          </cell>
          <cell r="L64">
            <v>498.24673996823822</v>
          </cell>
          <cell r="M64">
            <v>302.91000144833748</v>
          </cell>
          <cell r="N64">
            <v>279.48955051116627</v>
          </cell>
          <cell r="O64">
            <v>295.66464170918113</v>
          </cell>
          <cell r="P64">
            <v>270.72453832258066</v>
          </cell>
          <cell r="Q64">
            <v>4577.3595213724248</v>
          </cell>
          <cell r="R64" t="str">
            <v/>
          </cell>
        </row>
        <row r="65">
          <cell r="B65" t="str">
            <v>Traun untere 33,2</v>
          </cell>
          <cell r="C65">
            <v>206409</v>
          </cell>
          <cell r="E65">
            <v>409.94146620814485</v>
          </cell>
          <cell r="F65">
            <v>372.31666380028088</v>
          </cell>
          <cell r="G65">
            <v>633.21727113122176</v>
          </cell>
          <cell r="H65">
            <v>554.00729180090502</v>
          </cell>
          <cell r="I65">
            <v>565.47043851583715</v>
          </cell>
          <cell r="J65">
            <v>702.1568883257919</v>
          </cell>
          <cell r="K65">
            <v>378.05818349321277</v>
          </cell>
          <cell r="L65">
            <v>643.3291031131223</v>
          </cell>
          <cell r="M65">
            <v>352.41069541357473</v>
          </cell>
          <cell r="N65">
            <v>347.72895187330317</v>
          </cell>
          <cell r="O65">
            <v>363.31794016289592</v>
          </cell>
          <cell r="P65">
            <v>330.03287218099553</v>
          </cell>
          <cell r="Q65">
            <v>5651.987766019286</v>
          </cell>
          <cell r="R65" t="str">
            <v/>
          </cell>
        </row>
        <row r="66">
          <cell r="B66" t="str">
            <v>Traun untere 23,5</v>
          </cell>
          <cell r="C66">
            <v>206409</v>
          </cell>
          <cell r="E66">
            <v>763.62986678093137</v>
          </cell>
          <cell r="F66">
            <v>727.39894756051547</v>
          </cell>
          <cell r="G66">
            <v>1327.8407572921908</v>
          </cell>
          <cell r="H66">
            <v>963.589740367339</v>
          </cell>
          <cell r="I66">
            <v>992.63381299603554</v>
          </cell>
          <cell r="J66">
            <v>1164.2943075151422</v>
          </cell>
          <cell r="K66">
            <v>524.24642499643267</v>
          </cell>
          <cell r="L66">
            <v>854.23532256756664</v>
          </cell>
          <cell r="M66">
            <v>553.06150289252241</v>
          </cell>
          <cell r="N66">
            <v>680.68384459424885</v>
          </cell>
          <cell r="O66">
            <v>682.01382166560222</v>
          </cell>
          <cell r="P66">
            <v>692.60771644179249</v>
          </cell>
          <cell r="Q66">
            <v>9926.2360656703204</v>
          </cell>
          <cell r="R66" t="str">
            <v/>
          </cell>
        </row>
        <row r="67">
          <cell r="B67" t="str">
            <v>Traun untere 12,7</v>
          </cell>
          <cell r="C67">
            <v>206409</v>
          </cell>
          <cell r="E67">
            <v>516.88385215177937</v>
          </cell>
          <cell r="F67">
            <v>447.65240532506328</v>
          </cell>
          <cell r="G67">
            <v>754.73731138442872</v>
          </cell>
          <cell r="H67">
            <v>644.19197540395271</v>
          </cell>
          <cell r="I67">
            <v>642.11886439692898</v>
          </cell>
          <cell r="J67">
            <v>797.88924285729968</v>
          </cell>
          <cell r="K67">
            <v>440.81173341211507</v>
          </cell>
          <cell r="L67">
            <v>694.35675725097076</v>
          </cell>
          <cell r="M67">
            <v>422.57989755030223</v>
          </cell>
          <cell r="N67">
            <v>408.49509333901625</v>
          </cell>
          <cell r="O67">
            <v>447.3990830147074</v>
          </cell>
          <cell r="P67">
            <v>421.03893852015767</v>
          </cell>
          <cell r="Q67">
            <v>6638.155154606723</v>
          </cell>
          <cell r="R67" t="str">
            <v/>
          </cell>
        </row>
        <row r="68">
          <cell r="A68">
            <v>4020</v>
          </cell>
          <cell r="B68" t="str">
            <v>Traun untere 4,7</v>
          </cell>
          <cell r="C68">
            <v>206409</v>
          </cell>
          <cell r="E68">
            <v>659.95621863485121</v>
          </cell>
          <cell r="F68">
            <v>588.32255453196433</v>
          </cell>
          <cell r="G68">
            <v>1006.7781040061096</v>
          </cell>
          <cell r="H68">
            <v>774.71213830938916</v>
          </cell>
          <cell r="I68">
            <v>766.46768976353292</v>
          </cell>
          <cell r="J68">
            <v>1004.0057351499903</v>
          </cell>
          <cell r="K68">
            <v>582.71125580132048</v>
          </cell>
          <cell r="L68">
            <v>883.16783790225315</v>
          </cell>
          <cell r="M68">
            <v>530.47586436331756</v>
          </cell>
          <cell r="N68">
            <v>528.26784790611214</v>
          </cell>
          <cell r="O68">
            <v>554.74221219369929</v>
          </cell>
          <cell r="P68">
            <v>522.99817270762958</v>
          </cell>
          <cell r="Q68">
            <v>8402.6056312701694</v>
          </cell>
          <cell r="R68" t="str">
            <v/>
          </cell>
        </row>
        <row r="69">
          <cell r="C69">
            <v>206102</v>
          </cell>
          <cell r="Q69" t="str">
            <v>k.Wert</v>
          </cell>
          <cell r="R69" t="str">
            <v/>
          </cell>
        </row>
        <row r="70">
          <cell r="B70" t="str">
            <v>Pram 39,5</v>
          </cell>
          <cell r="C70">
            <v>204784</v>
          </cell>
          <cell r="E70">
            <v>7.3999545958799997</v>
          </cell>
          <cell r="F70">
            <v>8.3263919383737921</v>
          </cell>
          <cell r="G70">
            <v>14.03548878732</v>
          </cell>
          <cell r="H70">
            <v>4.6434410484000006</v>
          </cell>
          <cell r="I70">
            <v>4.0308804782399994</v>
          </cell>
          <cell r="J70">
            <v>3.4837934577600005</v>
          </cell>
          <cell r="K70">
            <v>1.9157830507200007</v>
          </cell>
          <cell r="L70">
            <v>4.1580351822240011</v>
          </cell>
          <cell r="M70">
            <v>1.98770802384</v>
          </cell>
          <cell r="N70">
            <v>1.9559407097999995</v>
          </cell>
          <cell r="O70">
            <v>2.44575908808</v>
          </cell>
          <cell r="P70">
            <v>4.9070092579199995</v>
          </cell>
          <cell r="Q70">
            <v>59.290185618557793</v>
          </cell>
          <cell r="R70" t="str">
            <v/>
          </cell>
        </row>
        <row r="71">
          <cell r="A71">
            <v>690</v>
          </cell>
          <cell r="B71" t="str">
            <v>Pram 33,6</v>
          </cell>
          <cell r="C71">
            <v>204784</v>
          </cell>
          <cell r="E71">
            <v>13.8622018431273</v>
          </cell>
          <cell r="F71">
            <v>15.602716108262833</v>
          </cell>
          <cell r="G71">
            <v>25.277016326594076</v>
          </cell>
          <cell r="H71">
            <v>8.0521750691393112</v>
          </cell>
          <cell r="I71">
            <v>7.7093242135797722</v>
          </cell>
          <cell r="J71">
            <v>6.3795872174797834</v>
          </cell>
          <cell r="K71">
            <v>3.3523308690911056</v>
          </cell>
          <cell r="L71">
            <v>6.9380431814477372</v>
          </cell>
          <cell r="M71">
            <v>3.3565135952469767</v>
          </cell>
          <cell r="N71">
            <v>3.6330831687734144</v>
          </cell>
          <cell r="O71">
            <v>4.4847670339077688</v>
          </cell>
          <cell r="P71">
            <v>8.6640271864666794</v>
          </cell>
          <cell r="Q71">
            <v>107.31178581311677</v>
          </cell>
          <cell r="R71" t="str">
            <v/>
          </cell>
        </row>
        <row r="72">
          <cell r="C72">
            <v>206326</v>
          </cell>
          <cell r="Q72" t="str">
            <v>k.Wert</v>
          </cell>
          <cell r="R72" t="str">
            <v/>
          </cell>
        </row>
        <row r="73">
          <cell r="A73">
            <v>700</v>
          </cell>
          <cell r="B73" t="str">
            <v>Pram 15,9</v>
          </cell>
          <cell r="C73">
            <v>204867</v>
          </cell>
          <cell r="E73">
            <v>49.787834752713401</v>
          </cell>
          <cell r="F73">
            <v>63.340397425557093</v>
          </cell>
          <cell r="G73">
            <v>111.35376084482255</v>
          </cell>
          <cell r="H73">
            <v>38.815937530067465</v>
          </cell>
          <cell r="I73">
            <v>25.765166967439132</v>
          </cell>
          <cell r="J73">
            <v>27.489059482546207</v>
          </cell>
          <cell r="K73">
            <v>16.425402114403052</v>
          </cell>
          <cell r="L73">
            <v>40.643264500885891</v>
          </cell>
          <cell r="M73">
            <v>18.433361368143153</v>
          </cell>
          <cell r="N73">
            <v>21.862232743913172</v>
          </cell>
          <cell r="O73">
            <v>25.094984420064538</v>
          </cell>
          <cell r="P73">
            <v>40.196031316632443</v>
          </cell>
          <cell r="Q73">
            <v>479.20743346718808</v>
          </cell>
          <cell r="R73" t="str">
            <v/>
          </cell>
        </row>
      </sheetData>
      <sheetData sheetId="2"/>
      <sheetData sheetId="3">
        <row r="2">
          <cell r="B2" t="str">
            <v>Ager 32,9</v>
          </cell>
          <cell r="C2">
            <v>205369</v>
          </cell>
          <cell r="E2">
            <v>5.9429331141668464E-2</v>
          </cell>
          <cell r="F2">
            <v>6.2076221702926204E-2</v>
          </cell>
          <cell r="G2">
            <v>9.1589459987132749E-2</v>
          </cell>
          <cell r="H2">
            <v>0.11014891368303668</v>
          </cell>
          <cell r="I2">
            <v>0.11145349000248767</v>
          </cell>
          <cell r="J2">
            <v>0.17887446944199015</v>
          </cell>
          <cell r="K2">
            <v>0.15582776563517051</v>
          </cell>
          <cell r="L2">
            <v>0.24489941551365213</v>
          </cell>
          <cell r="M2">
            <v>0.16873925631224532</v>
          </cell>
          <cell r="N2">
            <v>0.10620319121972978</v>
          </cell>
          <cell r="O2">
            <v>0.12055846932841519</v>
          </cell>
          <cell r="P2">
            <v>6.1332515243405543E-2</v>
          </cell>
          <cell r="Q2">
            <v>1.4711324992118604</v>
          </cell>
        </row>
        <row r="3">
          <cell r="A3">
            <v>1280</v>
          </cell>
          <cell r="B3" t="str">
            <v>Ager 31,2</v>
          </cell>
          <cell r="C3">
            <v>205369</v>
          </cell>
          <cell r="E3">
            <v>0.15969571962719312</v>
          </cell>
          <cell r="F3">
            <v>9.8718151516412403E-2</v>
          </cell>
          <cell r="G3">
            <v>0.15093347452303107</v>
          </cell>
          <cell r="H3">
            <v>0.26140542531096544</v>
          </cell>
          <cell r="I3">
            <v>0.21814327532212408</v>
          </cell>
          <cell r="J3">
            <v>0.23652279246649707</v>
          </cell>
          <cell r="K3">
            <v>0.21573189019083516</v>
          </cell>
          <cell r="L3">
            <v>0.34727519997128498</v>
          </cell>
          <cell r="M3">
            <v>0.22128259288744498</v>
          </cell>
          <cell r="N3">
            <v>0.21496826216321352</v>
          </cell>
          <cell r="O3">
            <v>0.21433907995943069</v>
          </cell>
          <cell r="P3">
            <v>0.1593472897088733</v>
          </cell>
          <cell r="Q3">
            <v>2.4983631536473059</v>
          </cell>
        </row>
        <row r="4">
          <cell r="B4" t="str">
            <v>Ager 25,16</v>
          </cell>
          <cell r="C4">
            <v>205369</v>
          </cell>
          <cell r="E4">
            <v>0.23387227338966329</v>
          </cell>
          <cell r="F4">
            <v>0.16734722153481182</v>
          </cell>
          <cell r="G4">
            <v>0.39774116579369506</v>
          </cell>
          <cell r="H4">
            <v>0.29869034383015225</v>
          </cell>
          <cell r="I4">
            <v>0.3918309740716277</v>
          </cell>
          <cell r="J4">
            <v>0.43531524804460653</v>
          </cell>
          <cell r="K4">
            <v>0.28414551551361783</v>
          </cell>
          <cell r="L4">
            <v>0.38392884817430833</v>
          </cell>
          <cell r="M4">
            <v>0.24949828301265278</v>
          </cell>
          <cell r="N4">
            <v>0.20286180444692262</v>
          </cell>
          <cell r="O4">
            <v>0.23353048009435992</v>
          </cell>
          <cell r="P4">
            <v>0.15863971595539356</v>
          </cell>
          <cell r="Q4">
            <v>3.4374018738618117</v>
          </cell>
        </row>
        <row r="5">
          <cell r="B5" t="str">
            <v>Ager 21,3</v>
          </cell>
          <cell r="C5">
            <v>205369</v>
          </cell>
          <cell r="E5">
            <v>0.20171444942123098</v>
          </cell>
          <cell r="F5">
            <v>0.14895998526819651</v>
          </cell>
          <cell r="G5">
            <v>0.31186794072005147</v>
          </cell>
          <cell r="H5">
            <v>0.27726470772635642</v>
          </cell>
          <cell r="I5">
            <v>0.35253629097490885</v>
          </cell>
          <cell r="J5">
            <v>0.41142499044357717</v>
          </cell>
          <cell r="K5">
            <v>0.22856793894660091</v>
          </cell>
          <cell r="L5">
            <v>0.28646657043880769</v>
          </cell>
          <cell r="M5">
            <v>0.20006107000197301</v>
          </cell>
          <cell r="N5">
            <v>0.17219225275110447</v>
          </cell>
          <cell r="O5">
            <v>0.19293140168029174</v>
          </cell>
          <cell r="P5">
            <v>9.3117973990821362E-2</v>
          </cell>
          <cell r="Q5">
            <v>2.8771055723639205</v>
          </cell>
        </row>
        <row r="6">
          <cell r="B6" t="str">
            <v>Ager 17,2</v>
          </cell>
          <cell r="C6">
            <v>205427</v>
          </cell>
          <cell r="E6">
            <v>0.38384925535066855</v>
          </cell>
          <cell r="F6">
            <v>0.33537715343649244</v>
          </cell>
          <cell r="G6">
            <v>0.63769192102410777</v>
          </cell>
          <cell r="H6">
            <v>0.50782509301105383</v>
          </cell>
          <cell r="I6">
            <v>0.56850120741299071</v>
          </cell>
          <cell r="J6">
            <v>0.59028157825960637</v>
          </cell>
          <cell r="K6">
            <v>0.33076372003621435</v>
          </cell>
          <cell r="L6">
            <v>0.46979210617437628</v>
          </cell>
          <cell r="M6">
            <v>0.30406236271860193</v>
          </cell>
          <cell r="N6">
            <v>0.26645525067312353</v>
          </cell>
          <cell r="O6">
            <v>0.34686600171807558</v>
          </cell>
          <cell r="P6">
            <v>0.2211282981046426</v>
          </cell>
          <cell r="Q6">
            <v>4.962593947919955</v>
          </cell>
        </row>
        <row r="7">
          <cell r="B7" t="str">
            <v>Ager 8,1</v>
          </cell>
          <cell r="C7">
            <v>205450</v>
          </cell>
          <cell r="E7">
            <v>0.47109868496775742</v>
          </cell>
          <cell r="F7">
            <v>0.49033173694005261</v>
          </cell>
          <cell r="G7">
            <v>0.65416259422784817</v>
          </cell>
          <cell r="H7">
            <v>0.51027199174205884</v>
          </cell>
          <cell r="I7">
            <v>0.5803384417329831</v>
          </cell>
          <cell r="J7">
            <v>0.57216955256747071</v>
          </cell>
          <cell r="K7">
            <v>0.38073578584571299</v>
          </cell>
          <cell r="L7">
            <v>0.42708406542689287</v>
          </cell>
          <cell r="M7">
            <v>0.29245675261332704</v>
          </cell>
          <cell r="N7">
            <v>0.26379516675232867</v>
          </cell>
          <cell r="O7">
            <v>0.38208456635681881</v>
          </cell>
          <cell r="P7">
            <v>0.23796534557439697</v>
          </cell>
          <cell r="Q7">
            <v>5.2624946847476473</v>
          </cell>
        </row>
        <row r="8">
          <cell r="A8">
            <v>1290</v>
          </cell>
          <cell r="B8" t="str">
            <v>Ager 1,57</v>
          </cell>
          <cell r="C8">
            <v>205450</v>
          </cell>
          <cell r="E8">
            <v>0.58991362357200872</v>
          </cell>
          <cell r="F8">
            <v>0.48372899306839728</v>
          </cell>
          <cell r="G8">
            <v>0.80484703244136613</v>
          </cell>
          <cell r="H8">
            <v>0.66053426134607118</v>
          </cell>
          <cell r="I8">
            <v>0.6451119841261046</v>
          </cell>
          <cell r="J8">
            <v>0.78703437425173151</v>
          </cell>
          <cell r="K8">
            <v>0.37257687383615962</v>
          </cell>
          <cell r="L8">
            <v>0.54568941565034634</v>
          </cell>
          <cell r="M8">
            <v>0.36635612336087892</v>
          </cell>
          <cell r="N8">
            <v>0.30127728146739907</v>
          </cell>
          <cell r="O8">
            <v>0.38190079960640078</v>
          </cell>
          <cell r="P8">
            <v>0.23965225207738244</v>
          </cell>
          <cell r="Q8">
            <v>6.1786230148042467</v>
          </cell>
        </row>
        <row r="9">
          <cell r="A9">
            <v>1600</v>
          </cell>
          <cell r="B9" t="str">
            <v>Aist 6</v>
          </cell>
          <cell r="C9">
            <v>205989</v>
          </cell>
          <cell r="E9">
            <v>0.19537473533397376</v>
          </cell>
          <cell r="F9">
            <v>0.1699922526743094</v>
          </cell>
          <cell r="G9">
            <v>0.37607589353106147</v>
          </cell>
          <cell r="H9">
            <v>0.19999467066238089</v>
          </cell>
          <cell r="I9">
            <v>0.1460274174046193</v>
          </cell>
          <cell r="J9">
            <v>0.15084371352927647</v>
          </cell>
          <cell r="K9">
            <v>0.13384321838747781</v>
          </cell>
          <cell r="L9">
            <v>0.19431248302334903</v>
          </cell>
          <cell r="M9">
            <v>9.0042106117284568E-2</v>
          </cell>
          <cell r="N9">
            <v>7.2238869155104371E-2</v>
          </cell>
          <cell r="O9">
            <v>0.10476781135676209</v>
          </cell>
          <cell r="P9">
            <v>0.10622853753989385</v>
          </cell>
          <cell r="Q9">
            <v>1.9397417087154927</v>
          </cell>
        </row>
        <row r="10">
          <cell r="C10">
            <v>206508</v>
          </cell>
          <cell r="Q10" t="str">
            <v>k.Wert</v>
          </cell>
        </row>
        <row r="11">
          <cell r="A11">
            <v>1300</v>
          </cell>
          <cell r="B11" t="str">
            <v>Alm 33,3</v>
          </cell>
          <cell r="C11">
            <v>205500</v>
          </cell>
          <cell r="E11">
            <v>2.7988212227414901E-2</v>
          </cell>
          <cell r="F11">
            <v>2.5939779987869171E-2</v>
          </cell>
          <cell r="G11">
            <v>4.9866629775896974E-2</v>
          </cell>
          <cell r="H11">
            <v>4.9464695366329352E-2</v>
          </cell>
          <cell r="I11">
            <v>4.9473181192272307E-2</v>
          </cell>
          <cell r="J11">
            <v>5.0463411804231841E-2</v>
          </cell>
          <cell r="K11">
            <v>3.9087019804967801E-2</v>
          </cell>
          <cell r="L11">
            <v>4.8284023237534501E-2</v>
          </cell>
          <cell r="M11">
            <v>3.6503248994296231E-2</v>
          </cell>
          <cell r="N11">
            <v>2.8280973222447103E-2</v>
          </cell>
          <cell r="O11">
            <v>2.7105033573505063E-2</v>
          </cell>
          <cell r="P11">
            <v>1.9857567056853726E-2</v>
          </cell>
          <cell r="Q11">
            <v>0.45231377624361901</v>
          </cell>
        </row>
        <row r="12">
          <cell r="B12" t="str">
            <v>Alm 22,26</v>
          </cell>
          <cell r="C12">
            <v>205500</v>
          </cell>
          <cell r="E12">
            <v>3.704459197644893E-2</v>
          </cell>
          <cell r="F12">
            <v>3.4333331396859422E-2</v>
          </cell>
          <cell r="G12">
            <v>6.6002391945538169E-2</v>
          </cell>
          <cell r="H12">
            <v>6.5470400259797598E-2</v>
          </cell>
          <cell r="I12">
            <v>6.5481631915363381E-2</v>
          </cell>
          <cell r="J12">
            <v>6.6792279722539094E-2</v>
          </cell>
          <cell r="K12">
            <v>5.1734733482980667E-2</v>
          </cell>
          <cell r="L12">
            <v>6.3907688182520697E-2</v>
          </cell>
          <cell r="M12">
            <v>4.8314910356577721E-2</v>
          </cell>
          <cell r="N12">
            <v>3.7432084093468251E-2</v>
          </cell>
          <cell r="O12">
            <v>3.5875635824103032E-2</v>
          </cell>
          <cell r="P12">
            <v>2.6283045994112228E-2</v>
          </cell>
          <cell r="Q12">
            <v>0.59867272515030923</v>
          </cell>
        </row>
        <row r="13">
          <cell r="B13" t="str">
            <v>Alm 10,5</v>
          </cell>
          <cell r="C13">
            <v>205500</v>
          </cell>
          <cell r="E13">
            <v>4.7668024952345907E-2</v>
          </cell>
          <cell r="F13">
            <v>4.2088426467176338E-2</v>
          </cell>
          <cell r="G13">
            <v>7.2129204801471961E-2</v>
          </cell>
          <cell r="H13">
            <v>7.1547829852437891E-2</v>
          </cell>
          <cell r="I13">
            <v>7.1560104110395581E-2</v>
          </cell>
          <cell r="J13">
            <v>7.2992415596688134E-2</v>
          </cell>
          <cell r="K13">
            <v>6.6270607060901557E-2</v>
          </cell>
          <cell r="L13">
            <v>6.9840055692364317E-2</v>
          </cell>
          <cell r="M13">
            <v>5.2799844995768168E-2</v>
          </cell>
          <cell r="N13">
            <v>4.0906797165041392E-2</v>
          </cell>
          <cell r="O13">
            <v>3.9205868264213434E-2</v>
          </cell>
          <cell r="P13">
            <v>2.8722825816375343E-2</v>
          </cell>
          <cell r="Q13">
            <v>0.67573200477518003</v>
          </cell>
        </row>
        <row r="14">
          <cell r="A14">
            <v>1310</v>
          </cell>
          <cell r="B14" t="str">
            <v>Alm 4,75</v>
          </cell>
          <cell r="C14">
            <v>205518</v>
          </cell>
          <cell r="E14">
            <v>8.0256100781018677E-2</v>
          </cell>
          <cell r="F14">
            <v>6.3678452244178368E-2</v>
          </cell>
          <cell r="G14">
            <v>0.2115912407840673</v>
          </cell>
          <cell r="H14">
            <v>0.2131727701712505</v>
          </cell>
          <cell r="I14">
            <v>8.3047708405615442E-2</v>
          </cell>
          <cell r="J14">
            <v>0.12605468788773297</v>
          </cell>
          <cell r="K14">
            <v>8.662236753052989E-2</v>
          </cell>
          <cell r="L14">
            <v>0.12802052915957621</v>
          </cell>
          <cell r="M14">
            <v>7.1138740969475797E-2</v>
          </cell>
          <cell r="N14">
            <v>5.1610275259831639E-2</v>
          </cell>
          <cell r="O14">
            <v>5.7580895790145553E-2</v>
          </cell>
          <cell r="P14">
            <v>3.8184691047271832E-2</v>
          </cell>
          <cell r="Q14">
            <v>1.2109584600306942</v>
          </cell>
        </row>
        <row r="15">
          <cell r="B15" t="str">
            <v>Antiesen 23,5</v>
          </cell>
          <cell r="C15">
            <v>206805</v>
          </cell>
          <cell r="E15">
            <v>2.964234191827339E-2</v>
          </cell>
          <cell r="F15">
            <v>2.4080788928246093E-2</v>
          </cell>
          <cell r="G15">
            <v>5.0134650650935253E-2</v>
          </cell>
          <cell r="H15">
            <v>3.2008122077697848E-2</v>
          </cell>
          <cell r="I15">
            <v>4.1155542424748205E-2</v>
          </cell>
          <cell r="J15">
            <v>4.1466519779568341E-2</v>
          </cell>
          <cell r="K15">
            <v>1.6014087541294967E-2</v>
          </cell>
          <cell r="L15">
            <v>8.7441637654100714E-3</v>
          </cell>
          <cell r="M15">
            <v>1.029022211913669E-2</v>
          </cell>
          <cell r="N15">
            <v>1.0271680878561154E-2</v>
          </cell>
          <cell r="O15">
            <v>1.8218041650647485E-2</v>
          </cell>
          <cell r="P15">
            <v>2.9498395048057555E-2</v>
          </cell>
          <cell r="Q15">
            <v>0.31152455678257712</v>
          </cell>
        </row>
        <row r="16">
          <cell r="A16">
            <v>670</v>
          </cell>
          <cell r="B16" t="str">
            <v>Antiesen 21,7</v>
          </cell>
          <cell r="C16">
            <v>204750</v>
          </cell>
          <cell r="E16">
            <v>0.16317041712494845</v>
          </cell>
          <cell r="F16">
            <v>0.17290472783871522</v>
          </cell>
          <cell r="G16">
            <v>0.28466113533292908</v>
          </cell>
          <cell r="H16">
            <v>0.13139821205093996</v>
          </cell>
          <cell r="I16">
            <v>0.17344895196531232</v>
          </cell>
          <cell r="J16">
            <v>0.16656838358801698</v>
          </cell>
          <cell r="K16">
            <v>0.11552341515478472</v>
          </cell>
          <cell r="L16">
            <v>6.2943958754503343E-2</v>
          </cell>
          <cell r="M16">
            <v>6.7409937858192839E-2</v>
          </cell>
          <cell r="N16">
            <v>0.11956503093598546</v>
          </cell>
          <cell r="O16">
            <v>0.14327832907080659</v>
          </cell>
          <cell r="P16">
            <v>0.23533986085957553</v>
          </cell>
          <cell r="Q16">
            <v>1.8362123605347107</v>
          </cell>
        </row>
        <row r="17">
          <cell r="B17" t="str">
            <v>Antiesen 16,8</v>
          </cell>
          <cell r="C17">
            <v>204750</v>
          </cell>
          <cell r="E17">
            <v>0.16340957021690722</v>
          </cell>
          <cell r="F17">
            <v>0.15446951042218274</v>
          </cell>
          <cell r="G17">
            <v>0.28501025730309276</v>
          </cell>
          <cell r="H17">
            <v>0.15386874235051545</v>
          </cell>
          <cell r="I17">
            <v>0.20449643188453609</v>
          </cell>
          <cell r="J17">
            <v>0.21972959619958762</v>
          </cell>
          <cell r="K17">
            <v>0.14478960352824743</v>
          </cell>
          <cell r="L17">
            <v>9.6737275411793805E-2</v>
          </cell>
          <cell r="M17">
            <v>8.7130744567422688E-2</v>
          </cell>
          <cell r="N17">
            <v>8.1995361891958773E-2</v>
          </cell>
          <cell r="O17">
            <v>0.11141731346474232</v>
          </cell>
          <cell r="P17">
            <v>0.21759701715463917</v>
          </cell>
          <cell r="Q17">
            <v>1.9206514243956259</v>
          </cell>
        </row>
        <row r="18">
          <cell r="B18" t="str">
            <v>Faule Aschach 0,88</v>
          </cell>
          <cell r="C18">
            <v>206151</v>
          </cell>
          <cell r="E18">
            <v>3.3544434615652166E-2</v>
          </cell>
          <cell r="F18">
            <v>4.8964419618350824E-2</v>
          </cell>
          <cell r="G18">
            <v>8.6734184848695647E-2</v>
          </cell>
          <cell r="H18">
            <v>3.7486036299130429E-2</v>
          </cell>
          <cell r="I18">
            <v>3.9043668751304335E-2</v>
          </cell>
          <cell r="J18">
            <v>5.0647000987826075E-2</v>
          </cell>
          <cell r="K18">
            <v>3.1603256306086951E-2</v>
          </cell>
          <cell r="L18">
            <v>4.226004513391303E-2</v>
          </cell>
          <cell r="M18">
            <v>2.8240085947826083E-2</v>
          </cell>
          <cell r="N18">
            <v>2.852432523130434E-2</v>
          </cell>
          <cell r="O18">
            <v>4.9904176027826069E-2</v>
          </cell>
          <cell r="P18">
            <v>3.9841343649391306E-2</v>
          </cell>
          <cell r="Q18">
            <v>0.51679297741730723</v>
          </cell>
        </row>
        <row r="19">
          <cell r="B19" t="str">
            <v>D. Aschach 9,5</v>
          </cell>
          <cell r="C19">
            <v>205407</v>
          </cell>
          <cell r="E19">
            <v>1.9790553978181819E-2</v>
          </cell>
          <cell r="F19">
            <v>2.7202062204723095E-2</v>
          </cell>
          <cell r="G19">
            <v>4.8075775871515153E-2</v>
          </cell>
          <cell r="H19">
            <v>2.1330844598787879E-2</v>
          </cell>
          <cell r="I19">
            <v>1.8911032945454546E-2</v>
          </cell>
          <cell r="J19">
            <v>3.2817192256969697E-2</v>
          </cell>
          <cell r="K19">
            <v>2.2370339335757577E-2</v>
          </cell>
          <cell r="L19">
            <v>2.544166232145454E-2</v>
          </cell>
          <cell r="M19">
            <v>1.3559226312727275E-2</v>
          </cell>
          <cell r="N19">
            <v>1.707582080727273E-2</v>
          </cell>
          <cell r="O19">
            <v>1.8658993093333336E-2</v>
          </cell>
          <cell r="P19">
            <v>2.4194967773090909E-2</v>
          </cell>
          <cell r="Q19">
            <v>0.28942847149926854</v>
          </cell>
        </row>
        <row r="20">
          <cell r="C20">
            <v>206169</v>
          </cell>
          <cell r="Q20" t="str">
            <v>k.Wert</v>
          </cell>
        </row>
        <row r="21">
          <cell r="A21">
            <v>1150</v>
          </cell>
          <cell r="B21" t="str">
            <v>Aschach 18,7</v>
          </cell>
          <cell r="C21">
            <v>205054</v>
          </cell>
          <cell r="E21">
            <v>0.34509265354285718</v>
          </cell>
          <cell r="F21">
            <v>0.32993004991555375</v>
          </cell>
          <cell r="G21">
            <v>0.50843307578321595</v>
          </cell>
          <cell r="H21">
            <v>0.25127635138962207</v>
          </cell>
          <cell r="I21">
            <v>0.34909780797017298</v>
          </cell>
          <cell r="J21">
            <v>0.3754252079861628</v>
          </cell>
          <cell r="K21">
            <v>0.17272571760784114</v>
          </cell>
          <cell r="L21">
            <v>0.24639486412160413</v>
          </cell>
          <cell r="M21">
            <v>0.15836580986459964</v>
          </cell>
          <cell r="N21">
            <v>0.15662669876556057</v>
          </cell>
          <cell r="O21">
            <v>0.23200089134529153</v>
          </cell>
          <cell r="P21">
            <v>0.25526030409981298</v>
          </cell>
          <cell r="Q21">
            <v>3.3806294323922947</v>
          </cell>
        </row>
        <row r="22">
          <cell r="A22">
            <v>1160</v>
          </cell>
          <cell r="B22" t="str">
            <v>Aschach 5,4</v>
          </cell>
          <cell r="C22">
            <v>205054</v>
          </cell>
          <cell r="E22">
            <v>0.37976167972735425</v>
          </cell>
          <cell r="F22">
            <v>0.39909348934016659</v>
          </cell>
          <cell r="G22">
            <v>0.62715657656732871</v>
          </cell>
          <cell r="H22">
            <v>0.31050492269442664</v>
          </cell>
          <cell r="I22">
            <v>0.3789150195902114</v>
          </cell>
          <cell r="J22">
            <v>0.35088317363300447</v>
          </cell>
          <cell r="K22">
            <v>9.1906286725637387E-2</v>
          </cell>
          <cell r="L22">
            <v>0.19100308072017427</v>
          </cell>
          <cell r="M22">
            <v>0.12955206221873158</v>
          </cell>
          <cell r="N22">
            <v>0.12922919820299811</v>
          </cell>
          <cell r="O22">
            <v>0.22978478135092892</v>
          </cell>
          <cell r="P22">
            <v>0.34295590232985013</v>
          </cell>
          <cell r="Q22">
            <v>3.5607461731008123</v>
          </cell>
        </row>
        <row r="23">
          <cell r="B23" t="str">
            <v>Enns 33,8</v>
          </cell>
          <cell r="C23">
            <v>205757</v>
          </cell>
          <cell r="E23">
            <v>1.3190942911560617</v>
          </cell>
          <cell r="F23">
            <v>0.74411159506964941</v>
          </cell>
          <cell r="G23">
            <v>1.4718502537643363</v>
          </cell>
          <cell r="H23">
            <v>1.4265777516436422</v>
          </cell>
          <cell r="I23">
            <v>1.1037581336434419</v>
          </cell>
          <cell r="J23">
            <v>0.94542259669133932</v>
          </cell>
          <cell r="K23">
            <v>0.94979081607894156</v>
          </cell>
          <cell r="L23">
            <v>1.166894126704173</v>
          </cell>
          <cell r="M23">
            <v>0.63533516139949164</v>
          </cell>
          <cell r="N23">
            <v>0.49627765840315446</v>
          </cell>
          <cell r="O23">
            <v>0.57311340664262123</v>
          </cell>
          <cell r="P23">
            <v>0.3676948129694762</v>
          </cell>
          <cell r="Q23">
            <v>11.199920604166332</v>
          </cell>
        </row>
        <row r="24">
          <cell r="B24" t="str">
            <v>Enns 17,8</v>
          </cell>
          <cell r="C24">
            <v>205922</v>
          </cell>
          <cell r="E24">
            <v>1.6635422315772395</v>
          </cell>
          <cell r="F24">
            <v>1.1518083475643819</v>
          </cell>
          <cell r="G24">
            <v>2.4758276582209153</v>
          </cell>
          <cell r="H24">
            <v>2.3048798131250634</v>
          </cell>
          <cell r="I24">
            <v>1.3818547352875548</v>
          </cell>
          <cell r="J24">
            <v>1.2507428137214729</v>
          </cell>
          <cell r="K24">
            <v>1.5364790554336141</v>
          </cell>
          <cell r="L24">
            <v>1.546757080687291</v>
          </cell>
          <cell r="M24">
            <v>1.0132051527660006</v>
          </cell>
          <cell r="N24">
            <v>0.77416831013287357</v>
          </cell>
          <cell r="O24">
            <v>0.96666257646414466</v>
          </cell>
          <cell r="P24">
            <v>0.65188951412516483</v>
          </cell>
          <cell r="Q24">
            <v>16.717817289105717</v>
          </cell>
        </row>
        <row r="25">
          <cell r="B25" t="str">
            <v>Enns 8,2</v>
          </cell>
          <cell r="C25">
            <v>205922</v>
          </cell>
          <cell r="E25">
            <v>1.7159393332581399</v>
          </cell>
          <cell r="F25">
            <v>1.3716157366511117</v>
          </cell>
          <cell r="G25">
            <v>2.561327483096866</v>
          </cell>
          <cell r="H25">
            <v>2.5998496713033781</v>
          </cell>
          <cell r="I25">
            <v>1.8710961403245767</v>
          </cell>
          <cell r="J25">
            <v>1.8398041412443453</v>
          </cell>
          <cell r="K25">
            <v>2.1496902388420733</v>
          </cell>
          <cell r="L25">
            <v>2.3145067083103763</v>
          </cell>
          <cell r="M25">
            <v>2.3557944862407951</v>
          </cell>
          <cell r="N25">
            <v>1.0188220258801097</v>
          </cell>
          <cell r="O25">
            <v>0.97363463376143622</v>
          </cell>
          <cell r="P25">
            <v>0.88433343199553716</v>
          </cell>
          <cell r="Q25">
            <v>21.656414030908742</v>
          </cell>
        </row>
        <row r="26">
          <cell r="A26">
            <v>4080</v>
          </cell>
          <cell r="B26" t="str">
            <v>Enns 2,7</v>
          </cell>
          <cell r="C26">
            <v>205922</v>
          </cell>
          <cell r="E26">
            <v>1.7466667017450048</v>
          </cell>
          <cell r="F26">
            <v>1.5395510383992221</v>
          </cell>
          <cell r="G26">
            <v>2.9699019767664061</v>
          </cell>
          <cell r="H26">
            <v>2.8531260529100315</v>
          </cell>
          <cell r="I26">
            <v>2.6271722973831015</v>
          </cell>
          <cell r="J26">
            <v>2.329879135467289</v>
          </cell>
          <cell r="K26">
            <v>2.2862072647619436</v>
          </cell>
          <cell r="L26">
            <v>2.3547756369671573</v>
          </cell>
          <cell r="M26">
            <v>1.3060290175660818</v>
          </cell>
          <cell r="N26">
            <v>1.8919788309792065</v>
          </cell>
          <cell r="O26">
            <v>1.1858765738699666</v>
          </cell>
          <cell r="P26">
            <v>1.0733303407680292</v>
          </cell>
          <cell r="Q26">
            <v>24.164494867583436</v>
          </cell>
        </row>
        <row r="27">
          <cell r="A27">
            <v>1570</v>
          </cell>
          <cell r="B27" t="str">
            <v>Feldaist 31</v>
          </cell>
          <cell r="C27">
            <v>205948</v>
          </cell>
          <cell r="E27">
            <v>1.4655803391549295E-2</v>
          </cell>
          <cell r="F27">
            <v>1.5522113322739194E-2</v>
          </cell>
          <cell r="G27">
            <v>3.4960999693521122E-2</v>
          </cell>
          <cell r="H27">
            <v>2.5072095326197179E-2</v>
          </cell>
          <cell r="I27">
            <v>1.9294437439999996E-2</v>
          </cell>
          <cell r="J27">
            <v>1.7911232074366196E-2</v>
          </cell>
          <cell r="K27">
            <v>1.499680034478873E-2</v>
          </cell>
          <cell r="L27">
            <v>3.7364139738591547E-2</v>
          </cell>
          <cell r="M27">
            <v>8.9311775098591551E-3</v>
          </cell>
          <cell r="N27">
            <v>8.4521285273239429E-3</v>
          </cell>
          <cell r="O27">
            <v>8.0595985532394363E-3</v>
          </cell>
          <cell r="P27">
            <v>7.9091151468169002E-3</v>
          </cell>
          <cell r="Q27">
            <v>0.21312964106899268</v>
          </cell>
        </row>
        <row r="28">
          <cell r="B28" t="str">
            <v>Feldaist 29,2</v>
          </cell>
          <cell r="C28">
            <v>205948</v>
          </cell>
          <cell r="E28">
            <v>3.5948076114929575E-2</v>
          </cell>
          <cell r="F28">
            <v>4.6583764489014079E-2</v>
          </cell>
          <cell r="G28">
            <v>9.4299081789295761E-2</v>
          </cell>
          <cell r="H28">
            <v>6.823327970028166E-2</v>
          </cell>
          <cell r="I28">
            <v>6.0736970920563384E-2</v>
          </cell>
          <cell r="J28">
            <v>4.4324752745915498E-2</v>
          </cell>
          <cell r="K28">
            <v>3.8344157280000006E-2</v>
          </cell>
          <cell r="L28">
            <v>5.191143957633803E-2</v>
          </cell>
          <cell r="M28">
            <v>2.7943891625915495E-2</v>
          </cell>
          <cell r="N28">
            <v>2.5217877052394366E-2</v>
          </cell>
          <cell r="O28">
            <v>2.6677803711549292E-2</v>
          </cell>
          <cell r="P28">
            <v>2.6919740095098586E-2</v>
          </cell>
          <cell r="Q28">
            <v>0.54714083510129574</v>
          </cell>
        </row>
        <row r="29">
          <cell r="B29" t="str">
            <v>Feldaist 17,45</v>
          </cell>
          <cell r="C29">
            <v>206581</v>
          </cell>
          <cell r="E29">
            <v>9.4758444981818166E-2</v>
          </cell>
          <cell r="F29">
            <v>0.10542377136012249</v>
          </cell>
          <cell r="G29">
            <v>0.16253479958841435</v>
          </cell>
          <cell r="H29">
            <v>0.11355263245902748</v>
          </cell>
          <cell r="I29">
            <v>0.10706109220236787</v>
          </cell>
          <cell r="J29">
            <v>9.3039576003932353E-2</v>
          </cell>
          <cell r="K29">
            <v>7.3986278651543336E-2</v>
          </cell>
          <cell r="L29">
            <v>0.11067984038968287</v>
          </cell>
          <cell r="M29">
            <v>4.7064921972431284E-2</v>
          </cell>
          <cell r="N29">
            <v>4.6095213288329821E-2</v>
          </cell>
          <cell r="O29">
            <v>5.6901236249682879E-2</v>
          </cell>
          <cell r="P29">
            <v>5.1407817320625791E-2</v>
          </cell>
          <cell r="Q29">
            <v>1.0625056244679787</v>
          </cell>
        </row>
        <row r="30">
          <cell r="C30">
            <v>206680</v>
          </cell>
          <cell r="Q30" t="str">
            <v>k.Wert</v>
          </cell>
        </row>
        <row r="31">
          <cell r="A31">
            <v>1590</v>
          </cell>
          <cell r="B31" t="str">
            <v>Waldaist 2,4</v>
          </cell>
          <cell r="C31">
            <v>205971</v>
          </cell>
          <cell r="E31">
            <v>2.1541343346559275E-2</v>
          </cell>
          <cell r="F31">
            <v>1.6277900264080249E-2</v>
          </cell>
          <cell r="G31">
            <v>5.5769212960663124E-2</v>
          </cell>
          <cell r="H31">
            <v>3.6693210111938608E-2</v>
          </cell>
          <cell r="I31">
            <v>3.1420793838370049E-2</v>
          </cell>
          <cell r="J31">
            <v>2.8069383947175449E-2</v>
          </cell>
          <cell r="K31">
            <v>2.3739454870969626E-2</v>
          </cell>
          <cell r="L31">
            <v>3.210537870685537E-2</v>
          </cell>
          <cell r="M31">
            <v>1.6354156729010791E-2</v>
          </cell>
          <cell r="N31">
            <v>1.0223746399206946E-2</v>
          </cell>
          <cell r="O31">
            <v>1.5989066678350834E-2</v>
          </cell>
          <cell r="P31">
            <v>1.3650947107378002E-2</v>
          </cell>
          <cell r="Q31">
            <v>0.30183459496055831</v>
          </cell>
        </row>
        <row r="32">
          <cell r="B32" t="str">
            <v>Große Mühl 52,1</v>
          </cell>
          <cell r="C32">
            <v>204891</v>
          </cell>
          <cell r="E32">
            <v>3.7862300797281555E-2</v>
          </cell>
          <cell r="F32">
            <v>2.7856843869300305E-2</v>
          </cell>
          <cell r="G32">
            <v>4.7380519674174761E-2</v>
          </cell>
          <cell r="H32">
            <v>3.3918149766990292E-2</v>
          </cell>
          <cell r="I32">
            <v>2.7709855042718456E-2</v>
          </cell>
          <cell r="J32">
            <v>2.7736744744077672E-2</v>
          </cell>
          <cell r="K32">
            <v>2.7354963174757285E-2</v>
          </cell>
          <cell r="L32">
            <v>2.7640377131067973E-2</v>
          </cell>
          <cell r="M32">
            <v>2.1241461468058258E-2</v>
          </cell>
          <cell r="N32">
            <v>1.7614486148737868E-2</v>
          </cell>
          <cell r="O32">
            <v>3.1341981157281561E-2</v>
          </cell>
          <cell r="P32">
            <v>2.6459430553398063E-2</v>
          </cell>
          <cell r="Q32">
            <v>0.35411711352784397</v>
          </cell>
        </row>
        <row r="33">
          <cell r="A33">
            <v>1140</v>
          </cell>
          <cell r="B33" t="str">
            <v>Große Mühl 30,9</v>
          </cell>
          <cell r="C33">
            <v>204917</v>
          </cell>
          <cell r="E33">
            <v>5.012187369897849E-2</v>
          </cell>
          <cell r="F33">
            <v>5.0147404439371074E-2</v>
          </cell>
          <cell r="G33">
            <v>7.592496322026622E-2</v>
          </cell>
          <cell r="H33">
            <v>4.5001935228661617E-2</v>
          </cell>
          <cell r="I33">
            <v>3.7395074384238204E-2</v>
          </cell>
          <cell r="J33">
            <v>4.1172183451489867E-2</v>
          </cell>
          <cell r="K33">
            <v>2.4340004494867815E-2</v>
          </cell>
          <cell r="L33">
            <v>2.7750246924769535E-2</v>
          </cell>
          <cell r="M33">
            <v>1.6438494821268756E-2</v>
          </cell>
          <cell r="N33">
            <v>1.3926116657771237E-2</v>
          </cell>
          <cell r="O33">
            <v>2.5732985153609614E-2</v>
          </cell>
          <cell r="P33">
            <v>2.6561178909022896E-2</v>
          </cell>
          <cell r="Q33">
            <v>0.43451246138431526</v>
          </cell>
        </row>
        <row r="34">
          <cell r="B34" t="str">
            <v>Große Mühl 21,8</v>
          </cell>
          <cell r="C34">
            <v>204933</v>
          </cell>
          <cell r="E34">
            <v>0.10998531880813799</v>
          </cell>
          <cell r="F34">
            <v>9.7336008930732534E-2</v>
          </cell>
          <cell r="G34">
            <v>0.1728821563069439</v>
          </cell>
          <cell r="H34">
            <v>0.13303910011207432</v>
          </cell>
          <cell r="I34">
            <v>8.8893343141618744E-2</v>
          </cell>
          <cell r="J34">
            <v>9.179435937638214E-2</v>
          </cell>
          <cell r="K34">
            <v>6.161853016771341E-2</v>
          </cell>
          <cell r="L34">
            <v>6.7534461021176495E-2</v>
          </cell>
          <cell r="M34">
            <v>4.4912893843520568E-2</v>
          </cell>
          <cell r="N34">
            <v>3.2953722357717825E-2</v>
          </cell>
          <cell r="O34">
            <v>5.6170428921362231E-2</v>
          </cell>
          <cell r="P34">
            <v>5.1388640844758963E-2</v>
          </cell>
          <cell r="Q34">
            <v>1.0085089638321394</v>
          </cell>
        </row>
        <row r="35">
          <cell r="C35">
            <v>206656</v>
          </cell>
          <cell r="Q35" t="str">
            <v>k.Wert</v>
          </cell>
        </row>
        <row r="36">
          <cell r="B36" t="str">
            <v>Große Rodl 23,2</v>
          </cell>
          <cell r="C36">
            <v>205088</v>
          </cell>
          <cell r="E36">
            <v>6.4243859034300799E-2</v>
          </cell>
          <cell r="F36">
            <v>7.2355784857137659E-2</v>
          </cell>
          <cell r="G36">
            <v>0.12570228416675464</v>
          </cell>
          <cell r="H36">
            <v>7.1118036560422176E-2</v>
          </cell>
          <cell r="I36">
            <v>4.1350564389656994E-2</v>
          </cell>
          <cell r="J36">
            <v>4.4377851652242749E-2</v>
          </cell>
          <cell r="K36">
            <v>3.5072938604010555E-2</v>
          </cell>
          <cell r="L36">
            <v>8.2954949352696566E-2</v>
          </cell>
          <cell r="M36">
            <v>4.7184578608464388E-2</v>
          </cell>
          <cell r="N36">
            <v>3.1032814617625332E-2</v>
          </cell>
          <cell r="O36">
            <v>3.7434986812116093E-2</v>
          </cell>
          <cell r="P36">
            <v>5.0815619464274424E-2</v>
          </cell>
          <cell r="Q36">
            <v>0.70364426811970227</v>
          </cell>
        </row>
        <row r="37">
          <cell r="B37" t="str">
            <v>Gusen 19,6</v>
          </cell>
          <cell r="C37">
            <v>206573</v>
          </cell>
          <cell r="E37">
            <v>6.7088600258069342E-2</v>
          </cell>
          <cell r="F37">
            <v>0.10045611796490839</v>
          </cell>
          <cell r="G37">
            <v>0.14629125688059982</v>
          </cell>
          <cell r="H37">
            <v>0.14859494628258665</v>
          </cell>
          <cell r="I37">
            <v>8.1085104657244597E-2</v>
          </cell>
          <cell r="J37">
            <v>6.7791287841874395E-2</v>
          </cell>
          <cell r="K37">
            <v>4.0890180622605438E-2</v>
          </cell>
          <cell r="L37">
            <v>4.7541347365023433E-2</v>
          </cell>
          <cell r="M37">
            <v>2.2121773851171506E-2</v>
          </cell>
          <cell r="N37">
            <v>2.5586378463880038E-2</v>
          </cell>
          <cell r="O37">
            <v>2.9317970761237114E-2</v>
          </cell>
          <cell r="P37">
            <v>3.5467989090309279E-2</v>
          </cell>
          <cell r="Q37">
            <v>0.8122329540395099</v>
          </cell>
        </row>
        <row r="38">
          <cell r="A38">
            <v>1370</v>
          </cell>
          <cell r="B38" t="str">
            <v>Gusen 15,7</v>
          </cell>
          <cell r="C38">
            <v>206375</v>
          </cell>
          <cell r="E38">
            <v>0.12959371800280592</v>
          </cell>
          <cell r="F38">
            <v>0.19009923908689011</v>
          </cell>
          <cell r="G38">
            <v>0.29096870791706936</v>
          </cell>
          <cell r="H38">
            <v>0.24976327668102882</v>
          </cell>
          <cell r="I38">
            <v>0.12074530125942319</v>
          </cell>
          <cell r="J38">
            <v>0.12197843229942322</v>
          </cell>
          <cell r="K38">
            <v>9.8896758877879951E-2</v>
          </cell>
          <cell r="L38">
            <v>0.10507782986487918</v>
          </cell>
          <cell r="M38">
            <v>3.6127920782665614E-2</v>
          </cell>
          <cell r="N38">
            <v>5.4475546731348391E-2</v>
          </cell>
          <cell r="O38">
            <v>5.3862910540919712E-2</v>
          </cell>
          <cell r="P38">
            <v>8.2449222277187845E-2</v>
          </cell>
          <cell r="Q38">
            <v>1.5340388643215213</v>
          </cell>
        </row>
        <row r="39">
          <cell r="B39" t="str">
            <v>Gusen 10,4</v>
          </cell>
          <cell r="C39">
            <v>206375</v>
          </cell>
          <cell r="E39">
            <v>0.19331366774871392</v>
          </cell>
          <cell r="F39">
            <v>0.22141470019048026</v>
          </cell>
          <cell r="G39">
            <v>0.30278530485736549</v>
          </cell>
          <cell r="H39">
            <v>0.27550831539423226</v>
          </cell>
          <cell r="I39">
            <v>0.21953083170444265</v>
          </cell>
          <cell r="J39">
            <v>0.16267775722120029</v>
          </cell>
          <cell r="K39">
            <v>0.11645000366703039</v>
          </cell>
          <cell r="L39">
            <v>0.15520656366827748</v>
          </cell>
          <cell r="M39">
            <v>4.4976203497739668E-2</v>
          </cell>
          <cell r="N39">
            <v>7.5875808828682764E-2</v>
          </cell>
          <cell r="O39">
            <v>7.892390865970382E-2</v>
          </cell>
          <cell r="P39">
            <v>0.10144578734964926</v>
          </cell>
          <cell r="Q39">
            <v>1.9481088527875183</v>
          </cell>
        </row>
        <row r="40">
          <cell r="B40" t="str">
            <v>Gusen 6,1</v>
          </cell>
          <cell r="C40">
            <v>206375</v>
          </cell>
          <cell r="E40">
            <v>0.22346359579585351</v>
          </cell>
          <cell r="F40">
            <v>0.24426051755659747</v>
          </cell>
          <cell r="G40">
            <v>0.33507292904754488</v>
          </cell>
          <cell r="H40">
            <v>0.26141361371186284</v>
          </cell>
          <cell r="I40">
            <v>0.25823947647900236</v>
          </cell>
          <cell r="J40">
            <v>0.19132825822428687</v>
          </cell>
          <cell r="K40">
            <v>0.11977024028632892</v>
          </cell>
          <cell r="L40">
            <v>0.14612386636171476</v>
          </cell>
          <cell r="M40">
            <v>6.321472394226034E-2</v>
          </cell>
          <cell r="N40">
            <v>7.685999815033516E-2</v>
          </cell>
          <cell r="O40">
            <v>8.3550212340327376E-2</v>
          </cell>
          <cell r="P40">
            <v>0.11296681345257054</v>
          </cell>
          <cell r="Q40">
            <v>2.1162642453486846</v>
          </cell>
        </row>
        <row r="41">
          <cell r="A41">
            <v>1380</v>
          </cell>
          <cell r="B41" t="str">
            <v>Gusen 2,1</v>
          </cell>
          <cell r="C41">
            <v>206375</v>
          </cell>
          <cell r="E41">
            <v>0.25935269348342943</v>
          </cell>
          <cell r="F41">
            <v>0.29892925295102096</v>
          </cell>
          <cell r="G41">
            <v>0.41537147426375681</v>
          </cell>
          <cell r="H41">
            <v>0.3268491529507716</v>
          </cell>
          <cell r="I41">
            <v>0.28933949509225254</v>
          </cell>
          <cell r="J41">
            <v>0.15952857025300074</v>
          </cell>
          <cell r="K41">
            <v>0.13183888886656273</v>
          </cell>
          <cell r="L41">
            <v>0.18372754577883088</v>
          </cell>
          <cell r="M41">
            <v>6.6684986397568174E-2</v>
          </cell>
          <cell r="N41">
            <v>6.8563920458300856E-2</v>
          </cell>
          <cell r="O41">
            <v>0.10014959975906468</v>
          </cell>
          <cell r="P41">
            <v>0.12794563427339672</v>
          </cell>
          <cell r="Q41">
            <v>2.428281214527956</v>
          </cell>
        </row>
        <row r="42">
          <cell r="A42">
            <v>1360</v>
          </cell>
          <cell r="B42" t="str">
            <v>Kleine Gusen 0,1</v>
          </cell>
          <cell r="C42">
            <v>206854</v>
          </cell>
          <cell r="E42">
            <v>5.3263540534387338E-2</v>
          </cell>
          <cell r="F42">
            <v>6.3333992533624095E-2</v>
          </cell>
          <cell r="G42">
            <v>8.8659512152411066E-2</v>
          </cell>
          <cell r="H42">
            <v>4.229272715193675E-2</v>
          </cell>
          <cell r="I42">
            <v>2.9906576112569166E-2</v>
          </cell>
          <cell r="J42">
            <v>3.3765684739920948E-2</v>
          </cell>
          <cell r="K42">
            <v>3.2303736459130435E-2</v>
          </cell>
          <cell r="L42">
            <v>4.4580391888695642E-2</v>
          </cell>
          <cell r="M42">
            <v>2.3740199056126485E-2</v>
          </cell>
          <cell r="N42">
            <v>2.8965747796363642E-2</v>
          </cell>
          <cell r="O42">
            <v>1.9387339048221344E-2</v>
          </cell>
          <cell r="P42">
            <v>3.0655332918640317E-2</v>
          </cell>
          <cell r="Q42">
            <v>0.49085478039202718</v>
          </cell>
        </row>
        <row r="43">
          <cell r="C43">
            <v>206771</v>
          </cell>
          <cell r="Q43" t="str">
            <v>k.Wert</v>
          </cell>
        </row>
        <row r="44">
          <cell r="B44" t="str">
            <v>Krems 54,8</v>
          </cell>
          <cell r="C44">
            <v>205633</v>
          </cell>
          <cell r="E44">
            <v>6.6180610635040429E-3</v>
          </cell>
          <cell r="F44">
            <v>1.5195152901682317E-2</v>
          </cell>
          <cell r="G44">
            <v>1.751417332010782E-2</v>
          </cell>
          <cell r="H44">
            <v>7.6643809520215642E-3</v>
          </cell>
          <cell r="I44">
            <v>7.5957368506738556E-3</v>
          </cell>
          <cell r="J44">
            <v>1.2338942151590294E-2</v>
          </cell>
          <cell r="K44">
            <v>4.8121360738544476E-3</v>
          </cell>
          <cell r="L44">
            <v>9.2937013194177905E-3</v>
          </cell>
          <cell r="M44">
            <v>4.8832109932075473E-3</v>
          </cell>
          <cell r="N44">
            <v>4.4143969138544488E-3</v>
          </cell>
          <cell r="O44">
            <v>4.8814674016172521E-3</v>
          </cell>
          <cell r="P44">
            <v>6.9691591484636111E-3</v>
          </cell>
          <cell r="Q44">
            <v>0.10218051908999498</v>
          </cell>
        </row>
        <row r="45">
          <cell r="A45">
            <v>1320</v>
          </cell>
          <cell r="B45" t="str">
            <v>Krems 36,5</v>
          </cell>
          <cell r="C45">
            <v>205641</v>
          </cell>
          <cell r="E45">
            <v>8.3931673500000012E-2</v>
          </cell>
          <cell r="F45">
            <v>0.11710893413793107</v>
          </cell>
          <cell r="G45">
            <v>0.19268030250000001</v>
          </cell>
          <cell r="H45">
            <v>9.4592407499999989E-2</v>
          </cell>
          <cell r="I45">
            <v>0.17486705250000001</v>
          </cell>
          <cell r="J45">
            <v>0.19908182700000002</v>
          </cell>
          <cell r="K45">
            <v>0.12984713775000004</v>
          </cell>
          <cell r="L45">
            <v>0.11563156620000001</v>
          </cell>
          <cell r="M45">
            <v>0.116530245</v>
          </cell>
          <cell r="N45">
            <v>0.12972592799999999</v>
          </cell>
          <cell r="O45">
            <v>9.9217035000000023E-2</v>
          </cell>
          <cell r="P45">
            <v>0.12767750550000004</v>
          </cell>
          <cell r="Q45">
            <v>1.5808916145879315</v>
          </cell>
        </row>
        <row r="46">
          <cell r="B46" t="str">
            <v>Krems 12,8</v>
          </cell>
          <cell r="C46">
            <v>205658</v>
          </cell>
          <cell r="E46">
            <v>0.26141126063273729</v>
          </cell>
          <cell r="F46">
            <v>0.34953217339642362</v>
          </cell>
          <cell r="G46">
            <v>0.84935373844951867</v>
          </cell>
          <cell r="H46">
            <v>0.21213605705199451</v>
          </cell>
          <cell r="I46">
            <v>0.34778542281375519</v>
          </cell>
          <cell r="J46">
            <v>0.3993340562839065</v>
          </cell>
          <cell r="K46">
            <v>0.17111339982272353</v>
          </cell>
          <cell r="L46">
            <v>0.16376864953617606</v>
          </cell>
          <cell r="M46">
            <v>0.39775505513397535</v>
          </cell>
          <cell r="N46">
            <v>0.18740327974910592</v>
          </cell>
          <cell r="O46">
            <v>0.35207910328803305</v>
          </cell>
          <cell r="P46">
            <v>0.69964949994387904</v>
          </cell>
          <cell r="Q46">
            <v>4.3913216961022288</v>
          </cell>
        </row>
        <row r="47">
          <cell r="A47">
            <v>1330</v>
          </cell>
          <cell r="B47" t="str">
            <v>Krems 7,9</v>
          </cell>
          <cell r="C47">
            <v>205658</v>
          </cell>
          <cell r="E47">
            <v>0.31315954896990372</v>
          </cell>
          <cell r="F47">
            <v>0.38241915872648108</v>
          </cell>
          <cell r="G47">
            <v>0.71875919886437423</v>
          </cell>
          <cell r="H47">
            <v>0.34026201295229713</v>
          </cell>
          <cell r="I47">
            <v>0.46406925797149934</v>
          </cell>
          <cell r="J47">
            <v>0.49335465008946361</v>
          </cell>
          <cell r="K47">
            <v>0.33588035379076753</v>
          </cell>
          <cell r="L47">
            <v>0.2433065149313233</v>
          </cell>
          <cell r="M47">
            <v>0.2441519623246878</v>
          </cell>
          <cell r="N47">
            <v>0.19247963946784044</v>
          </cell>
          <cell r="O47">
            <v>0.28357765349149933</v>
          </cell>
          <cell r="P47">
            <v>0.4044786730960111</v>
          </cell>
          <cell r="Q47">
            <v>4.4158986246761485</v>
          </cell>
        </row>
        <row r="48">
          <cell r="B48" t="str">
            <v>Mattig 36,3</v>
          </cell>
          <cell r="C48">
            <v>204586</v>
          </cell>
          <cell r="E48">
            <v>7.7288293102702708E-3</v>
          </cell>
          <cell r="F48">
            <v>8.5655561920596462E-3</v>
          </cell>
          <cell r="G48">
            <v>9.9885394313513533E-3</v>
          </cell>
          <cell r="H48">
            <v>9.5994529297297321E-3</v>
          </cell>
          <cell r="I48">
            <v>1.3556781872432432E-2</v>
          </cell>
          <cell r="J48">
            <v>2.1194541941621625E-2</v>
          </cell>
          <cell r="K48">
            <v>1.45379275945946E-2</v>
          </cell>
          <cell r="L48">
            <v>1.3472606908108109E-2</v>
          </cell>
          <cell r="M48">
            <v>1.0804204905945946E-2</v>
          </cell>
          <cell r="N48">
            <v>1.2988268121081082E-2</v>
          </cell>
          <cell r="O48">
            <v>3.0035377952432437E-2</v>
          </cell>
          <cell r="P48">
            <v>3.6638059900540552E-2</v>
          </cell>
          <cell r="Q48">
            <v>0.18911014706016779</v>
          </cell>
        </row>
        <row r="49">
          <cell r="B49" t="str">
            <v>Mattig 25,1</v>
          </cell>
          <cell r="C49">
            <v>204610</v>
          </cell>
          <cell r="E49">
            <v>2.2276400793882351E-2</v>
          </cell>
          <cell r="F49">
            <v>1.9450622538730224E-2</v>
          </cell>
          <cell r="G49">
            <v>3.6305864804117655E-2</v>
          </cell>
          <cell r="H49">
            <v>1.7599179594705881E-2</v>
          </cell>
          <cell r="I49">
            <v>4.3418646095294118E-2</v>
          </cell>
          <cell r="J49">
            <v>5.2497281706352934E-2</v>
          </cell>
          <cell r="K49">
            <v>2.9402178427058823E-2</v>
          </cell>
          <cell r="L49">
            <v>3.940324584141177E-2</v>
          </cell>
          <cell r="M49">
            <v>1.1254731581117649E-2</v>
          </cell>
          <cell r="N49">
            <v>1.9807491471352943E-2</v>
          </cell>
          <cell r="O49">
            <v>7.4131382892176467E-2</v>
          </cell>
          <cell r="P49">
            <v>9.4775441789647044E-2</v>
          </cell>
          <cell r="Q49">
            <v>0.46032246753584788</v>
          </cell>
        </row>
        <row r="50">
          <cell r="B50" t="str">
            <v>Mattig 18,1</v>
          </cell>
          <cell r="C50">
            <v>204610</v>
          </cell>
          <cell r="E50">
            <v>6.7057166354823519E-2</v>
          </cell>
          <cell r="F50">
            <v>6.4889350202482765E-2</v>
          </cell>
          <cell r="G50">
            <v>0.13372479910588236</v>
          </cell>
          <cell r="H50">
            <v>8.1902498823529402E-2</v>
          </cell>
          <cell r="I50">
            <v>0.11681208955058825</v>
          </cell>
          <cell r="J50">
            <v>0.11798883367623529</v>
          </cell>
          <cell r="K50">
            <v>5.3289457996235294E-2</v>
          </cell>
          <cell r="L50">
            <v>0.10679783894682353</v>
          </cell>
          <cell r="M50">
            <v>5.0632328159999997E-2</v>
          </cell>
          <cell r="N50">
            <v>8.2972167361411761E-2</v>
          </cell>
          <cell r="O50">
            <v>0.13169807601035297</v>
          </cell>
          <cell r="P50">
            <v>0.11823541730258824</v>
          </cell>
          <cell r="Q50">
            <v>1.1260000234909531</v>
          </cell>
        </row>
        <row r="51">
          <cell r="A51">
            <v>630</v>
          </cell>
          <cell r="B51" t="str">
            <v>Mattig 1,93</v>
          </cell>
          <cell r="C51">
            <v>204677</v>
          </cell>
          <cell r="E51">
            <v>0.12537461050848064</v>
          </cell>
          <cell r="F51">
            <v>0.11114879394119492</v>
          </cell>
          <cell r="G51">
            <v>0.24694086623602596</v>
          </cell>
          <cell r="H51">
            <v>0.13156244004421574</v>
          </cell>
          <cell r="I51">
            <v>0.21733638869160893</v>
          </cell>
          <cell r="J51">
            <v>0.2066900229239651</v>
          </cell>
          <cell r="K51">
            <v>9.7709877558648475E-2</v>
          </cell>
          <cell r="L51">
            <v>0.15391306190722756</v>
          </cell>
          <cell r="M51">
            <v>8.2064627650391617E-2</v>
          </cell>
          <cell r="N51">
            <v>9.752829762183933E-2</v>
          </cell>
          <cell r="O51">
            <v>0.11490467679283957</v>
          </cell>
          <cell r="P51">
            <v>0.14503009868015218</v>
          </cell>
          <cell r="Q51">
            <v>1.7302037625565898</v>
          </cell>
        </row>
        <row r="52">
          <cell r="C52">
            <v>206748</v>
          </cell>
          <cell r="Q52" t="str">
            <v>k.Wert</v>
          </cell>
        </row>
        <row r="53">
          <cell r="A53">
            <v>1630</v>
          </cell>
          <cell r="B53" t="str">
            <v>Naarn 49,85</v>
          </cell>
          <cell r="C53">
            <v>205997</v>
          </cell>
          <cell r="E53">
            <v>3.0966078519402986E-3</v>
          </cell>
          <cell r="F53">
            <v>4.2759486220483797E-3</v>
          </cell>
          <cell r="G53">
            <v>1.0067597548656717E-2</v>
          </cell>
          <cell r="H53">
            <v>9.0093542614925366E-3</v>
          </cell>
          <cell r="I53">
            <v>5.533523333731344E-3</v>
          </cell>
          <cell r="J53">
            <v>4.1410356823880605E-3</v>
          </cell>
          <cell r="K53">
            <v>3.8604629014925376E-3</v>
          </cell>
          <cell r="L53">
            <v>3.5170241007761193E-3</v>
          </cell>
          <cell r="M53">
            <v>3.1757295417313438E-3</v>
          </cell>
          <cell r="N53">
            <v>3.0832166901492539E-3</v>
          </cell>
          <cell r="O53">
            <v>3.1016993910447758E-3</v>
          </cell>
          <cell r="P53">
            <v>2.1034017327761197E-3</v>
          </cell>
          <cell r="Q53">
            <v>5.4965601658227489E-2</v>
          </cell>
        </row>
        <row r="54">
          <cell r="B54" t="str">
            <v>Naarn 13,7</v>
          </cell>
          <cell r="C54">
            <v>206029</v>
          </cell>
          <cell r="E54">
            <v>2.986379151773012E-2</v>
          </cell>
          <cell r="F54">
            <v>3.2122700317773811E-2</v>
          </cell>
          <cell r="G54">
            <v>0.11228841755988124</v>
          </cell>
          <cell r="H54">
            <v>4.4367638549653581E-2</v>
          </cell>
          <cell r="I54">
            <v>6.1053252123919509E-2</v>
          </cell>
          <cell r="J54">
            <v>3.4945121172946222E-2</v>
          </cell>
          <cell r="K54">
            <v>3.40832444900033E-2</v>
          </cell>
          <cell r="L54">
            <v>3.1121072815023427E-2</v>
          </cell>
          <cell r="M54">
            <v>1.8422505598258004E-2</v>
          </cell>
          <cell r="N54">
            <v>1.7501308356186074E-2</v>
          </cell>
          <cell r="O54">
            <v>1.7599755557241834E-2</v>
          </cell>
          <cell r="P54">
            <v>1.7693058576744306E-2</v>
          </cell>
          <cell r="Q54">
            <v>0.45106186663536141</v>
          </cell>
        </row>
        <row r="55">
          <cell r="C55">
            <v>210526</v>
          </cell>
          <cell r="Q55" t="str">
            <v>k.Wert</v>
          </cell>
        </row>
        <row r="56">
          <cell r="A56">
            <v>4000</v>
          </cell>
          <cell r="B56" t="str">
            <v>Traun obere 130,93</v>
          </cell>
          <cell r="C56">
            <v>205104</v>
          </cell>
          <cell r="E56">
            <v>4.9834728878468904E-2</v>
          </cell>
          <cell r="F56">
            <v>4.3034429641309192E-2</v>
          </cell>
          <cell r="G56">
            <v>0.10075937539736846</v>
          </cell>
          <cell r="H56">
            <v>0.1428539320894737</v>
          </cell>
          <cell r="I56">
            <v>0.2000521508361244</v>
          </cell>
          <cell r="J56">
            <v>0.14858497239760768</v>
          </cell>
          <cell r="K56">
            <v>0.14068831639521531</v>
          </cell>
          <cell r="L56">
            <v>0.11412867173942584</v>
          </cell>
          <cell r="M56">
            <v>0.10294297066507178</v>
          </cell>
          <cell r="N56">
            <v>5.2541099044019129E-2</v>
          </cell>
          <cell r="O56">
            <v>5.2512010418540679E-2</v>
          </cell>
          <cell r="P56">
            <v>3.3964412343157897E-2</v>
          </cell>
          <cell r="Q56">
            <v>1.1818970698457829</v>
          </cell>
        </row>
        <row r="57">
          <cell r="B57" t="str">
            <v>Traun obere 117,95</v>
          </cell>
          <cell r="C57">
            <v>205146</v>
          </cell>
          <cell r="E57">
            <v>5.0957962932639787E-2</v>
          </cell>
          <cell r="F57">
            <v>4.6818003446764726E-2</v>
          </cell>
          <cell r="G57">
            <v>0.11133889833511051</v>
          </cell>
          <cell r="H57">
            <v>0.15881921486215864</v>
          </cell>
          <cell r="I57">
            <v>0.35900761227308192</v>
          </cell>
          <cell r="J57">
            <v>0.38245074902145643</v>
          </cell>
          <cell r="K57">
            <v>0.21833223259037712</v>
          </cell>
          <cell r="L57">
            <v>0.14976804666054613</v>
          </cell>
          <cell r="M57">
            <v>0.14959214483875161</v>
          </cell>
          <cell r="N57">
            <v>9.3938354907542251E-2</v>
          </cell>
          <cell r="O57">
            <v>8.6537691815734716E-2</v>
          </cell>
          <cell r="P57">
            <v>5.1924040619921973E-2</v>
          </cell>
          <cell r="Q57">
            <v>1.8594849523040859</v>
          </cell>
        </row>
        <row r="58">
          <cell r="B58" t="str">
            <v>Traun obere 103,2</v>
          </cell>
          <cell r="C58">
            <v>205153</v>
          </cell>
          <cell r="E58">
            <v>0.10168462667836714</v>
          </cell>
          <cell r="F58">
            <v>8.8420458131147475E-2</v>
          </cell>
          <cell r="G58">
            <v>0.16344483794012779</v>
          </cell>
          <cell r="H58">
            <v>0.18688064075090258</v>
          </cell>
          <cell r="I58">
            <v>0.41861339863038055</v>
          </cell>
          <cell r="J58">
            <v>0.49939869946903642</v>
          </cell>
          <cell r="K58">
            <v>0.26081705048930853</v>
          </cell>
          <cell r="L58">
            <v>0.30673468670435994</v>
          </cell>
          <cell r="M58">
            <v>0.24433052628936411</v>
          </cell>
          <cell r="N58">
            <v>0.12943507605220772</v>
          </cell>
          <cell r="O58">
            <v>0.13529629519577893</v>
          </cell>
          <cell r="P58">
            <v>6.629602720968622E-2</v>
          </cell>
          <cell r="Q58">
            <v>2.6013523235406675</v>
          </cell>
        </row>
        <row r="59">
          <cell r="B59" t="str">
            <v>Traun obere 86,65</v>
          </cell>
          <cell r="C59">
            <v>206128</v>
          </cell>
          <cell r="E59">
            <v>0.36374313932625107</v>
          </cell>
          <cell r="F59">
            <v>0.2389559042136061</v>
          </cell>
          <cell r="G59">
            <v>0.46442545645093647</v>
          </cell>
          <cell r="H59">
            <v>0.36820797276348899</v>
          </cell>
          <cell r="I59">
            <v>0.52424942394464635</v>
          </cell>
          <cell r="J59">
            <v>0.52331700645792567</v>
          </cell>
          <cell r="K59">
            <v>0.44643133759994408</v>
          </cell>
          <cell r="L59">
            <v>0.4471098790383003</v>
          </cell>
          <cell r="M59">
            <v>0.31422376983925071</v>
          </cell>
          <cell r="N59">
            <v>0.2264857461671792</v>
          </cell>
          <cell r="O59">
            <v>0.17924387563041652</v>
          </cell>
          <cell r="P59">
            <v>0.23176095195079674</v>
          </cell>
          <cell r="Q59">
            <v>4.3281544633827425</v>
          </cell>
        </row>
        <row r="60">
          <cell r="A60">
            <v>4010</v>
          </cell>
          <cell r="B60" t="str">
            <v>Traun untere 71</v>
          </cell>
          <cell r="C60">
            <v>206128</v>
          </cell>
          <cell r="E60">
            <v>0.14310973331506852</v>
          </cell>
          <cell r="F60">
            <v>0.13924023006235242</v>
          </cell>
          <cell r="G60">
            <v>0.2904036410958904</v>
          </cell>
          <cell r="H60">
            <v>0.35172162123287681</v>
          </cell>
          <cell r="I60">
            <v>0.56321097267945208</v>
          </cell>
          <cell r="J60">
            <v>2.3001697721095895</v>
          </cell>
          <cell r="K60">
            <v>1.7094159367397264</v>
          </cell>
          <cell r="L60">
            <v>1.2353585303835619</v>
          </cell>
          <cell r="M60">
            <v>1.255385625928767</v>
          </cell>
          <cell r="N60">
            <v>0.54046922523287677</v>
          </cell>
          <cell r="O60">
            <v>0.36311140528767122</v>
          </cell>
          <cell r="P60">
            <v>0.16094168383561647</v>
          </cell>
          <cell r="Q60">
            <v>9.052538377903451</v>
          </cell>
        </row>
        <row r="61">
          <cell r="B61" t="str">
            <v>Traun untere 66,1</v>
          </cell>
          <cell r="C61">
            <v>206128</v>
          </cell>
          <cell r="E61">
            <v>0.3014557823131116</v>
          </cell>
          <cell r="F61">
            <v>0.21889889618632455</v>
          </cell>
          <cell r="G61">
            <v>0.35660855843164668</v>
          </cell>
          <cell r="H61">
            <v>0.3567369002935421</v>
          </cell>
          <cell r="I61">
            <v>0.68019903385965896</v>
          </cell>
          <cell r="J61">
            <v>2.2724060335034952</v>
          </cell>
          <cell r="K61">
            <v>1.7188105423209394</v>
          </cell>
          <cell r="L61">
            <v>1.3341821033961423</v>
          </cell>
          <cell r="M61">
            <v>1.1778326247854629</v>
          </cell>
          <cell r="N61">
            <v>0.57931662632708991</v>
          </cell>
          <cell r="O61">
            <v>0.45884461610204091</v>
          </cell>
          <cell r="P61">
            <v>0.16323658812412639</v>
          </cell>
          <cell r="Q61">
            <v>9.6185283056435829</v>
          </cell>
        </row>
        <row r="62">
          <cell r="B62" t="str">
            <v>Traun untere 57,4</v>
          </cell>
          <cell r="C62">
            <v>205252</v>
          </cell>
          <cell r="E62">
            <v>0.21422528121839388</v>
          </cell>
          <cell r="F62">
            <v>0.22295300536253823</v>
          </cell>
          <cell r="G62">
            <v>0.45062706198686153</v>
          </cell>
          <cell r="H62">
            <v>0.38560423948733075</v>
          </cell>
          <cell r="I62">
            <v>0.66587936010124693</v>
          </cell>
          <cell r="J62">
            <v>1.9155969249282743</v>
          </cell>
          <cell r="K62">
            <v>1.4045135147724894</v>
          </cell>
          <cell r="L62">
            <v>0.90846449475372026</v>
          </cell>
          <cell r="M62">
            <v>0.88274783404359847</v>
          </cell>
          <cell r="N62">
            <v>0.36882461027805347</v>
          </cell>
          <cell r="O62">
            <v>0.28904642477543907</v>
          </cell>
          <cell r="P62">
            <v>0.16134875968145865</v>
          </cell>
          <cell r="Q62">
            <v>7.8698315113894042</v>
          </cell>
        </row>
        <row r="63">
          <cell r="C63">
            <v>205468</v>
          </cell>
          <cell r="Q63" t="str">
            <v>k.Wert</v>
          </cell>
        </row>
        <row r="64">
          <cell r="B64" t="str">
            <v>Traun untere 42</v>
          </cell>
          <cell r="C64">
            <v>206409</v>
          </cell>
          <cell r="E64">
            <v>0.97336011591067007</v>
          </cell>
          <cell r="F64">
            <v>1.1520124199291522</v>
          </cell>
          <cell r="G64">
            <v>1.7850514853300246</v>
          </cell>
          <cell r="H64">
            <v>1.3217716038908189</v>
          </cell>
          <cell r="I64">
            <v>1.527071611712159</v>
          </cell>
          <cell r="J64">
            <v>2.7820069641290321</v>
          </cell>
          <cell r="K64">
            <v>2.5453245932307698</v>
          </cell>
          <cell r="L64">
            <v>1.6000304055186105</v>
          </cell>
          <cell r="M64">
            <v>1.3648948259493798</v>
          </cell>
          <cell r="N64">
            <v>0.78623982920099256</v>
          </cell>
          <cell r="O64">
            <v>0.75253256414888325</v>
          </cell>
          <cell r="P64">
            <v>0.44894252367245663</v>
          </cell>
          <cell r="Q64">
            <v>17.039238942622951</v>
          </cell>
        </row>
        <row r="65">
          <cell r="B65" t="str">
            <v>Traun untere 33,2</v>
          </cell>
          <cell r="C65">
            <v>206409</v>
          </cell>
          <cell r="E65">
            <v>0.85510111438914027</v>
          </cell>
          <cell r="F65">
            <v>1.0172247378498986</v>
          </cell>
          <cell r="G65">
            <v>1.902188509411765</v>
          </cell>
          <cell r="H65">
            <v>1.395711718371041</v>
          </cell>
          <cell r="I65">
            <v>1.4801348980995477</v>
          </cell>
          <cell r="J65">
            <v>2.5988381299547512</v>
          </cell>
          <cell r="K65">
            <v>2.149143537013575</v>
          </cell>
          <cell r="L65">
            <v>1.5306025846153846</v>
          </cell>
          <cell r="M65">
            <v>1.1928047958733035</v>
          </cell>
          <cell r="N65">
            <v>0.66063081502262455</v>
          </cell>
          <cell r="O65">
            <v>0.57477253520361993</v>
          </cell>
          <cell r="P65">
            <v>0.28153588561085979</v>
          </cell>
          <cell r="Q65">
            <v>15.638689261415511</v>
          </cell>
        </row>
        <row r="66">
          <cell r="B66" t="str">
            <v>Traun untere 23,5</v>
          </cell>
          <cell r="C66">
            <v>206409</v>
          </cell>
          <cell r="E66">
            <v>0.85847943237740487</v>
          </cell>
          <cell r="F66">
            <v>0.68090846097169411</v>
          </cell>
          <cell r="G66">
            <v>1.1007936791443</v>
          </cell>
          <cell r="H66">
            <v>1.3119074301554809</v>
          </cell>
          <cell r="I66">
            <v>1.2562711284874033</v>
          </cell>
          <cell r="J66">
            <v>2.3969553449070791</v>
          </cell>
          <cell r="K66">
            <v>2.188284662619997</v>
          </cell>
          <cell r="L66">
            <v>1.4386402491454093</v>
          </cell>
          <cell r="M66">
            <v>1.1012605019738315</v>
          </cell>
          <cell r="N66">
            <v>0.58884135218368117</v>
          </cell>
          <cell r="O66">
            <v>0.52923917705701362</v>
          </cell>
          <cell r="P66">
            <v>0.35410968582221569</v>
          </cell>
          <cell r="Q66">
            <v>13.805691104845511</v>
          </cell>
        </row>
        <row r="67">
          <cell r="B67" t="str">
            <v>Traun untere 12,7</v>
          </cell>
          <cell r="C67">
            <v>206409</v>
          </cell>
          <cell r="E67">
            <v>1.2053220195320977</v>
          </cell>
          <cell r="F67">
            <v>1.3774952523572115</v>
          </cell>
          <cell r="G67">
            <v>2.8235262580715226</v>
          </cell>
          <cell r="H67">
            <v>2.6496641844635822</v>
          </cell>
          <cell r="I67">
            <v>2.3084531947074587</v>
          </cell>
          <cell r="J67">
            <v>3.2796239282136916</v>
          </cell>
          <cell r="K67">
            <v>2.8050591860108018</v>
          </cell>
          <cell r="L67">
            <v>2.8140593995284777</v>
          </cell>
          <cell r="M67">
            <v>1.4904247596496396</v>
          </cell>
          <cell r="N67">
            <v>1.1959302363716831</v>
          </cell>
          <cell r="O67">
            <v>1.5239596082108893</v>
          </cell>
          <cell r="P67">
            <v>2.3675507694344184</v>
          </cell>
          <cell r="Q67">
            <v>25.841068796551479</v>
          </cell>
        </row>
        <row r="68">
          <cell r="A68">
            <v>4020</v>
          </cell>
          <cell r="B68" t="str">
            <v>Traun untere 4,7</v>
          </cell>
          <cell r="C68">
            <v>206409</v>
          </cell>
          <cell r="E68">
            <v>1.3695894073045436</v>
          </cell>
          <cell r="F68">
            <v>1.8465593336919934</v>
          </cell>
          <cell r="G68">
            <v>4.1684202794268455</v>
          </cell>
          <cell r="H68">
            <v>3.7461733715172056</v>
          </cell>
          <cell r="I68">
            <v>2.7683780337011328</v>
          </cell>
          <cell r="J68">
            <v>3.987073192649214</v>
          </cell>
          <cell r="K68">
            <v>3.1914410021590669</v>
          </cell>
          <cell r="L68">
            <v>3.1282473134505127</v>
          </cell>
          <cell r="M68">
            <v>1.8227227752819573</v>
          </cell>
          <cell r="N68">
            <v>1.4063523981232706</v>
          </cell>
          <cell r="O68">
            <v>2.1585168371714771</v>
          </cell>
          <cell r="P68">
            <v>3.3048877352237263</v>
          </cell>
          <cell r="Q68">
            <v>32.89836167970094</v>
          </cell>
        </row>
        <row r="69">
          <cell r="C69">
            <v>206102</v>
          </cell>
          <cell r="Q69" t="str">
            <v>k.Wert</v>
          </cell>
        </row>
        <row r="70">
          <cell r="B70" t="str">
            <v>Pram 39,5</v>
          </cell>
          <cell r="C70">
            <v>204784</v>
          </cell>
          <cell r="E70">
            <v>2.9109537256800003E-2</v>
          </cell>
          <cell r="F70">
            <v>3.4764580718772413E-2</v>
          </cell>
          <cell r="G70">
            <v>5.5876552855199997E-2</v>
          </cell>
          <cell r="H70">
            <v>4.0144300811999996E-2</v>
          </cell>
          <cell r="I70">
            <v>4.9143816691199993E-2</v>
          </cell>
          <cell r="J70">
            <v>5.4334140722400004E-2</v>
          </cell>
          <cell r="K70">
            <v>2.612117434080001E-2</v>
          </cell>
          <cell r="L70">
            <v>3.473957263392001E-2</v>
          </cell>
          <cell r="M70">
            <v>1.1591369328000001E-2</v>
          </cell>
          <cell r="N70">
            <v>1.4800479031799998E-2</v>
          </cell>
          <cell r="O70">
            <v>1.9458306991199995E-2</v>
          </cell>
          <cell r="P70">
            <v>2.3650979204159997E-2</v>
          </cell>
          <cell r="Q70">
            <v>0.39373481058625237</v>
          </cell>
        </row>
        <row r="71">
          <cell r="A71">
            <v>690</v>
          </cell>
          <cell r="B71" t="str">
            <v>Pram 33,6</v>
          </cell>
          <cell r="C71">
            <v>204784</v>
          </cell>
          <cell r="E71">
            <v>6.4000716187305282E-2</v>
          </cell>
          <cell r="F71">
            <v>7.8607245222903424E-2</v>
          </cell>
          <cell r="G71">
            <v>0.10939619196880161</v>
          </cell>
          <cell r="H71">
            <v>8.7100542629447053E-2</v>
          </cell>
          <cell r="I71">
            <v>0.11630182158585585</v>
          </cell>
          <cell r="J71">
            <v>0.12405414917000719</v>
          </cell>
          <cell r="K71">
            <v>6.6405406768914738E-2</v>
          </cell>
          <cell r="L71">
            <v>8.1697972289013779E-2</v>
          </cell>
          <cell r="M71">
            <v>2.64695496515234E-2</v>
          </cell>
          <cell r="N71">
            <v>3.1423230343623626E-2</v>
          </cell>
          <cell r="O71">
            <v>4.2661876764846944E-2</v>
          </cell>
          <cell r="P71">
            <v>5.7669172520388765E-2</v>
          </cell>
          <cell r="Q71">
            <v>0.88578787510263146</v>
          </cell>
        </row>
        <row r="72">
          <cell r="C72">
            <v>206326</v>
          </cell>
          <cell r="Q72" t="str">
            <v>k.Wert</v>
          </cell>
        </row>
        <row r="73">
          <cell r="A73">
            <v>700</v>
          </cell>
          <cell r="B73" t="str">
            <v>Pram 15,9</v>
          </cell>
          <cell r="C73">
            <v>204867</v>
          </cell>
          <cell r="E73">
            <v>0.22275011215019069</v>
          </cell>
          <cell r="F73">
            <v>0.2574747401964374</v>
          </cell>
          <cell r="G73">
            <v>0.3993930455148138</v>
          </cell>
          <cell r="H73">
            <v>0.21127931841595779</v>
          </cell>
          <cell r="I73">
            <v>0.24239271622176595</v>
          </cell>
          <cell r="J73">
            <v>0.31266749315341746</v>
          </cell>
          <cell r="K73">
            <v>0.14299983023760635</v>
          </cell>
          <cell r="L73">
            <v>0.19694106085115867</v>
          </cell>
          <cell r="M73">
            <v>0.10281977002053388</v>
          </cell>
          <cell r="N73">
            <v>0.1101512750953359</v>
          </cell>
          <cell r="O73">
            <v>0.15660402473452628</v>
          </cell>
          <cell r="P73">
            <v>0.18708770416192433</v>
          </cell>
          <cell r="Q73">
            <v>2.5425610907536682</v>
          </cell>
        </row>
      </sheetData>
      <sheetData sheetId="4"/>
      <sheetData sheetId="5"/>
      <sheetData sheetId="6"/>
      <sheetData sheetId="7"/>
      <sheetData sheetId="8">
        <row r="2">
          <cell r="B2" t="str">
            <v>Ager 32,9</v>
          </cell>
          <cell r="C2">
            <v>205369</v>
          </cell>
          <cell r="E2">
            <v>0.19809777047222821</v>
          </cell>
          <cell r="F2">
            <v>0.18920871953902696</v>
          </cell>
          <cell r="G2">
            <v>0.30529819995710922</v>
          </cell>
          <cell r="H2">
            <v>0.30712691148187865</v>
          </cell>
          <cell r="I2">
            <v>0.25090423136693119</v>
          </cell>
          <cell r="J2">
            <v>0.5248538066377868</v>
          </cell>
          <cell r="K2">
            <v>0.37588789628994207</v>
          </cell>
          <cell r="L2">
            <v>0.7126280532162127</v>
          </cell>
          <cell r="M2">
            <v>0.42204586350418188</v>
          </cell>
          <cell r="N2">
            <v>0.36004502756165563</v>
          </cell>
          <cell r="O2">
            <v>0.43607791416684538</v>
          </cell>
          <cell r="P2">
            <v>0.18188951730817074</v>
          </cell>
          <cell r="Q2">
            <v>4.2640639115019692</v>
          </cell>
        </row>
        <row r="3">
          <cell r="A3">
            <v>1280</v>
          </cell>
          <cell r="B3" t="str">
            <v>Ager 31,2</v>
          </cell>
          <cell r="C3">
            <v>205369</v>
          </cell>
          <cell r="E3">
            <v>2.493123493399938</v>
          </cell>
          <cell r="F3">
            <v>3.2295938095668806</v>
          </cell>
          <cell r="G3">
            <v>4.6568660864179785</v>
          </cell>
          <cell r="H3">
            <v>3.504791940112757</v>
          </cell>
          <cell r="I3">
            <v>4.7940788871612634</v>
          </cell>
          <cell r="J3">
            <v>1.4686546522979473</v>
          </cell>
          <cell r="K3">
            <v>1.2293441173375996</v>
          </cell>
          <cell r="L3">
            <v>1.8454158070518656</v>
          </cell>
          <cell r="M3">
            <v>1.7903932094577961</v>
          </cell>
          <cell r="N3">
            <v>2.0317848505751988</v>
          </cell>
          <cell r="O3">
            <v>5.1360540417740266</v>
          </cell>
          <cell r="P3">
            <v>2.9083928423153211</v>
          </cell>
          <cell r="Q3">
            <v>35.088493737468575</v>
          </cell>
        </row>
        <row r="4">
          <cell r="B4" t="str">
            <v>Ager 25,16</v>
          </cell>
          <cell r="C4">
            <v>205369</v>
          </cell>
          <cell r="E4">
            <v>1.7803500791593396</v>
          </cell>
          <cell r="F4">
            <v>2.3727798894682279</v>
          </cell>
          <cell r="G4">
            <v>2.5891920537336479</v>
          </cell>
          <cell r="H4">
            <v>1.7788257102294665</v>
          </cell>
          <cell r="I4">
            <v>1.1492091482907998</v>
          </cell>
          <cell r="J4">
            <v>2.2212342629208668</v>
          </cell>
          <cell r="K4">
            <v>0.89045941958395891</v>
          </cell>
          <cell r="L4">
            <v>1.5770844627818998</v>
          </cell>
          <cell r="M4">
            <v>1.1486507503066696</v>
          </cell>
          <cell r="N4">
            <v>0.65783350584602185</v>
          </cell>
          <cell r="O4">
            <v>1.9436325577353635</v>
          </cell>
          <cell r="P4">
            <v>2.2384286992665667</v>
          </cell>
          <cell r="Q4">
            <v>20.347680539322827</v>
          </cell>
        </row>
        <row r="5">
          <cell r="B5" t="str">
            <v>Ager 21,3</v>
          </cell>
          <cell r="C5">
            <v>205369</v>
          </cell>
          <cell r="E5">
            <v>1.1587412236740298</v>
          </cell>
          <cell r="F5">
            <v>1.5131485175037531</v>
          </cell>
          <cell r="G5">
            <v>1.4696128161990138</v>
          </cell>
          <cell r="H5">
            <v>1.0606124221917221</v>
          </cell>
          <cell r="I5">
            <v>0.74659377663306892</v>
          </cell>
          <cell r="J5">
            <v>1.8673049590872832</v>
          </cell>
          <cell r="K5">
            <v>0.83971923442247476</v>
          </cell>
          <cell r="L5">
            <v>1.0669532827120738</v>
          </cell>
          <cell r="M5">
            <v>0.84003594569247275</v>
          </cell>
          <cell r="N5">
            <v>0.42866195309285876</v>
          </cell>
          <cell r="O5">
            <v>1.6413420764211883</v>
          </cell>
          <cell r="P5">
            <v>0.70505946601415403</v>
          </cell>
          <cell r="Q5">
            <v>13.33778567364409</v>
          </cell>
        </row>
        <row r="6">
          <cell r="B6" t="str">
            <v>Ager 17,2</v>
          </cell>
          <cell r="C6">
            <v>205427</v>
          </cell>
          <cell r="E6">
            <v>2.4276238990377932</v>
          </cell>
          <cell r="F6">
            <v>2.3791465532519935</v>
          </cell>
          <cell r="G6">
            <v>2.0885280665248973</v>
          </cell>
          <cell r="H6">
            <v>1.6271009494052004</v>
          </cell>
          <cell r="I6">
            <v>1.2363114049899988</v>
          </cell>
          <cell r="J6">
            <v>2.3934583274534167</v>
          </cell>
          <cell r="K6">
            <v>1.2355655266785979</v>
          </cell>
          <cell r="L6">
            <v>0.91690458743699355</v>
          </cell>
          <cell r="M6">
            <v>0.9778573285524792</v>
          </cell>
          <cell r="N6">
            <v>0.48579488913780394</v>
          </cell>
          <cell r="O6">
            <v>1.798754342545531</v>
          </cell>
          <cell r="P6">
            <v>0.66833593316349094</v>
          </cell>
          <cell r="Q6">
            <v>18.235381808178197</v>
          </cell>
        </row>
        <row r="7">
          <cell r="B7" t="str">
            <v>Ager 8,1</v>
          </cell>
          <cell r="C7">
            <v>205450</v>
          </cell>
          <cell r="E7">
            <v>2.3288988451110586</v>
          </cell>
          <cell r="F7">
            <v>2.3881632143014095</v>
          </cell>
          <cell r="G7">
            <v>2.1722851960640077</v>
          </cell>
          <cell r="H7">
            <v>1.4945499648435636</v>
          </cell>
          <cell r="I7">
            <v>0.90689304005732041</v>
          </cell>
          <cell r="J7">
            <v>2.5666517577549559</v>
          </cell>
          <cell r="K7">
            <v>1.2685280706950084</v>
          </cell>
          <cell r="L7">
            <v>1.0395051399092432</v>
          </cell>
          <cell r="M7">
            <v>0.82299889226653944</v>
          </cell>
          <cell r="N7">
            <v>0.51843076505373775</v>
          </cell>
          <cell r="O7">
            <v>1.4827009280534991</v>
          </cell>
          <cell r="P7">
            <v>0.61087618128492971</v>
          </cell>
          <cell r="Q7">
            <v>17.600481995395278</v>
          </cell>
        </row>
        <row r="8">
          <cell r="A8">
            <v>1290</v>
          </cell>
          <cell r="B8" t="str">
            <v>Ager 1,57</v>
          </cell>
          <cell r="C8">
            <v>205450</v>
          </cell>
          <cell r="E8">
            <v>2.5797898617434916</v>
          </cell>
          <cell r="F8">
            <v>2.475458844069081</v>
          </cell>
          <cell r="G8">
            <v>1.8346389940482446</v>
          </cell>
          <cell r="H8">
            <v>1.5956152969668025</v>
          </cell>
          <cell r="I8">
            <v>1.0363309495486028</v>
          </cell>
          <cell r="J8">
            <v>2.6569012478433245</v>
          </cell>
          <cell r="K8">
            <v>1.3718662782803916</v>
          </cell>
          <cell r="L8">
            <v>1.3157880847308339</v>
          </cell>
          <cell r="M8">
            <v>0.87865220486267015</v>
          </cell>
          <cell r="N8">
            <v>0.74614085981370903</v>
          </cell>
          <cell r="O8">
            <v>1.7945209134368281</v>
          </cell>
          <cell r="P8">
            <v>0.58202896634344403</v>
          </cell>
          <cell r="Q8">
            <v>18.867732501687421</v>
          </cell>
        </row>
        <row r="9">
          <cell r="A9">
            <v>1600</v>
          </cell>
          <cell r="B9" t="str">
            <v>Aist 6</v>
          </cell>
          <cell r="C9">
            <v>205989</v>
          </cell>
          <cell r="E9">
            <v>1.9376019603173598</v>
          </cell>
          <cell r="F9">
            <v>0.92037782544403646</v>
          </cell>
          <cell r="G9">
            <v>1.8810528373547066</v>
          </cell>
          <cell r="H9">
            <v>0.71292204236328249</v>
          </cell>
          <cell r="I9">
            <v>0.33356490342574596</v>
          </cell>
          <cell r="J9">
            <v>0.50290112907329443</v>
          </cell>
          <cell r="K9">
            <v>0.6761719235333673</v>
          </cell>
          <cell r="L9">
            <v>0.7305032608217007</v>
          </cell>
          <cell r="M9">
            <v>0.31884929873175943</v>
          </cell>
          <cell r="N9">
            <v>0.3997896523794226</v>
          </cell>
          <cell r="O9">
            <v>0.2607759608851668</v>
          </cell>
          <cell r="P9">
            <v>0.6852135758223471</v>
          </cell>
          <cell r="Q9">
            <v>9.3597243701521897</v>
          </cell>
        </row>
        <row r="10">
          <cell r="C10">
            <v>206508</v>
          </cell>
          <cell r="Q10" t="str">
            <v>k.Wert</v>
          </cell>
        </row>
        <row r="11">
          <cell r="A11">
            <v>1300</v>
          </cell>
          <cell r="B11" t="str">
            <v>Alm 33,3</v>
          </cell>
          <cell r="C11">
            <v>205500</v>
          </cell>
          <cell r="E11">
            <v>9.3294040758049687E-2</v>
          </cell>
          <cell r="F11">
            <v>0.16389175151920818</v>
          </cell>
          <cell r="G11">
            <v>0.24223225324747008</v>
          </cell>
          <cell r="H11">
            <v>0.20996598802575903</v>
          </cell>
          <cell r="I11">
            <v>0.19548024797056118</v>
          </cell>
          <cell r="J11">
            <v>0.19762890261637536</v>
          </cell>
          <cell r="K11">
            <v>0.199583362399264</v>
          </cell>
          <cell r="L11">
            <v>0.18039397254093839</v>
          </cell>
          <cell r="M11">
            <v>0.12167749664765409</v>
          </cell>
          <cell r="N11">
            <v>9.4269910741490326E-2</v>
          </cell>
          <cell r="O11">
            <v>9.0350111911683559E-2</v>
          </cell>
          <cell r="P11">
            <v>6.6191890189512423E-2</v>
          </cell>
          <cell r="Q11">
            <v>1.8549599285679665</v>
          </cell>
        </row>
        <row r="12">
          <cell r="B12" t="str">
            <v>Alm 22,26</v>
          </cell>
          <cell r="C12">
            <v>205500</v>
          </cell>
          <cell r="E12">
            <v>0.12348197325482979</v>
          </cell>
          <cell r="F12">
            <v>0.13952450887453602</v>
          </cell>
          <cell r="G12">
            <v>0.33961934510395581</v>
          </cell>
          <cell r="H12">
            <v>0.21823466753265866</v>
          </cell>
          <cell r="I12">
            <v>0.41524006609015635</v>
          </cell>
          <cell r="J12">
            <v>0.22264093240846364</v>
          </cell>
          <cell r="K12">
            <v>0.63632080634406596</v>
          </cell>
          <cell r="L12">
            <v>0.22711141931481144</v>
          </cell>
          <cell r="M12">
            <v>0.1930318404121435</v>
          </cell>
          <cell r="N12">
            <v>0.12477361364489416</v>
          </cell>
          <cell r="O12">
            <v>0.11958545274701014</v>
          </cell>
          <cell r="P12">
            <v>8.7610153313707431E-2</v>
          </cell>
          <cell r="Q12">
            <v>2.8471747790412327</v>
          </cell>
        </row>
        <row r="13">
          <cell r="B13" t="str">
            <v>Alm 10,5</v>
          </cell>
          <cell r="C13">
            <v>205500</v>
          </cell>
          <cell r="E13">
            <v>0.17169169086292546</v>
          </cell>
          <cell r="F13">
            <v>0.16741260345728515</v>
          </cell>
          <cell r="G13">
            <v>0.37949920554921807</v>
          </cell>
          <cell r="H13">
            <v>0.49537095450965962</v>
          </cell>
          <cell r="I13">
            <v>0.32988012434958597</v>
          </cell>
          <cell r="J13">
            <v>0.37096033474885015</v>
          </cell>
          <cell r="K13">
            <v>0.49570731638638438</v>
          </cell>
          <cell r="L13">
            <v>0.37184156352529901</v>
          </cell>
          <cell r="M13">
            <v>0.18673631178656849</v>
          </cell>
          <cell r="N13">
            <v>0.15316936351793928</v>
          </cell>
          <cell r="O13">
            <v>0.1306862275473781</v>
          </cell>
          <cell r="P13">
            <v>9.5742752721251143E-2</v>
          </cell>
          <cell r="Q13">
            <v>3.3486984489623448</v>
          </cell>
        </row>
        <row r="14">
          <cell r="A14">
            <v>1310</v>
          </cell>
          <cell r="B14" t="str">
            <v>Alm 4,75</v>
          </cell>
          <cell r="C14">
            <v>205518</v>
          </cell>
          <cell r="E14">
            <v>0.43501395170974849</v>
          </cell>
          <cell r="F14">
            <v>0.40952837125721447</v>
          </cell>
          <cell r="G14">
            <v>0.61504028868024219</v>
          </cell>
          <cell r="H14">
            <v>0.71974242184056048</v>
          </cell>
          <cell r="I14">
            <v>0.3901487421806849</v>
          </cell>
          <cell r="J14">
            <v>0.58233797302904611</v>
          </cell>
          <cell r="K14">
            <v>0.61774924334954606</v>
          </cell>
          <cell r="L14">
            <v>0.54337092060927583</v>
          </cell>
          <cell r="M14">
            <v>0.29676795291629693</v>
          </cell>
          <cell r="N14">
            <v>0.20028077655022866</v>
          </cell>
          <cell r="O14">
            <v>0.20254804941521612</v>
          </cell>
          <cell r="P14">
            <v>0.12728230349090611</v>
          </cell>
          <cell r="Q14">
            <v>5.1398109950289665</v>
          </cell>
        </row>
        <row r="15">
          <cell r="B15" t="str">
            <v>Antiesen 23,5</v>
          </cell>
          <cell r="C15">
            <v>206805</v>
          </cell>
          <cell r="E15">
            <v>0.14469850385611513</v>
          </cell>
          <cell r="F15">
            <v>7.9458725587695372E-2</v>
          </cell>
          <cell r="G15">
            <v>0.16682223641438851</v>
          </cell>
          <cell r="H15">
            <v>2.8335703130935253E-2</v>
          </cell>
          <cell r="I15">
            <v>6.7150800725179857E-2</v>
          </cell>
          <cell r="J15">
            <v>6.5706729461870492E-2</v>
          </cell>
          <cell r="K15">
            <v>3.4259270141007186E-2</v>
          </cell>
          <cell r="L15">
            <v>1.5453049498705036E-2</v>
          </cell>
          <cell r="M15">
            <v>4.1629953185611503E-2</v>
          </cell>
          <cell r="N15">
            <v>2.3369716670503599E-2</v>
          </cell>
          <cell r="O15">
            <v>8.3922108707913667E-2</v>
          </cell>
          <cell r="P15">
            <v>8.8974481700719435E-2</v>
          </cell>
          <cell r="Q15">
            <v>0.83978127908064493</v>
          </cell>
        </row>
        <row r="16">
          <cell r="A16">
            <v>670</v>
          </cell>
          <cell r="B16" t="str">
            <v>Antiesen 21,7</v>
          </cell>
          <cell r="C16">
            <v>204750</v>
          </cell>
          <cell r="E16">
            <v>0.76571645510248654</v>
          </cell>
          <cell r="F16">
            <v>0.80240305786763144</v>
          </cell>
          <cell r="G16">
            <v>0.99808598506246204</v>
          </cell>
          <cell r="H16">
            <v>0.47708477146391759</v>
          </cell>
          <cell r="I16">
            <v>0.40126216990661007</v>
          </cell>
          <cell r="J16">
            <v>0.80065052335233489</v>
          </cell>
          <cell r="K16">
            <v>0.65468709854699825</v>
          </cell>
          <cell r="L16">
            <v>0.18651918375354759</v>
          </cell>
          <cell r="M16">
            <v>0.34500098149084285</v>
          </cell>
          <cell r="N16">
            <v>0.47936194712819891</v>
          </cell>
          <cell r="O16">
            <v>0.57977039615184955</v>
          </cell>
          <cell r="P16">
            <v>0.33518896420715583</v>
          </cell>
          <cell r="Q16">
            <v>6.825731534034035</v>
          </cell>
        </row>
        <row r="17">
          <cell r="B17" t="str">
            <v>Antiesen 16,8</v>
          </cell>
          <cell r="C17">
            <v>204750</v>
          </cell>
          <cell r="E17">
            <v>0.6214079701113403</v>
          </cell>
          <cell r="F17">
            <v>0.6783228538528262</v>
          </cell>
          <cell r="G17">
            <v>0.97797712527835046</v>
          </cell>
          <cell r="H17">
            <v>0.18811736610309282</v>
          </cell>
          <cell r="I17">
            <v>0.33970487455670106</v>
          </cell>
          <cell r="J17">
            <v>0.46976424643298964</v>
          </cell>
          <cell r="K17">
            <v>0.30836589060618552</v>
          </cell>
          <cell r="L17">
            <v>0.13747771649319587</v>
          </cell>
          <cell r="M17">
            <v>0.21589758215257729</v>
          </cell>
          <cell r="N17">
            <v>0.17285045114226805</v>
          </cell>
          <cell r="O17">
            <v>0.2604125830268042</v>
          </cell>
          <cell r="P17">
            <v>0.33839916123711333</v>
          </cell>
          <cell r="Q17">
            <v>4.7086978209934447</v>
          </cell>
        </row>
        <row r="18">
          <cell r="B18" t="str">
            <v>Faule Aschach 0,88</v>
          </cell>
          <cell r="C18">
            <v>206151</v>
          </cell>
          <cell r="E18">
            <v>0.36437084827826088</v>
          </cell>
          <cell r="F18">
            <v>0.41804762648275862</v>
          </cell>
          <cell r="G18">
            <v>0.607459049321739</v>
          </cell>
          <cell r="H18">
            <v>0.1536360365217391</v>
          </cell>
          <cell r="I18">
            <v>7.287953279999998E-2</v>
          </cell>
          <cell r="J18">
            <v>9.4465157426086951E-2</v>
          </cell>
          <cell r="K18">
            <v>3.8371971756521732E-2</v>
          </cell>
          <cell r="L18">
            <v>8.9772671332173898E-2</v>
          </cell>
          <cell r="M18">
            <v>7.9033298921739117E-2</v>
          </cell>
          <cell r="N18">
            <v>8.7626264347826069E-2</v>
          </cell>
          <cell r="O18">
            <v>9.9422640313043445E-2</v>
          </cell>
          <cell r="P18">
            <v>0.18414267714782609</v>
          </cell>
          <cell r="Q18">
            <v>2.2892277746497149</v>
          </cell>
        </row>
        <row r="19">
          <cell r="B19" t="str">
            <v>D. Aschach 9,5</v>
          </cell>
          <cell r="C19">
            <v>205407</v>
          </cell>
          <cell r="E19">
            <v>0.25333550472727273</v>
          </cell>
          <cell r="F19">
            <v>0.31807404635987463</v>
          </cell>
          <cell r="G19">
            <v>0.40205729035151516</v>
          </cell>
          <cell r="H19">
            <v>0.18102656945454543</v>
          </cell>
          <cell r="I19">
            <v>4.4735037915151515E-2</v>
          </cell>
          <cell r="J19">
            <v>7.3428876993939407E-2</v>
          </cell>
          <cell r="K19">
            <v>7.109471612121214E-2</v>
          </cell>
          <cell r="L19">
            <v>7.5884777570909084E-2</v>
          </cell>
          <cell r="M19">
            <v>3.2648360181818187E-2</v>
          </cell>
          <cell r="N19">
            <v>7.6937798206060601E-2</v>
          </cell>
          <cell r="O19">
            <v>0.11794550111515151</v>
          </cell>
          <cell r="P19">
            <v>0.28057138042181817</v>
          </cell>
          <cell r="Q19">
            <v>1.9277398594192683</v>
          </cell>
        </row>
        <row r="20">
          <cell r="C20">
            <v>206169</v>
          </cell>
          <cell r="Q20" t="str">
            <v>k.Wert</v>
          </cell>
        </row>
        <row r="21">
          <cell r="A21">
            <v>1150</v>
          </cell>
          <cell r="B21" t="str">
            <v>Aschach 18,7</v>
          </cell>
          <cell r="C21">
            <v>205054</v>
          </cell>
          <cell r="E21">
            <v>4.9072556639231264</v>
          </cell>
          <cell r="F21">
            <v>2.845903870612561</v>
          </cell>
          <cell r="G21">
            <v>4.305462161788598</v>
          </cell>
          <cell r="H21">
            <v>0.74498574047661759</v>
          </cell>
          <cell r="I21">
            <v>0.83888549864855866</v>
          </cell>
          <cell r="J21">
            <v>0.77098959900576558</v>
          </cell>
          <cell r="K21">
            <v>0.19889477440973735</v>
          </cell>
          <cell r="L21">
            <v>0.64138826331859078</v>
          </cell>
          <cell r="M21">
            <v>0.40709154658347219</v>
          </cell>
          <cell r="N21">
            <v>0.52093750924689319</v>
          </cell>
          <cell r="O21">
            <v>0.67068540147597699</v>
          </cell>
          <cell r="P21">
            <v>1.410128711819193</v>
          </cell>
          <cell r="Q21">
            <v>18.262608741309094</v>
          </cell>
        </row>
        <row r="22">
          <cell r="A22">
            <v>1160</v>
          </cell>
          <cell r="B22" t="str">
            <v>Aschach 5,4</v>
          </cell>
          <cell r="C22">
            <v>205054</v>
          </cell>
          <cell r="E22">
            <v>2.9196867634362587</v>
          </cell>
          <cell r="F22">
            <v>2.4380647824061499</v>
          </cell>
          <cell r="G22">
            <v>3.5237088896194746</v>
          </cell>
          <cell r="H22">
            <v>0.62680384207303008</v>
          </cell>
          <cell r="I22">
            <v>1.1541344474859707</v>
          </cell>
          <cell r="J22">
            <v>0.63366496606585521</v>
          </cell>
          <cell r="K22">
            <v>0.21322078161716848</v>
          </cell>
          <cell r="L22">
            <v>0.35835423300345931</v>
          </cell>
          <cell r="M22">
            <v>0.29573250266905832</v>
          </cell>
          <cell r="N22">
            <v>0.21927705765278671</v>
          </cell>
          <cell r="O22">
            <v>0.48850482432799486</v>
          </cell>
          <cell r="P22">
            <v>0.979006443906419</v>
          </cell>
          <cell r="Q22">
            <v>13.850159534263625</v>
          </cell>
        </row>
        <row r="23">
          <cell r="B23" t="str">
            <v>Enns 33,8</v>
          </cell>
          <cell r="C23">
            <v>205757</v>
          </cell>
          <cell r="E23">
            <v>6.5965942803386639</v>
          </cell>
          <cell r="F23">
            <v>4.4687831687368833</v>
          </cell>
          <cell r="G23">
            <v>5.5594426753043367</v>
          </cell>
          <cell r="H23">
            <v>7.6507466008014253</v>
          </cell>
          <cell r="I23">
            <v>9.3208833530153523</v>
          </cell>
          <cell r="J23">
            <v>8.5863257688645156</v>
          </cell>
          <cell r="K23">
            <v>6.8401320480086474</v>
          </cell>
          <cell r="L23">
            <v>4.2203477118229014</v>
          </cell>
          <cell r="M23">
            <v>3.86999478020536</v>
          </cell>
          <cell r="N23">
            <v>3.1289017813174276</v>
          </cell>
          <cell r="O23">
            <v>3.0706444609627503</v>
          </cell>
          <cell r="P23">
            <v>2.4032008357502854</v>
          </cell>
          <cell r="Q23">
            <v>65.715997465128552</v>
          </cell>
        </row>
        <row r="24">
          <cell r="B24" t="str">
            <v>Enns 17,8</v>
          </cell>
          <cell r="C24">
            <v>205922</v>
          </cell>
          <cell r="E24">
            <v>7.8611328438178321</v>
          </cell>
          <cell r="F24">
            <v>5.4066667958182792</v>
          </cell>
          <cell r="G24">
            <v>8.0528753157115336</v>
          </cell>
          <cell r="H24">
            <v>11.548914101633025</v>
          </cell>
          <cell r="I24">
            <v>10.789076528654023</v>
          </cell>
          <cell r="J24">
            <v>11.055682595151639</v>
          </cell>
          <cell r="K24">
            <v>10.974920701247592</v>
          </cell>
          <cell r="L24">
            <v>6.1875201659884365</v>
          </cell>
          <cell r="M24">
            <v>8.0773719883963881</v>
          </cell>
          <cell r="N24">
            <v>5.3339943888832551</v>
          </cell>
          <cell r="O24">
            <v>5.9430029732832956</v>
          </cell>
          <cell r="P24">
            <v>2.8035725718227003</v>
          </cell>
          <cell r="Q24">
            <v>94.034730970408006</v>
          </cell>
        </row>
        <row r="25">
          <cell r="B25" t="str">
            <v>Enns 8,2</v>
          </cell>
          <cell r="C25">
            <v>205922</v>
          </cell>
          <cell r="E25">
            <v>9.4044202884349328</v>
          </cell>
          <cell r="F25">
            <v>11.089125700810392</v>
          </cell>
          <cell r="G25">
            <v>14.927616970601482</v>
          </cell>
          <cell r="H25">
            <v>15.709021374175881</v>
          </cell>
          <cell r="I25">
            <v>20.27408716230855</v>
          </cell>
          <cell r="J25">
            <v>17.784216119671367</v>
          </cell>
          <cell r="K25">
            <v>17.781009745657776</v>
          </cell>
          <cell r="L25">
            <v>14.89224071441566</v>
          </cell>
          <cell r="M25">
            <v>15.330868256890154</v>
          </cell>
          <cell r="N25">
            <v>9.9790467375190186</v>
          </cell>
          <cell r="O25">
            <v>8.8567937198377109</v>
          </cell>
          <cell r="P25">
            <v>6.8013384447063601</v>
          </cell>
          <cell r="Q25">
            <v>162.82978523502925</v>
          </cell>
        </row>
        <row r="26">
          <cell r="A26">
            <v>4080</v>
          </cell>
          <cell r="B26" t="str">
            <v>Enns 2,7</v>
          </cell>
          <cell r="C26">
            <v>205922</v>
          </cell>
          <cell r="E26">
            <v>7.7747487516867855</v>
          </cell>
          <cell r="F26">
            <v>8.230860783884216</v>
          </cell>
          <cell r="G26">
            <v>10.984804318235115</v>
          </cell>
          <cell r="H26">
            <v>11.251671161699969</v>
          </cell>
          <cell r="I26">
            <v>10.451823429171316</v>
          </cell>
          <cell r="J26">
            <v>10.555414319817427</v>
          </cell>
          <cell r="K26">
            <v>6.5762428865605029</v>
          </cell>
          <cell r="L26">
            <v>8.6695213429581095</v>
          </cell>
          <cell r="M26">
            <v>9.4865151539385337</v>
          </cell>
          <cell r="N26">
            <v>9.3959579988923814</v>
          </cell>
          <cell r="O26">
            <v>6.9185408142265956</v>
          </cell>
          <cell r="P26">
            <v>4.3255433258444063</v>
          </cell>
          <cell r="Q26">
            <v>104.62164428691536</v>
          </cell>
        </row>
        <row r="27">
          <cell r="A27">
            <v>1570</v>
          </cell>
          <cell r="B27" t="str">
            <v>Feldaist 31</v>
          </cell>
          <cell r="C27">
            <v>205948</v>
          </cell>
          <cell r="E27">
            <v>6.2992023278873224E-2</v>
          </cell>
          <cell r="F27">
            <v>5.4911379737736764E-2</v>
          </cell>
          <cell r="G27">
            <v>0.12623530823661971</v>
          </cell>
          <cell r="H27">
            <v>6.4447856585915467E-2</v>
          </cell>
          <cell r="I27">
            <v>2.6201943346478868E-2</v>
          </cell>
          <cell r="J27">
            <v>5.3326925904225352E-2</v>
          </cell>
          <cell r="K27">
            <v>2.7736364146478881E-2</v>
          </cell>
          <cell r="L27">
            <v>0.33276622314366194</v>
          </cell>
          <cell r="M27">
            <v>2.2744202805633801E-2</v>
          </cell>
          <cell r="N27">
            <v>1.5180847887323941E-2</v>
          </cell>
          <cell r="O27">
            <v>1.917396572394366E-2</v>
          </cell>
          <cell r="P27">
            <v>2.330066774535211E-2</v>
          </cell>
          <cell r="Q27">
            <v>0.82901770854224388</v>
          </cell>
        </row>
        <row r="28">
          <cell r="B28" t="str">
            <v>Feldaist 29,2</v>
          </cell>
          <cell r="C28">
            <v>205948</v>
          </cell>
          <cell r="E28">
            <v>0.40050842014647886</v>
          </cell>
          <cell r="F28">
            <v>0.60504842393239444</v>
          </cell>
          <cell r="G28">
            <v>0.47687259711549296</v>
          </cell>
          <cell r="H28">
            <v>0.52737007132394353</v>
          </cell>
          <cell r="I28">
            <v>9.9004108056338025E-2</v>
          </cell>
          <cell r="J28">
            <v>0.20814233293521131</v>
          </cell>
          <cell r="K28">
            <v>0.33794004736901417</v>
          </cell>
          <cell r="L28">
            <v>0.39953047152676052</v>
          </cell>
          <cell r="M28">
            <v>0.17979703889577461</v>
          </cell>
          <cell r="N28">
            <v>5.7802803921126765E-2</v>
          </cell>
          <cell r="O28">
            <v>0.19730438366197181</v>
          </cell>
          <cell r="P28">
            <v>0.13298914538366197</v>
          </cell>
          <cell r="Q28">
            <v>3.6223098442681692</v>
          </cell>
        </row>
        <row r="29">
          <cell r="B29" t="str">
            <v>Feldaist 17,45</v>
          </cell>
          <cell r="C29">
            <v>206581</v>
          </cell>
          <cell r="E29">
            <v>0.95470645878646943</v>
          </cell>
          <cell r="F29">
            <v>0.69475425701191229</v>
          </cell>
          <cell r="G29">
            <v>0.62106779686680758</v>
          </cell>
          <cell r="H29">
            <v>0.2965317357995772</v>
          </cell>
          <cell r="I29">
            <v>0.14494277775348838</v>
          </cell>
          <cell r="J29">
            <v>0.20877989805285413</v>
          </cell>
          <cell r="K29">
            <v>0.32266041879196616</v>
          </cell>
          <cell r="L29">
            <v>0.82305278603847765</v>
          </cell>
          <cell r="M29">
            <v>9.3231578100634246E-2</v>
          </cell>
          <cell r="N29">
            <v>6.925076381797042E-2</v>
          </cell>
          <cell r="O29">
            <v>0.24313187552156448</v>
          </cell>
          <cell r="P29">
            <v>0.17946383118393236</v>
          </cell>
          <cell r="Q29">
            <v>4.6515741777256538</v>
          </cell>
        </row>
        <row r="30">
          <cell r="C30">
            <v>206680</v>
          </cell>
          <cell r="Q30" t="str">
            <v>k.Wert</v>
          </cell>
        </row>
        <row r="31">
          <cell r="A31">
            <v>1590</v>
          </cell>
          <cell r="B31" t="str">
            <v>Waldaist 2,4</v>
          </cell>
          <cell r="C31">
            <v>205971</v>
          </cell>
          <cell r="E31">
            <v>0.20647145576405193</v>
          </cell>
          <cell r="F31">
            <v>0.12777866220603057</v>
          </cell>
          <cell r="G31">
            <v>0.29770199089630101</v>
          </cell>
          <cell r="H31">
            <v>0.24827497255039491</v>
          </cell>
          <cell r="I31">
            <v>0.10035759559178098</v>
          </cell>
          <cell r="J31">
            <v>0.11190141709534916</v>
          </cell>
          <cell r="K31">
            <v>0.11707892598353135</v>
          </cell>
          <cell r="L31">
            <v>0.13085060963380477</v>
          </cell>
          <cell r="M31">
            <v>5.5907509850345545E-2</v>
          </cell>
          <cell r="N31">
            <v>3.2912446383598061E-2</v>
          </cell>
          <cell r="O31">
            <v>8.310708115774966E-2</v>
          </cell>
          <cell r="P31">
            <v>7.914025773974695E-2</v>
          </cell>
          <cell r="Q31">
            <v>1.5914829248526849</v>
          </cell>
        </row>
        <row r="32">
          <cell r="B32" t="str">
            <v>Große Mühl 52,1</v>
          </cell>
          <cell r="C32">
            <v>204891</v>
          </cell>
          <cell r="E32">
            <v>0.50327723461747575</v>
          </cell>
          <cell r="F32">
            <v>0.3897364021538669</v>
          </cell>
          <cell r="G32">
            <v>0.4523111090796117</v>
          </cell>
          <cell r="H32">
            <v>0.33390437895145636</v>
          </cell>
          <cell r="I32">
            <v>6.5218201019417485E-2</v>
          </cell>
          <cell r="J32">
            <v>9.7911131685436914E-2</v>
          </cell>
          <cell r="K32">
            <v>6.9384384833009724E-2</v>
          </cell>
          <cell r="L32">
            <v>5.888744962252429E-2</v>
          </cell>
          <cell r="M32">
            <v>5.5611923411650499E-2</v>
          </cell>
          <cell r="N32">
            <v>6.9410301902912627E-2</v>
          </cell>
          <cell r="O32">
            <v>0.21672731593398062</v>
          </cell>
          <cell r="P32">
            <v>0.17768161918834957</v>
          </cell>
          <cell r="Q32">
            <v>2.4900614523996922</v>
          </cell>
        </row>
        <row r="33">
          <cell r="A33">
            <v>1140</v>
          </cell>
          <cell r="B33" t="str">
            <v>Große Mühl 30,9</v>
          </cell>
          <cell r="C33">
            <v>204917</v>
          </cell>
          <cell r="E33">
            <v>0.44448488737751624</v>
          </cell>
          <cell r="F33">
            <v>0.5040840871191784</v>
          </cell>
          <cell r="G33">
            <v>0.60003926262921725</v>
          </cell>
          <cell r="H33">
            <v>0.44407981128241519</v>
          </cell>
          <cell r="I33">
            <v>0.13928002430896891</v>
          </cell>
          <cell r="J33">
            <v>0.15859437898980264</v>
          </cell>
          <cell r="K33">
            <v>0.10889545112670589</v>
          </cell>
          <cell r="L33">
            <v>7.4432848456299189E-2</v>
          </cell>
          <cell r="M33">
            <v>5.2955688120379631E-2</v>
          </cell>
          <cell r="N33">
            <v>6.4706159542489705E-2</v>
          </cell>
          <cell r="O33">
            <v>0.14708987424007308</v>
          </cell>
          <cell r="P33">
            <v>0.19089135808446189</v>
          </cell>
          <cell r="Q33">
            <v>2.9295338312775074</v>
          </cell>
        </row>
        <row r="34">
          <cell r="B34" t="str">
            <v>Große Mühl 21,8</v>
          </cell>
          <cell r="C34">
            <v>204933</v>
          </cell>
          <cell r="E34">
            <v>0.87371076755241039</v>
          </cell>
          <cell r="F34">
            <v>0.89141780037322527</v>
          </cell>
          <cell r="G34">
            <v>0.86064561658381267</v>
          </cell>
          <cell r="H34">
            <v>0.93545877390623611</v>
          </cell>
          <cell r="I34">
            <v>0.26519588164086688</v>
          </cell>
          <cell r="J34">
            <v>0.33826447759398498</v>
          </cell>
          <cell r="K34">
            <v>0.26193960003184436</v>
          </cell>
          <cell r="L34">
            <v>0.26324668690774</v>
          </cell>
          <cell r="M34">
            <v>0.16354754589208317</v>
          </cell>
          <cell r="N34">
            <v>0.13247199060504197</v>
          </cell>
          <cell r="O34">
            <v>0.37042450711897384</v>
          </cell>
          <cell r="P34">
            <v>0.27304736076780189</v>
          </cell>
          <cell r="Q34">
            <v>5.6293710089740223</v>
          </cell>
        </row>
        <row r="35">
          <cell r="C35">
            <v>206656</v>
          </cell>
          <cell r="Q35" t="str">
            <v>k.Wert</v>
          </cell>
        </row>
        <row r="36">
          <cell r="B36" t="str">
            <v>Große Rodl 23,2</v>
          </cell>
          <cell r="C36">
            <v>205088</v>
          </cell>
          <cell r="E36">
            <v>0.76630527084538269</v>
          </cell>
          <cell r="F36">
            <v>0.82140543153889556</v>
          </cell>
          <cell r="G36">
            <v>1.1568828556622692</v>
          </cell>
          <cell r="H36">
            <v>0.57642700970976257</v>
          </cell>
          <cell r="I36">
            <v>0.12308632850659633</v>
          </cell>
          <cell r="J36">
            <v>0.13750728006965701</v>
          </cell>
          <cell r="K36">
            <v>0.22308627128232192</v>
          </cell>
          <cell r="L36">
            <v>0.41255510047598953</v>
          </cell>
          <cell r="M36">
            <v>0.1984421898959367</v>
          </cell>
          <cell r="N36">
            <v>0.22758405783957783</v>
          </cell>
          <cell r="O36">
            <v>0.22105149502480212</v>
          </cell>
          <cell r="P36">
            <v>0.75749849675145142</v>
          </cell>
          <cell r="Q36">
            <v>5.6218317876026429</v>
          </cell>
        </row>
        <row r="37">
          <cell r="B37" t="str">
            <v>Gusen 19,6</v>
          </cell>
          <cell r="C37">
            <v>206573</v>
          </cell>
          <cell r="E37">
            <v>0.61308811307066535</v>
          </cell>
          <cell r="F37">
            <v>0.62446100468758681</v>
          </cell>
          <cell r="G37">
            <v>1.0756150075501403</v>
          </cell>
          <cell r="H37">
            <v>0.2329978108588566</v>
          </cell>
          <cell r="I37">
            <v>0.21692764048959698</v>
          </cell>
          <cell r="J37">
            <v>0.30124244813195872</v>
          </cell>
          <cell r="K37">
            <v>0.55339176183992511</v>
          </cell>
          <cell r="L37">
            <v>0.43291191862492967</v>
          </cell>
          <cell r="M37">
            <v>0.13359463391640111</v>
          </cell>
          <cell r="N37">
            <v>0.18263839953289598</v>
          </cell>
          <cell r="O37">
            <v>0.3654896791242736</v>
          </cell>
          <cell r="P37">
            <v>0.36693245134695396</v>
          </cell>
          <cell r="Q37">
            <v>5.0992908691741841</v>
          </cell>
        </row>
        <row r="38">
          <cell r="A38">
            <v>1370</v>
          </cell>
          <cell r="B38" t="str">
            <v>Gusen 15,7</v>
          </cell>
          <cell r="C38">
            <v>206375</v>
          </cell>
          <cell r="E38">
            <v>1.1048451197219016</v>
          </cell>
          <cell r="F38">
            <v>1.223029044409665</v>
          </cell>
          <cell r="G38">
            <v>1.8158534422821511</v>
          </cell>
          <cell r="H38">
            <v>0.35029567945627438</v>
          </cell>
          <cell r="I38">
            <v>0.20229055535588461</v>
          </cell>
          <cell r="J38">
            <v>0.30629868413780198</v>
          </cell>
          <cell r="K38">
            <v>0.42951869035323459</v>
          </cell>
          <cell r="L38">
            <v>0.4672950324215121</v>
          </cell>
          <cell r="M38">
            <v>8.2701739652688996E-2</v>
          </cell>
          <cell r="N38">
            <v>0.11439142143600933</v>
          </cell>
          <cell r="O38">
            <v>0.34199091105783319</v>
          </cell>
          <cell r="P38">
            <v>0.92041309400492588</v>
          </cell>
          <cell r="Q38">
            <v>7.3589234142898823</v>
          </cell>
        </row>
        <row r="39">
          <cell r="B39" t="str">
            <v>Gusen 10,4</v>
          </cell>
          <cell r="C39">
            <v>206375</v>
          </cell>
          <cell r="E39">
            <v>1.6739286452221354</v>
          </cell>
          <cell r="F39">
            <v>1.8988532881715805</v>
          </cell>
          <cell r="G39">
            <v>2.6648618604832426</v>
          </cell>
          <cell r="H39">
            <v>0.80235252796882295</v>
          </cell>
          <cell r="I39">
            <v>0.53196588224473884</v>
          </cell>
          <cell r="J39">
            <v>0.6196291409041309</v>
          </cell>
          <cell r="K39">
            <v>0.70120105929540133</v>
          </cell>
          <cell r="L39">
            <v>0.59682141632735775</v>
          </cell>
          <cell r="M39">
            <v>0.10676642220420886</v>
          </cell>
          <cell r="N39">
            <v>0.1366133457521434</v>
          </cell>
          <cell r="O39">
            <v>0.40938119833047537</v>
          </cell>
          <cell r="P39">
            <v>0.63406285606858925</v>
          </cell>
          <cell r="Q39">
            <v>10.776437642972828</v>
          </cell>
        </row>
        <row r="40">
          <cell r="B40" t="str">
            <v>Gusen 6,1</v>
          </cell>
          <cell r="C40">
            <v>206375</v>
          </cell>
          <cell r="E40">
            <v>1.5879194420127829</v>
          </cell>
          <cell r="F40">
            <v>1.9445448350514691</v>
          </cell>
          <cell r="G40">
            <v>2.3613213663975063</v>
          </cell>
          <cell r="H40">
            <v>0.65238670219173833</v>
          </cell>
          <cell r="I40">
            <v>0.53388147793608731</v>
          </cell>
          <cell r="J40">
            <v>0.44471125285113017</v>
          </cell>
          <cell r="K40">
            <v>0.13846320978706159</v>
          </cell>
          <cell r="L40">
            <v>0.60326054603523016</v>
          </cell>
          <cell r="M40">
            <v>0.65181088648480145</v>
          </cell>
          <cell r="N40">
            <v>0.12876003531722527</v>
          </cell>
          <cell r="O40">
            <v>0.33877905825970384</v>
          </cell>
          <cell r="P40">
            <v>0.60662192810001569</v>
          </cell>
          <cell r="Q40">
            <v>9.9924607404247503</v>
          </cell>
        </row>
        <row r="41">
          <cell r="A41">
            <v>1380</v>
          </cell>
          <cell r="B41" t="str">
            <v>Gusen 2,1</v>
          </cell>
          <cell r="C41">
            <v>206375</v>
          </cell>
          <cell r="E41">
            <v>1.9362717992286826</v>
          </cell>
          <cell r="F41">
            <v>2.1394182405493374</v>
          </cell>
          <cell r="G41">
            <v>2.5682720132876069</v>
          </cell>
          <cell r="H41">
            <v>0.89148034486297745</v>
          </cell>
          <cell r="I41">
            <v>0.71433424421761493</v>
          </cell>
          <cell r="J41">
            <v>0.26748768753764612</v>
          </cell>
          <cell r="K41">
            <v>0.27465629644957129</v>
          </cell>
          <cell r="L41">
            <v>0.68212688946032729</v>
          </cell>
          <cell r="M41">
            <v>0.19924437508526882</v>
          </cell>
          <cell r="N41">
            <v>0.11142868744255648</v>
          </cell>
          <cell r="O41">
            <v>0.33699087563289165</v>
          </cell>
          <cell r="P41">
            <v>0.67514811970194832</v>
          </cell>
          <cell r="Q41">
            <v>10.796859573456427</v>
          </cell>
        </row>
        <row r="42">
          <cell r="A42">
            <v>1360</v>
          </cell>
          <cell r="B42" t="str">
            <v>Kleine Gusen 0,1</v>
          </cell>
          <cell r="C42">
            <v>206854</v>
          </cell>
          <cell r="E42">
            <v>0.53718222809169947</v>
          </cell>
          <cell r="F42">
            <v>0.44809032554253775</v>
          </cell>
          <cell r="G42">
            <v>0.42956848765849798</v>
          </cell>
          <cell r="H42">
            <v>0.140767487886166</v>
          </cell>
          <cell r="I42">
            <v>6.9943697957312242E-2</v>
          </cell>
          <cell r="J42">
            <v>7.1788976603952573E-2</v>
          </cell>
          <cell r="K42">
            <v>7.5438741623715416E-2</v>
          </cell>
          <cell r="L42">
            <v>9.7678721056126461E-2</v>
          </cell>
          <cell r="M42">
            <v>4.1616628458498034E-2</v>
          </cell>
          <cell r="N42">
            <v>4.4507135985770753E-2</v>
          </cell>
          <cell r="O42">
            <v>6.4867320232411055E-2</v>
          </cell>
          <cell r="P42">
            <v>0.12736175338245057</v>
          </cell>
          <cell r="Q42">
            <v>2.1488115044791387</v>
          </cell>
        </row>
        <row r="43">
          <cell r="C43">
            <v>206771</v>
          </cell>
          <cell r="Q43" t="str">
            <v>k.Wert</v>
          </cell>
        </row>
        <row r="44">
          <cell r="B44" t="str">
            <v>Krems 54,8</v>
          </cell>
          <cell r="C44">
            <v>205633</v>
          </cell>
          <cell r="E44">
            <v>5.7859201960107805E-2</v>
          </cell>
          <cell r="F44">
            <v>0.71607795798676477</v>
          </cell>
          <cell r="G44">
            <v>0.17570443418975742</v>
          </cell>
          <cell r="H44">
            <v>5.3619996730997301E-2</v>
          </cell>
          <cell r="I44">
            <v>3.1438409366037735E-2</v>
          </cell>
          <cell r="J44">
            <v>7.5498851042587592E-2</v>
          </cell>
          <cell r="K44">
            <v>4.2053269303504039E-2</v>
          </cell>
          <cell r="L44">
            <v>6.609630562544476E-2</v>
          </cell>
          <cell r="M44">
            <v>2.1536513454663075E-2</v>
          </cell>
          <cell r="N44">
            <v>3.9113903750943403E-2</v>
          </cell>
          <cell r="O44">
            <v>2.7691650950943402E-2</v>
          </cell>
          <cell r="P44">
            <v>3.2790674600539076E-2</v>
          </cell>
          <cell r="Q44">
            <v>1.3394811689622905</v>
          </cell>
        </row>
        <row r="45">
          <cell r="A45">
            <v>1320</v>
          </cell>
          <cell r="B45" t="str">
            <v>Krems 36,5</v>
          </cell>
          <cell r="C45">
            <v>205641</v>
          </cell>
          <cell r="E45">
            <v>1.4472780299999999</v>
          </cell>
          <cell r="F45">
            <v>2.9201198043103456</v>
          </cell>
          <cell r="G45">
            <v>3.1925873249999999</v>
          </cell>
          <cell r="H45">
            <v>0.36681997500000002</v>
          </cell>
          <cell r="I45">
            <v>0.56725177500000001</v>
          </cell>
          <cell r="J45">
            <v>0.69929122500000018</v>
          </cell>
          <cell r="K45">
            <v>0.4246263675000001</v>
          </cell>
          <cell r="L45">
            <v>0.25039270800000002</v>
          </cell>
          <cell r="M45">
            <v>0.6628819680000001</v>
          </cell>
          <cell r="N45">
            <v>0.52861909499999982</v>
          </cell>
          <cell r="O45">
            <v>0.55609632000000009</v>
          </cell>
          <cell r="P45">
            <v>1.6622325900000006</v>
          </cell>
          <cell r="Q45">
            <v>13.278197182810347</v>
          </cell>
        </row>
        <row r="46">
          <cell r="B46" t="str">
            <v>Krems 12,8</v>
          </cell>
          <cell r="C46">
            <v>205658</v>
          </cell>
          <cell r="E46">
            <v>1.5510954408363138</v>
          </cell>
          <cell r="F46">
            <v>1.6041200204896833</v>
          </cell>
          <cell r="G46">
            <v>5.2011364785474559</v>
          </cell>
          <cell r="H46">
            <v>0.34277284582118295</v>
          </cell>
          <cell r="I46">
            <v>0.40482354760935357</v>
          </cell>
          <cell r="J46">
            <v>0.82357714081980748</v>
          </cell>
          <cell r="K46">
            <v>0.3368006342492435</v>
          </cell>
          <cell r="L46">
            <v>0.26557078303163689</v>
          </cell>
          <cell r="M46">
            <v>0.6136788487592848</v>
          </cell>
          <cell r="N46">
            <v>0.27563160191471803</v>
          </cell>
          <cell r="O46">
            <v>1.4318399015900964</v>
          </cell>
          <cell r="P46">
            <v>6.3553230761595607</v>
          </cell>
          <cell r="Q46">
            <v>19.206370319828338</v>
          </cell>
        </row>
        <row r="47">
          <cell r="A47">
            <v>1330</v>
          </cell>
          <cell r="B47" t="str">
            <v>Krems 7,9</v>
          </cell>
          <cell r="C47">
            <v>205658</v>
          </cell>
          <cell r="E47">
            <v>2.1377052170740027</v>
          </cell>
          <cell r="F47">
            <v>2.1190594646733771</v>
          </cell>
          <cell r="G47">
            <v>2.039618660850619</v>
          </cell>
          <cell r="H47">
            <v>0.5630659650817057</v>
          </cell>
          <cell r="I47">
            <v>0.67113108334745541</v>
          </cell>
          <cell r="J47">
            <v>0.71238589751636872</v>
          </cell>
          <cell r="K47">
            <v>0.62898002367647876</v>
          </cell>
          <cell r="L47">
            <v>0.35509746516511698</v>
          </cell>
          <cell r="M47">
            <v>0.44919346565810186</v>
          </cell>
          <cell r="N47">
            <v>0.35196266998844566</v>
          </cell>
          <cell r="O47">
            <v>1.1856332163961485</v>
          </cell>
          <cell r="P47">
            <v>3.4890319564588723</v>
          </cell>
          <cell r="Q47">
            <v>14.702865085886691</v>
          </cell>
        </row>
        <row r="48">
          <cell r="B48" t="str">
            <v>Mattig 36,3</v>
          </cell>
          <cell r="C48">
            <v>204586</v>
          </cell>
          <cell r="E48">
            <v>0.29447998248648655</v>
          </cell>
          <cell r="F48">
            <v>0.21016601316607642</v>
          </cell>
          <cell r="G48">
            <v>0.13991726934054058</v>
          </cell>
          <cell r="H48">
            <v>2.7130633945945955E-2</v>
          </cell>
          <cell r="I48">
            <v>0.10837887567567568</v>
          </cell>
          <cell r="J48">
            <v>0.15273900441081081</v>
          </cell>
          <cell r="K48">
            <v>9.4014414140540556E-2</v>
          </cell>
          <cell r="L48">
            <v>0.11234586646486484</v>
          </cell>
          <cell r="M48">
            <v>6.9356776281081084E-2</v>
          </cell>
          <cell r="N48">
            <v>0.1768949586378378</v>
          </cell>
          <cell r="O48">
            <v>0.5681553052972973</v>
          </cell>
          <cell r="P48">
            <v>0.72577368302702716</v>
          </cell>
          <cell r="Q48">
            <v>2.6793527828741848</v>
          </cell>
        </row>
        <row r="49">
          <cell r="B49" t="str">
            <v>Mattig 25,1</v>
          </cell>
          <cell r="C49">
            <v>204610</v>
          </cell>
          <cell r="E49">
            <v>0.25652311278352946</v>
          </cell>
          <cell r="F49">
            <v>0.21074803161553754</v>
          </cell>
          <cell r="G49">
            <v>0.21595487699117646</v>
          </cell>
          <cell r="H49">
            <v>4.119598995882353E-2</v>
          </cell>
          <cell r="I49">
            <v>0.15549036821470591</v>
          </cell>
          <cell r="J49">
            <v>0.22686167812235292</v>
          </cell>
          <cell r="K49">
            <v>8.3399498195294117E-2</v>
          </cell>
          <cell r="L49">
            <v>0.28013662123411764</v>
          </cell>
          <cell r="M49">
            <v>4.3615066558235299E-2</v>
          </cell>
          <cell r="N49">
            <v>8.1809927542058819E-2</v>
          </cell>
          <cell r="O49">
            <v>0.30466329371470585</v>
          </cell>
          <cell r="P49">
            <v>0.47989039777411763</v>
          </cell>
          <cell r="Q49">
            <v>2.380288862704655</v>
          </cell>
        </row>
        <row r="50">
          <cell r="B50" t="str">
            <v>Mattig 18,1</v>
          </cell>
          <cell r="C50">
            <v>204610</v>
          </cell>
          <cell r="E50">
            <v>2.2004361834352939</v>
          </cell>
          <cell r="F50">
            <v>2.4498056816236922</v>
          </cell>
          <cell r="G50">
            <v>3.0646444413176481</v>
          </cell>
          <cell r="H50">
            <v>0.68340008244705863</v>
          </cell>
          <cell r="I50">
            <v>0.3475705025647059</v>
          </cell>
          <cell r="J50">
            <v>0.65036028587294115</v>
          </cell>
          <cell r="K50">
            <v>9.8529879472941173E-2</v>
          </cell>
          <cell r="L50">
            <v>0.47370903382588231</v>
          </cell>
          <cell r="M50">
            <v>0.15942825952941178</v>
          </cell>
          <cell r="N50">
            <v>0.20064876242823526</v>
          </cell>
          <cell r="O50">
            <v>0.48917139640941182</v>
          </cell>
          <cell r="P50">
            <v>0.67752563158588242</v>
          </cell>
          <cell r="Q50">
            <v>11.495230140513105</v>
          </cell>
        </row>
        <row r="51">
          <cell r="A51">
            <v>630</v>
          </cell>
          <cell r="B51" t="str">
            <v>Mattig 1,93</v>
          </cell>
          <cell r="C51">
            <v>204677</v>
          </cell>
          <cell r="E51">
            <v>1.596156043021705</v>
          </cell>
          <cell r="F51">
            <v>0.99368209002103403</v>
          </cell>
          <cell r="G51">
            <v>1.7100366147308119</v>
          </cell>
          <cell r="H51">
            <v>0.28797123610472147</v>
          </cell>
          <cell r="I51">
            <v>0.38006941523562321</v>
          </cell>
          <cell r="J51">
            <v>0.40730208585365851</v>
          </cell>
          <cell r="K51">
            <v>0.1885882599847841</v>
          </cell>
          <cell r="L51">
            <v>0.45928539062993962</v>
          </cell>
          <cell r="M51">
            <v>0.16866270585634377</v>
          </cell>
          <cell r="N51">
            <v>0.15239250993242334</v>
          </cell>
          <cell r="O51">
            <v>0.27270397773819655</v>
          </cell>
          <cell r="P51">
            <v>0.43339862189483114</v>
          </cell>
          <cell r="Q51">
            <v>7.0502489510040718</v>
          </cell>
        </row>
        <row r="52">
          <cell r="C52">
            <v>206748</v>
          </cell>
          <cell r="Q52" t="str">
            <v>k.Wert</v>
          </cell>
        </row>
        <row r="53">
          <cell r="A53">
            <v>1630</v>
          </cell>
          <cell r="B53" t="str">
            <v>Naarn 49,85</v>
          </cell>
          <cell r="C53">
            <v>205997</v>
          </cell>
          <cell r="E53">
            <v>3.5942333588059698E-2</v>
          </cell>
          <cell r="F53">
            <v>4.6761561567884725E-2</v>
          </cell>
          <cell r="G53">
            <v>0.10247584835820894</v>
          </cell>
          <cell r="H53">
            <v>4.1566138602985074E-2</v>
          </cell>
          <cell r="I53">
            <v>3.095559188059702E-2</v>
          </cell>
          <cell r="J53">
            <v>2.4146658698507465E-2</v>
          </cell>
          <cell r="K53">
            <v>2.0549741588059705E-2</v>
          </cell>
          <cell r="L53">
            <v>1.2847070815522388E-2</v>
          </cell>
          <cell r="M53">
            <v>2.4718842827462693E-2</v>
          </cell>
          <cell r="N53">
            <v>1.0819727570149255E-2</v>
          </cell>
          <cell r="O53">
            <v>1.3044688764179106E-2</v>
          </cell>
          <cell r="P53">
            <v>7.011339109253732E-3</v>
          </cell>
          <cell r="Q53">
            <v>0.37083954337086977</v>
          </cell>
        </row>
        <row r="54">
          <cell r="B54" t="str">
            <v>Naarn 13,7</v>
          </cell>
          <cell r="C54">
            <v>206029</v>
          </cell>
          <cell r="E54">
            <v>0.36030414393929394</v>
          </cell>
          <cell r="F54">
            <v>0.3283417915819748</v>
          </cell>
          <cell r="G54">
            <v>0.91425697405476747</v>
          </cell>
          <cell r="H54">
            <v>0.30967765224942262</v>
          </cell>
          <cell r="I54">
            <v>0.39621919631540753</v>
          </cell>
          <cell r="J54">
            <v>0.21987332905575716</v>
          </cell>
          <cell r="K54">
            <v>0.14073097869323656</v>
          </cell>
          <cell r="L54">
            <v>0.19039731713103264</v>
          </cell>
          <cell r="M54">
            <v>0.13610658649148138</v>
          </cell>
          <cell r="N54">
            <v>4.6975710405806663E-2</v>
          </cell>
          <cell r="O54">
            <v>0.11065628611811285</v>
          </cell>
          <cell r="P54">
            <v>8.4260180411798086E-2</v>
          </cell>
          <cell r="Q54">
            <v>3.2378001464480914</v>
          </cell>
        </row>
        <row r="55">
          <cell r="C55">
            <v>210526</v>
          </cell>
          <cell r="Q55" t="str">
            <v>k.Wert</v>
          </cell>
        </row>
        <row r="56">
          <cell r="A56">
            <v>4000</v>
          </cell>
          <cell r="B56" t="str">
            <v>Traun obere 130,93</v>
          </cell>
          <cell r="C56">
            <v>205104</v>
          </cell>
          <cell r="E56">
            <v>0.59103233171052638</v>
          </cell>
          <cell r="F56">
            <v>0.46784476681207732</v>
          </cell>
          <cell r="G56">
            <v>0.53027196979306224</v>
          </cell>
          <cell r="H56">
            <v>1.1194759224473685</v>
          </cell>
          <cell r="I56">
            <v>1.1383462709569379</v>
          </cell>
          <cell r="J56">
            <v>0.53215367229904309</v>
          </cell>
          <cell r="K56">
            <v>1.6395320079904312</v>
          </cell>
          <cell r="L56">
            <v>0.40593296491148328</v>
          </cell>
          <cell r="M56">
            <v>0.41167890844019128</v>
          </cell>
          <cell r="N56">
            <v>0.20571195648444973</v>
          </cell>
          <cell r="O56">
            <v>0.1833219184736842</v>
          </cell>
          <cell r="P56">
            <v>0.11321470781052631</v>
          </cell>
          <cell r="Q56">
            <v>7.3385173981297811</v>
          </cell>
        </row>
        <row r="57">
          <cell r="B57" t="str">
            <v>Traun obere 117,95</v>
          </cell>
          <cell r="C57">
            <v>205146</v>
          </cell>
          <cell r="E57">
            <v>0.16985987644213263</v>
          </cell>
          <cell r="F57">
            <v>0.15606001148921572</v>
          </cell>
          <cell r="G57">
            <v>0.37112966111703499</v>
          </cell>
          <cell r="H57">
            <v>0.52939738287386218</v>
          </cell>
          <cell r="I57">
            <v>0.98809421360208061</v>
          </cell>
          <cell r="J57">
            <v>0.80461836117035113</v>
          </cell>
          <cell r="K57">
            <v>0.82428060230169031</v>
          </cell>
          <cell r="L57">
            <v>0.87387783159323773</v>
          </cell>
          <cell r="M57">
            <v>0.49864048279583867</v>
          </cell>
          <cell r="N57">
            <v>0.31312784969180746</v>
          </cell>
          <cell r="O57">
            <v>0.28845897271911564</v>
          </cell>
          <cell r="P57">
            <v>0.1730801353997399</v>
          </cell>
          <cell r="Q57">
            <v>5.9906253811961063</v>
          </cell>
        </row>
        <row r="58">
          <cell r="B58" t="str">
            <v>Traun obere 103,2</v>
          </cell>
          <cell r="C58">
            <v>205153</v>
          </cell>
          <cell r="E58">
            <v>1.0264594151246877</v>
          </cell>
          <cell r="F58">
            <v>1.0000998838036179</v>
          </cell>
          <cell r="G58">
            <v>1.6472449064404333</v>
          </cell>
          <cell r="H58">
            <v>1.6254279062482648</v>
          </cell>
          <cell r="I58">
            <v>1.7342626585726191</v>
          </cell>
          <cell r="J58">
            <v>1.287196170008331</v>
          </cell>
          <cell r="K58">
            <v>1.117041499994446</v>
          </cell>
          <cell r="L58">
            <v>1.3540604452585394</v>
          </cell>
          <cell r="M58">
            <v>0.79626595641210773</v>
          </cell>
          <cell r="N58">
            <v>0.43250885925020838</v>
          </cell>
          <cell r="O58">
            <v>0.37316212505415164</v>
          </cell>
          <cell r="P58">
            <v>0.53182451351246884</v>
          </cell>
          <cell r="Q58">
            <v>12.925554339679877</v>
          </cell>
        </row>
        <row r="59">
          <cell r="B59" t="str">
            <v>Traun obere 86,65</v>
          </cell>
          <cell r="C59">
            <v>206128</v>
          </cell>
          <cell r="E59">
            <v>3.9454368924238192</v>
          </cell>
          <cell r="F59">
            <v>2.7862039443185869</v>
          </cell>
          <cell r="G59">
            <v>4.3806327531730496</v>
          </cell>
          <cell r="H59">
            <v>2.8694209581772441</v>
          </cell>
          <cell r="I59">
            <v>2.4234853712608331</v>
          </cell>
          <cell r="J59">
            <v>2.7532534330164946</v>
          </cell>
          <cell r="K59">
            <v>3.1082429261951359</v>
          </cell>
          <cell r="L59">
            <v>3.82687031553816</v>
          </cell>
          <cell r="M59">
            <v>1.8207220867346938</v>
          </cell>
          <cell r="N59">
            <v>1.5356392867766282</v>
          </cell>
          <cell r="O59">
            <v>1.9212970065977075</v>
          </cell>
          <cell r="P59">
            <v>2.4127493378361757</v>
          </cell>
          <cell r="Q59">
            <v>33.783954312048529</v>
          </cell>
        </row>
        <row r="60">
          <cell r="A60">
            <v>4010</v>
          </cell>
          <cell r="B60" t="str">
            <v>Traun untere 71</v>
          </cell>
          <cell r="C60">
            <v>206128</v>
          </cell>
          <cell r="E60">
            <v>0.58633978438356171</v>
          </cell>
          <cell r="F60">
            <v>0.65345534102975922</v>
          </cell>
          <cell r="G60">
            <v>1.0332668404109591</v>
          </cell>
          <cell r="H60">
            <v>1.5874063372602742</v>
          </cell>
          <cell r="I60">
            <v>1.7126011676712332</v>
          </cell>
          <cell r="J60">
            <v>3.0007479939041102</v>
          </cell>
          <cell r="K60">
            <v>2.3128846853424658</v>
          </cell>
          <cell r="L60">
            <v>4.1884345627397268</v>
          </cell>
          <cell r="M60">
            <v>2.8230397352876713</v>
          </cell>
          <cell r="N60">
            <v>1.3237935041095892</v>
          </cell>
          <cell r="O60">
            <v>1.0181210005479453</v>
          </cell>
          <cell r="P60">
            <v>0.56906741095890412</v>
          </cell>
          <cell r="Q60">
            <v>20.809158363646201</v>
          </cell>
        </row>
        <row r="61">
          <cell r="B61" t="str">
            <v>Traun untere 66,1</v>
          </cell>
          <cell r="C61">
            <v>206128</v>
          </cell>
          <cell r="E61">
            <v>3.8260705459994413</v>
          </cell>
          <cell r="F61">
            <v>3.7387961129854532</v>
          </cell>
          <cell r="G61">
            <v>7.6522480435504621</v>
          </cell>
          <cell r="H61">
            <v>3.1549281695275382</v>
          </cell>
          <cell r="I61">
            <v>4.3199271785317315</v>
          </cell>
          <cell r="J61">
            <v>4.3608746495694728</v>
          </cell>
          <cell r="K61">
            <v>4.7258111688174465</v>
          </cell>
          <cell r="L61">
            <v>5.129642402323177</v>
          </cell>
          <cell r="M61">
            <v>3.6639205856393628</v>
          </cell>
          <cell r="N61">
            <v>2.1659756924853237</v>
          </cell>
          <cell r="O61">
            <v>1.8618732157757896</v>
          </cell>
          <cell r="P61">
            <v>1.9721295702991337</v>
          </cell>
          <cell r="Q61">
            <v>46.572197335504327</v>
          </cell>
        </row>
        <row r="62">
          <cell r="B62" t="str">
            <v>Traun untere 57,4</v>
          </cell>
          <cell r="C62">
            <v>205252</v>
          </cell>
          <cell r="E62">
            <v>1.748314352401126</v>
          </cell>
          <cell r="F62">
            <v>1.7444630329745603</v>
          </cell>
          <cell r="G62">
            <v>7.0623913960799038</v>
          </cell>
          <cell r="H62">
            <v>1.4660852677517096</v>
          </cell>
          <cell r="I62">
            <v>2.7342013117726238</v>
          </cell>
          <cell r="J62">
            <v>3.6621730755114625</v>
          </cell>
          <cell r="K62">
            <v>3.132098930837913</v>
          </cell>
          <cell r="L62">
            <v>3.080934573277919</v>
          </cell>
          <cell r="M62">
            <v>3.4227361269532111</v>
          </cell>
          <cell r="N62">
            <v>1.1950489361040357</v>
          </cell>
          <cell r="O62">
            <v>0.84913621845287557</v>
          </cell>
          <cell r="P62">
            <v>1.3018639008553425</v>
          </cell>
          <cell r="Q62">
            <v>31.399447122972685</v>
          </cell>
        </row>
        <row r="63">
          <cell r="C63">
            <v>205468</v>
          </cell>
          <cell r="Q63" t="str">
            <v>k.Wert</v>
          </cell>
        </row>
        <row r="64">
          <cell r="B64" t="str">
            <v>Traun untere 42</v>
          </cell>
          <cell r="C64">
            <v>206409</v>
          </cell>
          <cell r="E64">
            <v>4.8788896537965263</v>
          </cell>
          <cell r="F64">
            <v>4.3467317688577056</v>
          </cell>
          <cell r="G64">
            <v>8.4757827340942935</v>
          </cell>
          <cell r="H64">
            <v>5.3186587646650123</v>
          </cell>
          <cell r="I64">
            <v>3.0037206550868492</v>
          </cell>
          <cell r="J64">
            <v>5.2004514014888343</v>
          </cell>
          <cell r="K64">
            <v>8.4264141028287867</v>
          </cell>
          <cell r="L64">
            <v>6.7414287421339951</v>
          </cell>
          <cell r="M64">
            <v>8.9239791812605453</v>
          </cell>
          <cell r="N64">
            <v>1.3789726517121588</v>
          </cell>
          <cell r="O64">
            <v>2.1720880335483872</v>
          </cell>
          <cell r="P64">
            <v>1.1404292498263027</v>
          </cell>
          <cell r="Q64">
            <v>60.007546939299402</v>
          </cell>
        </row>
        <row r="65">
          <cell r="B65" t="str">
            <v>Traun untere 33,2</v>
          </cell>
          <cell r="C65">
            <v>206409</v>
          </cell>
          <cell r="E65">
            <v>3.7420306045248872</v>
          </cell>
          <cell r="F65">
            <v>3.4320289548447502</v>
          </cell>
          <cell r="G65">
            <v>4.9641756515837114</v>
          </cell>
          <cell r="H65">
            <v>5.3161382199095026</v>
          </cell>
          <cell r="I65">
            <v>2.4395847312217196</v>
          </cell>
          <cell r="J65">
            <v>4.3832270606334847</v>
          </cell>
          <cell r="K65">
            <v>6.4510240561085981</v>
          </cell>
          <cell r="L65">
            <v>4.2873935538461545</v>
          </cell>
          <cell r="M65">
            <v>2.3152350168325793</v>
          </cell>
          <cell r="N65">
            <v>1.2451771221719461</v>
          </cell>
          <cell r="O65">
            <v>1.8763293013574662</v>
          </cell>
          <cell r="P65">
            <v>1.1708167276018102</v>
          </cell>
          <cell r="Q65">
            <v>41.623161000636614</v>
          </cell>
        </row>
        <row r="66">
          <cell r="B66" t="str">
            <v>Traun untere 23,5</v>
          </cell>
          <cell r="C66">
            <v>206409</v>
          </cell>
          <cell r="E66">
            <v>3.383171221483579</v>
          </cell>
          <cell r="F66">
            <v>2.8050571294198181</v>
          </cell>
          <cell r="G66">
            <v>2.7362113776336301</v>
          </cell>
          <cell r="H66">
            <v>7.7377090538806002</v>
          </cell>
          <cell r="I66">
            <v>3.9214872653685595</v>
          </cell>
          <cell r="J66">
            <v>6.9518430936493942</v>
          </cell>
          <cell r="K66">
            <v>9.4094488444571613</v>
          </cell>
          <cell r="L66">
            <v>4.0051446366288124</v>
          </cell>
          <cell r="M66">
            <v>3.6864174010768651</v>
          </cell>
          <cell r="N66">
            <v>1.5609022743074004</v>
          </cell>
          <cell r="O66">
            <v>2.4426738551639176</v>
          </cell>
          <cell r="P66">
            <v>1.8517744314675226</v>
          </cell>
          <cell r="Q66">
            <v>50.491840584537265</v>
          </cell>
        </row>
        <row r="67">
          <cell r="B67" t="str">
            <v>Traun untere 12,7</v>
          </cell>
          <cell r="C67">
            <v>206409</v>
          </cell>
          <cell r="E67">
            <v>7.3849813810491911</v>
          </cell>
          <cell r="F67">
            <v>8.0919435183917798</v>
          </cell>
          <cell r="G67">
            <v>10.270753963719168</v>
          </cell>
          <cell r="H67">
            <v>18.797970489829808</v>
          </cell>
          <cell r="I67">
            <v>6.7571377326428266</v>
          </cell>
          <cell r="J67">
            <v>10.255959697142025</v>
          </cell>
          <cell r="K67">
            <v>13.11834850622216</v>
          </cell>
          <cell r="L67">
            <v>5.9060589060516717</v>
          </cell>
          <cell r="M67">
            <v>9.5564956057727066</v>
          </cell>
          <cell r="N67">
            <v>3.2851331364390597</v>
          </cell>
          <cell r="O67">
            <v>7.0794687357337622</v>
          </cell>
          <cell r="P67">
            <v>6.3660391511288879</v>
          </cell>
          <cell r="Q67">
            <v>106.87029082412303</v>
          </cell>
        </row>
        <row r="68">
          <cell r="A68">
            <v>4020</v>
          </cell>
          <cell r="B68" t="str">
            <v>Traun untere 4,7</v>
          </cell>
          <cell r="C68">
            <v>206409</v>
          </cell>
          <cell r="E68">
            <v>9.1760550355995765</v>
          </cell>
          <cell r="F68">
            <v>9.8825037306428296</v>
          </cell>
          <cell r="G68">
            <v>10.931614238150429</v>
          </cell>
          <cell r="H68">
            <v>15.14225849252565</v>
          </cell>
          <cell r="I68">
            <v>6.964539897753828</v>
          </cell>
          <cell r="J68">
            <v>11.871372385344298</v>
          </cell>
          <cell r="K68">
            <v>15.731956193007862</v>
          </cell>
          <cell r="L68">
            <v>5.6608831718533752</v>
          </cell>
          <cell r="M68">
            <v>9.7884100487389851</v>
          </cell>
          <cell r="N68">
            <v>3.2168847320831397</v>
          </cell>
          <cell r="O68">
            <v>5.9539714967339892</v>
          </cell>
          <cell r="P68">
            <v>6.625588433177124</v>
          </cell>
          <cell r="Q68">
            <v>110.94603785561108</v>
          </cell>
        </row>
        <row r="69">
          <cell r="C69">
            <v>206102</v>
          </cell>
          <cell r="Q69" t="str">
            <v>k.Wert</v>
          </cell>
        </row>
        <row r="70">
          <cell r="B70" t="str">
            <v>Pram 39,5</v>
          </cell>
          <cell r="C70">
            <v>204784</v>
          </cell>
          <cell r="E70">
            <v>0.35297233540799994</v>
          </cell>
          <cell r="F70">
            <v>0.22107704974262066</v>
          </cell>
          <cell r="G70">
            <v>0.41754394836000008</v>
          </cell>
          <cell r="H70">
            <v>9.0618770087999997E-2</v>
          </cell>
          <cell r="I70">
            <v>0.11518096127999999</v>
          </cell>
          <cell r="J70">
            <v>9.6550404719999997E-2</v>
          </cell>
          <cell r="K70">
            <v>6.8098421160000019E-2</v>
          </cell>
          <cell r="L70">
            <v>8.9981834342400022E-2</v>
          </cell>
          <cell r="M70">
            <v>3.9902104703999998E-2</v>
          </cell>
          <cell r="N70">
            <v>4.3176768558000005E-2</v>
          </cell>
          <cell r="O70">
            <v>5.5136392079999992E-2</v>
          </cell>
          <cell r="P70">
            <v>0.104974342704</v>
          </cell>
          <cell r="Q70">
            <v>1.6952133331470207</v>
          </cell>
        </row>
        <row r="71">
          <cell r="A71">
            <v>690</v>
          </cell>
          <cell r="B71" t="str">
            <v>Pram 33,6</v>
          </cell>
          <cell r="C71">
            <v>204784</v>
          </cell>
          <cell r="E71">
            <v>0.47639552091251575</v>
          </cell>
          <cell r="F71">
            <v>0.59734912990666467</v>
          </cell>
          <cell r="G71">
            <v>1.0269875375144522</v>
          </cell>
          <cell r="H71">
            <v>0.29512374868622038</v>
          </cell>
          <cell r="I71">
            <v>0.46894220647960833</v>
          </cell>
          <cell r="J71">
            <v>0.26675680347395331</v>
          </cell>
          <cell r="K71">
            <v>0.17400422270413185</v>
          </cell>
          <cell r="L71">
            <v>0.22664670128281558</v>
          </cell>
          <cell r="M71">
            <v>0.10189466711858207</v>
          </cell>
          <cell r="N71">
            <v>9.7009793829839083E-2</v>
          </cell>
          <cell r="O71">
            <v>0.12289937095483233</v>
          </cell>
          <cell r="P71">
            <v>0.2022864076497651</v>
          </cell>
          <cell r="Q71">
            <v>4.0562961105133803</v>
          </cell>
        </row>
        <row r="72">
          <cell r="C72">
            <v>206326</v>
          </cell>
          <cell r="Q72" t="str">
            <v>k.Wert</v>
          </cell>
        </row>
        <row r="73">
          <cell r="A73">
            <v>700</v>
          </cell>
          <cell r="B73" t="str">
            <v>Pram 15,9</v>
          </cell>
          <cell r="C73">
            <v>204867</v>
          </cell>
          <cell r="E73">
            <v>1.6068172202992086</v>
          </cell>
          <cell r="F73">
            <v>1.6726526543085749</v>
          </cell>
          <cell r="G73">
            <v>2.629762527896744</v>
          </cell>
          <cell r="H73">
            <v>0.40293451663244356</v>
          </cell>
          <cell r="I73">
            <v>0.4229045308301555</v>
          </cell>
          <cell r="J73">
            <v>0.41166426846582582</v>
          </cell>
          <cell r="K73">
            <v>0.18788274332648877</v>
          </cell>
          <cell r="L73">
            <v>0.4157140202147257</v>
          </cell>
          <cell r="M73">
            <v>0.24150587813435032</v>
          </cell>
          <cell r="N73">
            <v>0.15864752666471107</v>
          </cell>
          <cell r="O73">
            <v>0.41426493634496925</v>
          </cell>
          <cell r="P73">
            <v>0.65959348604282797</v>
          </cell>
          <cell r="Q73">
            <v>9.2243443091610242</v>
          </cell>
        </row>
      </sheetData>
      <sheetData sheetId="9"/>
      <sheetData sheetId="10"/>
      <sheetData sheetId="11">
        <row r="2">
          <cell r="B2" t="str">
            <v>Ager 32,9</v>
          </cell>
          <cell r="C2">
            <v>205369</v>
          </cell>
          <cell r="E2">
            <v>0.15094277971434703</v>
          </cell>
          <cell r="F2">
            <v>9.992623238885727E-2</v>
          </cell>
          <cell r="G2">
            <v>0.16853999475119022</v>
          </cell>
          <cell r="H2">
            <v>0.18082593009650441</v>
          </cell>
          <cell r="I2">
            <v>0.15063794674432771</v>
          </cell>
          <cell r="J2">
            <v>0.15419366337207807</v>
          </cell>
          <cell r="K2">
            <v>0.16943037327831867</v>
          </cell>
          <cell r="L2">
            <v>0.14935749080780614</v>
          </cell>
          <cell r="M2">
            <v>0.12601125049487455</v>
          </cell>
          <cell r="N2">
            <v>7.9510659324898147E-2</v>
          </cell>
          <cell r="O2">
            <v>0.11238101535080421</v>
          </cell>
          <cell r="P2">
            <v>8.5394100266094786E-2</v>
          </cell>
          <cell r="Q2">
            <v>1.6271514365901012</v>
          </cell>
        </row>
        <row r="3">
          <cell r="A3">
            <v>1280</v>
          </cell>
          <cell r="B3" t="str">
            <v>Ager 31,2</v>
          </cell>
          <cell r="C3">
            <v>205369</v>
          </cell>
          <cell r="E3">
            <v>0.97609941711737502</v>
          </cell>
          <cell r="F3">
            <v>0.62812773728890037</v>
          </cell>
          <cell r="G3">
            <v>0.69877042244519549</v>
          </cell>
          <cell r="H3">
            <v>0.65498458551005934</v>
          </cell>
          <cell r="I3">
            <v>0.7148014575212932</v>
          </cell>
          <cell r="J3">
            <v>1.6375701420791986</v>
          </cell>
          <cell r="K3">
            <v>1.1735775583964529</v>
          </cell>
          <cell r="L3">
            <v>1.4355546361339317</v>
          </cell>
          <cell r="M3">
            <v>0.92439169726389292</v>
          </cell>
          <cell r="N3">
            <v>0.32013968255695763</v>
          </cell>
          <cell r="O3">
            <v>1.1624655049546153</v>
          </cell>
          <cell r="P3">
            <v>0.67033346339316147</v>
          </cell>
          <cell r="Q3">
            <v>10.996816304661037</v>
          </cell>
        </row>
        <row r="4">
          <cell r="B4" t="str">
            <v>Ager 25,16</v>
          </cell>
          <cell r="C4">
            <v>205369</v>
          </cell>
          <cell r="E4">
            <v>1.7714216983607123</v>
          </cell>
          <cell r="F4">
            <v>0.6808529588668536</v>
          </cell>
          <cell r="G4">
            <v>0.75879677374394172</v>
          </cell>
          <cell r="H4">
            <v>0.75571472389448846</v>
          </cell>
          <cell r="I4">
            <v>0.74513225697104879</v>
          </cell>
          <cell r="J4">
            <v>1.506130845776539</v>
          </cell>
          <cell r="K4">
            <v>2.7552454527806134</v>
          </cell>
          <cell r="L4">
            <v>0.93546054042461935</v>
          </cell>
          <cell r="M4">
            <v>0.55020116225777416</v>
          </cell>
          <cell r="N4">
            <v>0.36571805841732791</v>
          </cell>
          <cell r="O4">
            <v>0.69171886090499679</v>
          </cell>
          <cell r="P4">
            <v>0.63374648110486809</v>
          </cell>
          <cell r="Q4">
            <v>12.150139813503785</v>
          </cell>
        </row>
        <row r="5">
          <cell r="B5" t="str">
            <v>Ager 21,3</v>
          </cell>
          <cell r="C5">
            <v>205369</v>
          </cell>
          <cell r="E5">
            <v>1.37864485267373</v>
          </cell>
          <cell r="F5">
            <v>0.57832072774471388</v>
          </cell>
          <cell r="G5">
            <v>0.66599249435127617</v>
          </cell>
          <cell r="H5">
            <v>0.68221382066480807</v>
          </cell>
          <cell r="I5">
            <v>0.72026268710992924</v>
          </cell>
          <cell r="J5">
            <v>1.5268735965941242</v>
          </cell>
          <cell r="K5">
            <v>1.6241109387903927</v>
          </cell>
          <cell r="L5">
            <v>1.3750723495481538</v>
          </cell>
          <cell r="M5">
            <v>0.53328491723765825</v>
          </cell>
          <cell r="N5">
            <v>0.34681187943075281</v>
          </cell>
          <cell r="O5">
            <v>0.5603349914928587</v>
          </cell>
          <cell r="P5">
            <v>0.47108166652163846</v>
          </cell>
          <cell r="Q5">
            <v>10.463004922160035</v>
          </cell>
        </row>
        <row r="6">
          <cell r="B6" t="str">
            <v>Ager 17,2</v>
          </cell>
          <cell r="C6">
            <v>205427</v>
          </cell>
          <cell r="E6">
            <v>7.5260787173891979</v>
          </cell>
          <cell r="F6">
            <v>1.4394242572779854</v>
          </cell>
          <cell r="G6">
            <v>1.7293586934372041</v>
          </cell>
          <cell r="H6">
            <v>1.1669689811786506</v>
          </cell>
          <cell r="I6">
            <v>1.3026815399380987</v>
          </cell>
          <cell r="J6">
            <v>6.6959400538717757</v>
          </cell>
          <cell r="K6">
            <v>3.1778920301707552</v>
          </cell>
          <cell r="L6">
            <v>1.8463242887855986</v>
          </cell>
          <cell r="M6">
            <v>0.91274215196715447</v>
          </cell>
          <cell r="N6">
            <v>0.82830800296283824</v>
          </cell>
          <cell r="O6">
            <v>1.3192139689179909</v>
          </cell>
          <cell r="P6">
            <v>0.78922470359911567</v>
          </cell>
          <cell r="Q6">
            <v>28.734157389496367</v>
          </cell>
        </row>
        <row r="7">
          <cell r="B7" t="str">
            <v>Ager 8,1</v>
          </cell>
          <cell r="C7">
            <v>205450</v>
          </cell>
          <cell r="E7">
            <v>9.634138222532604</v>
          </cell>
          <cell r="F7">
            <v>1.7454026523983766</v>
          </cell>
          <cell r="G7">
            <v>2.2911087127508964</v>
          </cell>
          <cell r="H7">
            <v>1.3542373398586103</v>
          </cell>
          <cell r="I7">
            <v>1.3989598668507286</v>
          </cell>
          <cell r="J7">
            <v>8.9729478074516393</v>
          </cell>
          <cell r="K7">
            <v>4.6203198005502744</v>
          </cell>
          <cell r="L7">
            <v>1.9424235935564371</v>
          </cell>
          <cell r="M7">
            <v>1.1610471237162647</v>
          </cell>
          <cell r="N7">
            <v>0.99301335008168135</v>
          </cell>
          <cell r="O7">
            <v>1.7213420126639598</v>
          </cell>
          <cell r="P7">
            <v>0.82509152522952012</v>
          </cell>
          <cell r="Q7">
            <v>36.660032007640993</v>
          </cell>
        </row>
        <row r="8">
          <cell r="A8">
            <v>1290</v>
          </cell>
          <cell r="B8" t="str">
            <v>Ager 1,57</v>
          </cell>
          <cell r="C8">
            <v>205450</v>
          </cell>
          <cell r="E8">
            <v>10.456470273813233</v>
          </cell>
          <cell r="F8">
            <v>2.3652981569438416</v>
          </cell>
          <cell r="G8">
            <v>2.3739867001862911</v>
          </cell>
          <cell r="H8">
            <v>1.790534305175066</v>
          </cell>
          <cell r="I8">
            <v>1.7515977351573919</v>
          </cell>
          <cell r="J8">
            <v>8.600254491542394</v>
          </cell>
          <cell r="K8">
            <v>5.6811198113952708</v>
          </cell>
          <cell r="L8">
            <v>2.2436527618025321</v>
          </cell>
          <cell r="M8">
            <v>1.3095990140033436</v>
          </cell>
          <cell r="N8">
            <v>1.2975074302670169</v>
          </cell>
          <cell r="O8">
            <v>2.0906005562837353</v>
          </cell>
          <cell r="P8">
            <v>1.0588041306348221</v>
          </cell>
          <cell r="Q8">
            <v>41.019425367204938</v>
          </cell>
        </row>
        <row r="9">
          <cell r="A9">
            <v>1600</v>
          </cell>
          <cell r="B9" t="str">
            <v>Aist 6</v>
          </cell>
          <cell r="C9">
            <v>205989</v>
          </cell>
          <cell r="E9">
            <v>1.7814770933743926</v>
          </cell>
          <cell r="F9">
            <v>1.2095912189397644</v>
          </cell>
          <cell r="G9">
            <v>2.7734571613603478</v>
          </cell>
          <cell r="H9">
            <v>2.1728178135979395</v>
          </cell>
          <cell r="I9">
            <v>1.3519994997342495</v>
          </cell>
          <cell r="J9">
            <v>1.3741099421086957</v>
          </cell>
          <cell r="K9">
            <v>1.7842015316983986</v>
          </cell>
          <cell r="L9">
            <v>4.4815291402198021</v>
          </cell>
          <cell r="M9">
            <v>0.78502602086182194</v>
          </cell>
          <cell r="N9">
            <v>0.89660831809674113</v>
          </cell>
          <cell r="O9">
            <v>1.2385258695512313</v>
          </cell>
          <cell r="P9">
            <v>0.810641898957283</v>
          </cell>
          <cell r="Q9">
            <v>20.659985508500668</v>
          </cell>
        </row>
        <row r="10">
          <cell r="C10">
            <v>206508</v>
          </cell>
          <cell r="Q10" t="str">
            <v>k.Wert</v>
          </cell>
        </row>
        <row r="11">
          <cell r="A11">
            <v>1300</v>
          </cell>
          <cell r="B11" t="str">
            <v>Alm 33,3</v>
          </cell>
          <cell r="C11">
            <v>205500</v>
          </cell>
          <cell r="E11">
            <v>7.4794178653909846E-2</v>
          </cell>
          <cell r="F11">
            <v>8.0329709505313582E-2</v>
          </cell>
          <cell r="G11">
            <v>0.10357894339540019</v>
          </cell>
          <cell r="H11">
            <v>0.13517077584176632</v>
          </cell>
          <cell r="I11">
            <v>0.12842019251149953</v>
          </cell>
          <cell r="J11">
            <v>0.12943250802943884</v>
          </cell>
          <cell r="K11">
            <v>0.57826032610818756</v>
          </cell>
          <cell r="L11">
            <v>9.5518088703587883E-2</v>
          </cell>
          <cell r="M11">
            <v>6.8879612367985274E-2</v>
          </cell>
          <cell r="N11">
            <v>0.15025743204563016</v>
          </cell>
          <cell r="O11">
            <v>9.8120925424471039E-2</v>
          </cell>
          <cell r="P11">
            <v>4.2477841619503222E-2</v>
          </cell>
          <cell r="Q11">
            <v>1.6852405342066936</v>
          </cell>
        </row>
        <row r="12">
          <cell r="B12" t="str">
            <v>Alm 22,26</v>
          </cell>
          <cell r="C12">
            <v>205500</v>
          </cell>
          <cell r="E12">
            <v>0.20418804229181228</v>
          </cell>
          <cell r="F12">
            <v>0.20216813058002089</v>
          </cell>
          <cell r="G12">
            <v>0.2499900137111315</v>
          </cell>
          <cell r="H12">
            <v>0.36923959675804957</v>
          </cell>
          <cell r="I12">
            <v>0.30843659736596135</v>
          </cell>
          <cell r="J12">
            <v>0.23862624219687212</v>
          </cell>
          <cell r="K12">
            <v>1.3326320449987115</v>
          </cell>
          <cell r="L12">
            <v>0.20333106697214354</v>
          </cell>
          <cell r="M12">
            <v>0.13003866818472856</v>
          </cell>
          <cell r="N12">
            <v>8.1932335431830705E-2</v>
          </cell>
          <cell r="O12">
            <v>0.19133870433449862</v>
          </cell>
          <cell r="P12">
            <v>8.1428530881692718E-2</v>
          </cell>
          <cell r="Q12">
            <v>3.5933499737074541</v>
          </cell>
        </row>
        <row r="13">
          <cell r="B13" t="str">
            <v>Alm 10,5</v>
          </cell>
          <cell r="C13">
            <v>205500</v>
          </cell>
          <cell r="E13">
            <v>0.3530012856905243</v>
          </cell>
          <cell r="F13">
            <v>0.28166738036379779</v>
          </cell>
          <cell r="G13">
            <v>0.29053782298730452</v>
          </cell>
          <cell r="H13">
            <v>0.30189993048022079</v>
          </cell>
          <cell r="I13">
            <v>0.29916261359337626</v>
          </cell>
          <cell r="J13">
            <v>0.22742114945354186</v>
          </cell>
          <cell r="K13">
            <v>2.045537662639926</v>
          </cell>
          <cell r="L13">
            <v>0.2075869714487581</v>
          </cell>
          <cell r="M13">
            <v>0.12951899282428703</v>
          </cell>
          <cell r="N13">
            <v>9.5138953647102079E-2</v>
          </cell>
          <cell r="O13">
            <v>0.18463607609641219</v>
          </cell>
          <cell r="P13">
            <v>0.11337023945243789</v>
          </cell>
          <cell r="Q13">
            <v>4.5294790786776886</v>
          </cell>
        </row>
        <row r="14">
          <cell r="A14">
            <v>1310</v>
          </cell>
          <cell r="B14" t="str">
            <v>Alm 4,75</v>
          </cell>
          <cell r="C14">
            <v>205518</v>
          </cell>
          <cell r="E14">
            <v>0.79047199820473268</v>
          </cell>
          <cell r="F14">
            <v>0.55538405815022085</v>
          </cell>
          <cell r="G14">
            <v>0.58648158164729625</v>
          </cell>
          <cell r="H14">
            <v>0.72084484013817196</v>
          </cell>
          <cell r="I14">
            <v>0.79811203792979846</v>
          </cell>
          <cell r="J14">
            <v>0.45543158622085761</v>
          </cell>
          <cell r="K14">
            <v>2.8869218272446235</v>
          </cell>
          <cell r="L14">
            <v>0.34817107616224396</v>
          </cell>
          <cell r="M14">
            <v>0.18899751147161906</v>
          </cell>
          <cell r="N14">
            <v>0.17902597639862225</v>
          </cell>
          <cell r="O14">
            <v>0.39594143152089606</v>
          </cell>
          <cell r="P14">
            <v>0.18497524356229367</v>
          </cell>
          <cell r="Q14">
            <v>8.0907591686513776</v>
          </cell>
        </row>
        <row r="15">
          <cell r="B15" t="str">
            <v>Antiesen 23,5</v>
          </cell>
          <cell r="C15">
            <v>206805</v>
          </cell>
          <cell r="E15">
            <v>0.2542484236247482</v>
          </cell>
          <cell r="F15">
            <v>0.22070981298623671</v>
          </cell>
          <cell r="G15">
            <v>0.44786414406043162</v>
          </cell>
          <cell r="H15">
            <v>0.24561503854964031</v>
          </cell>
          <cell r="I15">
            <v>0.25434087137611511</v>
          </cell>
          <cell r="J15">
            <v>0.30993469769784171</v>
          </cell>
          <cell r="K15">
            <v>0.28585629282302155</v>
          </cell>
          <cell r="L15">
            <v>0.2603500318618705</v>
          </cell>
          <cell r="M15">
            <v>0.22357174459856113</v>
          </cell>
          <cell r="N15">
            <v>0.20149056802877699</v>
          </cell>
          <cell r="O15">
            <v>0.27129520551366909</v>
          </cell>
          <cell r="P15">
            <v>0.28554395594244608</v>
          </cell>
          <cell r="Q15">
            <v>3.2608207870633592</v>
          </cell>
        </row>
        <row r="16">
          <cell r="A16">
            <v>670</v>
          </cell>
          <cell r="B16" t="str">
            <v>Antiesen 21,7</v>
          </cell>
          <cell r="C16">
            <v>204750</v>
          </cell>
          <cell r="E16">
            <v>0.9934690123080655</v>
          </cell>
          <cell r="F16">
            <v>0.79128769029258272</v>
          </cell>
          <cell r="G16">
            <v>1.4831134820186775</v>
          </cell>
          <cell r="H16">
            <v>0.8825326829574287</v>
          </cell>
          <cell r="I16">
            <v>0.86022340786610052</v>
          </cell>
          <cell r="J16">
            <v>1.0826887379425107</v>
          </cell>
          <cell r="K16">
            <v>0.98980318541079448</v>
          </cell>
          <cell r="L16">
            <v>0.76106794238525155</v>
          </cell>
          <cell r="M16">
            <v>0.66423354789569433</v>
          </cell>
          <cell r="N16">
            <v>0.74722594073741666</v>
          </cell>
          <cell r="O16">
            <v>0.92594791236967866</v>
          </cell>
          <cell r="P16">
            <v>0.86128567960606417</v>
          </cell>
          <cell r="Q16">
            <v>11.042879221790265</v>
          </cell>
        </row>
        <row r="17">
          <cell r="B17" t="str">
            <v>Antiesen 16,8</v>
          </cell>
          <cell r="C17">
            <v>204750</v>
          </cell>
          <cell r="E17">
            <v>0.93742558456082481</v>
          </cell>
          <cell r="F17">
            <v>0.79278600936964094</v>
          </cell>
          <cell r="G17">
            <v>1.6564667086020615</v>
          </cell>
          <cell r="H17">
            <v>0.75567502287835053</v>
          </cell>
          <cell r="I17">
            <v>1.056091908618557</v>
          </cell>
          <cell r="J17">
            <v>1.1034090663587628</v>
          </cell>
          <cell r="K17">
            <v>1.0235394932288659</v>
          </cell>
          <cell r="L17">
            <v>0.90737550672494849</v>
          </cell>
          <cell r="M17">
            <v>0.73262706754639184</v>
          </cell>
          <cell r="N17">
            <v>0.73350718715876306</v>
          </cell>
          <cell r="O17">
            <v>0.91999700061030942</v>
          </cell>
          <cell r="P17">
            <v>0.99933231399587608</v>
          </cell>
          <cell r="Q17">
            <v>11.618232869653351</v>
          </cell>
        </row>
        <row r="18">
          <cell r="B18" t="str">
            <v>Faule Aschach 0,88</v>
          </cell>
          <cell r="C18">
            <v>206151</v>
          </cell>
          <cell r="E18">
            <v>0.3357966782191304</v>
          </cell>
          <cell r="F18">
            <v>0.31986019157613188</v>
          </cell>
          <cell r="G18">
            <v>0.83784418622608692</v>
          </cell>
          <cell r="H18">
            <v>0.14623086759652174</v>
          </cell>
          <cell r="I18">
            <v>0.10825816278260865</v>
          </cell>
          <cell r="J18">
            <v>0.20597733437217389</v>
          </cell>
          <cell r="K18">
            <v>0.12001197984</v>
          </cell>
          <cell r="L18">
            <v>0.26450667237286946</v>
          </cell>
          <cell r="M18">
            <v>0.21799783525565217</v>
          </cell>
          <cell r="N18">
            <v>0.22492143360000003</v>
          </cell>
          <cell r="O18">
            <v>1.833422794226087</v>
          </cell>
          <cell r="P18">
            <v>0.20232561064069565</v>
          </cell>
          <cell r="Q18">
            <v>4.817153746707957</v>
          </cell>
        </row>
        <row r="19">
          <cell r="B19" t="str">
            <v>D. Aschach 9,5</v>
          </cell>
          <cell r="C19">
            <v>205407</v>
          </cell>
          <cell r="E19">
            <v>0.16548665642666668</v>
          </cell>
          <cell r="F19">
            <v>0.17787461168769073</v>
          </cell>
          <cell r="G19">
            <v>0.32295241550787879</v>
          </cell>
          <cell r="H19">
            <v>0.10406022319515151</v>
          </cell>
          <cell r="I19">
            <v>9.1777595384242419E-2</v>
          </cell>
          <cell r="J19">
            <v>0.14481370807272731</v>
          </cell>
          <cell r="K19">
            <v>0.12256330763636365</v>
          </cell>
          <cell r="L19">
            <v>0.1860334160290909</v>
          </cell>
          <cell r="M19">
            <v>8.4833605820606062E-2</v>
          </cell>
          <cell r="N19">
            <v>0.10822450495999998</v>
          </cell>
          <cell r="O19">
            <v>0.82437068907878785</v>
          </cell>
          <cell r="P19">
            <v>0.1115917504989091</v>
          </cell>
          <cell r="Q19">
            <v>2.444582484298115</v>
          </cell>
        </row>
        <row r="20">
          <cell r="C20">
            <v>206169</v>
          </cell>
          <cell r="Q20" t="str">
            <v>k.Wert</v>
          </cell>
        </row>
        <row r="21">
          <cell r="A21">
            <v>1150</v>
          </cell>
          <cell r="B21" t="str">
            <v>Aschach 18,7</v>
          </cell>
          <cell r="C21">
            <v>205054</v>
          </cell>
          <cell r="E21">
            <v>1.8673420998603463</v>
          </cell>
          <cell r="F21">
            <v>2.0832739967654335</v>
          </cell>
          <cell r="G21">
            <v>4.176479624757464</v>
          </cell>
          <cell r="H21">
            <v>1.046998310755157</v>
          </cell>
          <cell r="I21">
            <v>0.92428476806790527</v>
          </cell>
          <cell r="J21">
            <v>1.3786902607180016</v>
          </cell>
          <cell r="K21">
            <v>0.7586497733581038</v>
          </cell>
          <cell r="L21">
            <v>1.7180303535374761</v>
          </cell>
          <cell r="M21">
            <v>1.0127838489264833</v>
          </cell>
          <cell r="N21">
            <v>0.81694271511974392</v>
          </cell>
          <cell r="O21">
            <v>10.594124907470087</v>
          </cell>
          <cell r="P21">
            <v>1.202221868302678</v>
          </cell>
          <cell r="Q21">
            <v>27.579822527638882</v>
          </cell>
        </row>
        <row r="22">
          <cell r="A22">
            <v>1160</v>
          </cell>
          <cell r="B22" t="str">
            <v>Aschach 5,4</v>
          </cell>
          <cell r="C22">
            <v>205054</v>
          </cell>
          <cell r="E22">
            <v>1.4372725926188339</v>
          </cell>
          <cell r="F22">
            <v>2.4880981613027546</v>
          </cell>
          <cell r="G22">
            <v>4.4111278707566948</v>
          </cell>
          <cell r="H22">
            <v>1.0435149468322868</v>
          </cell>
          <cell r="I22">
            <v>1.223052910397181</v>
          </cell>
          <cell r="J22">
            <v>1.7987843185506727</v>
          </cell>
          <cell r="K22">
            <v>0.98354253811249193</v>
          </cell>
          <cell r="L22">
            <v>1.6914782019486996</v>
          </cell>
          <cell r="M22">
            <v>1.2862593946954515</v>
          </cell>
          <cell r="N22">
            <v>0.89719384781427303</v>
          </cell>
          <cell r="O22">
            <v>2.8706376041919288</v>
          </cell>
          <cell r="P22">
            <v>1.3607256540508907</v>
          </cell>
          <cell r="Q22">
            <v>21.491688041272159</v>
          </cell>
        </row>
        <row r="23">
          <cell r="B23" t="str">
            <v>Enns 33,8</v>
          </cell>
          <cell r="C23">
            <v>205757</v>
          </cell>
          <cell r="E23">
            <v>3.3556446847280079</v>
          </cell>
          <cell r="F23">
            <v>2.7219880765492532</v>
          </cell>
          <cell r="G23">
            <v>8.9216357304374228</v>
          </cell>
          <cell r="H23">
            <v>12.709727656704068</v>
          </cell>
          <cell r="I23">
            <v>14.181562075763097</v>
          </cell>
          <cell r="J23">
            <v>49.742386794221574</v>
          </cell>
          <cell r="K23">
            <v>9.8723823869096297</v>
          </cell>
          <cell r="L23">
            <v>6.6340387519374229</v>
          </cell>
          <cell r="M23">
            <v>6.5478939243979903</v>
          </cell>
          <cell r="N23">
            <v>4.0151295711237962</v>
          </cell>
          <cell r="O23">
            <v>4.7447708391555006</v>
          </cell>
          <cell r="P23">
            <v>2.0719395204214486</v>
          </cell>
          <cell r="Q23">
            <v>125.51910001234923</v>
          </cell>
        </row>
        <row r="24">
          <cell r="B24" t="str">
            <v>Enns 17,8</v>
          </cell>
          <cell r="C24">
            <v>205922</v>
          </cell>
          <cell r="E24">
            <v>3.8231630192108739</v>
          </cell>
          <cell r="F24">
            <v>3.3418959900937009</v>
          </cell>
          <cell r="G24">
            <v>10.699942428595193</v>
          </cell>
          <cell r="H24">
            <v>10.712795285525916</v>
          </cell>
          <cell r="I24">
            <v>16.222306314230654</v>
          </cell>
          <cell r="J24">
            <v>45.880559415178006</v>
          </cell>
          <cell r="K24">
            <v>12.092320082409982</v>
          </cell>
          <cell r="L24">
            <v>6.5292745320474692</v>
          </cell>
          <cell r="M24">
            <v>6.4508781279399541</v>
          </cell>
          <cell r="N24">
            <v>3.9094750438137744</v>
          </cell>
          <cell r="O24">
            <v>4.7442481956222746</v>
          </cell>
          <cell r="P24">
            <v>1.9113167104899078</v>
          </cell>
          <cell r="Q24">
            <v>126.31817514515772</v>
          </cell>
        </row>
        <row r="25">
          <cell r="B25" t="str">
            <v>Enns 8,2</v>
          </cell>
          <cell r="C25">
            <v>205922</v>
          </cell>
          <cell r="E25">
            <v>4.1188078126033068</v>
          </cell>
          <cell r="F25">
            <v>4.6066488117273137</v>
          </cell>
          <cell r="G25">
            <v>8.8469357782152347</v>
          </cell>
          <cell r="H25">
            <v>8.7889328408581004</v>
          </cell>
          <cell r="I25">
            <v>19.08715384124962</v>
          </cell>
          <cell r="J25">
            <v>14.708607620621159</v>
          </cell>
          <cell r="K25">
            <v>14.642251157586776</v>
          </cell>
          <cell r="L25">
            <v>10.146604619914068</v>
          </cell>
          <cell r="M25">
            <v>7.2462725931717218</v>
          </cell>
          <cell r="N25">
            <v>8.7992772668136734</v>
          </cell>
          <cell r="O25">
            <v>5.2521637295413326</v>
          </cell>
          <cell r="P25">
            <v>2.489077188657268</v>
          </cell>
          <cell r="Q25">
            <v>108.73273326095958</v>
          </cell>
        </row>
        <row r="26">
          <cell r="A26">
            <v>4080</v>
          </cell>
          <cell r="B26" t="str">
            <v>Enns 2,7</v>
          </cell>
          <cell r="C26">
            <v>205922</v>
          </cell>
          <cell r="E26">
            <v>3.5315238724795619</v>
          </cell>
          <cell r="F26">
            <v>3.0181679504182775</v>
          </cell>
          <cell r="G26">
            <v>9.606922958479359</v>
          </cell>
          <cell r="H26">
            <v>8.823466292425195</v>
          </cell>
          <cell r="I26">
            <v>11.178944983556141</v>
          </cell>
          <cell r="J26">
            <v>39.987778322633936</v>
          </cell>
          <cell r="K26">
            <v>8.0336064162880607</v>
          </cell>
          <cell r="L26">
            <v>7.6526676693796931</v>
          </cell>
          <cell r="M26">
            <v>7.8583845945893103</v>
          </cell>
          <cell r="N26">
            <v>5.3586351446053344</v>
          </cell>
          <cell r="O26">
            <v>4.8465104466128421</v>
          </cell>
          <cell r="P26">
            <v>1.9155760919269706</v>
          </cell>
          <cell r="Q26">
            <v>111.81218474339468</v>
          </cell>
        </row>
        <row r="27">
          <cell r="A27">
            <v>1570</v>
          </cell>
          <cell r="B27" t="str">
            <v>Feldaist 31</v>
          </cell>
          <cell r="C27">
            <v>205948</v>
          </cell>
          <cell r="E27">
            <v>9.3952119152676039E-2</v>
          </cell>
          <cell r="F27">
            <v>8.3476897136862557E-2</v>
          </cell>
          <cell r="G27">
            <v>0.23640442954140842</v>
          </cell>
          <cell r="H27">
            <v>0.16736659038647883</v>
          </cell>
          <cell r="I27">
            <v>7.3663542650140842E-2</v>
          </cell>
          <cell r="J27">
            <v>0.15041253214647887</v>
          </cell>
          <cell r="K27">
            <v>0.13367582653746479</v>
          </cell>
          <cell r="L27">
            <v>0.4951647596304225</v>
          </cell>
          <cell r="M27">
            <v>8.1593340860845062E-2</v>
          </cell>
          <cell r="N27">
            <v>6.7640284295211281E-2</v>
          </cell>
          <cell r="O27">
            <v>6.5103159851267592E-2</v>
          </cell>
          <cell r="P27">
            <v>5.4259861318309857E-2</v>
          </cell>
          <cell r="Q27">
            <v>1.702713343507567</v>
          </cell>
        </row>
        <row r="28">
          <cell r="B28" t="str">
            <v>Feldaist 29,2</v>
          </cell>
          <cell r="C28">
            <v>205948</v>
          </cell>
          <cell r="E28">
            <v>0.20389129197971831</v>
          </cell>
          <cell r="F28">
            <v>0.39248056276732396</v>
          </cell>
          <cell r="G28">
            <v>0.48705520612056336</v>
          </cell>
          <cell r="H28">
            <v>0.42345828219042247</v>
          </cell>
          <cell r="I28">
            <v>0.24881438259380281</v>
          </cell>
          <cell r="J28">
            <v>0.38318198440563384</v>
          </cell>
          <cell r="K28">
            <v>0.49011816566535216</v>
          </cell>
          <cell r="L28">
            <v>0.62927081884394365</v>
          </cell>
          <cell r="M28">
            <v>0.23257980851830984</v>
          </cell>
          <cell r="N28">
            <v>0.16854065912788732</v>
          </cell>
          <cell r="O28">
            <v>0.16774932359661973</v>
          </cell>
          <cell r="P28">
            <v>0.11893422992045069</v>
          </cell>
          <cell r="Q28">
            <v>3.946074715730028</v>
          </cell>
        </row>
        <row r="29">
          <cell r="B29" t="str">
            <v>Feldaist 17,45</v>
          </cell>
          <cell r="C29">
            <v>206581</v>
          </cell>
          <cell r="E29">
            <v>0.45724241694520079</v>
          </cell>
          <cell r="F29">
            <v>0.56591976266677846</v>
          </cell>
          <cell r="G29">
            <v>0.9434660215501901</v>
          </cell>
          <cell r="H29">
            <v>0.64804428421801274</v>
          </cell>
          <cell r="I29">
            <v>0.4625401960956026</v>
          </cell>
          <cell r="J29">
            <v>2.1990244989131922</v>
          </cell>
          <cell r="K29">
            <v>0.69811179308219884</v>
          </cell>
          <cell r="L29">
            <v>1.3361020247119662</v>
          </cell>
          <cell r="M29">
            <v>0.38171157990697663</v>
          </cell>
          <cell r="N29">
            <v>0.29186585610241028</v>
          </cell>
          <cell r="O29">
            <v>0.32806678009281193</v>
          </cell>
          <cell r="P29">
            <v>0.25619861243903597</v>
          </cell>
          <cell r="Q29">
            <v>8.5682938267243767</v>
          </cell>
        </row>
        <row r="30">
          <cell r="C30">
            <v>206680</v>
          </cell>
          <cell r="Q30" t="str">
            <v>k.Wert</v>
          </cell>
        </row>
        <row r="31">
          <cell r="A31">
            <v>1590</v>
          </cell>
          <cell r="B31" t="str">
            <v>Waldaist 2,4</v>
          </cell>
          <cell r="C31">
            <v>205971</v>
          </cell>
          <cell r="E31">
            <v>0.19287745156145</v>
          </cell>
          <cell r="F31">
            <v>0.36850757977090315</v>
          </cell>
          <cell r="G31">
            <v>0.71441692719365679</v>
          </cell>
          <cell r="H31">
            <v>0.92536883583404228</v>
          </cell>
          <cell r="I31">
            <v>0.4530103902058838</v>
          </cell>
          <cell r="J31">
            <v>0.37083164600082402</v>
          </cell>
          <cell r="K31">
            <v>0.33233819505206591</v>
          </cell>
          <cell r="L31">
            <v>1.1099879023662087</v>
          </cell>
          <cell r="M31">
            <v>0.17857332488589939</v>
          </cell>
          <cell r="N31">
            <v>0.13518196594612372</v>
          </cell>
          <cell r="O31">
            <v>0.26622855723187472</v>
          </cell>
          <cell r="P31">
            <v>0.16527128587192388</v>
          </cell>
          <cell r="Q31">
            <v>5.2125940619208562</v>
          </cell>
        </row>
        <row r="32">
          <cell r="B32" t="str">
            <v>Große Mühl 52,1</v>
          </cell>
          <cell r="C32">
            <v>204891</v>
          </cell>
          <cell r="E32">
            <v>0.34728577135922328</v>
          </cell>
          <cell r="F32">
            <v>0.25015866120301311</v>
          </cell>
          <cell r="G32">
            <v>0.39091234875961173</v>
          </cell>
          <cell r="H32">
            <v>0.53122662980970869</v>
          </cell>
          <cell r="I32">
            <v>0.21189529472038837</v>
          </cell>
          <cell r="J32">
            <v>0.21149002765980585</v>
          </cell>
          <cell r="K32">
            <v>0.19446321848446602</v>
          </cell>
          <cell r="L32">
            <v>0.19189950786034959</v>
          </cell>
          <cell r="M32">
            <v>0.16869172897398063</v>
          </cell>
          <cell r="N32">
            <v>0.12883631654097091</v>
          </cell>
          <cell r="O32">
            <v>0.25869084774174755</v>
          </cell>
          <cell r="P32">
            <v>0.16728767022932042</v>
          </cell>
          <cell r="Q32">
            <v>3.052838023342586</v>
          </cell>
        </row>
        <row r="33">
          <cell r="A33">
            <v>1140</v>
          </cell>
          <cell r="B33" t="str">
            <v>Große Mühl 30,9</v>
          </cell>
          <cell r="C33">
            <v>204917</v>
          </cell>
          <cell r="E33">
            <v>1.0134821765530573</v>
          </cell>
          <cell r="F33">
            <v>0.44766944286158156</v>
          </cell>
          <cell r="G33">
            <v>0.57697827623950659</v>
          </cell>
          <cell r="H33">
            <v>0.89565529152461243</v>
          </cell>
          <cell r="I33">
            <v>0.3375560098149481</v>
          </cell>
          <cell r="J33">
            <v>0.31670773548618625</v>
          </cell>
          <cell r="K33">
            <v>0.32186491690183222</v>
          </cell>
          <cell r="L33">
            <v>0.33291433261945075</v>
          </cell>
          <cell r="M33">
            <v>0.24819826794639166</v>
          </cell>
          <cell r="N33">
            <v>0.18161051920313098</v>
          </cell>
          <cell r="O33">
            <v>0.6389046601440137</v>
          </cell>
          <cell r="P33">
            <v>0.24479104962646819</v>
          </cell>
          <cell r="Q33">
            <v>5.55633267892118</v>
          </cell>
        </row>
        <row r="34">
          <cell r="B34" t="str">
            <v>Große Mühl 21,8</v>
          </cell>
          <cell r="C34">
            <v>204933</v>
          </cell>
          <cell r="E34">
            <v>2.0176428462225564</v>
          </cell>
          <cell r="F34">
            <v>1.3387856571873662</v>
          </cell>
          <cell r="G34">
            <v>1.4867063045816895</v>
          </cell>
          <cell r="H34">
            <v>1.5402595102630692</v>
          </cell>
          <cell r="I34">
            <v>0.71836145300698817</v>
          </cell>
          <cell r="J34">
            <v>0.75620261550092893</v>
          </cell>
          <cell r="K34">
            <v>0.8646934309714287</v>
          </cell>
          <cell r="L34">
            <v>0.99588584362529853</v>
          </cell>
          <cell r="M34">
            <v>0.65347406209146397</v>
          </cell>
          <cell r="N34">
            <v>0.39718783197983193</v>
          </cell>
          <cell r="O34">
            <v>1.8573240730147722</v>
          </cell>
          <cell r="P34">
            <v>0.42267964732702351</v>
          </cell>
          <cell r="Q34">
            <v>13.049203275772417</v>
          </cell>
        </row>
        <row r="35">
          <cell r="C35">
            <v>206656</v>
          </cell>
          <cell r="Q35" t="str">
            <v>k.Wert</v>
          </cell>
        </row>
        <row r="36">
          <cell r="B36" t="str">
            <v>Große Rodl 23,2</v>
          </cell>
          <cell r="C36">
            <v>205088</v>
          </cell>
          <cell r="E36">
            <v>1.1540039299377309</v>
          </cell>
          <cell r="F36">
            <v>1.097567892316732</v>
          </cell>
          <cell r="G36">
            <v>1.0736186623313986</v>
          </cell>
          <cell r="H36">
            <v>1.4783168837857523</v>
          </cell>
          <cell r="I36">
            <v>0.3232183733724539</v>
          </cell>
          <cell r="J36">
            <v>0.32614630774385228</v>
          </cell>
          <cell r="K36">
            <v>0.35876202579831135</v>
          </cell>
          <cell r="L36">
            <v>2.5107298551517681</v>
          </cell>
          <cell r="M36">
            <v>0.39788055396474942</v>
          </cell>
          <cell r="N36">
            <v>0.28047091666891827</v>
          </cell>
          <cell r="O36">
            <v>0.41656321550754621</v>
          </cell>
          <cell r="P36">
            <v>0.31521085711029034</v>
          </cell>
          <cell r="Q36">
            <v>9.7324894736895029</v>
          </cell>
        </row>
        <row r="37">
          <cell r="B37" t="str">
            <v>Gusen 19,6</v>
          </cell>
          <cell r="C37">
            <v>206573</v>
          </cell>
          <cell r="E37">
            <v>0.52342370731636356</v>
          </cell>
          <cell r="F37">
            <v>0.43295201974595354</v>
          </cell>
          <cell r="G37">
            <v>0.65548143083673838</v>
          </cell>
          <cell r="H37">
            <v>0.40823463043973751</v>
          </cell>
          <cell r="I37">
            <v>0.81641470577971875</v>
          </cell>
          <cell r="J37">
            <v>0.4379427981710215</v>
          </cell>
          <cell r="K37">
            <v>0.40151416397600753</v>
          </cell>
          <cell r="L37">
            <v>0.51680838981053412</v>
          </cell>
          <cell r="M37">
            <v>0.27460749967085279</v>
          </cell>
          <cell r="N37">
            <v>0.234020089948791</v>
          </cell>
          <cell r="O37">
            <v>0.37979295967940008</v>
          </cell>
          <cell r="P37">
            <v>0.21071180393045172</v>
          </cell>
          <cell r="Q37">
            <v>5.29190419930557</v>
          </cell>
        </row>
        <row r="38">
          <cell r="A38">
            <v>1370</v>
          </cell>
          <cell r="B38" t="str">
            <v>Gusen 15,7</v>
          </cell>
          <cell r="C38">
            <v>206375</v>
          </cell>
          <cell r="E38">
            <v>0.87346896958802789</v>
          </cell>
          <cell r="F38">
            <v>0.84866735152985207</v>
          </cell>
          <cell r="G38">
            <v>1.4327088817047544</v>
          </cell>
          <cell r="H38">
            <v>0.85558141128093512</v>
          </cell>
          <cell r="I38">
            <v>0.60263414639438806</v>
          </cell>
          <cell r="J38">
            <v>0.58895492832673424</v>
          </cell>
          <cell r="K38">
            <v>0.76419435818300852</v>
          </cell>
          <cell r="L38">
            <v>0.93150105271070915</v>
          </cell>
          <cell r="M38">
            <v>0.32155914483329689</v>
          </cell>
          <cell r="N38">
            <v>0.36547984017259544</v>
          </cell>
          <cell r="O38">
            <v>0.52448853191008571</v>
          </cell>
          <cell r="P38">
            <v>0.48343892952991413</v>
          </cell>
          <cell r="Q38">
            <v>8.5926775461643015</v>
          </cell>
        </row>
        <row r="39">
          <cell r="B39" t="str">
            <v>Gusen 10,4</v>
          </cell>
          <cell r="C39">
            <v>206375</v>
          </cell>
          <cell r="E39">
            <v>1.2055881227990646</v>
          </cell>
          <cell r="F39">
            <v>0.97000613914757983</v>
          </cell>
          <cell r="G39">
            <v>1.6376338874076388</v>
          </cell>
          <cell r="H39">
            <v>0.97777997116134063</v>
          </cell>
          <cell r="I39">
            <v>0.76944089127731885</v>
          </cell>
          <cell r="J39">
            <v>0.67657424621667961</v>
          </cell>
          <cell r="K39">
            <v>1.0235317879220578</v>
          </cell>
          <cell r="L39">
            <v>1.1967257927532347</v>
          </cell>
          <cell r="M39">
            <v>0.421568343694466</v>
          </cell>
          <cell r="N39">
            <v>0.47241047942010911</v>
          </cell>
          <cell r="O39">
            <v>0.65678401144255638</v>
          </cell>
          <cell r="P39">
            <v>0.5269350666275916</v>
          </cell>
          <cell r="Q39">
            <v>10.534978739869638</v>
          </cell>
        </row>
        <row r="40">
          <cell r="B40" t="str">
            <v>Gusen 6,1</v>
          </cell>
          <cell r="C40">
            <v>206375</v>
          </cell>
          <cell r="E40">
            <v>1.0874280433922991</v>
          </cell>
          <cell r="F40">
            <v>1.0460290053328891</v>
          </cell>
          <cell r="G40">
            <v>1.6709715425321903</v>
          </cell>
          <cell r="H40">
            <v>1.0875781082413096</v>
          </cell>
          <cell r="I40">
            <v>0.6639961610435543</v>
          </cell>
          <cell r="J40">
            <v>0.73479074362961816</v>
          </cell>
          <cell r="K40">
            <v>0.95856742589555755</v>
          </cell>
          <cell r="L40">
            <v>1.275738476116602</v>
          </cell>
          <cell r="M40">
            <v>0.98363947802338292</v>
          </cell>
          <cell r="N40">
            <v>0.49613545385003904</v>
          </cell>
          <cell r="O40">
            <v>0.73343342070322681</v>
          </cell>
          <cell r="P40">
            <v>0.54663050069200314</v>
          </cell>
          <cell r="Q40">
            <v>11.284938359452674</v>
          </cell>
        </row>
        <row r="41">
          <cell r="A41">
            <v>1380</v>
          </cell>
          <cell r="B41" t="str">
            <v>Gusen 2,1</v>
          </cell>
          <cell r="C41">
            <v>206375</v>
          </cell>
          <cell r="E41">
            <v>1.220893979690413</v>
          </cell>
          <cell r="F41">
            <v>1.2733959951189397</v>
          </cell>
          <cell r="G41">
            <v>2.2008485920517535</v>
          </cell>
          <cell r="H41">
            <v>1.2288677392390335</v>
          </cell>
          <cell r="I41">
            <v>0.74099794675286035</v>
          </cell>
          <cell r="J41">
            <v>0.78552833006890099</v>
          </cell>
          <cell r="K41">
            <v>0.9999555172470771</v>
          </cell>
          <cell r="L41">
            <v>1.4052145048891662</v>
          </cell>
          <cell r="M41">
            <v>0.50690393836695236</v>
          </cell>
          <cell r="N41">
            <v>0.56779087976866693</v>
          </cell>
          <cell r="O41">
            <v>0.89410838339279808</v>
          </cell>
          <cell r="P41">
            <v>0.70310826164876061</v>
          </cell>
          <cell r="Q41">
            <v>12.527614068235321</v>
          </cell>
        </row>
        <row r="42">
          <cell r="A42">
            <v>1360</v>
          </cell>
          <cell r="B42" t="str">
            <v>Kleine Gusen 0,1</v>
          </cell>
          <cell r="C42">
            <v>206854</v>
          </cell>
          <cell r="E42">
            <v>0.3859511976246639</v>
          </cell>
          <cell r="F42">
            <v>0.41848752138301748</v>
          </cell>
          <cell r="G42">
            <v>0.73641507446703558</v>
          </cell>
          <cell r="H42">
            <v>0.42186669368158097</v>
          </cell>
          <cell r="I42">
            <v>0.17136038469343873</v>
          </cell>
          <cell r="J42">
            <v>0.20325518791778655</v>
          </cell>
          <cell r="K42">
            <v>0.34797968588774708</v>
          </cell>
          <cell r="L42">
            <v>0.4824662060622924</v>
          </cell>
          <cell r="M42">
            <v>0.16127924707351782</v>
          </cell>
          <cell r="N42">
            <v>0.1524099856743083</v>
          </cell>
          <cell r="O42">
            <v>0.22181348117976282</v>
          </cell>
          <cell r="P42">
            <v>0.1911044088284585</v>
          </cell>
          <cell r="Q42">
            <v>3.8943890744736094</v>
          </cell>
        </row>
        <row r="43">
          <cell r="C43">
            <v>206771</v>
          </cell>
          <cell r="Q43" t="str">
            <v>k.Wert</v>
          </cell>
        </row>
        <row r="44">
          <cell r="B44" t="str">
            <v>Krems 54,8</v>
          </cell>
          <cell r="C44">
            <v>205633</v>
          </cell>
          <cell r="E44">
            <v>4.2693018190835576E-2</v>
          </cell>
          <cell r="F44">
            <v>0.26965236461748493</v>
          </cell>
          <cell r="G44">
            <v>0.23846253946738541</v>
          </cell>
          <cell r="H44">
            <v>5.7971922800215646E-2</v>
          </cell>
          <cell r="I44">
            <v>3.8137523876442057E-2</v>
          </cell>
          <cell r="J44">
            <v>0.10271711687676548</v>
          </cell>
          <cell r="K44">
            <v>4.9237903385660371E-2</v>
          </cell>
          <cell r="L44">
            <v>5.1918210497983841E-2</v>
          </cell>
          <cell r="M44">
            <v>2.5447582600495962E-2</v>
          </cell>
          <cell r="N44">
            <v>3.2526720752021565E-2</v>
          </cell>
          <cell r="O44">
            <v>4.4318021990943403E-2</v>
          </cell>
          <cell r="P44">
            <v>5.2907983040862527E-2</v>
          </cell>
          <cell r="Q44">
            <v>1.0059909080970968</v>
          </cell>
        </row>
        <row r="45">
          <cell r="A45">
            <v>1320</v>
          </cell>
          <cell r="B45" t="str">
            <v>Krems 36,5</v>
          </cell>
          <cell r="C45">
            <v>205641</v>
          </cell>
          <cell r="E45">
            <v>0.49427288100000005</v>
          </cell>
          <cell r="F45">
            <v>0.49951378629310356</v>
          </cell>
          <cell r="G45">
            <v>1.5887402100000001</v>
          </cell>
          <cell r="H45">
            <v>0.43761357000000006</v>
          </cell>
          <cell r="I45">
            <v>0.38017545750000004</v>
          </cell>
          <cell r="J45">
            <v>0.69799114800000017</v>
          </cell>
          <cell r="K45">
            <v>0.43817471775000011</v>
          </cell>
          <cell r="L45">
            <v>0.40237744679999998</v>
          </cell>
          <cell r="M45">
            <v>0.38003140980000005</v>
          </cell>
          <cell r="N45">
            <v>0.33671771550000001</v>
          </cell>
          <cell r="O45">
            <v>0.46237689000000004</v>
          </cell>
          <cell r="P45">
            <v>0.98751394350000032</v>
          </cell>
          <cell r="Q45">
            <v>7.1054991761431037</v>
          </cell>
        </row>
        <row r="46">
          <cell r="B46" t="str">
            <v>Krems 12,8</v>
          </cell>
          <cell r="C46">
            <v>205658</v>
          </cell>
          <cell r="E46">
            <v>0.66523950876478677</v>
          </cell>
          <cell r="F46">
            <v>1.540578028318019</v>
          </cell>
          <cell r="G46">
            <v>1.9560993864759286</v>
          </cell>
          <cell r="H46">
            <v>0.51343352952957355</v>
          </cell>
          <cell r="I46">
            <v>0.38987477152242095</v>
          </cell>
          <cell r="J46">
            <v>4.073395817463549</v>
          </cell>
          <cell r="K46">
            <v>0.5754164265408529</v>
          </cell>
          <cell r="L46">
            <v>0.65507459814470437</v>
          </cell>
          <cell r="M46">
            <v>1.2665579821403028</v>
          </cell>
          <cell r="N46">
            <v>0.6264842059510316</v>
          </cell>
          <cell r="O46">
            <v>1.2971024789744154</v>
          </cell>
          <cell r="P46">
            <v>1.953694494113893</v>
          </cell>
          <cell r="Q46">
            <v>15.512951227939478</v>
          </cell>
        </row>
        <row r="47">
          <cell r="A47">
            <v>1330</v>
          </cell>
          <cell r="B47" t="str">
            <v>Krems 7,9</v>
          </cell>
          <cell r="C47">
            <v>205658</v>
          </cell>
          <cell r="E47">
            <v>1.8968572900463274</v>
          </cell>
          <cell r="F47">
            <v>1.0828977613931683</v>
          </cell>
          <cell r="G47">
            <v>4.2423074345225871</v>
          </cell>
          <cell r="H47">
            <v>1.0198264948846218</v>
          </cell>
          <cell r="I47">
            <v>1.251378092809684</v>
          </cell>
          <cell r="J47">
            <v>2.8936746461631913</v>
          </cell>
          <cell r="K47">
            <v>1.5577515967454196</v>
          </cell>
          <cell r="L47">
            <v>0.90997368007553248</v>
          </cell>
          <cell r="M47">
            <v>1.0266063114651998</v>
          </cell>
          <cell r="N47">
            <v>0.69823586489397538</v>
          </cell>
          <cell r="O47">
            <v>1.1880661517618709</v>
          </cell>
          <cell r="P47">
            <v>1.2593763687297941</v>
          </cell>
          <cell r="Q47">
            <v>19.02695169349137</v>
          </cell>
        </row>
        <row r="48">
          <cell r="B48" t="str">
            <v>Mattig 36,3</v>
          </cell>
          <cell r="C48">
            <v>204586</v>
          </cell>
          <cell r="E48">
            <v>4.2027046326486489E-2</v>
          </cell>
          <cell r="F48">
            <v>4.2025099532898409E-2</v>
          </cell>
          <cell r="G48">
            <v>6.1273381148108118E-2</v>
          </cell>
          <cell r="H48">
            <v>4.4891248605405415E-2</v>
          </cell>
          <cell r="I48">
            <v>4.7242527961081082E-2</v>
          </cell>
          <cell r="J48">
            <v>5.6758038317837843E-2</v>
          </cell>
          <cell r="K48">
            <v>4.0178778050810819E-2</v>
          </cell>
          <cell r="L48">
            <v>0.18989739558918919</v>
          </cell>
          <cell r="M48">
            <v>3.2099301881081087E-2</v>
          </cell>
          <cell r="N48">
            <v>3.3339574523243244E-2</v>
          </cell>
          <cell r="O48">
            <v>5.800551509189189E-2</v>
          </cell>
          <cell r="P48">
            <v>4.9575075165405415E-2</v>
          </cell>
          <cell r="Q48">
            <v>0.69731298219343896</v>
          </cell>
        </row>
        <row r="49">
          <cell r="B49" t="str">
            <v>Mattig 25,1</v>
          </cell>
          <cell r="C49">
            <v>204610</v>
          </cell>
          <cell r="E49">
            <v>8.7007518787764707E-2</v>
          </cell>
          <cell r="F49">
            <v>0.11810145733608927</v>
          </cell>
          <cell r="G49">
            <v>0.26144603056588239</v>
          </cell>
          <cell r="H49">
            <v>0.15204244807058828</v>
          </cell>
          <cell r="I49">
            <v>0.21211116525529419</v>
          </cell>
          <cell r="J49">
            <v>0.20334086081682354</v>
          </cell>
          <cell r="K49">
            <v>0.15841222486835296</v>
          </cell>
          <cell r="L49">
            <v>1.1071672001534119</v>
          </cell>
          <cell r="M49">
            <v>0.11169861041858824</v>
          </cell>
          <cell r="N49">
            <v>9.5550668895705862E-2</v>
          </cell>
          <cell r="O49">
            <v>0.21448171681305883</v>
          </cell>
          <cell r="P49">
            <v>7.9329591095294111E-2</v>
          </cell>
          <cell r="Q49">
            <v>2.8006894930768538</v>
          </cell>
        </row>
        <row r="50">
          <cell r="B50" t="str">
            <v>Mattig 18,1</v>
          </cell>
          <cell r="C50">
            <v>204610</v>
          </cell>
          <cell r="E50">
            <v>0.32324924654682352</v>
          </cell>
          <cell r="F50">
            <v>0.35169989637673021</v>
          </cell>
          <cell r="G50">
            <v>0.784871802677647</v>
          </cell>
          <cell r="H50">
            <v>0.35906524839529408</v>
          </cell>
          <cell r="I50">
            <v>0.4840060631717647</v>
          </cell>
          <cell r="J50">
            <v>0.48187475207152941</v>
          </cell>
          <cell r="K50">
            <v>0.39840756350399992</v>
          </cell>
          <cell r="L50">
            <v>0.82906083700517641</v>
          </cell>
          <cell r="M50">
            <v>0.32376203285082356</v>
          </cell>
          <cell r="N50">
            <v>0.27566179045411765</v>
          </cell>
          <cell r="O50">
            <v>0.40472291108329417</v>
          </cell>
          <cell r="P50">
            <v>0.26001178744658821</v>
          </cell>
          <cell r="Q50">
            <v>5.2763939315837902</v>
          </cell>
        </row>
        <row r="51">
          <cell r="A51">
            <v>630</v>
          </cell>
          <cell r="B51" t="str">
            <v>Mattig 1,93</v>
          </cell>
          <cell r="C51">
            <v>204677</v>
          </cell>
          <cell r="E51">
            <v>0.57097033547030651</v>
          </cell>
          <cell r="F51">
            <v>0.57970807236088617</v>
          </cell>
          <cell r="G51">
            <v>1.4455724206120386</v>
          </cell>
          <cell r="H51">
            <v>0.71402458236383992</v>
          </cell>
          <cell r="I51">
            <v>0.99437550898724558</v>
          </cell>
          <cell r="J51">
            <v>0.93524661610686965</v>
          </cell>
          <cell r="K51">
            <v>0.79814965990780939</v>
          </cell>
          <cell r="L51">
            <v>1.3651521569659251</v>
          </cell>
          <cell r="M51">
            <v>0.6162994411467444</v>
          </cell>
          <cell r="N51">
            <v>0.51413667922971584</v>
          </cell>
          <cell r="O51">
            <v>0.68234572323759224</v>
          </cell>
          <cell r="P51">
            <v>0.45936354488109205</v>
          </cell>
          <cell r="Q51">
            <v>9.6753447412700666</v>
          </cell>
        </row>
        <row r="52">
          <cell r="C52">
            <v>206748</v>
          </cell>
          <cell r="Q52" t="str">
            <v>k.Wert</v>
          </cell>
        </row>
        <row r="53">
          <cell r="A53">
            <v>1630</v>
          </cell>
          <cell r="B53" t="str">
            <v>Naarn 49,85</v>
          </cell>
          <cell r="C53">
            <v>205997</v>
          </cell>
          <cell r="E53">
            <v>4.3731546727164179E-2</v>
          </cell>
          <cell r="F53">
            <v>9.8189805870509558E-2</v>
          </cell>
          <cell r="G53">
            <v>0.18493713246089552</v>
          </cell>
          <cell r="H53">
            <v>0.17990838900537312</v>
          </cell>
          <cell r="I53">
            <v>7.8720092919403004E-2</v>
          </cell>
          <cell r="J53">
            <v>9.3824571417313429E-2</v>
          </cell>
          <cell r="K53">
            <v>8.8730624525373156E-2</v>
          </cell>
          <cell r="L53">
            <v>6.4401909498268656E-2</v>
          </cell>
          <cell r="M53">
            <v>4.5597067337552241E-2</v>
          </cell>
          <cell r="N53">
            <v>4.9591508088358209E-2</v>
          </cell>
          <cell r="O53">
            <v>4.4126755028059704E-2</v>
          </cell>
          <cell r="P53">
            <v>3.0462305910447761E-2</v>
          </cell>
          <cell r="Q53">
            <v>1.0022217087887184</v>
          </cell>
        </row>
        <row r="54">
          <cell r="B54" t="str">
            <v>Naarn 13,7</v>
          </cell>
          <cell r="C54">
            <v>206029</v>
          </cell>
          <cell r="E54">
            <v>0.41880847413426592</v>
          </cell>
          <cell r="F54">
            <v>0.43853877084201637</v>
          </cell>
          <cell r="G54">
            <v>1.9415291092877602</v>
          </cell>
          <cell r="H54">
            <v>0.95774363256483008</v>
          </cell>
          <cell r="I54">
            <v>0.70269163916436828</v>
          </cell>
          <cell r="J54">
            <v>0.79415613678548314</v>
          </cell>
          <cell r="K54">
            <v>0.97555972714467831</v>
          </cell>
          <cell r="L54">
            <v>0.37642752235825527</v>
          </cell>
          <cell r="M54">
            <v>0.32058846280769127</v>
          </cell>
          <cell r="N54">
            <v>0.33291823953889804</v>
          </cell>
          <cell r="O54">
            <v>0.29117610697670737</v>
          </cell>
          <cell r="P54">
            <v>0.18951718579979149</v>
          </cell>
          <cell r="Q54">
            <v>7.7396550074047461</v>
          </cell>
        </row>
        <row r="55">
          <cell r="C55">
            <v>210526</v>
          </cell>
          <cell r="Q55" t="str">
            <v>k.Wert</v>
          </cell>
        </row>
        <row r="56">
          <cell r="A56">
            <v>4000</v>
          </cell>
          <cell r="B56" t="str">
            <v>Traun obere 130,93</v>
          </cell>
          <cell r="C56">
            <v>205104</v>
          </cell>
          <cell r="E56">
            <v>0.45203436867272734</v>
          </cell>
          <cell r="F56">
            <v>0.23037263758369078</v>
          </cell>
          <cell r="G56">
            <v>0.70257746863636361</v>
          </cell>
          <cell r="H56">
            <v>1.1121054595126794</v>
          </cell>
          <cell r="I56">
            <v>1.2224308567069377</v>
          </cell>
          <cell r="J56">
            <v>1.8177996154241622</v>
          </cell>
          <cell r="K56">
            <v>0.85545955908732052</v>
          </cell>
          <cell r="L56">
            <v>0.67173781044918657</v>
          </cell>
          <cell r="M56">
            <v>0.51030425203277507</v>
          </cell>
          <cell r="N56">
            <v>0.25525453438528706</v>
          </cell>
          <cell r="O56">
            <v>0.52588816695215312</v>
          </cell>
          <cell r="P56">
            <v>0.21832622012325359</v>
          </cell>
          <cell r="Q56">
            <v>8.5742909495665369</v>
          </cell>
        </row>
        <row r="57">
          <cell r="B57" t="str">
            <v>Traun obere 117,95</v>
          </cell>
          <cell r="C57">
            <v>205146</v>
          </cell>
          <cell r="E57">
            <v>0.28377826498322495</v>
          </cell>
          <cell r="F57">
            <v>0.2417217592634994</v>
          </cell>
          <cell r="G57">
            <v>0.45963879679135228</v>
          </cell>
          <cell r="H57">
            <v>0.80587469990247074</v>
          </cell>
          <cell r="I57">
            <v>1.6154593788803639</v>
          </cell>
          <cell r="J57">
            <v>1.1582834739811443</v>
          </cell>
          <cell r="K57">
            <v>0.71925284419115743</v>
          </cell>
          <cell r="L57">
            <v>0.57768758790507135</v>
          </cell>
          <cell r="M57">
            <v>0.56498344744798434</v>
          </cell>
          <cell r="N57">
            <v>0.3197577183729518</v>
          </cell>
          <cell r="O57">
            <v>0.31004121621768527</v>
          </cell>
          <cell r="P57">
            <v>0.22773886185721715</v>
          </cell>
          <cell r="Q57">
            <v>7.2842180497941236</v>
          </cell>
        </row>
        <row r="58">
          <cell r="B58" t="str">
            <v>Traun obere 103,2</v>
          </cell>
          <cell r="C58">
            <v>205153</v>
          </cell>
          <cell r="E58">
            <v>0.45389946457139679</v>
          </cell>
          <cell r="F58">
            <v>0.35025708526065369</v>
          </cell>
          <cell r="G58">
            <v>0.6838253912884199</v>
          </cell>
          <cell r="H58">
            <v>1.379470583786726</v>
          </cell>
          <cell r="I58">
            <v>1.8007668638422663</v>
          </cell>
          <cell r="J58">
            <v>3.2588079580172171</v>
          </cell>
          <cell r="K58">
            <v>0.96448885098028325</v>
          </cell>
          <cell r="L58">
            <v>0.96468624134362702</v>
          </cell>
          <cell r="M58">
            <v>0.81139717720522075</v>
          </cell>
          <cell r="N58">
            <v>0.36366203868703145</v>
          </cell>
          <cell r="O58">
            <v>0.57603203336184394</v>
          </cell>
          <cell r="P58">
            <v>0.25618302185348518</v>
          </cell>
          <cell r="Q58">
            <v>11.863476710198171</v>
          </cell>
        </row>
        <row r="59">
          <cell r="B59" t="str">
            <v>Traun obere 86,65</v>
          </cell>
          <cell r="C59">
            <v>206128</v>
          </cell>
          <cell r="E59">
            <v>0.72387046826670398</v>
          </cell>
          <cell r="F59">
            <v>0.7139073640526159</v>
          </cell>
          <cell r="G59">
            <v>1.1836319909127759</v>
          </cell>
          <cell r="H59">
            <v>2.0411788152781662</v>
          </cell>
          <cell r="I59">
            <v>2.0701957705563321</v>
          </cell>
          <cell r="J59">
            <v>7.4731670604095628</v>
          </cell>
          <cell r="K59">
            <v>1.3885041151006432</v>
          </cell>
          <cell r="L59">
            <v>1.286424464205759</v>
          </cell>
          <cell r="M59">
            <v>0.99803167448839802</v>
          </cell>
          <cell r="N59">
            <v>0.44815430971484488</v>
          </cell>
          <cell r="O59">
            <v>0.91926578422980132</v>
          </cell>
          <cell r="P59">
            <v>0.40793135798043051</v>
          </cell>
          <cell r="Q59">
            <v>19.654263175196036</v>
          </cell>
        </row>
        <row r="60">
          <cell r="A60">
            <v>4010</v>
          </cell>
          <cell r="B60" t="str">
            <v>Traun untere 71</v>
          </cell>
          <cell r="C60">
            <v>206128</v>
          </cell>
          <cell r="E60">
            <v>0.44802230868493154</v>
          </cell>
          <cell r="F60">
            <v>0.48425419841662731</v>
          </cell>
          <cell r="G60">
            <v>0.90971770093150706</v>
          </cell>
          <cell r="H60">
            <v>1.2110963641643837</v>
          </cell>
          <cell r="I60">
            <v>1.3298293444931506</v>
          </cell>
          <cell r="J60">
            <v>1.1695996100342465</v>
          </cell>
          <cell r="K60">
            <v>1.3935947714383563</v>
          </cell>
          <cell r="L60">
            <v>0.94547791109589052</v>
          </cell>
          <cell r="M60">
            <v>1.5775594675397258</v>
          </cell>
          <cell r="N60">
            <v>0.47367779375342484</v>
          </cell>
          <cell r="O60">
            <v>0.51668227775342457</v>
          </cell>
          <cell r="P60">
            <v>0.23937386547945208</v>
          </cell>
          <cell r="Q60">
            <v>10.698885613785121</v>
          </cell>
        </row>
        <row r="61">
          <cell r="B61" t="str">
            <v>Traun untere 66,1</v>
          </cell>
          <cell r="C61">
            <v>206128</v>
          </cell>
          <cell r="E61">
            <v>0.78217020818730776</v>
          </cell>
          <cell r="F61">
            <v>0.70420508408843874</v>
          </cell>
          <cell r="G61">
            <v>1.6185334805703107</v>
          </cell>
          <cell r="H61">
            <v>1.4670080873441436</v>
          </cell>
          <cell r="I61">
            <v>1.7465145592317586</v>
          </cell>
          <cell r="J61">
            <v>1.4711212657653063</v>
          </cell>
          <cell r="K61">
            <v>1.7617979359524745</v>
          </cell>
          <cell r="L61">
            <v>1.1075325143198214</v>
          </cell>
          <cell r="M61">
            <v>1.1647785462058711</v>
          </cell>
          <cell r="N61">
            <v>0.60052297997428028</v>
          </cell>
          <cell r="O61">
            <v>0.67726713532569194</v>
          </cell>
          <cell r="P61">
            <v>0.32624358691752869</v>
          </cell>
          <cell r="Q61">
            <v>13.427695383882936</v>
          </cell>
        </row>
        <row r="62">
          <cell r="B62" t="str">
            <v>Traun untere 57,4</v>
          </cell>
          <cell r="C62">
            <v>205252</v>
          </cell>
          <cell r="E62">
            <v>0.82665852441775034</v>
          </cell>
          <cell r="F62">
            <v>0.79074676041159264</v>
          </cell>
          <cell r="G62">
            <v>1.640258719712562</v>
          </cell>
          <cell r="H62">
            <v>1.5245328316739508</v>
          </cell>
          <cell r="I62">
            <v>1.8045498961718196</v>
          </cell>
          <cell r="J62">
            <v>1.7564458997720873</v>
          </cell>
          <cell r="K62">
            <v>2.5740291810140765</v>
          </cell>
          <cell r="L62">
            <v>1.5981140110191716</v>
          </cell>
          <cell r="M62">
            <v>1.3104349951313583</v>
          </cell>
          <cell r="N62">
            <v>0.61289875757286494</v>
          </cell>
          <cell r="O62">
            <v>0.91816359052527152</v>
          </cell>
          <cell r="P62">
            <v>0.71578165647084058</v>
          </cell>
          <cell r="Q62">
            <v>16.072614823893346</v>
          </cell>
        </row>
        <row r="63">
          <cell r="C63">
            <v>205468</v>
          </cell>
          <cell r="Q63" t="str">
            <v>k.Wert</v>
          </cell>
        </row>
        <row r="64">
          <cell r="B64" t="str">
            <v>Traun untere 42</v>
          </cell>
          <cell r="C64">
            <v>206409</v>
          </cell>
          <cell r="E64">
            <v>12.46155917931514</v>
          </cell>
          <cell r="F64">
            <v>4.6471415637833493</v>
          </cell>
          <cell r="G64">
            <v>5.9534838923672453</v>
          </cell>
          <cell r="H64">
            <v>8.2038017918411921</v>
          </cell>
          <cell r="I64">
            <v>3.3281640886153845</v>
          </cell>
          <cell r="J64">
            <v>4.9109626230074443</v>
          </cell>
          <cell r="K64">
            <v>18.516824270888339</v>
          </cell>
          <cell r="L64">
            <v>6.6162147775682385</v>
          </cell>
          <cell r="M64">
            <v>3.8429876639523579</v>
          </cell>
          <cell r="N64">
            <v>2.0201075342531016</v>
          </cell>
          <cell r="O64">
            <v>3.2584274300545908</v>
          </cell>
          <cell r="P64">
            <v>1.9869209973200992</v>
          </cell>
          <cell r="Q64">
            <v>75.74659581296649</v>
          </cell>
        </row>
        <row r="65">
          <cell r="B65" t="str">
            <v>Traun untere 33,2</v>
          </cell>
          <cell r="C65">
            <v>206409</v>
          </cell>
          <cell r="E65">
            <v>15.349003392217197</v>
          </cell>
          <cell r="F65">
            <v>3.1077804314932131</v>
          </cell>
          <cell r="G65">
            <v>4.5682951764705884</v>
          </cell>
          <cell r="H65">
            <v>8.5752868300452487</v>
          </cell>
          <cell r="I65">
            <v>3.6209710848868779</v>
          </cell>
          <cell r="J65">
            <v>5.9954125227149326</v>
          </cell>
          <cell r="K65">
            <v>20.578466834389143</v>
          </cell>
          <cell r="L65">
            <v>9.9277127690497746</v>
          </cell>
          <cell r="M65">
            <v>3.4078860566877829</v>
          </cell>
          <cell r="N65">
            <v>1.981277758099548</v>
          </cell>
          <cell r="O65">
            <v>3.1641116693212674</v>
          </cell>
          <cell r="P65">
            <v>1.5523454899547513</v>
          </cell>
          <cell r="Q65">
            <v>81.828550015330336</v>
          </cell>
        </row>
        <row r="66">
          <cell r="B66" t="str">
            <v>Traun untere 23,5</v>
          </cell>
          <cell r="C66">
            <v>206409</v>
          </cell>
          <cell r="E66">
            <v>11.498523418458971</v>
          </cell>
          <cell r="F66">
            <v>7.3551356972904918</v>
          </cell>
          <cell r="G66">
            <v>12.31300713911709</v>
          </cell>
          <cell r="H66">
            <v>11.379440453841132</v>
          </cell>
          <cell r="I66">
            <v>7.9589957986330742</v>
          </cell>
          <cell r="J66">
            <v>9.9132855179504311</v>
          </cell>
          <cell r="K66">
            <v>28.767627812430305</v>
          </cell>
          <cell r="L66">
            <v>8.8942077711371752</v>
          </cell>
          <cell r="M66">
            <v>7.430471626843473</v>
          </cell>
          <cell r="N66">
            <v>6.7942165335669529</v>
          </cell>
          <cell r="O66">
            <v>7.6534337858613339</v>
          </cell>
          <cell r="P66">
            <v>6.6123932826493066</v>
          </cell>
          <cell r="Q66">
            <v>126.57073883777974</v>
          </cell>
        </row>
        <row r="67">
          <cell r="B67" t="str">
            <v>Traun untere 12,7</v>
          </cell>
          <cell r="C67">
            <v>206409</v>
          </cell>
          <cell r="E67">
            <v>7.9602501806194725</v>
          </cell>
          <cell r="F67">
            <v>4.0932169665179314</v>
          </cell>
          <cell r="G67">
            <v>5.0133802211185534</v>
          </cell>
          <cell r="H67">
            <v>8.8708943310126998</v>
          </cell>
          <cell r="I67">
            <v>4.5422372970906437</v>
          </cell>
          <cell r="J67">
            <v>7.3900806188027452</v>
          </cell>
          <cell r="K67">
            <v>20.824649580796265</v>
          </cell>
          <cell r="L67">
            <v>7.9444814061344626</v>
          </cell>
          <cell r="M67">
            <v>4.7510793467721504</v>
          </cell>
          <cell r="N67">
            <v>2.7877263410543285</v>
          </cell>
          <cell r="O67">
            <v>3.9069795866329593</v>
          </cell>
          <cell r="P67">
            <v>2.8373577932714062</v>
          </cell>
          <cell r="Q67">
            <v>80.922333669823601</v>
          </cell>
        </row>
        <row r="68">
          <cell r="A68">
            <v>4020</v>
          </cell>
          <cell r="B68" t="str">
            <v>Traun untere 4,7</v>
          </cell>
          <cell r="C68">
            <v>206409</v>
          </cell>
          <cell r="E68">
            <v>13.807633521541952</v>
          </cell>
          <cell r="F68">
            <v>6.0724466228481759</v>
          </cell>
          <cell r="G68">
            <v>8.0707654487674443</v>
          </cell>
          <cell r="H68">
            <v>9.464344083341178</v>
          </cell>
          <cell r="I68">
            <v>5.1191048688961791</v>
          </cell>
          <cell r="J68">
            <v>9.5989390434109527</v>
          </cell>
          <cell r="K68">
            <v>15.136797508396</v>
          </cell>
          <cell r="L68">
            <v>7.9731477848906458</v>
          </cell>
          <cell r="M68">
            <v>6.1896989972592413</v>
          </cell>
          <cell r="N68">
            <v>4.05938582110302</v>
          </cell>
          <cell r="O68">
            <v>4.9489741406414325</v>
          </cell>
          <cell r="P68">
            <v>3.5419354284386202</v>
          </cell>
          <cell r="Q68">
            <v>93.983173269534859</v>
          </cell>
        </row>
        <row r="69">
          <cell r="C69">
            <v>206102</v>
          </cell>
          <cell r="Q69" t="str">
            <v>k.Wert</v>
          </cell>
        </row>
        <row r="70">
          <cell r="B70" t="str">
            <v>Pram 39,5</v>
          </cell>
          <cell r="C70">
            <v>204784</v>
          </cell>
          <cell r="E70">
            <v>0.34555705938599995</v>
          </cell>
          <cell r="F70">
            <v>0.29730961163139308</v>
          </cell>
          <cell r="G70">
            <v>0.72388799239680013</v>
          </cell>
          <cell r="H70">
            <v>0.17552305349039998</v>
          </cell>
          <cell r="I70">
            <v>0.19553352477120001</v>
          </cell>
          <cell r="J70">
            <v>0.28806513120000005</v>
          </cell>
          <cell r="K70">
            <v>0.2512829993520001</v>
          </cell>
          <cell r="L70">
            <v>0.37590977793600011</v>
          </cell>
          <cell r="M70">
            <v>0.16364560304400003</v>
          </cell>
          <cell r="N70">
            <v>0.178672358172</v>
          </cell>
          <cell r="O70">
            <v>1.3317857379288001</v>
          </cell>
          <cell r="P70">
            <v>0.22018402707839999</v>
          </cell>
          <cell r="Q70">
            <v>4.5473568763869929</v>
          </cell>
        </row>
        <row r="71">
          <cell r="A71">
            <v>690</v>
          </cell>
          <cell r="B71" t="str">
            <v>Pram 33,6</v>
          </cell>
          <cell r="C71">
            <v>204784</v>
          </cell>
          <cell r="E71">
            <v>0.67481889296140818</v>
          </cell>
          <cell r="F71">
            <v>0.56135498325453115</v>
          </cell>
          <cell r="G71">
            <v>1.1095886891493771</v>
          </cell>
          <cell r="H71">
            <v>0.35058744137690218</v>
          </cell>
          <cell r="I71">
            <v>0.47051839360107128</v>
          </cell>
          <cell r="J71">
            <v>0.58132012631012442</v>
          </cell>
          <cell r="K71">
            <v>0.51588142083647026</v>
          </cell>
          <cell r="L71">
            <v>0.79068276974930018</v>
          </cell>
          <cell r="M71">
            <v>0.34736862200085855</v>
          </cell>
          <cell r="N71">
            <v>0.3272423811272655</v>
          </cell>
          <cell r="O71">
            <v>2.4214184705687765</v>
          </cell>
          <cell r="P71">
            <v>0.45614284329393701</v>
          </cell>
          <cell r="Q71">
            <v>8.6069250342300236</v>
          </cell>
        </row>
        <row r="72">
          <cell r="C72">
            <v>206326</v>
          </cell>
          <cell r="Q72" t="str">
            <v>k.Wert</v>
          </cell>
        </row>
        <row r="73">
          <cell r="A73">
            <v>700</v>
          </cell>
          <cell r="B73" t="str">
            <v>Pram 15,9</v>
          </cell>
          <cell r="C73">
            <v>204867</v>
          </cell>
          <cell r="E73">
            <v>1.7229334865121737</v>
          </cell>
          <cell r="F73">
            <v>1.8650998978104614</v>
          </cell>
          <cell r="G73">
            <v>4.2458673122675279</v>
          </cell>
          <cell r="H73">
            <v>1.1918382636080962</v>
          </cell>
          <cell r="I73">
            <v>1.1210458736286302</v>
          </cell>
          <cell r="J73">
            <v>1.5470988024640657</v>
          </cell>
          <cell r="K73">
            <v>1.0961033100616018</v>
          </cell>
          <cell r="L73">
            <v>2.2004125803836905</v>
          </cell>
          <cell r="M73">
            <v>1.121639942692872</v>
          </cell>
          <cell r="N73">
            <v>1.0525072234672925</v>
          </cell>
          <cell r="O73">
            <v>8.0311779291991812</v>
          </cell>
          <cell r="P73">
            <v>1.3923151676902319</v>
          </cell>
          <cell r="Q73">
            <v>26.588039789785824</v>
          </cell>
        </row>
      </sheetData>
      <sheetData sheetId="12"/>
      <sheetData sheetId="13">
        <row r="2">
          <cell r="B2" t="str">
            <v>Ager 32,9</v>
          </cell>
          <cell r="C2">
            <v>205369</v>
          </cell>
          <cell r="E2">
            <v>9.9048885236114104E-2</v>
          </cell>
          <cell r="F2">
            <v>9.460435976951348E-2</v>
          </cell>
          <cell r="G2">
            <v>0.15264909997855461</v>
          </cell>
          <cell r="H2">
            <v>0.15356345574093933</v>
          </cell>
          <cell r="I2">
            <v>0.10581297066266354</v>
          </cell>
          <cell r="J2">
            <v>0.12676656919236542</v>
          </cell>
          <cell r="K2">
            <v>9.0080683511902224E-2</v>
          </cell>
          <cell r="L2">
            <v>0.12902014301110873</v>
          </cell>
          <cell r="M2">
            <v>0.10680176321509759</v>
          </cell>
          <cell r="N2">
            <v>7.9510659324898147E-2</v>
          </cell>
          <cell r="O2">
            <v>8.905646191035814E-2</v>
          </cell>
          <cell r="P2">
            <v>6.6172338073343343E-2</v>
          </cell>
          <cell r="Q2">
            <v>1.2930873896268589</v>
          </cell>
        </row>
        <row r="3">
          <cell r="A3">
            <v>1280</v>
          </cell>
          <cell r="B3" t="str">
            <v>Ager 31,2</v>
          </cell>
          <cell r="C3">
            <v>205369</v>
          </cell>
          <cell r="E3">
            <v>0.27685691855228522</v>
          </cell>
          <cell r="F3">
            <v>0.3873358051411851</v>
          </cell>
          <cell r="G3">
            <v>0.33914057586235385</v>
          </cell>
          <cell r="H3">
            <v>0.27494170975057547</v>
          </cell>
          <cell r="I3">
            <v>0.40927195868455279</v>
          </cell>
          <cell r="J3">
            <v>0.46185505423603468</v>
          </cell>
          <cell r="K3">
            <v>0.36369228554459415</v>
          </cell>
          <cell r="L3">
            <v>1.1446722443575297</v>
          </cell>
          <cell r="M3">
            <v>0.60627290823319047</v>
          </cell>
          <cell r="N3">
            <v>0.16740513418751635</v>
          </cell>
          <cell r="O3">
            <v>0.41406191325281144</v>
          </cell>
          <cell r="P3">
            <v>0.2581932766088299</v>
          </cell>
          <cell r="Q3">
            <v>5.1036997844114591</v>
          </cell>
        </row>
        <row r="4">
          <cell r="B4" t="str">
            <v>Ager 25,16</v>
          </cell>
          <cell r="C4">
            <v>205369</v>
          </cell>
          <cell r="E4">
            <v>0.29821530257602408</v>
          </cell>
          <cell r="F4">
            <v>0.26045936348761711</v>
          </cell>
          <cell r="G4">
            <v>0.23751156988719713</v>
          </cell>
          <cell r="H4">
            <v>0.20561211600257345</v>
          </cell>
          <cell r="I4">
            <v>0.15659114372206734</v>
          </cell>
          <cell r="J4">
            <v>0.35654068200900713</v>
          </cell>
          <cell r="K4">
            <v>0.2023620862234613</v>
          </cell>
          <cell r="L4">
            <v>0.474194147116277</v>
          </cell>
          <cell r="M4">
            <v>0.17667785135835298</v>
          </cell>
          <cell r="N4">
            <v>0.10918004626206305</v>
          </cell>
          <cell r="O4">
            <v>0.23247412926871117</v>
          </cell>
          <cell r="P4">
            <v>0.20844513186446492</v>
          </cell>
          <cell r="Q4">
            <v>2.9182635697778165</v>
          </cell>
        </row>
        <row r="5">
          <cell r="B5" t="str">
            <v>Ager 21,3</v>
          </cell>
          <cell r="C5">
            <v>205369</v>
          </cell>
          <cell r="E5">
            <v>0.26948996682770754</v>
          </cell>
          <cell r="F5">
            <v>0.16261981723439847</v>
          </cell>
          <cell r="G5">
            <v>0.18548317042710705</v>
          </cell>
          <cell r="H5">
            <v>0.1655327521466867</v>
          </cell>
          <cell r="I5">
            <v>0.13376055528972766</v>
          </cell>
          <cell r="J5">
            <v>0.33959502871318903</v>
          </cell>
          <cell r="K5">
            <v>0.20517744219927089</v>
          </cell>
          <cell r="L5">
            <v>0.65997437843132745</v>
          </cell>
          <cell r="M5">
            <v>0.19550725571580532</v>
          </cell>
          <cell r="N5">
            <v>0.10624934016710275</v>
          </cell>
          <cell r="O5">
            <v>0.18729235944679393</v>
          </cell>
          <cell r="P5">
            <v>0.18173409594647222</v>
          </cell>
          <cell r="Q5">
            <v>2.7924161625455897</v>
          </cell>
        </row>
        <row r="6">
          <cell r="B6" t="str">
            <v>Ager 17,2</v>
          </cell>
          <cell r="C6">
            <v>205427</v>
          </cell>
          <cell r="E6">
            <v>0.73264729914138327</v>
          </cell>
          <cell r="F6">
            <v>0.51534717714680667</v>
          </cell>
          <cell r="G6">
            <v>0.38316058518159807</v>
          </cell>
          <cell r="H6">
            <v>0.28215671328181918</v>
          </cell>
          <cell r="I6">
            <v>0.29873476394483628</v>
          </cell>
          <cell r="J6">
            <v>0.70967279884282541</v>
          </cell>
          <cell r="K6">
            <v>0.63927130024465739</v>
          </cell>
          <cell r="L6">
            <v>1.0054358532473737</v>
          </cell>
          <cell r="M6">
            <v>0.43206015003095066</v>
          </cell>
          <cell r="N6">
            <v>0.29461505354332035</v>
          </cell>
          <cell r="O6">
            <v>0.40582732015749018</v>
          </cell>
          <cell r="P6">
            <v>0.36206997073460356</v>
          </cell>
          <cell r="Q6">
            <v>6.0609989854976645</v>
          </cell>
        </row>
        <row r="7">
          <cell r="B7" t="str">
            <v>Ager 8,1</v>
          </cell>
          <cell r="C7">
            <v>205450</v>
          </cell>
          <cell r="E7">
            <v>0.97560464002483904</v>
          </cell>
          <cell r="F7">
            <v>0.68884264802292827</v>
          </cell>
          <cell r="G7">
            <v>0.50567265019918806</v>
          </cell>
          <cell r="H7">
            <v>0.34140770650776214</v>
          </cell>
          <cell r="I7">
            <v>0.33126386547886322</v>
          </cell>
          <cell r="J7">
            <v>0.85177242690995947</v>
          </cell>
          <cell r="K7">
            <v>0.82548334596799622</v>
          </cell>
          <cell r="L7">
            <v>1.1309670253917368</v>
          </cell>
          <cell r="M7">
            <v>0.60711308365894434</v>
          </cell>
          <cell r="N7">
            <v>0.41095824795318842</v>
          </cell>
          <cell r="O7">
            <v>0.68722187894530695</v>
          </cell>
          <cell r="P7">
            <v>0.43302227394411286</v>
          </cell>
          <cell r="Q7">
            <v>7.7893297930048258</v>
          </cell>
        </row>
        <row r="8">
          <cell r="A8">
            <v>1290</v>
          </cell>
          <cell r="B8" t="str">
            <v>Ager 1,57</v>
          </cell>
          <cell r="C8">
            <v>205450</v>
          </cell>
          <cell r="E8">
            <v>1.454352421590638</v>
          </cell>
          <cell r="F8">
            <v>1.020938812778337</v>
          </cell>
          <cell r="G8">
            <v>0.87410976102603311</v>
          </cell>
          <cell r="H8">
            <v>0.56200304577406268</v>
          </cell>
          <cell r="I8">
            <v>0.60058465861762611</v>
          </cell>
          <cell r="J8">
            <v>1.2380279837955579</v>
          </cell>
          <cell r="K8">
            <v>1.0677738192252211</v>
          </cell>
          <cell r="L8">
            <v>1.3364850399579655</v>
          </cell>
          <cell r="M8">
            <v>0.67365759686840221</v>
          </cell>
          <cell r="N8">
            <v>0.62334079745115833</v>
          </cell>
          <cell r="O8">
            <v>0.75545902562980649</v>
          </cell>
          <cell r="P8">
            <v>0.61743864443945551</v>
          </cell>
          <cell r="Q8">
            <v>10.824171607154263</v>
          </cell>
        </row>
        <row r="9">
          <cell r="A9">
            <v>1600</v>
          </cell>
          <cell r="B9" t="str">
            <v>Aist 6</v>
          </cell>
          <cell r="C9">
            <v>205989</v>
          </cell>
          <cell r="E9">
            <v>0.82389553599112864</v>
          </cell>
          <cell r="F9">
            <v>0.7991991938355073</v>
          </cell>
          <cell r="G9">
            <v>1.3189267534512144</v>
          </cell>
          <cell r="H9">
            <v>0.86323433562174545</v>
          </cell>
          <cell r="I9">
            <v>0.56090712994994729</v>
          </cell>
          <cell r="J9">
            <v>0.73559447754087126</v>
          </cell>
          <cell r="K9">
            <v>0.85338456229467086</v>
          </cell>
          <cell r="L9">
            <v>1.1996864625613568</v>
          </cell>
          <cell r="M9">
            <v>0.54678380421581285</v>
          </cell>
          <cell r="N9">
            <v>0.46550418833787632</v>
          </cell>
          <cell r="O9">
            <v>0.55101107213089107</v>
          </cell>
          <cell r="P9">
            <v>0.5056928052967562</v>
          </cell>
          <cell r="Q9">
            <v>9.2238203212277767</v>
          </cell>
        </row>
        <row r="10">
          <cell r="C10">
            <v>206508</v>
          </cell>
          <cell r="Q10" t="str">
            <v>k.Wert</v>
          </cell>
        </row>
        <row r="11">
          <cell r="A11">
            <v>1300</v>
          </cell>
          <cell r="B11" t="str">
            <v>Alm 33,3</v>
          </cell>
          <cell r="C11">
            <v>205500</v>
          </cell>
          <cell r="E11">
            <v>4.6647020379024844E-2</v>
          </cell>
          <cell r="F11">
            <v>4.3232966646448628E-2</v>
          </cell>
          <cell r="G11">
            <v>8.3111049626494959E-2</v>
          </cell>
          <cell r="H11">
            <v>8.2441158943882251E-2</v>
          </cell>
          <cell r="I11">
            <v>8.2455301987120519E-2</v>
          </cell>
          <cell r="J11">
            <v>8.4105686340386399E-2</v>
          </cell>
          <cell r="K11">
            <v>6.9359523902483899E-2</v>
          </cell>
          <cell r="L11">
            <v>8.0473372062557502E-2</v>
          </cell>
          <cell r="M11">
            <v>6.0838748323827047E-2</v>
          </cell>
          <cell r="N11">
            <v>4.7134955370745163E-2</v>
          </cell>
          <cell r="O11">
            <v>4.5175055955841779E-2</v>
          </cell>
          <cell r="P11">
            <v>3.3095945094756211E-2</v>
          </cell>
          <cell r="Q11">
            <v>0.75807078463356925</v>
          </cell>
        </row>
        <row r="12">
          <cell r="B12" t="str">
            <v>Alm 22,26</v>
          </cell>
          <cell r="C12">
            <v>205500</v>
          </cell>
          <cell r="E12">
            <v>7.2698330605335773E-2</v>
          </cell>
          <cell r="F12">
            <v>6.1402230808933152E-2</v>
          </cell>
          <cell r="G12">
            <v>0.11000398657589694</v>
          </cell>
          <cell r="H12">
            <v>0.10911733376632933</v>
          </cell>
          <cell r="I12">
            <v>0.13371458745758968</v>
          </cell>
          <cell r="J12">
            <v>0.11132046620423182</v>
          </cell>
          <cell r="K12">
            <v>8.6224555804967781E-2</v>
          </cell>
          <cell r="L12">
            <v>0.11355570965740572</v>
          </cell>
          <cell r="M12">
            <v>8.0524850594296218E-2</v>
          </cell>
          <cell r="N12">
            <v>6.2386806822447079E-2</v>
          </cell>
          <cell r="O12">
            <v>8.1101552908923652E-2</v>
          </cell>
          <cell r="P12">
            <v>4.3805076656853716E-2</v>
          </cell>
          <cell r="Q12">
            <v>1.0658554878632109</v>
          </cell>
        </row>
        <row r="13">
          <cell r="B13" t="str">
            <v>Alm 10,5</v>
          </cell>
          <cell r="C13">
            <v>205500</v>
          </cell>
          <cell r="E13">
            <v>9.8605880752161909E-2</v>
          </cell>
          <cell r="F13">
            <v>7.4031471958633369E-2</v>
          </cell>
          <cell r="G13">
            <v>0.12021534133578658</v>
          </cell>
          <cell r="H13">
            <v>0.11924638308739649</v>
          </cell>
          <cell r="I13">
            <v>0.13172796585096594</v>
          </cell>
          <cell r="J13">
            <v>0.12165402599448023</v>
          </cell>
          <cell r="K13">
            <v>9.8823316084636625E-2</v>
          </cell>
          <cell r="L13">
            <v>0.1240967606903404</v>
          </cell>
          <cell r="M13">
            <v>8.7999741659613606E-2</v>
          </cell>
          <cell r="N13">
            <v>6.8177995275068987E-2</v>
          </cell>
          <cell r="O13">
            <v>6.5343113773689052E-2</v>
          </cell>
          <cell r="P13">
            <v>4.7871376360625571E-2</v>
          </cell>
          <cell r="Q13">
            <v>1.1577933728233987</v>
          </cell>
        </row>
        <row r="14">
          <cell r="A14">
            <v>1310</v>
          </cell>
          <cell r="B14" t="str">
            <v>Alm 4,75</v>
          </cell>
          <cell r="C14">
            <v>205518</v>
          </cell>
          <cell r="E14">
            <v>0.23279143964644525</v>
          </cell>
          <cell r="F14">
            <v>0.1689649850818912</v>
          </cell>
          <cell r="G14">
            <v>0.21268143975970275</v>
          </cell>
          <cell r="H14">
            <v>0.22390815495288838</v>
          </cell>
          <cell r="I14">
            <v>0.24479150395472518</v>
          </cell>
          <cell r="J14">
            <v>0.258062337152758</v>
          </cell>
          <cell r="K14">
            <v>0.22017257425882789</v>
          </cell>
          <cell r="L14">
            <v>0.19743332540632888</v>
          </cell>
          <cell r="M14">
            <v>0.13083483792985065</v>
          </cell>
          <cell r="N14">
            <v>9.283408624428445E-2</v>
          </cell>
          <cell r="O14">
            <v>0.14359448939259392</v>
          </cell>
          <cell r="P14">
            <v>0.10527096086639179</v>
          </cell>
          <cell r="Q14">
            <v>2.2313401346466883</v>
          </cell>
        </row>
        <row r="15">
          <cell r="B15" t="str">
            <v>Antiesen 23,5</v>
          </cell>
          <cell r="C15">
            <v>206805</v>
          </cell>
          <cell r="E15">
            <v>0.21545102818877701</v>
          </cell>
          <cell r="F15">
            <v>0.18559536647327216</v>
          </cell>
          <cell r="G15">
            <v>0.2801545692604317</v>
          </cell>
          <cell r="H15">
            <v>9.6280891749064762E-2</v>
          </cell>
          <cell r="I15">
            <v>0.18444724160115109</v>
          </cell>
          <cell r="J15">
            <v>0.23366870163453235</v>
          </cell>
          <cell r="K15">
            <v>0.21232874983597125</v>
          </cell>
          <cell r="L15">
            <v>0.22313913217381293</v>
          </cell>
          <cell r="M15">
            <v>0.18472542039712234</v>
          </cell>
          <cell r="N15">
            <v>0.16050095855482013</v>
          </cell>
          <cell r="O15">
            <v>0.19821906756258997</v>
          </cell>
          <cell r="P15">
            <v>0.25790789875338133</v>
          </cell>
          <cell r="Q15">
            <v>2.432419026184927</v>
          </cell>
        </row>
        <row r="16">
          <cell r="A16">
            <v>670</v>
          </cell>
          <cell r="B16" t="str">
            <v>Antiesen 21,7</v>
          </cell>
          <cell r="C16">
            <v>204750</v>
          </cell>
          <cell r="E16">
            <v>0.80956122647228634</v>
          </cell>
          <cell r="F16">
            <v>0.63497004717631167</v>
          </cell>
          <cell r="G16">
            <v>1.0013850724147968</v>
          </cell>
          <cell r="H16">
            <v>0.45498338985372955</v>
          </cell>
          <cell r="I16">
            <v>0.59311883478520311</v>
          </cell>
          <cell r="J16">
            <v>0.84812938860400233</v>
          </cell>
          <cell r="K16">
            <v>0.78816056534481493</v>
          </cell>
          <cell r="L16">
            <v>0.64753464579609454</v>
          </cell>
          <cell r="M16">
            <v>0.53359680755657968</v>
          </cell>
          <cell r="N16">
            <v>0.57615660295379023</v>
          </cell>
          <cell r="O16">
            <v>0.63885053812453618</v>
          </cell>
          <cell r="P16">
            <v>0.73346543140366272</v>
          </cell>
          <cell r="Q16">
            <v>8.259912550485808</v>
          </cell>
        </row>
        <row r="17">
          <cell r="B17" t="str">
            <v>Antiesen 16,8</v>
          </cell>
          <cell r="C17">
            <v>204750</v>
          </cell>
          <cell r="E17">
            <v>0.73863638902762885</v>
          </cell>
          <cell r="F17">
            <v>0.63504554231581933</v>
          </cell>
          <cell r="G17">
            <v>1.0254331719092782</v>
          </cell>
          <cell r="H17">
            <v>0.34819975506804124</v>
          </cell>
          <cell r="I17">
            <v>0.61789796031340205</v>
          </cell>
          <cell r="J17">
            <v>0.81540298213608242</v>
          </cell>
          <cell r="K17">
            <v>0.74385742104742258</v>
          </cell>
          <cell r="L17">
            <v>0.72718534774762889</v>
          </cell>
          <cell r="M17">
            <v>0.57973427599175253</v>
          </cell>
          <cell r="N17">
            <v>0.53912111363628867</v>
          </cell>
          <cell r="O17">
            <v>0.629334029987629</v>
          </cell>
          <cell r="P17">
            <v>0.82089551074639167</v>
          </cell>
          <cell r="Q17">
            <v>8.2207434999273659</v>
          </cell>
        </row>
        <row r="18">
          <cell r="B18" t="str">
            <v>Faule Aschach 0,88</v>
          </cell>
          <cell r="C18">
            <v>206151</v>
          </cell>
          <cell r="E18">
            <v>0.17760634497391303</v>
          </cell>
          <cell r="F18">
            <v>0.17238618461505248</v>
          </cell>
          <cell r="G18">
            <v>0.44218590306782596</v>
          </cell>
          <cell r="H18">
            <v>7.8146973015652169E-2</v>
          </cell>
          <cell r="I18">
            <v>5.9899854177391278E-2</v>
          </cell>
          <cell r="J18">
            <v>0.11250488907130433</v>
          </cell>
          <cell r="K18">
            <v>7.6891326845217378E-2</v>
          </cell>
          <cell r="L18">
            <v>0.16643043913460867</v>
          </cell>
          <cell r="M18">
            <v>0.12441566650434781</v>
          </cell>
          <cell r="N18">
            <v>9.2583091575652143E-2</v>
          </cell>
          <cell r="O18">
            <v>0.24725887824000001</v>
          </cell>
          <cell r="P18">
            <v>0.11446779400904347</v>
          </cell>
          <cell r="Q18">
            <v>1.8647773452300092</v>
          </cell>
        </row>
        <row r="19">
          <cell r="B19" t="str">
            <v>D. Aschach 9,5</v>
          </cell>
          <cell r="C19">
            <v>205407</v>
          </cell>
          <cell r="E19">
            <v>9.4325005978181831E-2</v>
          </cell>
          <cell r="F19">
            <v>0.10353641088869385</v>
          </cell>
          <cell r="G19">
            <v>0.16899943745212123</v>
          </cell>
          <cell r="H19">
            <v>6.1847192608484848E-2</v>
          </cell>
          <cell r="I19">
            <v>4.423370576242424E-2</v>
          </cell>
          <cell r="J19">
            <v>0.1071760393018182</v>
          </cell>
          <cell r="K19">
            <v>8.8493668848484863E-2</v>
          </cell>
          <cell r="L19">
            <v>0.12737031254109088</v>
          </cell>
          <cell r="M19">
            <v>5.6505436055757578E-2</v>
          </cell>
          <cell r="N19">
            <v>7.4408058009696965E-2</v>
          </cell>
          <cell r="O19">
            <v>0.10973813440000002</v>
          </cell>
          <cell r="P19">
            <v>6.6537964829090912E-2</v>
          </cell>
          <cell r="Q19">
            <v>1.1031713666758456</v>
          </cell>
        </row>
        <row r="20">
          <cell r="C20">
            <v>206169</v>
          </cell>
          <cell r="Q20" t="str">
            <v>k.Wert</v>
          </cell>
        </row>
        <row r="21">
          <cell r="A21">
            <v>1150</v>
          </cell>
          <cell r="B21" t="str">
            <v>Aschach 18,7</v>
          </cell>
          <cell r="C21">
            <v>205054</v>
          </cell>
          <cell r="E21">
            <v>1.0615761114342088</v>
          </cell>
          <cell r="F21">
            <v>1.2609656081369769</v>
          </cell>
          <cell r="G21">
            <v>2.2010565081470856</v>
          </cell>
          <cell r="H21">
            <v>0.55919824145342734</v>
          </cell>
          <cell r="I21">
            <v>0.50752112256000004</v>
          </cell>
          <cell r="J21">
            <v>0.86395369927687382</v>
          </cell>
          <cell r="K21">
            <v>0.5067796529173606</v>
          </cell>
          <cell r="L21">
            <v>1.0504878524408459</v>
          </cell>
          <cell r="M21">
            <v>0.60186320483177458</v>
          </cell>
          <cell r="N21">
            <v>0.5275615121010635</v>
          </cell>
          <cell r="O21">
            <v>1.1343508398495836</v>
          </cell>
          <cell r="P21">
            <v>0.7474388318570353</v>
          </cell>
          <cell r="Q21">
            <v>11.022753185006238</v>
          </cell>
        </row>
        <row r="22">
          <cell r="A22">
            <v>1160</v>
          </cell>
          <cell r="B22" t="str">
            <v>Aschach 5,4</v>
          </cell>
          <cell r="C22">
            <v>205054</v>
          </cell>
          <cell r="E22">
            <v>1.0665733824461243</v>
          </cell>
          <cell r="F22">
            <v>1.4759596795479821</v>
          </cell>
          <cell r="G22">
            <v>2.36700438031672</v>
          </cell>
          <cell r="H22">
            <v>0.55615034405842401</v>
          </cell>
          <cell r="I22">
            <v>0.71440717359666872</v>
          </cell>
          <cell r="J22">
            <v>1.1435598762203716</v>
          </cell>
          <cell r="K22">
            <v>0.66872505493452916</v>
          </cell>
          <cell r="L22">
            <v>1.3067633121744522</v>
          </cell>
          <cell r="M22">
            <v>0.78018110746454827</v>
          </cell>
          <cell r="N22">
            <v>0.64980970824061501</v>
          </cell>
          <cell r="O22">
            <v>1.0165554202278027</v>
          </cell>
          <cell r="P22">
            <v>0.91669500310600893</v>
          </cell>
          <cell r="Q22">
            <v>12.662384442334249</v>
          </cell>
        </row>
        <row r="23">
          <cell r="B23" t="str">
            <v>Enns 33,8</v>
          </cell>
          <cell r="C23">
            <v>205757</v>
          </cell>
          <cell r="E23">
            <v>1.716205668035788</v>
          </cell>
          <cell r="F23">
            <v>1.3737676319638725</v>
          </cell>
          <cell r="G23">
            <v>1.8093482837073716</v>
          </cell>
          <cell r="H23">
            <v>1.9849306937795479</v>
          </cell>
          <cell r="I23">
            <v>1.9882271915213867</v>
          </cell>
          <cell r="J23">
            <v>2.2235010424178063</v>
          </cell>
          <cell r="K23">
            <v>2.4222816556490061</v>
          </cell>
          <cell r="L23">
            <v>1.3303432658083865</v>
          </cell>
          <cell r="M23">
            <v>1.4459972183082004</v>
          </cell>
          <cell r="N23">
            <v>1.0584284106558315</v>
          </cell>
          <cell r="O23">
            <v>0.96442712210083859</v>
          </cell>
          <cell r="P23">
            <v>0.65586557659342293</v>
          </cell>
          <cell r="Q23">
            <v>18.973323760541465</v>
          </cell>
        </row>
        <row r="24">
          <cell r="B24" t="str">
            <v>Enns 17,8</v>
          </cell>
          <cell r="C24">
            <v>205922</v>
          </cell>
          <cell r="E24">
            <v>2.3301910828116448</v>
          </cell>
          <cell r="F24">
            <v>1.6680658398642934</v>
          </cell>
          <cell r="G24">
            <v>2.4224102211096463</v>
          </cell>
          <cell r="H24">
            <v>2.3810618943097683</v>
          </cell>
          <cell r="I24">
            <v>2.4900114887919673</v>
          </cell>
          <cell r="J24">
            <v>2.5342817875240899</v>
          </cell>
          <cell r="K24">
            <v>2.770867493822903</v>
          </cell>
          <cell r="L24">
            <v>1.7525229611636068</v>
          </cell>
          <cell r="M24">
            <v>2.2426971947499745</v>
          </cell>
          <cell r="N24">
            <v>1.3210673621827773</v>
          </cell>
          <cell r="O24">
            <v>1.6485081791581297</v>
          </cell>
          <cell r="P24">
            <v>0.93813809254488301</v>
          </cell>
          <cell r="Q24">
            <v>24.499823598033686</v>
          </cell>
        </row>
        <row r="25">
          <cell r="B25" t="str">
            <v>Enns 8,2</v>
          </cell>
          <cell r="C25">
            <v>205922</v>
          </cell>
          <cell r="E25">
            <v>2.1678950722645296</v>
          </cell>
          <cell r="F25">
            <v>1.6312847050107484</v>
          </cell>
          <cell r="G25">
            <v>2.0089775938837611</v>
          </cell>
          <cell r="H25">
            <v>3.436915990656253</v>
          </cell>
          <cell r="I25">
            <v>2.3111322760726241</v>
          </cell>
          <cell r="J25">
            <v>2.8177135718085</v>
          </cell>
          <cell r="K25">
            <v>2.6928802177409472</v>
          </cell>
          <cell r="L25">
            <v>1.6230222998316257</v>
          </cell>
          <cell r="M25">
            <v>2.1363495116531088</v>
          </cell>
          <cell r="N25">
            <v>1.2550079583061162</v>
          </cell>
          <cell r="O25">
            <v>1.5624328874368596</v>
          </cell>
          <cell r="P25">
            <v>0.83667344639902641</v>
          </cell>
          <cell r="Q25">
            <v>24.480285531064098</v>
          </cell>
        </row>
        <row r="26">
          <cell r="A26">
            <v>4080</v>
          </cell>
          <cell r="B26" t="str">
            <v>Enns 2,7</v>
          </cell>
          <cell r="C26">
            <v>205922</v>
          </cell>
          <cell r="E26">
            <v>2.1452030582172639</v>
          </cell>
          <cell r="F26">
            <v>1.6515692695632278</v>
          </cell>
          <cell r="G26">
            <v>1.9181975997894309</v>
          </cell>
          <cell r="H26">
            <v>2.1881509145045137</v>
          </cell>
          <cell r="I26">
            <v>2.314078498691551</v>
          </cell>
          <cell r="J26">
            <v>3.2191149722385632</v>
          </cell>
          <cell r="K26">
            <v>2.3432715571092406</v>
          </cell>
          <cell r="L26">
            <v>2.2193145320417891</v>
          </cell>
          <cell r="M26">
            <v>2.4385706006734962</v>
          </cell>
          <cell r="N26">
            <v>2.4601028337498732</v>
          </cell>
          <cell r="O26">
            <v>2.0420081244878792</v>
          </cell>
          <cell r="P26">
            <v>0.78369579008215862</v>
          </cell>
          <cell r="Q26">
            <v>25.723277751148984</v>
          </cell>
        </row>
        <row r="27">
          <cell r="A27">
            <v>1570</v>
          </cell>
          <cell r="B27" t="str">
            <v>Feldaist 31</v>
          </cell>
          <cell r="C27">
            <v>205948</v>
          </cell>
          <cell r="E27">
            <v>4.4597529059154921E-2</v>
          </cell>
          <cell r="F27">
            <v>4.8199519051034478E-2</v>
          </cell>
          <cell r="G27">
            <v>0.10671217391549297</v>
          </cell>
          <cell r="H27">
            <v>6.8879674548732367E-2</v>
          </cell>
          <cell r="I27">
            <v>3.9804463310422533E-2</v>
          </cell>
          <cell r="J27">
            <v>6.3395038861971828E-2</v>
          </cell>
          <cell r="K27">
            <v>7.9162455064788737E-2</v>
          </cell>
          <cell r="L27">
            <v>0.20649146107492955</v>
          </cell>
          <cell r="M27">
            <v>4.6307869417464786E-2</v>
          </cell>
          <cell r="N27">
            <v>3.9220892962253513E-2</v>
          </cell>
          <cell r="O27">
            <v>4.1285451891830978E-2</v>
          </cell>
          <cell r="P27">
            <v>3.3027336965408452E-2</v>
          </cell>
          <cell r="Q27">
            <v>0.81708386612348516</v>
          </cell>
        </row>
        <row r="28">
          <cell r="B28" t="str">
            <v>Feldaist 29,2</v>
          </cell>
          <cell r="C28">
            <v>205948</v>
          </cell>
          <cell r="E28">
            <v>0.1296178452912676</v>
          </cell>
          <cell r="F28">
            <v>0.28315312562028166</v>
          </cell>
          <cell r="G28">
            <v>0.23893103810028168</v>
          </cell>
          <cell r="H28">
            <v>0.23778078242704223</v>
          </cell>
          <cell r="I28">
            <v>0.12495206695436618</v>
          </cell>
          <cell r="J28">
            <v>0.21411754547830988</v>
          </cell>
          <cell r="K28">
            <v>0.31006389340394369</v>
          </cell>
          <cell r="L28">
            <v>0.34947266894873241</v>
          </cell>
          <cell r="M28">
            <v>0.15208124097802816</v>
          </cell>
          <cell r="N28">
            <v>0.11853021709521128</v>
          </cell>
          <cell r="O28">
            <v>9.8100977476056339E-2</v>
          </cell>
          <cell r="P28">
            <v>7.3280432001802814E-2</v>
          </cell>
          <cell r="Q28">
            <v>2.3300818337753242</v>
          </cell>
        </row>
        <row r="29">
          <cell r="B29" t="str">
            <v>Feldaist 17,45</v>
          </cell>
          <cell r="C29">
            <v>206581</v>
          </cell>
          <cell r="E29">
            <v>0.30645075036862579</v>
          </cell>
          <cell r="F29">
            <v>0.4066566676509295</v>
          </cell>
          <cell r="G29">
            <v>0.47263455790097247</v>
          </cell>
          <cell r="H29">
            <v>0.33145874288448213</v>
          </cell>
          <cell r="I29">
            <v>0.24835600146482029</v>
          </cell>
          <cell r="J29">
            <v>0.35605841716693454</v>
          </cell>
          <cell r="K29">
            <v>0.45095262838972511</v>
          </cell>
          <cell r="L29">
            <v>0.68635275056638478</v>
          </cell>
          <cell r="M29">
            <v>0.25065681388211419</v>
          </cell>
          <cell r="N29">
            <v>0.21507865658714589</v>
          </cell>
          <cell r="O29">
            <v>0.19373051823602541</v>
          </cell>
          <cell r="P29">
            <v>0.19066677442279917</v>
          </cell>
          <cell r="Q29">
            <v>4.1090532795209604</v>
          </cell>
        </row>
        <row r="30">
          <cell r="C30">
            <v>206680</v>
          </cell>
          <cell r="Q30" t="str">
            <v>k.Wert</v>
          </cell>
        </row>
        <row r="31">
          <cell r="A31">
            <v>1590</v>
          </cell>
          <cell r="B31" t="str">
            <v>Waldaist 2,4</v>
          </cell>
          <cell r="C31">
            <v>205971</v>
          </cell>
          <cell r="E31">
            <v>0.11971732840043614</v>
          </cell>
          <cell r="F31">
            <v>0.12264953933285964</v>
          </cell>
          <cell r="G31">
            <v>0.2343055365595216</v>
          </cell>
          <cell r="H31">
            <v>0.18213330205658354</v>
          </cell>
          <cell r="I31">
            <v>0.10253210811051261</v>
          </cell>
          <cell r="J31">
            <v>0.13384862975755588</v>
          </cell>
          <cell r="K31">
            <v>0.12276665270147454</v>
          </cell>
          <cell r="L31">
            <v>0.23895867737327001</v>
          </cell>
          <cell r="M31">
            <v>8.2456421767997126E-2</v>
          </cell>
          <cell r="N31">
            <v>6.1942470902976721E-2</v>
          </cell>
          <cell r="O31">
            <v>7.7436328627590853E-2</v>
          </cell>
          <cell r="P31">
            <v>7.7506559329548905E-2</v>
          </cell>
          <cell r="Q31">
            <v>1.5562535549203274</v>
          </cell>
        </row>
        <row r="32">
          <cell r="B32" t="str">
            <v>Große Mühl 52,1</v>
          </cell>
          <cell r="C32">
            <v>204891</v>
          </cell>
          <cell r="E32">
            <v>0.1691014203215534</v>
          </cell>
          <cell r="F32">
            <v>0.1511421314134048</v>
          </cell>
          <cell r="G32">
            <v>0.217309352831068</v>
          </cell>
          <cell r="H32">
            <v>0.157340218415534</v>
          </cell>
          <cell r="I32">
            <v>8.9000522796116519E-2</v>
          </cell>
          <cell r="J32">
            <v>0.10545433936077671</v>
          </cell>
          <cell r="K32">
            <v>0.10973012806427185</v>
          </cell>
          <cell r="L32">
            <v>0.14484808397009713</v>
          </cell>
          <cell r="M32">
            <v>0.11256018906815536</v>
          </cell>
          <cell r="N32">
            <v>7.5987295117281556E-2</v>
          </cell>
          <cell r="O32">
            <v>0.13440786977941746</v>
          </cell>
          <cell r="P32">
            <v>0.10293520016621362</v>
          </cell>
          <cell r="Q32">
            <v>1.5698167513038905</v>
          </cell>
        </row>
        <row r="33">
          <cell r="A33">
            <v>1140</v>
          </cell>
          <cell r="B33" t="str">
            <v>Große Mühl 30,9</v>
          </cell>
          <cell r="C33">
            <v>204917</v>
          </cell>
          <cell r="E33">
            <v>0.21592995775797527</v>
          </cell>
          <cell r="F33">
            <v>0.21119335070482004</v>
          </cell>
          <cell r="G33">
            <v>0.27262527574168555</v>
          </cell>
          <cell r="H33">
            <v>0.23448222813306283</v>
          </cell>
          <cell r="I33">
            <v>0.12812320629452542</v>
          </cell>
          <cell r="J33">
            <v>0.16980540761209525</v>
          </cell>
          <cell r="K33">
            <v>0.17126471250104239</v>
          </cell>
          <cell r="L33">
            <v>0.22500302997433314</v>
          </cell>
          <cell r="M33">
            <v>0.16887553674988409</v>
          </cell>
          <cell r="N33">
            <v>0.10539916761318936</v>
          </cell>
          <cell r="O33">
            <v>0.15154021290440539</v>
          </cell>
          <cell r="P33">
            <v>0.13922572778890444</v>
          </cell>
          <cell r="Q33">
            <v>2.1934678137759231</v>
          </cell>
        </row>
        <row r="34">
          <cell r="B34" t="str">
            <v>Große Mühl 21,8</v>
          </cell>
          <cell r="C34">
            <v>204933</v>
          </cell>
          <cell r="E34">
            <v>0.46920282976293687</v>
          </cell>
          <cell r="F34">
            <v>0.44613601693564947</v>
          </cell>
          <cell r="G34">
            <v>0.57297551522282186</v>
          </cell>
          <cell r="H34">
            <v>0.49756440409093328</v>
          </cell>
          <cell r="I34">
            <v>0.25123780241132249</v>
          </cell>
          <cell r="J34">
            <v>0.33673026737885897</v>
          </cell>
          <cell r="K34">
            <v>0.33883924258699688</v>
          </cell>
          <cell r="L34">
            <v>0.52874488718414869</v>
          </cell>
          <cell r="M34">
            <v>0.34900121726669614</v>
          </cell>
          <cell r="N34">
            <v>0.2023034277813357</v>
          </cell>
          <cell r="O34">
            <v>0.30035743344891636</v>
          </cell>
          <cell r="P34">
            <v>0.25394441377390542</v>
          </cell>
          <cell r="Q34">
            <v>4.5470374578445227</v>
          </cell>
        </row>
        <row r="35">
          <cell r="C35">
            <v>206656</v>
          </cell>
          <cell r="Q35" t="str">
            <v>k.Wert</v>
          </cell>
        </row>
        <row r="36">
          <cell r="B36" t="str">
            <v>Große Rodl 23,2</v>
          </cell>
          <cell r="C36">
            <v>205088</v>
          </cell>
          <cell r="E36">
            <v>0.40979320161688659</v>
          </cell>
          <cell r="F36">
            <v>0.39426369297778185</v>
          </cell>
          <cell r="G36">
            <v>0.63323995454564652</v>
          </cell>
          <cell r="H36">
            <v>0.42071560099947236</v>
          </cell>
          <cell r="I36">
            <v>0.19718304565868078</v>
          </cell>
          <cell r="J36">
            <v>0.20370576330474935</v>
          </cell>
          <cell r="K36">
            <v>0.22601406950058048</v>
          </cell>
          <cell r="L36">
            <v>0.48009870865614779</v>
          </cell>
          <cell r="M36">
            <v>0.24395882251972564</v>
          </cell>
          <cell r="N36">
            <v>0.1662483585539842</v>
          </cell>
          <cell r="O36">
            <v>0.21643630556010551</v>
          </cell>
          <cell r="P36">
            <v>0.25660914529013201</v>
          </cell>
          <cell r="Q36">
            <v>3.8482666691838934</v>
          </cell>
        </row>
        <row r="37">
          <cell r="B37" t="str">
            <v>Gusen 19,6</v>
          </cell>
          <cell r="C37">
            <v>206573</v>
          </cell>
          <cell r="E37">
            <v>0.3144619036395126</v>
          </cell>
          <cell r="F37">
            <v>0.31360825303669321</v>
          </cell>
          <cell r="G37">
            <v>0.43624758482316767</v>
          </cell>
          <cell r="H37">
            <v>0.26300855876423612</v>
          </cell>
          <cell r="I37">
            <v>0.22594950763793809</v>
          </cell>
          <cell r="J37">
            <v>0.30654367508243668</v>
          </cell>
          <cell r="K37">
            <v>0.30136363278275541</v>
          </cell>
          <cell r="L37">
            <v>0.35541799492116199</v>
          </cell>
          <cell r="M37">
            <v>0.18034639579366443</v>
          </cell>
          <cell r="N37">
            <v>0.1908144975832802</v>
          </cell>
          <cell r="O37">
            <v>0.19325272248742267</v>
          </cell>
          <cell r="P37">
            <v>0.1671769839718088</v>
          </cell>
          <cell r="Q37">
            <v>3.2481917105240781</v>
          </cell>
        </row>
        <row r="38">
          <cell r="A38">
            <v>1370</v>
          </cell>
          <cell r="B38" t="str">
            <v>Gusen 15,7</v>
          </cell>
          <cell r="C38">
            <v>206375</v>
          </cell>
          <cell r="E38">
            <v>0.60493880655077148</v>
          </cell>
          <cell r="F38">
            <v>0.63496891710603276</v>
          </cell>
          <cell r="G38">
            <v>0.86885655857957911</v>
          </cell>
          <cell r="H38">
            <v>0.47978096555223693</v>
          </cell>
          <cell r="I38">
            <v>0.35447599613181602</v>
          </cell>
          <cell r="J38">
            <v>0.4307186969250818</v>
          </cell>
          <cell r="K38">
            <v>0.48082055747990643</v>
          </cell>
          <cell r="L38">
            <v>0.65804882487993765</v>
          </cell>
          <cell r="M38">
            <v>0.27392234023332812</v>
          </cell>
          <cell r="N38">
            <v>0.31861124934285262</v>
          </cell>
          <cell r="O38">
            <v>0.36894286417384253</v>
          </cell>
          <cell r="P38">
            <v>0.38311714887073423</v>
          </cell>
          <cell r="Q38">
            <v>5.8572029258261198</v>
          </cell>
        </row>
        <row r="39">
          <cell r="B39" t="str">
            <v>Gusen 10,4</v>
          </cell>
          <cell r="C39">
            <v>206375</v>
          </cell>
          <cell r="E39">
            <v>0.70762994746344499</v>
          </cell>
          <cell r="F39">
            <v>0.6917190665359314</v>
          </cell>
          <cell r="G39">
            <v>1.0030337983445052</v>
          </cell>
          <cell r="H39">
            <v>0.60122170827778643</v>
          </cell>
          <cell r="I39">
            <v>0.47700443413936083</v>
          </cell>
          <cell r="J39">
            <v>0.53065966054559632</v>
          </cell>
          <cell r="K39">
            <v>0.64954750169602493</v>
          </cell>
          <cell r="L39">
            <v>0.84836923015370225</v>
          </cell>
          <cell r="M39">
            <v>0.34202927175993764</v>
          </cell>
          <cell r="N39">
            <v>0.41786952809976613</v>
          </cell>
          <cell r="O39">
            <v>0.45795054291067805</v>
          </cell>
          <cell r="P39">
            <v>0.43740285183975064</v>
          </cell>
          <cell r="Q39">
            <v>7.1644375417664845</v>
          </cell>
        </row>
        <row r="40">
          <cell r="B40" t="str">
            <v>Gusen 6,1</v>
          </cell>
          <cell r="C40">
            <v>206375</v>
          </cell>
          <cell r="E40">
            <v>0.74567885642824638</v>
          </cell>
          <cell r="F40">
            <v>0.73098133860189318</v>
          </cell>
          <cell r="G40">
            <v>1.0513834058974281</v>
          </cell>
          <cell r="H40">
            <v>0.68258112559688244</v>
          </cell>
          <cell r="I40">
            <v>0.5237803843132659</v>
          </cell>
          <cell r="J40">
            <v>0.52728359268963365</v>
          </cell>
          <cell r="K40">
            <v>0.58584812893281379</v>
          </cell>
          <cell r="L40">
            <v>0.85511848522924405</v>
          </cell>
          <cell r="M40">
            <v>0.56494670225359322</v>
          </cell>
          <cell r="N40">
            <v>0.43135306337770851</v>
          </cell>
          <cell r="O40">
            <v>0.47755184156333602</v>
          </cell>
          <cell r="P40">
            <v>0.46678094970313333</v>
          </cell>
          <cell r="Q40">
            <v>7.6432878745871795</v>
          </cell>
        </row>
        <row r="41">
          <cell r="A41">
            <v>1380</v>
          </cell>
          <cell r="B41" t="str">
            <v>Gusen 2,1</v>
          </cell>
          <cell r="C41">
            <v>206375</v>
          </cell>
          <cell r="E41">
            <v>0.87139715695856568</v>
          </cell>
          <cell r="F41">
            <v>0.86174301335962589</v>
          </cell>
          <cell r="G41">
            <v>1.2172564621150428</v>
          </cell>
          <cell r="H41">
            <v>0.76947051317724091</v>
          </cell>
          <cell r="I41">
            <v>0.55737302212171469</v>
          </cell>
          <cell r="J41">
            <v>0.57349486091784885</v>
          </cell>
          <cell r="K41">
            <v>0.66455069166266556</v>
          </cell>
          <cell r="L41">
            <v>0.96555770943993757</v>
          </cell>
          <cell r="M41">
            <v>0.42141874442057664</v>
          </cell>
          <cell r="N41">
            <v>0.4862886525007013</v>
          </cell>
          <cell r="O41">
            <v>0.56234871879825399</v>
          </cell>
          <cell r="P41">
            <v>0.53991351932408405</v>
          </cell>
          <cell r="Q41">
            <v>8.4908130647962583</v>
          </cell>
        </row>
        <row r="42">
          <cell r="A42">
            <v>1360</v>
          </cell>
          <cell r="B42" t="str">
            <v>Kleine Gusen 0,1</v>
          </cell>
          <cell r="C42">
            <v>206854</v>
          </cell>
          <cell r="E42">
            <v>0.27778479900237146</v>
          </cell>
          <cell r="F42">
            <v>0.27950444082102222</v>
          </cell>
          <cell r="G42">
            <v>0.37049694641169956</v>
          </cell>
          <cell r="H42">
            <v>0.1949414992012648</v>
          </cell>
          <cell r="I42">
            <v>0.11892578357691698</v>
          </cell>
          <cell r="J42">
            <v>0.13371726405438736</v>
          </cell>
          <cell r="K42">
            <v>0.18626500921612646</v>
          </cell>
          <cell r="L42">
            <v>0.30106659289043475</v>
          </cell>
          <cell r="M42">
            <v>0.13213250284268777</v>
          </cell>
          <cell r="N42">
            <v>0.1364033209195257</v>
          </cell>
          <cell r="O42">
            <v>0.15088261020332014</v>
          </cell>
          <cell r="P42">
            <v>0.16984314825637942</v>
          </cell>
          <cell r="Q42">
            <v>2.4519639173961369</v>
          </cell>
        </row>
        <row r="43">
          <cell r="C43">
            <v>206771</v>
          </cell>
          <cell r="Q43" t="str">
            <v>k.Wert</v>
          </cell>
        </row>
        <row r="44">
          <cell r="B44" t="str">
            <v>Krems 54,8</v>
          </cell>
          <cell r="C44">
            <v>205633</v>
          </cell>
          <cell r="E44">
            <v>1.6797329410026953E-2</v>
          </cell>
          <cell r="F44">
            <v>0.11658837311494752</v>
          </cell>
          <cell r="G44">
            <v>9.416103412560646E-2</v>
          </cell>
          <cell r="H44">
            <v>1.6252284249703503E-2</v>
          </cell>
          <cell r="I44">
            <v>1.0784585226954179E-2</v>
          </cell>
          <cell r="J44">
            <v>2.8223187203450129E-2</v>
          </cell>
          <cell r="K44">
            <v>2.2654905722587604E-2</v>
          </cell>
          <cell r="L44">
            <v>1.6382192818803237E-2</v>
          </cell>
          <cell r="M44">
            <v>1.1314453286425878E-2</v>
          </cell>
          <cell r="N44">
            <v>1.0808088370350405E-2</v>
          </cell>
          <cell r="O44">
            <v>2.0920735024690034E-2</v>
          </cell>
          <cell r="P44">
            <v>2.5139299899299195E-2</v>
          </cell>
          <cell r="Q44">
            <v>0.39002646845284517</v>
          </cell>
        </row>
        <row r="45">
          <cell r="A45">
            <v>1320</v>
          </cell>
          <cell r="B45" t="str">
            <v>Krems 36,5</v>
          </cell>
          <cell r="C45">
            <v>205641</v>
          </cell>
          <cell r="E45">
            <v>0.28652607900000004</v>
          </cell>
          <cell r="F45">
            <v>0.35636308681034495</v>
          </cell>
          <cell r="G45">
            <v>0.72870374250000003</v>
          </cell>
          <cell r="H45">
            <v>0.28905660000000005</v>
          </cell>
          <cell r="I45">
            <v>0.21060540000000003</v>
          </cell>
          <cell r="J45">
            <v>0.3615313905000001</v>
          </cell>
          <cell r="K45">
            <v>0.26348682375000004</v>
          </cell>
          <cell r="L45">
            <v>0.2586289014</v>
          </cell>
          <cell r="M45">
            <v>0.27230772780000001</v>
          </cell>
          <cell r="N45">
            <v>0.22298417100000001</v>
          </cell>
          <cell r="O45">
            <v>0.27218100600000011</v>
          </cell>
          <cell r="P45">
            <v>0.46438691850000008</v>
          </cell>
          <cell r="Q45">
            <v>3.9867618472603454</v>
          </cell>
        </row>
        <row r="46">
          <cell r="B46" t="str">
            <v>Krems 12,8</v>
          </cell>
          <cell r="C46">
            <v>205658</v>
          </cell>
          <cell r="E46">
            <v>0.59671355446052277</v>
          </cell>
          <cell r="F46">
            <v>1.0680894604522695</v>
          </cell>
          <cell r="G46">
            <v>0.87461817155653376</v>
          </cell>
          <cell r="H46">
            <v>0.3911846271053645</v>
          </cell>
          <cell r="I46">
            <v>0.3162808766921596</v>
          </cell>
          <cell r="J46">
            <v>0.62163751220467678</v>
          </cell>
          <cell r="K46">
            <v>0.502061071818652</v>
          </cell>
          <cell r="L46">
            <v>0.54884628493204957</v>
          </cell>
          <cell r="M46">
            <v>0.93104584600605245</v>
          </cell>
          <cell r="N46">
            <v>0.47617324947235212</v>
          </cell>
          <cell r="O46">
            <v>0.9451596073023385</v>
          </cell>
          <cell r="P46">
            <v>1.3928469710261351</v>
          </cell>
          <cell r="Q46">
            <v>8.6646572330291072</v>
          </cell>
        </row>
        <row r="47">
          <cell r="A47">
            <v>1330</v>
          </cell>
          <cell r="B47" t="str">
            <v>Krems 7,9</v>
          </cell>
          <cell r="C47">
            <v>205658</v>
          </cell>
          <cell r="E47">
            <v>1.0546240684298211</v>
          </cell>
          <cell r="F47">
            <v>0.74740618947360427</v>
          </cell>
          <cell r="G47">
            <v>1.3663010281736454</v>
          </cell>
          <cell r="H47">
            <v>0.54244420705980745</v>
          </cell>
          <cell r="I47">
            <v>0.48103513100764789</v>
          </cell>
          <cell r="J47">
            <v>0.77155012301645121</v>
          </cell>
          <cell r="K47">
            <v>0.79726044071280333</v>
          </cell>
          <cell r="L47">
            <v>0.49362464631020642</v>
          </cell>
          <cell r="M47">
            <v>0.67070728777736466</v>
          </cell>
          <cell r="N47">
            <v>0.41966784353364517</v>
          </cell>
          <cell r="O47">
            <v>0.69453044197502056</v>
          </cell>
          <cell r="P47">
            <v>0.92563496729529593</v>
          </cell>
          <cell r="Q47">
            <v>8.964786374765314</v>
          </cell>
        </row>
        <row r="48">
          <cell r="B48" t="str">
            <v>Mattig 36,3</v>
          </cell>
          <cell r="C48">
            <v>204586</v>
          </cell>
          <cell r="E48">
            <v>9.2692811567567594E-3</v>
          </cell>
          <cell r="F48">
            <v>9.4932498393289835E-3</v>
          </cell>
          <cell r="G48">
            <v>1.5756873048648649E-2</v>
          </cell>
          <cell r="H48">
            <v>1.1131545729729733E-2</v>
          </cell>
          <cell r="I48">
            <v>8.519625389189189E-3</v>
          </cell>
          <cell r="J48">
            <v>1.0085010010810811E-2</v>
          </cell>
          <cell r="K48">
            <v>7.9792978918918952E-3</v>
          </cell>
          <cell r="L48">
            <v>4.9854522244324323E-2</v>
          </cell>
          <cell r="M48">
            <v>8.5209810054054057E-3</v>
          </cell>
          <cell r="N48">
            <v>8.1200355027027018E-3</v>
          </cell>
          <cell r="O48">
            <v>1.8546928402162162E-2</v>
          </cell>
          <cell r="P48">
            <v>1.2688426940540542E-2</v>
          </cell>
          <cell r="Q48">
            <v>0.16996577716149114</v>
          </cell>
        </row>
        <row r="49">
          <cell r="B49" t="str">
            <v>Mattig 25,1</v>
          </cell>
          <cell r="C49">
            <v>204610</v>
          </cell>
          <cell r="E49">
            <v>3.418484569517647E-2</v>
          </cell>
          <cell r="F49">
            <v>3.693354636015822E-2</v>
          </cell>
          <cell r="G49">
            <v>8.1399047317941189E-2</v>
          </cell>
          <cell r="H49">
            <v>1.5915489405882353E-2</v>
          </cell>
          <cell r="I49">
            <v>6.0485901104117654E-2</v>
          </cell>
          <cell r="J49">
            <v>5.3870561844352939E-2</v>
          </cell>
          <cell r="K49">
            <v>4.0287842060823538E-2</v>
          </cell>
          <cell r="L49">
            <v>0.17712253805558822</v>
          </cell>
          <cell r="M49">
            <v>4.7607880806000001E-2</v>
          </cell>
          <cell r="N49">
            <v>2.4840254497235297E-2</v>
          </cell>
          <cell r="O49">
            <v>0.10816834657817649</v>
          </cell>
          <cell r="P49">
            <v>3.319948423588235E-2</v>
          </cell>
          <cell r="Q49">
            <v>0.71401573796133477</v>
          </cell>
        </row>
        <row r="50">
          <cell r="B50" t="str">
            <v>Mattig 18,1</v>
          </cell>
          <cell r="C50">
            <v>204610</v>
          </cell>
          <cell r="E50">
            <v>0.24456045471247065</v>
          </cell>
          <cell r="F50">
            <v>0.24690428017908317</v>
          </cell>
          <cell r="G50">
            <v>0.50056703004705894</v>
          </cell>
          <cell r="H50">
            <v>0.26835717489882349</v>
          </cell>
          <cell r="I50">
            <v>0.2068271599552941</v>
          </cell>
          <cell r="J50">
            <v>0.29001081881223528</v>
          </cell>
          <cell r="K50">
            <v>0.25063186270023524</v>
          </cell>
          <cell r="L50">
            <v>0.39987989977129418</v>
          </cell>
          <cell r="M50">
            <v>0.23912186282258821</v>
          </cell>
          <cell r="N50">
            <v>0.17009495310494116</v>
          </cell>
          <cell r="O50">
            <v>0.2365083673835294</v>
          </cell>
          <cell r="P50">
            <v>0.13136225229741175</v>
          </cell>
          <cell r="Q50">
            <v>3.1848261166849658</v>
          </cell>
        </row>
        <row r="51">
          <cell r="A51">
            <v>630</v>
          </cell>
          <cell r="B51" t="str">
            <v>Mattig 1,93</v>
          </cell>
          <cell r="C51">
            <v>204677</v>
          </cell>
          <cell r="E51">
            <v>0.43632996430055937</v>
          </cell>
          <cell r="F51">
            <v>0.37153589308570156</v>
          </cell>
          <cell r="G51">
            <v>0.68918830612199589</v>
          </cell>
          <cell r="H51">
            <v>0.33945282010794364</v>
          </cell>
          <cell r="I51">
            <v>0.43596183653810705</v>
          </cell>
          <cell r="J51">
            <v>0.48796735281736409</v>
          </cell>
          <cell r="K51">
            <v>0.42095168441834868</v>
          </cell>
          <cell r="L51">
            <v>0.595170052356357</v>
          </cell>
          <cell r="M51">
            <v>0.40484708478890141</v>
          </cell>
          <cell r="N51">
            <v>0.29136005627352873</v>
          </cell>
          <cell r="O51">
            <v>0.37995392981982551</v>
          </cell>
          <cell r="P51">
            <v>0.32485385078720075</v>
          </cell>
          <cell r="Q51">
            <v>5.1775728314158336</v>
          </cell>
        </row>
        <row r="52">
          <cell r="C52">
            <v>206748</v>
          </cell>
          <cell r="Q52" t="str">
            <v>k.Wert</v>
          </cell>
        </row>
        <row r="53">
          <cell r="A53">
            <v>1630</v>
          </cell>
          <cell r="B53" t="str">
            <v>Naarn 49,85</v>
          </cell>
          <cell r="C53">
            <v>205997</v>
          </cell>
          <cell r="E53">
            <v>2.4960104511044776E-2</v>
          </cell>
          <cell r="F53">
            <v>3.1162588091240354E-2</v>
          </cell>
          <cell r="G53">
            <v>5.5558495257313434E-2</v>
          </cell>
          <cell r="H53">
            <v>4.7499754803582088E-2</v>
          </cell>
          <cell r="I53">
            <v>3.1582982643582093E-2</v>
          </cell>
          <cell r="J53">
            <v>3.2762839894925379E-2</v>
          </cell>
          <cell r="K53">
            <v>2.9300717487761196E-2</v>
          </cell>
          <cell r="L53">
            <v>3.0420000601791043E-2</v>
          </cell>
          <cell r="M53">
            <v>2.7139981437134329E-2</v>
          </cell>
          <cell r="N53">
            <v>2.3119244059701491E-2</v>
          </cell>
          <cell r="O53">
            <v>2.467920057313432E-2</v>
          </cell>
          <cell r="P53">
            <v>1.6643984685850748E-2</v>
          </cell>
          <cell r="Q53">
            <v>0.3748298940470613</v>
          </cell>
        </row>
        <row r="54">
          <cell r="B54" t="str">
            <v>Naarn 13,7</v>
          </cell>
          <cell r="C54">
            <v>206029</v>
          </cell>
          <cell r="E54">
            <v>0.25150411058502142</v>
          </cell>
          <cell r="F54">
            <v>0.24320142980054835</v>
          </cell>
          <cell r="G54">
            <v>0.65971806342936323</v>
          </cell>
          <cell r="H54">
            <v>0.37976953701616623</v>
          </cell>
          <cell r="I54">
            <v>0.28968797404077862</v>
          </cell>
          <cell r="J54">
            <v>0.33300303618607718</v>
          </cell>
          <cell r="K54">
            <v>0.26085760363930055</v>
          </cell>
          <cell r="L54">
            <v>0.2494434615494609</v>
          </cell>
          <cell r="M54">
            <v>0.1971216422883959</v>
          </cell>
          <cell r="N54">
            <v>0.14141769799736059</v>
          </cell>
          <cell r="O54">
            <v>0.18848388041649622</v>
          </cell>
          <cell r="P54">
            <v>0.11593102038166678</v>
          </cell>
          <cell r="Q54">
            <v>3.310139457330636</v>
          </cell>
        </row>
        <row r="55">
          <cell r="C55">
            <v>210526</v>
          </cell>
          <cell r="Q55" t="str">
            <v>k.Wert</v>
          </cell>
        </row>
        <row r="56">
          <cell r="A56">
            <v>4000</v>
          </cell>
          <cell r="B56" t="str">
            <v>Traun obere 130,93</v>
          </cell>
          <cell r="C56">
            <v>205104</v>
          </cell>
          <cell r="E56">
            <v>0.13071313966650719</v>
          </cell>
          <cell r="F56">
            <v>9.7578869712349456E-2</v>
          </cell>
          <cell r="G56">
            <v>0.26746522838181819</v>
          </cell>
          <cell r="H56">
            <v>0.22626438638038279</v>
          </cell>
          <cell r="I56">
            <v>0.31078342151913874</v>
          </cell>
          <cell r="J56">
            <v>0.22920640517583735</v>
          </cell>
          <cell r="K56">
            <v>0.28658886327775118</v>
          </cell>
          <cell r="L56">
            <v>0.14636733215813397</v>
          </cell>
          <cell r="M56">
            <v>0.14672743635251198</v>
          </cell>
          <cell r="N56">
            <v>8.1662470589712918E-2</v>
          </cell>
          <cell r="O56">
            <v>8.7318755523086142E-2</v>
          </cell>
          <cell r="P56">
            <v>7.8131569491387554E-2</v>
          </cell>
          <cell r="Q56">
            <v>2.088807878228617</v>
          </cell>
        </row>
        <row r="57">
          <cell r="B57" t="str">
            <v>Traun obere 117,95</v>
          </cell>
          <cell r="C57">
            <v>205146</v>
          </cell>
          <cell r="E57">
            <v>8.4929938221066315E-2</v>
          </cell>
          <cell r="F57">
            <v>7.8030005744607861E-2</v>
          </cell>
          <cell r="G57">
            <v>0.1855648305585175</v>
          </cell>
          <cell r="H57">
            <v>0.26469869143693109</v>
          </cell>
          <cell r="I57">
            <v>0.4940471068010403</v>
          </cell>
          <cell r="J57">
            <v>0.40230918058517556</v>
          </cell>
          <cell r="K57">
            <v>0.27756806383615085</v>
          </cell>
          <cell r="L57">
            <v>0.2496134111009102</v>
          </cell>
          <cell r="M57">
            <v>0.24932024139791933</v>
          </cell>
          <cell r="N57">
            <v>0.15656392484590373</v>
          </cell>
          <cell r="O57">
            <v>0.14422948635955782</v>
          </cell>
          <cell r="P57">
            <v>8.6540067699869952E-2</v>
          </cell>
          <cell r="Q57">
            <v>2.6734149485876504</v>
          </cell>
        </row>
        <row r="58">
          <cell r="B58" t="str">
            <v>Traun obere 103,2</v>
          </cell>
          <cell r="C58">
            <v>205153</v>
          </cell>
          <cell r="E58">
            <v>0.10989407820716468</v>
          </cell>
          <cell r="F58">
            <v>0.13696500848017312</v>
          </cell>
          <cell r="G58">
            <v>0.23387517426381565</v>
          </cell>
          <cell r="H58">
            <v>0.34827408799777843</v>
          </cell>
          <cell r="I58">
            <v>0.53274514043876708</v>
          </cell>
          <cell r="J58">
            <v>0.44202910953623992</v>
          </cell>
          <cell r="K58">
            <v>0.30842154254929188</v>
          </cell>
          <cell r="L58">
            <v>0.2822026868447654</v>
          </cell>
          <cell r="M58">
            <v>0.28627363804498757</v>
          </cell>
          <cell r="N58">
            <v>0.18549005048597614</v>
          </cell>
          <cell r="O58">
            <v>0.17537568473201884</v>
          </cell>
          <cell r="P58">
            <v>0.11049337868281033</v>
          </cell>
          <cell r="Q58">
            <v>3.1520395802637888</v>
          </cell>
        </row>
        <row r="59">
          <cell r="B59" t="str">
            <v>Traun obere 86,65</v>
          </cell>
          <cell r="C59">
            <v>206128</v>
          </cell>
          <cell r="E59">
            <v>0.20881843502935418</v>
          </cell>
          <cell r="F59">
            <v>0.24058342742338504</v>
          </cell>
          <cell r="G59">
            <v>0.42374220436119647</v>
          </cell>
          <cell r="H59">
            <v>0.58410570293542075</v>
          </cell>
          <cell r="I59">
            <v>0.68359741832541232</v>
          </cell>
          <cell r="J59">
            <v>0.61977359522365116</v>
          </cell>
          <cell r="K59">
            <v>0.43067532844562484</v>
          </cell>
          <cell r="L59">
            <v>0.41111302493709817</v>
          </cell>
          <cell r="M59">
            <v>0.43700530458484765</v>
          </cell>
          <cell r="N59">
            <v>0.27147812105116026</v>
          </cell>
          <cell r="O59">
            <v>0.27378300784176685</v>
          </cell>
          <cell r="P59">
            <v>0.18524273585686329</v>
          </cell>
          <cell r="Q59">
            <v>4.7699183060157804</v>
          </cell>
        </row>
        <row r="60">
          <cell r="A60">
            <v>4010</v>
          </cell>
          <cell r="B60" t="str">
            <v>Traun untere 71</v>
          </cell>
          <cell r="C60">
            <v>206128</v>
          </cell>
          <cell r="E60">
            <v>0.23851622219178084</v>
          </cell>
          <cell r="F60">
            <v>0.23206705010392067</v>
          </cell>
          <cell r="G60">
            <v>0.48400606849315081</v>
          </cell>
          <cell r="H60">
            <v>0.58620270205479463</v>
          </cell>
          <cell r="I60">
            <v>0.7891597681643836</v>
          </cell>
          <cell r="J60">
            <v>0.70026398691780833</v>
          </cell>
          <cell r="K60">
            <v>0.49192520917808219</v>
          </cell>
          <cell r="L60">
            <v>0.60279317876712335</v>
          </cell>
          <cell r="M60">
            <v>0.51744150295890423</v>
          </cell>
          <cell r="N60">
            <v>0.31008725753424665</v>
          </cell>
          <cell r="O60">
            <v>0.31271994123287666</v>
          </cell>
          <cell r="P60">
            <v>0.19296973972602741</v>
          </cell>
          <cell r="Q60">
            <v>5.4581526273231002</v>
          </cell>
        </row>
        <row r="61">
          <cell r="B61" t="str">
            <v>Traun untere 66,1</v>
          </cell>
          <cell r="C61">
            <v>206128</v>
          </cell>
          <cell r="E61">
            <v>0.32707210493709821</v>
          </cell>
          <cell r="F61">
            <v>0.2788769083405474</v>
          </cell>
          <cell r="G61">
            <v>0.56371132543611979</v>
          </cell>
          <cell r="H61">
            <v>0.59456150048923695</v>
          </cell>
          <cell r="I61">
            <v>0.80041257783505737</v>
          </cell>
          <cell r="J61">
            <v>0.71024921130696128</v>
          </cell>
          <cell r="K61">
            <v>0.49893968327369315</v>
          </cell>
          <cell r="L61">
            <v>0.61138854460441727</v>
          </cell>
          <cell r="M61">
            <v>0.52481981972490932</v>
          </cell>
          <cell r="N61">
            <v>0.31450886267822209</v>
          </cell>
          <cell r="O61">
            <v>0.38030189215823312</v>
          </cell>
          <cell r="P61">
            <v>0.19572133939055078</v>
          </cell>
          <cell r="Q61">
            <v>5.8005637701750468</v>
          </cell>
        </row>
        <row r="62">
          <cell r="B62" t="str">
            <v>Traun untere 57,4</v>
          </cell>
          <cell r="C62">
            <v>205252</v>
          </cell>
          <cell r="E62">
            <v>0.30474126123072803</v>
          </cell>
          <cell r="F62">
            <v>0.31821648700635663</v>
          </cell>
          <cell r="G62">
            <v>0.61209686244268668</v>
          </cell>
          <cell r="H62">
            <v>0.56753344943826256</v>
          </cell>
          <cell r="I62">
            <v>0.81998087379005236</v>
          </cell>
          <cell r="J62">
            <v>0.71631156172141042</v>
          </cell>
          <cell r="K62">
            <v>0.54227498435715238</v>
          </cell>
          <cell r="L62">
            <v>0.80751015540313698</v>
          </cell>
          <cell r="M62">
            <v>0.53592632536908424</v>
          </cell>
          <cell r="N62">
            <v>0.33106059240112617</v>
          </cell>
          <cell r="O62">
            <v>0.55338504962059254</v>
          </cell>
          <cell r="P62">
            <v>0.26891459946909774</v>
          </cell>
          <cell r="Q62">
            <v>6.3779522022496877</v>
          </cell>
        </row>
        <row r="63">
          <cell r="C63">
            <v>205468</v>
          </cell>
          <cell r="Q63" t="str">
            <v>k.Wert</v>
          </cell>
        </row>
        <row r="64">
          <cell r="B64" t="str">
            <v>Traun untere 42</v>
          </cell>
          <cell r="C64">
            <v>206409</v>
          </cell>
          <cell r="E64">
            <v>2.3561747842779162</v>
          </cell>
          <cell r="F64">
            <v>2.2283036693351583</v>
          </cell>
          <cell r="G64">
            <v>2.170091793528536</v>
          </cell>
          <cell r="H64">
            <v>2.4377772488337466</v>
          </cell>
          <cell r="I64">
            <v>1.1881337699255583</v>
          </cell>
          <cell r="J64">
            <v>1.5541903833052109</v>
          </cell>
          <cell r="K64">
            <v>3.5334848978263036</v>
          </cell>
          <cell r="L64">
            <v>2.7693191565558313</v>
          </cell>
          <cell r="M64">
            <v>1.8830857302312656</v>
          </cell>
          <cell r="N64">
            <v>1.0047795747990074</v>
          </cell>
          <cell r="O64">
            <v>1.6250773587096774</v>
          </cell>
          <cell r="P64">
            <v>1.2036599271066999</v>
          </cell>
          <cell r="Q64">
            <v>23.954078294434911</v>
          </cell>
        </row>
        <row r="65">
          <cell r="B65" t="str">
            <v>Traun untere 33,2</v>
          </cell>
          <cell r="C65">
            <v>206409</v>
          </cell>
          <cell r="E65">
            <v>1.9808396112217199</v>
          </cell>
          <cell r="F65">
            <v>1.5680701504821346</v>
          </cell>
          <cell r="G65">
            <v>1.5320654470588237</v>
          </cell>
          <cell r="H65">
            <v>2.176134238914027</v>
          </cell>
          <cell r="I65">
            <v>1.2197923656108598</v>
          </cell>
          <cell r="J65">
            <v>1.6212680226244345</v>
          </cell>
          <cell r="K65">
            <v>2.8942195992760182</v>
          </cell>
          <cell r="L65">
            <v>2.2523532874208145</v>
          </cell>
          <cell r="M65">
            <v>1.5594011139909503</v>
          </cell>
          <cell r="N65">
            <v>0.87217816479638011</v>
          </cell>
          <cell r="O65">
            <v>1.3776480366515838</v>
          </cell>
          <cell r="P65">
            <v>1.3199817143891404</v>
          </cell>
          <cell r="Q65">
            <v>20.373951752436891</v>
          </cell>
        </row>
        <row r="66">
          <cell r="B66" t="str">
            <v>Traun untere 23,5</v>
          </cell>
          <cell r="C66">
            <v>206409</v>
          </cell>
          <cell r="E66">
            <v>7.7332170541283896</v>
          </cell>
          <cell r="F66">
            <v>6.0849172735528727</v>
          </cell>
          <cell r="G66">
            <v>10.252983950131659</v>
          </cell>
          <cell r="H66">
            <v>6.589030204009692</v>
          </cell>
          <cell r="I66">
            <v>5.7985537833458469</v>
          </cell>
          <cell r="J66">
            <v>6.0004327199551595</v>
          </cell>
          <cell r="K66">
            <v>4.4875640578442857</v>
          </cell>
          <cell r="L66">
            <v>4.6798242796984955</v>
          </cell>
          <cell r="M66">
            <v>4.5998141811655877</v>
          </cell>
          <cell r="N66">
            <v>5.8290727645697267</v>
          </cell>
          <cell r="O66">
            <v>6.0670705088887464</v>
          </cell>
          <cell r="P66">
            <v>6.2826923469050362</v>
          </cell>
          <cell r="Q66">
            <v>74.4051731241955</v>
          </cell>
        </row>
        <row r="67">
          <cell r="B67" t="str">
            <v>Traun untere 12,7</v>
          </cell>
          <cell r="C67">
            <v>206409</v>
          </cell>
          <cell r="E67">
            <v>3.6122682279851706</v>
          </cell>
          <cell r="F67">
            <v>2.5726324003054901</v>
          </cell>
          <cell r="G67">
            <v>2.1014589562817689</v>
          </cell>
          <cell r="H67">
            <v>2.4614145026010803</v>
          </cell>
          <cell r="I67">
            <v>2.6716149014849804</v>
          </cell>
          <cell r="J67">
            <v>3.6715660037324778</v>
          </cell>
          <cell r="K67">
            <v>4.0942021342164372</v>
          </cell>
          <cell r="L67">
            <v>3.1957790784623556</v>
          </cell>
          <cell r="M67">
            <v>2.8880616458070358</v>
          </cell>
          <cell r="N67">
            <v>1.7050421671482707</v>
          </cell>
          <cell r="O67">
            <v>2.4068151945500511</v>
          </cell>
          <cell r="P67">
            <v>2.2543871426830542</v>
          </cell>
          <cell r="Q67">
            <v>33.635242355258171</v>
          </cell>
        </row>
        <row r="68">
          <cell r="A68">
            <v>4020</v>
          </cell>
          <cell r="B68" t="str">
            <v>Traun untere 4,7</v>
          </cell>
          <cell r="C68">
            <v>206409</v>
          </cell>
          <cell r="E68">
            <v>4.6159480630721923</v>
          </cell>
          <cell r="F68">
            <v>3.7454930433627385</v>
          </cell>
          <cell r="G68">
            <v>3.4281464331374241</v>
          </cell>
          <cell r="H68">
            <v>2.4806920833384223</v>
          </cell>
          <cell r="I68">
            <v>2.1048241691885705</v>
          </cell>
          <cell r="J68">
            <v>4.8306220962546798</v>
          </cell>
          <cell r="K68">
            <v>5.4815735520367816</v>
          </cell>
          <cell r="L68">
            <v>3.4693941777588391</v>
          </cell>
          <cell r="M68">
            <v>3.491850070208339</v>
          </cell>
          <cell r="N68">
            <v>2.389263773422758</v>
          </cell>
          <cell r="O68">
            <v>3.3563738184345997</v>
          </cell>
          <cell r="P68">
            <v>2.7593405210500648</v>
          </cell>
          <cell r="Q68">
            <v>42.153521801265406</v>
          </cell>
        </row>
        <row r="69">
          <cell r="C69">
            <v>206102</v>
          </cell>
          <cell r="Q69" t="str">
            <v>k.Wert</v>
          </cell>
        </row>
        <row r="70">
          <cell r="B70" t="str">
            <v>Pram 39,5</v>
          </cell>
          <cell r="C70">
            <v>204784</v>
          </cell>
          <cell r="E70">
            <v>0.24497494338239997</v>
          </cell>
          <cell r="F70">
            <v>0.22050146174077237</v>
          </cell>
          <cell r="G70">
            <v>0.39515052552360003</v>
          </cell>
          <cell r="H70">
            <v>0.109515928368</v>
          </cell>
          <cell r="I70">
            <v>0.14449673441279998</v>
          </cell>
          <cell r="J70">
            <v>0.22184419488000004</v>
          </cell>
          <cell r="K70">
            <v>0.18600063636000005</v>
          </cell>
          <cell r="L70">
            <v>0.27948831150240011</v>
          </cell>
          <cell r="M70">
            <v>0.13467653614800001</v>
          </cell>
          <cell r="N70">
            <v>0.14613449188799998</v>
          </cell>
          <cell r="O70">
            <v>0.17997157091759997</v>
          </cell>
          <cell r="P70">
            <v>0.17822652569567998</v>
          </cell>
          <cell r="Q70">
            <v>2.4409818608192522</v>
          </cell>
        </row>
        <row r="71">
          <cell r="A71">
            <v>690</v>
          </cell>
          <cell r="B71" t="str">
            <v>Pram 33,6</v>
          </cell>
          <cell r="C71">
            <v>204784</v>
          </cell>
          <cell r="E71">
            <v>0.43172109042580598</v>
          </cell>
          <cell r="F71">
            <v>0.40082511498671614</v>
          </cell>
          <cell r="G71">
            <v>0.70583148031970744</v>
          </cell>
          <cell r="H71">
            <v>0.22215907137842184</v>
          </cell>
          <cell r="I71">
            <v>0.35831992589104228</v>
          </cell>
          <cell r="J71">
            <v>0.43883059904284449</v>
          </cell>
          <cell r="K71">
            <v>0.38179755473607352</v>
          </cell>
          <cell r="L71">
            <v>0.58069918096020745</v>
          </cell>
          <cell r="M71">
            <v>0.26788275193999322</v>
          </cell>
          <cell r="N71">
            <v>0.2584124608111576</v>
          </cell>
          <cell r="O71">
            <v>0.33419485406055705</v>
          </cell>
          <cell r="P71">
            <v>0.35263733706253286</v>
          </cell>
          <cell r="Q71">
            <v>4.7333114216150607</v>
          </cell>
        </row>
        <row r="72">
          <cell r="C72">
            <v>206326</v>
          </cell>
          <cell r="Q72" t="str">
            <v>k.Wert</v>
          </cell>
        </row>
        <row r="73">
          <cell r="A73">
            <v>700</v>
          </cell>
          <cell r="B73" t="str">
            <v>Pram 15,9</v>
          </cell>
          <cell r="C73">
            <v>204867</v>
          </cell>
          <cell r="E73">
            <v>1.0900793773657964</v>
          </cell>
          <cell r="F73">
            <v>1.2337141422045095</v>
          </cell>
          <cell r="G73">
            <v>2.3365427826107368</v>
          </cell>
          <cell r="H73">
            <v>0.70357663525960701</v>
          </cell>
          <cell r="I73">
            <v>0.71198964073921978</v>
          </cell>
          <cell r="J73">
            <v>1.1002970809034911</v>
          </cell>
          <cell r="K73">
            <v>0.82589882921677926</v>
          </cell>
          <cell r="L73">
            <v>1.4673507437864477</v>
          </cell>
          <cell r="M73">
            <v>0.79816804463479041</v>
          </cell>
          <cell r="N73">
            <v>0.79488754511000315</v>
          </cell>
          <cell r="O73">
            <v>1.0713562489879733</v>
          </cell>
          <cell r="P73">
            <v>1.0155480361302434</v>
          </cell>
          <cell r="Q73">
            <v>13.149409106949596</v>
          </cell>
        </row>
      </sheetData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0"/>
  </sheetPr>
  <dimension ref="A1:G156"/>
  <sheetViews>
    <sheetView tabSelected="1" zoomScaleNormal="100" workbookViewId="0">
      <selection activeCell="A14" sqref="A14"/>
    </sheetView>
  </sheetViews>
  <sheetFormatPr baseColWidth="10" defaultRowHeight="13"/>
  <cols>
    <col min="1" max="1" width="61.33203125" bestFit="1" customWidth="1"/>
    <col min="2" max="2" width="8.83203125" bestFit="1" customWidth="1"/>
    <col min="3" max="3" width="14.1640625" bestFit="1" customWidth="1"/>
  </cols>
  <sheetData>
    <row r="1" spans="1:4" ht="15.75" customHeight="1">
      <c r="A1" s="133" t="s">
        <v>251</v>
      </c>
      <c r="B1" s="66"/>
      <c r="C1" s="66"/>
      <c r="D1" s="67"/>
    </row>
    <row r="2" spans="1:4" ht="15.75" customHeight="1">
      <c r="A2" s="2" t="s">
        <v>335</v>
      </c>
      <c r="B2" s="3"/>
      <c r="C2" s="1"/>
      <c r="D2" s="33"/>
    </row>
    <row r="3" spans="1:4" ht="15.75" customHeight="1">
      <c r="A3" s="4" t="s">
        <v>455</v>
      </c>
      <c r="B3" s="4" t="s">
        <v>229</v>
      </c>
      <c r="C3" s="13">
        <v>4.2599999999999999E-2</v>
      </c>
      <c r="D3" s="7"/>
    </row>
    <row r="4" spans="1:4" ht="15.75" customHeight="1">
      <c r="A4" s="4" t="s">
        <v>456</v>
      </c>
      <c r="B4" s="4" t="s">
        <v>229</v>
      </c>
      <c r="C4" s="13">
        <v>1.2461</v>
      </c>
      <c r="D4" s="7"/>
    </row>
    <row r="5" spans="1:4" ht="15.75" customHeight="1">
      <c r="A5" s="4" t="s">
        <v>457</v>
      </c>
      <c r="B5" s="4" t="s">
        <v>229</v>
      </c>
      <c r="C5" s="13">
        <v>3.5000000000000003E-2</v>
      </c>
      <c r="D5" s="8">
        <v>4.5999999999999999E-3</v>
      </c>
    </row>
    <row r="6" spans="1:4" ht="15.75" customHeight="1">
      <c r="A6" s="4" t="s">
        <v>294</v>
      </c>
      <c r="B6" s="4" t="s">
        <v>229</v>
      </c>
      <c r="C6" s="12">
        <v>6.1799999999999995E-7</v>
      </c>
      <c r="D6" s="8"/>
    </row>
    <row r="7" spans="1:4" ht="15.75" customHeight="1">
      <c r="A7" s="4" t="s">
        <v>295</v>
      </c>
      <c r="B7" s="4" t="s">
        <v>229</v>
      </c>
      <c r="C7" s="13">
        <v>0.155</v>
      </c>
      <c r="D7" s="8">
        <v>0.15640000000000001</v>
      </c>
    </row>
    <row r="8" spans="1:4" ht="15.75" customHeight="1">
      <c r="A8" s="4" t="s">
        <v>296</v>
      </c>
      <c r="B8" s="4" t="s">
        <v>410</v>
      </c>
      <c r="C8" s="12">
        <v>90</v>
      </c>
      <c r="D8" s="8"/>
    </row>
    <row r="9" spans="1:4" ht="15.75" customHeight="1">
      <c r="A9" s="4" t="s">
        <v>297</v>
      </c>
      <c r="B9" s="4" t="s">
        <v>410</v>
      </c>
      <c r="C9" s="12">
        <v>80</v>
      </c>
      <c r="D9" s="21"/>
    </row>
    <row r="10" spans="1:4" ht="15.75" customHeight="1">
      <c r="A10" s="26" t="s">
        <v>486</v>
      </c>
      <c r="B10" s="4" t="s">
        <v>144</v>
      </c>
      <c r="C10" s="15">
        <v>1050</v>
      </c>
      <c r="D10" s="21"/>
    </row>
    <row r="11" spans="1:4" ht="15.75" customHeight="1">
      <c r="A11" s="4" t="s">
        <v>199</v>
      </c>
      <c r="B11" s="4" t="s">
        <v>229</v>
      </c>
      <c r="C11" s="12">
        <v>4</v>
      </c>
      <c r="D11" s="7"/>
    </row>
    <row r="12" spans="1:4" ht="15.75" customHeight="1">
      <c r="A12" s="4" t="s">
        <v>200</v>
      </c>
      <c r="B12" s="4" t="s">
        <v>229</v>
      </c>
      <c r="C12" s="167">
        <v>0.6</v>
      </c>
      <c r="D12" s="7">
        <v>0.45</v>
      </c>
    </row>
    <row r="13" spans="1:4" ht="15.75" customHeight="1">
      <c r="A13" s="4" t="s">
        <v>201</v>
      </c>
      <c r="B13" s="4" t="s">
        <v>202</v>
      </c>
      <c r="C13" s="12">
        <v>800</v>
      </c>
      <c r="D13" s="7">
        <v>850</v>
      </c>
    </row>
    <row r="14" spans="1:4" ht="15.75" customHeight="1">
      <c r="A14" s="4" t="s">
        <v>204</v>
      </c>
      <c r="B14" s="4" t="s">
        <v>413</v>
      </c>
      <c r="C14" s="167">
        <v>800</v>
      </c>
      <c r="D14" s="7">
        <v>1000</v>
      </c>
    </row>
    <row r="15" spans="1:4" ht="15.75" customHeight="1">
      <c r="A15" s="4" t="s">
        <v>203</v>
      </c>
      <c r="B15" s="4" t="s">
        <v>229</v>
      </c>
      <c r="C15" s="29">
        <v>0.54563728901493569</v>
      </c>
      <c r="D15" s="7"/>
    </row>
    <row r="16" spans="1:4" ht="15.75" customHeight="1">
      <c r="A16" s="4" t="s">
        <v>205</v>
      </c>
      <c r="B16" s="4" t="s">
        <v>416</v>
      </c>
      <c r="C16" s="29">
        <v>0.3</v>
      </c>
      <c r="D16" s="7"/>
    </row>
    <row r="17" spans="1:4" ht="15.75" customHeight="1">
      <c r="A17" s="4" t="s">
        <v>245</v>
      </c>
      <c r="B17" s="4" t="s">
        <v>416</v>
      </c>
      <c r="C17" s="29">
        <v>0</v>
      </c>
      <c r="D17" s="7"/>
    </row>
    <row r="18" spans="1:4" ht="15.75" customHeight="1">
      <c r="A18" s="10" t="s">
        <v>5</v>
      </c>
      <c r="B18" s="10" t="s">
        <v>416</v>
      </c>
      <c r="C18" s="164">
        <v>3.5000000000000003E-2</v>
      </c>
      <c r="D18" s="165"/>
    </row>
    <row r="19" spans="1:4" ht="15.75" customHeight="1">
      <c r="A19" s="10" t="s">
        <v>87</v>
      </c>
      <c r="B19" s="10" t="s">
        <v>416</v>
      </c>
      <c r="C19" s="206">
        <v>1.5E-3</v>
      </c>
      <c r="D19" s="165">
        <v>2E-3</v>
      </c>
    </row>
    <row r="20" spans="1:4" ht="15.75" customHeight="1">
      <c r="A20" s="10" t="s">
        <v>88</v>
      </c>
      <c r="B20" s="10" t="s">
        <v>416</v>
      </c>
      <c r="C20" s="164">
        <v>2.5000000000000001E-2</v>
      </c>
      <c r="D20" s="165">
        <v>1.4999999999999999E-2</v>
      </c>
    </row>
    <row r="21" spans="1:4" ht="15.75" customHeight="1">
      <c r="A21" s="10" t="s">
        <v>36</v>
      </c>
      <c r="B21" s="10" t="s">
        <v>229</v>
      </c>
      <c r="C21" s="164">
        <v>500</v>
      </c>
      <c r="D21" s="165"/>
    </row>
    <row r="22" spans="1:4" ht="15.75" customHeight="1">
      <c r="A22" s="10" t="s">
        <v>8</v>
      </c>
      <c r="B22" s="10" t="s">
        <v>229</v>
      </c>
      <c r="C22" s="170">
        <v>2.0000000000000001E-4</v>
      </c>
      <c r="D22" s="165"/>
    </row>
    <row r="23" spans="1:4" ht="15.75" customHeight="1">
      <c r="A23" s="10" t="s">
        <v>9</v>
      </c>
      <c r="B23" s="10" t="s">
        <v>229</v>
      </c>
      <c r="C23" s="170">
        <v>4.0000000000000002E-4</v>
      </c>
      <c r="D23" s="165"/>
    </row>
    <row r="24" spans="1:4" ht="15.75" customHeight="1">
      <c r="A24" s="10" t="s">
        <v>10</v>
      </c>
      <c r="B24" s="10" t="s">
        <v>229</v>
      </c>
      <c r="C24" s="170">
        <v>4.0000000000000002E-4</v>
      </c>
      <c r="D24" s="165"/>
    </row>
    <row r="25" spans="1:4" ht="15.75" customHeight="1">
      <c r="A25" s="2" t="s">
        <v>452</v>
      </c>
      <c r="B25" s="3"/>
      <c r="C25" s="3"/>
      <c r="D25" s="20"/>
    </row>
    <row r="26" spans="1:4" ht="15.75" customHeight="1">
      <c r="A26" s="6" t="s">
        <v>121</v>
      </c>
      <c r="B26" s="4" t="s">
        <v>410</v>
      </c>
      <c r="C26" s="12">
        <v>90</v>
      </c>
      <c r="D26" s="7"/>
    </row>
    <row r="27" spans="1:4" ht="15.75" customHeight="1">
      <c r="A27" s="409" t="s">
        <v>25</v>
      </c>
      <c r="B27" s="409" t="s">
        <v>396</v>
      </c>
      <c r="C27" s="410">
        <v>0.2</v>
      </c>
      <c r="D27" s="411"/>
    </row>
    <row r="28" spans="1:4" ht="15.75" customHeight="1">
      <c r="A28" s="409" t="s">
        <v>26</v>
      </c>
      <c r="B28" s="409" t="s">
        <v>396</v>
      </c>
      <c r="C28" s="410">
        <v>35</v>
      </c>
      <c r="D28" s="411"/>
    </row>
    <row r="29" spans="1:4" ht="15.75" customHeight="1">
      <c r="A29" s="412" t="s">
        <v>206</v>
      </c>
      <c r="B29" s="394" t="s">
        <v>229</v>
      </c>
      <c r="C29" s="395">
        <v>1</v>
      </c>
      <c r="D29" s="393"/>
    </row>
    <row r="30" spans="1:4" ht="15.75" customHeight="1">
      <c r="A30" s="391" t="s">
        <v>207</v>
      </c>
      <c r="B30" s="394" t="s">
        <v>229</v>
      </c>
      <c r="C30" s="392">
        <v>6.6839999999999998E-3</v>
      </c>
      <c r="D30" s="393">
        <v>1.2E-2</v>
      </c>
    </row>
    <row r="31" spans="1:4" ht="15.75" customHeight="1">
      <c r="A31" s="391" t="s">
        <v>208</v>
      </c>
      <c r="B31" s="394" t="s">
        <v>229</v>
      </c>
      <c r="C31" s="392">
        <v>0.3</v>
      </c>
      <c r="D31" s="393"/>
    </row>
    <row r="32" spans="1:4" ht="15.75" customHeight="1">
      <c r="A32" s="391" t="s">
        <v>209</v>
      </c>
      <c r="B32" s="394" t="s">
        <v>229</v>
      </c>
      <c r="C32" s="392">
        <v>1.5</v>
      </c>
      <c r="D32" s="393"/>
    </row>
    <row r="33" spans="1:7" ht="15.75" customHeight="1">
      <c r="A33" s="391" t="s">
        <v>346</v>
      </c>
      <c r="B33" s="391" t="s">
        <v>410</v>
      </c>
      <c r="C33" s="392">
        <v>0.25</v>
      </c>
      <c r="D33" s="393"/>
    </row>
    <row r="34" spans="1:7" ht="15.75" customHeight="1">
      <c r="A34" s="391" t="s">
        <v>298</v>
      </c>
      <c r="B34" s="391" t="s">
        <v>410</v>
      </c>
      <c r="C34" s="392">
        <v>20</v>
      </c>
      <c r="D34" s="393"/>
    </row>
    <row r="35" spans="1:7" ht="15.75" customHeight="1">
      <c r="A35" s="391" t="s">
        <v>347</v>
      </c>
      <c r="B35" s="391" t="s">
        <v>278</v>
      </c>
      <c r="C35" s="392">
        <v>1</v>
      </c>
      <c r="D35" s="397"/>
    </row>
    <row r="36" spans="1:7" ht="15.75" customHeight="1">
      <c r="A36" s="391" t="s">
        <v>348</v>
      </c>
      <c r="B36" s="394" t="s">
        <v>229</v>
      </c>
      <c r="C36" s="392">
        <v>18</v>
      </c>
      <c r="D36" s="398"/>
    </row>
    <row r="37" spans="1:7" ht="15.75" customHeight="1">
      <c r="A37" s="6" t="s">
        <v>349</v>
      </c>
      <c r="B37" s="4" t="s">
        <v>229</v>
      </c>
      <c r="C37" s="160">
        <v>7.6595744680851059</v>
      </c>
      <c r="D37" s="22"/>
    </row>
    <row r="38" spans="1:7" ht="15.75" customHeight="1">
      <c r="A38" s="412" t="s">
        <v>350</v>
      </c>
      <c r="B38" s="394" t="s">
        <v>229</v>
      </c>
      <c r="C38" s="392">
        <v>-0.47</v>
      </c>
      <c r="D38" s="398"/>
    </row>
    <row r="39" spans="1:7" ht="15.75" customHeight="1">
      <c r="A39" s="6" t="s">
        <v>357</v>
      </c>
      <c r="B39" s="4" t="s">
        <v>229</v>
      </c>
      <c r="C39" s="14">
        <v>0.152</v>
      </c>
      <c r="D39" s="22"/>
    </row>
    <row r="40" spans="1:7" ht="15.75" customHeight="1">
      <c r="A40" s="6" t="s">
        <v>358</v>
      </c>
      <c r="B40" s="4" t="s">
        <v>229</v>
      </c>
      <c r="C40" s="14">
        <v>6.88</v>
      </c>
      <c r="D40" s="22"/>
    </row>
    <row r="41" spans="1:7" ht="15.75" customHeight="1">
      <c r="A41" s="394" t="s">
        <v>359</v>
      </c>
      <c r="B41" s="394" t="s">
        <v>229</v>
      </c>
      <c r="C41" s="395">
        <v>10.199999999999999</v>
      </c>
      <c r="D41" s="398"/>
    </row>
    <row r="42" spans="1:7" ht="15.75" customHeight="1">
      <c r="A42" s="394" t="s">
        <v>360</v>
      </c>
      <c r="B42" s="394" t="s">
        <v>414</v>
      </c>
      <c r="C42" s="395">
        <v>275</v>
      </c>
      <c r="D42" s="398">
        <v>150</v>
      </c>
    </row>
    <row r="43" spans="1:7" ht="15.75" customHeight="1">
      <c r="A43" s="394" t="s">
        <v>132</v>
      </c>
      <c r="B43" s="394" t="s">
        <v>410</v>
      </c>
      <c r="C43" s="395">
        <v>4.593</v>
      </c>
      <c r="D43" s="398"/>
      <c r="G43" s="147"/>
    </row>
    <row r="44" spans="1:7" ht="15.75" customHeight="1">
      <c r="A44" s="394" t="s">
        <v>133</v>
      </c>
      <c r="B44" s="394" t="s">
        <v>410</v>
      </c>
      <c r="C44" s="395">
        <v>23.591000000000001</v>
      </c>
      <c r="D44" s="398"/>
      <c r="G44" s="147"/>
    </row>
    <row r="45" spans="1:7" ht="15.75" customHeight="1">
      <c r="A45" s="394" t="s">
        <v>46</v>
      </c>
      <c r="B45" s="394" t="s">
        <v>410</v>
      </c>
      <c r="C45" s="395">
        <v>43.689</v>
      </c>
      <c r="D45" s="398"/>
      <c r="G45" s="147"/>
    </row>
    <row r="46" spans="1:7" ht="15.75" customHeight="1">
      <c r="A46" s="394" t="s">
        <v>47</v>
      </c>
      <c r="B46" s="394" t="s">
        <v>410</v>
      </c>
      <c r="C46" s="395">
        <v>34.918999999999997</v>
      </c>
      <c r="D46" s="398"/>
      <c r="G46" s="147"/>
    </row>
    <row r="47" spans="1:7" ht="15.75" customHeight="1">
      <c r="A47" s="394" t="s">
        <v>48</v>
      </c>
      <c r="B47" s="394" t="s">
        <v>51</v>
      </c>
      <c r="C47" s="395">
        <v>2650</v>
      </c>
      <c r="D47" s="398"/>
    </row>
    <row r="48" spans="1:7" ht="15.75" customHeight="1">
      <c r="A48" s="394" t="s">
        <v>49</v>
      </c>
      <c r="B48" s="394" t="s">
        <v>413</v>
      </c>
      <c r="C48" s="395">
        <v>0.25</v>
      </c>
      <c r="D48" s="398"/>
    </row>
    <row r="49" spans="1:4" ht="15.75" customHeight="1">
      <c r="A49" s="394" t="s">
        <v>50</v>
      </c>
      <c r="B49" s="394" t="s">
        <v>229</v>
      </c>
      <c r="C49" s="395">
        <v>0.45</v>
      </c>
      <c r="D49" s="398"/>
    </row>
    <row r="50" spans="1:4" ht="15.75" customHeight="1">
      <c r="A50" s="4" t="s">
        <v>85</v>
      </c>
      <c r="B50" s="4" t="s">
        <v>229</v>
      </c>
      <c r="C50" s="12">
        <v>0.33250000000000002</v>
      </c>
      <c r="D50" s="22"/>
    </row>
    <row r="51" spans="1:4" ht="15.75" customHeight="1">
      <c r="A51" s="4" t="s">
        <v>24</v>
      </c>
      <c r="B51" s="4" t="s">
        <v>414</v>
      </c>
      <c r="C51" s="166">
        <v>25</v>
      </c>
      <c r="D51" s="22">
        <v>250</v>
      </c>
    </row>
    <row r="52" spans="1:4" ht="15.75" customHeight="1">
      <c r="A52" s="10" t="s">
        <v>21</v>
      </c>
      <c r="B52" s="10" t="s">
        <v>414</v>
      </c>
      <c r="C52" s="166">
        <v>450</v>
      </c>
      <c r="D52" s="168"/>
    </row>
    <row r="53" spans="1:4" ht="15.75" customHeight="1">
      <c r="A53" s="10" t="s">
        <v>20</v>
      </c>
      <c r="B53" s="10" t="s">
        <v>414</v>
      </c>
      <c r="C53" s="166">
        <v>540</v>
      </c>
      <c r="D53" s="168"/>
    </row>
    <row r="54" spans="1:4" ht="15.75" customHeight="1">
      <c r="A54" s="10" t="s">
        <v>19</v>
      </c>
      <c r="B54" s="10" t="s">
        <v>414</v>
      </c>
      <c r="C54" s="166">
        <v>750</v>
      </c>
      <c r="D54" s="168"/>
    </row>
    <row r="55" spans="1:4" ht="15.75" customHeight="1">
      <c r="A55" s="2" t="s">
        <v>453</v>
      </c>
      <c r="B55" s="3"/>
      <c r="C55" s="11"/>
      <c r="D55" s="24"/>
    </row>
    <row r="56" spans="1:4" ht="15.75" customHeight="1">
      <c r="A56" s="6" t="s">
        <v>361</v>
      </c>
      <c r="B56" s="4" t="s">
        <v>229</v>
      </c>
      <c r="C56" s="30">
        <v>0.5</v>
      </c>
      <c r="D56" s="8"/>
    </row>
    <row r="57" spans="1:4" ht="15.75" customHeight="1">
      <c r="A57" s="6" t="s">
        <v>362</v>
      </c>
      <c r="B57" s="4" t="s">
        <v>229</v>
      </c>
      <c r="C57" s="30">
        <v>0.1</v>
      </c>
      <c r="D57" s="8"/>
    </row>
    <row r="58" spans="1:4" ht="15.75" customHeight="1">
      <c r="A58" s="4" t="s">
        <v>371</v>
      </c>
      <c r="B58" s="4" t="s">
        <v>229</v>
      </c>
      <c r="C58" s="29">
        <v>0.85</v>
      </c>
      <c r="D58" s="8"/>
    </row>
    <row r="59" spans="1:4" ht="15.75" customHeight="1">
      <c r="A59" s="4" t="s">
        <v>363</v>
      </c>
      <c r="B59" s="4" t="s">
        <v>416</v>
      </c>
      <c r="C59" s="29">
        <v>0.2</v>
      </c>
      <c r="D59" s="8"/>
    </row>
    <row r="60" spans="1:4" ht="15.75" customHeight="1">
      <c r="A60" s="4" t="s">
        <v>364</v>
      </c>
      <c r="B60" s="4" t="s">
        <v>416</v>
      </c>
      <c r="C60" s="29">
        <v>0.06</v>
      </c>
      <c r="D60" s="8"/>
    </row>
    <row r="61" spans="1:4" ht="15.75" customHeight="1">
      <c r="A61" s="4" t="s">
        <v>369</v>
      </c>
      <c r="B61" s="4" t="s">
        <v>416</v>
      </c>
      <c r="C61" s="29">
        <v>0.3</v>
      </c>
      <c r="D61" s="8"/>
    </row>
    <row r="62" spans="1:4" ht="15.75" customHeight="1">
      <c r="A62" s="4" t="s">
        <v>370</v>
      </c>
      <c r="B62" s="4" t="s">
        <v>416</v>
      </c>
      <c r="C62" s="29">
        <v>10</v>
      </c>
      <c r="D62" s="23">
        <v>10</v>
      </c>
    </row>
    <row r="63" spans="1:4" ht="15.75" customHeight="1">
      <c r="A63" s="2" t="s">
        <v>279</v>
      </c>
      <c r="B63" s="2"/>
      <c r="C63" s="68"/>
      <c r="D63" s="69"/>
    </row>
    <row r="64" spans="1:4" ht="15.75" customHeight="1">
      <c r="A64" s="4" t="s">
        <v>329</v>
      </c>
      <c r="B64" s="4" t="s">
        <v>229</v>
      </c>
      <c r="C64" s="13">
        <v>9.6</v>
      </c>
      <c r="D64" s="7"/>
    </row>
    <row r="65" spans="1:4" ht="15.75" customHeight="1">
      <c r="A65" s="4" t="s">
        <v>330</v>
      </c>
      <c r="B65" s="4" t="s">
        <v>229</v>
      </c>
      <c r="C65" s="13">
        <v>0.4047</v>
      </c>
      <c r="D65" s="7"/>
    </row>
    <row r="66" spans="1:4" ht="15.75" customHeight="1">
      <c r="A66" s="4" t="s">
        <v>331</v>
      </c>
      <c r="B66" s="4" t="s">
        <v>229</v>
      </c>
      <c r="C66" s="13">
        <v>0.57299999999999995</v>
      </c>
      <c r="D66" s="7"/>
    </row>
    <row r="67" spans="1:4" ht="15.75" customHeight="1">
      <c r="A67" s="4" t="s">
        <v>332</v>
      </c>
      <c r="B67" s="4" t="s">
        <v>229</v>
      </c>
      <c r="C67" s="13">
        <v>3.9100000000000003E-2</v>
      </c>
      <c r="D67" s="7"/>
    </row>
    <row r="68" spans="1:4" ht="15.75" customHeight="1">
      <c r="A68" s="4" t="s">
        <v>318</v>
      </c>
      <c r="B68" s="4" t="s">
        <v>449</v>
      </c>
      <c r="C68" s="13">
        <v>0.1</v>
      </c>
      <c r="D68" s="7"/>
    </row>
    <row r="69" spans="1:4" ht="15.75" customHeight="1">
      <c r="A69" s="4" t="s">
        <v>317</v>
      </c>
      <c r="B69" s="4" t="s">
        <v>316</v>
      </c>
      <c r="C69" s="13">
        <v>15</v>
      </c>
      <c r="D69" s="7"/>
    </row>
    <row r="70" spans="1:4" ht="15.75" customHeight="1">
      <c r="A70" s="4" t="s">
        <v>436</v>
      </c>
      <c r="B70" s="4" t="s">
        <v>316</v>
      </c>
      <c r="C70" s="13">
        <v>150</v>
      </c>
      <c r="D70" s="7"/>
    </row>
    <row r="71" spans="1:4" ht="15.75" customHeight="1">
      <c r="A71" s="4" t="s">
        <v>333</v>
      </c>
      <c r="B71" s="4" t="s">
        <v>229</v>
      </c>
      <c r="C71" s="13">
        <v>0.15</v>
      </c>
      <c r="D71" s="7"/>
    </row>
    <row r="72" spans="1:4" ht="15.75" customHeight="1">
      <c r="A72" s="4" t="s">
        <v>334</v>
      </c>
      <c r="B72" s="4" t="s">
        <v>229</v>
      </c>
      <c r="C72" s="13">
        <v>0.75</v>
      </c>
      <c r="D72" s="8"/>
    </row>
    <row r="73" spans="1:4" ht="15.75" customHeight="1">
      <c r="A73" s="4" t="s">
        <v>211</v>
      </c>
      <c r="B73" s="4" t="s">
        <v>229</v>
      </c>
      <c r="C73" s="13">
        <v>0.125</v>
      </c>
      <c r="D73" s="8"/>
    </row>
    <row r="74" spans="1:4" ht="15.75" customHeight="1">
      <c r="A74" s="4" t="s">
        <v>212</v>
      </c>
      <c r="B74" s="4" t="s">
        <v>229</v>
      </c>
      <c r="C74" s="13">
        <v>0.36799999999999999</v>
      </c>
      <c r="D74" s="8"/>
    </row>
    <row r="75" spans="1:4" ht="15.75" customHeight="1">
      <c r="A75" s="4" t="s">
        <v>56</v>
      </c>
      <c r="B75" s="4" t="s">
        <v>316</v>
      </c>
      <c r="C75" s="13">
        <v>550</v>
      </c>
      <c r="D75" s="8"/>
    </row>
    <row r="76" spans="1:4" ht="15.75" customHeight="1">
      <c r="A76" s="4" t="s">
        <v>418</v>
      </c>
      <c r="B76" s="4" t="s">
        <v>415</v>
      </c>
      <c r="C76" s="29">
        <v>4</v>
      </c>
      <c r="D76" s="23"/>
    </row>
    <row r="77" spans="1:4" ht="15.75" customHeight="1">
      <c r="A77" s="4" t="s">
        <v>419</v>
      </c>
      <c r="B77" s="4" t="s">
        <v>415</v>
      </c>
      <c r="C77" s="29">
        <v>2.5</v>
      </c>
      <c r="D77" s="23"/>
    </row>
    <row r="78" spans="1:4" ht="15.75" customHeight="1">
      <c r="A78" s="4" t="s">
        <v>309</v>
      </c>
      <c r="B78" s="4" t="s">
        <v>229</v>
      </c>
      <c r="C78" s="70">
        <v>1.1999999999999999E-6</v>
      </c>
      <c r="D78" s="23"/>
    </row>
    <row r="79" spans="1:4" ht="15.75" customHeight="1">
      <c r="A79" s="4" t="s">
        <v>310</v>
      </c>
      <c r="B79" s="4" t="s">
        <v>229</v>
      </c>
      <c r="C79" s="29">
        <v>2.5</v>
      </c>
      <c r="D79" s="23"/>
    </row>
    <row r="80" spans="1:4" ht="15.75" customHeight="1">
      <c r="A80" s="4" t="s">
        <v>311</v>
      </c>
      <c r="B80" s="4" t="s">
        <v>229</v>
      </c>
      <c r="C80" s="29">
        <v>4000</v>
      </c>
      <c r="D80" s="23"/>
    </row>
    <row r="81" spans="1:6" ht="15.75" customHeight="1">
      <c r="A81" s="4" t="s">
        <v>312</v>
      </c>
      <c r="B81" s="4" t="s">
        <v>229</v>
      </c>
      <c r="C81" s="29">
        <v>25</v>
      </c>
      <c r="D81" s="23"/>
    </row>
    <row r="82" spans="1:6" ht="15.75" customHeight="1">
      <c r="A82" s="4" t="s">
        <v>313</v>
      </c>
      <c r="B82" s="4" t="s">
        <v>229</v>
      </c>
      <c r="C82" s="29">
        <v>0.55100000000000005</v>
      </c>
      <c r="D82" s="23"/>
    </row>
    <row r="83" spans="1:6" ht="15.75" customHeight="1">
      <c r="A83" s="4" t="s">
        <v>314</v>
      </c>
      <c r="B83" s="4" t="s">
        <v>229</v>
      </c>
      <c r="C83" s="29">
        <v>36.799999999999997</v>
      </c>
      <c r="D83" s="23"/>
    </row>
    <row r="84" spans="1:6" ht="15.75" customHeight="1">
      <c r="A84" s="4" t="s">
        <v>290</v>
      </c>
      <c r="B84" s="4" t="s">
        <v>229</v>
      </c>
      <c r="C84" s="29">
        <v>13.5</v>
      </c>
      <c r="D84" s="23"/>
    </row>
    <row r="85" spans="1:6" ht="15.75" customHeight="1">
      <c r="A85" s="4" t="s">
        <v>291</v>
      </c>
      <c r="B85" s="4" t="s">
        <v>229</v>
      </c>
      <c r="C85" s="29">
        <v>0.5</v>
      </c>
      <c r="D85" s="23"/>
    </row>
    <row r="86" spans="1:6" ht="15.75" customHeight="1">
      <c r="A86" s="4" t="s">
        <v>292</v>
      </c>
      <c r="B86" s="4" t="s">
        <v>229</v>
      </c>
      <c r="C86" s="29">
        <v>6</v>
      </c>
      <c r="D86" s="23"/>
    </row>
    <row r="87" spans="1:6" ht="15.75" customHeight="1">
      <c r="A87" s="4" t="s">
        <v>293</v>
      </c>
      <c r="B87" s="4" t="s">
        <v>229</v>
      </c>
      <c r="C87" s="29">
        <v>40</v>
      </c>
      <c r="D87" s="23"/>
    </row>
    <row r="88" spans="1:6" ht="15.75" customHeight="1">
      <c r="A88" s="4" t="s">
        <v>303</v>
      </c>
      <c r="B88" s="4" t="s">
        <v>202</v>
      </c>
      <c r="C88" s="12">
        <v>800</v>
      </c>
      <c r="D88" s="23"/>
    </row>
    <row r="89" spans="1:6" ht="15.75" customHeight="1">
      <c r="A89" s="4" t="s">
        <v>305</v>
      </c>
      <c r="B89" s="4" t="s">
        <v>304</v>
      </c>
      <c r="C89" s="29">
        <v>1</v>
      </c>
      <c r="D89" s="23"/>
    </row>
    <row r="90" spans="1:6" ht="15.75" customHeight="1">
      <c r="A90" s="4" t="s">
        <v>354</v>
      </c>
      <c r="B90" s="4" t="s">
        <v>410</v>
      </c>
      <c r="C90" s="29">
        <v>0</v>
      </c>
      <c r="D90" s="23"/>
    </row>
    <row r="91" spans="1:6" ht="15.75" customHeight="1">
      <c r="A91" s="4" t="s">
        <v>221</v>
      </c>
      <c r="B91" s="4" t="s">
        <v>220</v>
      </c>
      <c r="C91" s="29">
        <v>23.3</v>
      </c>
      <c r="D91" s="23"/>
      <c r="F91" s="159"/>
    </row>
    <row r="92" spans="1:6" ht="15.75" customHeight="1">
      <c r="A92" s="4" t="s">
        <v>417</v>
      </c>
      <c r="B92" s="4" t="s">
        <v>420</v>
      </c>
      <c r="C92" s="29">
        <v>130</v>
      </c>
      <c r="D92" s="23"/>
    </row>
    <row r="93" spans="1:6" ht="15.75" customHeight="1">
      <c r="A93" s="4" t="s">
        <v>308</v>
      </c>
      <c r="B93" s="4" t="s">
        <v>304</v>
      </c>
      <c r="C93" s="29">
        <v>0.1</v>
      </c>
      <c r="D93" s="23"/>
    </row>
    <row r="94" spans="1:6" ht="15.75" customHeight="1">
      <c r="A94" s="4" t="s">
        <v>307</v>
      </c>
      <c r="B94" s="4" t="s">
        <v>410</v>
      </c>
      <c r="C94" s="29">
        <v>0.8</v>
      </c>
      <c r="D94" s="23"/>
    </row>
    <row r="95" spans="1:6" ht="15.75" customHeight="1">
      <c r="A95" s="74" t="s">
        <v>225</v>
      </c>
      <c r="B95" s="26" t="s">
        <v>222</v>
      </c>
      <c r="C95" s="29">
        <v>10</v>
      </c>
      <c r="D95" s="23"/>
    </row>
    <row r="96" spans="1:6" ht="15.75" customHeight="1">
      <c r="A96" s="4" t="s">
        <v>186</v>
      </c>
      <c r="B96" s="4" t="s">
        <v>306</v>
      </c>
      <c r="C96" s="29">
        <v>12</v>
      </c>
      <c r="D96" s="23"/>
    </row>
    <row r="97" spans="1:4" ht="15.75" customHeight="1">
      <c r="A97" s="4" t="s">
        <v>187</v>
      </c>
      <c r="B97" s="4" t="s">
        <v>306</v>
      </c>
      <c r="C97" s="29">
        <v>1.9520712124065001</v>
      </c>
      <c r="D97" s="23"/>
    </row>
    <row r="98" spans="1:4" ht="15.75" customHeight="1">
      <c r="A98" s="4" t="s">
        <v>188</v>
      </c>
      <c r="B98" s="4" t="s">
        <v>416</v>
      </c>
      <c r="C98" s="29">
        <v>2</v>
      </c>
      <c r="D98" s="23"/>
    </row>
    <row r="99" spans="1:4" ht="15.75" customHeight="1">
      <c r="A99" s="4" t="s">
        <v>189</v>
      </c>
      <c r="B99" s="4" t="s">
        <v>416</v>
      </c>
      <c r="C99" s="29">
        <v>0.5</v>
      </c>
      <c r="D99" s="23"/>
    </row>
    <row r="100" spans="1:4" ht="15.75" customHeight="1">
      <c r="A100" s="4" t="s">
        <v>190</v>
      </c>
      <c r="B100" s="4" t="s">
        <v>306</v>
      </c>
      <c r="C100" s="29">
        <v>9</v>
      </c>
      <c r="D100" s="23"/>
    </row>
    <row r="101" spans="1:4" ht="15.75" customHeight="1">
      <c r="A101" s="4" t="s">
        <v>191</v>
      </c>
      <c r="B101" s="4" t="s">
        <v>306</v>
      </c>
      <c r="C101" s="29">
        <v>1.2020712124065001</v>
      </c>
      <c r="D101" s="23"/>
    </row>
    <row r="102" spans="1:4" ht="15.75" customHeight="1">
      <c r="A102" s="4" t="s">
        <v>148</v>
      </c>
      <c r="B102" s="4" t="s">
        <v>410</v>
      </c>
      <c r="C102" s="29">
        <v>0</v>
      </c>
      <c r="D102" s="23"/>
    </row>
    <row r="103" spans="1:4" ht="15.75" customHeight="1">
      <c r="A103" s="4" t="s">
        <v>149</v>
      </c>
      <c r="B103" s="4" t="s">
        <v>410</v>
      </c>
      <c r="C103" s="29">
        <v>35</v>
      </c>
      <c r="D103" s="23"/>
    </row>
    <row r="104" spans="1:4" ht="15.75" customHeight="1">
      <c r="A104" s="4" t="s">
        <v>150</v>
      </c>
      <c r="B104" s="4" t="s">
        <v>410</v>
      </c>
      <c r="C104" s="29">
        <v>35</v>
      </c>
      <c r="D104" s="23"/>
    </row>
    <row r="105" spans="1:4" ht="15.75" customHeight="1">
      <c r="A105" s="4" t="s">
        <v>151</v>
      </c>
      <c r="B105" s="4" t="s">
        <v>410</v>
      </c>
      <c r="C105" s="29">
        <v>45</v>
      </c>
      <c r="D105" s="23"/>
    </row>
    <row r="106" spans="1:4" ht="15.75" customHeight="1">
      <c r="A106" s="4" t="s">
        <v>92</v>
      </c>
      <c r="B106" s="4" t="s">
        <v>410</v>
      </c>
      <c r="C106" s="29">
        <v>50</v>
      </c>
      <c r="D106" s="23"/>
    </row>
    <row r="107" spans="1:4" ht="15.75" customHeight="1">
      <c r="A107" s="4" t="s">
        <v>93</v>
      </c>
      <c r="B107" s="4" t="s">
        <v>410</v>
      </c>
      <c r="C107" s="29">
        <v>90</v>
      </c>
      <c r="D107" s="23"/>
    </row>
    <row r="108" spans="1:4" ht="15.75" customHeight="1">
      <c r="A108" s="4" t="s">
        <v>94</v>
      </c>
      <c r="B108" s="4" t="s">
        <v>410</v>
      </c>
      <c r="C108" s="29">
        <v>50</v>
      </c>
      <c r="D108" s="23"/>
    </row>
    <row r="109" spans="1:4" ht="15.75" customHeight="1">
      <c r="A109" s="4" t="s">
        <v>95</v>
      </c>
      <c r="B109" s="4" t="s">
        <v>410</v>
      </c>
      <c r="C109" s="29">
        <v>90</v>
      </c>
      <c r="D109" s="23"/>
    </row>
    <row r="110" spans="1:4" ht="15.75" customHeight="1">
      <c r="A110" s="4" t="s">
        <v>817</v>
      </c>
      <c r="B110" s="4" t="s">
        <v>410</v>
      </c>
      <c r="C110" s="29">
        <v>10</v>
      </c>
      <c r="D110" s="23"/>
    </row>
    <row r="111" spans="1:4" ht="15.75" customHeight="1">
      <c r="A111" s="4" t="s">
        <v>818</v>
      </c>
      <c r="B111" s="4" t="s">
        <v>410</v>
      </c>
      <c r="C111" s="29">
        <v>10</v>
      </c>
      <c r="D111" s="23"/>
    </row>
    <row r="112" spans="1:4" ht="15.75" customHeight="1">
      <c r="A112" s="4" t="s">
        <v>130</v>
      </c>
      <c r="B112" s="4" t="s">
        <v>410</v>
      </c>
      <c r="C112" s="29">
        <v>30</v>
      </c>
      <c r="D112" s="23"/>
    </row>
    <row r="113" spans="1:7" ht="15.75" customHeight="1">
      <c r="A113" s="4" t="s">
        <v>131</v>
      </c>
      <c r="B113" s="4" t="s">
        <v>410</v>
      </c>
      <c r="C113" s="29">
        <v>40</v>
      </c>
      <c r="D113" s="23"/>
    </row>
    <row r="114" spans="1:7" ht="15.75" customHeight="1">
      <c r="A114" s="2" t="s">
        <v>454</v>
      </c>
      <c r="B114" s="3"/>
      <c r="C114" s="11"/>
      <c r="D114" s="25"/>
    </row>
    <row r="115" spans="1:7" ht="15.75" customHeight="1">
      <c r="A115" s="6" t="s">
        <v>372</v>
      </c>
      <c r="B115" s="4" t="s">
        <v>229</v>
      </c>
      <c r="C115" s="16">
        <v>3000</v>
      </c>
      <c r="D115" s="23"/>
    </row>
    <row r="116" spans="1:7" ht="15.75" customHeight="1">
      <c r="A116" s="4" t="s">
        <v>487</v>
      </c>
      <c r="B116" s="4" t="s">
        <v>229</v>
      </c>
      <c r="C116" s="164">
        <v>2752.22</v>
      </c>
      <c r="D116" s="23">
        <v>2752.2213029999998</v>
      </c>
    </row>
    <row r="117" spans="1:7" ht="15.75" customHeight="1">
      <c r="A117" s="4" t="s">
        <v>368</v>
      </c>
      <c r="B117" s="4" t="s">
        <v>229</v>
      </c>
      <c r="C117" s="164">
        <v>68561.63</v>
      </c>
      <c r="D117" s="23">
        <v>68561.631139999998</v>
      </c>
    </row>
    <row r="118" spans="1:7" ht="15.75" customHeight="1">
      <c r="A118" s="4" t="s">
        <v>386</v>
      </c>
      <c r="B118" s="4" t="s">
        <v>229</v>
      </c>
      <c r="C118" s="164">
        <v>78</v>
      </c>
      <c r="D118" s="23">
        <v>60.226490939999998</v>
      </c>
    </row>
    <row r="119" spans="1:7" ht="15.75" customHeight="1">
      <c r="A119" s="4" t="s">
        <v>387</v>
      </c>
      <c r="B119" s="4" t="s">
        <v>229</v>
      </c>
      <c r="C119" s="164">
        <v>1.8</v>
      </c>
      <c r="D119" s="23">
        <v>1.2733052999999999E-2</v>
      </c>
    </row>
    <row r="120" spans="1:7" ht="15.75" customHeight="1">
      <c r="A120" s="4" t="s">
        <v>388</v>
      </c>
      <c r="B120" s="4" t="s">
        <v>229</v>
      </c>
      <c r="C120" s="164">
        <v>-1.54</v>
      </c>
      <c r="D120" s="23">
        <v>-1.540040329</v>
      </c>
      <c r="E120" s="295">
        <v>-2</v>
      </c>
      <c r="G120" s="296" t="s">
        <v>966</v>
      </c>
    </row>
    <row r="121" spans="1:7" ht="15.75" customHeight="1">
      <c r="A121" s="4" t="s">
        <v>389</v>
      </c>
      <c r="B121" s="4" t="s">
        <v>229</v>
      </c>
      <c r="C121" s="164">
        <v>-1.96</v>
      </c>
      <c r="D121" s="23">
        <v>-1.958612958</v>
      </c>
    </row>
    <row r="122" spans="1:7" ht="15.75" customHeight="1">
      <c r="A122" s="4" t="s">
        <v>390</v>
      </c>
      <c r="B122" s="4" t="s">
        <v>229</v>
      </c>
      <c r="C122" s="164">
        <v>-0.67</v>
      </c>
      <c r="D122" s="23">
        <v>-0.90311269100000002</v>
      </c>
    </row>
    <row r="123" spans="1:7" ht="15.75" customHeight="1">
      <c r="A123" s="4" t="s">
        <v>391</v>
      </c>
      <c r="B123" s="4" t="s">
        <v>229</v>
      </c>
      <c r="C123" s="164">
        <v>0.08</v>
      </c>
      <c r="D123" s="173">
        <v>0.66151252000000005</v>
      </c>
    </row>
    <row r="124" spans="1:7" ht="15.75" customHeight="1">
      <c r="A124" s="4" t="s">
        <v>2</v>
      </c>
      <c r="B124" s="4" t="s">
        <v>229</v>
      </c>
      <c r="C124" s="29">
        <v>0.63677810000000001</v>
      </c>
      <c r="D124" s="173">
        <v>0.63677810000000001</v>
      </c>
    </row>
    <row r="125" spans="1:7" ht="15.75" customHeight="1">
      <c r="A125" s="10" t="s">
        <v>7</v>
      </c>
      <c r="B125" s="10" t="s">
        <v>229</v>
      </c>
      <c r="C125" s="164">
        <v>0.85</v>
      </c>
      <c r="D125" s="169"/>
    </row>
    <row r="126" spans="1:7" ht="15.75" customHeight="1">
      <c r="A126" s="4" t="s">
        <v>421</v>
      </c>
      <c r="B126" s="4" t="s">
        <v>416</v>
      </c>
      <c r="C126" s="29">
        <v>0</v>
      </c>
      <c r="D126" s="5"/>
    </row>
    <row r="127" spans="1:7" ht="15.75" customHeight="1">
      <c r="A127" s="4" t="s">
        <v>422</v>
      </c>
      <c r="B127" s="4" t="s">
        <v>416</v>
      </c>
      <c r="C127" s="29">
        <v>5</v>
      </c>
      <c r="D127" s="5"/>
    </row>
    <row r="128" spans="1:7" ht="15.75" customHeight="1">
      <c r="A128" s="4" t="s">
        <v>365</v>
      </c>
      <c r="B128" s="4" t="s">
        <v>416</v>
      </c>
      <c r="C128" s="164">
        <v>0.03</v>
      </c>
      <c r="D128" s="5">
        <v>0.1</v>
      </c>
      <c r="E128" s="297">
        <v>0.1</v>
      </c>
      <c r="F128" s="249" t="s">
        <v>967</v>
      </c>
      <c r="G128" s="298" t="s">
        <v>968</v>
      </c>
    </row>
    <row r="129" spans="1:6" ht="15.75" customHeight="1">
      <c r="A129" s="4" t="s">
        <v>366</v>
      </c>
      <c r="B129" s="4" t="s">
        <v>416</v>
      </c>
      <c r="C129" s="164">
        <v>0.01</v>
      </c>
      <c r="D129" s="5">
        <v>0.03</v>
      </c>
      <c r="E129" s="297">
        <v>0.03</v>
      </c>
      <c r="F129" s="249" t="s">
        <v>967</v>
      </c>
    </row>
    <row r="130" spans="1:6" ht="15.75" customHeight="1">
      <c r="A130" s="4" t="s">
        <v>367</v>
      </c>
      <c r="B130" s="4" t="s">
        <v>416</v>
      </c>
      <c r="C130" s="29">
        <v>0.5</v>
      </c>
      <c r="D130" s="5">
        <v>0.1</v>
      </c>
      <c r="E130" s="297">
        <v>0.15</v>
      </c>
      <c r="F130" s="249" t="s">
        <v>967</v>
      </c>
    </row>
    <row r="131" spans="1:6" ht="15.75" customHeight="1">
      <c r="A131" s="4" t="s">
        <v>239</v>
      </c>
      <c r="B131" s="4" t="s">
        <v>416</v>
      </c>
      <c r="C131" s="29">
        <v>1.25</v>
      </c>
      <c r="D131" s="5">
        <v>2.5</v>
      </c>
      <c r="E131" s="297">
        <v>5</v>
      </c>
      <c r="F131" s="249" t="s">
        <v>967</v>
      </c>
    </row>
    <row r="132" spans="1:6" ht="15.75" customHeight="1">
      <c r="A132" s="10" t="s">
        <v>91</v>
      </c>
      <c r="B132" s="10" t="s">
        <v>416</v>
      </c>
      <c r="C132" s="164">
        <v>5.0000000000000001E-4</v>
      </c>
      <c r="D132" s="169">
        <v>0.02</v>
      </c>
    </row>
    <row r="133" spans="1:6" ht="15.75" customHeight="1">
      <c r="A133" s="10" t="s">
        <v>89</v>
      </c>
      <c r="B133" s="10" t="s">
        <v>416</v>
      </c>
      <c r="C133" s="164">
        <v>5.0000000000000001E-4</v>
      </c>
      <c r="D133" s="169">
        <v>2E-3</v>
      </c>
    </row>
    <row r="134" spans="1:6" ht="15.75" customHeight="1">
      <c r="A134" s="10" t="s">
        <v>90</v>
      </c>
      <c r="B134" s="10" t="s">
        <v>416</v>
      </c>
      <c r="C134" s="164">
        <v>5.0000000000000001E-4</v>
      </c>
      <c r="D134" s="169">
        <v>1.4999999999999999E-2</v>
      </c>
    </row>
    <row r="135" spans="1:6" ht="15.75" customHeight="1">
      <c r="A135" s="4" t="s">
        <v>324</v>
      </c>
      <c r="B135" s="4" t="s">
        <v>229</v>
      </c>
      <c r="C135" s="12">
        <v>0.3</v>
      </c>
      <c r="D135" s="5">
        <v>0.1</v>
      </c>
    </row>
    <row r="136" spans="1:6" ht="15.75" customHeight="1">
      <c r="A136" s="4" t="s">
        <v>240</v>
      </c>
      <c r="B136" s="4" t="s">
        <v>229</v>
      </c>
      <c r="C136" s="12">
        <v>2.5</v>
      </c>
      <c r="D136" s="5"/>
    </row>
    <row r="137" spans="1:6" ht="15.75" customHeight="1">
      <c r="A137" s="2" t="s">
        <v>215</v>
      </c>
      <c r="B137" s="2"/>
      <c r="C137" s="2"/>
      <c r="D137" s="32"/>
    </row>
    <row r="138" spans="1:6" ht="15.75" customHeight="1">
      <c r="A138" s="4" t="s">
        <v>319</v>
      </c>
      <c r="B138" s="4" t="s">
        <v>229</v>
      </c>
      <c r="C138" s="12">
        <v>4.74</v>
      </c>
      <c r="D138" s="5"/>
    </row>
    <row r="139" spans="1:6" ht="15.75" customHeight="1">
      <c r="A139" s="4" t="s">
        <v>320</v>
      </c>
      <c r="B139" s="4" t="s">
        <v>229</v>
      </c>
      <c r="C139" s="12">
        <v>6.7000000000000004E-2</v>
      </c>
      <c r="D139" s="5"/>
    </row>
    <row r="140" spans="1:6" ht="15.75" customHeight="1">
      <c r="A140" s="4" t="s">
        <v>321</v>
      </c>
      <c r="B140" s="4" t="s">
        <v>229</v>
      </c>
      <c r="C140" s="12">
        <v>-1</v>
      </c>
      <c r="D140" s="5"/>
    </row>
    <row r="141" spans="1:6" ht="15.75" customHeight="1">
      <c r="A141" s="4" t="s">
        <v>470</v>
      </c>
      <c r="B141" s="4" t="s">
        <v>229</v>
      </c>
      <c r="C141" s="12">
        <v>8.58</v>
      </c>
      <c r="D141" s="5"/>
    </row>
    <row r="142" spans="1:6" ht="15.75" customHeight="1">
      <c r="A142" s="4" t="s">
        <v>471</v>
      </c>
      <c r="B142" s="4" t="s">
        <v>229</v>
      </c>
      <c r="C142" s="12">
        <v>6.7000000000000004E-2</v>
      </c>
      <c r="D142" s="5"/>
    </row>
    <row r="143" spans="1:6" ht="15.75" customHeight="1">
      <c r="A143" s="4" t="s">
        <v>472</v>
      </c>
      <c r="B143" s="4" t="s">
        <v>229</v>
      </c>
      <c r="C143" s="12">
        <v>-1</v>
      </c>
      <c r="D143" s="5"/>
    </row>
    <row r="144" spans="1:6" ht="15.75" customHeight="1">
      <c r="A144" s="4" t="s">
        <v>473</v>
      </c>
      <c r="B144" s="4" t="s">
        <v>229</v>
      </c>
      <c r="C144" s="12">
        <v>5.07</v>
      </c>
      <c r="D144" s="34">
        <v>26.6</v>
      </c>
    </row>
    <row r="145" spans="1:4" ht="15.75" customHeight="1">
      <c r="A145" s="4" t="s">
        <v>474</v>
      </c>
      <c r="B145" s="4" t="s">
        <v>229</v>
      </c>
      <c r="C145" s="12">
        <v>-1</v>
      </c>
      <c r="D145" s="34">
        <v>-1.71</v>
      </c>
    </row>
    <row r="146" spans="1:4" ht="15.75" customHeight="1">
      <c r="A146" s="4" t="s">
        <v>475</v>
      </c>
      <c r="B146" s="4" t="s">
        <v>229</v>
      </c>
      <c r="C146" s="12">
        <v>25.74</v>
      </c>
      <c r="D146" s="34">
        <v>13.3</v>
      </c>
    </row>
    <row r="147" spans="1:4" ht="14" thickBot="1">
      <c r="A147" s="9" t="s">
        <v>476</v>
      </c>
      <c r="B147" s="9" t="s">
        <v>229</v>
      </c>
      <c r="C147" s="17">
        <v>-1</v>
      </c>
      <c r="D147" s="35">
        <v>-0.93</v>
      </c>
    </row>
    <row r="148" spans="1:4" ht="14" thickTop="1"/>
    <row r="150" spans="1:4">
      <c r="A150" s="4" t="s">
        <v>524</v>
      </c>
      <c r="B150" s="4" t="s">
        <v>525</v>
      </c>
      <c r="C150" s="192">
        <v>1</v>
      </c>
    </row>
    <row r="151" spans="1:4">
      <c r="A151" s="4" t="s">
        <v>553</v>
      </c>
      <c r="B151" s="4" t="s">
        <v>525</v>
      </c>
      <c r="C151" s="192">
        <v>2</v>
      </c>
    </row>
    <row r="153" spans="1:4">
      <c r="A153" t="s">
        <v>573</v>
      </c>
      <c r="B153" t="s">
        <v>494</v>
      </c>
      <c r="C153">
        <v>0.8</v>
      </c>
    </row>
    <row r="154" spans="1:4">
      <c r="A154" t="s">
        <v>574</v>
      </c>
      <c r="C154">
        <v>0.9</v>
      </c>
    </row>
    <row r="155" spans="1:4">
      <c r="A155" t="s">
        <v>575</v>
      </c>
      <c r="B155" t="s">
        <v>494</v>
      </c>
      <c r="C155">
        <v>1</v>
      </c>
    </row>
    <row r="156" spans="1:4">
      <c r="A156" t="s">
        <v>592</v>
      </c>
      <c r="C156">
        <v>0.65</v>
      </c>
    </row>
  </sheetData>
  <phoneticPr fontId="2" type="noConversion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50"/>
  </sheetPr>
  <dimension ref="A1:EN167"/>
  <sheetViews>
    <sheetView zoomScaleNormal="100" workbookViewId="0">
      <pane xSplit="6" ySplit="3" topLeftCell="O4" activePane="bottomRight" state="frozen"/>
      <selection pane="topRight" activeCell="F1" sqref="F1"/>
      <selection pane="bottomLeft" activeCell="A4" sqref="A4"/>
      <selection pane="bottomRight" activeCell="Q7" sqref="Q7"/>
    </sheetView>
  </sheetViews>
  <sheetFormatPr baseColWidth="10" defaultRowHeight="13"/>
  <cols>
    <col min="1" max="6" width="16.5" style="36" customWidth="1"/>
    <col min="95" max="96" width="11.5" style="136"/>
    <col min="103" max="116" width="8" customWidth="1"/>
    <col min="122" max="122" width="12.5" bestFit="1" customWidth="1"/>
    <col min="123" max="123" width="11.6640625" bestFit="1" customWidth="1"/>
    <col min="124" max="124" width="12.5" bestFit="1" customWidth="1"/>
    <col min="125" max="125" width="11.6640625" bestFit="1" customWidth="1"/>
    <col min="126" max="127" width="13.5" bestFit="1" customWidth="1"/>
  </cols>
  <sheetData>
    <row r="1" spans="1:144" ht="15.75" customHeight="1">
      <c r="A1" s="37" t="s">
        <v>392</v>
      </c>
      <c r="B1" s="3"/>
      <c r="C1" s="3"/>
      <c r="D1" s="3"/>
      <c r="E1" s="3"/>
      <c r="F1" s="3"/>
      <c r="G1" s="59" t="s">
        <v>399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54" t="s">
        <v>401</v>
      </c>
      <c r="AQ1" s="47" t="s">
        <v>969</v>
      </c>
      <c r="AR1" s="18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324" t="s">
        <v>982</v>
      </c>
      <c r="CD1" s="324" t="s">
        <v>982</v>
      </c>
      <c r="CE1" s="324" t="s">
        <v>982</v>
      </c>
      <c r="CF1" s="324" t="s">
        <v>982</v>
      </c>
      <c r="CG1" s="45"/>
      <c r="CH1" s="45"/>
      <c r="CI1" s="45"/>
      <c r="CJ1" s="45"/>
      <c r="CK1" s="45"/>
      <c r="CL1" s="90" t="s">
        <v>439</v>
      </c>
      <c r="CM1" s="4"/>
      <c r="CN1" s="91"/>
      <c r="CP1" t="s">
        <v>576</v>
      </c>
      <c r="DN1" s="420" t="s">
        <v>830</v>
      </c>
      <c r="DO1" s="420"/>
      <c r="DP1" s="420"/>
      <c r="EC1" s="59" t="s">
        <v>571</v>
      </c>
      <c r="ED1" s="49"/>
      <c r="EE1" s="49"/>
      <c r="EG1" s="37" t="s">
        <v>392</v>
      </c>
      <c r="EH1" s="3"/>
      <c r="EI1" s="243" t="s">
        <v>924</v>
      </c>
      <c r="EM1" t="s">
        <v>930</v>
      </c>
    </row>
    <row r="2" spans="1:144" s="102" customFormat="1" ht="103.5" customHeight="1">
      <c r="A2" s="95" t="s">
        <v>233</v>
      </c>
      <c r="B2" s="96" t="s">
        <v>393</v>
      </c>
      <c r="C2" s="96" t="s">
        <v>167</v>
      </c>
      <c r="D2" s="96" t="s">
        <v>434</v>
      </c>
      <c r="E2" s="134" t="s">
        <v>424</v>
      </c>
      <c r="F2" s="97" t="s">
        <v>425</v>
      </c>
      <c r="G2" s="414" t="s">
        <v>409</v>
      </c>
      <c r="H2" s="389" t="s">
        <v>482</v>
      </c>
      <c r="I2" s="389" t="s">
        <v>488</v>
      </c>
      <c r="J2" s="389" t="s">
        <v>345</v>
      </c>
      <c r="K2" s="389" t="s">
        <v>489</v>
      </c>
      <c r="L2" s="389" t="s">
        <v>481</v>
      </c>
      <c r="M2" s="389" t="s">
        <v>195</v>
      </c>
      <c r="N2" s="307" t="s">
        <v>193</v>
      </c>
      <c r="O2" s="302" t="s">
        <v>194</v>
      </c>
      <c r="P2" s="418" t="s">
        <v>196</v>
      </c>
      <c r="Q2" s="418" t="s">
        <v>197</v>
      </c>
      <c r="R2" s="418" t="s">
        <v>86</v>
      </c>
      <c r="S2" s="307" t="s">
        <v>198</v>
      </c>
      <c r="T2" s="304" t="s">
        <v>438</v>
      </c>
      <c r="U2" s="304" t="s">
        <v>341</v>
      </c>
      <c r="V2" s="304" t="s">
        <v>343</v>
      </c>
      <c r="W2" s="304" t="s">
        <v>342</v>
      </c>
      <c r="X2" s="304" t="s">
        <v>344</v>
      </c>
      <c r="Y2" s="304" t="s">
        <v>52</v>
      </c>
      <c r="Z2" s="304" t="s">
        <v>53</v>
      </c>
      <c r="AA2" s="304" t="s">
        <v>337</v>
      </c>
      <c r="AB2" s="307" t="s">
        <v>972</v>
      </c>
      <c r="AC2" s="307" t="s">
        <v>973</v>
      </c>
      <c r="AD2" s="307" t="s">
        <v>974</v>
      </c>
      <c r="AE2" s="307" t="s">
        <v>975</v>
      </c>
      <c r="AF2" s="307" t="s">
        <v>976</v>
      </c>
      <c r="AG2" s="307" t="s">
        <v>977</v>
      </c>
      <c r="AH2" s="98" t="s">
        <v>373</v>
      </c>
      <c r="AI2" s="98" t="s">
        <v>448</v>
      </c>
      <c r="AJ2" s="98" t="s">
        <v>374</v>
      </c>
      <c r="AK2" s="98" t="s">
        <v>375</v>
      </c>
      <c r="AL2" s="98" t="s">
        <v>483</v>
      </c>
      <c r="AM2" s="390" t="s">
        <v>484</v>
      </c>
      <c r="AN2" s="98" t="s">
        <v>17</v>
      </c>
      <c r="AO2" s="98" t="s">
        <v>492</v>
      </c>
      <c r="AP2" s="308" t="s">
        <v>223</v>
      </c>
      <c r="AQ2" s="309" t="s">
        <v>477</v>
      </c>
      <c r="AR2" s="99" t="s">
        <v>381</v>
      </c>
      <c r="AS2" s="309" t="s">
        <v>971</v>
      </c>
      <c r="AT2" s="309" t="s">
        <v>970</v>
      </c>
      <c r="AU2" s="309" t="s">
        <v>423</v>
      </c>
      <c r="AV2" s="309" t="s">
        <v>4</v>
      </c>
      <c r="AW2" s="309" t="s">
        <v>241</v>
      </c>
      <c r="AX2" s="309" t="s">
        <v>242</v>
      </c>
      <c r="AY2" s="309" t="s">
        <v>243</v>
      </c>
      <c r="AZ2" s="303" t="s">
        <v>402</v>
      </c>
      <c r="BA2" s="303" t="s">
        <v>403</v>
      </c>
      <c r="BB2" s="99" t="s">
        <v>404</v>
      </c>
      <c r="BC2" s="99" t="s">
        <v>405</v>
      </c>
      <c r="BD2" s="99" t="s">
        <v>406</v>
      </c>
      <c r="BE2" s="389" t="s">
        <v>137</v>
      </c>
      <c r="BF2" s="389" t="s">
        <v>138</v>
      </c>
      <c r="BG2" s="389" t="s">
        <v>139</v>
      </c>
      <c r="BH2" s="389" t="s">
        <v>140</v>
      </c>
      <c r="BI2" s="389" t="s">
        <v>141</v>
      </c>
      <c r="BJ2" s="389" t="s">
        <v>142</v>
      </c>
      <c r="BK2" s="419" t="s">
        <v>143</v>
      </c>
      <c r="BL2" s="99" t="s">
        <v>444</v>
      </c>
      <c r="BM2" s="154" t="s">
        <v>115</v>
      </c>
      <c r="BN2" s="415" t="s">
        <v>122</v>
      </c>
      <c r="BO2" s="99" t="s">
        <v>192</v>
      </c>
      <c r="BP2" s="309" t="s">
        <v>407</v>
      </c>
      <c r="BQ2" s="309" t="s">
        <v>443</v>
      </c>
      <c r="BR2" s="389" t="s">
        <v>485</v>
      </c>
      <c r="BS2" s="99" t="s">
        <v>450</v>
      </c>
      <c r="BT2" s="320" t="s">
        <v>978</v>
      </c>
      <c r="BU2" s="320" t="s">
        <v>979</v>
      </c>
      <c r="BV2" s="320" t="s">
        <v>980</v>
      </c>
      <c r="BW2" s="254" t="s">
        <v>812</v>
      </c>
      <c r="BX2" s="320" t="s">
        <v>981</v>
      </c>
      <c r="BY2" s="100" t="s">
        <v>353</v>
      </c>
      <c r="BZ2" s="100" t="s">
        <v>146</v>
      </c>
      <c r="CA2" s="100" t="s">
        <v>147</v>
      </c>
      <c r="CB2" s="99" t="s">
        <v>105</v>
      </c>
      <c r="CC2" s="309" t="s">
        <v>101</v>
      </c>
      <c r="CD2" s="323" t="s">
        <v>102</v>
      </c>
      <c r="CE2" s="309" t="s">
        <v>103</v>
      </c>
      <c r="CF2" s="323" t="s">
        <v>104</v>
      </c>
      <c r="CG2" s="99" t="s">
        <v>100</v>
      </c>
      <c r="CH2" s="99" t="s">
        <v>96</v>
      </c>
      <c r="CI2" s="101" t="s">
        <v>97</v>
      </c>
      <c r="CJ2" s="99" t="s">
        <v>98</v>
      </c>
      <c r="CK2" s="101" t="s">
        <v>99</v>
      </c>
      <c r="CL2" s="148" t="s">
        <v>440</v>
      </c>
      <c r="CM2" s="149" t="s">
        <v>441</v>
      </c>
      <c r="CN2" s="150" t="s">
        <v>442</v>
      </c>
      <c r="CO2" s="325"/>
      <c r="CP2" s="325" t="s">
        <v>577</v>
      </c>
      <c r="CQ2" s="352" t="s">
        <v>993</v>
      </c>
      <c r="CR2" s="326" t="s">
        <v>579</v>
      </c>
      <c r="CS2" s="325" t="s">
        <v>605</v>
      </c>
      <c r="CT2" s="325" t="s">
        <v>606</v>
      </c>
      <c r="CU2" s="325"/>
      <c r="CV2" s="235" t="s">
        <v>615</v>
      </c>
      <c r="CW2" s="235" t="s">
        <v>616</v>
      </c>
      <c r="CY2" s="421" t="s">
        <v>740</v>
      </c>
      <c r="CZ2" s="422"/>
      <c r="DA2" s="421" t="s">
        <v>741</v>
      </c>
      <c r="DB2" s="422"/>
      <c r="DC2" s="421" t="s">
        <v>742</v>
      </c>
      <c r="DD2" s="422"/>
      <c r="DE2" s="421" t="s">
        <v>743</v>
      </c>
      <c r="DF2" s="422"/>
      <c r="DG2" s="421" t="s">
        <v>744</v>
      </c>
      <c r="DH2" s="422"/>
      <c r="DI2" s="421" t="s">
        <v>745</v>
      </c>
      <c r="DJ2" s="422"/>
      <c r="DK2" s="421" t="s">
        <v>287</v>
      </c>
      <c r="DL2" s="422"/>
      <c r="DN2" s="102" t="s">
        <v>577</v>
      </c>
      <c r="DO2" s="136" t="s">
        <v>578</v>
      </c>
      <c r="DP2" s="136" t="s">
        <v>579</v>
      </c>
      <c r="DR2" s="263" t="s">
        <v>834</v>
      </c>
      <c r="DS2" s="263" t="s">
        <v>578</v>
      </c>
      <c r="DT2" s="264" t="s">
        <v>835</v>
      </c>
      <c r="DU2" s="264" t="s">
        <v>836</v>
      </c>
      <c r="DV2" s="264" t="s">
        <v>837</v>
      </c>
      <c r="DW2" s="265" t="s">
        <v>838</v>
      </c>
      <c r="DY2" s="99" t="s">
        <v>381</v>
      </c>
      <c r="DZ2" s="99" t="s">
        <v>382</v>
      </c>
      <c r="EA2" s="99" t="s">
        <v>383</v>
      </c>
      <c r="EC2" s="106" t="s">
        <v>124</v>
      </c>
      <c r="ED2" s="107" t="s">
        <v>125</v>
      </c>
      <c r="EE2" s="107" t="s">
        <v>126</v>
      </c>
      <c r="EG2" s="273" t="s">
        <v>233</v>
      </c>
      <c r="EH2" s="274" t="s">
        <v>393</v>
      </c>
      <c r="EI2" t="s">
        <v>925</v>
      </c>
      <c r="EJ2" t="s">
        <v>926</v>
      </c>
      <c r="EM2" s="275" t="s">
        <v>931</v>
      </c>
      <c r="EN2" s="275" t="s">
        <v>932</v>
      </c>
    </row>
    <row r="3" spans="1:144" s="102" customFormat="1" ht="21" customHeight="1">
      <c r="A3" s="95"/>
      <c r="B3" s="96"/>
      <c r="C3" s="96"/>
      <c r="D3" s="96"/>
      <c r="E3" s="134"/>
      <c r="F3" s="97"/>
      <c r="G3" s="396" t="s">
        <v>408</v>
      </c>
      <c r="H3" s="389" t="s">
        <v>408</v>
      </c>
      <c r="I3" s="389" t="s">
        <v>408</v>
      </c>
      <c r="J3" s="389" t="s">
        <v>408</v>
      </c>
      <c r="K3" s="389" t="s">
        <v>408</v>
      </c>
      <c r="L3" s="389" t="s">
        <v>408</v>
      </c>
      <c r="M3" s="389" t="s">
        <v>408</v>
      </c>
      <c r="N3" s="307" t="s">
        <v>408</v>
      </c>
      <c r="O3" s="302" t="s">
        <v>408</v>
      </c>
      <c r="P3" s="418" t="s">
        <v>408</v>
      </c>
      <c r="Q3" s="418" t="s">
        <v>408</v>
      </c>
      <c r="R3" s="418" t="s">
        <v>408</v>
      </c>
      <c r="S3" s="307" t="s">
        <v>408</v>
      </c>
      <c r="T3" s="304" t="s">
        <v>408</v>
      </c>
      <c r="U3" s="304" t="s">
        <v>400</v>
      </c>
      <c r="V3" s="304" t="s">
        <v>413</v>
      </c>
      <c r="W3" s="304" t="s">
        <v>400</v>
      </c>
      <c r="X3" s="304" t="s">
        <v>413</v>
      </c>
      <c r="Y3" s="304" t="s">
        <v>408</v>
      </c>
      <c r="Z3" s="304" t="s">
        <v>408</v>
      </c>
      <c r="AA3" s="304" t="s">
        <v>408</v>
      </c>
      <c r="AB3" s="307" t="s">
        <v>408</v>
      </c>
      <c r="AC3" s="307" t="s">
        <v>408</v>
      </c>
      <c r="AD3" s="307" t="s">
        <v>408</v>
      </c>
      <c r="AE3" s="307" t="s">
        <v>408</v>
      </c>
      <c r="AF3" s="307" t="s">
        <v>408</v>
      </c>
      <c r="AG3" s="307" t="s">
        <v>408</v>
      </c>
      <c r="AH3" s="98" t="s">
        <v>408</v>
      </c>
      <c r="AI3" s="98" t="s">
        <v>408</v>
      </c>
      <c r="AJ3" s="98" t="s">
        <v>408</v>
      </c>
      <c r="AK3" s="98" t="s">
        <v>408</v>
      </c>
      <c r="AL3" s="98" t="s">
        <v>413</v>
      </c>
      <c r="AM3" s="390" t="s">
        <v>410</v>
      </c>
      <c r="AN3" s="98" t="s">
        <v>229</v>
      </c>
      <c r="AO3" s="98" t="s">
        <v>229</v>
      </c>
      <c r="AP3" s="308" t="s">
        <v>411</v>
      </c>
      <c r="AQ3" s="309" t="s">
        <v>478</v>
      </c>
      <c r="AR3" s="99" t="s">
        <v>397</v>
      </c>
      <c r="AS3" s="309" t="s">
        <v>397</v>
      </c>
      <c r="AT3" s="309" t="s">
        <v>397</v>
      </c>
      <c r="AU3" s="309" t="s">
        <v>412</v>
      </c>
      <c r="AV3" s="309" t="s">
        <v>412</v>
      </c>
      <c r="AW3" s="309" t="s">
        <v>412</v>
      </c>
      <c r="AX3" s="309" t="s">
        <v>412</v>
      </c>
      <c r="AY3" s="309" t="s">
        <v>412</v>
      </c>
      <c r="AZ3" s="303" t="s">
        <v>447</v>
      </c>
      <c r="BA3" s="303" t="s">
        <v>447</v>
      </c>
      <c r="BB3" s="99" t="s">
        <v>447</v>
      </c>
      <c r="BC3" s="99" t="s">
        <v>447</v>
      </c>
      <c r="BD3" s="99" t="s">
        <v>447</v>
      </c>
      <c r="BE3" s="389" t="s">
        <v>396</v>
      </c>
      <c r="BF3" s="389" t="s">
        <v>396</v>
      </c>
      <c r="BG3" s="389" t="s">
        <v>396</v>
      </c>
      <c r="BH3" s="389" t="s">
        <v>396</v>
      </c>
      <c r="BI3" s="389" t="s">
        <v>396</v>
      </c>
      <c r="BJ3" s="389" t="s">
        <v>396</v>
      </c>
      <c r="BK3" s="419" t="s">
        <v>396</v>
      </c>
      <c r="BL3" s="99" t="s">
        <v>414</v>
      </c>
      <c r="BM3" s="99" t="s">
        <v>229</v>
      </c>
      <c r="BN3" s="390" t="s">
        <v>449</v>
      </c>
      <c r="BO3" s="99" t="s">
        <v>408</v>
      </c>
      <c r="BP3" s="309" t="s">
        <v>415</v>
      </c>
      <c r="BQ3" s="309" t="s">
        <v>415</v>
      </c>
      <c r="BR3" s="389" t="s">
        <v>144</v>
      </c>
      <c r="BS3" s="99" t="s">
        <v>451</v>
      </c>
      <c r="BT3" s="100" t="s">
        <v>451</v>
      </c>
      <c r="BU3" s="100" t="s">
        <v>451</v>
      </c>
      <c r="BV3" s="100" t="s">
        <v>451</v>
      </c>
      <c r="BW3" s="254" t="s">
        <v>410</v>
      </c>
      <c r="BX3" s="100" t="s">
        <v>410</v>
      </c>
      <c r="BY3" s="100" t="s">
        <v>410</v>
      </c>
      <c r="BZ3" s="100" t="s">
        <v>410</v>
      </c>
      <c r="CA3" s="100" t="s">
        <v>410</v>
      </c>
      <c r="CB3" s="99" t="s">
        <v>411</v>
      </c>
      <c r="CC3" s="309" t="s">
        <v>397</v>
      </c>
      <c r="CD3" s="323" t="s">
        <v>397</v>
      </c>
      <c r="CE3" s="309" t="s">
        <v>397</v>
      </c>
      <c r="CF3" s="323" t="s">
        <v>397</v>
      </c>
      <c r="CG3" s="99" t="s">
        <v>411</v>
      </c>
      <c r="CH3" s="99" t="s">
        <v>397</v>
      </c>
      <c r="CI3" s="101" t="s">
        <v>397</v>
      </c>
      <c r="CJ3" s="99" t="s">
        <v>397</v>
      </c>
      <c r="CK3" s="101" t="s">
        <v>397</v>
      </c>
      <c r="CL3" s="148"/>
      <c r="CM3" s="149"/>
      <c r="CN3" s="150"/>
      <c r="CO3" s="325"/>
      <c r="CP3" s="325" t="s">
        <v>79</v>
      </c>
      <c r="CQ3" s="326" t="s">
        <v>79</v>
      </c>
      <c r="CR3" s="326" t="s">
        <v>79</v>
      </c>
      <c r="CS3" s="325"/>
      <c r="CT3" s="325" t="s">
        <v>416</v>
      </c>
      <c r="CU3" s="325"/>
      <c r="CV3" s="235" t="s">
        <v>416</v>
      </c>
      <c r="CW3" s="235" t="s">
        <v>416</v>
      </c>
      <c r="CY3" s="250" t="s">
        <v>749</v>
      </c>
      <c r="CZ3" s="250" t="s">
        <v>750</v>
      </c>
      <c r="DA3" s="250" t="s">
        <v>749</v>
      </c>
      <c r="DB3" s="250" t="s">
        <v>750</v>
      </c>
      <c r="DC3" s="250" t="s">
        <v>749</v>
      </c>
      <c r="DD3" s="250" t="s">
        <v>750</v>
      </c>
      <c r="DE3" s="250" t="s">
        <v>749</v>
      </c>
      <c r="DF3" s="250" t="s">
        <v>750</v>
      </c>
      <c r="DG3" s="250" t="s">
        <v>749</v>
      </c>
      <c r="DH3" s="250" t="s">
        <v>750</v>
      </c>
      <c r="DI3" s="250" t="s">
        <v>749</v>
      </c>
      <c r="DJ3" s="250" t="s">
        <v>750</v>
      </c>
      <c r="DK3" s="250" t="s">
        <v>749</v>
      </c>
      <c r="DL3" s="250" t="s">
        <v>750</v>
      </c>
      <c r="DN3" s="102" t="s">
        <v>79</v>
      </c>
      <c r="DO3" s="136" t="s">
        <v>79</v>
      </c>
      <c r="DP3" s="136" t="s">
        <v>79</v>
      </c>
      <c r="DR3" s="267" t="s">
        <v>397</v>
      </c>
      <c r="DS3" s="267" t="s">
        <v>397</v>
      </c>
      <c r="DT3" s="267" t="s">
        <v>397</v>
      </c>
      <c r="DU3" s="267" t="s">
        <v>397</v>
      </c>
      <c r="DV3" s="267" t="s">
        <v>397</v>
      </c>
      <c r="DW3" s="267" t="s">
        <v>397</v>
      </c>
      <c r="DY3" s="99" t="s">
        <v>397</v>
      </c>
      <c r="DZ3" s="99" t="s">
        <v>397</v>
      </c>
      <c r="EA3" s="99" t="s">
        <v>397</v>
      </c>
      <c r="EC3" s="60" t="s">
        <v>397</v>
      </c>
      <c r="ED3" s="41" t="s">
        <v>397</v>
      </c>
      <c r="EE3" s="41" t="s">
        <v>397</v>
      </c>
      <c r="EG3" s="273"/>
      <c r="EH3" s="274"/>
      <c r="EI3" t="s">
        <v>416</v>
      </c>
      <c r="EJ3" t="s">
        <v>416</v>
      </c>
    </row>
    <row r="4" spans="1:144" ht="15">
      <c r="A4" s="39" t="s">
        <v>681</v>
      </c>
      <c r="B4" s="63">
        <v>580</v>
      </c>
      <c r="C4" s="63"/>
      <c r="D4" s="63" t="s">
        <v>435</v>
      </c>
      <c r="E4" s="94" t="s">
        <v>428</v>
      </c>
      <c r="F4" s="135" t="s">
        <v>427</v>
      </c>
      <c r="G4" s="61">
        <v>126.601554666</v>
      </c>
      <c r="H4" s="291">
        <v>0.42754795268176976</v>
      </c>
      <c r="I4" s="291">
        <v>1.4326697838716631</v>
      </c>
      <c r="J4" s="291">
        <v>5.8440742586555103</v>
      </c>
      <c r="K4" s="291">
        <v>9.9751317463366238</v>
      </c>
      <c r="L4" s="291">
        <v>2.3388349418600098</v>
      </c>
      <c r="M4" s="291">
        <v>49.687131458001652</v>
      </c>
      <c r="N4" s="291">
        <v>7.1244849681377858</v>
      </c>
      <c r="O4" s="300">
        <v>0</v>
      </c>
      <c r="P4" s="292">
        <v>46.783678710861423</v>
      </c>
      <c r="Q4" s="291">
        <v>0</v>
      </c>
      <c r="R4" s="291">
        <v>0</v>
      </c>
      <c r="S4" s="291">
        <v>1.3523987090068499</v>
      </c>
      <c r="T4" s="291">
        <v>1.6356021365867179</v>
      </c>
      <c r="U4" s="306">
        <v>210.81011888714846</v>
      </c>
      <c r="V4" s="136">
        <v>3.0340556670589036</v>
      </c>
      <c r="W4" s="306">
        <v>0</v>
      </c>
      <c r="X4" s="136">
        <v>0</v>
      </c>
      <c r="Y4" s="306">
        <v>0.99599250070380396</v>
      </c>
      <c r="Z4" s="306">
        <v>0</v>
      </c>
      <c r="AA4" s="306">
        <v>0</v>
      </c>
      <c r="AB4" s="312">
        <v>26.543333005498265</v>
      </c>
      <c r="AC4" s="312">
        <v>19.560864771765207</v>
      </c>
      <c r="AD4" s="312">
        <v>4.6034064232657288</v>
      </c>
      <c r="AE4" s="312">
        <v>6.2210521627117705</v>
      </c>
      <c r="AF4" s="312">
        <v>10.86713438310136</v>
      </c>
      <c r="AG4" s="312">
        <v>1.9095993950649084</v>
      </c>
      <c r="AH4" s="19">
        <v>44.230278610703444</v>
      </c>
      <c r="AI4" s="19">
        <v>82.371276055296576</v>
      </c>
      <c r="AJ4" s="19">
        <v>0</v>
      </c>
      <c r="AK4" s="19">
        <v>0</v>
      </c>
      <c r="AL4" s="19">
        <v>457.59154929599998</v>
      </c>
      <c r="AM4" s="19">
        <v>1.3934</v>
      </c>
      <c r="AN4" s="19"/>
      <c r="AO4" s="19"/>
      <c r="AP4" s="305">
        <v>1.4660504824059599</v>
      </c>
      <c r="AQ4">
        <v>10.477320000000001</v>
      </c>
      <c r="AR4" s="342"/>
      <c r="AS4" s="346"/>
      <c r="AT4" s="305"/>
      <c r="AU4" s="312">
        <v>1059.8134150602859</v>
      </c>
      <c r="AV4" s="312">
        <v>1128.3805400239671</v>
      </c>
      <c r="AW4" s="312">
        <v>704.48052376457133</v>
      </c>
      <c r="AX4" s="312">
        <v>695.77004519174034</v>
      </c>
      <c r="AY4" s="333">
        <v>720.05004429414294</v>
      </c>
      <c r="AZ4">
        <v>1472.0369878358952</v>
      </c>
      <c r="BA4">
        <v>671.87806370002045</v>
      </c>
      <c r="BB4" s="48">
        <v>1726.7483092598602</v>
      </c>
      <c r="BC4" s="48">
        <v>717.49325774392707</v>
      </c>
      <c r="BD4" s="48">
        <v>34.480851063829796</v>
      </c>
      <c r="BE4" s="310">
        <v>0.40829298469523639</v>
      </c>
      <c r="BF4" s="310">
        <v>1.1066777260866816</v>
      </c>
      <c r="BG4" s="310">
        <v>2.0469416380100882</v>
      </c>
      <c r="BH4" s="310">
        <v>2.848379967325696</v>
      </c>
      <c r="BI4" s="310">
        <v>5.2409364082837913</v>
      </c>
      <c r="BJ4" s="305">
        <v>6.1464087899343156E-2</v>
      </c>
      <c r="BK4" s="48">
        <v>9.2694799999999994E-2</v>
      </c>
      <c r="BL4" s="48">
        <v>2230</v>
      </c>
      <c r="BM4" s="48">
        <v>1</v>
      </c>
      <c r="BN4" s="48">
        <v>0</v>
      </c>
      <c r="BO4" s="48">
        <v>5.84727068399354</v>
      </c>
      <c r="BP4" s="314">
        <v>54.935809430701909</v>
      </c>
      <c r="BQ4" s="314">
        <v>55.527559275792754</v>
      </c>
      <c r="BR4" s="316">
        <v>326.66436894524224</v>
      </c>
      <c r="BS4" s="318">
        <v>16756.250044464206</v>
      </c>
      <c r="BT4" s="188">
        <v>13922.076711130874</v>
      </c>
      <c r="BU4" s="188">
        <v>13922.076711130874</v>
      </c>
      <c r="BV4" s="48">
        <v>2834.1733333333332</v>
      </c>
      <c r="BW4" s="48">
        <v>50</v>
      </c>
      <c r="BX4" s="48">
        <v>20</v>
      </c>
      <c r="BY4" s="48">
        <v>43</v>
      </c>
      <c r="BZ4" s="48">
        <v>0</v>
      </c>
      <c r="CA4" s="71">
        <v>0</v>
      </c>
      <c r="CB4" s="321">
        <v>1.4054064983933705E-2</v>
      </c>
      <c r="CC4" s="321">
        <v>1.5501200000000002</v>
      </c>
      <c r="CD4" s="321">
        <v>0.25710416666666669</v>
      </c>
      <c r="CE4" s="321">
        <v>0</v>
      </c>
      <c r="CF4" s="321">
        <v>0</v>
      </c>
      <c r="CG4" s="42">
        <v>0</v>
      </c>
      <c r="CH4" s="42">
        <v>0</v>
      </c>
      <c r="CI4" s="42">
        <v>0</v>
      </c>
      <c r="CJ4" s="42">
        <v>0</v>
      </c>
      <c r="CK4" s="42">
        <v>0</v>
      </c>
      <c r="CL4" s="151" t="str">
        <f>IF(AND(SUM(H4:T4)&gt;0.99*G4,SUM(H4:T4)&lt;1.01*G4),"OK","FAILURE")</f>
        <v>OK</v>
      </c>
      <c r="CM4" s="152" t="str">
        <f>IF(AND(SUM(AB4:AG4)&gt;0.99*SUM(H4:M4),SUM(AB4:AG4)&lt;1.01*SUM(H4:M4)),"OK","FAILURE")</f>
        <v>OK</v>
      </c>
      <c r="CN4" s="153" t="str">
        <f>IF(AND(SUM(AH4:AK4)&gt;0.99*G4,SUM(AH4:AK4)&lt;1.01*G4),"OK","FAILURE")</f>
        <v>OK</v>
      </c>
      <c r="CO4" s="327">
        <f>(BS4-BT4)/3*2</f>
        <v>1889.4488888888882</v>
      </c>
      <c r="CP4" s="328"/>
      <c r="CQ4" s="326"/>
      <c r="CR4" s="326" t="e">
        <v>#N/A</v>
      </c>
      <c r="CS4" s="328">
        <v>580</v>
      </c>
      <c r="CT4" s="327">
        <v>4.9850537634408614</v>
      </c>
      <c r="CU4" s="327">
        <f>VLOOKUP(B4,Tabelle2!$AL$2:$AM$82,2,)</f>
        <v>4.9850537634408614</v>
      </c>
      <c r="CV4">
        <v>4</v>
      </c>
      <c r="CW4">
        <v>0.05</v>
      </c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N4" s="31"/>
      <c r="DO4" s="136" t="e">
        <v>#N/A</v>
      </c>
      <c r="DP4" s="136" t="e">
        <v>#N/A</v>
      </c>
      <c r="DQ4">
        <f>B4</f>
        <v>580</v>
      </c>
      <c r="DY4" s="48"/>
      <c r="DZ4" s="48"/>
      <c r="EA4" s="48"/>
      <c r="EC4" s="61">
        <v>187.877357795965</v>
      </c>
      <c r="ED4" s="27">
        <v>156.43412752124226</v>
      </c>
      <c r="EE4" s="27">
        <v>4.5743239783895291</v>
      </c>
      <c r="EG4" s="39" t="s">
        <v>681</v>
      </c>
      <c r="EH4" s="63">
        <v>580</v>
      </c>
      <c r="EI4" s="31">
        <v>3.0369449122807014E-2</v>
      </c>
      <c r="EJ4" s="31">
        <v>9.2088161643474151E-2</v>
      </c>
      <c r="EM4">
        <v>0</v>
      </c>
      <c r="EN4">
        <v>0</v>
      </c>
    </row>
    <row r="5" spans="1:144" ht="15">
      <c r="A5" s="39" t="s">
        <v>682</v>
      </c>
      <c r="B5" s="63">
        <v>600</v>
      </c>
      <c r="C5" s="63">
        <v>610</v>
      </c>
      <c r="D5" s="63" t="s">
        <v>435</v>
      </c>
      <c r="E5" s="94" t="s">
        <v>428</v>
      </c>
      <c r="F5" s="135" t="s">
        <v>427</v>
      </c>
      <c r="G5" s="61">
        <v>120.044162032</v>
      </c>
      <c r="H5" s="291">
        <v>2.5396317129114849</v>
      </c>
      <c r="I5" s="291">
        <v>6.8970244392567031</v>
      </c>
      <c r="J5" s="291">
        <v>10.917321274240555</v>
      </c>
      <c r="K5" s="291">
        <v>13.371949600804783</v>
      </c>
      <c r="L5" s="291">
        <v>6.1719860829269271</v>
      </c>
      <c r="M5" s="291">
        <v>38.612217052683192</v>
      </c>
      <c r="N5" s="291">
        <v>5.53128758464395</v>
      </c>
      <c r="O5" s="300">
        <v>0</v>
      </c>
      <c r="P5" s="292">
        <v>35.570085774751085</v>
      </c>
      <c r="Q5" s="291">
        <v>0</v>
      </c>
      <c r="R5" s="291">
        <v>0</v>
      </c>
      <c r="S5" s="291">
        <v>4.0857880741454805E-3</v>
      </c>
      <c r="T5" s="291">
        <v>0.42857272170716398</v>
      </c>
      <c r="U5" s="306">
        <v>107.2256801581152</v>
      </c>
      <c r="V5" s="136">
        <v>2.5</v>
      </c>
      <c r="W5" s="306">
        <v>0</v>
      </c>
      <c r="X5" s="136">
        <v>0</v>
      </c>
      <c r="Y5" s="306">
        <v>0.16050852131187598</v>
      </c>
      <c r="Z5" s="306">
        <v>0</v>
      </c>
      <c r="AA5" s="306">
        <v>0</v>
      </c>
      <c r="AB5" s="312">
        <v>9.3725938168314666</v>
      </c>
      <c r="AC5" s="312">
        <v>32.054688746317247</v>
      </c>
      <c r="AD5" s="312">
        <v>35.630194004321076</v>
      </c>
      <c r="AE5" s="312">
        <v>0.34462688113088463</v>
      </c>
      <c r="AF5" s="312">
        <v>1.1080267142229734</v>
      </c>
      <c r="AG5" s="312">
        <v>0</v>
      </c>
      <c r="AH5" s="19">
        <v>1.4589579381731785E-2</v>
      </c>
      <c r="AI5" s="19">
        <v>120.02957245261827</v>
      </c>
      <c r="AJ5" s="19">
        <v>0</v>
      </c>
      <c r="AK5" s="19">
        <v>0</v>
      </c>
      <c r="AL5" s="19">
        <v>481.71249999999998</v>
      </c>
      <c r="AM5" s="19">
        <v>1.5357000000000001</v>
      </c>
      <c r="AN5" s="19"/>
      <c r="AO5" s="19"/>
      <c r="AP5" s="305">
        <v>0.44046045544155299</v>
      </c>
      <c r="AQ5">
        <v>9.9747470000000007</v>
      </c>
      <c r="AR5" s="342"/>
      <c r="AS5" s="346"/>
      <c r="AT5" s="305"/>
      <c r="AU5" s="312">
        <v>1042.6102839878572</v>
      </c>
      <c r="AV5" s="312">
        <v>1100.1973689902159</v>
      </c>
      <c r="AW5" s="312">
        <v>679.84430205028571</v>
      </c>
      <c r="AX5" s="312">
        <v>669.0325193970383</v>
      </c>
      <c r="AY5" s="333">
        <v>712.66726433328563</v>
      </c>
      <c r="AZ5">
        <v>1383.6124875837195</v>
      </c>
      <c r="BA5">
        <v>668.0470957348972</v>
      </c>
      <c r="BB5" s="48">
        <v>1566.2101392050317</v>
      </c>
      <c r="BC5" s="48">
        <v>685.48237100939639</v>
      </c>
      <c r="BD5" s="48">
        <v>34.586289606159319</v>
      </c>
      <c r="BE5" s="310">
        <v>0.98854138299139882</v>
      </c>
      <c r="BF5" s="310">
        <v>1.9858664394634049</v>
      </c>
      <c r="BG5" s="310">
        <v>3.4816495910062311</v>
      </c>
      <c r="BH5" s="310">
        <v>5.7813310499416977</v>
      </c>
      <c r="BI5" s="310">
        <v>11.92013150860352</v>
      </c>
      <c r="BJ5" s="305">
        <v>0.15112209970955034</v>
      </c>
      <c r="BK5" s="48">
        <v>0.14394900000000002</v>
      </c>
      <c r="BL5" s="48">
        <v>2803.3333333333298</v>
      </c>
      <c r="BM5" s="48">
        <v>1</v>
      </c>
      <c r="BN5" s="48">
        <v>0</v>
      </c>
      <c r="BO5" s="48">
        <v>1.9129658476363174</v>
      </c>
      <c r="BP5" s="314">
        <v>59.340915767256639</v>
      </c>
      <c r="BQ5" s="314">
        <v>62.79232845988593</v>
      </c>
      <c r="BR5" s="316">
        <v>420.10977235025928</v>
      </c>
      <c r="BS5" s="318">
        <v>7751.3561614204154</v>
      </c>
      <c r="BT5" s="188">
        <v>6481.8561614204154</v>
      </c>
      <c r="BU5" s="188">
        <v>6481.8561614204154</v>
      </c>
      <c r="BV5" s="48">
        <v>1269.5</v>
      </c>
      <c r="BW5" s="48">
        <v>50</v>
      </c>
      <c r="BX5" s="48">
        <v>49</v>
      </c>
      <c r="BY5" s="48">
        <v>43</v>
      </c>
      <c r="BZ5" s="48">
        <v>0</v>
      </c>
      <c r="CA5" s="71">
        <v>0</v>
      </c>
      <c r="CB5" s="321">
        <v>0</v>
      </c>
      <c r="CC5" s="321">
        <v>0</v>
      </c>
      <c r="CD5" s="321">
        <v>0</v>
      </c>
      <c r="CE5" s="321">
        <v>0</v>
      </c>
      <c r="CF5" s="321">
        <v>0</v>
      </c>
      <c r="CG5" s="42">
        <v>0</v>
      </c>
      <c r="CH5" s="42">
        <v>0</v>
      </c>
      <c r="CI5" s="42">
        <v>0</v>
      </c>
      <c r="CJ5" s="42">
        <v>0</v>
      </c>
      <c r="CK5" s="42">
        <v>0</v>
      </c>
      <c r="CL5" s="151" t="str">
        <f t="shared" ref="CL5:CL68" si="0">IF(AND(SUM(H5:T5)&gt;0.99*G5,SUM(H5:T5)&lt;1.01*G5),"OK","FAILURE")</f>
        <v>OK</v>
      </c>
      <c r="CM5" s="152" t="str">
        <f t="shared" ref="CM5:CM68" si="1">IF(AND(SUM(AB5:AG5)&gt;0.99*SUM(H5:M5),SUM(AB5:AG5)&lt;1.01*SUM(H5:M5)),"OK","FAILURE")</f>
        <v>OK</v>
      </c>
      <c r="CN5" s="153" t="str">
        <f t="shared" ref="CN5:CN68" si="2">IF(AND(SUM(AH5:AK5)&gt;0.99*G5,SUM(AH5:AK5)&lt;1.01*G5),"OK","FAILURE")</f>
        <v>OK</v>
      </c>
      <c r="CO5" s="327">
        <f t="shared" ref="CO5:CO68" si="3">(BS5-BT5)/3*2</f>
        <v>846.33333333333337</v>
      </c>
      <c r="CP5" s="328"/>
      <c r="CQ5" s="326"/>
      <c r="CR5" s="326"/>
      <c r="CS5" s="328">
        <v>600</v>
      </c>
      <c r="CT5" s="327">
        <v>3.7881290322580652</v>
      </c>
      <c r="CU5" s="327">
        <f>VLOOKUP(B5,Tabelle2!$AL$2:$AM$82,2,)</f>
        <v>3.7881290322580652</v>
      </c>
      <c r="CV5">
        <v>4</v>
      </c>
      <c r="CW5">
        <v>0.05</v>
      </c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N5" s="31"/>
      <c r="DO5" s="136"/>
      <c r="DP5" s="136"/>
      <c r="DQ5">
        <f t="shared" ref="DQ5:DQ68" si="4">B5</f>
        <v>600</v>
      </c>
      <c r="DY5" s="48"/>
      <c r="DZ5" s="48"/>
      <c r="EA5" s="48"/>
      <c r="EC5" s="61">
        <v>80.058036204263729</v>
      </c>
      <c r="ED5" s="27">
        <v>74.544686907801093</v>
      </c>
      <c r="EE5" s="27">
        <v>1.8037174907829669</v>
      </c>
      <c r="EG5" s="39" t="s">
        <v>682</v>
      </c>
      <c r="EH5" s="63">
        <v>600</v>
      </c>
      <c r="EI5" s="31">
        <v>1.8990404210526318E-2</v>
      </c>
      <c r="EJ5" s="31">
        <v>3.3878215559926414E-2</v>
      </c>
      <c r="EM5">
        <v>0</v>
      </c>
      <c r="EN5">
        <v>0</v>
      </c>
    </row>
    <row r="6" spans="1:144" ht="15">
      <c r="A6" s="39" t="s">
        <v>682</v>
      </c>
      <c r="B6" s="63">
        <v>610</v>
      </c>
      <c r="C6" s="63">
        <v>1050</v>
      </c>
      <c r="D6" s="63" t="s">
        <v>435</v>
      </c>
      <c r="E6" s="94" t="s">
        <v>428</v>
      </c>
      <c r="F6" s="135" t="s">
        <v>427</v>
      </c>
      <c r="G6" s="61">
        <v>19.8672520804</v>
      </c>
      <c r="H6" s="291">
        <v>1.752780067056519</v>
      </c>
      <c r="I6" s="291">
        <v>1.5400082399769104</v>
      </c>
      <c r="J6" s="291">
        <v>0.9582651773847265</v>
      </c>
      <c r="K6" s="291">
        <v>0.71626449911010803</v>
      </c>
      <c r="L6" s="291">
        <v>0.18239432293592542</v>
      </c>
      <c r="M6" s="291">
        <v>2.1189414816883612</v>
      </c>
      <c r="N6" s="291">
        <v>3.1229193398970843</v>
      </c>
      <c r="O6" s="300">
        <v>0</v>
      </c>
      <c r="P6" s="292">
        <v>9.3742355559541934</v>
      </c>
      <c r="Q6" s="291">
        <v>0</v>
      </c>
      <c r="R6" s="291">
        <v>0</v>
      </c>
      <c r="S6" s="291">
        <v>2.1360028366726601E-3</v>
      </c>
      <c r="T6" s="291">
        <v>9.93073935595018E-2</v>
      </c>
      <c r="U6" s="306">
        <v>21.144568049118931</v>
      </c>
      <c r="V6" s="136">
        <v>3.1567295852565711</v>
      </c>
      <c r="W6" s="306">
        <v>2.3334590247350322</v>
      </c>
      <c r="X6" s="136">
        <v>5</v>
      </c>
      <c r="Y6" s="306">
        <v>2.0892414907702099E-2</v>
      </c>
      <c r="Z6" s="306">
        <v>0</v>
      </c>
      <c r="AA6" s="306">
        <v>0</v>
      </c>
      <c r="AB6" s="312">
        <v>7.0383791894218612</v>
      </c>
      <c r="AC6" s="312">
        <v>6.4374516220083319E-2</v>
      </c>
      <c r="AD6" s="312">
        <v>0.16590008251060659</v>
      </c>
      <c r="AE6" s="312">
        <v>0</v>
      </c>
      <c r="AF6" s="312">
        <v>0</v>
      </c>
      <c r="AG6" s="312">
        <v>0</v>
      </c>
      <c r="AH6" s="19">
        <v>0</v>
      </c>
      <c r="AI6" s="19">
        <v>19.8672520804</v>
      </c>
      <c r="AJ6" s="19">
        <v>0</v>
      </c>
      <c r="AK6" s="19">
        <v>0</v>
      </c>
      <c r="AL6" s="19">
        <v>375.078947368</v>
      </c>
      <c r="AM6" s="19">
        <v>0.93340000000000001</v>
      </c>
      <c r="AN6" s="19"/>
      <c r="AO6" s="19"/>
      <c r="AP6" s="305">
        <v>0.37505172823482302</v>
      </c>
      <c r="AQ6" s="341">
        <v>10.407763157895999</v>
      </c>
      <c r="AR6" s="342"/>
      <c r="AS6" s="346"/>
      <c r="AT6" s="305"/>
      <c r="AU6" s="312">
        <v>891.58015561771424</v>
      </c>
      <c r="AV6" s="312">
        <v>894.97343737496465</v>
      </c>
      <c r="AW6" s="312">
        <v>581.80883483885714</v>
      </c>
      <c r="AX6" s="312">
        <v>555.4780580352766</v>
      </c>
      <c r="AY6" s="333">
        <v>728.09854431157146</v>
      </c>
      <c r="AZ6">
        <v>1437.9009191158336</v>
      </c>
      <c r="BA6">
        <v>658.62530691890697</v>
      </c>
      <c r="BB6" s="48">
        <v>1632.3544204605728</v>
      </c>
      <c r="BC6" s="48">
        <v>676.62491749829167</v>
      </c>
      <c r="BD6" s="48">
        <v>34.586289606159319</v>
      </c>
      <c r="BE6" s="310">
        <v>0.32376664646670977</v>
      </c>
      <c r="BF6" s="310">
        <v>0.96269052598908367</v>
      </c>
      <c r="BG6" s="310">
        <v>2.6556473136688141</v>
      </c>
      <c r="BH6" s="310">
        <v>6.3502203535451907</v>
      </c>
      <c r="BI6" s="310">
        <v>12.259720305579778</v>
      </c>
      <c r="BJ6" s="305">
        <v>8.9987972519790557E-2</v>
      </c>
      <c r="BK6" s="48">
        <v>9.873789999999999E-2</v>
      </c>
      <c r="BL6" s="48">
        <v>2385</v>
      </c>
      <c r="BM6" s="48">
        <v>1</v>
      </c>
      <c r="BN6" s="48">
        <v>0</v>
      </c>
      <c r="BO6" s="48">
        <v>0</v>
      </c>
      <c r="BP6" s="314">
        <v>59.498558041159811</v>
      </c>
      <c r="BQ6" s="314">
        <v>61.553549944825207</v>
      </c>
      <c r="BR6" s="316">
        <v>537.85887986194928</v>
      </c>
      <c r="BS6" s="318">
        <v>7419.1122683956364</v>
      </c>
      <c r="BT6" s="188">
        <v>6183.6122683956364</v>
      </c>
      <c r="BU6" s="188">
        <v>6183.6122683956364</v>
      </c>
      <c r="BV6" s="48">
        <v>1235.5</v>
      </c>
      <c r="BW6" s="48">
        <v>50</v>
      </c>
      <c r="BX6" s="48">
        <v>49</v>
      </c>
      <c r="BY6" s="48">
        <v>43</v>
      </c>
      <c r="BZ6" s="48">
        <v>0</v>
      </c>
      <c r="CA6" s="71">
        <v>0</v>
      </c>
      <c r="CB6" s="321">
        <v>0</v>
      </c>
      <c r="CC6" s="321">
        <v>0</v>
      </c>
      <c r="CD6" s="321">
        <v>0</v>
      </c>
      <c r="CE6" s="321">
        <v>0</v>
      </c>
      <c r="CF6" s="321">
        <v>0</v>
      </c>
      <c r="CG6" s="42">
        <v>0</v>
      </c>
      <c r="CH6" s="42">
        <v>0</v>
      </c>
      <c r="CI6" s="42">
        <v>0</v>
      </c>
      <c r="CJ6" s="42">
        <v>0</v>
      </c>
      <c r="CK6" s="42">
        <v>0</v>
      </c>
      <c r="CL6" s="151" t="str">
        <f t="shared" si="0"/>
        <v>OK</v>
      </c>
      <c r="CM6" s="152" t="str">
        <f t="shared" si="1"/>
        <v>OK</v>
      </c>
      <c r="CN6" s="153" t="str">
        <f t="shared" si="2"/>
        <v>OK</v>
      </c>
      <c r="CO6" s="327">
        <f t="shared" si="3"/>
        <v>823.66666666666663</v>
      </c>
      <c r="CP6" s="328"/>
      <c r="CQ6" s="326"/>
      <c r="CR6" s="326" t="e">
        <v>#N/A</v>
      </c>
      <c r="CS6" s="328">
        <v>610</v>
      </c>
      <c r="CT6" s="327">
        <v>4.209032258064517</v>
      </c>
      <c r="CU6" s="327">
        <f>VLOOKUP(B6,Tabelle2!$AL$2:$AM$82,2,)</f>
        <v>4.209032258064517</v>
      </c>
      <c r="CV6">
        <v>4</v>
      </c>
      <c r="CW6">
        <v>0.05</v>
      </c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N6" s="31"/>
      <c r="DO6" s="136" t="e">
        <v>#N/A</v>
      </c>
      <c r="DP6" s="136" t="e">
        <v>#N/A</v>
      </c>
      <c r="DQ6">
        <f t="shared" si="4"/>
        <v>610</v>
      </c>
      <c r="DY6" s="48"/>
      <c r="DZ6" s="48"/>
      <c r="EA6" s="48"/>
      <c r="EC6" s="61">
        <v>96.707642572439099</v>
      </c>
      <c r="ED6" s="27">
        <v>90.192226822819151</v>
      </c>
      <c r="EE6" s="27">
        <v>2.0865957760972353</v>
      </c>
      <c r="EG6" s="39" t="s">
        <v>682</v>
      </c>
      <c r="EH6" s="63">
        <v>610</v>
      </c>
      <c r="EI6" s="31">
        <v>1.5731031578947369E-2</v>
      </c>
      <c r="EJ6" s="31">
        <v>3.0533335472983442E-2</v>
      </c>
      <c r="EM6">
        <v>0</v>
      </c>
      <c r="EN6">
        <v>0</v>
      </c>
    </row>
    <row r="7" spans="1:144" ht="15">
      <c r="A7" s="39" t="s">
        <v>683</v>
      </c>
      <c r="B7" s="63">
        <v>620</v>
      </c>
      <c r="C7" s="63">
        <v>630</v>
      </c>
      <c r="D7" s="63" t="s">
        <v>435</v>
      </c>
      <c r="E7" s="94" t="s">
        <v>428</v>
      </c>
      <c r="F7" s="135" t="s">
        <v>427</v>
      </c>
      <c r="G7" s="61">
        <v>221.723280864</v>
      </c>
      <c r="H7" s="291">
        <v>3.3642346658569426</v>
      </c>
      <c r="I7" s="291">
        <v>3.7916759427393636</v>
      </c>
      <c r="J7" s="291">
        <v>2.4380968774848015</v>
      </c>
      <c r="K7" s="291">
        <v>2.1377186969748365</v>
      </c>
      <c r="L7" s="291">
        <v>2.8094340006454352</v>
      </c>
      <c r="M7" s="291">
        <v>60.289561859175407</v>
      </c>
      <c r="N7" s="291">
        <v>10.002101862355739</v>
      </c>
      <c r="O7" s="300">
        <v>0</v>
      </c>
      <c r="P7" s="292">
        <v>136.14508549873582</v>
      </c>
      <c r="Q7" s="291">
        <v>0</v>
      </c>
      <c r="R7" s="291">
        <v>0</v>
      </c>
      <c r="S7" s="291">
        <v>3.1711565212072103E-3</v>
      </c>
      <c r="T7" s="291">
        <v>0.74220030351046595</v>
      </c>
      <c r="U7" s="306">
        <v>247.614479240408</v>
      </c>
      <c r="V7" s="136">
        <v>2.5</v>
      </c>
      <c r="W7" s="306">
        <v>0</v>
      </c>
      <c r="X7" s="136">
        <v>0</v>
      </c>
      <c r="Y7" s="306">
        <v>0.123164105409446</v>
      </c>
      <c r="Z7" s="306">
        <v>0</v>
      </c>
      <c r="AA7" s="306">
        <v>0</v>
      </c>
      <c r="AB7" s="312">
        <v>19.428424701260646</v>
      </c>
      <c r="AC7" s="312">
        <v>39.97304288213104</v>
      </c>
      <c r="AD7" s="312">
        <v>11.479957261860422</v>
      </c>
      <c r="AE7" s="312">
        <v>2.5049460524003786</v>
      </c>
      <c r="AF7" s="312">
        <v>1.4443511452243034</v>
      </c>
      <c r="AG7" s="312">
        <v>0</v>
      </c>
      <c r="AH7" s="19">
        <v>21.324033254442437</v>
      </c>
      <c r="AI7" s="19">
        <v>191.83002004326212</v>
      </c>
      <c r="AJ7" s="19">
        <v>0</v>
      </c>
      <c r="AK7" s="19">
        <v>8.5692275662954689</v>
      </c>
      <c r="AL7" s="19">
        <v>590.15523465700005</v>
      </c>
      <c r="AM7" s="19">
        <v>2.9456000000000002</v>
      </c>
      <c r="AN7" s="19"/>
      <c r="AO7" s="19"/>
      <c r="AP7" s="305">
        <v>1.38201598465747</v>
      </c>
      <c r="AQ7" s="341">
        <v>9.7625342960289991</v>
      </c>
      <c r="AR7" s="351"/>
      <c r="AS7" s="346"/>
      <c r="AT7" s="305"/>
      <c r="AU7" s="312">
        <v>1354.7031345084285</v>
      </c>
      <c r="AV7" s="312">
        <v>1308.948711327706</v>
      </c>
      <c r="AW7" s="312">
        <v>839.28568670742868</v>
      </c>
      <c r="AX7" s="312">
        <v>767.12264725557645</v>
      </c>
      <c r="AY7" s="333">
        <v>696.72531473957144</v>
      </c>
      <c r="AZ7">
        <v>1142.4866883634083</v>
      </c>
      <c r="BA7">
        <v>709.91142534152982</v>
      </c>
      <c r="BB7" s="48">
        <v>1266.0541587696773</v>
      </c>
      <c r="BC7" s="48">
        <v>723.76838370559324</v>
      </c>
      <c r="BD7" s="48">
        <v>34.620392156862742</v>
      </c>
      <c r="BE7" s="310">
        <v>0.478088946627381</v>
      </c>
      <c r="BF7" s="310">
        <v>1.1369700144629633</v>
      </c>
      <c r="BG7" s="310">
        <v>2.531405950722776</v>
      </c>
      <c r="BH7" s="310">
        <v>5.7635315170522334</v>
      </c>
      <c r="BI7" s="310">
        <v>10.782720963887199</v>
      </c>
      <c r="BJ7" s="305">
        <v>0.19571614796781792</v>
      </c>
      <c r="BK7" s="48">
        <v>0.105548</v>
      </c>
      <c r="BL7" s="48">
        <v>4226.6666666666706</v>
      </c>
      <c r="BM7" s="48">
        <v>1</v>
      </c>
      <c r="BN7" s="48">
        <v>0</v>
      </c>
      <c r="BO7" s="48">
        <v>1.0793210748248181</v>
      </c>
      <c r="BP7" s="314">
        <v>53.783583959990857</v>
      </c>
      <c r="BQ7" s="314">
        <v>54.279262151877177</v>
      </c>
      <c r="BR7" s="316">
        <v>278.29621744770566</v>
      </c>
      <c r="BS7" s="318">
        <v>19982.308750214717</v>
      </c>
      <c r="BT7" s="188">
        <v>16701.975416881385</v>
      </c>
      <c r="BU7" s="188">
        <v>16701.975416881385</v>
      </c>
      <c r="BV7" s="48">
        <v>3280.333333333333</v>
      </c>
      <c r="BW7" s="48">
        <v>50</v>
      </c>
      <c r="BX7" s="48">
        <v>49</v>
      </c>
      <c r="BY7" s="48">
        <v>43</v>
      </c>
      <c r="BZ7" s="48">
        <v>0</v>
      </c>
      <c r="CA7" s="71">
        <v>0</v>
      </c>
      <c r="CB7" s="321">
        <v>0</v>
      </c>
      <c r="CC7" s="321">
        <v>0</v>
      </c>
      <c r="CD7" s="321">
        <v>0</v>
      </c>
      <c r="CE7" s="321">
        <v>0</v>
      </c>
      <c r="CF7" s="321">
        <v>0</v>
      </c>
      <c r="CG7" s="42">
        <v>0</v>
      </c>
      <c r="CH7" s="42">
        <v>0</v>
      </c>
      <c r="CI7" s="42">
        <v>0</v>
      </c>
      <c r="CJ7" s="42">
        <v>0</v>
      </c>
      <c r="CK7" s="42">
        <v>0</v>
      </c>
      <c r="CL7" s="151" t="str">
        <f t="shared" si="0"/>
        <v>OK</v>
      </c>
      <c r="CM7" s="152" t="str">
        <f t="shared" si="1"/>
        <v>OK</v>
      </c>
      <c r="CN7" s="153" t="str">
        <f t="shared" si="2"/>
        <v>OK</v>
      </c>
      <c r="CO7" s="327">
        <f t="shared" si="3"/>
        <v>2186.8888888888882</v>
      </c>
      <c r="CP7" s="328"/>
      <c r="CQ7" s="326"/>
      <c r="CR7" s="326" t="e">
        <v>#N/A</v>
      </c>
      <c r="CS7" s="328">
        <v>620</v>
      </c>
      <c r="CT7" s="327">
        <v>1.974</v>
      </c>
      <c r="CU7" s="327">
        <f>VLOOKUP(B7,Tabelle2!$AL$2:$AM$82,2,)</f>
        <v>1.974</v>
      </c>
      <c r="CV7">
        <v>4</v>
      </c>
      <c r="CW7">
        <v>0.05</v>
      </c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N7" s="31"/>
      <c r="DO7" s="136" t="e">
        <v>#N/A</v>
      </c>
      <c r="DP7" s="136" t="e">
        <v>#N/A</v>
      </c>
      <c r="DQ7">
        <f t="shared" si="4"/>
        <v>620</v>
      </c>
      <c r="DY7" s="48"/>
      <c r="DZ7" s="48"/>
      <c r="EA7" s="48"/>
      <c r="EC7" s="61">
        <v>168.58855651227901</v>
      </c>
      <c r="ED7" s="27">
        <v>162.38147849720158</v>
      </c>
      <c r="EE7" s="27">
        <v>2.2243255193901255</v>
      </c>
      <c r="EG7" s="39" t="s">
        <v>683</v>
      </c>
      <c r="EH7" s="63">
        <v>620</v>
      </c>
      <c r="EI7" s="31">
        <v>1.4726631578947371E-2</v>
      </c>
      <c r="EJ7" s="31">
        <v>2.9333456716137636E-2</v>
      </c>
      <c r="EM7">
        <v>2</v>
      </c>
      <c r="EN7">
        <v>2</v>
      </c>
    </row>
    <row r="8" spans="1:144" ht="15">
      <c r="A8" s="39" t="s">
        <v>684</v>
      </c>
      <c r="B8" s="63">
        <v>630</v>
      </c>
      <c r="C8" s="63">
        <v>1050</v>
      </c>
      <c r="D8" s="63" t="s">
        <v>435</v>
      </c>
      <c r="E8" s="94" t="s">
        <v>428</v>
      </c>
      <c r="F8" s="135" t="s">
        <v>427</v>
      </c>
      <c r="G8" s="61">
        <v>228.65300675500001</v>
      </c>
      <c r="H8" s="291">
        <v>10.047514333117778</v>
      </c>
      <c r="I8" s="291">
        <v>11.586142387469806</v>
      </c>
      <c r="J8" s="291">
        <v>8.0829757032540019</v>
      </c>
      <c r="K8" s="291">
        <v>11.163289372610842</v>
      </c>
      <c r="L8" s="291">
        <v>5.0088358650277272</v>
      </c>
      <c r="M8" s="291">
        <v>83.978572863441073</v>
      </c>
      <c r="N8" s="291">
        <v>14.884308055815719</v>
      </c>
      <c r="O8" s="300">
        <v>0</v>
      </c>
      <c r="P8" s="292">
        <v>72.531978824306506</v>
      </c>
      <c r="Q8" s="291">
        <v>0</v>
      </c>
      <c r="R8" s="291">
        <v>0</v>
      </c>
      <c r="S8" s="291">
        <v>0.108653141006519</v>
      </c>
      <c r="T8" s="291">
        <v>11.260736208950009</v>
      </c>
      <c r="U8" s="306">
        <v>418.42328532639596</v>
      </c>
      <c r="V8" s="136">
        <v>3.0365495653879839</v>
      </c>
      <c r="W8" s="306">
        <v>0</v>
      </c>
      <c r="X8" s="136">
        <v>0</v>
      </c>
      <c r="Y8" s="306">
        <v>9.9901731637439291</v>
      </c>
      <c r="Z8" s="306">
        <v>0</v>
      </c>
      <c r="AA8" s="306">
        <v>0</v>
      </c>
      <c r="AB8" s="312">
        <v>30.955490692328574</v>
      </c>
      <c r="AC8" s="312">
        <v>54.18476158057225</v>
      </c>
      <c r="AD8" s="312">
        <v>39.301154332030272</v>
      </c>
      <c r="AE8" s="312">
        <v>8.6879728470563453E-2</v>
      </c>
      <c r="AF8" s="312">
        <v>5.32834262804238</v>
      </c>
      <c r="AG8" s="312">
        <v>1.0701563477189967E-2</v>
      </c>
      <c r="AH8" s="19">
        <v>49.639584375500895</v>
      </c>
      <c r="AI8" s="19">
        <v>168.92435394001194</v>
      </c>
      <c r="AJ8" s="19">
        <v>0</v>
      </c>
      <c r="AK8" s="19">
        <v>10.089068439487169</v>
      </c>
      <c r="AL8" s="19">
        <v>507.98344370900003</v>
      </c>
      <c r="AM8" s="19">
        <v>2.3117000000000001</v>
      </c>
      <c r="AN8" s="19"/>
      <c r="AO8" s="19"/>
      <c r="AP8" s="342">
        <v>4.6169000000000002</v>
      </c>
      <c r="AQ8">
        <v>10.428283</v>
      </c>
      <c r="AR8" s="351">
        <v>337.92575466406788</v>
      </c>
      <c r="AS8" s="346">
        <v>307.205231512789</v>
      </c>
      <c r="AT8" s="249">
        <v>12.165444532178199</v>
      </c>
      <c r="AU8" s="312">
        <v>1148.6348605750002</v>
      </c>
      <c r="AV8" s="312">
        <v>1163.6565320173775</v>
      </c>
      <c r="AW8" s="312">
        <v>740.74192088171435</v>
      </c>
      <c r="AX8" s="312">
        <v>706.17048644844613</v>
      </c>
      <c r="AY8" s="333">
        <v>711.82339732328569</v>
      </c>
      <c r="AZ8">
        <v>1257.9187660363082</v>
      </c>
      <c r="BA8">
        <v>705.29655053946374</v>
      </c>
      <c r="BB8" s="48">
        <v>1425.3340436683691</v>
      </c>
      <c r="BC8" s="48">
        <v>731.68432436027251</v>
      </c>
      <c r="BD8" s="48">
        <v>34.620392156862742</v>
      </c>
      <c r="BE8" s="310">
        <v>0.44353570289031014</v>
      </c>
      <c r="BF8" s="310">
        <v>0.99874255947999002</v>
      </c>
      <c r="BG8" s="310">
        <v>2.6990261030034488</v>
      </c>
      <c r="BH8" s="310">
        <v>6.0244283706710808</v>
      </c>
      <c r="BI8" s="310">
        <v>9.8642324467768603</v>
      </c>
      <c r="BJ8" s="305">
        <v>0.15581700537139365</v>
      </c>
      <c r="BK8" s="48">
        <v>0.11715399999999999</v>
      </c>
      <c r="BL8" s="48">
        <v>4542.5</v>
      </c>
      <c r="BM8" s="48">
        <v>1</v>
      </c>
      <c r="BN8" s="48">
        <v>0</v>
      </c>
      <c r="BO8" s="48">
        <v>2.5245284521661091</v>
      </c>
      <c r="BP8" s="314">
        <v>54.861153345351774</v>
      </c>
      <c r="BQ8" s="314">
        <v>60.194670182538303</v>
      </c>
      <c r="BR8" s="316">
        <v>375.13756350135515</v>
      </c>
      <c r="BS8" s="318">
        <v>32855.809680250226</v>
      </c>
      <c r="BT8" s="188">
        <v>27499.309680250226</v>
      </c>
      <c r="BU8" s="188">
        <v>27499.309680250226</v>
      </c>
      <c r="BV8" s="48">
        <v>5356.5</v>
      </c>
      <c r="BW8" s="48">
        <v>50</v>
      </c>
      <c r="BX8" s="48">
        <v>49</v>
      </c>
      <c r="BY8" s="48">
        <v>43</v>
      </c>
      <c r="BZ8" s="48">
        <v>0</v>
      </c>
      <c r="CA8" s="71">
        <v>0</v>
      </c>
      <c r="CB8" s="321">
        <v>0.12142495777312701</v>
      </c>
      <c r="CC8" s="321">
        <v>0</v>
      </c>
      <c r="CD8" s="321">
        <v>0</v>
      </c>
      <c r="CE8" s="321">
        <v>45.218196833333337</v>
      </c>
      <c r="CF8" s="321">
        <v>2.7975053333333326</v>
      </c>
      <c r="CG8" s="42">
        <v>0</v>
      </c>
      <c r="CH8" s="42">
        <v>0</v>
      </c>
      <c r="CI8" s="42">
        <v>0</v>
      </c>
      <c r="CJ8" s="42">
        <v>0</v>
      </c>
      <c r="CK8" s="42">
        <v>0</v>
      </c>
      <c r="CL8" s="151" t="str">
        <f t="shared" si="0"/>
        <v>OK</v>
      </c>
      <c r="CM8" s="152" t="str">
        <f t="shared" si="1"/>
        <v>OK</v>
      </c>
      <c r="CN8" s="153" t="str">
        <f t="shared" si="2"/>
        <v>OK</v>
      </c>
      <c r="CO8" s="327">
        <f t="shared" si="3"/>
        <v>3571</v>
      </c>
      <c r="CP8" s="328"/>
      <c r="CQ8" s="326">
        <v>4.7597707995360201</v>
      </c>
      <c r="CR8" s="326">
        <v>1212.1146622472077</v>
      </c>
      <c r="CS8" s="328">
        <v>630</v>
      </c>
      <c r="CT8" s="327">
        <v>2.7840909090909092</v>
      </c>
      <c r="CU8" s="327">
        <f>VLOOKUP(B8,Tabelle2!$AL$2:$AM$82,2,)</f>
        <v>2.7840909090909092</v>
      </c>
      <c r="CV8">
        <v>4</v>
      </c>
      <c r="CW8">
        <v>0.05</v>
      </c>
      <c r="CY8" s="147">
        <f>VLOOKUP($B8,Tabelle2!$J$3:$W$38,3,)</f>
        <v>22.713333333333335</v>
      </c>
      <c r="CZ8" s="147">
        <f>VLOOKUP($B8,Tabelle2!$J$3:$W$38,4,)</f>
        <v>32.599999999999994</v>
      </c>
      <c r="DA8" s="147">
        <f>VLOOKUP($B8,Tabelle2!$J$3:$W$38,5,)</f>
        <v>6.0842696629213502E-2</v>
      </c>
      <c r="DB8" s="147">
        <f>VLOOKUP($B8,Tabelle2!$J$3:$W$38,6,)</f>
        <v>0.11</v>
      </c>
      <c r="DC8" s="147">
        <f>VLOOKUP($B8,Tabelle2!$J$3:$W$38,7,)</f>
        <v>3.4674157303370777E-2</v>
      </c>
      <c r="DD8" s="147">
        <f>VLOOKUP($B8,Tabelle2!$J$3:$W$38,8,)</f>
        <v>5.3800000000000008E-2</v>
      </c>
      <c r="DE8" s="147">
        <f>VLOOKUP($B8,Tabelle2!$J$3:$W$38,9,)</f>
        <v>1.0544943820224726E-2</v>
      </c>
      <c r="DF8" s="147">
        <f>VLOOKUP($B8,Tabelle2!$J$3:$W$38,10,)</f>
        <v>1.6E-2</v>
      </c>
      <c r="DG8" s="147">
        <f>VLOOKUP($B8,Tabelle2!$J$3:$W$38,11,)</f>
        <v>1.7539325842696625</v>
      </c>
      <c r="DH8" s="147">
        <f>VLOOKUP($B8,Tabelle2!$J$3:$W$38,12,)</f>
        <v>2.1200000000000006</v>
      </c>
      <c r="DI8" s="147">
        <f>VLOOKUP($B8,Tabelle2!$J$3:$W$38,13,)</f>
        <v>4.0842696629213478E-2</v>
      </c>
      <c r="DJ8" s="147">
        <f>VLOOKUP($B8,Tabelle2!$J$3:$W$38,14,)</f>
        <v>8.600000000000009E-2</v>
      </c>
      <c r="DK8" s="147">
        <f>DI8+DG8+DE8</f>
        <v>1.8053202247191007</v>
      </c>
      <c r="DL8" s="147">
        <f>DJ8+DH8+DF8</f>
        <v>2.2220000000000009</v>
      </c>
      <c r="DN8" s="31"/>
      <c r="DO8" s="146" t="e">
        <f>DS8</f>
        <v>#N/A</v>
      </c>
      <c r="DP8" s="136">
        <v>1212.1146622472077</v>
      </c>
      <c r="DQ8">
        <f t="shared" si="4"/>
        <v>630</v>
      </c>
      <c r="DR8" s="147" t="e">
        <f>VLOOKUP(B8,Tabelle2!AC$2:AJ$73,3,)</f>
        <v>#N/A</v>
      </c>
      <c r="DS8" s="147" t="e">
        <f>VLOOKUP($B8,Tabelle2!$AC$2:$AJ$73,4,)</f>
        <v>#N/A</v>
      </c>
      <c r="DT8" s="147" t="e">
        <f>VLOOKUP($B8,Tabelle2!$AC$2:$AJ$73,5,)</f>
        <v>#N/A</v>
      </c>
      <c r="DU8" s="147" t="e">
        <f>VLOOKUP($B8,Tabelle2!$AC$2:$AJ$73,6,)</f>
        <v>#N/A</v>
      </c>
      <c r="DV8" s="147" t="e">
        <f>VLOOKUP($B8,Tabelle2!$AC$2:$AJ$73,7,)</f>
        <v>#N/A</v>
      </c>
      <c r="DW8" s="147" t="e">
        <f>VLOOKUP($B8,Tabelle2!$AC$2:$AJ$73,8,)</f>
        <v>#N/A</v>
      </c>
      <c r="DY8" s="48"/>
      <c r="DZ8" s="48" t="e">
        <f>DW8</f>
        <v>#N/A</v>
      </c>
      <c r="EA8" s="48">
        <v>9.68</v>
      </c>
      <c r="EC8" s="61">
        <v>304.11228299902905</v>
      </c>
      <c r="ED8" s="27">
        <v>278.22032066590123</v>
      </c>
      <c r="EE8" s="27">
        <v>13.723072131665555</v>
      </c>
      <c r="EG8" s="39" t="s">
        <v>684</v>
      </c>
      <c r="EH8" s="63">
        <v>630</v>
      </c>
      <c r="EI8" s="31">
        <v>2.4476735263157894E-2</v>
      </c>
      <c r="EJ8" s="31">
        <v>0.10050086055517193</v>
      </c>
      <c r="EM8">
        <v>1</v>
      </c>
      <c r="EN8">
        <v>0</v>
      </c>
    </row>
    <row r="9" spans="1:144" ht="15">
      <c r="A9" s="283" t="s">
        <v>685</v>
      </c>
      <c r="B9" s="284">
        <v>640</v>
      </c>
      <c r="C9" s="63">
        <v>650</v>
      </c>
      <c r="D9" s="63" t="s">
        <v>435</v>
      </c>
      <c r="E9" s="94" t="s">
        <v>428</v>
      </c>
      <c r="F9" s="135" t="s">
        <v>427</v>
      </c>
      <c r="G9" s="61">
        <v>43.323729148699996</v>
      </c>
      <c r="H9" s="291">
        <v>0.32078891493903311</v>
      </c>
      <c r="I9" s="291">
        <v>0.76560555203429559</v>
      </c>
      <c r="J9" s="291">
        <v>0.80779592035278058</v>
      </c>
      <c r="K9" s="291">
        <v>2.0943149949291073</v>
      </c>
      <c r="L9" s="291">
        <v>3.7410138516404285</v>
      </c>
      <c r="M9" s="291">
        <v>9.3391779639679626</v>
      </c>
      <c r="N9" s="291">
        <v>1.9778005523918791</v>
      </c>
      <c r="O9" s="300">
        <v>0</v>
      </c>
      <c r="P9" s="292">
        <v>24.068166992821837</v>
      </c>
      <c r="Q9" s="291">
        <v>0</v>
      </c>
      <c r="R9" s="291">
        <v>0</v>
      </c>
      <c r="S9" s="291">
        <v>5.4785871200613602E-3</v>
      </c>
      <c r="T9" s="291">
        <v>0.20358581850260699</v>
      </c>
      <c r="U9" s="306">
        <v>71.415894853564396</v>
      </c>
      <c r="V9" s="136">
        <v>2.5</v>
      </c>
      <c r="W9" s="306">
        <v>0</v>
      </c>
      <c r="X9" s="136">
        <v>0</v>
      </c>
      <c r="Y9" s="306">
        <v>2.5046081368695999E-2</v>
      </c>
      <c r="Z9" s="306">
        <v>0</v>
      </c>
      <c r="AA9" s="306">
        <v>0</v>
      </c>
      <c r="AB9" s="312">
        <v>5.548014293175501</v>
      </c>
      <c r="AC9" s="312">
        <v>6.3203778237498263</v>
      </c>
      <c r="AD9" s="312">
        <v>4.5670788543312533</v>
      </c>
      <c r="AE9" s="312">
        <v>0</v>
      </c>
      <c r="AF9" s="312">
        <v>0.63322622660702432</v>
      </c>
      <c r="AG9" s="312">
        <v>0</v>
      </c>
      <c r="AH9" s="19">
        <v>0</v>
      </c>
      <c r="AI9" s="19">
        <v>43.323729148699996</v>
      </c>
      <c r="AJ9" s="19">
        <v>0</v>
      </c>
      <c r="AK9" s="19">
        <v>0</v>
      </c>
      <c r="AL9" s="19">
        <v>529.797297297</v>
      </c>
      <c r="AM9" s="19">
        <v>1.8583000000000001</v>
      </c>
      <c r="AN9" s="19"/>
      <c r="AO9" s="19"/>
      <c r="AP9" s="305">
        <v>0.52182466627041502</v>
      </c>
      <c r="AQ9" s="341">
        <v>9.6027777777777796</v>
      </c>
      <c r="AR9" s="351"/>
      <c r="AS9" s="347"/>
      <c r="AT9" s="349"/>
      <c r="AU9" s="312">
        <v>1200.1252504322856</v>
      </c>
      <c r="AV9" s="312">
        <v>1145.1958940919469</v>
      </c>
      <c r="AW9" s="312">
        <v>767.97145417457148</v>
      </c>
      <c r="AX9" s="312">
        <v>683.00739149456638</v>
      </c>
      <c r="AY9" s="333">
        <v>704.08683761642862</v>
      </c>
      <c r="AZ9">
        <v>1239.0936535245144</v>
      </c>
      <c r="BA9">
        <v>693.13808300768403</v>
      </c>
      <c r="BB9" s="48">
        <v>1386.4177894426878</v>
      </c>
      <c r="BC9" s="48">
        <v>708.82038705601633</v>
      </c>
      <c r="BD9" s="48">
        <v>34.657822218722941</v>
      </c>
      <c r="BE9" s="310">
        <v>0.95812580929045177</v>
      </c>
      <c r="BF9" s="310">
        <v>1.4841361136063604</v>
      </c>
      <c r="BG9" s="310">
        <v>2.9555047410683293</v>
      </c>
      <c r="BH9" s="310">
        <v>7.216230627617005</v>
      </c>
      <c r="BI9" s="310">
        <v>6.2870817249806175</v>
      </c>
      <c r="BJ9" s="305">
        <v>0.16919394737109386</v>
      </c>
      <c r="BK9" s="48">
        <v>0.11321200000000001</v>
      </c>
      <c r="BL9" s="48">
        <v>3355</v>
      </c>
      <c r="BM9" s="48">
        <v>1</v>
      </c>
      <c r="BN9" s="48">
        <v>0</v>
      </c>
      <c r="BO9" s="48">
        <v>0.71305301188104009</v>
      </c>
      <c r="BP9" s="314">
        <v>55.275233076255937</v>
      </c>
      <c r="BQ9" s="314">
        <v>55.938647182431509</v>
      </c>
      <c r="BR9" s="316">
        <v>379.95768626357136</v>
      </c>
      <c r="BS9" s="318">
        <v>2425.4338021780336</v>
      </c>
      <c r="BT9" s="188">
        <v>1926.7471355113671</v>
      </c>
      <c r="BU9" s="188">
        <v>1926.7471355113671</v>
      </c>
      <c r="BV9" s="48">
        <v>498.68666666666661</v>
      </c>
      <c r="BW9" s="48">
        <v>50</v>
      </c>
      <c r="BX9" s="48">
        <v>32</v>
      </c>
      <c r="BY9" s="48">
        <v>43</v>
      </c>
      <c r="BZ9" s="48">
        <v>0</v>
      </c>
      <c r="CA9" s="71">
        <v>0</v>
      </c>
      <c r="CB9" s="321">
        <v>3.729172744376797E-3</v>
      </c>
      <c r="CC9" s="321">
        <v>0.22066666666666668</v>
      </c>
      <c r="CD9" s="321">
        <v>8.1068000000000001E-2</v>
      </c>
      <c r="CE9" s="321">
        <v>0</v>
      </c>
      <c r="CF9" s="321">
        <v>0</v>
      </c>
      <c r="CG9" s="42">
        <v>0</v>
      </c>
      <c r="CH9" s="42">
        <v>0</v>
      </c>
      <c r="CI9" s="42">
        <v>0</v>
      </c>
      <c r="CJ9" s="42">
        <v>0</v>
      </c>
      <c r="CK9" s="42">
        <v>0</v>
      </c>
      <c r="CL9" s="151" t="str">
        <f t="shared" si="0"/>
        <v>OK</v>
      </c>
      <c r="CM9" s="152" t="str">
        <f t="shared" si="1"/>
        <v>OK</v>
      </c>
      <c r="CN9" s="153" t="str">
        <f t="shared" si="2"/>
        <v>OK</v>
      </c>
      <c r="CO9" s="327">
        <f t="shared" si="3"/>
        <v>332.45777777777766</v>
      </c>
      <c r="CP9" s="328"/>
      <c r="CQ9" s="326"/>
      <c r="CR9" s="326">
        <v>50.053800779142207</v>
      </c>
      <c r="CS9" s="328">
        <v>640</v>
      </c>
      <c r="CT9" s="327">
        <v>3.314838709677419</v>
      </c>
      <c r="CU9" s="327">
        <f>VLOOKUP(B9,Tabelle2!$AL$2:$AM$82,2,)</f>
        <v>3.314838709677419</v>
      </c>
      <c r="CV9">
        <v>4</v>
      </c>
      <c r="CW9">
        <v>0.05</v>
      </c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N9" s="31"/>
      <c r="DO9" s="136">
        <v>0.28479473738945865</v>
      </c>
      <c r="DP9" s="136">
        <v>50.053800779142207</v>
      </c>
      <c r="DQ9">
        <f t="shared" si="4"/>
        <v>640</v>
      </c>
      <c r="DR9" s="147"/>
      <c r="DS9" s="147"/>
      <c r="DT9" s="147"/>
      <c r="DU9" s="147"/>
      <c r="DV9" s="147"/>
      <c r="DW9" s="147"/>
      <c r="DY9" s="48"/>
      <c r="DZ9" s="48">
        <v>45.074164716219279</v>
      </c>
      <c r="EA9" s="48">
        <v>0.49999114150939583</v>
      </c>
      <c r="EC9" s="61">
        <v>39.853165537661077</v>
      </c>
      <c r="ED9" s="27">
        <v>37.988965456688739</v>
      </c>
      <c r="EE9" s="27">
        <v>1.0455074161924323</v>
      </c>
      <c r="EG9" s="39" t="s">
        <v>685</v>
      </c>
      <c r="EH9" s="63">
        <v>640</v>
      </c>
      <c r="EI9" s="31">
        <v>1.2095873684210523E-2</v>
      </c>
      <c r="EJ9" s="31">
        <v>3.8926426665298719E-2</v>
      </c>
      <c r="EM9">
        <v>0</v>
      </c>
      <c r="EN9">
        <v>0</v>
      </c>
    </row>
    <row r="10" spans="1:144" ht="15">
      <c r="A10" s="283" t="s">
        <v>686</v>
      </c>
      <c r="B10" s="284">
        <v>650</v>
      </c>
      <c r="C10" s="63">
        <v>1050</v>
      </c>
      <c r="D10" s="63" t="s">
        <v>435</v>
      </c>
      <c r="E10" s="94" t="s">
        <v>428</v>
      </c>
      <c r="F10" s="135" t="s">
        <v>427</v>
      </c>
      <c r="G10" s="61">
        <v>270.25515082099997</v>
      </c>
      <c r="H10" s="291">
        <v>4.7474367941310867</v>
      </c>
      <c r="I10" s="291">
        <v>12.449310374483781</v>
      </c>
      <c r="J10" s="291">
        <v>16.607542435061436</v>
      </c>
      <c r="K10" s="291">
        <v>29.923570708051361</v>
      </c>
      <c r="L10" s="291">
        <v>36.089314181649343</v>
      </c>
      <c r="M10" s="291">
        <v>67.379143488941921</v>
      </c>
      <c r="N10" s="291">
        <v>14.2814489172934</v>
      </c>
      <c r="O10" s="300">
        <v>0</v>
      </c>
      <c r="P10" s="292">
        <v>86.956272791401389</v>
      </c>
      <c r="Q10" s="291">
        <v>0</v>
      </c>
      <c r="R10" s="291">
        <v>0</v>
      </c>
      <c r="S10" s="291">
        <v>2.59375862022881E-3</v>
      </c>
      <c r="T10" s="291">
        <v>1.8185173713660778</v>
      </c>
      <c r="U10" s="306">
        <v>477.74841849527701</v>
      </c>
      <c r="V10" s="136">
        <v>3.3325699556349653</v>
      </c>
      <c r="W10" s="306">
        <v>0</v>
      </c>
      <c r="X10" s="136">
        <v>0</v>
      </c>
      <c r="Y10" s="306">
        <v>0.22638734553659801</v>
      </c>
      <c r="Z10" s="306">
        <v>0</v>
      </c>
      <c r="AA10" s="306">
        <v>0</v>
      </c>
      <c r="AB10" s="312">
        <v>49.946352617646546</v>
      </c>
      <c r="AC10" s="312">
        <v>52.210356385371398</v>
      </c>
      <c r="AD10" s="312">
        <v>61.045118283726197</v>
      </c>
      <c r="AE10" s="312">
        <v>3.6870901588996219</v>
      </c>
      <c r="AF10" s="312">
        <v>0.30740053667518336</v>
      </c>
      <c r="AG10" s="312">
        <v>0</v>
      </c>
      <c r="AH10" s="19">
        <v>0.76269708346936727</v>
      </c>
      <c r="AI10" s="19">
        <v>269.49245373753064</v>
      </c>
      <c r="AJ10" s="19">
        <v>0</v>
      </c>
      <c r="AK10" s="19">
        <v>0</v>
      </c>
      <c r="AL10" s="19">
        <v>493.45980707400003</v>
      </c>
      <c r="AM10" s="19">
        <v>2.2604000000000002</v>
      </c>
      <c r="AN10" s="19"/>
      <c r="AO10" s="19"/>
      <c r="AP10" s="305">
        <v>4.1088634645397102</v>
      </c>
      <c r="AQ10">
        <v>11.458586</v>
      </c>
      <c r="AR10" s="351">
        <v>483.14666988690192</v>
      </c>
      <c r="AS10" s="346">
        <v>439.224245351729</v>
      </c>
      <c r="AT10" s="249">
        <v>12.1096039547683</v>
      </c>
      <c r="AU10" s="312">
        <v>1093.1758532561428</v>
      </c>
      <c r="AV10" s="312">
        <v>1075.4907023497942</v>
      </c>
      <c r="AW10" s="312">
        <v>700.26404252542852</v>
      </c>
      <c r="AX10" s="312">
        <v>637.20329595068779</v>
      </c>
      <c r="AY10" s="333">
        <v>711.89128724757154</v>
      </c>
      <c r="AZ10">
        <v>1244.1174314166251</v>
      </c>
      <c r="BA10">
        <v>692.26587518454789</v>
      </c>
      <c r="BB10" s="48">
        <v>1392.5707394620933</v>
      </c>
      <c r="BC10" s="48">
        <v>708.04248228951224</v>
      </c>
      <c r="BD10" s="48">
        <v>34.657822218722941</v>
      </c>
      <c r="BE10" s="310">
        <v>1.0977963318650164</v>
      </c>
      <c r="BF10" s="310">
        <v>2.2808482551181002</v>
      </c>
      <c r="BG10" s="310">
        <v>4.7529299917283856</v>
      </c>
      <c r="BH10" s="310">
        <v>9.3902693631962517</v>
      </c>
      <c r="BI10" s="310">
        <v>13.640455043959049</v>
      </c>
      <c r="BJ10" s="305">
        <v>0.235829594118805</v>
      </c>
      <c r="BK10" s="48">
        <v>0.13802199999999998</v>
      </c>
      <c r="BL10" s="48">
        <v>4217.5</v>
      </c>
      <c r="BM10" s="48">
        <v>1</v>
      </c>
      <c r="BN10" s="48">
        <v>0</v>
      </c>
      <c r="BO10" s="48">
        <v>17.949487544637712</v>
      </c>
      <c r="BP10" s="314">
        <v>57.037741743148707</v>
      </c>
      <c r="BQ10" s="314">
        <v>57.730673841097627</v>
      </c>
      <c r="BR10" s="316">
        <v>432.80614294027743</v>
      </c>
      <c r="BS10" s="318">
        <v>19889.526531374966</v>
      </c>
      <c r="BT10" s="188">
        <v>15776.239864708299</v>
      </c>
      <c r="BU10" s="188">
        <v>15776.239864708299</v>
      </c>
      <c r="BV10" s="48">
        <v>4113.2866666666669</v>
      </c>
      <c r="BW10" s="48">
        <v>50</v>
      </c>
      <c r="BX10" s="48">
        <v>32</v>
      </c>
      <c r="BY10" s="48">
        <v>43</v>
      </c>
      <c r="BZ10" s="48">
        <v>0</v>
      </c>
      <c r="CA10" s="71">
        <v>0</v>
      </c>
      <c r="CB10" s="321">
        <v>8.0900085968769381E-2</v>
      </c>
      <c r="CC10" s="321">
        <v>0</v>
      </c>
      <c r="CD10" s="321">
        <v>0</v>
      </c>
      <c r="CE10" s="321">
        <v>6.007641374666667</v>
      </c>
      <c r="CF10" s="321">
        <v>1.9921928133333333</v>
      </c>
      <c r="CG10" s="42">
        <v>0</v>
      </c>
      <c r="CH10" s="42">
        <v>0</v>
      </c>
      <c r="CI10" s="42">
        <v>0</v>
      </c>
      <c r="CJ10" s="42">
        <v>0</v>
      </c>
      <c r="CK10" s="42">
        <v>0</v>
      </c>
      <c r="CL10" s="151" t="str">
        <f t="shared" si="0"/>
        <v>OK</v>
      </c>
      <c r="CM10" s="152" t="str">
        <f t="shared" si="1"/>
        <v>OK</v>
      </c>
      <c r="CN10" s="153" t="str">
        <f t="shared" si="2"/>
        <v>OK</v>
      </c>
      <c r="CO10" s="327">
        <f t="shared" si="3"/>
        <v>2742.1911111111112</v>
      </c>
      <c r="CP10" s="328"/>
      <c r="CQ10" s="326">
        <v>7.5805375680351199</v>
      </c>
      <c r="CR10" s="326">
        <v>569.87262293640822</v>
      </c>
      <c r="CS10" s="328">
        <v>650</v>
      </c>
      <c r="CT10" s="327">
        <v>3.0136129032258063</v>
      </c>
      <c r="CU10" s="327">
        <f>VLOOKUP(B10,Tabelle2!$AL$2:$AM$82,2,)</f>
        <v>3.0136129032258063</v>
      </c>
      <c r="CV10">
        <v>4</v>
      </c>
      <c r="CW10">
        <v>0.05</v>
      </c>
      <c r="CY10" s="147">
        <f>VLOOKUP($B10,Tabelle2!$J$3:$W$38,3,)</f>
        <v>4.6363636363636367</v>
      </c>
      <c r="CZ10" s="147">
        <f>VLOOKUP($B10,Tabelle2!$J$3:$W$38,4,)</f>
        <v>11</v>
      </c>
      <c r="DA10" s="147">
        <f>VLOOKUP($B10,Tabelle2!$J$3:$W$38,5,)</f>
        <v>6.9741573033707885E-2</v>
      </c>
      <c r="DB10" s="147">
        <f>VLOOKUP($B10,Tabelle2!$J$3:$W$38,6,)</f>
        <v>0.12</v>
      </c>
      <c r="DC10" s="147">
        <f>VLOOKUP($B10,Tabelle2!$J$3:$W$38,7,)</f>
        <v>4.5584269662921333E-2</v>
      </c>
      <c r="DD10" s="147">
        <f>VLOOKUP($B10,Tabelle2!$J$3:$W$38,8,)</f>
        <v>7.0999999999999994E-2</v>
      </c>
      <c r="DE10" s="147">
        <f>VLOOKUP($B10,Tabelle2!$J$3:$W$38,9,)</f>
        <v>6.9269662921348342E-3</v>
      </c>
      <c r="DF10" s="147">
        <f>VLOOKUP($B10,Tabelle2!$J$3:$W$38,10,)</f>
        <v>1.2E-2</v>
      </c>
      <c r="DG10" s="147">
        <f>VLOOKUP($B10,Tabelle2!$J$3:$W$38,11,)</f>
        <v>2.9966292134831467</v>
      </c>
      <c r="DH10" s="147">
        <f>VLOOKUP($B10,Tabelle2!$J$3:$W$38,12,)</f>
        <v>3.5</v>
      </c>
      <c r="DI10" s="147">
        <f>VLOOKUP($B10,Tabelle2!$J$3:$W$38,13,)</f>
        <v>1.9887640449438203E-2</v>
      </c>
      <c r="DJ10" s="147">
        <f>VLOOKUP($B10,Tabelle2!$J$3:$W$38,14,)</f>
        <v>0.04</v>
      </c>
      <c r="DK10" s="147">
        <f t="shared" ref="DK10:DK63" si="5">DI10+DG10+DE10</f>
        <v>3.0234438202247196</v>
      </c>
      <c r="DL10" s="147">
        <f t="shared" ref="DL10:DL63" si="6">DJ10+DH10+DF10</f>
        <v>3.552</v>
      </c>
      <c r="DN10" s="31"/>
      <c r="DO10" s="136">
        <v>5.0045236620082756</v>
      </c>
      <c r="DP10" s="136">
        <v>569.87262293640822</v>
      </c>
      <c r="DQ10">
        <f t="shared" si="4"/>
        <v>650</v>
      </c>
      <c r="DR10" s="147"/>
      <c r="DS10" s="147"/>
      <c r="DT10" s="147"/>
      <c r="DU10" s="147"/>
      <c r="DV10" s="147"/>
      <c r="DW10" s="147"/>
      <c r="DY10" s="48"/>
      <c r="DZ10" s="48">
        <v>551.97650404772196</v>
      </c>
      <c r="EA10" s="48">
        <v>7.6343705785489666</v>
      </c>
      <c r="EC10" s="61">
        <v>454.95686977986799</v>
      </c>
      <c r="ED10" s="27">
        <v>431.50389424126541</v>
      </c>
      <c r="EE10" s="27">
        <v>12.068654982676659</v>
      </c>
      <c r="EG10" s="39" t="s">
        <v>686</v>
      </c>
      <c r="EH10" s="63">
        <v>650</v>
      </c>
      <c r="EI10" s="31">
        <v>5.0690547368421053E-2</v>
      </c>
      <c r="EJ10" s="31">
        <v>4.1545979587305937E-2</v>
      </c>
      <c r="EM10">
        <v>1</v>
      </c>
      <c r="EN10">
        <v>0</v>
      </c>
    </row>
    <row r="11" spans="1:144" ht="15">
      <c r="A11" s="283" t="s">
        <v>687</v>
      </c>
      <c r="B11" s="284">
        <v>660</v>
      </c>
      <c r="C11" s="63">
        <v>1050</v>
      </c>
      <c r="D11" s="63" t="s">
        <v>435</v>
      </c>
      <c r="E11" s="94" t="s">
        <v>428</v>
      </c>
      <c r="F11" s="135" t="s">
        <v>427</v>
      </c>
      <c r="G11" s="61">
        <v>98.796958398699999</v>
      </c>
      <c r="H11" s="291">
        <v>6.1097423631083432</v>
      </c>
      <c r="I11" s="291">
        <v>11.308042845631656</v>
      </c>
      <c r="J11" s="291">
        <v>7.9540718549057559</v>
      </c>
      <c r="K11" s="291">
        <v>20.968661468140901</v>
      </c>
      <c r="L11" s="291">
        <v>13.752575746654173</v>
      </c>
      <c r="M11" s="291">
        <v>11.891850529163506</v>
      </c>
      <c r="N11" s="291">
        <v>4.6035533202275873</v>
      </c>
      <c r="O11" s="300">
        <v>0</v>
      </c>
      <c r="P11" s="292">
        <v>21.755426972701446</v>
      </c>
      <c r="Q11" s="291">
        <v>0</v>
      </c>
      <c r="R11" s="291">
        <v>0</v>
      </c>
      <c r="S11" s="291">
        <v>1.3801132639934899E-3</v>
      </c>
      <c r="T11" s="291">
        <v>0.45165318490263717</v>
      </c>
      <c r="U11" s="306">
        <v>160.53324105205883</v>
      </c>
      <c r="V11" s="136">
        <v>2.5</v>
      </c>
      <c r="W11" s="306">
        <v>0</v>
      </c>
      <c r="X11" s="136">
        <v>0</v>
      </c>
      <c r="Y11" s="306">
        <v>5.0320082272490206E-2</v>
      </c>
      <c r="Z11" s="306">
        <v>0</v>
      </c>
      <c r="AA11" s="306">
        <v>0</v>
      </c>
      <c r="AB11" s="312">
        <v>2.3318217153633327</v>
      </c>
      <c r="AC11" s="312">
        <v>25.759075545998353</v>
      </c>
      <c r="AD11" s="312">
        <v>40.376979537716657</v>
      </c>
      <c r="AE11" s="312">
        <v>2.8648438485724363</v>
      </c>
      <c r="AF11" s="312">
        <v>0.65222415995355221</v>
      </c>
      <c r="AG11" s="312">
        <v>0</v>
      </c>
      <c r="AH11" s="19">
        <v>70.148047922124746</v>
      </c>
      <c r="AI11" s="19">
        <v>28.648910476575242</v>
      </c>
      <c r="AJ11" s="19">
        <v>0</v>
      </c>
      <c r="AK11" s="19">
        <v>0</v>
      </c>
      <c r="AL11" s="19">
        <v>418.129032258</v>
      </c>
      <c r="AM11" s="19">
        <v>1.9081999999999999</v>
      </c>
      <c r="AN11" s="19"/>
      <c r="AO11" s="19"/>
      <c r="AP11" s="305">
        <v>1.43461094694661</v>
      </c>
      <c r="AQ11">
        <v>9.8387759999999993</v>
      </c>
      <c r="AR11" s="351"/>
      <c r="AS11" s="346"/>
      <c r="AT11" s="249"/>
      <c r="AU11" s="312">
        <v>949.19470410585723</v>
      </c>
      <c r="AV11" s="312">
        <v>965.83534596114919</v>
      </c>
      <c r="AW11" s="312">
        <v>618.76222762828581</v>
      </c>
      <c r="AX11" s="312">
        <v>575.62386511268789</v>
      </c>
      <c r="AY11" s="333">
        <v>725.66496120542865</v>
      </c>
      <c r="AZ11">
        <v>1331.0385892436004</v>
      </c>
      <c r="BA11">
        <v>677.17229003917123</v>
      </c>
      <c r="BB11" s="48">
        <v>1501.7700094260538</v>
      </c>
      <c r="BC11" s="48">
        <v>693.97450507979443</v>
      </c>
      <c r="BD11" s="48">
        <v>34.657587426326131</v>
      </c>
      <c r="BE11" s="310">
        <v>1.8451385292591247</v>
      </c>
      <c r="BF11" s="310">
        <v>3.1279049695207122</v>
      </c>
      <c r="BG11" s="310">
        <v>6.7738559368783067</v>
      </c>
      <c r="BH11" s="310">
        <v>12.88926644428331</v>
      </c>
      <c r="BI11" s="310">
        <v>21.072963925378129</v>
      </c>
      <c r="BJ11" s="305">
        <v>0.29324089680564991</v>
      </c>
      <c r="BK11" s="48">
        <v>0.37446300000000005</v>
      </c>
      <c r="BL11" s="48">
        <v>2745</v>
      </c>
      <c r="BM11" s="48">
        <v>1</v>
      </c>
      <c r="BN11" s="48">
        <v>0</v>
      </c>
      <c r="BO11" s="48">
        <v>7.6748044965558968</v>
      </c>
      <c r="BP11" s="314">
        <v>49.90678390447048</v>
      </c>
      <c r="BQ11" s="314">
        <v>54.492973094889365</v>
      </c>
      <c r="BR11" s="316">
        <v>556.63220093721225</v>
      </c>
      <c r="BS11" s="318">
        <v>7046.5538023661029</v>
      </c>
      <c r="BT11" s="188">
        <v>5653.8271356994364</v>
      </c>
      <c r="BU11" s="188">
        <v>5653.8271356994364</v>
      </c>
      <c r="BV11" s="48">
        <v>1392.7266666666667</v>
      </c>
      <c r="BW11" s="48">
        <v>50</v>
      </c>
      <c r="BX11" s="48">
        <v>32</v>
      </c>
      <c r="BY11" s="48">
        <v>43</v>
      </c>
      <c r="BZ11" s="48">
        <v>0</v>
      </c>
      <c r="CA11" s="71">
        <v>0</v>
      </c>
      <c r="CB11" s="321">
        <v>6.0563463977676302E-3</v>
      </c>
      <c r="CC11" s="321">
        <v>0</v>
      </c>
      <c r="CD11" s="321">
        <v>0.13916224999999999</v>
      </c>
      <c r="CE11" s="321">
        <v>0</v>
      </c>
      <c r="CF11" s="321">
        <v>0</v>
      </c>
      <c r="CG11" s="42">
        <v>0</v>
      </c>
      <c r="CH11" s="42">
        <v>0</v>
      </c>
      <c r="CI11" s="42">
        <v>0</v>
      </c>
      <c r="CJ11" s="42">
        <v>0</v>
      </c>
      <c r="CK11" s="42">
        <v>0</v>
      </c>
      <c r="CL11" s="151" t="str">
        <f t="shared" si="0"/>
        <v>OK</v>
      </c>
      <c r="CM11" s="152" t="str">
        <f t="shared" si="1"/>
        <v>OK</v>
      </c>
      <c r="CN11" s="153" t="str">
        <f t="shared" si="2"/>
        <v>OK</v>
      </c>
      <c r="CO11" s="327">
        <f t="shared" si="3"/>
        <v>928.48444444444431</v>
      </c>
      <c r="CP11" s="328"/>
      <c r="CQ11" s="326"/>
      <c r="CR11" s="326" t="e">
        <v>#N/A</v>
      </c>
      <c r="CS11" s="328">
        <v>660</v>
      </c>
      <c r="CT11" s="327">
        <v>1.829032258064516</v>
      </c>
      <c r="CU11" s="327">
        <f>VLOOKUP(B11,Tabelle2!$AL$2:$AM$82,2,)</f>
        <v>1.829032258064516</v>
      </c>
      <c r="CV11">
        <v>4</v>
      </c>
      <c r="CW11">
        <v>0.05</v>
      </c>
      <c r="CY11" s="147"/>
      <c r="CZ11" s="147"/>
      <c r="DA11" s="268">
        <v>0.12</v>
      </c>
      <c r="DB11" s="268">
        <v>0.16</v>
      </c>
      <c r="DC11" s="268">
        <v>0.08</v>
      </c>
      <c r="DD11" s="268">
        <v>0.12</v>
      </c>
      <c r="DE11" s="268"/>
      <c r="DF11" s="268"/>
      <c r="DG11" s="268"/>
      <c r="DH11" s="268"/>
      <c r="DI11" s="268"/>
      <c r="DJ11" s="268"/>
      <c r="DK11" s="268">
        <v>3.4</v>
      </c>
      <c r="DL11" s="268">
        <v>3.7</v>
      </c>
      <c r="DN11" s="31"/>
      <c r="DO11" s="136" t="e">
        <v>#N/A</v>
      </c>
      <c r="DP11" s="136" t="e">
        <v>#N/A</v>
      </c>
      <c r="DQ11">
        <f t="shared" si="4"/>
        <v>660</v>
      </c>
      <c r="DR11" s="147"/>
      <c r="DS11" s="147"/>
      <c r="DT11" s="147"/>
      <c r="DU11" s="147"/>
      <c r="DV11" s="147"/>
      <c r="DW11" s="147"/>
      <c r="DY11" s="48"/>
      <c r="DZ11" s="48"/>
      <c r="EA11" s="48"/>
      <c r="EC11" s="61">
        <v>143.79700418858496</v>
      </c>
      <c r="ED11" s="27">
        <v>139.23225454351942</v>
      </c>
      <c r="EE11" s="27">
        <v>7.543888586674373</v>
      </c>
      <c r="EG11" s="39" t="s">
        <v>687</v>
      </c>
      <c r="EH11" s="63">
        <v>660</v>
      </c>
      <c r="EI11" s="31">
        <v>3.8494385964912281E-2</v>
      </c>
      <c r="EJ11" s="31">
        <v>3.0528784323640944E-2</v>
      </c>
      <c r="EM11">
        <v>1</v>
      </c>
      <c r="EN11">
        <v>0</v>
      </c>
    </row>
    <row r="12" spans="1:144" ht="15">
      <c r="A12" s="283" t="s">
        <v>688</v>
      </c>
      <c r="B12" s="284">
        <v>670</v>
      </c>
      <c r="C12" s="63">
        <v>680</v>
      </c>
      <c r="D12" s="63" t="s">
        <v>435</v>
      </c>
      <c r="E12" s="94" t="s">
        <v>428</v>
      </c>
      <c r="F12" s="135" t="s">
        <v>427</v>
      </c>
      <c r="G12" s="61">
        <v>139.59965703099999</v>
      </c>
      <c r="H12" s="291">
        <v>3.338312090945799E-2</v>
      </c>
      <c r="I12" s="291">
        <v>0.70920071119117567</v>
      </c>
      <c r="J12" s="291">
        <v>2.6185138652860309</v>
      </c>
      <c r="K12" s="291">
        <v>21.947106208136812</v>
      </c>
      <c r="L12" s="291">
        <v>28.359629615753686</v>
      </c>
      <c r="M12" s="291">
        <v>35.490035747399567</v>
      </c>
      <c r="N12" s="291">
        <v>10.710487249373621</v>
      </c>
      <c r="O12" s="300">
        <v>0</v>
      </c>
      <c r="P12" s="292">
        <v>38.976608344410039</v>
      </c>
      <c r="Q12" s="291">
        <v>0</v>
      </c>
      <c r="R12" s="291">
        <v>0</v>
      </c>
      <c r="S12" s="291">
        <v>0</v>
      </c>
      <c r="T12" s="291">
        <v>0.75469216853961596</v>
      </c>
      <c r="U12" s="306">
        <v>238.98831965457546</v>
      </c>
      <c r="V12" s="136">
        <v>2.6747777290624493</v>
      </c>
      <c r="W12" s="306">
        <v>0</v>
      </c>
      <c r="X12" s="136">
        <v>0</v>
      </c>
      <c r="Y12" s="306">
        <v>0.1154515336215</v>
      </c>
      <c r="Z12" s="306">
        <v>0</v>
      </c>
      <c r="AA12" s="306">
        <v>0</v>
      </c>
      <c r="AB12" s="312">
        <v>10.887871039354888</v>
      </c>
      <c r="AC12" s="312">
        <v>24.102343422008143</v>
      </c>
      <c r="AD12" s="312">
        <v>43.092776574877561</v>
      </c>
      <c r="AE12" s="312">
        <v>11.074878232436147</v>
      </c>
      <c r="AF12" s="312">
        <v>0</v>
      </c>
      <c r="AG12" s="312">
        <v>0</v>
      </c>
      <c r="AH12" s="19">
        <v>77.035779903781091</v>
      </c>
      <c r="AI12" s="19">
        <v>62.563877127218909</v>
      </c>
      <c r="AJ12" s="19">
        <v>0</v>
      </c>
      <c r="AK12" s="19">
        <v>0</v>
      </c>
      <c r="AL12" s="19">
        <v>541.36257309899997</v>
      </c>
      <c r="AM12" s="19">
        <v>2.4074</v>
      </c>
      <c r="AN12" s="19"/>
      <c r="AO12" s="19"/>
      <c r="AP12" s="305">
        <v>2.1045518022938299</v>
      </c>
      <c r="AQ12">
        <v>10.294898</v>
      </c>
      <c r="AR12" s="351">
        <v>186.75872349374788</v>
      </c>
      <c r="AS12" s="346">
        <v>169.78065772158899</v>
      </c>
      <c r="AT12" s="330">
        <v>12.523893477966</v>
      </c>
      <c r="AU12" s="312">
        <v>1060.1927936624286</v>
      </c>
      <c r="AV12" s="312">
        <v>1087.7956354499836</v>
      </c>
      <c r="AW12" s="312">
        <v>660.31002892899994</v>
      </c>
      <c r="AX12" s="312">
        <v>627.26597670151091</v>
      </c>
      <c r="AY12" s="333">
        <v>707.04761677742863</v>
      </c>
      <c r="AZ12">
        <v>1137.2922836676219</v>
      </c>
      <c r="BA12">
        <v>710.81450559634663</v>
      </c>
      <c r="BB12" s="48">
        <v>1259.4046130435004</v>
      </c>
      <c r="BC12" s="48">
        <v>724.57370125886416</v>
      </c>
      <c r="BD12" s="48">
        <v>34.658442791580953</v>
      </c>
      <c r="BE12" s="310">
        <v>1.7734362763362899</v>
      </c>
      <c r="BF12" s="310">
        <v>2.7765667839630592</v>
      </c>
      <c r="BG12" s="310">
        <v>5.3086888327621597</v>
      </c>
      <c r="BH12" s="310">
        <v>10.475500471272927</v>
      </c>
      <c r="BI12" s="310">
        <v>16.41996471911823</v>
      </c>
      <c r="BJ12" s="305">
        <v>0.3193535475864962</v>
      </c>
      <c r="BK12" s="48">
        <v>0.17688399999999999</v>
      </c>
      <c r="BL12" s="48">
        <v>3370.7142857142903</v>
      </c>
      <c r="BM12" s="48">
        <v>1</v>
      </c>
      <c r="BN12" s="48">
        <v>0</v>
      </c>
      <c r="BO12" s="48">
        <v>4.5541745416459056</v>
      </c>
      <c r="BP12" s="314">
        <v>56.502297974214692</v>
      </c>
      <c r="BQ12" s="314">
        <v>57.877297682336845</v>
      </c>
      <c r="BR12" s="316">
        <v>413.77559972783183</v>
      </c>
      <c r="BS12" s="318">
        <v>24582.601914264909</v>
      </c>
      <c r="BT12" s="188">
        <v>22010.335247598243</v>
      </c>
      <c r="BU12" s="188">
        <v>22010.335247598243</v>
      </c>
      <c r="BV12" s="48">
        <v>2572.2666666666673</v>
      </c>
      <c r="BW12" s="48">
        <v>50</v>
      </c>
      <c r="BX12" s="48">
        <v>52</v>
      </c>
      <c r="BY12" s="48">
        <v>43</v>
      </c>
      <c r="BZ12" s="48">
        <v>0</v>
      </c>
      <c r="CA12" s="71">
        <v>0</v>
      </c>
      <c r="CB12" s="321">
        <v>0.17010762335109081</v>
      </c>
      <c r="CC12" s="321">
        <v>18.532659375000001</v>
      </c>
      <c r="CD12" s="321">
        <v>3.2633631666666663</v>
      </c>
      <c r="CE12" s="321">
        <v>0</v>
      </c>
      <c r="CF12" s="321">
        <v>0</v>
      </c>
      <c r="CG12" s="42">
        <v>0</v>
      </c>
      <c r="CH12" s="42">
        <v>0</v>
      </c>
      <c r="CI12" s="42">
        <v>0</v>
      </c>
      <c r="CJ12" s="42">
        <v>0</v>
      </c>
      <c r="CK12" s="42">
        <v>0</v>
      </c>
      <c r="CL12" s="151" t="str">
        <f t="shared" si="0"/>
        <v>OK</v>
      </c>
      <c r="CM12" s="152" t="str">
        <f t="shared" si="1"/>
        <v>OK</v>
      </c>
      <c r="CN12" s="153" t="str">
        <f t="shared" si="2"/>
        <v>OK</v>
      </c>
      <c r="CO12" s="327">
        <f t="shared" si="3"/>
        <v>1714.8444444444442</v>
      </c>
      <c r="CP12" s="328"/>
      <c r="CQ12" s="326">
        <v>9.5890281560386192</v>
      </c>
      <c r="CR12" s="326">
        <v>1242.8392122381479</v>
      </c>
      <c r="CS12" s="328">
        <v>670</v>
      </c>
      <c r="CT12" s="327">
        <v>2.6306451612903223</v>
      </c>
      <c r="CU12" s="327">
        <f>VLOOKUP(B12,Tabelle2!$AL$2:$AM$82,2,)</f>
        <v>2.6306451612903223</v>
      </c>
      <c r="CV12">
        <v>4</v>
      </c>
      <c r="CW12">
        <v>0.05</v>
      </c>
      <c r="CY12" s="147">
        <f>VLOOKUP($B12,Tabelle2!$J$3:$W$38,3,)</f>
        <v>7.05</v>
      </c>
      <c r="CZ12" s="147">
        <f>VLOOKUP($B12,Tabelle2!$J$3:$W$38,4,)</f>
        <v>24</v>
      </c>
      <c r="DA12" s="147">
        <f>VLOOKUP($B12,Tabelle2!$J$3:$W$38,5,)</f>
        <v>0.17509999999999998</v>
      </c>
      <c r="DB12" s="147">
        <f>VLOOKUP($B12,Tabelle2!$J$3:$W$38,6,)</f>
        <v>0.27</v>
      </c>
      <c r="DC12" s="147">
        <f>VLOOKUP($B12,Tabelle2!$J$3:$W$38,7,)</f>
        <v>0.13777777777777778</v>
      </c>
      <c r="DD12" s="147">
        <f>VLOOKUP($B12,Tabelle2!$J$3:$W$38,8,)</f>
        <v>0.2010000000000001</v>
      </c>
      <c r="DE12" s="147">
        <f>VLOOKUP($B12,Tabelle2!$J$3:$W$38,9,)</f>
        <v>2.5766666666666656E-2</v>
      </c>
      <c r="DF12" s="147">
        <f>VLOOKUP($B12,Tabelle2!$J$3:$W$38,10,)</f>
        <v>4.4100000000000007E-2</v>
      </c>
      <c r="DG12" s="147">
        <f>VLOOKUP($B12,Tabelle2!$J$3:$W$38,11,)</f>
        <v>2.5722222222222233</v>
      </c>
      <c r="DH12" s="147">
        <f>VLOOKUP($B12,Tabelle2!$J$3:$W$38,12,)</f>
        <v>3.3200000000000016</v>
      </c>
      <c r="DI12" s="147">
        <f>VLOOKUP($B12,Tabelle2!$J$3:$W$38,13,)</f>
        <v>0.10383333333333335</v>
      </c>
      <c r="DJ12" s="147">
        <f>VLOOKUP($B12,Tabelle2!$J$3:$W$38,14,)</f>
        <v>0.18</v>
      </c>
      <c r="DK12" s="147">
        <f t="shared" si="5"/>
        <v>2.7018222222222232</v>
      </c>
      <c r="DL12" s="147">
        <f t="shared" si="6"/>
        <v>3.5441000000000016</v>
      </c>
      <c r="DN12" s="31"/>
      <c r="DO12" s="146" t="e">
        <f>DS12</f>
        <v>#N/A</v>
      </c>
      <c r="DP12" s="136">
        <v>1242.8392122381479</v>
      </c>
      <c r="DQ12">
        <f t="shared" si="4"/>
        <v>670</v>
      </c>
      <c r="DR12" s="147" t="e">
        <f>VLOOKUP(B12,Tabelle2!AC$2:AJ$73,3,)</f>
        <v>#N/A</v>
      </c>
      <c r="DS12" s="147" t="e">
        <f>VLOOKUP($B12,Tabelle2!$AC$2:$AJ$73,4,)</f>
        <v>#N/A</v>
      </c>
      <c r="DT12" s="147" t="e">
        <f>VLOOKUP($B12,Tabelle2!$AC$2:$AJ$73,5,)</f>
        <v>#N/A</v>
      </c>
      <c r="DU12" s="147" t="e">
        <f>VLOOKUP($B12,Tabelle2!$AC$2:$AJ$73,6,)</f>
        <v>#N/A</v>
      </c>
      <c r="DV12" s="147" t="e">
        <f>VLOOKUP($B12,Tabelle2!$AC$2:$AJ$73,7,)</f>
        <v>#N/A</v>
      </c>
      <c r="DW12" s="147" t="e">
        <f>VLOOKUP($B12,Tabelle2!$AC$2:$AJ$73,8,)</f>
        <v>#N/A</v>
      </c>
      <c r="DY12" s="48"/>
      <c r="DZ12" s="48">
        <v>169.05914397084416</v>
      </c>
      <c r="EA12" s="48">
        <v>10.667877787166896</v>
      </c>
      <c r="EC12" s="61">
        <v>182.51299722232315</v>
      </c>
      <c r="ED12" s="27">
        <v>172.02394386776521</v>
      </c>
      <c r="EE12" s="27">
        <v>9.5330085345545861</v>
      </c>
      <c r="EG12" s="39" t="s">
        <v>688</v>
      </c>
      <c r="EH12" s="63">
        <v>670</v>
      </c>
      <c r="EI12" s="31">
        <v>2.5731876315789475E-2</v>
      </c>
      <c r="EJ12" s="31">
        <v>3.3327519967061812E-2</v>
      </c>
      <c r="EM12">
        <v>1</v>
      </c>
      <c r="EN12">
        <v>0</v>
      </c>
    </row>
    <row r="13" spans="1:144" ht="15">
      <c r="A13" s="283" t="s">
        <v>688</v>
      </c>
      <c r="B13" s="284">
        <v>680</v>
      </c>
      <c r="C13" s="63">
        <v>1050</v>
      </c>
      <c r="D13" s="63" t="s">
        <v>435</v>
      </c>
      <c r="E13" s="94" t="s">
        <v>428</v>
      </c>
      <c r="F13" s="135" t="s">
        <v>427</v>
      </c>
      <c r="G13" s="61">
        <v>143.45644619199999</v>
      </c>
      <c r="H13" s="291">
        <v>4.0612359398383093</v>
      </c>
      <c r="I13" s="291">
        <v>4.1556205868563509</v>
      </c>
      <c r="J13" s="291">
        <v>9.055295621470993</v>
      </c>
      <c r="K13" s="291">
        <v>30.913813116317062</v>
      </c>
      <c r="L13" s="291">
        <v>26.454274234350446</v>
      </c>
      <c r="M13" s="291">
        <v>27.550177623233289</v>
      </c>
      <c r="N13" s="291">
        <v>9.0724471573042003</v>
      </c>
      <c r="O13" s="300">
        <v>0</v>
      </c>
      <c r="P13" s="292">
        <v>31.108502987270281</v>
      </c>
      <c r="Q13" s="291">
        <v>0</v>
      </c>
      <c r="R13" s="291">
        <v>0</v>
      </c>
      <c r="S13" s="291">
        <v>0</v>
      </c>
      <c r="T13" s="291">
        <v>1.08507892535906</v>
      </c>
      <c r="U13" s="306">
        <v>307.6098316344814</v>
      </c>
      <c r="V13" s="136">
        <v>2.5454255016288503</v>
      </c>
      <c r="W13" s="306">
        <v>9.7506402262857836</v>
      </c>
      <c r="X13" s="136">
        <v>16.25</v>
      </c>
      <c r="Y13" s="306">
        <v>0.14363311168775</v>
      </c>
      <c r="Z13" s="306">
        <v>0</v>
      </c>
      <c r="AA13" s="306">
        <v>0</v>
      </c>
      <c r="AB13" s="312">
        <v>9.7504148720284824</v>
      </c>
      <c r="AC13" s="312">
        <v>30.388340051381423</v>
      </c>
      <c r="AD13" s="312">
        <v>29.987242135301191</v>
      </c>
      <c r="AE13" s="312">
        <v>31.891995465805739</v>
      </c>
      <c r="AF13" s="312">
        <v>0.172424597549624</v>
      </c>
      <c r="AG13" s="312">
        <v>0</v>
      </c>
      <c r="AH13" s="19">
        <v>128.8384514929455</v>
      </c>
      <c r="AI13" s="19">
        <v>14.617994699054503</v>
      </c>
      <c r="AJ13" s="19">
        <v>0</v>
      </c>
      <c r="AK13" s="19">
        <v>0</v>
      </c>
      <c r="AL13" s="19">
        <v>427.27027027000003</v>
      </c>
      <c r="AM13" s="19">
        <v>1.7952999999999999</v>
      </c>
      <c r="AN13" s="19"/>
      <c r="AO13" s="19"/>
      <c r="AP13" s="305">
        <v>1.9670920510735399</v>
      </c>
      <c r="AQ13">
        <v>10.511224</v>
      </c>
      <c r="AR13" s="351">
        <v>397.68077041425039</v>
      </c>
      <c r="AS13" s="348">
        <v>361.52797310386399</v>
      </c>
      <c r="AT13" s="350">
        <v>23.713880846571499</v>
      </c>
      <c r="AU13" s="312">
        <v>950.53290542285708</v>
      </c>
      <c r="AV13" s="312">
        <v>982.05697131097656</v>
      </c>
      <c r="AW13" s="312">
        <v>606.10172362928563</v>
      </c>
      <c r="AX13" s="312">
        <v>577.20436580264777</v>
      </c>
      <c r="AY13" s="333">
        <v>723.54207352800006</v>
      </c>
      <c r="AZ13">
        <v>1134.551219617862</v>
      </c>
      <c r="BA13">
        <v>670.65944614306829</v>
      </c>
      <c r="BB13" s="48">
        <v>1275.3732082302645</v>
      </c>
      <c r="BC13" s="48">
        <v>696.28361421498266</v>
      </c>
      <c r="BD13" s="48">
        <v>34.658442791580953</v>
      </c>
      <c r="BE13" s="310">
        <v>1.4093788639994485</v>
      </c>
      <c r="BF13" s="310">
        <v>3.0566533346868083</v>
      </c>
      <c r="BG13" s="310">
        <v>7.0493593167838</v>
      </c>
      <c r="BH13" s="310">
        <v>12.923911441049434</v>
      </c>
      <c r="BI13" s="310">
        <v>23.110852309324098</v>
      </c>
      <c r="BJ13" s="305">
        <v>0.33573062668484405</v>
      </c>
      <c r="BK13" s="48">
        <v>0.66161400000000004</v>
      </c>
      <c r="BL13" s="48">
        <v>3097.8571428571399</v>
      </c>
      <c r="BM13" s="48">
        <v>1</v>
      </c>
      <c r="BN13" s="48">
        <v>0</v>
      </c>
      <c r="BO13" s="48">
        <v>4.419035029420006</v>
      </c>
      <c r="BP13" s="314">
        <v>53.025080804896838</v>
      </c>
      <c r="BQ13" s="314">
        <v>56.335171156374685</v>
      </c>
      <c r="BR13" s="316">
        <v>477.42439597034854</v>
      </c>
      <c r="BS13" s="318">
        <v>13558.951035885942</v>
      </c>
      <c r="BT13" s="188">
        <v>12112.444369219276</v>
      </c>
      <c r="BU13" s="188">
        <v>12112.444369219276</v>
      </c>
      <c r="BV13" s="48">
        <v>1446.5066666666667</v>
      </c>
      <c r="BW13" s="48">
        <v>50</v>
      </c>
      <c r="BX13" s="48">
        <v>52</v>
      </c>
      <c r="BY13" s="48">
        <v>43</v>
      </c>
      <c r="BZ13" s="48">
        <v>0</v>
      </c>
      <c r="CA13" s="71">
        <v>0</v>
      </c>
      <c r="CB13" s="321">
        <v>5.343388492516489E-2</v>
      </c>
      <c r="CC13" s="321">
        <v>0</v>
      </c>
      <c r="CD13" s="321">
        <v>0</v>
      </c>
      <c r="CE13" s="321">
        <v>6.5248667777777776</v>
      </c>
      <c r="CF13" s="321">
        <v>0.91579162500000011</v>
      </c>
      <c r="CG13" s="42">
        <v>0</v>
      </c>
      <c r="CH13" s="42">
        <v>0</v>
      </c>
      <c r="CI13" s="42">
        <v>0</v>
      </c>
      <c r="CJ13" s="42">
        <v>0</v>
      </c>
      <c r="CK13" s="42">
        <v>0</v>
      </c>
      <c r="CL13" s="151" t="str">
        <f t="shared" si="0"/>
        <v>OK</v>
      </c>
      <c r="CM13" s="152" t="str">
        <f t="shared" si="1"/>
        <v>OK</v>
      </c>
      <c r="CN13" s="153" t="str">
        <f t="shared" si="2"/>
        <v>OK</v>
      </c>
      <c r="CO13" s="327">
        <f t="shared" si="3"/>
        <v>964.33777777777743</v>
      </c>
      <c r="CP13" s="328"/>
      <c r="CQ13" s="326">
        <v>16.0805249633876</v>
      </c>
      <c r="CR13" s="326" t="e">
        <v>#N/A</v>
      </c>
      <c r="CS13" s="328">
        <v>680</v>
      </c>
      <c r="CT13" s="327">
        <v>2.6143870967741938</v>
      </c>
      <c r="CU13" s="327">
        <f>VLOOKUP(B13,Tabelle2!$AL$2:$AM$82,2,)</f>
        <v>2.6143870967741938</v>
      </c>
      <c r="CV13">
        <v>4</v>
      </c>
      <c r="CW13">
        <v>0.05</v>
      </c>
      <c r="CY13" s="147">
        <f>VLOOKUP($B13,Tabelle2!$J$3:$W$38,3,)</f>
        <v>30.772727272727273</v>
      </c>
      <c r="CZ13" s="147">
        <f>VLOOKUP($B13,Tabelle2!$J$3:$W$38,4,)</f>
        <v>24</v>
      </c>
      <c r="DA13" s="147">
        <f>VLOOKUP($B13,Tabelle2!$J$3:$W$38,5,)</f>
        <v>0.18301111111111118</v>
      </c>
      <c r="DB13" s="147">
        <f>VLOOKUP($B13,Tabelle2!$J$3:$W$38,6,)</f>
        <v>0.28999999999999998</v>
      </c>
      <c r="DC13" s="147">
        <f>VLOOKUP($B13,Tabelle2!$J$3:$W$38,7,)</f>
        <v>0.12955555555555562</v>
      </c>
      <c r="DD13" s="147">
        <f>VLOOKUP($B13,Tabelle2!$J$3:$W$38,8,)</f>
        <v>0.2010000000000001</v>
      </c>
      <c r="DE13" s="147">
        <f>VLOOKUP($B13,Tabelle2!$J$3:$W$38,9,)</f>
        <v>2.4633333333333316E-2</v>
      </c>
      <c r="DF13" s="147">
        <f>VLOOKUP($B13,Tabelle2!$J$3:$W$38,10,)</f>
        <v>4.8100000000000011E-2</v>
      </c>
      <c r="DG13" s="147">
        <f>VLOOKUP($B13,Tabelle2!$J$3:$W$38,11,)</f>
        <v>2.7033333333333331</v>
      </c>
      <c r="DH13" s="147">
        <f>VLOOKUP($B13,Tabelle2!$J$3:$W$38,12,)</f>
        <v>3.6</v>
      </c>
      <c r="DI13" s="147">
        <f>VLOOKUP($B13,Tabelle2!$J$3:$W$38,13,)</f>
        <v>6.0444444444444419E-2</v>
      </c>
      <c r="DJ13" s="147">
        <f>VLOOKUP($B13,Tabelle2!$J$3:$W$38,14,)</f>
        <v>0.12100000000000008</v>
      </c>
      <c r="DK13" s="147">
        <f t="shared" si="5"/>
        <v>2.788411111111111</v>
      </c>
      <c r="DL13" s="147">
        <f t="shared" si="6"/>
        <v>3.7690999999999999</v>
      </c>
      <c r="DN13" s="31"/>
      <c r="DO13" s="136" t="e">
        <v>#N/A</v>
      </c>
      <c r="DP13" s="136" t="e">
        <v>#N/A</v>
      </c>
      <c r="DQ13">
        <f t="shared" si="4"/>
        <v>680</v>
      </c>
      <c r="DR13" s="147"/>
      <c r="DS13" s="147"/>
      <c r="DT13" s="147"/>
      <c r="DU13" s="147"/>
      <c r="DV13" s="147"/>
      <c r="DW13" s="147"/>
      <c r="DY13" s="48"/>
      <c r="DZ13" s="48"/>
      <c r="EA13" s="48"/>
      <c r="EC13" s="61">
        <v>375.90661296102132</v>
      </c>
      <c r="ED13" s="27">
        <v>354.39910547172667</v>
      </c>
      <c r="EE13" s="27">
        <v>21.444041092542435</v>
      </c>
      <c r="EG13" s="39" t="s">
        <v>688</v>
      </c>
      <c r="EH13" s="63">
        <v>680</v>
      </c>
      <c r="EI13" s="31">
        <v>4.5473802105263153E-2</v>
      </c>
      <c r="EJ13" s="31">
        <v>3.4400506505264321E-2</v>
      </c>
      <c r="EM13">
        <v>1</v>
      </c>
      <c r="EN13">
        <v>0</v>
      </c>
    </row>
    <row r="14" spans="1:144" ht="15">
      <c r="A14" s="283" t="s">
        <v>689</v>
      </c>
      <c r="B14" s="284">
        <v>690</v>
      </c>
      <c r="C14" s="63">
        <v>700</v>
      </c>
      <c r="D14" s="63" t="s">
        <v>435</v>
      </c>
      <c r="E14" s="94" t="s">
        <v>428</v>
      </c>
      <c r="F14" s="135" t="s">
        <v>427</v>
      </c>
      <c r="G14" s="61">
        <v>83.768448207000006</v>
      </c>
      <c r="H14" s="291">
        <v>3.7840812704894859E-2</v>
      </c>
      <c r="I14" s="291">
        <v>0.76533689169337915</v>
      </c>
      <c r="J14" s="291">
        <v>5.2742333663632257</v>
      </c>
      <c r="K14" s="291">
        <v>14.414852442080585</v>
      </c>
      <c r="L14" s="291">
        <v>16.071233247599157</v>
      </c>
      <c r="M14" s="291">
        <v>21.993547605088519</v>
      </c>
      <c r="N14" s="291">
        <v>5.0389005851844111</v>
      </c>
      <c r="O14" s="300">
        <v>0</v>
      </c>
      <c r="P14" s="292">
        <v>19.527463809244797</v>
      </c>
      <c r="Q14" s="291">
        <v>0</v>
      </c>
      <c r="R14" s="291">
        <v>0</v>
      </c>
      <c r="S14" s="291">
        <v>0</v>
      </c>
      <c r="T14" s="291">
        <v>0.645039447041036</v>
      </c>
      <c r="U14" s="306">
        <v>184.579587818058</v>
      </c>
      <c r="V14" s="136">
        <v>2.5</v>
      </c>
      <c r="W14" s="306">
        <v>0</v>
      </c>
      <c r="X14" s="136">
        <v>0</v>
      </c>
      <c r="Y14" s="306">
        <v>0.18359047749589102</v>
      </c>
      <c r="Z14" s="306">
        <v>0</v>
      </c>
      <c r="AA14" s="306">
        <v>0</v>
      </c>
      <c r="AB14" s="312">
        <v>0.99938882062996037</v>
      </c>
      <c r="AC14" s="312">
        <v>13.321472691698325</v>
      </c>
      <c r="AD14" s="312">
        <v>25.182223946961368</v>
      </c>
      <c r="AE14" s="312">
        <v>18.978083011041935</v>
      </c>
      <c r="AF14" s="312">
        <v>7.5875895198175516E-2</v>
      </c>
      <c r="AG14" s="312">
        <v>0</v>
      </c>
      <c r="AH14" s="19">
        <v>80.381503754638203</v>
      </c>
      <c r="AI14" s="19">
        <v>3.3869444523617958</v>
      </c>
      <c r="AJ14" s="19">
        <v>0</v>
      </c>
      <c r="AK14" s="19">
        <v>0</v>
      </c>
      <c r="AL14" s="19">
        <v>443.08620689700001</v>
      </c>
      <c r="AM14" s="19">
        <v>2.0672999999999999</v>
      </c>
      <c r="AN14" s="19"/>
      <c r="AO14" s="19"/>
      <c r="AP14" s="305">
        <v>1.1858115665776401</v>
      </c>
      <c r="AQ14">
        <v>9.8179999999999996</v>
      </c>
      <c r="AR14" s="351">
        <v>120.7559408118514</v>
      </c>
      <c r="AS14" s="346">
        <v>109.778128010774</v>
      </c>
      <c r="AT14" s="330">
        <v>8.0078290704862507</v>
      </c>
      <c r="AU14" s="312">
        <v>960.49360925242866</v>
      </c>
      <c r="AV14" s="312">
        <v>994.84844103519663</v>
      </c>
      <c r="AW14" s="312">
        <v>589.26691327785716</v>
      </c>
      <c r="AX14" s="312">
        <v>574.40953158352897</v>
      </c>
      <c r="AY14" s="333">
        <v>722.08441424728585</v>
      </c>
      <c r="AZ14">
        <v>995.91723773045692</v>
      </c>
      <c r="BA14">
        <v>615.12390138644162</v>
      </c>
      <c r="BB14" s="48">
        <v>1103.3493060748642</v>
      </c>
      <c r="BC14" s="48">
        <v>634.92339597987188</v>
      </c>
      <c r="BD14" s="48">
        <v>34.915256401163205</v>
      </c>
      <c r="BE14" s="310">
        <v>1.4774626295446758</v>
      </c>
      <c r="BF14" s="310">
        <v>3.2349296633734412</v>
      </c>
      <c r="BG14" s="310">
        <v>5.7700762992578776</v>
      </c>
      <c r="BH14" s="310">
        <v>10.507856982763835</v>
      </c>
      <c r="BI14" s="310">
        <v>17.231247751289089</v>
      </c>
      <c r="BJ14" s="305">
        <v>0.27798062808353341</v>
      </c>
      <c r="BK14" s="48">
        <v>0.31706099999999998</v>
      </c>
      <c r="BL14" s="48">
        <v>2737.5</v>
      </c>
      <c r="BM14" s="48">
        <v>1</v>
      </c>
      <c r="BN14" s="48">
        <v>0</v>
      </c>
      <c r="BO14" s="48">
        <v>1.7770636435662501</v>
      </c>
      <c r="BP14" s="314">
        <v>54.867261779178335</v>
      </c>
      <c r="BQ14" s="314">
        <v>55.784099750512993</v>
      </c>
      <c r="BR14" s="316">
        <v>407.52383287322181</v>
      </c>
      <c r="BS14" s="318">
        <v>8295.6480490501508</v>
      </c>
      <c r="BT14" s="188">
        <v>6421.5680490501509</v>
      </c>
      <c r="BU14" s="188">
        <v>6421.5680490501509</v>
      </c>
      <c r="BV14" s="48">
        <v>1874.08</v>
      </c>
      <c r="BW14" s="48">
        <v>50</v>
      </c>
      <c r="BX14" s="48">
        <v>37</v>
      </c>
      <c r="BY14" s="48">
        <v>43</v>
      </c>
      <c r="BZ14" s="48">
        <v>0</v>
      </c>
      <c r="CA14" s="71">
        <v>0</v>
      </c>
      <c r="CB14" s="321">
        <v>4.1004418706663284E-2</v>
      </c>
      <c r="CC14" s="321">
        <v>2.268991666666667</v>
      </c>
      <c r="CD14" s="321">
        <v>0.84725866666666683</v>
      </c>
      <c r="CE14" s="321">
        <v>0</v>
      </c>
      <c r="CF14" s="321">
        <v>0</v>
      </c>
      <c r="CG14" s="42">
        <v>0</v>
      </c>
      <c r="CH14" s="42">
        <v>0</v>
      </c>
      <c r="CI14" s="42">
        <v>0</v>
      </c>
      <c r="CJ14" s="42">
        <v>0</v>
      </c>
      <c r="CK14" s="42">
        <v>0</v>
      </c>
      <c r="CL14" s="151" t="str">
        <f t="shared" si="0"/>
        <v>OK</v>
      </c>
      <c r="CM14" s="152" t="str">
        <f t="shared" si="1"/>
        <v>OK</v>
      </c>
      <c r="CN14" s="153" t="str">
        <f t="shared" si="2"/>
        <v>OK</v>
      </c>
      <c r="CO14" s="327">
        <f t="shared" si="3"/>
        <v>1249.3866666666665</v>
      </c>
      <c r="CP14" s="328"/>
      <c r="CQ14" s="326">
        <v>4.4629309103653103</v>
      </c>
      <c r="CR14" s="326" t="e">
        <v>#N/A</v>
      </c>
      <c r="CS14" s="328">
        <v>690</v>
      </c>
      <c r="CT14" s="327">
        <v>3.3615053763440854</v>
      </c>
      <c r="CU14" s="327">
        <f>VLOOKUP(B14,Tabelle2!$AL$2:$AM$82,2,)</f>
        <v>3.3615053763440854</v>
      </c>
      <c r="CV14">
        <v>4</v>
      </c>
      <c r="CW14">
        <v>0.05</v>
      </c>
      <c r="CY14" s="147">
        <f>VLOOKUP($B14,Tabelle2!$J$3:$W$38,3,)</f>
        <v>18.666666666666668</v>
      </c>
      <c r="CZ14" s="147">
        <f>VLOOKUP($B14,Tabelle2!$J$3:$W$38,4,)</f>
        <v>30.200000000000003</v>
      </c>
      <c r="DA14" s="147">
        <f>VLOOKUP($B14,Tabelle2!$J$3:$W$38,5,)</f>
        <v>0.2405698924731183</v>
      </c>
      <c r="DB14" s="147">
        <f>VLOOKUP($B14,Tabelle2!$J$3:$W$38,6,)</f>
        <v>0.40799999999999997</v>
      </c>
      <c r="DC14" s="147">
        <f>VLOOKUP($B14,Tabelle2!$J$3:$W$38,7,)</f>
        <v>0.1745268817204301</v>
      </c>
      <c r="DD14" s="147">
        <f>VLOOKUP($B14,Tabelle2!$J$3:$W$38,8,)</f>
        <v>0.32</v>
      </c>
      <c r="DE14" s="147">
        <f>VLOOKUP($B14,Tabelle2!$J$3:$W$38,9,)</f>
        <v>3.0290322580645158E-2</v>
      </c>
      <c r="DF14" s="147">
        <f>VLOOKUP($B14,Tabelle2!$J$3:$W$38,10,)</f>
        <v>5.3799999999999994E-2</v>
      </c>
      <c r="DG14" s="147">
        <f>VLOOKUP($B14,Tabelle2!$J$3:$W$38,11,)</f>
        <v>2.2591397849462371</v>
      </c>
      <c r="DH14" s="147">
        <f>VLOOKUP($B14,Tabelle2!$J$3:$W$38,12,)</f>
        <v>3.3</v>
      </c>
      <c r="DI14" s="147">
        <f>VLOOKUP($B14,Tabelle2!$J$3:$W$38,13,)</f>
        <v>0.12795698924731186</v>
      </c>
      <c r="DJ14" s="147">
        <f>VLOOKUP($B14,Tabelle2!$J$3:$W$38,14,)</f>
        <v>0.21199999999999988</v>
      </c>
      <c r="DK14" s="147">
        <f t="shared" si="5"/>
        <v>2.4173870967741942</v>
      </c>
      <c r="DL14" s="147">
        <f t="shared" si="6"/>
        <v>3.5657999999999994</v>
      </c>
      <c r="DN14" s="31"/>
      <c r="DO14" s="146">
        <f>DS14</f>
        <v>4.7</v>
      </c>
      <c r="DP14" s="136" t="e">
        <v>#N/A</v>
      </c>
      <c r="DQ14">
        <f t="shared" si="4"/>
        <v>690</v>
      </c>
      <c r="DR14" s="271">
        <v>8.6</v>
      </c>
      <c r="DS14" s="271">
        <v>4.7</v>
      </c>
      <c r="DT14" s="271">
        <v>4.0999999999999996</v>
      </c>
      <c r="DU14" s="271">
        <v>0.9</v>
      </c>
      <c r="DV14" s="271">
        <v>107.3</v>
      </c>
      <c r="DW14" s="271">
        <v>112.3</v>
      </c>
      <c r="DY14" s="48"/>
      <c r="DZ14" s="48">
        <f>DW14</f>
        <v>112.3</v>
      </c>
      <c r="EA14" s="48">
        <f>DR14</f>
        <v>8.6</v>
      </c>
      <c r="EC14" s="61">
        <v>102.67959317286922</v>
      </c>
      <c r="ED14" s="27">
        <v>95.886138748777412</v>
      </c>
      <c r="EE14" s="27">
        <v>5.6593239889129574</v>
      </c>
      <c r="EG14" s="39" t="s">
        <v>689</v>
      </c>
      <c r="EH14" s="63">
        <v>690</v>
      </c>
      <c r="EI14" s="31">
        <v>2.9986136842105268E-2</v>
      </c>
      <c r="EJ14" s="31">
        <v>2.9677240701746654E-2</v>
      </c>
      <c r="EM14">
        <v>1</v>
      </c>
      <c r="EN14">
        <v>0</v>
      </c>
    </row>
    <row r="15" spans="1:144" ht="15">
      <c r="A15" s="283" t="s">
        <v>689</v>
      </c>
      <c r="B15" s="284">
        <v>700</v>
      </c>
      <c r="C15" s="63">
        <v>710</v>
      </c>
      <c r="D15" s="63" t="s">
        <v>435</v>
      </c>
      <c r="E15" s="94" t="s">
        <v>428</v>
      </c>
      <c r="F15" s="135" t="s">
        <v>427</v>
      </c>
      <c r="G15" s="61">
        <v>222.10570206</v>
      </c>
      <c r="H15" s="291">
        <v>0.4690096319476198</v>
      </c>
      <c r="I15" s="291">
        <v>2.5450746029645726</v>
      </c>
      <c r="J15" s="291">
        <v>11.361265186239516</v>
      </c>
      <c r="K15" s="291">
        <v>29.796684325024284</v>
      </c>
      <c r="L15" s="291">
        <v>47.654790562832481</v>
      </c>
      <c r="M15" s="291">
        <v>56.419242522436861</v>
      </c>
      <c r="N15" s="291">
        <v>11.961472436010391</v>
      </c>
      <c r="O15" s="300">
        <v>0</v>
      </c>
      <c r="P15" s="292">
        <v>60.587125353688343</v>
      </c>
      <c r="Q15" s="291">
        <v>0</v>
      </c>
      <c r="R15" s="291">
        <v>0</v>
      </c>
      <c r="S15" s="291">
        <v>2.45104965924845E-3</v>
      </c>
      <c r="T15" s="291">
        <v>1.3085863891966909</v>
      </c>
      <c r="U15" s="306">
        <v>392.48634325477838</v>
      </c>
      <c r="V15" s="136">
        <v>2.4525481731585344</v>
      </c>
      <c r="W15" s="306">
        <v>5.6339061291551928</v>
      </c>
      <c r="X15" s="136">
        <v>12.5</v>
      </c>
      <c r="Y15" s="306">
        <v>0.27557089844307098</v>
      </c>
      <c r="Z15" s="306">
        <v>0</v>
      </c>
      <c r="AA15" s="306">
        <v>0</v>
      </c>
      <c r="AB15" s="312">
        <v>44.919671389057328</v>
      </c>
      <c r="AC15" s="312">
        <v>31.786123201335347</v>
      </c>
      <c r="AD15" s="312">
        <v>47.782423347856515</v>
      </c>
      <c r="AE15" s="312">
        <v>23.006038542393878</v>
      </c>
      <c r="AF15" s="312">
        <v>0.75181035080227243</v>
      </c>
      <c r="AG15" s="312">
        <v>0</v>
      </c>
      <c r="AH15" s="19">
        <v>154.27597576509504</v>
      </c>
      <c r="AI15" s="19">
        <v>0</v>
      </c>
      <c r="AJ15" s="19">
        <v>0</v>
      </c>
      <c r="AK15" s="19">
        <v>67.829726294904972</v>
      </c>
      <c r="AL15" s="19">
        <v>437.44776119400001</v>
      </c>
      <c r="AM15" s="19">
        <v>2.6095000000000002</v>
      </c>
      <c r="AN15" s="19"/>
      <c r="AO15" s="19"/>
      <c r="AP15" s="305">
        <v>2.9584715982725398</v>
      </c>
      <c r="AQ15">
        <v>10.294</v>
      </c>
      <c r="AR15" s="351">
        <v>522.08058524862463</v>
      </c>
      <c r="AS15" s="346">
        <v>474.61871386238602</v>
      </c>
      <c r="AT15" s="249">
        <v>29.9119091203629</v>
      </c>
      <c r="AU15" s="312">
        <v>979.67222085328558</v>
      </c>
      <c r="AV15" s="312">
        <v>984.03364426471057</v>
      </c>
      <c r="AW15" s="312">
        <v>606.27969807685713</v>
      </c>
      <c r="AX15" s="312">
        <v>569.73966357095151</v>
      </c>
      <c r="AY15" s="333">
        <v>718.5083630782857</v>
      </c>
      <c r="AZ15">
        <v>1089.175140072758</v>
      </c>
      <c r="BA15">
        <v>617.36355895158169</v>
      </c>
      <c r="BB15" s="48">
        <v>1277.7095729889811</v>
      </c>
      <c r="BC15" s="48">
        <v>678.01133587919173</v>
      </c>
      <c r="BD15" s="48">
        <v>34.915256401163205</v>
      </c>
      <c r="BE15" s="310">
        <v>2.033692833554178</v>
      </c>
      <c r="BF15" s="310">
        <v>3.4841572711050692</v>
      </c>
      <c r="BG15" s="310">
        <v>6.3329155489589022</v>
      </c>
      <c r="BH15" s="310">
        <v>11.376063970586268</v>
      </c>
      <c r="BI15" s="310">
        <v>19.222016112776515</v>
      </c>
      <c r="BJ15" s="305">
        <v>0.35196039838588061</v>
      </c>
      <c r="BK15" s="48">
        <v>0.34710700000000005</v>
      </c>
      <c r="BL15" s="48">
        <v>2722.3076923076901</v>
      </c>
      <c r="BM15" s="48">
        <v>1</v>
      </c>
      <c r="BN15" s="48">
        <v>0</v>
      </c>
      <c r="BO15" s="48">
        <v>12.972910126491005</v>
      </c>
      <c r="BP15" s="314">
        <v>55.046716904553527</v>
      </c>
      <c r="BQ15" s="314">
        <v>55.163435753831308</v>
      </c>
      <c r="BR15" s="316">
        <v>381.86416720364713</v>
      </c>
      <c r="BS15" s="318">
        <v>18680.634438142006</v>
      </c>
      <c r="BT15" s="188">
        <v>14444.914438142006</v>
      </c>
      <c r="BU15" s="188">
        <v>14444.914438142006</v>
      </c>
      <c r="BV15" s="48">
        <v>4235.7199999999993</v>
      </c>
      <c r="BW15" s="48">
        <v>50</v>
      </c>
      <c r="BX15" s="48">
        <v>37</v>
      </c>
      <c r="BY15" s="48">
        <v>43</v>
      </c>
      <c r="BZ15" s="48">
        <v>0</v>
      </c>
      <c r="CA15" s="71">
        <v>0</v>
      </c>
      <c r="CB15" s="321">
        <v>3.8168470266785048E-2</v>
      </c>
      <c r="CC15" s="321">
        <v>0</v>
      </c>
      <c r="CD15" s="321">
        <v>0</v>
      </c>
      <c r="CE15" s="321">
        <v>2.6384472666666663</v>
      </c>
      <c r="CF15" s="321">
        <v>1.0852463333333333</v>
      </c>
      <c r="CG15" s="42">
        <v>0</v>
      </c>
      <c r="CH15" s="42">
        <v>0</v>
      </c>
      <c r="CI15" s="42">
        <v>0</v>
      </c>
      <c r="CJ15" s="42">
        <v>0</v>
      </c>
      <c r="CK15" s="42">
        <v>0</v>
      </c>
      <c r="CL15" s="151" t="str">
        <f t="shared" si="0"/>
        <v>OK</v>
      </c>
      <c r="CM15" s="152" t="str">
        <f t="shared" si="1"/>
        <v>OK</v>
      </c>
      <c r="CN15" s="153" t="str">
        <f t="shared" si="2"/>
        <v>OK</v>
      </c>
      <c r="CO15" s="327">
        <f t="shared" si="3"/>
        <v>2823.813333333333</v>
      </c>
      <c r="CP15" s="328"/>
      <c r="CQ15" s="326">
        <v>13.0526457537651</v>
      </c>
      <c r="CR15" s="326">
        <v>7444.8801029734268</v>
      </c>
      <c r="CS15" s="328">
        <v>700</v>
      </c>
      <c r="CT15" s="327">
        <v>3.9158064516129039</v>
      </c>
      <c r="CU15" s="327">
        <f>VLOOKUP(B15,Tabelle2!$AL$2:$AM$82,2,)</f>
        <v>3.9158064516129039</v>
      </c>
      <c r="CV15">
        <v>4</v>
      </c>
      <c r="CW15">
        <v>0.05</v>
      </c>
      <c r="CY15" s="147">
        <f>VLOOKUP($B15,Tabelle2!$J$3:$W$38,3,)</f>
        <v>23.291666666666668</v>
      </c>
      <c r="CZ15" s="147">
        <f>VLOOKUP($B15,Tabelle2!$J$3:$W$38,4,)</f>
        <v>30.700000000000003</v>
      </c>
      <c r="DA15" s="147">
        <f>VLOOKUP($B15,Tabelle2!$J$3:$W$38,5,)</f>
        <v>0.15892473118279565</v>
      </c>
      <c r="DB15" s="147">
        <f>VLOOKUP($B15,Tabelle2!$J$3:$W$38,6,)</f>
        <v>0.21799999999999997</v>
      </c>
      <c r="DC15" s="147">
        <f>VLOOKUP($B15,Tabelle2!$J$3:$W$38,7,)</f>
        <v>9.9526881720430088E-2</v>
      </c>
      <c r="DD15" s="147">
        <f>VLOOKUP($B15,Tabelle2!$J$3:$W$38,8,)</f>
        <v>0.14000000000000001</v>
      </c>
      <c r="DE15" s="147">
        <f>VLOOKUP($B15,Tabelle2!$J$3:$W$38,9,)</f>
        <v>1.9397849462365571E-2</v>
      </c>
      <c r="DF15" s="147">
        <f>VLOOKUP($B15,Tabelle2!$J$3:$W$38,10,)</f>
        <v>3.0799999999999998E-2</v>
      </c>
      <c r="DG15" s="147">
        <f>VLOOKUP($B15,Tabelle2!$J$3:$W$38,11,)</f>
        <v>3.0440860215053758</v>
      </c>
      <c r="DH15" s="147">
        <f>VLOOKUP($B15,Tabelle2!$J$3:$W$38,12,)</f>
        <v>3.7</v>
      </c>
      <c r="DI15" s="147">
        <f>VLOOKUP($B15,Tabelle2!$J$3:$W$38,13,)</f>
        <v>5.1881720430107491E-2</v>
      </c>
      <c r="DJ15" s="147">
        <f>VLOOKUP($B15,Tabelle2!$J$3:$W$38,14,)</f>
        <v>0.11</v>
      </c>
      <c r="DK15" s="147">
        <f t="shared" si="5"/>
        <v>3.1153655913978486</v>
      </c>
      <c r="DL15" s="147">
        <f t="shared" si="6"/>
        <v>3.8408000000000002</v>
      </c>
      <c r="DN15" s="31"/>
      <c r="DO15" s="146" t="e">
        <f>DS15</f>
        <v>#N/A</v>
      </c>
      <c r="DP15" s="136">
        <v>7444.8801029734268</v>
      </c>
      <c r="DQ15">
        <f t="shared" si="4"/>
        <v>700</v>
      </c>
      <c r="DR15" s="147" t="e">
        <f>VLOOKUP(B15,Tabelle2!AC$2:AJ$73,3,)</f>
        <v>#N/A</v>
      </c>
      <c r="DS15" s="147" t="e">
        <f>VLOOKUP($B15,Tabelle2!$AC$2:$AJ$73,4,)</f>
        <v>#N/A</v>
      </c>
      <c r="DT15" s="147" t="e">
        <f>VLOOKUP($B15,Tabelle2!$AC$2:$AJ$73,5,)</f>
        <v>#N/A</v>
      </c>
      <c r="DU15" s="147" t="e">
        <f>VLOOKUP($B15,Tabelle2!$AC$2:$AJ$73,6,)</f>
        <v>#N/A</v>
      </c>
      <c r="DV15" s="147" t="e">
        <f>VLOOKUP($B15,Tabelle2!$AC$2:$AJ$73,7,)</f>
        <v>#N/A</v>
      </c>
      <c r="DW15" s="147" t="e">
        <f>VLOOKUP($B15,Tabelle2!$AC$2:$AJ$73,8,)</f>
        <v>#N/A</v>
      </c>
      <c r="DY15" s="48"/>
      <c r="DZ15" s="48" t="e">
        <f>DW15</f>
        <v>#N/A</v>
      </c>
      <c r="EA15" s="48" t="e">
        <f>DR15</f>
        <v>#N/A</v>
      </c>
      <c r="EC15" s="61">
        <v>365.29876825740752</v>
      </c>
      <c r="ED15" s="27">
        <v>345.60104857153397</v>
      </c>
      <c r="EE15" s="27">
        <v>19.520046378401467</v>
      </c>
      <c r="EG15" s="39" t="s">
        <v>689</v>
      </c>
      <c r="EH15" s="63">
        <v>700</v>
      </c>
      <c r="EI15" s="31">
        <v>5.1469649624060143E-2</v>
      </c>
      <c r="EJ15" s="31">
        <v>4.5512424559354267E-2</v>
      </c>
      <c r="EM15">
        <v>1</v>
      </c>
      <c r="EN15">
        <v>0</v>
      </c>
    </row>
    <row r="16" spans="1:144" ht="15">
      <c r="A16" s="283" t="s">
        <v>689</v>
      </c>
      <c r="B16" s="338">
        <v>710</v>
      </c>
      <c r="C16" s="63">
        <v>1050</v>
      </c>
      <c r="D16" s="63" t="s">
        <v>435</v>
      </c>
      <c r="E16" s="94" t="s">
        <v>428</v>
      </c>
      <c r="F16" s="135" t="s">
        <v>427</v>
      </c>
      <c r="G16" s="61">
        <v>77.568499489900006</v>
      </c>
      <c r="H16" s="291">
        <v>0.71504818243234247</v>
      </c>
      <c r="I16" s="291">
        <v>2.3938187133009827</v>
      </c>
      <c r="J16" s="291">
        <v>5.1367313388179605</v>
      </c>
      <c r="K16" s="291">
        <v>10.150266373296526</v>
      </c>
      <c r="L16" s="291">
        <v>17.047972628788244</v>
      </c>
      <c r="M16" s="291">
        <v>13.561023997827808</v>
      </c>
      <c r="N16" s="291">
        <v>5.1591811240351895</v>
      </c>
      <c r="O16" s="300">
        <v>0</v>
      </c>
      <c r="P16" s="292">
        <v>22.67288980772538</v>
      </c>
      <c r="Q16" s="291">
        <v>0</v>
      </c>
      <c r="R16" s="291">
        <v>0</v>
      </c>
      <c r="S16" s="291">
        <v>0</v>
      </c>
      <c r="T16" s="291">
        <v>0.73156732367556709</v>
      </c>
      <c r="U16" s="306">
        <v>178.85487322694669</v>
      </c>
      <c r="V16" s="136">
        <v>2.8632949479738987</v>
      </c>
      <c r="W16" s="306">
        <v>6.130028851157328</v>
      </c>
      <c r="X16" s="136">
        <v>20</v>
      </c>
      <c r="Y16" s="306">
        <v>9.6852491721191994E-2</v>
      </c>
      <c r="Z16" s="306">
        <v>0</v>
      </c>
      <c r="AA16" s="306">
        <v>0</v>
      </c>
      <c r="AB16" s="312">
        <v>7.3174573032596326</v>
      </c>
      <c r="AC16" s="312">
        <v>9.856663321192709</v>
      </c>
      <c r="AD16" s="312">
        <v>26.789719771820192</v>
      </c>
      <c r="AE16" s="312">
        <v>5.0410208381913311</v>
      </c>
      <c r="AF16" s="312">
        <v>0</v>
      </c>
      <c r="AG16" s="312">
        <v>0</v>
      </c>
      <c r="AH16" s="19">
        <v>43.519137360975805</v>
      </c>
      <c r="AI16" s="19">
        <v>9.9395797177265379</v>
      </c>
      <c r="AJ16" s="19">
        <v>0</v>
      </c>
      <c r="AK16" s="19">
        <v>24.10978241119766</v>
      </c>
      <c r="AL16" s="19">
        <v>391.19047619000003</v>
      </c>
      <c r="AM16" s="19">
        <v>2.2402000000000002</v>
      </c>
      <c r="AN16" s="19"/>
      <c r="AO16" s="19"/>
      <c r="AP16" s="305">
        <v>1.10574007235102</v>
      </c>
      <c r="AQ16">
        <v>11.138999999999999</v>
      </c>
      <c r="AR16" s="351">
        <v>656.73854650129874</v>
      </c>
      <c r="AS16" s="346">
        <v>597.03504227390795</v>
      </c>
      <c r="AT16" s="249">
        <v>45.859530323565998</v>
      </c>
      <c r="AU16" s="312">
        <v>950.29934398814282</v>
      </c>
      <c r="AV16" s="312">
        <v>915.73216880248924</v>
      </c>
      <c r="AW16" s="312">
        <v>600.5370739745714</v>
      </c>
      <c r="AX16" s="312">
        <v>541.1569136022888</v>
      </c>
      <c r="AY16" s="333">
        <v>724.52714733614289</v>
      </c>
      <c r="AZ16">
        <v>1261.5065912580494</v>
      </c>
      <c r="BA16">
        <v>632.31617085543746</v>
      </c>
      <c r="BB16" s="48">
        <v>1579.9485855787482</v>
      </c>
      <c r="BC16" s="48">
        <v>757.35687926657772</v>
      </c>
      <c r="BD16" s="48">
        <v>34.769050884157352</v>
      </c>
      <c r="BE16" s="310">
        <v>1.9762516133219332</v>
      </c>
      <c r="BF16" s="310">
        <v>3.1057533333484026</v>
      </c>
      <c r="BG16" s="310">
        <v>6.3824863674978731</v>
      </c>
      <c r="BH16" s="310">
        <v>12.558603631228122</v>
      </c>
      <c r="BI16" s="310">
        <v>20.413400376751191</v>
      </c>
      <c r="BJ16" s="305">
        <v>0.3749235483227063</v>
      </c>
      <c r="BK16" s="48">
        <v>0.43262599999999996</v>
      </c>
      <c r="BL16" s="48">
        <v>2893.3333333333298</v>
      </c>
      <c r="BM16" s="48">
        <v>1</v>
      </c>
      <c r="BN16" s="48">
        <v>0</v>
      </c>
      <c r="BO16" s="48">
        <v>5.0603360446217156</v>
      </c>
      <c r="BP16" s="314">
        <v>53.896903499268753</v>
      </c>
      <c r="BQ16" s="314">
        <v>55.261144482818906</v>
      </c>
      <c r="BR16" s="316">
        <v>457.85275616279847</v>
      </c>
      <c r="BS16" s="318">
        <v>10650.405551720833</v>
      </c>
      <c r="BT16" s="188">
        <v>8220.0855517208329</v>
      </c>
      <c r="BU16" s="188">
        <v>8220.0855517208329</v>
      </c>
      <c r="BV16" s="48">
        <v>2430.3199999999997</v>
      </c>
      <c r="BW16" s="48">
        <v>50</v>
      </c>
      <c r="BX16" s="48">
        <v>37</v>
      </c>
      <c r="BY16" s="48">
        <v>43</v>
      </c>
      <c r="BZ16" s="48">
        <v>0</v>
      </c>
      <c r="CA16" s="71">
        <v>0</v>
      </c>
      <c r="CB16" s="321">
        <v>1.95067063567563E-2</v>
      </c>
      <c r="CC16" s="321">
        <v>0</v>
      </c>
      <c r="CD16" s="321">
        <v>0</v>
      </c>
      <c r="CE16" s="321">
        <v>0.61660000000000004</v>
      </c>
      <c r="CF16" s="321">
        <v>0.39703116666666671</v>
      </c>
      <c r="CG16" s="42">
        <v>0</v>
      </c>
      <c r="CH16" s="42">
        <v>0</v>
      </c>
      <c r="CI16" s="42">
        <v>0</v>
      </c>
      <c r="CJ16" s="42">
        <v>0</v>
      </c>
      <c r="CK16" s="42">
        <v>0</v>
      </c>
      <c r="CL16" s="151" t="str">
        <f t="shared" si="0"/>
        <v>OK</v>
      </c>
      <c r="CM16" s="152" t="str">
        <f t="shared" si="1"/>
        <v>OK</v>
      </c>
      <c r="CN16" s="153" t="str">
        <f t="shared" si="2"/>
        <v>OK</v>
      </c>
      <c r="CO16" s="327">
        <f t="shared" si="3"/>
        <v>1620.2133333333331</v>
      </c>
      <c r="CP16" s="328"/>
      <c r="CQ16" s="326">
        <v>17.134670913642999</v>
      </c>
      <c r="CR16" s="326" t="e">
        <v>#N/A</v>
      </c>
      <c r="CS16" s="328">
        <v>710</v>
      </c>
      <c r="CT16" s="327">
        <v>6.0854838709677423</v>
      </c>
      <c r="CU16" s="327">
        <f>VLOOKUP(B16,Tabelle2!$AL$2:$AM$82,2,)</f>
        <v>6.0854838709677423</v>
      </c>
      <c r="CV16">
        <v>4</v>
      </c>
      <c r="CW16">
        <v>0.05</v>
      </c>
      <c r="CY16" s="147">
        <f>VLOOKUP($B16,Tabelle2!$J$3:$W$38,3,)</f>
        <v>15.875</v>
      </c>
      <c r="CZ16" s="147">
        <f>VLOOKUP($B16,Tabelle2!$J$3:$W$38,4,)</f>
        <v>32.800000000000004</v>
      </c>
      <c r="DA16" s="147">
        <f>VLOOKUP($B16,Tabelle2!$J$3:$W$38,5,)</f>
        <v>0.16226881720430109</v>
      </c>
      <c r="DB16" s="147">
        <f>VLOOKUP($B16,Tabelle2!$J$3:$W$38,6,)</f>
        <v>0.23799999999999996</v>
      </c>
      <c r="DC16" s="147">
        <f>VLOOKUP($B16,Tabelle2!$J$3:$W$38,7,)</f>
        <v>0.10176344086021508</v>
      </c>
      <c r="DD16" s="147">
        <f>VLOOKUP($B16,Tabelle2!$J$3:$W$38,8,)</f>
        <v>0.15</v>
      </c>
      <c r="DE16" s="147">
        <f>VLOOKUP($B16,Tabelle2!$J$3:$W$38,9,)</f>
        <v>1.998924731182794E-2</v>
      </c>
      <c r="DF16" s="147">
        <f>VLOOKUP($B16,Tabelle2!$J$3:$W$38,10,)</f>
        <v>3.5399999999999987E-2</v>
      </c>
      <c r="DG16" s="147">
        <f>VLOOKUP($B16,Tabelle2!$J$3:$W$38,11,)</f>
        <v>2.9344086021505373</v>
      </c>
      <c r="DH16" s="147">
        <f>VLOOKUP($B16,Tabelle2!$J$3:$W$38,12,)</f>
        <v>3.78</v>
      </c>
      <c r="DI16" s="147">
        <f>VLOOKUP($B16,Tabelle2!$J$3:$W$38,13,)</f>
        <v>4.8440860215053734E-2</v>
      </c>
      <c r="DJ16" s="147">
        <f>VLOOKUP($B16,Tabelle2!$J$3:$W$38,14,)</f>
        <v>0.1</v>
      </c>
      <c r="DK16" s="147">
        <f t="shared" si="5"/>
        <v>3.0028387096774187</v>
      </c>
      <c r="DL16" s="147">
        <f t="shared" si="6"/>
        <v>3.9154</v>
      </c>
      <c r="DN16" s="31"/>
      <c r="DO16" s="146">
        <f>DS16</f>
        <v>17</v>
      </c>
      <c r="DP16" s="136" t="e">
        <v>#N/A</v>
      </c>
      <c r="DQ16">
        <f t="shared" si="4"/>
        <v>710</v>
      </c>
      <c r="DR16" s="271">
        <v>35.200000000000003</v>
      </c>
      <c r="DS16" s="271">
        <v>17</v>
      </c>
      <c r="DT16" s="271">
        <v>11.6</v>
      </c>
      <c r="DU16" s="271">
        <v>3.4</v>
      </c>
      <c r="DV16" s="271">
        <v>597.29999999999995</v>
      </c>
      <c r="DW16" s="271">
        <v>612.20000000000005</v>
      </c>
      <c r="DY16" s="48"/>
      <c r="DZ16" s="48">
        <f>DW16</f>
        <v>612.20000000000005</v>
      </c>
      <c r="EA16" s="48">
        <f>DR16</f>
        <v>35.200000000000003</v>
      </c>
      <c r="EC16" s="61">
        <v>463.74858865668085</v>
      </c>
      <c r="ED16" s="27">
        <v>436.04555928026258</v>
      </c>
      <c r="EE16" s="27">
        <v>24.170066234177355</v>
      </c>
      <c r="EG16" s="39" t="s">
        <v>689</v>
      </c>
      <c r="EH16" s="63">
        <v>710</v>
      </c>
      <c r="EI16" s="31">
        <v>9.3163157894736823E-2</v>
      </c>
      <c r="EJ16" s="31">
        <v>3.6158129567512728E-2</v>
      </c>
      <c r="EM16">
        <v>1</v>
      </c>
      <c r="EN16">
        <v>0</v>
      </c>
    </row>
    <row r="17" spans="1:144" ht="15">
      <c r="A17" s="39" t="s">
        <v>428</v>
      </c>
      <c r="B17" s="63">
        <v>1050</v>
      </c>
      <c r="C17" s="63">
        <v>4990</v>
      </c>
      <c r="D17" s="63" t="s">
        <v>435</v>
      </c>
      <c r="E17" s="94" t="s">
        <v>428</v>
      </c>
      <c r="F17" s="135" t="s">
        <v>427</v>
      </c>
      <c r="G17" s="61">
        <v>304.41058424400001</v>
      </c>
      <c r="H17" s="291">
        <v>19.732176825026681</v>
      </c>
      <c r="I17" s="291">
        <v>27.28147104423584</v>
      </c>
      <c r="J17" s="291">
        <v>26.796570455626892</v>
      </c>
      <c r="K17" s="291">
        <v>28.83757210319585</v>
      </c>
      <c r="L17" s="291">
        <v>21.456143141533886</v>
      </c>
      <c r="M17" s="291">
        <v>50.725408970290289</v>
      </c>
      <c r="N17" s="291">
        <v>15.472517614143991</v>
      </c>
      <c r="O17" s="300">
        <v>0.41551903154745218</v>
      </c>
      <c r="P17" s="292">
        <v>99.985300785695472</v>
      </c>
      <c r="Q17" s="291">
        <v>0</v>
      </c>
      <c r="R17" s="291">
        <v>0</v>
      </c>
      <c r="S17" s="291">
        <v>8.4150014334406706E-2</v>
      </c>
      <c r="T17" s="291">
        <v>13.623754258369299</v>
      </c>
      <c r="U17" s="306">
        <v>2261.7125543810521</v>
      </c>
      <c r="V17" s="293">
        <v>3.3</v>
      </c>
      <c r="W17" s="306">
        <v>11.458717432209497</v>
      </c>
      <c r="X17" s="136">
        <v>255.66666666666663</v>
      </c>
      <c r="Y17" s="306">
        <v>1.2595890588946634</v>
      </c>
      <c r="Z17" s="306">
        <v>1.9709016798489367</v>
      </c>
      <c r="AA17" s="306">
        <v>0</v>
      </c>
      <c r="AB17" s="312">
        <v>46.838370149289446</v>
      </c>
      <c r="AC17" s="312">
        <v>24.967587696526</v>
      </c>
      <c r="AD17" s="312">
        <v>89.691940795903236</v>
      </c>
      <c r="AE17" s="312">
        <v>11.464861321868458</v>
      </c>
      <c r="AF17" s="312">
        <v>1.8665825763222801</v>
      </c>
      <c r="AG17" s="312">
        <v>0</v>
      </c>
      <c r="AH17" s="19">
        <v>47.41729329314397</v>
      </c>
      <c r="AI17" s="19">
        <v>235.49233075935445</v>
      </c>
      <c r="AJ17" s="19">
        <v>0</v>
      </c>
      <c r="AK17" s="19">
        <v>21.500960191501605</v>
      </c>
      <c r="AL17" s="19">
        <v>400.53170731699998</v>
      </c>
      <c r="AM17" s="19">
        <v>1.4222999999999999</v>
      </c>
      <c r="AN17" s="19"/>
      <c r="AO17" s="19"/>
      <c r="AP17" s="343">
        <v>4.3010812200000004</v>
      </c>
      <c r="AQ17">
        <v>10.101190000000001</v>
      </c>
      <c r="AR17" s="351">
        <v>31287.24254572334</v>
      </c>
      <c r="AS17" s="348">
        <v>28442.9477688394</v>
      </c>
      <c r="AT17" s="350">
        <v>1535.3911068346099</v>
      </c>
      <c r="AU17" s="312">
        <v>934.96963439628576</v>
      </c>
      <c r="AV17" s="312">
        <v>951.31174663462184</v>
      </c>
      <c r="AW17" s="312">
        <v>611.74309514528557</v>
      </c>
      <c r="AX17" s="312">
        <v>577.47850158387678</v>
      </c>
      <c r="AY17" s="333">
        <v>724.58899682985702</v>
      </c>
      <c r="AZ17">
        <v>1397.9967081807163</v>
      </c>
      <c r="BA17">
        <v>653.54695094132603</v>
      </c>
      <c r="BB17" s="48">
        <v>1625.4518466000238</v>
      </c>
      <c r="BC17" s="48">
        <v>698.35097922431737</v>
      </c>
      <c r="BD17" s="48">
        <v>34.769050884157352</v>
      </c>
      <c r="BE17" s="310">
        <v>0.59608589441704629</v>
      </c>
      <c r="BF17" s="310">
        <v>1.7380796743479008</v>
      </c>
      <c r="BG17" s="310">
        <v>4.0150965939427543</v>
      </c>
      <c r="BH17" s="310">
        <v>8.7017681842761831</v>
      </c>
      <c r="BI17" s="310">
        <v>18.806589826362597</v>
      </c>
      <c r="BJ17" s="305">
        <v>0.21002979694163751</v>
      </c>
      <c r="BK17" s="48">
        <v>0.13100999999999999</v>
      </c>
      <c r="BL17" s="48">
        <v>3254.54545454545</v>
      </c>
      <c r="BM17" s="48">
        <v>1</v>
      </c>
      <c r="BN17" s="48">
        <v>0</v>
      </c>
      <c r="BO17" s="48">
        <v>10.31041889157696</v>
      </c>
      <c r="BP17" s="314">
        <v>55.329452350451504</v>
      </c>
      <c r="BQ17" s="314">
        <v>58.68639144357995</v>
      </c>
      <c r="BR17" s="316">
        <v>498.70777288790549</v>
      </c>
      <c r="BS17" s="318">
        <v>29648.085012773212</v>
      </c>
      <c r="BT17" s="188">
        <v>25893.43167943988</v>
      </c>
      <c r="BU17" s="188">
        <v>25893.43167943988</v>
      </c>
      <c r="BV17" s="48">
        <v>3754.6533333333327</v>
      </c>
      <c r="BW17" s="48">
        <v>50</v>
      </c>
      <c r="BX17" s="48">
        <v>31</v>
      </c>
      <c r="BY17" s="48">
        <v>43</v>
      </c>
      <c r="BZ17" s="48">
        <v>0</v>
      </c>
      <c r="CA17" s="71">
        <v>0</v>
      </c>
      <c r="CB17" s="322">
        <v>0.258091667987908</v>
      </c>
      <c r="CC17" s="322">
        <v>0</v>
      </c>
      <c r="CD17" s="322">
        <v>0</v>
      </c>
      <c r="CE17" s="322">
        <v>54.381679144444448</v>
      </c>
      <c r="CF17" s="322">
        <v>6.4076270000000006</v>
      </c>
      <c r="CG17" s="42">
        <v>0</v>
      </c>
      <c r="CH17" s="42">
        <v>0</v>
      </c>
      <c r="CI17" s="42">
        <v>0</v>
      </c>
      <c r="CJ17" s="42">
        <v>0</v>
      </c>
      <c r="CK17" s="42">
        <v>0</v>
      </c>
      <c r="CL17" s="151" t="str">
        <f t="shared" si="0"/>
        <v>OK</v>
      </c>
      <c r="CM17" s="152" t="str">
        <f t="shared" si="1"/>
        <v>OK</v>
      </c>
      <c r="CN17" s="153" t="str">
        <f t="shared" si="2"/>
        <v>OK</v>
      </c>
      <c r="CO17" s="327">
        <f t="shared" si="3"/>
        <v>2503.1022222222214</v>
      </c>
      <c r="CP17" s="328"/>
      <c r="CQ17" s="326">
        <v>463.69315191700298</v>
      </c>
      <c r="CR17" s="326" t="e">
        <v>#N/A</v>
      </c>
      <c r="CS17" s="328">
        <v>1050</v>
      </c>
      <c r="CT17" s="327">
        <v>6.8461693548387101</v>
      </c>
      <c r="CU17" s="327">
        <f>VLOOKUP(B17,Tabelle2!$AL$2:$AM$82,2,)</f>
        <v>6.8461693548387101</v>
      </c>
      <c r="CV17">
        <v>5.5</v>
      </c>
      <c r="CW17">
        <v>0.08</v>
      </c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N17" s="31"/>
      <c r="DO17" s="136" t="e">
        <v>#N/A</v>
      </c>
      <c r="DP17" s="136" t="e">
        <v>#N/A</v>
      </c>
      <c r="DQ17">
        <f t="shared" si="4"/>
        <v>1050</v>
      </c>
      <c r="DR17" s="147"/>
      <c r="DS17" s="147"/>
      <c r="DT17" s="147"/>
      <c r="DU17" s="147"/>
      <c r="DV17" s="147"/>
      <c r="DW17" s="147"/>
      <c r="DY17" s="48"/>
      <c r="DZ17" s="48"/>
      <c r="EA17" s="48"/>
      <c r="EC17" s="61">
        <v>1959.0938302399436</v>
      </c>
      <c r="ED17" s="27">
        <v>1675.7654353913904</v>
      </c>
      <c r="EE17" s="27">
        <v>64.073251335990307</v>
      </c>
      <c r="EG17" s="39" t="s">
        <v>428</v>
      </c>
      <c r="EH17" s="63">
        <v>1050</v>
      </c>
      <c r="EI17" s="31">
        <v>2.67007350877193E-2</v>
      </c>
      <c r="EJ17" s="31">
        <v>4.113868159544104E-2</v>
      </c>
      <c r="EM17">
        <v>2</v>
      </c>
      <c r="EN17">
        <v>2</v>
      </c>
    </row>
    <row r="18" spans="1:144" ht="15">
      <c r="A18" s="39" t="s">
        <v>690</v>
      </c>
      <c r="B18" s="63">
        <v>1100</v>
      </c>
      <c r="C18" s="63">
        <v>5000</v>
      </c>
      <c r="D18" s="63" t="s">
        <v>435</v>
      </c>
      <c r="E18" s="94" t="s">
        <v>429</v>
      </c>
      <c r="F18" s="135" t="s">
        <v>427</v>
      </c>
      <c r="G18" s="61">
        <v>82.044416049000006</v>
      </c>
      <c r="H18" s="291">
        <v>2.5709877479401818E-3</v>
      </c>
      <c r="I18" s="291">
        <v>2.9780374414718262E-2</v>
      </c>
      <c r="J18" s="291">
        <v>0.16319348368358325</v>
      </c>
      <c r="K18" s="291">
        <v>1.5665780163418752</v>
      </c>
      <c r="L18" s="291">
        <v>9.6003415042206885</v>
      </c>
      <c r="M18" s="291">
        <v>31.659968463573115</v>
      </c>
      <c r="N18" s="291">
        <v>3.4128475225095158</v>
      </c>
      <c r="O18" s="300">
        <v>0</v>
      </c>
      <c r="P18" s="292">
        <v>34.958165123765873</v>
      </c>
      <c r="Q18" s="291">
        <v>0</v>
      </c>
      <c r="R18" s="291">
        <v>0</v>
      </c>
      <c r="S18" s="291">
        <v>3.4171426194838803E-2</v>
      </c>
      <c r="T18" s="291">
        <v>0.61679914654784196</v>
      </c>
      <c r="U18" s="306">
        <v>128.3634490198481</v>
      </c>
      <c r="V18" s="136">
        <v>2.8908591766592528</v>
      </c>
      <c r="W18" s="306">
        <v>0</v>
      </c>
      <c r="X18" s="136">
        <v>0</v>
      </c>
      <c r="Y18" s="306">
        <v>0.24571849200118198</v>
      </c>
      <c r="Z18" s="306">
        <v>0</v>
      </c>
      <c r="AA18" s="306">
        <v>0</v>
      </c>
      <c r="AB18" s="312">
        <v>42.148642350971855</v>
      </c>
      <c r="AC18" s="312">
        <v>0.51767005152780821</v>
      </c>
      <c r="AD18" s="312">
        <v>0.15484980901069925</v>
      </c>
      <c r="AE18" s="312">
        <v>0</v>
      </c>
      <c r="AF18" s="312">
        <v>0.1462891472566264</v>
      </c>
      <c r="AG18" s="312">
        <v>5.4981471214930945E-2</v>
      </c>
      <c r="AH18" s="19">
        <v>0</v>
      </c>
      <c r="AI18" s="19">
        <v>0.30342292747091232</v>
      </c>
      <c r="AJ18" s="19">
        <v>0</v>
      </c>
      <c r="AK18" s="19">
        <v>81.740993121529101</v>
      </c>
      <c r="AL18" s="19">
        <v>653.86538461500004</v>
      </c>
      <c r="AM18" s="19">
        <v>4.6056999999999997</v>
      </c>
      <c r="AN18" s="19"/>
      <c r="AO18" s="19"/>
      <c r="AP18" s="305">
        <v>1.7096690294229699</v>
      </c>
      <c r="AQ18" s="341">
        <v>9.5714038461549986</v>
      </c>
      <c r="AR18" s="351"/>
      <c r="AS18" s="346"/>
      <c r="AT18" s="249"/>
      <c r="AU18" s="312">
        <v>1111.7666085688572</v>
      </c>
      <c r="AV18" s="312">
        <v>1075.0155388617627</v>
      </c>
      <c r="AW18" s="312">
        <v>630.48763700714301</v>
      </c>
      <c r="AX18" s="312">
        <v>577.00987576234002</v>
      </c>
      <c r="AY18" s="333">
        <v>672.66849944371438</v>
      </c>
      <c r="AZ18">
        <v>1166.8029939551025</v>
      </c>
      <c r="BA18">
        <v>626.96749379726089</v>
      </c>
      <c r="BB18" s="48">
        <v>1423.6332199845892</v>
      </c>
      <c r="BC18" s="48">
        <v>723.44203041910077</v>
      </c>
      <c r="BD18" s="48">
        <v>34.97757605155568</v>
      </c>
      <c r="BE18" s="310">
        <v>5.7599502569882111E-2</v>
      </c>
      <c r="BF18" s="310">
        <v>0.39575718825124645</v>
      </c>
      <c r="BG18" s="310">
        <v>1.3815172192830651</v>
      </c>
      <c r="BH18" s="310">
        <v>1.5629549273305736</v>
      </c>
      <c r="BI18" s="310">
        <v>3.8448138273790318</v>
      </c>
      <c r="BJ18" s="305">
        <v>0.10845051132359651</v>
      </c>
      <c r="BK18" s="48">
        <v>9.4012600000000002E-2</v>
      </c>
      <c r="BL18" s="48">
        <v>2677.5</v>
      </c>
      <c r="BM18" s="48">
        <v>1</v>
      </c>
      <c r="BN18" s="48">
        <v>0</v>
      </c>
      <c r="BO18" s="48">
        <v>3.4997443574395715</v>
      </c>
      <c r="BP18" s="314">
        <v>50.18080132812495</v>
      </c>
      <c r="BQ18" s="314">
        <v>49.904931086898856</v>
      </c>
      <c r="BR18" s="316">
        <v>243.10656719830004</v>
      </c>
      <c r="BS18" s="318">
        <v>5289.9956628435029</v>
      </c>
      <c r="BT18" s="188">
        <v>4291.8889961768364</v>
      </c>
      <c r="BU18" s="188">
        <v>4291.8889961768364</v>
      </c>
      <c r="BV18" s="48">
        <v>998.10666666666657</v>
      </c>
      <c r="BW18" s="48">
        <v>50</v>
      </c>
      <c r="BX18" s="48">
        <v>37</v>
      </c>
      <c r="BY18" s="48">
        <v>43</v>
      </c>
      <c r="BZ18" s="48">
        <v>0</v>
      </c>
      <c r="CA18" s="71">
        <v>0</v>
      </c>
      <c r="CB18" s="321">
        <v>3.3163384703196342E-3</v>
      </c>
      <c r="CC18" s="321">
        <v>0.83717568000000009</v>
      </c>
      <c r="CD18" s="321">
        <v>9.8287200000000005E-2</v>
      </c>
      <c r="CE18" s="321">
        <v>0</v>
      </c>
      <c r="CF18" s="321">
        <v>0</v>
      </c>
      <c r="CG18" s="42">
        <v>0</v>
      </c>
      <c r="CH18" s="42">
        <v>0</v>
      </c>
      <c r="CI18" s="42">
        <v>0</v>
      </c>
      <c r="CJ18" s="42">
        <v>0</v>
      </c>
      <c r="CK18" s="42">
        <v>0</v>
      </c>
      <c r="CL18" s="151" t="str">
        <f t="shared" si="0"/>
        <v>OK</v>
      </c>
      <c r="CM18" s="152" t="str">
        <f t="shared" si="1"/>
        <v>OK</v>
      </c>
      <c r="CN18" s="153" t="str">
        <f t="shared" si="2"/>
        <v>OK</v>
      </c>
      <c r="CO18" s="327">
        <f t="shared" si="3"/>
        <v>665.40444444444438</v>
      </c>
      <c r="CP18" s="328"/>
      <c r="CQ18" s="326"/>
      <c r="CR18" s="326" t="e">
        <v>#N/A</v>
      </c>
      <c r="CS18" s="328">
        <v>1100</v>
      </c>
      <c r="CT18" s="327">
        <v>5.0422580645161288</v>
      </c>
      <c r="CU18" s="327">
        <f>VLOOKUP(B18,Tabelle2!$AL$2:$AM$82,2,)</f>
        <v>5.0422580645161288</v>
      </c>
      <c r="CV18">
        <v>5.5</v>
      </c>
      <c r="CW18">
        <v>0.1</v>
      </c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N18" s="31"/>
      <c r="DO18" s="136" t="e">
        <v>#N/A</v>
      </c>
      <c r="DP18" s="136" t="e">
        <v>#N/A</v>
      </c>
      <c r="DQ18">
        <f t="shared" si="4"/>
        <v>1100</v>
      </c>
      <c r="DR18" s="147"/>
      <c r="DS18" s="147"/>
      <c r="DT18" s="147"/>
      <c r="DU18" s="147"/>
      <c r="DV18" s="147"/>
      <c r="DW18" s="147"/>
      <c r="DY18" s="48"/>
      <c r="DZ18" s="48"/>
      <c r="EA18" s="48"/>
      <c r="EC18" s="61">
        <v>104.66300026730009</v>
      </c>
      <c r="ED18" s="27">
        <v>101.52543213835536</v>
      </c>
      <c r="EE18" s="27">
        <v>4.7398123822618103</v>
      </c>
      <c r="EG18" s="39" t="s">
        <v>690</v>
      </c>
      <c r="EH18" s="63">
        <v>1100</v>
      </c>
      <c r="EI18" s="31">
        <v>4.4678178947368419E-2</v>
      </c>
      <c r="EJ18" s="31">
        <v>6.6172732863368569E-2</v>
      </c>
      <c r="EM18">
        <v>0</v>
      </c>
      <c r="EN18">
        <v>0</v>
      </c>
    </row>
    <row r="19" spans="1:144" ht="15">
      <c r="A19" s="281" t="s">
        <v>691</v>
      </c>
      <c r="B19" s="282">
        <v>1110</v>
      </c>
      <c r="C19" s="63">
        <v>5000</v>
      </c>
      <c r="D19" s="63" t="s">
        <v>435</v>
      </c>
      <c r="E19" s="94" t="s">
        <v>429</v>
      </c>
      <c r="F19" s="135" t="s">
        <v>427</v>
      </c>
      <c r="G19" s="61">
        <v>201.54418290800001</v>
      </c>
      <c r="H19" s="291">
        <v>9.2517753702384855E-5</v>
      </c>
      <c r="I19" s="291">
        <v>4.6334208652268087E-3</v>
      </c>
      <c r="J19" s="291">
        <v>0.20519754818195887</v>
      </c>
      <c r="K19" s="291">
        <v>3.2638750478886163</v>
      </c>
      <c r="L19" s="291">
        <v>34.15784406385081</v>
      </c>
      <c r="M19" s="291">
        <v>77.425236744187529</v>
      </c>
      <c r="N19" s="291">
        <v>9.7555895014247405</v>
      </c>
      <c r="O19" s="300">
        <v>0</v>
      </c>
      <c r="P19" s="292">
        <v>75.92604286375871</v>
      </c>
      <c r="Q19" s="291">
        <v>0</v>
      </c>
      <c r="R19" s="291">
        <v>0</v>
      </c>
      <c r="S19" s="291">
        <v>5.3326823524988201E-3</v>
      </c>
      <c r="T19" s="291">
        <v>0.80033851773620412</v>
      </c>
      <c r="U19" s="306">
        <v>269.48943125236195</v>
      </c>
      <c r="V19" s="136">
        <v>2.5406686261590603</v>
      </c>
      <c r="W19" s="306">
        <v>0</v>
      </c>
      <c r="X19" s="136">
        <v>0</v>
      </c>
      <c r="Y19" s="306">
        <v>0.115655174671879</v>
      </c>
      <c r="Z19" s="306">
        <v>0</v>
      </c>
      <c r="AA19" s="306">
        <v>0</v>
      </c>
      <c r="AB19" s="312">
        <v>113.67612479936756</v>
      </c>
      <c r="AC19" s="312">
        <v>0.60242528906149029</v>
      </c>
      <c r="AD19" s="312">
        <v>0.74676315019172834</v>
      </c>
      <c r="AE19" s="312">
        <v>0</v>
      </c>
      <c r="AF19" s="312">
        <v>0</v>
      </c>
      <c r="AG19" s="312">
        <v>3.1566104107087656E-2</v>
      </c>
      <c r="AH19" s="19">
        <v>0</v>
      </c>
      <c r="AI19" s="19">
        <v>1.6685782557615019</v>
      </c>
      <c r="AJ19" s="19">
        <v>0</v>
      </c>
      <c r="AK19" s="19">
        <v>199.87560465223851</v>
      </c>
      <c r="AL19" s="19">
        <v>604.99203187299997</v>
      </c>
      <c r="AM19" s="19">
        <v>4.3979999999999997</v>
      </c>
      <c r="AN19" s="19"/>
      <c r="AO19" s="19"/>
      <c r="AP19" s="305">
        <v>3.32495792634161</v>
      </c>
      <c r="AQ19">
        <v>8.6769230000000004</v>
      </c>
      <c r="AR19" s="351"/>
      <c r="AS19" s="347"/>
      <c r="AT19" s="349"/>
      <c r="AU19" s="312">
        <v>1042.7172690215714</v>
      </c>
      <c r="AV19" s="312">
        <v>979.47586510686392</v>
      </c>
      <c r="AW19" s="312">
        <v>603.23722807314277</v>
      </c>
      <c r="AX19" s="312">
        <v>535.77794133876409</v>
      </c>
      <c r="AY19" s="333">
        <v>674.86223450357136</v>
      </c>
      <c r="AZ19">
        <v>966.87579400279833</v>
      </c>
      <c r="BA19">
        <v>620.60942362709875</v>
      </c>
      <c r="BB19" s="48">
        <v>1162.0996302878632</v>
      </c>
      <c r="BC19" s="48">
        <v>696.84475694355115</v>
      </c>
      <c r="BD19" s="48">
        <v>34.97757605155568</v>
      </c>
      <c r="BE19" s="310">
        <v>5.7599502569882104E-2</v>
      </c>
      <c r="BF19" s="310">
        <v>0.55357412846073706</v>
      </c>
      <c r="BG19" s="310">
        <v>0.86469389387953532</v>
      </c>
      <c r="BH19" s="310">
        <v>1.5686486871071759</v>
      </c>
      <c r="BI19" s="310">
        <v>3.1413820301182667</v>
      </c>
      <c r="BJ19" s="305">
        <v>9.8987116846591158E-2</v>
      </c>
      <c r="BK19" s="48">
        <v>8.8963500000000001E-2</v>
      </c>
      <c r="BL19" s="48">
        <v>3643.8888888888896</v>
      </c>
      <c r="BM19" s="48">
        <v>1</v>
      </c>
      <c r="BN19" s="48">
        <v>0</v>
      </c>
      <c r="BO19" s="48">
        <v>1.3850185039136524</v>
      </c>
      <c r="BP19" s="314">
        <v>49.065772912429452</v>
      </c>
      <c r="BQ19" s="314">
        <v>47.359329462149084</v>
      </c>
      <c r="BR19" s="316">
        <v>266.09165873848372</v>
      </c>
      <c r="BS19" s="318">
        <v>14823.44261051598</v>
      </c>
      <c r="BT19" s="188">
        <v>12020.455943849314</v>
      </c>
      <c r="BU19" s="188">
        <v>12020.455943849314</v>
      </c>
      <c r="BV19" s="48">
        <v>2802.9866666666662</v>
      </c>
      <c r="BW19" s="48">
        <v>50</v>
      </c>
      <c r="BX19" s="48">
        <v>37</v>
      </c>
      <c r="BY19" s="48">
        <v>43</v>
      </c>
      <c r="BZ19" s="48">
        <v>0</v>
      </c>
      <c r="CA19" s="71">
        <v>0</v>
      </c>
      <c r="CB19" s="321">
        <v>3.1345237347793001E-2</v>
      </c>
      <c r="CC19" s="321">
        <v>2.9243637583333331</v>
      </c>
      <c r="CD19" s="321">
        <v>0.91144875000000014</v>
      </c>
      <c r="CE19" s="321">
        <v>0</v>
      </c>
      <c r="CF19" s="321">
        <v>0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151" t="str">
        <f t="shared" si="0"/>
        <v>OK</v>
      </c>
      <c r="CM19" s="152" t="str">
        <f t="shared" si="1"/>
        <v>OK</v>
      </c>
      <c r="CN19" s="153" t="str">
        <f t="shared" si="2"/>
        <v>OK</v>
      </c>
      <c r="CO19" s="327">
        <f t="shared" si="3"/>
        <v>1868.6577777777773</v>
      </c>
      <c r="CP19" s="328"/>
      <c r="CQ19" s="326"/>
      <c r="CR19" s="326">
        <v>369.43857888082761</v>
      </c>
      <c r="CS19" s="328">
        <v>1110</v>
      </c>
      <c r="CT19" s="327">
        <v>3.5790322580645162</v>
      </c>
      <c r="CU19" s="327">
        <f>VLOOKUP(B19,Tabelle2!$AL$2:$AM$82,2,)</f>
        <v>3.5790322580645162</v>
      </c>
      <c r="CV19">
        <v>5.5</v>
      </c>
      <c r="CW19">
        <v>0.1</v>
      </c>
      <c r="CY19" s="147"/>
      <c r="CZ19" s="147"/>
      <c r="DA19" s="268">
        <v>0.12</v>
      </c>
      <c r="DB19" s="268">
        <v>0.15</v>
      </c>
      <c r="DC19" s="268">
        <v>0.06</v>
      </c>
      <c r="DD19" s="268">
        <v>0.09</v>
      </c>
      <c r="DE19" s="268"/>
      <c r="DF19" s="268"/>
      <c r="DG19" s="268"/>
      <c r="DH19" s="268"/>
      <c r="DI19" s="268"/>
      <c r="DJ19" s="268"/>
      <c r="DK19" s="268">
        <v>2.5</v>
      </c>
      <c r="DL19" s="268">
        <v>3.2</v>
      </c>
      <c r="DN19" s="31"/>
      <c r="DO19" s="136">
        <v>3.7525357420882766</v>
      </c>
      <c r="DP19" s="136">
        <v>369.43857888082761</v>
      </c>
      <c r="DQ19">
        <f t="shared" si="4"/>
        <v>1110</v>
      </c>
      <c r="DR19" s="147"/>
      <c r="DS19" s="147"/>
      <c r="DT19" s="147"/>
      <c r="DU19" s="147"/>
      <c r="DV19" s="147"/>
      <c r="DW19" s="147"/>
      <c r="DY19" s="48"/>
      <c r="DZ19" s="48">
        <v>223.47479523723396</v>
      </c>
      <c r="EA19" s="48">
        <v>5.4313505072193111</v>
      </c>
      <c r="EC19" s="61">
        <v>166.18349704394501</v>
      </c>
      <c r="ED19" s="27">
        <v>159.98122380822682</v>
      </c>
      <c r="EE19" s="27">
        <v>9.3991241480598848</v>
      </c>
      <c r="EG19" s="39" t="s">
        <v>691</v>
      </c>
      <c r="EH19" s="63">
        <v>1110</v>
      </c>
      <c r="EI19" s="31">
        <v>3.9697213157894741E-2</v>
      </c>
      <c r="EJ19" s="31">
        <v>7.0623731005683546E-2</v>
      </c>
      <c r="EM19">
        <v>0</v>
      </c>
      <c r="EN19">
        <v>0</v>
      </c>
    </row>
    <row r="20" spans="1:144" ht="15">
      <c r="A20" s="281" t="s">
        <v>692</v>
      </c>
      <c r="B20" s="282">
        <v>1120</v>
      </c>
      <c r="C20" s="63">
        <v>1130</v>
      </c>
      <c r="D20" s="63" t="s">
        <v>435</v>
      </c>
      <c r="E20" s="94" t="s">
        <v>429</v>
      </c>
      <c r="F20" s="135" t="s">
        <v>427</v>
      </c>
      <c r="G20" s="61">
        <v>108.905833594</v>
      </c>
      <c r="H20" s="291">
        <v>0</v>
      </c>
      <c r="I20" s="291">
        <v>4.9526798160214741E-2</v>
      </c>
      <c r="J20" s="291">
        <v>0.21405341515238688</v>
      </c>
      <c r="K20" s="291">
        <v>1.6682076634178691</v>
      </c>
      <c r="L20" s="291">
        <v>9.2259385093741759</v>
      </c>
      <c r="M20" s="291">
        <v>37.98265919085577</v>
      </c>
      <c r="N20" s="291">
        <v>3.9757076642102041</v>
      </c>
      <c r="O20" s="300">
        <v>0</v>
      </c>
      <c r="P20" s="292">
        <v>55.324723129871423</v>
      </c>
      <c r="Q20" s="291">
        <v>0</v>
      </c>
      <c r="R20" s="291">
        <v>0</v>
      </c>
      <c r="S20" s="291">
        <v>7.5897329837699397E-3</v>
      </c>
      <c r="T20" s="291">
        <v>0.45742748997418581</v>
      </c>
      <c r="U20" s="306">
        <v>104.57562077487461</v>
      </c>
      <c r="V20" s="136">
        <v>3.6061753336574176</v>
      </c>
      <c r="W20" s="306">
        <v>0</v>
      </c>
      <c r="X20" s="136">
        <v>0</v>
      </c>
      <c r="Y20" s="306">
        <v>8.030946583392079E-2</v>
      </c>
      <c r="Z20" s="306">
        <v>0</v>
      </c>
      <c r="AA20" s="306">
        <v>0</v>
      </c>
      <c r="AB20" s="312">
        <v>48.727568516557575</v>
      </c>
      <c r="AC20" s="312">
        <v>4.2027451896243656E-2</v>
      </c>
      <c r="AD20" s="312">
        <v>0</v>
      </c>
      <c r="AE20" s="312">
        <v>0</v>
      </c>
      <c r="AF20" s="312">
        <v>0</v>
      </c>
      <c r="AG20" s="312">
        <v>0.37078960850660286</v>
      </c>
      <c r="AH20" s="19">
        <v>0</v>
      </c>
      <c r="AI20" s="19">
        <v>2.543453550294787</v>
      </c>
      <c r="AJ20" s="19">
        <v>0</v>
      </c>
      <c r="AK20" s="19">
        <v>106.3623800437052</v>
      </c>
      <c r="AL20" s="19">
        <v>737.14184397199995</v>
      </c>
      <c r="AM20" s="19">
        <v>5.7278000000000002</v>
      </c>
      <c r="AN20" s="19"/>
      <c r="AO20" s="19"/>
      <c r="AP20" s="305">
        <v>1.6396631659407199</v>
      </c>
      <c r="AQ20" s="341">
        <v>9.321574468084</v>
      </c>
      <c r="AR20" s="351"/>
      <c r="AS20" s="346"/>
      <c r="AT20" s="249"/>
      <c r="AU20" s="312">
        <v>973.58132912971439</v>
      </c>
      <c r="AV20" s="312">
        <v>940.20803155048725</v>
      </c>
      <c r="AW20" s="312">
        <v>597.75087542628569</v>
      </c>
      <c r="AX20" s="312">
        <v>544.00499474526578</v>
      </c>
      <c r="AY20" s="333">
        <v>644.04371725071439</v>
      </c>
      <c r="AZ20">
        <v>762.22667962738501</v>
      </c>
      <c r="BA20">
        <v>583.69759182230541</v>
      </c>
      <c r="BB20" s="48">
        <v>1072.6277791296375</v>
      </c>
      <c r="BC20" s="48">
        <v>737.11379628655629</v>
      </c>
      <c r="BD20" s="48">
        <v>34.951315139976025</v>
      </c>
      <c r="BE20" s="310">
        <v>0</v>
      </c>
      <c r="BF20" s="310">
        <v>0.539067406085873</v>
      </c>
      <c r="BG20" s="310">
        <v>0.72800120293736492</v>
      </c>
      <c r="BH20" s="310">
        <v>1.1139361948492181</v>
      </c>
      <c r="BI20" s="310">
        <v>2.8899584775311595</v>
      </c>
      <c r="BJ20" s="305">
        <v>0.10859558005906568</v>
      </c>
      <c r="BK20" s="48">
        <v>9.3595100000000001E-2</v>
      </c>
      <c r="BL20" s="48">
        <v>2585</v>
      </c>
      <c r="BM20" s="48">
        <v>1</v>
      </c>
      <c r="BN20" s="48">
        <v>0</v>
      </c>
      <c r="BO20" s="48">
        <v>2.4046838886338895</v>
      </c>
      <c r="BP20" s="314">
        <v>47.266834051440263</v>
      </c>
      <c r="BQ20" s="314">
        <v>44.50741107218731</v>
      </c>
      <c r="BR20" s="316">
        <v>236.85810814289079</v>
      </c>
      <c r="BS20" s="318">
        <v>6219.0848681299585</v>
      </c>
      <c r="BT20" s="188">
        <v>5041.9648681299586</v>
      </c>
      <c r="BU20" s="188">
        <v>5041.9648681299586</v>
      </c>
      <c r="BV20" s="48">
        <v>1177.1200000000001</v>
      </c>
      <c r="BW20" s="48">
        <v>50</v>
      </c>
      <c r="BX20" s="48">
        <v>37</v>
      </c>
      <c r="BY20" s="48">
        <v>43</v>
      </c>
      <c r="BZ20" s="48">
        <v>0</v>
      </c>
      <c r="CA20" s="71">
        <v>0</v>
      </c>
      <c r="CB20" s="321">
        <v>0</v>
      </c>
      <c r="CC20" s="321">
        <v>0</v>
      </c>
      <c r="CD20" s="321">
        <v>0</v>
      </c>
      <c r="CE20" s="321">
        <v>0</v>
      </c>
      <c r="CF20" s="321">
        <v>0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151" t="str">
        <f t="shared" si="0"/>
        <v>OK</v>
      </c>
      <c r="CM20" s="152" t="str">
        <f t="shared" si="1"/>
        <v>OK</v>
      </c>
      <c r="CN20" s="153" t="str">
        <f t="shared" si="2"/>
        <v>OK</v>
      </c>
      <c r="CO20" s="327">
        <f t="shared" si="3"/>
        <v>784.74666666666656</v>
      </c>
      <c r="CP20" s="328"/>
      <c r="CQ20" s="326"/>
      <c r="CR20" s="326" t="e">
        <v>#N/A</v>
      </c>
      <c r="CS20" s="328">
        <v>1120</v>
      </c>
      <c r="CT20" s="327">
        <v>3.0077419354838715</v>
      </c>
      <c r="CU20" s="327">
        <f>VLOOKUP(B20,Tabelle2!$AL$2:$AM$82,2,)</f>
        <v>3.0077419354838715</v>
      </c>
      <c r="CV20">
        <v>5.5</v>
      </c>
      <c r="CW20">
        <v>0.1</v>
      </c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N20" s="31"/>
      <c r="DO20" s="136" t="e">
        <v>#N/A</v>
      </c>
      <c r="DP20" s="136" t="e">
        <v>#N/A</v>
      </c>
      <c r="DQ20">
        <f t="shared" si="4"/>
        <v>1120</v>
      </c>
      <c r="DR20" s="147"/>
      <c r="DS20" s="147"/>
      <c r="DT20" s="147"/>
      <c r="DU20" s="147"/>
      <c r="DV20" s="147"/>
      <c r="DW20" s="147"/>
      <c r="DY20" s="48"/>
      <c r="DZ20" s="48"/>
      <c r="EA20" s="48"/>
      <c r="EC20" s="61">
        <v>80.440409110452649</v>
      </c>
      <c r="ED20" s="27">
        <v>76.766037939319872</v>
      </c>
      <c r="EE20" s="27">
        <v>3.3534314643982071</v>
      </c>
      <c r="EG20" s="39" t="s">
        <v>692</v>
      </c>
      <c r="EH20" s="63">
        <v>1120</v>
      </c>
      <c r="EI20" s="31">
        <v>2.053081052631579E-2</v>
      </c>
      <c r="EJ20" s="31">
        <v>7.2399018840906937E-2</v>
      </c>
      <c r="EM20">
        <v>0</v>
      </c>
      <c r="EN20">
        <v>0</v>
      </c>
    </row>
    <row r="21" spans="1:144" ht="15">
      <c r="A21" s="281" t="s">
        <v>693</v>
      </c>
      <c r="B21" s="282">
        <v>1130</v>
      </c>
      <c r="C21" s="63">
        <v>5000</v>
      </c>
      <c r="D21" s="63" t="s">
        <v>435</v>
      </c>
      <c r="E21" s="94" t="s">
        <v>429</v>
      </c>
      <c r="F21" s="135" t="s">
        <v>427</v>
      </c>
      <c r="G21" s="61">
        <v>146.92194418299999</v>
      </c>
      <c r="H21" s="291">
        <v>0</v>
      </c>
      <c r="I21" s="291">
        <v>1.2647800463610625E-2</v>
      </c>
      <c r="J21" s="291">
        <v>0.33371506611758583</v>
      </c>
      <c r="K21" s="291">
        <v>4.18207658620745</v>
      </c>
      <c r="L21" s="291">
        <v>27.583297088892007</v>
      </c>
      <c r="M21" s="291">
        <v>52.12002849556945</v>
      </c>
      <c r="N21" s="291">
        <v>7.0171983632609116</v>
      </c>
      <c r="O21" s="300">
        <v>0.3438133777996914</v>
      </c>
      <c r="P21" s="292">
        <v>53.89178409465444</v>
      </c>
      <c r="Q21" s="291">
        <v>0</v>
      </c>
      <c r="R21" s="291">
        <v>0</v>
      </c>
      <c r="S21" s="291">
        <v>6.8857330358798102E-3</v>
      </c>
      <c r="T21" s="291">
        <v>1.430497576998943</v>
      </c>
      <c r="U21" s="306">
        <v>390.71870728170859</v>
      </c>
      <c r="V21" s="136">
        <v>2.5000542571624038</v>
      </c>
      <c r="W21" s="306">
        <v>13.429408415952162</v>
      </c>
      <c r="X21" s="136">
        <v>20</v>
      </c>
      <c r="Y21" s="306">
        <v>0.18509144118727303</v>
      </c>
      <c r="Z21" s="306">
        <v>0</v>
      </c>
      <c r="AA21" s="306">
        <v>0</v>
      </c>
      <c r="AB21" s="312">
        <v>82.36299405215874</v>
      </c>
      <c r="AC21" s="312">
        <v>1.7760439033459143</v>
      </c>
      <c r="AD21" s="312">
        <v>9.2727081745456338E-2</v>
      </c>
      <c r="AE21" s="312">
        <v>0</v>
      </c>
      <c r="AF21" s="312">
        <v>0</v>
      </c>
      <c r="AG21" s="312">
        <v>0</v>
      </c>
      <c r="AH21" s="19">
        <v>0</v>
      </c>
      <c r="AI21" s="19">
        <v>8.2038423305922361</v>
      </c>
      <c r="AJ21" s="19">
        <v>0</v>
      </c>
      <c r="AK21" s="19">
        <v>138.71810185240776</v>
      </c>
      <c r="AL21" s="19">
        <v>578.74074074099997</v>
      </c>
      <c r="AM21" s="19">
        <v>3.3214999999999999</v>
      </c>
      <c r="AN21" s="19"/>
      <c r="AO21" s="19"/>
      <c r="AP21" s="305">
        <v>2.4863612845605201</v>
      </c>
      <c r="AQ21" s="341">
        <v>9.7967777777769989</v>
      </c>
      <c r="AR21" s="351"/>
      <c r="AS21" s="346"/>
      <c r="AT21" s="249"/>
      <c r="AU21" s="312">
        <v>965.43305834314287</v>
      </c>
      <c r="AV21" s="312">
        <v>901.16280140055733</v>
      </c>
      <c r="AW21" s="312">
        <v>587.04792546914291</v>
      </c>
      <c r="AX21" s="312">
        <v>508.80714611050348</v>
      </c>
      <c r="AY21" s="333">
        <v>683.8592887622857</v>
      </c>
      <c r="AZ21">
        <v>872.02094319775119</v>
      </c>
      <c r="BA21">
        <v>595.97489895420699</v>
      </c>
      <c r="BB21" s="48">
        <v>1083.3458410182141</v>
      </c>
      <c r="BC21" s="48">
        <v>683.81450041155892</v>
      </c>
      <c r="BD21" s="48">
        <v>34.951315139976025</v>
      </c>
      <c r="BE21" s="310">
        <v>0</v>
      </c>
      <c r="BF21" s="310">
        <v>0.5246028483384535</v>
      </c>
      <c r="BG21" s="310">
        <v>0.9411071296416732</v>
      </c>
      <c r="BH21" s="310">
        <v>1.8785108682887965</v>
      </c>
      <c r="BI21" s="310">
        <v>3.4210366923424886</v>
      </c>
      <c r="BJ21" s="305">
        <v>0.10645431302349652</v>
      </c>
      <c r="BK21" s="48">
        <v>0.10012399999999999</v>
      </c>
      <c r="BL21" s="48">
        <v>2101.875</v>
      </c>
      <c r="BM21" s="48">
        <v>1</v>
      </c>
      <c r="BN21" s="48">
        <v>0</v>
      </c>
      <c r="BO21" s="48">
        <v>2.6739156129815997</v>
      </c>
      <c r="BP21" s="314">
        <v>50.813718820002741</v>
      </c>
      <c r="BQ21" s="314">
        <v>48.477739342828855</v>
      </c>
      <c r="BR21" s="316">
        <v>301.61608463094899</v>
      </c>
      <c r="BS21" s="318">
        <v>12654.107445366502</v>
      </c>
      <c r="BT21" s="188">
        <v>10274.294112033171</v>
      </c>
      <c r="BU21" s="188">
        <v>10274.294112033171</v>
      </c>
      <c r="BV21" s="48">
        <v>2379.8133333333326</v>
      </c>
      <c r="BW21" s="48">
        <v>50</v>
      </c>
      <c r="BX21" s="48">
        <v>37</v>
      </c>
      <c r="BY21" s="48">
        <v>43</v>
      </c>
      <c r="BZ21" s="48">
        <v>0</v>
      </c>
      <c r="CA21" s="71">
        <v>0</v>
      </c>
      <c r="CB21" s="321">
        <v>8.645977776720784E-2</v>
      </c>
      <c r="CC21" s="321">
        <v>0</v>
      </c>
      <c r="CD21" s="321">
        <v>0</v>
      </c>
      <c r="CE21" s="321">
        <v>7.1078833333333336</v>
      </c>
      <c r="CF21" s="321">
        <v>2.4520211666666665</v>
      </c>
      <c r="CG21" s="42">
        <v>0</v>
      </c>
      <c r="CH21" s="42">
        <v>0</v>
      </c>
      <c r="CI21" s="42">
        <v>0</v>
      </c>
      <c r="CJ21" s="42">
        <v>0</v>
      </c>
      <c r="CK21" s="42">
        <v>0</v>
      </c>
      <c r="CL21" s="151" t="str">
        <f t="shared" si="0"/>
        <v>OK</v>
      </c>
      <c r="CM21" s="152" t="str">
        <f t="shared" si="1"/>
        <v>OK</v>
      </c>
      <c r="CN21" s="153" t="str">
        <f t="shared" si="2"/>
        <v>OK</v>
      </c>
      <c r="CO21" s="327">
        <f t="shared" si="3"/>
        <v>1586.5422222222212</v>
      </c>
      <c r="CP21" s="328"/>
      <c r="CQ21" s="326"/>
      <c r="CR21" s="326" t="e">
        <v>#N/A</v>
      </c>
      <c r="CS21" s="328">
        <v>1130</v>
      </c>
      <c r="CT21" s="327">
        <v>2.1677419354838712</v>
      </c>
      <c r="CU21" s="327">
        <f>VLOOKUP(B21,Tabelle2!$AL$2:$AM$82,2,)</f>
        <v>2.1677419354838712</v>
      </c>
      <c r="CV21">
        <v>5.5</v>
      </c>
      <c r="CW21">
        <v>0.1</v>
      </c>
      <c r="CY21" s="147"/>
      <c r="CZ21" s="147"/>
      <c r="DA21" s="268">
        <v>0.06</v>
      </c>
      <c r="DB21" s="268">
        <v>0.08</v>
      </c>
      <c r="DC21" s="268">
        <v>2.5000000000000001E-2</v>
      </c>
      <c r="DD21" s="268">
        <v>0.04</v>
      </c>
      <c r="DE21" s="268"/>
      <c r="DF21" s="268"/>
      <c r="DG21" s="268"/>
      <c r="DH21" s="268"/>
      <c r="DI21" s="268"/>
      <c r="DJ21" s="268"/>
      <c r="DK21" s="268">
        <v>1.4</v>
      </c>
      <c r="DL21" s="268">
        <v>2.2000000000000002</v>
      </c>
      <c r="DN21" s="31"/>
      <c r="DO21" s="136" t="e">
        <v>#N/A</v>
      </c>
      <c r="DP21" s="136" t="e">
        <v>#N/A</v>
      </c>
      <c r="DQ21">
        <f t="shared" si="4"/>
        <v>1130</v>
      </c>
      <c r="DR21" s="147"/>
      <c r="DS21" s="147"/>
      <c r="DT21" s="147"/>
      <c r="DU21" s="147"/>
      <c r="DV21" s="147"/>
      <c r="DW21" s="147"/>
      <c r="DY21" s="48"/>
      <c r="DZ21" s="48"/>
      <c r="EA21" s="48"/>
      <c r="EC21" s="61">
        <v>347.55645185710159</v>
      </c>
      <c r="ED21" s="27">
        <v>332.79790153924364</v>
      </c>
      <c r="EE21" s="27">
        <v>18.520173826652901</v>
      </c>
      <c r="EG21" s="39" t="s">
        <v>693</v>
      </c>
      <c r="EH21" s="63">
        <v>1130</v>
      </c>
      <c r="EI21" s="31">
        <v>4.3740021052631577E-2</v>
      </c>
      <c r="EJ21" s="31">
        <v>7.0492352683354173E-2</v>
      </c>
      <c r="EM21">
        <v>0</v>
      </c>
      <c r="EN21">
        <v>0</v>
      </c>
    </row>
    <row r="22" spans="1:144" ht="15">
      <c r="A22" s="281" t="s">
        <v>693</v>
      </c>
      <c r="B22" s="282">
        <v>1140</v>
      </c>
      <c r="C22" s="63">
        <v>1130</v>
      </c>
      <c r="D22" s="63" t="s">
        <v>435</v>
      </c>
      <c r="E22" s="94" t="s">
        <v>429</v>
      </c>
      <c r="F22" s="135" t="s">
        <v>427</v>
      </c>
      <c r="G22" s="61">
        <v>151.24129567</v>
      </c>
      <c r="H22" s="291">
        <v>0</v>
      </c>
      <c r="I22" s="291">
        <v>2.1876974381067889E-2</v>
      </c>
      <c r="J22" s="291">
        <v>0.25863205913783355</v>
      </c>
      <c r="K22" s="291">
        <v>3.4138559275096583</v>
      </c>
      <c r="L22" s="291">
        <v>8.5874433808559871</v>
      </c>
      <c r="M22" s="291">
        <v>36.788185587396455</v>
      </c>
      <c r="N22" s="291">
        <v>6.0629332502171343</v>
      </c>
      <c r="O22" s="300">
        <v>0</v>
      </c>
      <c r="P22" s="292">
        <v>95.177428143928807</v>
      </c>
      <c r="Q22" s="291">
        <v>0</v>
      </c>
      <c r="R22" s="291">
        <v>0</v>
      </c>
      <c r="S22" s="291">
        <v>1.78445772368045E-2</v>
      </c>
      <c r="T22" s="291">
        <v>0.91309576933623293</v>
      </c>
      <c r="U22" s="306">
        <v>134.37701079149281</v>
      </c>
      <c r="V22" s="136">
        <v>4.3558787592145656</v>
      </c>
      <c r="W22" s="306">
        <v>0</v>
      </c>
      <c r="X22" s="136">
        <v>0</v>
      </c>
      <c r="Y22" s="306">
        <v>0.32776580230282298</v>
      </c>
      <c r="Z22" s="306">
        <v>0</v>
      </c>
      <c r="AA22" s="306">
        <v>0</v>
      </c>
      <c r="AB22" s="312">
        <v>43.897712883563123</v>
      </c>
      <c r="AC22" s="312">
        <v>1.3425974549293089</v>
      </c>
      <c r="AD22" s="312">
        <v>3.3892103703320284</v>
      </c>
      <c r="AE22" s="312">
        <v>0</v>
      </c>
      <c r="AF22" s="312">
        <v>0.44047322045654774</v>
      </c>
      <c r="AG22" s="312">
        <v>0</v>
      </c>
      <c r="AH22" s="19">
        <v>0</v>
      </c>
      <c r="AI22" s="19">
        <v>5.2571031503677412</v>
      </c>
      <c r="AJ22" s="19">
        <v>0</v>
      </c>
      <c r="AK22" s="19">
        <v>145.98419251963224</v>
      </c>
      <c r="AL22" s="19">
        <v>762.72527472499996</v>
      </c>
      <c r="AM22" s="19">
        <v>7.2407000000000004</v>
      </c>
      <c r="AN22" s="19"/>
      <c r="AO22" s="19"/>
      <c r="AP22" s="305">
        <v>3.3566664236659198</v>
      </c>
      <c r="AQ22">
        <v>8.8923079999999999</v>
      </c>
      <c r="AR22" s="351">
        <v>176.29511223699981</v>
      </c>
      <c r="AS22" s="346">
        <v>160.26828385181801</v>
      </c>
      <c r="AT22" s="330">
        <v>6.7155726656676897</v>
      </c>
      <c r="AU22" s="312">
        <v>1072.0187391710001</v>
      </c>
      <c r="AV22" s="312">
        <v>1065.9926969409278</v>
      </c>
      <c r="AW22" s="312">
        <v>609.20382895742853</v>
      </c>
      <c r="AX22" s="312">
        <v>565.21932678119367</v>
      </c>
      <c r="AY22" s="333">
        <v>636.53904221185712</v>
      </c>
      <c r="AZ22">
        <v>885.70095477086238</v>
      </c>
      <c r="BA22">
        <v>681.40412187502068</v>
      </c>
      <c r="BB22" s="48">
        <v>1367.3833666217324</v>
      </c>
      <c r="BC22" s="48">
        <v>949.63801870567386</v>
      </c>
      <c r="BD22" s="48">
        <v>34.951315139976025</v>
      </c>
      <c r="BE22" s="310">
        <v>0</v>
      </c>
      <c r="BF22" s="310">
        <v>1.1009040770621219</v>
      </c>
      <c r="BG22" s="310">
        <v>1.8523480455661538</v>
      </c>
      <c r="BH22" s="310">
        <v>1.9012884321878605</v>
      </c>
      <c r="BI22" s="310">
        <v>3.3432921408849112</v>
      </c>
      <c r="BJ22" s="305">
        <v>0.1210694707776729</v>
      </c>
      <c r="BK22" s="48">
        <v>9.8268900000000006E-2</v>
      </c>
      <c r="BL22" s="48">
        <v>2157.5</v>
      </c>
      <c r="BM22" s="48">
        <v>1</v>
      </c>
      <c r="BN22" s="48">
        <v>0</v>
      </c>
      <c r="BO22" s="48">
        <v>2.6396343569838812</v>
      </c>
      <c r="BP22" s="314">
        <v>42.625393406582035</v>
      </c>
      <c r="BQ22" s="314">
        <v>40.242237720858284</v>
      </c>
      <c r="BR22" s="316">
        <v>218.58812033308277</v>
      </c>
      <c r="BS22" s="318">
        <v>7713.0134469742625</v>
      </c>
      <c r="BT22" s="188">
        <v>6250.6667803075961</v>
      </c>
      <c r="BU22" s="188">
        <v>6250.6667803075961</v>
      </c>
      <c r="BV22" s="48">
        <v>1462.3466666666668</v>
      </c>
      <c r="BW22" s="48">
        <v>50</v>
      </c>
      <c r="BX22" s="48">
        <v>37</v>
      </c>
      <c r="BY22" s="48">
        <v>43</v>
      </c>
      <c r="BZ22" s="48">
        <v>0</v>
      </c>
      <c r="CA22" s="71">
        <v>0</v>
      </c>
      <c r="CB22" s="321">
        <v>4.3331152122442075E-2</v>
      </c>
      <c r="CC22" s="321">
        <v>0</v>
      </c>
      <c r="CD22" s="321">
        <v>0</v>
      </c>
      <c r="CE22" s="321">
        <v>1.00709475</v>
      </c>
      <c r="CF22" s="321">
        <v>0.97649116666666669</v>
      </c>
      <c r="CG22" s="42">
        <v>0</v>
      </c>
      <c r="CH22" s="42">
        <v>0</v>
      </c>
      <c r="CI22" s="42">
        <v>0</v>
      </c>
      <c r="CJ22" s="42">
        <v>0</v>
      </c>
      <c r="CK22" s="42">
        <v>0</v>
      </c>
      <c r="CL22" s="151" t="str">
        <f t="shared" si="0"/>
        <v>OK</v>
      </c>
      <c r="CM22" s="152" t="str">
        <f t="shared" si="1"/>
        <v>OK</v>
      </c>
      <c r="CN22" s="153" t="str">
        <f t="shared" si="2"/>
        <v>OK</v>
      </c>
      <c r="CO22" s="327">
        <f t="shared" si="3"/>
        <v>974.89777777777761</v>
      </c>
      <c r="CP22" s="328"/>
      <c r="CQ22" s="326">
        <v>2.3018994794524801</v>
      </c>
      <c r="CR22" s="326" t="e">
        <v>#N/A</v>
      </c>
      <c r="CS22" s="328">
        <v>1140</v>
      </c>
      <c r="CT22" s="327">
        <v>1.4790322580645161</v>
      </c>
      <c r="CU22" s="327">
        <f>VLOOKUP(B22,Tabelle2!$AL$2:$AM$82,2,)</f>
        <v>1.4790322580645161</v>
      </c>
      <c r="CV22">
        <v>5.5</v>
      </c>
      <c r="CW22">
        <v>0.08</v>
      </c>
      <c r="CY22" s="147">
        <f>VLOOKUP($B22,Tabelle2!$J$3:$W$38,3,)</f>
        <v>2.9545454545454546</v>
      </c>
      <c r="CZ22" s="147">
        <f>VLOOKUP($B22,Tabelle2!$J$3:$W$38,4,)</f>
        <v>5</v>
      </c>
      <c r="DA22" s="147">
        <f>VLOOKUP($B22,Tabelle2!$J$3:$W$38,5,)</f>
        <v>5.7239583333333288E-2</v>
      </c>
      <c r="DB22" s="147">
        <f>VLOOKUP($B22,Tabelle2!$J$3:$W$38,6,)</f>
        <v>8.4499999999999992E-2</v>
      </c>
      <c r="DC22" s="147">
        <f>VLOOKUP($B22,Tabelle2!$J$3:$W$38,7,)</f>
        <v>2.5723958333333314E-2</v>
      </c>
      <c r="DD22" s="147">
        <f>VLOOKUP($B22,Tabelle2!$J$3:$W$38,8,)</f>
        <v>4.1000000000000002E-2</v>
      </c>
      <c r="DE22" s="147">
        <f>VLOOKUP($B22,Tabelle2!$J$3:$W$38,9,)</f>
        <v>4.9427083333333363E-3</v>
      </c>
      <c r="DF22" s="147">
        <f>VLOOKUP($B22,Tabelle2!$J$3:$W$38,10,)</f>
        <v>8.9999999999999993E-3</v>
      </c>
      <c r="DG22" s="147">
        <f>VLOOKUP($B22,Tabelle2!$J$3:$W$38,11,)</f>
        <v>1.5239583333333337</v>
      </c>
      <c r="DH22" s="147">
        <f>VLOOKUP($B22,Tabelle2!$J$3:$W$38,12,)</f>
        <v>1.8</v>
      </c>
      <c r="DI22" s="147">
        <f>VLOOKUP($B22,Tabelle2!$J$3:$W$38,13,)</f>
        <v>2.7447916666666645E-2</v>
      </c>
      <c r="DJ22" s="147">
        <f>VLOOKUP($B22,Tabelle2!$J$3:$W$38,14,)</f>
        <v>0.05</v>
      </c>
      <c r="DK22" s="147">
        <f t="shared" si="5"/>
        <v>1.5563489583333336</v>
      </c>
      <c r="DL22" s="147">
        <f t="shared" si="6"/>
        <v>1.859</v>
      </c>
      <c r="DN22" s="31"/>
      <c r="DO22" s="146">
        <f>DS22</f>
        <v>2.2000000000000002</v>
      </c>
      <c r="DP22" s="136" t="e">
        <v>#N/A</v>
      </c>
      <c r="DQ22">
        <f t="shared" si="4"/>
        <v>1140</v>
      </c>
      <c r="DR22" s="147">
        <v>5.6</v>
      </c>
      <c r="DS22" s="147">
        <v>2.2000000000000002</v>
      </c>
      <c r="DT22" s="147">
        <v>2.9</v>
      </c>
      <c r="DU22" s="147">
        <v>0.4</v>
      </c>
      <c r="DV22" s="147">
        <v>173.5</v>
      </c>
      <c r="DW22" s="147">
        <v>176.9</v>
      </c>
      <c r="DY22" s="48"/>
      <c r="DZ22" s="48">
        <f>DW22</f>
        <v>176.9</v>
      </c>
      <c r="EA22" s="48">
        <f>DR22</f>
        <v>5.6</v>
      </c>
      <c r="EC22" s="61">
        <v>131.29402502556317</v>
      </c>
      <c r="ED22" s="27">
        <v>126.79631423373068</v>
      </c>
      <c r="EE22" s="27">
        <v>5.3785286092827924</v>
      </c>
      <c r="EG22" s="39" t="s">
        <v>693</v>
      </c>
      <c r="EH22" s="63">
        <v>1140</v>
      </c>
      <c r="EI22" s="31">
        <v>4.2966000000000002E-3</v>
      </c>
      <c r="EJ22" s="31">
        <v>4.877854616936466E-2</v>
      </c>
      <c r="EM22">
        <v>0</v>
      </c>
      <c r="EN22">
        <v>0</v>
      </c>
    </row>
    <row r="23" spans="1:144" ht="15">
      <c r="A23" s="285" t="s">
        <v>694</v>
      </c>
      <c r="B23" s="286">
        <v>1150</v>
      </c>
      <c r="C23" s="63">
        <v>1160</v>
      </c>
      <c r="D23" s="63" t="s">
        <v>435</v>
      </c>
      <c r="E23" s="94" t="s">
        <v>429</v>
      </c>
      <c r="F23" s="135" t="s">
        <v>427</v>
      </c>
      <c r="G23" s="61">
        <v>312.15736743899998</v>
      </c>
      <c r="H23" s="291">
        <v>0.22528556633267235</v>
      </c>
      <c r="I23" s="291">
        <v>3.190973596219417</v>
      </c>
      <c r="J23" s="291">
        <v>25.021313266474081</v>
      </c>
      <c r="K23" s="291">
        <v>62.209022835464118</v>
      </c>
      <c r="L23" s="291">
        <v>50.909055880010321</v>
      </c>
      <c r="M23" s="291">
        <v>76.613505206888249</v>
      </c>
      <c r="N23" s="291">
        <v>15.995378247648171</v>
      </c>
      <c r="O23" s="300">
        <v>0</v>
      </c>
      <c r="P23" s="292">
        <v>76.494657305781047</v>
      </c>
      <c r="Q23" s="291">
        <v>0</v>
      </c>
      <c r="R23" s="291">
        <v>0</v>
      </c>
      <c r="S23" s="291">
        <v>0</v>
      </c>
      <c r="T23" s="291">
        <v>1.4981755341819101</v>
      </c>
      <c r="U23" s="306">
        <v>386.19546081006786</v>
      </c>
      <c r="V23" s="136">
        <v>2.9096355662599138</v>
      </c>
      <c r="W23" s="306">
        <v>0</v>
      </c>
      <c r="X23" s="136">
        <v>0</v>
      </c>
      <c r="Y23" s="306">
        <v>0.3744874858808</v>
      </c>
      <c r="Z23" s="306">
        <v>0</v>
      </c>
      <c r="AA23" s="306">
        <v>0</v>
      </c>
      <c r="AB23" s="312">
        <v>48.988928112515559</v>
      </c>
      <c r="AC23" s="312">
        <v>52.773230503439422</v>
      </c>
      <c r="AD23" s="312">
        <v>85.682835883684277</v>
      </c>
      <c r="AE23" s="312">
        <v>29.934246827937127</v>
      </c>
      <c r="AF23" s="312">
        <v>0.78991502381250844</v>
      </c>
      <c r="AG23" s="312">
        <v>0</v>
      </c>
      <c r="AH23" s="19">
        <v>181.52759798918976</v>
      </c>
      <c r="AI23" s="19">
        <v>35.972929146366589</v>
      </c>
      <c r="AJ23" s="19">
        <v>5.8408727499181703E-2</v>
      </c>
      <c r="AK23" s="19">
        <v>94.598431575944474</v>
      </c>
      <c r="AL23" s="19">
        <v>437.47802197800002</v>
      </c>
      <c r="AM23" s="19">
        <v>2.1646000000000001</v>
      </c>
      <c r="AN23" s="19"/>
      <c r="AO23" s="19"/>
      <c r="AP23" s="305">
        <v>3.8875125366126402</v>
      </c>
      <c r="AQ23">
        <v>10.128</v>
      </c>
      <c r="AR23" s="351">
        <v>507.02941823151531</v>
      </c>
      <c r="AS23" s="346">
        <v>460.935834755923</v>
      </c>
      <c r="AT23" s="249">
        <v>23.022499597687901</v>
      </c>
      <c r="AU23" s="312">
        <v>912.31092160885703</v>
      </c>
      <c r="AV23" s="312">
        <v>956.84181803962645</v>
      </c>
      <c r="AW23" s="312">
        <v>551.47386722457145</v>
      </c>
      <c r="AX23" s="312">
        <v>537.89665411492945</v>
      </c>
      <c r="AY23" s="333">
        <v>717.71515686757152</v>
      </c>
      <c r="AZ23">
        <v>984.98164550851016</v>
      </c>
      <c r="BA23">
        <v>607.63516363080112</v>
      </c>
      <c r="BB23" s="48">
        <v>1092.3481542217376</v>
      </c>
      <c r="BC23" s="48">
        <v>628.60257908397966</v>
      </c>
      <c r="BD23" s="48">
        <v>34.97757605155568</v>
      </c>
      <c r="BE23" s="310">
        <v>1.9704427888137408</v>
      </c>
      <c r="BF23" s="310">
        <v>3.156372559619387</v>
      </c>
      <c r="BG23" s="310">
        <v>5.8943511930059032</v>
      </c>
      <c r="BH23" s="310">
        <v>9.8693726110243318</v>
      </c>
      <c r="BI23" s="310">
        <v>17.815471493787147</v>
      </c>
      <c r="BJ23" s="305">
        <v>0.30724651418691379</v>
      </c>
      <c r="BK23" s="48">
        <v>0.35033700000000001</v>
      </c>
      <c r="BL23" s="48">
        <v>2869.4117647058797</v>
      </c>
      <c r="BM23" s="48">
        <v>1</v>
      </c>
      <c r="BN23" s="48">
        <v>0</v>
      </c>
      <c r="BO23" s="48">
        <v>24.070235907561035</v>
      </c>
      <c r="BP23" s="314">
        <v>59.853858032081348</v>
      </c>
      <c r="BQ23" s="314">
        <v>61.625755874246792</v>
      </c>
      <c r="BR23" s="316">
        <v>485.19253164933417</v>
      </c>
      <c r="BS23" s="318">
        <v>27169.301562961293</v>
      </c>
      <c r="BT23" s="188">
        <v>23164.861562961294</v>
      </c>
      <c r="BU23" s="188">
        <v>23164.861562961294</v>
      </c>
      <c r="BV23" s="48">
        <v>4004.4399999999996</v>
      </c>
      <c r="BW23" s="48">
        <v>50</v>
      </c>
      <c r="BX23" s="48">
        <v>24</v>
      </c>
      <c r="BY23" s="48">
        <v>43</v>
      </c>
      <c r="BZ23" s="48">
        <v>0</v>
      </c>
      <c r="CA23" s="71">
        <v>0</v>
      </c>
      <c r="CB23" s="321">
        <v>0.10927262430238457</v>
      </c>
      <c r="CC23" s="321">
        <v>25.34387361111111</v>
      </c>
      <c r="CD23" s="321">
        <v>2.0540968333333334</v>
      </c>
      <c r="CE23" s="321">
        <v>0</v>
      </c>
      <c r="CF23" s="321">
        <v>0</v>
      </c>
      <c r="CG23" s="42">
        <v>0</v>
      </c>
      <c r="CH23" s="42">
        <v>0</v>
      </c>
      <c r="CI23" s="42">
        <v>0</v>
      </c>
      <c r="CJ23" s="42">
        <v>0</v>
      </c>
      <c r="CK23" s="42">
        <v>0</v>
      </c>
      <c r="CL23" s="151" t="str">
        <f t="shared" si="0"/>
        <v>OK</v>
      </c>
      <c r="CM23" s="152" t="str">
        <f t="shared" si="1"/>
        <v>OK</v>
      </c>
      <c r="CN23" s="153" t="str">
        <f t="shared" si="2"/>
        <v>OK</v>
      </c>
      <c r="CO23" s="327">
        <f t="shared" si="3"/>
        <v>2669.6266666666656</v>
      </c>
      <c r="CP23" s="328"/>
      <c r="CQ23" s="326">
        <v>9.9980252880078506</v>
      </c>
      <c r="CR23" s="326" t="s">
        <v>580</v>
      </c>
      <c r="CS23" s="328">
        <v>1150</v>
      </c>
      <c r="CT23" s="327">
        <v>3.0862096774193541</v>
      </c>
      <c r="CU23" s="327">
        <f>VLOOKUP(B23,Tabelle2!$AL$2:$AM$82,2,)</f>
        <v>3.0862096774193541</v>
      </c>
      <c r="CV23">
        <v>4</v>
      </c>
      <c r="CW23">
        <v>0.05</v>
      </c>
      <c r="CY23" s="147">
        <f>VLOOKUP($B23,Tabelle2!$J$3:$W$38,3,)</f>
        <v>10.333333333333334</v>
      </c>
      <c r="CZ23" s="147">
        <f>VLOOKUP($B23,Tabelle2!$J$3:$W$38,4,)</f>
        <v>15.8</v>
      </c>
      <c r="DA23" s="147">
        <f>VLOOKUP($B23,Tabelle2!$J$3:$W$38,5,)</f>
        <v>0.13944680851063837</v>
      </c>
      <c r="DB23" s="147">
        <f>VLOOKUP($B23,Tabelle2!$J$3:$W$38,6,)</f>
        <v>0.2</v>
      </c>
      <c r="DC23" s="147">
        <f>VLOOKUP($B23,Tabelle2!$J$3:$W$38,7,)</f>
        <v>7.4840425531914875E-2</v>
      </c>
      <c r="DD23" s="147">
        <f>VLOOKUP($B23,Tabelle2!$J$3:$W$38,8,)</f>
        <v>0.13</v>
      </c>
      <c r="DE23" s="147">
        <f>VLOOKUP($B23,Tabelle2!$J$3:$W$38,9,)</f>
        <v>2.7180851063829774E-2</v>
      </c>
      <c r="DF23" s="147">
        <f>VLOOKUP($B23,Tabelle2!$J$3:$W$38,10,)</f>
        <v>4.5700000000000005E-2</v>
      </c>
      <c r="DG23" s="147">
        <f>VLOOKUP($B23,Tabelle2!$J$3:$W$38,11,)</f>
        <v>2.9127659574468088</v>
      </c>
      <c r="DH23" s="147">
        <f>VLOOKUP($B23,Tabelle2!$J$3:$W$38,12,)</f>
        <v>3.9</v>
      </c>
      <c r="DI23" s="147">
        <f>VLOOKUP($B23,Tabelle2!$J$3:$W$38,13,)</f>
        <v>9.9361702127659574E-2</v>
      </c>
      <c r="DJ23" s="147">
        <f>VLOOKUP($B23,Tabelle2!$J$3:$W$38,14,)</f>
        <v>0.18700000000000003</v>
      </c>
      <c r="DK23" s="147">
        <f t="shared" si="5"/>
        <v>3.039308510638298</v>
      </c>
      <c r="DL23" s="147">
        <f t="shared" si="6"/>
        <v>4.1326999999999998</v>
      </c>
      <c r="DN23" s="31"/>
      <c r="DO23" s="146" t="e">
        <f>DS23</f>
        <v>#N/A</v>
      </c>
      <c r="DP23" s="136" t="s">
        <v>580</v>
      </c>
      <c r="DQ23">
        <f t="shared" si="4"/>
        <v>1150</v>
      </c>
      <c r="DR23" s="147" t="e">
        <f>VLOOKUP(B23,Tabelle2!AC$2:AJ$73,3,)</f>
        <v>#N/A</v>
      </c>
      <c r="DS23" s="147" t="e">
        <f>VLOOKUP($B23,Tabelle2!$AC$2:$AJ$73,4,)</f>
        <v>#N/A</v>
      </c>
      <c r="DT23" s="147" t="e">
        <f>VLOOKUP($B23,Tabelle2!$AC$2:$AJ$73,5,)</f>
        <v>#N/A</v>
      </c>
      <c r="DU23" s="147" t="e">
        <f>VLOOKUP($B23,Tabelle2!$AC$2:$AJ$73,6,)</f>
        <v>#N/A</v>
      </c>
      <c r="DV23" s="147" t="e">
        <f>VLOOKUP($B23,Tabelle2!$AC$2:$AJ$73,7,)</f>
        <v>#N/A</v>
      </c>
      <c r="DW23" s="147" t="e">
        <f>VLOOKUP($B23,Tabelle2!$AC$2:$AJ$73,8,)</f>
        <v>#N/A</v>
      </c>
      <c r="DY23" s="48"/>
      <c r="DZ23" s="48">
        <v>522.67851630973234</v>
      </c>
      <c r="EA23" s="48" t="e">
        <f>DR23</f>
        <v>#N/A</v>
      </c>
      <c r="EC23" s="61">
        <v>420.389359928555</v>
      </c>
      <c r="ED23" s="27">
        <v>397.86606934474412</v>
      </c>
      <c r="EE23" s="27">
        <v>17.436302906483643</v>
      </c>
      <c r="EG23" s="39" t="s">
        <v>694</v>
      </c>
      <c r="EH23" s="63">
        <v>1150</v>
      </c>
      <c r="EI23" s="31">
        <v>4.6966876315789476E-2</v>
      </c>
      <c r="EJ23" s="31">
        <v>4.1339924162563185E-2</v>
      </c>
      <c r="EM23">
        <v>1</v>
      </c>
      <c r="EN23">
        <v>1</v>
      </c>
    </row>
    <row r="24" spans="1:144" ht="15">
      <c r="A24" s="285" t="s">
        <v>695</v>
      </c>
      <c r="B24" s="286">
        <v>1160</v>
      </c>
      <c r="C24" s="63">
        <v>5000</v>
      </c>
      <c r="D24" s="63" t="s">
        <v>435</v>
      </c>
      <c r="E24" s="94" t="s">
        <v>429</v>
      </c>
      <c r="F24" s="135" t="s">
        <v>427</v>
      </c>
      <c r="G24" s="61">
        <v>47.697526963000001</v>
      </c>
      <c r="H24" s="291">
        <v>1.5911009754191465</v>
      </c>
      <c r="I24" s="291">
        <v>2.2217574151951491</v>
      </c>
      <c r="J24" s="291">
        <v>1.8986591822537671</v>
      </c>
      <c r="K24" s="291">
        <v>1.9141332270056708</v>
      </c>
      <c r="L24" s="291">
        <v>5.9499561619486512</v>
      </c>
      <c r="M24" s="291">
        <v>10.703986304165602</v>
      </c>
      <c r="N24" s="291">
        <v>2.593398294021108</v>
      </c>
      <c r="O24" s="300">
        <v>0</v>
      </c>
      <c r="P24" s="292">
        <v>19.2871828862218</v>
      </c>
      <c r="Q24" s="291">
        <v>0</v>
      </c>
      <c r="R24" s="291">
        <v>0</v>
      </c>
      <c r="S24" s="291">
        <v>0</v>
      </c>
      <c r="T24" s="291">
        <v>1.5373525167691091</v>
      </c>
      <c r="U24" s="306">
        <v>319.66694625935492</v>
      </c>
      <c r="V24" s="136">
        <v>2.538093477222561</v>
      </c>
      <c r="W24" s="306">
        <v>22.689367149145816</v>
      </c>
      <c r="X24" s="136">
        <v>20</v>
      </c>
      <c r="Y24" s="306">
        <v>0.27222058260166904</v>
      </c>
      <c r="Z24" s="306">
        <v>0</v>
      </c>
      <c r="AA24" s="306">
        <v>0</v>
      </c>
      <c r="AB24" s="312">
        <v>14.135420822020166</v>
      </c>
      <c r="AC24" s="312">
        <v>4.9082614543971337</v>
      </c>
      <c r="AD24" s="312">
        <v>4.3015735457108084</v>
      </c>
      <c r="AE24" s="312">
        <v>0.93433744385987616</v>
      </c>
      <c r="AF24" s="312">
        <v>0</v>
      </c>
      <c r="AG24" s="312">
        <v>0</v>
      </c>
      <c r="AH24" s="19">
        <v>12.896364745660565</v>
      </c>
      <c r="AI24" s="19">
        <v>8.2898256843909461</v>
      </c>
      <c r="AJ24" s="19">
        <v>0</v>
      </c>
      <c r="AK24" s="19">
        <v>26.511336532948494</v>
      </c>
      <c r="AL24" s="19">
        <v>388.31081081100001</v>
      </c>
      <c r="AM24" s="19">
        <v>4.8791000000000002</v>
      </c>
      <c r="AN24" s="19"/>
      <c r="AO24" s="19"/>
      <c r="AP24" s="305">
        <v>0.83404531143298899</v>
      </c>
      <c r="AQ24">
        <v>11.05</v>
      </c>
      <c r="AR24" s="351">
        <v>590.38909247447805</v>
      </c>
      <c r="AS24" s="346">
        <v>536.71735679497999</v>
      </c>
      <c r="AT24" s="249">
        <v>25.987007349498899</v>
      </c>
      <c r="AU24" s="312">
        <v>855.54566844157148</v>
      </c>
      <c r="AV24" s="312">
        <v>875.24525639494095</v>
      </c>
      <c r="AW24" s="312">
        <v>529.35776018414288</v>
      </c>
      <c r="AX24" s="312">
        <v>488.58229339512275</v>
      </c>
      <c r="AY24" s="333">
        <v>728.92076526999995</v>
      </c>
      <c r="AZ24">
        <v>984.98100982755909</v>
      </c>
      <c r="BA24">
        <v>607.63575387913409</v>
      </c>
      <c r="BB24" s="48">
        <v>1092.3466463304451</v>
      </c>
      <c r="BC24" s="48">
        <v>628.60397920509422</v>
      </c>
      <c r="BD24" s="48">
        <v>34.97757605155568</v>
      </c>
      <c r="BE24" s="310">
        <v>0.95296114144712629</v>
      </c>
      <c r="BF24" s="310">
        <v>1.772880093165166</v>
      </c>
      <c r="BG24" s="310">
        <v>3.1173622124009555</v>
      </c>
      <c r="BH24" s="310">
        <v>5.4326578970481192</v>
      </c>
      <c r="BI24" s="310">
        <v>12.484256348483276</v>
      </c>
      <c r="BJ24" s="305">
        <v>0.32967355088225636</v>
      </c>
      <c r="BK24" s="48">
        <v>0.26468799999999998</v>
      </c>
      <c r="BL24" s="48">
        <v>2060</v>
      </c>
      <c r="BM24" s="48">
        <v>1</v>
      </c>
      <c r="BN24" s="48">
        <v>0</v>
      </c>
      <c r="BO24" s="48">
        <v>1.9041990496990003E-2</v>
      </c>
      <c r="BP24" s="314">
        <v>58.191537713707966</v>
      </c>
      <c r="BQ24" s="314">
        <v>60.985356674118954</v>
      </c>
      <c r="BR24" s="316">
        <v>461.32928299972968</v>
      </c>
      <c r="BS24" s="318">
        <v>4781.9364846440403</v>
      </c>
      <c r="BT24" s="188">
        <v>4077.9364846440403</v>
      </c>
      <c r="BU24" s="188">
        <v>4077.9364846440403</v>
      </c>
      <c r="BV24" s="48">
        <v>704</v>
      </c>
      <c r="BW24" s="48">
        <v>50</v>
      </c>
      <c r="BX24" s="48">
        <v>24</v>
      </c>
      <c r="BY24" s="48">
        <v>43</v>
      </c>
      <c r="BZ24" s="48">
        <v>0</v>
      </c>
      <c r="CA24" s="71">
        <v>0</v>
      </c>
      <c r="CB24" s="321">
        <v>5.716886880602063E-2</v>
      </c>
      <c r="CC24" s="321">
        <v>0</v>
      </c>
      <c r="CD24" s="321">
        <v>0</v>
      </c>
      <c r="CE24" s="321">
        <v>19.306905</v>
      </c>
      <c r="CF24" s="321">
        <v>1.3438939999999999</v>
      </c>
      <c r="CG24" s="42">
        <v>0</v>
      </c>
      <c r="CH24" s="42">
        <v>0</v>
      </c>
      <c r="CI24" s="42">
        <v>0</v>
      </c>
      <c r="CJ24" s="42">
        <v>0</v>
      </c>
      <c r="CK24" s="42">
        <v>0</v>
      </c>
      <c r="CL24" s="151" t="str">
        <f t="shared" si="0"/>
        <v>OK</v>
      </c>
      <c r="CM24" s="152" t="str">
        <f t="shared" si="1"/>
        <v>OK</v>
      </c>
      <c r="CN24" s="153" t="str">
        <f t="shared" si="2"/>
        <v>OK</v>
      </c>
      <c r="CO24" s="327">
        <f t="shared" si="3"/>
        <v>469.33333333333331</v>
      </c>
      <c r="CP24" s="328"/>
      <c r="CQ24" s="326">
        <v>12.365141968501099</v>
      </c>
      <c r="CR24" s="326" t="e">
        <v>#N/A</v>
      </c>
      <c r="CS24" s="328">
        <v>1160</v>
      </c>
      <c r="CT24" s="327">
        <v>5.7476774193548383</v>
      </c>
      <c r="CU24" s="327">
        <f>VLOOKUP(B24,Tabelle2!$AL$2:$AM$82,2,)</f>
        <v>5.7476774193548383</v>
      </c>
      <c r="CV24">
        <v>4</v>
      </c>
      <c r="CW24">
        <v>0.05</v>
      </c>
      <c r="CY24" s="147">
        <f>VLOOKUP($B24,Tabelle2!$J$3:$W$38,3,)</f>
        <v>8.875</v>
      </c>
      <c r="CZ24" s="147">
        <f>VLOOKUP($B24,Tabelle2!$J$3:$W$38,4,)</f>
        <v>16.899999999999999</v>
      </c>
      <c r="DA24" s="147">
        <f>VLOOKUP($B24,Tabelle2!$J$3:$W$38,5,)</f>
        <v>0.12304255319148936</v>
      </c>
      <c r="DB24" s="147">
        <f>VLOOKUP($B24,Tabelle2!$J$3:$W$38,6,)</f>
        <v>0.22</v>
      </c>
      <c r="DC24" s="147">
        <f>VLOOKUP($B24,Tabelle2!$J$3:$W$38,7,)</f>
        <v>8.0468085106382967E-2</v>
      </c>
      <c r="DD24" s="147">
        <f>VLOOKUP($B24,Tabelle2!$J$3:$W$38,8,)</f>
        <v>0.14000000000000001</v>
      </c>
      <c r="DE24" s="147">
        <f>VLOOKUP($B24,Tabelle2!$J$3:$W$38,9,)</f>
        <v>2.060638297872339E-2</v>
      </c>
      <c r="DF24" s="147">
        <f>VLOOKUP($B24,Tabelle2!$J$3:$W$38,10,)</f>
        <v>3.5400000000000008E-2</v>
      </c>
      <c r="DG24" s="147">
        <f>VLOOKUP($B24,Tabelle2!$J$3:$W$38,11,)</f>
        <v>2.7606382978723394</v>
      </c>
      <c r="DH24" s="147">
        <f>VLOOKUP($B24,Tabelle2!$J$3:$W$38,12,)</f>
        <v>3.97</v>
      </c>
      <c r="DI24" s="147">
        <f>VLOOKUP($B24,Tabelle2!$J$3:$W$38,13,)</f>
        <v>6.2393617021276541E-2</v>
      </c>
      <c r="DJ24" s="147">
        <f>VLOOKUP($B24,Tabelle2!$J$3:$W$38,14,)</f>
        <v>0.12400000000000005</v>
      </c>
      <c r="DK24" s="147">
        <f t="shared" si="5"/>
        <v>2.8436382978723391</v>
      </c>
      <c r="DL24" s="147">
        <f t="shared" si="6"/>
        <v>4.1294000000000004</v>
      </c>
      <c r="DN24" s="31"/>
      <c r="DO24" s="146" t="e">
        <f>DS24</f>
        <v>#N/A</v>
      </c>
      <c r="DP24" s="136" t="e">
        <v>#N/A</v>
      </c>
      <c r="DQ24">
        <f t="shared" si="4"/>
        <v>1160</v>
      </c>
      <c r="DR24" s="147" t="e">
        <f>VLOOKUP(B24,Tabelle2!AC$2:AJ$73,3,)</f>
        <v>#N/A</v>
      </c>
      <c r="DS24" s="147" t="e">
        <f>VLOOKUP($B24,Tabelle2!$AC$2:$AJ$73,4,)</f>
        <v>#N/A</v>
      </c>
      <c r="DT24" s="147" t="e">
        <f>VLOOKUP($B24,Tabelle2!$AC$2:$AJ$73,5,)</f>
        <v>#N/A</v>
      </c>
      <c r="DU24" s="147" t="e">
        <f>VLOOKUP($B24,Tabelle2!$AC$2:$AJ$73,6,)</f>
        <v>#N/A</v>
      </c>
      <c r="DV24" s="147" t="e">
        <f>VLOOKUP($B24,Tabelle2!$AC$2:$AJ$73,7,)</f>
        <v>#N/A</v>
      </c>
      <c r="DW24" s="147" t="e">
        <f>VLOOKUP($B24,Tabelle2!$AC$2:$AJ$73,8,)</f>
        <v>#N/A</v>
      </c>
      <c r="DY24" s="48"/>
      <c r="DZ24" s="48" t="e">
        <f>DW24</f>
        <v>#N/A</v>
      </c>
      <c r="EA24" s="48" t="e">
        <f>DR24</f>
        <v>#N/A</v>
      </c>
      <c r="EC24" s="61">
        <v>472.32831661093894</v>
      </c>
      <c r="ED24" s="27">
        <v>436.98541525651291</v>
      </c>
      <c r="EE24" s="27">
        <v>18.916354352644543</v>
      </c>
      <c r="EG24" s="39" t="s">
        <v>695</v>
      </c>
      <c r="EH24" s="63">
        <v>1160</v>
      </c>
      <c r="EI24" s="31">
        <v>4.9059838596491226E-2</v>
      </c>
      <c r="EJ24" s="31">
        <v>4.6080344133338655E-2</v>
      </c>
      <c r="EM24">
        <v>1</v>
      </c>
      <c r="EN24">
        <v>1</v>
      </c>
    </row>
    <row r="25" spans="1:144" ht="15">
      <c r="A25" s="285" t="s">
        <v>696</v>
      </c>
      <c r="B25" s="286">
        <v>1170</v>
      </c>
      <c r="C25" s="63">
        <v>1180</v>
      </c>
      <c r="D25" s="63" t="s">
        <v>435</v>
      </c>
      <c r="E25" s="94" t="s">
        <v>429</v>
      </c>
      <c r="F25" s="135" t="s">
        <v>427</v>
      </c>
      <c r="G25" s="61">
        <v>196.22594226699999</v>
      </c>
      <c r="H25" s="291">
        <v>1.5713173640102294</v>
      </c>
      <c r="I25" s="291">
        <v>4.8000659347210357</v>
      </c>
      <c r="J25" s="291">
        <v>8.1413084950296923</v>
      </c>
      <c r="K25" s="291">
        <v>30.269228071841379</v>
      </c>
      <c r="L25" s="291">
        <v>46.412785622832665</v>
      </c>
      <c r="M25" s="291">
        <v>35.93373493584869</v>
      </c>
      <c r="N25" s="291">
        <v>13.381322759403391</v>
      </c>
      <c r="O25" s="300">
        <v>0</v>
      </c>
      <c r="P25" s="292">
        <v>54.506372621523184</v>
      </c>
      <c r="Q25" s="291">
        <v>0</v>
      </c>
      <c r="R25" s="291">
        <v>0</v>
      </c>
      <c r="S25" s="291">
        <v>0</v>
      </c>
      <c r="T25" s="291">
        <v>1.2098064617897391</v>
      </c>
      <c r="U25" s="306">
        <v>205.7544816288387</v>
      </c>
      <c r="V25" s="136">
        <v>4.3914848777177662</v>
      </c>
      <c r="W25" s="306">
        <v>0</v>
      </c>
      <c r="X25" s="136">
        <v>0</v>
      </c>
      <c r="Y25" s="306">
        <v>0.30623876719403598</v>
      </c>
      <c r="Z25" s="306">
        <v>0</v>
      </c>
      <c r="AA25" s="306">
        <v>0</v>
      </c>
      <c r="AB25" s="312">
        <v>11.105573963812896</v>
      </c>
      <c r="AC25" s="312">
        <v>71.533530383781809</v>
      </c>
      <c r="AD25" s="312">
        <v>22.219805232638564</v>
      </c>
      <c r="AE25" s="312">
        <v>22.269530844050411</v>
      </c>
      <c r="AF25" s="312">
        <v>0</v>
      </c>
      <c r="AG25" s="312">
        <v>0</v>
      </c>
      <c r="AH25" s="19">
        <v>147.61925180683454</v>
      </c>
      <c r="AI25" s="19">
        <v>48.606690460165446</v>
      </c>
      <c r="AJ25" s="19">
        <v>0</v>
      </c>
      <c r="AK25" s="19">
        <v>0</v>
      </c>
      <c r="AL25" s="19">
        <v>437.075630252</v>
      </c>
      <c r="AM25" s="19">
        <v>2.2711000000000001</v>
      </c>
      <c r="AN25" s="19"/>
      <c r="AO25" s="19"/>
      <c r="AP25" s="305">
        <v>2.2289413118129899</v>
      </c>
      <c r="AQ25">
        <v>10.972</v>
      </c>
      <c r="AR25" s="351">
        <v>201.64410221170928</v>
      </c>
      <c r="AS25" s="346">
        <v>183.31282019246299</v>
      </c>
      <c r="AT25" s="249">
        <v>10.0573174929903</v>
      </c>
      <c r="AU25" s="312">
        <v>965.92380220799998</v>
      </c>
      <c r="AV25" s="312">
        <v>962.1897407096111</v>
      </c>
      <c r="AW25" s="312">
        <v>580.84142268971425</v>
      </c>
      <c r="AX25" s="312">
        <v>554.83067680076715</v>
      </c>
      <c r="AY25" s="333">
        <v>722.07734097771424</v>
      </c>
      <c r="AZ25">
        <v>1003.6675360732013</v>
      </c>
      <c r="BA25">
        <v>620.35137859152201</v>
      </c>
      <c r="BB25" s="48">
        <v>1112.1485650133529</v>
      </c>
      <c r="BC25" s="48">
        <v>639.98004653940404</v>
      </c>
      <c r="BD25" s="48">
        <v>34.97757605155568</v>
      </c>
      <c r="BE25" s="310">
        <v>1.3344359344459669</v>
      </c>
      <c r="BF25" s="310">
        <v>2.1532724215771144</v>
      </c>
      <c r="BG25" s="310">
        <v>4.3299949866835661</v>
      </c>
      <c r="BH25" s="310">
        <v>8.8838749944594841</v>
      </c>
      <c r="BI25" s="310">
        <v>16.850500807799026</v>
      </c>
      <c r="BJ25" s="305">
        <v>0.27578840182730158</v>
      </c>
      <c r="BK25" s="48">
        <v>0.43646600000000002</v>
      </c>
      <c r="BL25" s="48">
        <v>2253</v>
      </c>
      <c r="BM25" s="48">
        <v>1</v>
      </c>
      <c r="BN25" s="48">
        <v>0</v>
      </c>
      <c r="BO25" s="48">
        <v>3.0071541450958676</v>
      </c>
      <c r="BP25" s="314">
        <v>53.907967495674256</v>
      </c>
      <c r="BQ25" s="314">
        <v>57.433887297169711</v>
      </c>
      <c r="BR25" s="316">
        <v>526.88053612966905</v>
      </c>
      <c r="BS25" s="318">
        <v>27321.685965769004</v>
      </c>
      <c r="BT25" s="188">
        <v>24439.445965769002</v>
      </c>
      <c r="BU25" s="188">
        <v>24439.445965769002</v>
      </c>
      <c r="BV25" s="48">
        <v>2882.2400000000002</v>
      </c>
      <c r="BW25" s="48">
        <v>50</v>
      </c>
      <c r="BX25" s="48">
        <v>47</v>
      </c>
      <c r="BY25" s="48">
        <v>43</v>
      </c>
      <c r="BZ25" s="48">
        <v>0</v>
      </c>
      <c r="CA25" s="71">
        <v>0</v>
      </c>
      <c r="CB25" s="321">
        <v>0.23063031434973785</v>
      </c>
      <c r="CC25" s="321">
        <v>52.729592388888889</v>
      </c>
      <c r="CD25" s="321">
        <v>4.2908355</v>
      </c>
      <c r="CE25" s="321">
        <v>0</v>
      </c>
      <c r="CF25" s="321">
        <v>0</v>
      </c>
      <c r="CG25" s="42">
        <v>0</v>
      </c>
      <c r="CH25" s="42">
        <v>0</v>
      </c>
      <c r="CI25" s="42">
        <v>0</v>
      </c>
      <c r="CJ25" s="42">
        <v>0</v>
      </c>
      <c r="CK25" s="42">
        <v>0</v>
      </c>
      <c r="CL25" s="151" t="str">
        <f t="shared" si="0"/>
        <v>OK</v>
      </c>
      <c r="CM25" s="152" t="str">
        <f t="shared" si="1"/>
        <v>OK</v>
      </c>
      <c r="CN25" s="153" t="str">
        <f t="shared" si="2"/>
        <v>OK</v>
      </c>
      <c r="CO25" s="327">
        <f t="shared" si="3"/>
        <v>1921.4933333333345</v>
      </c>
      <c r="CP25" s="328"/>
      <c r="CQ25" s="326">
        <v>5.3698561992024603</v>
      </c>
      <c r="CR25" s="326" t="e">
        <v>#N/A</v>
      </c>
      <c r="CS25" s="328">
        <v>1170</v>
      </c>
      <c r="CT25" s="327">
        <v>2.526209677419355</v>
      </c>
      <c r="CU25" s="327">
        <f>VLOOKUP(B25,Tabelle2!$AL$2:$AM$82,2,)</f>
        <v>2.526209677419355</v>
      </c>
      <c r="CV25">
        <v>4</v>
      </c>
      <c r="CW25">
        <v>0.05</v>
      </c>
      <c r="CY25" s="147">
        <f>VLOOKUP($B25,Tabelle2!$J$3:$W$38,3,)</f>
        <v>7.083333333333333</v>
      </c>
      <c r="CZ25" s="147">
        <f>VLOOKUP($B25,Tabelle2!$J$3:$W$38,4,)</f>
        <v>17.700000000000003</v>
      </c>
      <c r="DA25" s="147">
        <f>VLOOKUP($B25,Tabelle2!$J$3:$W$38,5,)</f>
        <v>0.11646067415730334</v>
      </c>
      <c r="DB25" s="147">
        <f>VLOOKUP($B25,Tabelle2!$J$3:$W$38,6,)</f>
        <v>0.15</v>
      </c>
      <c r="DC25" s="147">
        <f>VLOOKUP($B25,Tabelle2!$J$3:$W$38,7,)</f>
        <v>7.619101123595505E-2</v>
      </c>
      <c r="DD25" s="147">
        <f>VLOOKUP($B25,Tabelle2!$J$3:$W$38,8,)</f>
        <v>0.12</v>
      </c>
      <c r="DE25" s="147">
        <f>VLOOKUP($B25,Tabelle2!$J$3:$W$38,9,)</f>
        <v>1.4853932584269654E-2</v>
      </c>
      <c r="DF25" s="147">
        <f>VLOOKUP($B25,Tabelle2!$J$3:$W$38,10,)</f>
        <v>2.7200000000000002E-2</v>
      </c>
      <c r="DG25" s="147">
        <f>VLOOKUP($B25,Tabelle2!$J$3:$W$38,11,)</f>
        <v>1.9617977528089889</v>
      </c>
      <c r="DH25" s="147">
        <f>VLOOKUP($B25,Tabelle2!$J$3:$W$38,12,)</f>
        <v>3.1</v>
      </c>
      <c r="DI25" s="147">
        <f>VLOOKUP($B25,Tabelle2!$J$3:$W$38,13,)</f>
        <v>5.3932584269662909E-2</v>
      </c>
      <c r="DJ25" s="147">
        <f>VLOOKUP($B25,Tabelle2!$J$3:$W$38,14,)</f>
        <v>9.2000000000000026E-2</v>
      </c>
      <c r="DK25" s="147">
        <f t="shared" si="5"/>
        <v>2.0305842696629215</v>
      </c>
      <c r="DL25" s="147">
        <f t="shared" si="6"/>
        <v>3.2192000000000003</v>
      </c>
      <c r="DN25" s="31"/>
      <c r="DO25" s="146" t="e">
        <f>DS25</f>
        <v>#N/A</v>
      </c>
      <c r="DP25" s="136" t="e">
        <v>#N/A</v>
      </c>
      <c r="DQ25">
        <f t="shared" si="4"/>
        <v>1170</v>
      </c>
      <c r="DR25" s="147" t="e">
        <f>VLOOKUP(B25,Tabelle2!AC$2:AJ$73,3,)</f>
        <v>#N/A</v>
      </c>
      <c r="DS25" s="147" t="e">
        <f>VLOOKUP($B25,Tabelle2!$AC$2:$AJ$73,4,)</f>
        <v>#N/A</v>
      </c>
      <c r="DT25" s="147" t="e">
        <f>VLOOKUP($B25,Tabelle2!$AC$2:$AJ$73,5,)</f>
        <v>#N/A</v>
      </c>
      <c r="DU25" s="147" t="e">
        <f>VLOOKUP($B25,Tabelle2!$AC$2:$AJ$73,6,)</f>
        <v>#N/A</v>
      </c>
      <c r="DV25" s="147" t="e">
        <f>VLOOKUP($B25,Tabelle2!$AC$2:$AJ$73,7,)</f>
        <v>#N/A</v>
      </c>
      <c r="DW25" s="147" t="e">
        <f>VLOOKUP($B25,Tabelle2!$AC$2:$AJ$73,8,)</f>
        <v>#N/A</v>
      </c>
      <c r="DY25" s="48"/>
      <c r="DZ25" s="48" t="e">
        <f>DW25</f>
        <v>#N/A</v>
      </c>
      <c r="EA25" s="48" t="e">
        <f>DR25</f>
        <v>#N/A</v>
      </c>
      <c r="EC25" s="61">
        <v>276.2213006015686</v>
      </c>
      <c r="ED25" s="27">
        <v>256.08707392624342</v>
      </c>
      <c r="EE25" s="27">
        <v>15.842237514409128</v>
      </c>
      <c r="EG25" s="39" t="s">
        <v>696</v>
      </c>
      <c r="EH25" s="63">
        <v>1170</v>
      </c>
      <c r="EI25" s="31">
        <v>1.7004560526315788E-2</v>
      </c>
      <c r="EJ25" s="31">
        <v>3.2399427288274441E-2</v>
      </c>
      <c r="EM25">
        <v>1</v>
      </c>
      <c r="EN25">
        <v>0</v>
      </c>
    </row>
    <row r="26" spans="1:144" ht="15">
      <c r="A26" s="285" t="s">
        <v>697</v>
      </c>
      <c r="B26" s="286">
        <v>1180</v>
      </c>
      <c r="C26" s="63">
        <v>5000</v>
      </c>
      <c r="D26" s="63" t="s">
        <v>435</v>
      </c>
      <c r="E26" s="94" t="s">
        <v>429</v>
      </c>
      <c r="F26" s="135" t="s">
        <v>427</v>
      </c>
      <c r="G26" s="61">
        <v>301.97582279800002</v>
      </c>
      <c r="H26" s="291">
        <v>20.497432186656308</v>
      </c>
      <c r="I26" s="291">
        <v>13.992570433822911</v>
      </c>
      <c r="J26" s="291">
        <v>13.797046671559174</v>
      </c>
      <c r="K26" s="291">
        <v>34.019521002124058</v>
      </c>
      <c r="L26" s="291">
        <v>82.360980696263198</v>
      </c>
      <c r="M26" s="291">
        <v>34.30748571995391</v>
      </c>
      <c r="N26" s="291">
        <v>17.67066728741888</v>
      </c>
      <c r="O26" s="300">
        <v>0.42644171006663173</v>
      </c>
      <c r="P26" s="292">
        <v>81.982863080791276</v>
      </c>
      <c r="Q26" s="291">
        <v>0</v>
      </c>
      <c r="R26" s="291">
        <v>0</v>
      </c>
      <c r="S26" s="291">
        <v>6.3331298605261196E-2</v>
      </c>
      <c r="T26" s="291">
        <v>2.8574827107384659</v>
      </c>
      <c r="U26" s="306">
        <v>430.56180006674094</v>
      </c>
      <c r="V26" s="136">
        <v>5.0188689707700869</v>
      </c>
      <c r="W26" s="306">
        <v>0</v>
      </c>
      <c r="X26" s="136">
        <v>0</v>
      </c>
      <c r="Y26" s="306">
        <v>0.69654945238458599</v>
      </c>
      <c r="Z26" s="306">
        <v>0</v>
      </c>
      <c r="AA26" s="306">
        <v>0</v>
      </c>
      <c r="AB26" s="312">
        <v>39.059550567561317</v>
      </c>
      <c r="AC26" s="312">
        <v>52.797183543335208</v>
      </c>
      <c r="AD26" s="312">
        <v>53.359645933206203</v>
      </c>
      <c r="AE26" s="312">
        <v>53.701352416851769</v>
      </c>
      <c r="AF26" s="312">
        <v>5.7304249425083456E-2</v>
      </c>
      <c r="AG26" s="312">
        <v>0</v>
      </c>
      <c r="AH26" s="19">
        <v>205.56087908217381</v>
      </c>
      <c r="AI26" s="19">
        <v>79.836932441168457</v>
      </c>
      <c r="AJ26" s="19">
        <v>0</v>
      </c>
      <c r="AK26" s="19">
        <v>16.578011274657737</v>
      </c>
      <c r="AL26" s="19">
        <v>367.83641160899998</v>
      </c>
      <c r="AM26" s="19">
        <v>2.3690000000000002</v>
      </c>
      <c r="AN26" s="19"/>
      <c r="AO26" s="19"/>
      <c r="AP26" s="305">
        <v>3.2932598651344498</v>
      </c>
      <c r="AQ26">
        <v>10.933999999999999</v>
      </c>
      <c r="AR26" s="351">
        <v>1068.0717763520838</v>
      </c>
      <c r="AS26" s="348">
        <v>970.97434213825795</v>
      </c>
      <c r="AT26" s="350">
        <v>82.826994202984906</v>
      </c>
      <c r="AU26" s="312">
        <v>847.61570786671439</v>
      </c>
      <c r="AV26" s="312">
        <v>857.07030484028223</v>
      </c>
      <c r="AW26" s="312">
        <v>529.32250543485713</v>
      </c>
      <c r="AX26" s="312">
        <v>498.95831631068637</v>
      </c>
      <c r="AY26" s="333">
        <v>735.96080211985714</v>
      </c>
      <c r="AZ26">
        <v>988.86870260716091</v>
      </c>
      <c r="BA26">
        <v>610.29294092576902</v>
      </c>
      <c r="BB26" s="48">
        <v>1096.3200693549513</v>
      </c>
      <c r="BC26" s="48">
        <v>630.88671298980591</v>
      </c>
      <c r="BD26" s="48">
        <v>34.97757605155568</v>
      </c>
      <c r="BE26" s="310">
        <v>0.95642535014665853</v>
      </c>
      <c r="BF26" s="310">
        <v>1.8223813809770577</v>
      </c>
      <c r="BG26" s="310">
        <v>3.9889437349336636</v>
      </c>
      <c r="BH26" s="310">
        <v>9.1145747912563255</v>
      </c>
      <c r="BI26" s="310">
        <v>17.666477329568362</v>
      </c>
      <c r="BJ26" s="305">
        <v>0.38956474057184892</v>
      </c>
      <c r="BK26" s="48">
        <v>0.66795100000000007</v>
      </c>
      <c r="BL26" s="48">
        <v>1982.5</v>
      </c>
      <c r="BM26" s="48">
        <v>1</v>
      </c>
      <c r="BN26" s="48">
        <v>0</v>
      </c>
      <c r="BO26" s="48">
        <v>9.3103071737236434</v>
      </c>
      <c r="BP26" s="314">
        <v>45.977763049156806</v>
      </c>
      <c r="BQ26" s="314">
        <v>51.275502987889674</v>
      </c>
      <c r="BR26" s="316">
        <v>538.57483872163505</v>
      </c>
      <c r="BS26" s="318">
        <v>41565.842845268897</v>
      </c>
      <c r="BT26" s="188">
        <v>37200.189511935561</v>
      </c>
      <c r="BU26" s="188">
        <v>37200.189511935561</v>
      </c>
      <c r="BV26" s="48">
        <v>4365.6533333333355</v>
      </c>
      <c r="BW26" s="48">
        <v>50</v>
      </c>
      <c r="BX26" s="48">
        <v>47</v>
      </c>
      <c r="BY26" s="48">
        <v>43</v>
      </c>
      <c r="BZ26" s="48">
        <v>0</v>
      </c>
      <c r="CA26" s="71">
        <v>0</v>
      </c>
      <c r="CB26" s="321">
        <v>1.5629171634534079E-2</v>
      </c>
      <c r="CC26" s="321">
        <v>0</v>
      </c>
      <c r="CD26" s="321">
        <v>0</v>
      </c>
      <c r="CE26" s="321">
        <v>1.3114348333333337</v>
      </c>
      <c r="CF26" s="321">
        <v>0.31152733333333338</v>
      </c>
      <c r="CG26" s="42">
        <v>0</v>
      </c>
      <c r="CH26" s="42">
        <v>0</v>
      </c>
      <c r="CI26" s="42">
        <v>0</v>
      </c>
      <c r="CJ26" s="42">
        <v>0</v>
      </c>
      <c r="CK26" s="42">
        <v>0</v>
      </c>
      <c r="CL26" s="151" t="str">
        <f t="shared" si="0"/>
        <v>OK</v>
      </c>
      <c r="CM26" s="152" t="str">
        <f t="shared" si="1"/>
        <v>OK</v>
      </c>
      <c r="CN26" s="153" t="str">
        <f t="shared" si="2"/>
        <v>OK</v>
      </c>
      <c r="CO26" s="327">
        <f t="shared" si="3"/>
        <v>2910.4355555555571</v>
      </c>
      <c r="CP26" s="328"/>
      <c r="CQ26" s="326">
        <v>34.298503351232</v>
      </c>
      <c r="CR26" s="326" t="e">
        <v>#N/A</v>
      </c>
      <c r="CS26" s="328">
        <v>1180</v>
      </c>
      <c r="CT26" s="327">
        <v>7.6033402705515103</v>
      </c>
      <c r="CU26" s="327">
        <f>VLOOKUP(B26,Tabelle2!$AL$2:$AM$82,2,)</f>
        <v>7.6033402705515103</v>
      </c>
      <c r="CV26">
        <v>4</v>
      </c>
      <c r="CW26">
        <v>0.05</v>
      </c>
      <c r="CY26" s="147">
        <f>VLOOKUP($B26,Tabelle2!$J$3:$W$38,3,)</f>
        <v>26.583333333333332</v>
      </c>
      <c r="CZ26" s="147">
        <f>VLOOKUP($B26,Tabelle2!$J$3:$W$38,4,)</f>
        <v>58.900000000000013</v>
      </c>
      <c r="DA26" s="147">
        <f>VLOOKUP($B26,Tabelle2!$J$3:$W$38,5,)</f>
        <v>0.20147191011235949</v>
      </c>
      <c r="DB26" s="147">
        <f>VLOOKUP($B26,Tabelle2!$J$3:$W$38,6,)</f>
        <v>0.28200000000000003</v>
      </c>
      <c r="DC26" s="147">
        <f>VLOOKUP($B26,Tabelle2!$J$3:$W$38,7,)</f>
        <v>0.12262921348314608</v>
      </c>
      <c r="DD26" s="147">
        <f>VLOOKUP($B26,Tabelle2!$J$3:$W$38,8,)</f>
        <v>0.21</v>
      </c>
      <c r="DE26" s="147">
        <f>VLOOKUP($B26,Tabelle2!$J$3:$W$38,9,)</f>
        <v>3.5325842696629195E-2</v>
      </c>
      <c r="DF26" s="147">
        <f>VLOOKUP($B26,Tabelle2!$J$3:$W$38,10,)</f>
        <v>6.1800000000000008E-2</v>
      </c>
      <c r="DG26" s="147">
        <f>VLOOKUP($B26,Tabelle2!$J$3:$W$38,11,)</f>
        <v>2.6056179775280901</v>
      </c>
      <c r="DH26" s="147">
        <f>VLOOKUP($B26,Tabelle2!$J$3:$W$38,12,)</f>
        <v>3.4200000000000004</v>
      </c>
      <c r="DI26" s="147">
        <f>VLOOKUP($B26,Tabelle2!$J$3:$W$38,13,)</f>
        <v>7.9494382022471888E-2</v>
      </c>
      <c r="DJ26" s="147">
        <f>VLOOKUP($B26,Tabelle2!$J$3:$W$38,14,)</f>
        <v>0.19400000000000006</v>
      </c>
      <c r="DK26" s="147">
        <f t="shared" si="5"/>
        <v>2.7204382022471911</v>
      </c>
      <c r="DL26" s="147">
        <f t="shared" si="6"/>
        <v>3.6758000000000002</v>
      </c>
      <c r="DN26" s="31"/>
      <c r="DO26" s="136" t="e">
        <v>#N/A</v>
      </c>
      <c r="DP26" s="136" t="e">
        <v>#N/A</v>
      </c>
      <c r="DQ26">
        <f t="shared" si="4"/>
        <v>1180</v>
      </c>
      <c r="DR26" s="147"/>
      <c r="DS26" s="147"/>
      <c r="DT26" s="147"/>
      <c r="DU26" s="147"/>
      <c r="DV26" s="147"/>
      <c r="DW26" s="147"/>
      <c r="DY26" s="48"/>
      <c r="DZ26" s="48"/>
      <c r="EA26" s="48"/>
      <c r="EC26" s="61">
        <v>613.58624983138679</v>
      </c>
      <c r="ED26" s="27">
        <v>559.69239697389798</v>
      </c>
      <c r="EE26" s="27">
        <v>35.525478089514735</v>
      </c>
      <c r="EG26" s="39" t="s">
        <v>697</v>
      </c>
      <c r="EH26" s="63">
        <v>1180</v>
      </c>
      <c r="EI26" s="31">
        <v>5.1301836155606406E-2</v>
      </c>
      <c r="EJ26" s="31">
        <v>3.9042414883277081E-2</v>
      </c>
      <c r="EM26">
        <v>1</v>
      </c>
      <c r="EN26">
        <v>0</v>
      </c>
    </row>
    <row r="27" spans="1:144" ht="15">
      <c r="A27" s="281" t="s">
        <v>698</v>
      </c>
      <c r="B27" s="282">
        <v>1190</v>
      </c>
      <c r="C27" s="63">
        <v>5000</v>
      </c>
      <c r="D27" s="63" t="s">
        <v>435</v>
      </c>
      <c r="E27" s="94" t="s">
        <v>429</v>
      </c>
      <c r="F27" s="135" t="s">
        <v>427</v>
      </c>
      <c r="G27" s="61">
        <v>108.689845175</v>
      </c>
      <c r="H27" s="291">
        <v>10.956274615479893</v>
      </c>
      <c r="I27" s="291">
        <v>4.0552976396434595</v>
      </c>
      <c r="J27" s="291">
        <v>1.7988215509484089</v>
      </c>
      <c r="K27" s="291">
        <v>2.5640009264560448</v>
      </c>
      <c r="L27" s="291">
        <v>15.993277824031892</v>
      </c>
      <c r="M27" s="291">
        <v>27.355248017157734</v>
      </c>
      <c r="N27" s="291">
        <v>5.7840482099297583</v>
      </c>
      <c r="O27" s="300">
        <v>0</v>
      </c>
      <c r="P27" s="292">
        <v>38.031180753079433</v>
      </c>
      <c r="Q27" s="291">
        <v>0</v>
      </c>
      <c r="R27" s="291">
        <v>0</v>
      </c>
      <c r="S27" s="291">
        <v>6.5645575629870298E-3</v>
      </c>
      <c r="T27" s="291">
        <v>2.1451310807103878</v>
      </c>
      <c r="U27" s="306">
        <v>387.26982536109654</v>
      </c>
      <c r="V27" s="136">
        <v>3.4980379086847799</v>
      </c>
      <c r="W27" s="306">
        <v>0</v>
      </c>
      <c r="X27" s="136">
        <v>0</v>
      </c>
      <c r="Y27" s="306">
        <v>0.790446550707538</v>
      </c>
      <c r="Z27" s="306">
        <v>0</v>
      </c>
      <c r="AA27" s="306">
        <v>0</v>
      </c>
      <c r="AB27" s="312">
        <v>45.9819879307259</v>
      </c>
      <c r="AC27" s="312">
        <v>7.7656388564442471</v>
      </c>
      <c r="AD27" s="312">
        <v>8.9752937865472813</v>
      </c>
      <c r="AE27" s="312">
        <v>0</v>
      </c>
      <c r="AF27" s="312">
        <v>0</v>
      </c>
      <c r="AG27" s="312">
        <v>0</v>
      </c>
      <c r="AH27" s="19">
        <v>27.346122213858681</v>
      </c>
      <c r="AI27" s="19">
        <v>12.153658993468824</v>
      </c>
      <c r="AJ27" s="19">
        <v>0</v>
      </c>
      <c r="AK27" s="19">
        <v>69.190063967672501</v>
      </c>
      <c r="AL27" s="19">
        <v>476.14388489200002</v>
      </c>
      <c r="AM27" s="19">
        <v>2.6461000000000001</v>
      </c>
      <c r="AN27" s="19"/>
      <c r="AO27" s="19"/>
      <c r="AP27" s="305">
        <v>1.4337208422552199</v>
      </c>
      <c r="AQ27">
        <v>8.8709679999999995</v>
      </c>
      <c r="AR27" s="351">
        <v>150.07192723768628</v>
      </c>
      <c r="AS27" s="348">
        <v>136.42902476153299</v>
      </c>
      <c r="AT27" s="350">
        <v>3.7419669516636298</v>
      </c>
      <c r="AU27" s="312">
        <v>889.2661274814285</v>
      </c>
      <c r="AV27" s="312">
        <v>859.40418810564472</v>
      </c>
      <c r="AW27" s="312">
        <v>567.31986661114286</v>
      </c>
      <c r="AX27" s="312">
        <v>498.77529252397369</v>
      </c>
      <c r="AY27" s="333">
        <v>712.58305913185711</v>
      </c>
      <c r="AZ27">
        <v>951.08661025347317</v>
      </c>
      <c r="BA27">
        <v>604.38102492179598</v>
      </c>
      <c r="BB27" s="48">
        <v>1089.8209662409733</v>
      </c>
      <c r="BC27" s="48">
        <v>645.61330238111748</v>
      </c>
      <c r="BD27" s="48">
        <v>34.97757605155568</v>
      </c>
      <c r="BE27" s="310">
        <v>0.83255326444091826</v>
      </c>
      <c r="BF27" s="310">
        <v>1.6051488325082612</v>
      </c>
      <c r="BG27" s="310">
        <v>2.2937245859479591</v>
      </c>
      <c r="BH27" s="310">
        <v>2.164702284361459</v>
      </c>
      <c r="BI27" s="310">
        <v>4.4985309550928871</v>
      </c>
      <c r="BJ27" s="305">
        <v>0.1268408584009636</v>
      </c>
      <c r="BK27" s="48">
        <v>0.25384200000000001</v>
      </c>
      <c r="BL27" s="48">
        <v>2429.2857142857097</v>
      </c>
      <c r="BM27" s="48">
        <v>1</v>
      </c>
      <c r="BN27" s="48">
        <v>0</v>
      </c>
      <c r="BO27" s="48">
        <v>0.78894057658343208</v>
      </c>
      <c r="BP27" s="314">
        <v>45.925851526043033</v>
      </c>
      <c r="BQ27" s="314">
        <v>48.550213081029042</v>
      </c>
      <c r="BR27" s="316">
        <v>465.32473254284247</v>
      </c>
      <c r="BS27" s="318">
        <v>10437.304271912659</v>
      </c>
      <c r="BT27" s="188">
        <v>8495.7842719126584</v>
      </c>
      <c r="BU27" s="188">
        <v>8495.7842719126584</v>
      </c>
      <c r="BV27" s="48">
        <v>1941.5199999999998</v>
      </c>
      <c r="BW27" s="48">
        <v>50</v>
      </c>
      <c r="BX27" s="48">
        <v>43</v>
      </c>
      <c r="BY27" s="48">
        <v>43</v>
      </c>
      <c r="BZ27" s="48">
        <v>0</v>
      </c>
      <c r="CA27" s="71">
        <v>0</v>
      </c>
      <c r="CB27" s="321">
        <v>3.8697240719600882E-3</v>
      </c>
      <c r="CC27" s="321">
        <v>0.52250833333333346</v>
      </c>
      <c r="CD27" s="321">
        <v>8.5864166666666658E-2</v>
      </c>
      <c r="CE27" s="321">
        <v>0</v>
      </c>
      <c r="CF27" s="321">
        <v>0</v>
      </c>
      <c r="CG27" s="42">
        <v>0</v>
      </c>
      <c r="CH27" s="42">
        <v>0</v>
      </c>
      <c r="CI27" s="42">
        <v>0</v>
      </c>
      <c r="CJ27" s="42">
        <v>0</v>
      </c>
      <c r="CK27" s="42">
        <v>0</v>
      </c>
      <c r="CL27" s="151" t="str">
        <f t="shared" si="0"/>
        <v>OK</v>
      </c>
      <c r="CM27" s="152" t="str">
        <f t="shared" si="1"/>
        <v>OK</v>
      </c>
      <c r="CN27" s="153" t="str">
        <f t="shared" si="2"/>
        <v>OK</v>
      </c>
      <c r="CO27" s="327">
        <f t="shared" si="3"/>
        <v>1294.346666666667</v>
      </c>
      <c r="CP27" s="328"/>
      <c r="CQ27" s="326">
        <v>1.3416798379157899</v>
      </c>
      <c r="CR27" s="326" t="e">
        <v>#N/A</v>
      </c>
      <c r="CS27" s="328">
        <v>1190</v>
      </c>
      <c r="CT27" s="327">
        <v>5.3242903225806453</v>
      </c>
      <c r="CU27" s="327">
        <f>VLOOKUP(B27,Tabelle2!$AL$2:$AM$82,2,)</f>
        <v>5.3242903225806453</v>
      </c>
      <c r="CV27">
        <v>4</v>
      </c>
      <c r="CW27">
        <v>0.05</v>
      </c>
      <c r="CY27" s="147">
        <f>VLOOKUP($B27,Tabelle2!$J$3:$W$38,3,)</f>
        <v>5.2384615384615394</v>
      </c>
      <c r="CZ27" s="147">
        <f>VLOOKUP($B27,Tabelle2!$J$3:$W$38,4,)</f>
        <v>15.400000000000009</v>
      </c>
      <c r="DA27" s="147">
        <f>VLOOKUP($B27,Tabelle2!$J$3:$W$38,5,)</f>
        <v>7.3670731707317083E-2</v>
      </c>
      <c r="DB27" s="147">
        <f>VLOOKUP($B27,Tabelle2!$J$3:$W$38,6,)</f>
        <v>0.12</v>
      </c>
      <c r="DC27" s="147">
        <f>VLOOKUP($B27,Tabelle2!$J$3:$W$38,7,)</f>
        <v>2.9219512195121936E-2</v>
      </c>
      <c r="DD27" s="147">
        <f>VLOOKUP($B27,Tabelle2!$J$3:$W$38,8,)</f>
        <v>4.9700000000000022E-2</v>
      </c>
      <c r="DE27" s="147">
        <f>VLOOKUP($B27,Tabelle2!$J$3:$W$38,9,)</f>
        <v>7.3170731707317112E-3</v>
      </c>
      <c r="DF27" s="147">
        <f>VLOOKUP($B27,Tabelle2!$J$3:$W$38,10,)</f>
        <v>1.0900000000000005E-2</v>
      </c>
      <c r="DG27" s="147">
        <f>VLOOKUP($B27,Tabelle2!$J$3:$W$38,11,)</f>
        <v>2.4146341463414633</v>
      </c>
      <c r="DH27" s="147">
        <f>VLOOKUP($B27,Tabelle2!$J$3:$W$38,12,)</f>
        <v>3.7</v>
      </c>
      <c r="DI27" s="147">
        <f>VLOOKUP($B27,Tabelle2!$J$3:$W$38,13,)</f>
        <v>2.4634146341463416E-2</v>
      </c>
      <c r="DJ27" s="147">
        <f>VLOOKUP($B27,Tabelle2!$J$3:$W$38,14,)</f>
        <v>0.04</v>
      </c>
      <c r="DK27" s="147">
        <f t="shared" si="5"/>
        <v>2.4465853658536583</v>
      </c>
      <c r="DL27" s="147">
        <f t="shared" si="6"/>
        <v>3.7509000000000001</v>
      </c>
      <c r="DN27" s="31"/>
      <c r="DO27" s="136" t="e">
        <v>#N/A</v>
      </c>
      <c r="DP27" s="136" t="e">
        <v>#N/A</v>
      </c>
      <c r="DQ27">
        <f t="shared" si="4"/>
        <v>1190</v>
      </c>
      <c r="DR27" s="147"/>
      <c r="DS27" s="147"/>
      <c r="DT27" s="147"/>
      <c r="DU27" s="147"/>
      <c r="DV27" s="147"/>
      <c r="DW27" s="147"/>
      <c r="DY27" s="48"/>
      <c r="DZ27" s="48"/>
      <c r="EA27" s="48"/>
      <c r="EC27" s="61">
        <v>88.531018146065577</v>
      </c>
      <c r="ED27" s="27">
        <v>76.40126919073019</v>
      </c>
      <c r="EE27" s="27">
        <v>2.5551798626831785</v>
      </c>
      <c r="EG27" s="39" t="s">
        <v>698</v>
      </c>
      <c r="EH27" s="63">
        <v>1190</v>
      </c>
      <c r="EI27" s="31">
        <v>2.7218946315789479E-2</v>
      </c>
      <c r="EJ27" s="31">
        <v>6.0299756022515798E-2</v>
      </c>
      <c r="EM27">
        <v>0</v>
      </c>
      <c r="EN27">
        <v>0</v>
      </c>
    </row>
    <row r="28" spans="1:144" ht="15">
      <c r="A28" s="281" t="s">
        <v>699</v>
      </c>
      <c r="B28" s="282">
        <v>1200</v>
      </c>
      <c r="C28" s="63">
        <v>5000</v>
      </c>
      <c r="D28" s="63" t="s">
        <v>435</v>
      </c>
      <c r="E28" s="94" t="s">
        <v>429</v>
      </c>
      <c r="F28" s="135" t="s">
        <v>427</v>
      </c>
      <c r="G28" s="61">
        <v>268.010200478</v>
      </c>
      <c r="H28" s="291">
        <v>1.7946679526621292</v>
      </c>
      <c r="I28" s="291">
        <v>1.5820116561026774</v>
      </c>
      <c r="J28" s="291">
        <v>1.6606493137721767</v>
      </c>
      <c r="K28" s="291">
        <v>8.7225935812406643</v>
      </c>
      <c r="L28" s="291">
        <v>36.811792669992876</v>
      </c>
      <c r="M28" s="291">
        <v>91.275032626205999</v>
      </c>
      <c r="N28" s="291">
        <v>11.531053636824161</v>
      </c>
      <c r="O28" s="300">
        <v>0</v>
      </c>
      <c r="P28" s="292">
        <v>113.43305225678196</v>
      </c>
      <c r="Q28" s="291">
        <v>0</v>
      </c>
      <c r="R28" s="291">
        <v>0</v>
      </c>
      <c r="S28" s="291">
        <v>1.06509063857068E-2</v>
      </c>
      <c r="T28" s="291">
        <v>1.188695878031635</v>
      </c>
      <c r="U28" s="306">
        <v>329.12909239631176</v>
      </c>
      <c r="V28" s="136">
        <v>3.0575420667946003</v>
      </c>
      <c r="W28" s="306">
        <v>0</v>
      </c>
      <c r="X28" s="136">
        <v>0</v>
      </c>
      <c r="Y28" s="306">
        <v>0.18236983262398501</v>
      </c>
      <c r="Z28" s="306">
        <v>0</v>
      </c>
      <c r="AA28" s="306">
        <v>0</v>
      </c>
      <c r="AB28" s="312">
        <v>125.62566487403055</v>
      </c>
      <c r="AC28" s="312">
        <v>5.3729416055358632</v>
      </c>
      <c r="AD28" s="312">
        <v>10.794736002327094</v>
      </c>
      <c r="AE28" s="312">
        <v>1.7102504653443699E-2</v>
      </c>
      <c r="AF28" s="312">
        <v>0</v>
      </c>
      <c r="AG28" s="312">
        <v>3.6302813429574414E-2</v>
      </c>
      <c r="AH28" s="19">
        <v>7.9319734528970516</v>
      </c>
      <c r="AI28" s="19">
        <v>17.654784573870209</v>
      </c>
      <c r="AJ28" s="19">
        <v>0</v>
      </c>
      <c r="AK28" s="19">
        <v>242.42344245123272</v>
      </c>
      <c r="AL28" s="19">
        <v>659.73354231999997</v>
      </c>
      <c r="AM28" s="19">
        <v>4.2808999999999999</v>
      </c>
      <c r="AN28" s="19"/>
      <c r="AO28" s="19"/>
      <c r="AP28" s="305">
        <v>3.5832774849934101</v>
      </c>
      <c r="AQ28">
        <v>8.7136840000000007</v>
      </c>
      <c r="AR28" s="351">
        <v>312.94942898695302</v>
      </c>
      <c r="AS28" s="346">
        <v>284.49948089723</v>
      </c>
      <c r="AT28" s="330">
        <v>9.2607704088142793</v>
      </c>
      <c r="AU28" s="312">
        <v>952.87771570114296</v>
      </c>
      <c r="AV28" s="312">
        <v>933.17856363096598</v>
      </c>
      <c r="AW28" s="312">
        <v>599.28499444228578</v>
      </c>
      <c r="AX28" s="312">
        <v>540.48391387192453</v>
      </c>
      <c r="AY28" s="333">
        <v>669.66477400842871</v>
      </c>
      <c r="AZ28">
        <v>826.97386603671498</v>
      </c>
      <c r="BA28">
        <v>590.95247676952351</v>
      </c>
      <c r="BB28" s="48">
        <v>1079.2259545118995</v>
      </c>
      <c r="BC28" s="48">
        <v>705.4362179692265</v>
      </c>
      <c r="BD28" s="48">
        <v>34.97757605155568</v>
      </c>
      <c r="BE28" s="310">
        <v>1.3048686574940349</v>
      </c>
      <c r="BF28" s="310">
        <v>1.9996493612669541</v>
      </c>
      <c r="BG28" s="310">
        <v>1.8035849128235875</v>
      </c>
      <c r="BH28" s="310">
        <v>2.0442543878151871</v>
      </c>
      <c r="BI28" s="310">
        <v>5.1532531594138691</v>
      </c>
      <c r="BJ28" s="305">
        <v>0.16878752520624826</v>
      </c>
      <c r="BK28" s="48">
        <v>0.140012</v>
      </c>
      <c r="BL28" s="48">
        <v>3073.3333333333303</v>
      </c>
      <c r="BM28" s="48">
        <v>1</v>
      </c>
      <c r="BN28" s="48">
        <v>0</v>
      </c>
      <c r="BO28" s="48">
        <v>5.7728974686355663</v>
      </c>
      <c r="BP28" s="314">
        <v>55.423624221502145</v>
      </c>
      <c r="BQ28" s="314">
        <v>53.580934115957561</v>
      </c>
      <c r="BR28" s="316">
        <v>353.72309539620153</v>
      </c>
      <c r="BS28" s="318">
        <v>25978.059723797101</v>
      </c>
      <c r="BT28" s="188">
        <v>21190.24639046377</v>
      </c>
      <c r="BU28" s="188">
        <v>21190.24639046377</v>
      </c>
      <c r="BV28" s="48">
        <v>4787.8133333333335</v>
      </c>
      <c r="BW28" s="48">
        <v>50</v>
      </c>
      <c r="BX28" s="48">
        <v>43</v>
      </c>
      <c r="BY28" s="48">
        <v>43</v>
      </c>
      <c r="BZ28" s="48">
        <v>0</v>
      </c>
      <c r="CA28" s="71">
        <v>0</v>
      </c>
      <c r="CB28" s="321">
        <v>5.3327430238457638E-2</v>
      </c>
      <c r="CC28" s="321">
        <v>3.2985981666666664</v>
      </c>
      <c r="CD28" s="321">
        <v>1.1204946666666666</v>
      </c>
      <c r="CE28" s="321">
        <v>0</v>
      </c>
      <c r="CF28" s="321">
        <v>0</v>
      </c>
      <c r="CG28" s="42">
        <v>0</v>
      </c>
      <c r="CH28" s="42">
        <v>0</v>
      </c>
      <c r="CI28" s="42">
        <v>0</v>
      </c>
      <c r="CJ28" s="42">
        <v>0</v>
      </c>
      <c r="CK28" s="42">
        <v>0</v>
      </c>
      <c r="CL28" s="151" t="str">
        <f t="shared" si="0"/>
        <v>OK</v>
      </c>
      <c r="CM28" s="152" t="str">
        <f t="shared" si="1"/>
        <v>OK</v>
      </c>
      <c r="CN28" s="153" t="str">
        <f t="shared" si="2"/>
        <v>OK</v>
      </c>
      <c r="CO28" s="327">
        <f t="shared" si="3"/>
        <v>3191.8755555555545</v>
      </c>
      <c r="CP28" s="328"/>
      <c r="CQ28" s="326">
        <v>3.8321844406580201</v>
      </c>
      <c r="CR28" s="326">
        <v>651.00772912199488</v>
      </c>
      <c r="CS28" s="328">
        <v>1200</v>
      </c>
      <c r="CT28" s="327">
        <v>2.9070322580645165</v>
      </c>
      <c r="CU28" s="327">
        <f>VLOOKUP(B28,Tabelle2!$AL$2:$AM$82,2,)</f>
        <v>2.9070322580645165</v>
      </c>
      <c r="CV28">
        <v>4</v>
      </c>
      <c r="CW28">
        <v>0.05</v>
      </c>
      <c r="CY28" s="147">
        <f>VLOOKUP($B28,Tabelle2!$J$3:$W$38,3,)</f>
        <v>4.833333333333333</v>
      </c>
      <c r="CZ28" s="147">
        <f>VLOOKUP($B28,Tabelle2!$J$3:$W$38,4,)</f>
        <v>9.1999999999999993</v>
      </c>
      <c r="DA28" s="147">
        <f>VLOOKUP($B28,Tabelle2!$J$3:$W$38,5,)</f>
        <v>8.0588235294117627E-2</v>
      </c>
      <c r="DB28" s="147">
        <f>VLOOKUP($B28,Tabelle2!$J$3:$W$38,6,)</f>
        <v>0.12</v>
      </c>
      <c r="DC28" s="147">
        <f>VLOOKUP($B28,Tabelle2!$J$3:$W$38,7,)</f>
        <v>3.838823529411764E-2</v>
      </c>
      <c r="DD28" s="147">
        <f>VLOOKUP($B28,Tabelle2!$J$3:$W$38,8,)</f>
        <v>6.2400000000000032E-2</v>
      </c>
      <c r="DE28" s="147">
        <f>VLOOKUP($B28,Tabelle2!$J$3:$W$38,9,)</f>
        <v>6.2588235294117689E-3</v>
      </c>
      <c r="DF28" s="147">
        <f>VLOOKUP($B28,Tabelle2!$J$3:$W$38,10,)</f>
        <v>1.0999999999999999E-2</v>
      </c>
      <c r="DG28" s="147">
        <f>VLOOKUP($B28,Tabelle2!$J$3:$W$38,11,)</f>
        <v>2.2529411764705882</v>
      </c>
      <c r="DH28" s="147">
        <f>VLOOKUP($B28,Tabelle2!$J$3:$W$38,12,)</f>
        <v>2.9</v>
      </c>
      <c r="DI28" s="147">
        <f>VLOOKUP($B28,Tabelle2!$J$3:$W$38,13,)</f>
        <v>2.4E-2</v>
      </c>
      <c r="DJ28" s="147">
        <f>VLOOKUP($B28,Tabelle2!$J$3:$W$38,14,)</f>
        <v>0.05</v>
      </c>
      <c r="DK28" s="147">
        <f t="shared" si="5"/>
        <v>2.2831999999999999</v>
      </c>
      <c r="DL28" s="147">
        <f t="shared" si="6"/>
        <v>2.9609999999999999</v>
      </c>
      <c r="DN28" s="31"/>
      <c r="DO28" s="136">
        <v>3.8878070442558021</v>
      </c>
      <c r="DP28" s="136">
        <v>651.00772912199488</v>
      </c>
      <c r="DQ28">
        <f t="shared" si="4"/>
        <v>1200</v>
      </c>
      <c r="DR28" s="147"/>
      <c r="DS28" s="147"/>
      <c r="DT28" s="147"/>
      <c r="DU28" s="147"/>
      <c r="DV28" s="147"/>
      <c r="DW28" s="147"/>
      <c r="DY28" s="48"/>
      <c r="DZ28" s="48">
        <v>240.02813474926782</v>
      </c>
      <c r="EA28" s="48">
        <v>5.7550992233573268</v>
      </c>
      <c r="EC28" s="61">
        <v>232.72333471556297</v>
      </c>
      <c r="ED28" s="27">
        <v>220.2062079724227</v>
      </c>
      <c r="EE28" s="27">
        <v>10.475278049256225</v>
      </c>
      <c r="EG28" s="39" t="s">
        <v>699</v>
      </c>
      <c r="EH28" s="63">
        <v>1200</v>
      </c>
      <c r="EI28" s="31">
        <v>3.4430753684210523E-2</v>
      </c>
      <c r="EJ28" s="31">
        <v>5.9692060562217465E-2</v>
      </c>
      <c r="EM28">
        <v>1</v>
      </c>
      <c r="EN28">
        <v>0</v>
      </c>
    </row>
    <row r="29" spans="1:144" ht="15">
      <c r="A29" s="39" t="s">
        <v>700</v>
      </c>
      <c r="B29" s="63">
        <v>1210</v>
      </c>
      <c r="C29" s="63">
        <v>5010</v>
      </c>
      <c r="D29" s="63" t="s">
        <v>435</v>
      </c>
      <c r="E29" s="94" t="s">
        <v>429</v>
      </c>
      <c r="F29" s="135" t="s">
        <v>427</v>
      </c>
      <c r="G29" s="61">
        <v>54.5678802758</v>
      </c>
      <c r="H29" s="291">
        <v>2.0760230860740293E-2</v>
      </c>
      <c r="I29" s="291">
        <v>6.1554050699625489E-2</v>
      </c>
      <c r="J29" s="291">
        <v>0.16060271104427068</v>
      </c>
      <c r="K29" s="291">
        <v>0.8802138585198066</v>
      </c>
      <c r="L29" s="291">
        <v>7.5582601605020558</v>
      </c>
      <c r="M29" s="291">
        <v>13.923671667555716</v>
      </c>
      <c r="N29" s="291">
        <v>4.4709321420055517</v>
      </c>
      <c r="O29" s="300">
        <v>0</v>
      </c>
      <c r="P29" s="292">
        <v>27.228574267190176</v>
      </c>
      <c r="Q29" s="291">
        <v>0</v>
      </c>
      <c r="R29" s="291">
        <v>0</v>
      </c>
      <c r="S29" s="291">
        <v>0</v>
      </c>
      <c r="T29" s="291">
        <v>0.26331118742205328</v>
      </c>
      <c r="U29" s="306">
        <v>99.903564707550402</v>
      </c>
      <c r="V29" s="136">
        <v>2.5</v>
      </c>
      <c r="W29" s="306">
        <v>0</v>
      </c>
      <c r="X29" s="136">
        <v>0</v>
      </c>
      <c r="Y29" s="306">
        <v>1.3552275653177299E-2</v>
      </c>
      <c r="Z29" s="306">
        <v>0</v>
      </c>
      <c r="AA29" s="306">
        <v>0</v>
      </c>
      <c r="AB29" s="312">
        <v>20.961149319790181</v>
      </c>
      <c r="AC29" s="312">
        <v>0</v>
      </c>
      <c r="AD29" s="312">
        <v>1.6439133593920336</v>
      </c>
      <c r="AE29" s="312">
        <v>0</v>
      </c>
      <c r="AF29" s="312">
        <v>0</v>
      </c>
      <c r="AG29" s="312">
        <v>0</v>
      </c>
      <c r="AH29" s="19">
        <v>2.814444673121034</v>
      </c>
      <c r="AI29" s="19">
        <v>5.4003468221958242</v>
      </c>
      <c r="AJ29" s="19">
        <v>0</v>
      </c>
      <c r="AK29" s="19">
        <v>46.353088780483141</v>
      </c>
      <c r="AL29" s="19">
        <v>603.54545454499998</v>
      </c>
      <c r="AM29" s="19">
        <v>7.3109000000000002</v>
      </c>
      <c r="AN29" s="19"/>
      <c r="AO29" s="19"/>
      <c r="AP29" s="305">
        <v>0.73650440279874496</v>
      </c>
      <c r="AQ29" s="341">
        <v>9.7223636363649995</v>
      </c>
      <c r="AR29" s="351"/>
      <c r="AS29" s="346"/>
      <c r="AT29" s="249"/>
      <c r="AU29" s="312">
        <v>975.80528235071438</v>
      </c>
      <c r="AV29" s="312">
        <v>954.87224674093989</v>
      </c>
      <c r="AW29" s="312">
        <v>617.0778480007142</v>
      </c>
      <c r="AX29" s="312">
        <v>555.2510239103957</v>
      </c>
      <c r="AY29" s="333">
        <v>672.81055164614281</v>
      </c>
      <c r="AZ29">
        <v>820.99913172579477</v>
      </c>
      <c r="BA29">
        <v>590.82226554531144</v>
      </c>
      <c r="BB29" s="48">
        <v>1078.3087448859851</v>
      </c>
      <c r="BC29" s="48">
        <v>710.02485519571155</v>
      </c>
      <c r="BD29" s="48">
        <v>34.778750100538893</v>
      </c>
      <c r="BE29" s="310">
        <v>6.6012900569143176E-2</v>
      </c>
      <c r="BF29" s="310">
        <v>0.26395785950105272</v>
      </c>
      <c r="BG29" s="310">
        <v>0.9787063155764324</v>
      </c>
      <c r="BH29" s="310">
        <v>1.9893209620423618</v>
      </c>
      <c r="BI29" s="310">
        <v>5.7284230504792104</v>
      </c>
      <c r="BJ29" s="305">
        <v>0.17109867705617066</v>
      </c>
      <c r="BK29" s="48">
        <v>0.121074</v>
      </c>
      <c r="BL29" s="48">
        <v>2566.6666666666697</v>
      </c>
      <c r="BM29" s="48">
        <v>1</v>
      </c>
      <c r="BN29" s="48">
        <v>0</v>
      </c>
      <c r="BO29" s="48">
        <v>1.6093764823295502</v>
      </c>
      <c r="BP29" s="314">
        <v>63.425144649745128</v>
      </c>
      <c r="BQ29" s="314">
        <v>62.607182043720861</v>
      </c>
      <c r="BR29" s="316">
        <v>524.26035387600427</v>
      </c>
      <c r="BS29" s="319">
        <v>68208.162606451544</v>
      </c>
      <c r="BT29" s="188">
        <v>62717.482606451544</v>
      </c>
      <c r="BU29" s="188">
        <v>62717.482606451544</v>
      </c>
      <c r="BV29" s="48">
        <v>5490.68</v>
      </c>
      <c r="BW29" s="48">
        <v>50</v>
      </c>
      <c r="BX29" s="48">
        <v>20</v>
      </c>
      <c r="BY29" s="48">
        <v>43</v>
      </c>
      <c r="BZ29" s="48">
        <v>0</v>
      </c>
      <c r="CA29" s="71">
        <v>0</v>
      </c>
      <c r="CB29" s="321">
        <v>0</v>
      </c>
      <c r="CC29" s="321">
        <v>0</v>
      </c>
      <c r="CD29" s="321">
        <v>0</v>
      </c>
      <c r="CE29" s="321">
        <v>0</v>
      </c>
      <c r="CF29" s="321">
        <v>0</v>
      </c>
      <c r="CG29" s="42">
        <v>0</v>
      </c>
      <c r="CH29" s="42">
        <v>0</v>
      </c>
      <c r="CI29" s="42">
        <v>0</v>
      </c>
      <c r="CJ29" s="42">
        <v>0</v>
      </c>
      <c r="CK29" s="42">
        <v>0</v>
      </c>
      <c r="CL29" s="151" t="str">
        <f t="shared" si="0"/>
        <v>OK</v>
      </c>
      <c r="CM29" s="152" t="str">
        <f t="shared" si="1"/>
        <v>OK</v>
      </c>
      <c r="CN29" s="153" t="str">
        <f t="shared" si="2"/>
        <v>OK</v>
      </c>
      <c r="CO29" s="327">
        <f t="shared" si="3"/>
        <v>3660.4533333333334</v>
      </c>
      <c r="CP29" s="328"/>
      <c r="CQ29" s="326"/>
      <c r="CR29" s="326" t="e">
        <v>#N/A</v>
      </c>
      <c r="CS29" s="328">
        <v>1210</v>
      </c>
      <c r="CT29" s="327">
        <v>5.7129032258064507</v>
      </c>
      <c r="CU29" s="327">
        <f>VLOOKUP(B29,Tabelle2!$AL$2:$AM$82,2,)</f>
        <v>5.7129032258064507</v>
      </c>
      <c r="CV29">
        <v>4</v>
      </c>
      <c r="CW29">
        <v>0.05</v>
      </c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N29" s="31"/>
      <c r="DO29" s="136" t="e">
        <v>#N/A</v>
      </c>
      <c r="DP29" s="136" t="e">
        <v>#N/A</v>
      </c>
      <c r="DQ29">
        <f t="shared" si="4"/>
        <v>1210</v>
      </c>
      <c r="DR29" s="147"/>
      <c r="DS29" s="147"/>
      <c r="DT29" s="147"/>
      <c r="DU29" s="147"/>
      <c r="DV29" s="147"/>
      <c r="DW29" s="147"/>
      <c r="DY29" s="48"/>
      <c r="DZ29" s="48"/>
      <c r="EA29" s="48"/>
      <c r="EC29" s="61">
        <v>49.614659721154716</v>
      </c>
      <c r="ED29" s="27">
        <v>47.029871894053713</v>
      </c>
      <c r="EE29" s="27">
        <v>2.5159746584462104</v>
      </c>
      <c r="EG29" s="39" t="s">
        <v>700</v>
      </c>
      <c r="EH29" s="63">
        <v>1210</v>
      </c>
      <c r="EI29" s="31">
        <v>6.0233815789473691E-2</v>
      </c>
      <c r="EJ29" s="31">
        <v>5.397905988243884E-2</v>
      </c>
      <c r="EM29">
        <v>0</v>
      </c>
      <c r="EN29">
        <v>0</v>
      </c>
    </row>
    <row r="30" spans="1:144" ht="15">
      <c r="A30" s="39" t="s">
        <v>701</v>
      </c>
      <c r="B30" s="63">
        <v>1220</v>
      </c>
      <c r="C30" s="63">
        <v>4010</v>
      </c>
      <c r="D30" s="63" t="s">
        <v>435</v>
      </c>
      <c r="E30" s="94" t="s">
        <v>429</v>
      </c>
      <c r="F30" s="135" t="s">
        <v>427</v>
      </c>
      <c r="G30" s="61">
        <v>110.88603643899999</v>
      </c>
      <c r="H30" s="291">
        <v>0</v>
      </c>
      <c r="I30" s="291">
        <v>0</v>
      </c>
      <c r="J30" s="291">
        <v>0</v>
      </c>
      <c r="K30" s="291">
        <v>2.9909993033920491E-6</v>
      </c>
      <c r="L30" s="291">
        <v>5.1970702539268567E-6</v>
      </c>
      <c r="M30" s="291">
        <v>10.571212953200556</v>
      </c>
      <c r="N30" s="291">
        <v>1.2865047591761611</v>
      </c>
      <c r="O30" s="300">
        <v>0</v>
      </c>
      <c r="P30" s="292">
        <v>80.586272587203581</v>
      </c>
      <c r="Q30" s="291">
        <v>13.8980531968778</v>
      </c>
      <c r="R30" s="291">
        <v>1.9040953457735199</v>
      </c>
      <c r="S30" s="291">
        <v>0.370874836904587</v>
      </c>
      <c r="T30" s="291">
        <v>2.2690145717942478</v>
      </c>
      <c r="U30" s="306">
        <v>414.80441760022876</v>
      </c>
      <c r="V30" s="136">
        <v>3.061230967267909</v>
      </c>
      <c r="W30" s="306">
        <v>0</v>
      </c>
      <c r="X30" s="136">
        <v>0</v>
      </c>
      <c r="Y30" s="306">
        <v>0.999202443276898</v>
      </c>
      <c r="Z30" s="306">
        <v>0</v>
      </c>
      <c r="AA30" s="306">
        <v>0</v>
      </c>
      <c r="AB30" s="312">
        <v>9.5557543328342723E-2</v>
      </c>
      <c r="AC30" s="312">
        <v>2.773918964009233</v>
      </c>
      <c r="AD30" s="312">
        <v>6.4569434642365842</v>
      </c>
      <c r="AE30" s="312">
        <v>1.117778405210506</v>
      </c>
      <c r="AF30" s="312">
        <v>0</v>
      </c>
      <c r="AG30" s="312">
        <v>0.12702276448544991</v>
      </c>
      <c r="AH30" s="19">
        <v>18.765166792128809</v>
      </c>
      <c r="AI30" s="19">
        <v>0</v>
      </c>
      <c r="AJ30" s="19">
        <v>67.769473360411126</v>
      </c>
      <c r="AK30" s="19">
        <v>24.351396286460055</v>
      </c>
      <c r="AL30" s="19">
        <v>1411.6137931000001</v>
      </c>
      <c r="AM30" s="19">
        <v>21.550899999999999</v>
      </c>
      <c r="AN30" s="19" t="s">
        <v>11</v>
      </c>
      <c r="AO30" s="19" t="s">
        <v>12</v>
      </c>
      <c r="AP30" s="305">
        <v>6.7734858766506196</v>
      </c>
      <c r="AQ30" s="341">
        <v>7.2981586206999989</v>
      </c>
      <c r="AR30" s="351"/>
      <c r="AS30" s="346"/>
      <c r="AT30" s="249"/>
      <c r="AU30" s="312">
        <v>1911.1042947929998</v>
      </c>
      <c r="AV30" s="312">
        <v>1824.1401198022354</v>
      </c>
      <c r="AW30" s="312">
        <v>1167.8854271631428</v>
      </c>
      <c r="AX30" s="312">
        <v>1027.9619679381392</v>
      </c>
      <c r="AY30" s="333">
        <v>606.80632425014278</v>
      </c>
      <c r="AZ30">
        <v>677.47773864599685</v>
      </c>
      <c r="BA30">
        <v>588.27875572074026</v>
      </c>
      <c r="BB30" s="48">
        <v>1002.6210547039287</v>
      </c>
      <c r="BC30" s="48">
        <v>802.35531720744359</v>
      </c>
      <c r="BD30" s="48">
        <v>34.396044158233671</v>
      </c>
      <c r="BE30" s="310">
        <v>0</v>
      </c>
      <c r="BF30" s="310">
        <v>0</v>
      </c>
      <c r="BG30" s="310">
        <v>0</v>
      </c>
      <c r="BH30" s="310">
        <v>6.5826172315134395</v>
      </c>
      <c r="BI30" s="310">
        <v>13.476830536610985</v>
      </c>
      <c r="BJ30" s="305">
        <v>0.4012984274559328</v>
      </c>
      <c r="BK30" s="48">
        <v>7.481560000000001E-2</v>
      </c>
      <c r="BL30" s="48">
        <v>7195</v>
      </c>
      <c r="BM30" s="48">
        <v>1</v>
      </c>
      <c r="BN30" s="48">
        <v>0</v>
      </c>
      <c r="BO30" s="48">
        <v>1.1690268036218749</v>
      </c>
      <c r="BP30" s="314">
        <v>10.012351423889923</v>
      </c>
      <c r="BQ30" s="314">
        <v>21.552799074375528</v>
      </c>
      <c r="BR30" s="316">
        <v>146.56840697543302</v>
      </c>
      <c r="BS30" s="318">
        <v>1798.8206564497241</v>
      </c>
      <c r="BT30" s="188">
        <v>1650.1006564497241</v>
      </c>
      <c r="BU30" s="188">
        <v>1650.1006564497241</v>
      </c>
      <c r="BV30" s="48">
        <v>148.71999999999994</v>
      </c>
      <c r="BW30" s="48">
        <v>50</v>
      </c>
      <c r="BX30" s="48">
        <v>50</v>
      </c>
      <c r="BY30" s="48">
        <v>43</v>
      </c>
      <c r="BZ30" s="48">
        <v>0</v>
      </c>
      <c r="CA30" s="71">
        <v>0</v>
      </c>
      <c r="CB30" s="321">
        <v>0</v>
      </c>
      <c r="CC30" s="321">
        <v>0</v>
      </c>
      <c r="CD30" s="321">
        <v>0</v>
      </c>
      <c r="CE30" s="321">
        <v>0</v>
      </c>
      <c r="CF30" s="321">
        <v>0</v>
      </c>
      <c r="CG30" s="42">
        <v>0</v>
      </c>
      <c r="CH30" s="42">
        <v>0</v>
      </c>
      <c r="CI30" s="42">
        <v>0</v>
      </c>
      <c r="CJ30" s="42">
        <v>0</v>
      </c>
      <c r="CK30" s="42">
        <v>0</v>
      </c>
      <c r="CL30" s="151" t="str">
        <f t="shared" si="0"/>
        <v>OK</v>
      </c>
      <c r="CM30" s="152" t="str">
        <f t="shared" si="1"/>
        <v>OK</v>
      </c>
      <c r="CN30" s="153" t="str">
        <f t="shared" si="2"/>
        <v>OK</v>
      </c>
      <c r="CO30" s="327">
        <f t="shared" si="3"/>
        <v>99.14666666666669</v>
      </c>
      <c r="CP30" s="328"/>
      <c r="CQ30" s="326"/>
      <c r="CR30" s="326" t="e">
        <v>#N/A</v>
      </c>
      <c r="CS30" s="328">
        <v>1220</v>
      </c>
      <c r="CT30" s="327">
        <v>0.53516129032258064</v>
      </c>
      <c r="CU30" s="327">
        <f>VLOOKUP(B30,Tabelle2!$AL$2:$AM$82,2,)</f>
        <v>0.53516129032258064</v>
      </c>
      <c r="CV30">
        <v>4</v>
      </c>
      <c r="CW30">
        <v>1.4999999999999999E-2</v>
      </c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N30" s="31"/>
      <c r="DO30" s="136" t="e">
        <v>#N/A</v>
      </c>
      <c r="DP30" s="136" t="e">
        <v>#N/A</v>
      </c>
      <c r="DQ30">
        <f t="shared" si="4"/>
        <v>1220</v>
      </c>
      <c r="DR30" s="147"/>
      <c r="DS30" s="147"/>
      <c r="DT30" s="147"/>
      <c r="DU30" s="147"/>
      <c r="DV30" s="147"/>
      <c r="DW30" s="147"/>
      <c r="DY30" s="48"/>
      <c r="DZ30" s="48"/>
      <c r="EA30" s="48"/>
      <c r="EC30" s="61">
        <v>109.22605109383956</v>
      </c>
      <c r="ED30" s="27">
        <v>106.39941108400124</v>
      </c>
      <c r="EE30" s="27">
        <v>3.838839549949149</v>
      </c>
      <c r="EG30" s="39" t="s">
        <v>701</v>
      </c>
      <c r="EH30" s="63">
        <v>1220</v>
      </c>
      <c r="EI30" s="31">
        <v>4.0358736842105265E-3</v>
      </c>
      <c r="EJ30" s="31">
        <v>2.1513434728982851E-2</v>
      </c>
      <c r="EM30">
        <v>0</v>
      </c>
      <c r="EN30">
        <v>0</v>
      </c>
    </row>
    <row r="31" spans="1:144" ht="15">
      <c r="A31" s="39" t="s">
        <v>702</v>
      </c>
      <c r="B31" s="63">
        <v>1230</v>
      </c>
      <c r="C31" s="63">
        <v>4010</v>
      </c>
      <c r="D31" s="63" t="s">
        <v>435</v>
      </c>
      <c r="E31" s="94" t="s">
        <v>429</v>
      </c>
      <c r="F31" s="135" t="s">
        <v>427</v>
      </c>
      <c r="G31" s="61">
        <v>253.62590142799999</v>
      </c>
      <c r="H31" s="291">
        <v>0</v>
      </c>
      <c r="I31" s="291">
        <v>1.0670188144799151E-5</v>
      </c>
      <c r="J31" s="291">
        <v>1.4559270172790561E-3</v>
      </c>
      <c r="K31" s="291">
        <v>6.967971869152826E-3</v>
      </c>
      <c r="L31" s="291">
        <v>6.6609479136548605E-3</v>
      </c>
      <c r="M31" s="291">
        <v>42.479184874269897</v>
      </c>
      <c r="N31" s="291">
        <v>7.0665544278774206</v>
      </c>
      <c r="O31" s="300">
        <v>0</v>
      </c>
      <c r="P31" s="292">
        <v>186.48252649785664</v>
      </c>
      <c r="Q31" s="291">
        <v>1.9977770205476602</v>
      </c>
      <c r="R31" s="291">
        <v>0</v>
      </c>
      <c r="S31" s="291">
        <v>4.4518153296659896E-2</v>
      </c>
      <c r="T31" s="291">
        <v>15.540244937163491</v>
      </c>
      <c r="U31" s="306">
        <v>373.239875153421</v>
      </c>
      <c r="V31" s="136">
        <v>4.3764720302707403</v>
      </c>
      <c r="W31" s="306">
        <v>0</v>
      </c>
      <c r="X31" s="136">
        <v>0</v>
      </c>
      <c r="Y31" s="306">
        <v>13.906771062972801</v>
      </c>
      <c r="Z31" s="306">
        <v>0</v>
      </c>
      <c r="AA31" s="306">
        <v>0</v>
      </c>
      <c r="AB31" s="312">
        <v>4.803504920554893</v>
      </c>
      <c r="AC31" s="312">
        <v>27.812646321152137</v>
      </c>
      <c r="AD31" s="312">
        <v>3.0001462682619855</v>
      </c>
      <c r="AE31" s="312">
        <v>3.3388541466418102</v>
      </c>
      <c r="AF31" s="312">
        <v>1.6351431768387126</v>
      </c>
      <c r="AG31" s="312">
        <v>1.9039855578085914</v>
      </c>
      <c r="AH31" s="19">
        <v>53.511474994130992</v>
      </c>
      <c r="AI31" s="19">
        <v>0</v>
      </c>
      <c r="AJ31" s="19">
        <v>160.71609104352962</v>
      </c>
      <c r="AK31" s="19">
        <v>39.398335390339355</v>
      </c>
      <c r="AL31" s="19">
        <v>962.84740259700004</v>
      </c>
      <c r="AM31" s="19">
        <v>16.509799999999998</v>
      </c>
      <c r="AN31" s="19" t="s">
        <v>13</v>
      </c>
      <c r="AO31" s="19" t="s">
        <v>12</v>
      </c>
      <c r="AP31" s="305">
        <v>11.489465211834601</v>
      </c>
      <c r="AQ31" s="341">
        <v>8.6444577922089998</v>
      </c>
      <c r="AR31" s="351"/>
      <c r="AS31" s="346"/>
      <c r="AT31" s="249"/>
      <c r="AU31" s="312">
        <v>1729.3591258251429</v>
      </c>
      <c r="AV31" s="312">
        <v>1841.4808949313733</v>
      </c>
      <c r="AW31" s="312">
        <v>1052.9880052078572</v>
      </c>
      <c r="AX31" s="312">
        <v>1007.4584167360877</v>
      </c>
      <c r="AY31" s="333">
        <v>654.97351120571432</v>
      </c>
      <c r="AZ31">
        <v>910.49667337733513</v>
      </c>
      <c r="BA31">
        <v>679.41755880311962</v>
      </c>
      <c r="BB31" s="48">
        <v>1140.9629334595857</v>
      </c>
      <c r="BC31" s="48">
        <v>790.02162306875391</v>
      </c>
      <c r="BD31" s="48">
        <v>34.396044158233671</v>
      </c>
      <c r="BE31" s="310">
        <v>0</v>
      </c>
      <c r="BF31" s="310">
        <v>0.1852358122660995</v>
      </c>
      <c r="BG31" s="310">
        <v>0.89885860588825306</v>
      </c>
      <c r="BH31" s="310">
        <v>0.44560404282181271</v>
      </c>
      <c r="BI31" s="310">
        <v>8.5972365278917255</v>
      </c>
      <c r="BJ31" s="305">
        <v>0.26852968955498197</v>
      </c>
      <c r="BK31" s="48">
        <v>9.1008099999999995E-2</v>
      </c>
      <c r="BL31" s="48">
        <v>5675</v>
      </c>
      <c r="BM31" s="48">
        <v>1</v>
      </c>
      <c r="BN31" s="48">
        <v>0</v>
      </c>
      <c r="BO31" s="48">
        <v>2.3038841553335754</v>
      </c>
      <c r="BP31" s="314">
        <v>18.850281567426194</v>
      </c>
      <c r="BQ31" s="314">
        <v>27.368688493024074</v>
      </c>
      <c r="BR31" s="316">
        <v>254.51411933621492</v>
      </c>
      <c r="BS31" s="318">
        <v>11695.459415898747</v>
      </c>
      <c r="BT31" s="188">
        <v>10759.699415898747</v>
      </c>
      <c r="BU31" s="188">
        <v>10759.699415898747</v>
      </c>
      <c r="BV31" s="48">
        <v>935.75999999999954</v>
      </c>
      <c r="BW31" s="48">
        <v>50</v>
      </c>
      <c r="BX31" s="48">
        <v>50</v>
      </c>
      <c r="BY31" s="48">
        <v>43</v>
      </c>
      <c r="BZ31" s="48">
        <v>0</v>
      </c>
      <c r="CA31" s="71">
        <v>0</v>
      </c>
      <c r="CB31" s="321">
        <v>0</v>
      </c>
      <c r="CC31" s="321">
        <v>0</v>
      </c>
      <c r="CD31" s="321">
        <v>0</v>
      </c>
      <c r="CE31" s="321">
        <v>0</v>
      </c>
      <c r="CF31" s="321">
        <v>0</v>
      </c>
      <c r="CG31" s="42">
        <v>0</v>
      </c>
      <c r="CH31" s="42">
        <v>0</v>
      </c>
      <c r="CI31" s="42">
        <v>0</v>
      </c>
      <c r="CJ31" s="42">
        <v>0</v>
      </c>
      <c r="CK31" s="42">
        <v>0</v>
      </c>
      <c r="CL31" s="151" t="str">
        <f t="shared" si="0"/>
        <v>OK</v>
      </c>
      <c r="CM31" s="152" t="str">
        <f t="shared" si="1"/>
        <v>OK</v>
      </c>
      <c r="CN31" s="153" t="str">
        <f t="shared" si="2"/>
        <v>OK</v>
      </c>
      <c r="CO31" s="327">
        <f t="shared" si="3"/>
        <v>623.84000000000015</v>
      </c>
      <c r="CP31" s="328"/>
      <c r="CQ31" s="326"/>
      <c r="CR31" s="326" t="e">
        <v>#N/A</v>
      </c>
      <c r="CS31" s="328">
        <v>1230</v>
      </c>
      <c r="CT31" s="327">
        <v>0.9199354838709678</v>
      </c>
      <c r="CU31" s="327">
        <f>VLOOKUP(B31,Tabelle2!$AL$2:$AM$82,2,)</f>
        <v>0.9199354838709678</v>
      </c>
      <c r="CV31">
        <v>7</v>
      </c>
      <c r="CW31">
        <v>0.03</v>
      </c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N31" s="31"/>
      <c r="DO31" s="136" t="e">
        <v>#N/A</v>
      </c>
      <c r="DP31" s="136" t="e">
        <v>#N/A</v>
      </c>
      <c r="DQ31">
        <f t="shared" si="4"/>
        <v>1230</v>
      </c>
      <c r="DR31" s="147"/>
      <c r="DS31" s="147"/>
      <c r="DT31" s="147"/>
      <c r="DU31" s="147"/>
      <c r="DV31" s="147"/>
      <c r="DW31" s="147"/>
      <c r="DY31" s="48"/>
      <c r="DZ31" s="48"/>
      <c r="EA31" s="48"/>
      <c r="EC31" s="61">
        <v>224.24076944496247</v>
      </c>
      <c r="ED31" s="27">
        <v>183.42279920193334</v>
      </c>
      <c r="EE31" s="27">
        <v>5.0291238715230007</v>
      </c>
      <c r="EG31" s="39" t="s">
        <v>702</v>
      </c>
      <c r="EH31" s="63">
        <v>1230</v>
      </c>
      <c r="EI31" s="31">
        <v>4.9986357894736839E-3</v>
      </c>
      <c r="EJ31" s="31">
        <v>3.4165227293550024E-2</v>
      </c>
      <c r="EM31">
        <v>0</v>
      </c>
      <c r="EN31">
        <v>0</v>
      </c>
    </row>
    <row r="32" spans="1:144" ht="15">
      <c r="A32" s="39" t="s">
        <v>703</v>
      </c>
      <c r="B32" s="63">
        <v>1240</v>
      </c>
      <c r="C32" s="63">
        <v>1280</v>
      </c>
      <c r="D32" s="63" t="s">
        <v>435</v>
      </c>
      <c r="E32" s="94" t="s">
        <v>429</v>
      </c>
      <c r="F32" s="135" t="s">
        <v>427</v>
      </c>
      <c r="G32" s="61">
        <v>114.419810004</v>
      </c>
      <c r="H32" s="291">
        <v>0</v>
      </c>
      <c r="I32" s="291">
        <v>6.2326537041836383E-2</v>
      </c>
      <c r="J32" s="291">
        <v>2.2402236758398222E-2</v>
      </c>
      <c r="K32" s="291">
        <v>2.6167131095565278E-2</v>
      </c>
      <c r="L32" s="291">
        <v>9.6227632442963396E-2</v>
      </c>
      <c r="M32" s="291">
        <v>41.799090766291243</v>
      </c>
      <c r="N32" s="291">
        <v>7.3955666652025096</v>
      </c>
      <c r="O32" s="300">
        <v>0.2943073593448855</v>
      </c>
      <c r="P32" s="292">
        <v>61.118590415578907</v>
      </c>
      <c r="Q32" s="291">
        <v>4.6971801556102998E-2</v>
      </c>
      <c r="R32" s="291">
        <v>0</v>
      </c>
      <c r="S32" s="291">
        <v>7.5779786520763601E-2</v>
      </c>
      <c r="T32" s="291">
        <v>3.4823796721668332</v>
      </c>
      <c r="U32" s="306">
        <v>220.11411154954746</v>
      </c>
      <c r="V32" s="136">
        <v>3.2734806266299756</v>
      </c>
      <c r="W32" s="306">
        <v>0</v>
      </c>
      <c r="X32" s="136">
        <v>0</v>
      </c>
      <c r="Y32" s="306">
        <v>2.76184039236152</v>
      </c>
      <c r="Z32" s="306">
        <v>0</v>
      </c>
      <c r="AA32" s="306">
        <v>0</v>
      </c>
      <c r="AB32" s="312">
        <v>2.2142614556452549</v>
      </c>
      <c r="AC32" s="312">
        <v>33.830665982634144</v>
      </c>
      <c r="AD32" s="312">
        <v>2.0992689363439023</v>
      </c>
      <c r="AE32" s="312">
        <v>1.568492018171505</v>
      </c>
      <c r="AF32" s="312">
        <v>2.1129792842664745</v>
      </c>
      <c r="AG32" s="312">
        <v>0.18054662656873247</v>
      </c>
      <c r="AH32" s="19">
        <v>65.305673202746064</v>
      </c>
      <c r="AI32" s="19">
        <v>0</v>
      </c>
      <c r="AJ32" s="19">
        <v>21.824748949278625</v>
      </c>
      <c r="AK32" s="19">
        <v>27.289387851975324</v>
      </c>
      <c r="AL32" s="19">
        <v>742.68918918899999</v>
      </c>
      <c r="AM32" s="19">
        <v>8.4779</v>
      </c>
      <c r="AN32" s="19" t="s">
        <v>13</v>
      </c>
      <c r="AO32" s="19" t="s">
        <v>12</v>
      </c>
      <c r="AP32" s="305">
        <v>3.8671791810521801</v>
      </c>
      <c r="AQ32">
        <v>9.8625000000000007</v>
      </c>
      <c r="AR32" s="351"/>
      <c r="AS32" s="346"/>
      <c r="AT32" s="249"/>
      <c r="AU32" s="312">
        <v>1663.8402990668569</v>
      </c>
      <c r="AV32" s="312">
        <v>1713.7047222879366</v>
      </c>
      <c r="AW32" s="312">
        <v>1021.9565969678571</v>
      </c>
      <c r="AX32" s="312">
        <v>988.85652601376842</v>
      </c>
      <c r="AY32" s="333">
        <v>678.30779172928567</v>
      </c>
      <c r="AZ32">
        <v>1188.4717592029365</v>
      </c>
      <c r="BA32">
        <v>754.612240779584</v>
      </c>
      <c r="BB32" s="48">
        <v>1378.6709054095168</v>
      </c>
      <c r="BC32" s="48">
        <v>804.40274942025337</v>
      </c>
      <c r="BD32" s="48">
        <v>34.563938753959874</v>
      </c>
      <c r="BE32" s="310">
        <v>0</v>
      </c>
      <c r="BF32" s="310">
        <v>2.4218697966892968</v>
      </c>
      <c r="BG32" s="310">
        <v>3.5054229229045539</v>
      </c>
      <c r="BH32" s="310">
        <v>3.1435560358964678</v>
      </c>
      <c r="BI32" s="310">
        <v>12.940483144934163</v>
      </c>
      <c r="BJ32" s="305">
        <v>0.44176599683058121</v>
      </c>
      <c r="BK32" s="48">
        <v>0.11873300000000001</v>
      </c>
      <c r="BL32" s="48">
        <v>1470</v>
      </c>
      <c r="BM32" s="48">
        <v>1</v>
      </c>
      <c r="BN32" s="48">
        <v>0</v>
      </c>
      <c r="BO32" s="48">
        <v>0.73274157251644678</v>
      </c>
      <c r="BP32" s="314">
        <v>40.675187830357622</v>
      </c>
      <c r="BQ32" s="314">
        <v>39.922240499456386</v>
      </c>
      <c r="BR32" s="316">
        <v>209.21588115886846</v>
      </c>
      <c r="BS32" s="318">
        <v>13732.401650680502</v>
      </c>
      <c r="BT32" s="188">
        <v>12665.761650680502</v>
      </c>
      <c r="BU32" s="188">
        <v>12665.761650680502</v>
      </c>
      <c r="BV32" s="48">
        <v>1066.6399999999994</v>
      </c>
      <c r="BW32" s="48">
        <v>50</v>
      </c>
      <c r="BX32" s="48">
        <v>50</v>
      </c>
      <c r="BY32" s="48">
        <v>43</v>
      </c>
      <c r="BZ32" s="48">
        <v>0</v>
      </c>
      <c r="CA32" s="71">
        <v>0</v>
      </c>
      <c r="CB32" s="321">
        <v>0</v>
      </c>
      <c r="CC32" s="321">
        <v>0</v>
      </c>
      <c r="CD32" s="321">
        <v>0</v>
      </c>
      <c r="CE32" s="321">
        <v>0</v>
      </c>
      <c r="CF32" s="321">
        <v>0</v>
      </c>
      <c r="CG32" s="42">
        <v>0</v>
      </c>
      <c r="CH32" s="42">
        <v>0</v>
      </c>
      <c r="CI32" s="42">
        <v>0</v>
      </c>
      <c r="CJ32" s="42">
        <v>0</v>
      </c>
      <c r="CK32" s="42">
        <v>0</v>
      </c>
      <c r="CL32" s="151" t="str">
        <f t="shared" si="0"/>
        <v>OK</v>
      </c>
      <c r="CM32" s="152" t="str">
        <f t="shared" si="1"/>
        <v>OK</v>
      </c>
      <c r="CN32" s="153" t="str">
        <f t="shared" si="2"/>
        <v>OK</v>
      </c>
      <c r="CO32" s="327">
        <f t="shared" si="3"/>
        <v>711.09333333333291</v>
      </c>
      <c r="CP32" s="328"/>
      <c r="CQ32" s="326"/>
      <c r="CR32" s="326" t="e">
        <v>#N/A</v>
      </c>
      <c r="CS32" s="328">
        <v>1240</v>
      </c>
      <c r="CT32" s="327">
        <v>1.6156451612903227</v>
      </c>
      <c r="CU32" s="327">
        <f>VLOOKUP(B32,Tabelle2!$AL$2:$AM$82,2,)</f>
        <v>1.6156451612903227</v>
      </c>
      <c r="CV32">
        <v>4</v>
      </c>
      <c r="CW32">
        <v>0.05</v>
      </c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N32" s="31"/>
      <c r="DO32" s="136" t="e">
        <v>#N/A</v>
      </c>
      <c r="DP32" s="136" t="e">
        <v>#N/A</v>
      </c>
      <c r="DQ32">
        <f t="shared" si="4"/>
        <v>1240</v>
      </c>
      <c r="DR32" s="147"/>
      <c r="DS32" s="147"/>
      <c r="DT32" s="147"/>
      <c r="DU32" s="147"/>
      <c r="DV32" s="147"/>
      <c r="DW32" s="147"/>
      <c r="DY32" s="48"/>
      <c r="DZ32" s="48"/>
      <c r="EA32" s="48"/>
      <c r="EC32" s="61">
        <v>174.30383863988033</v>
      </c>
      <c r="ED32" s="27">
        <v>150.45820116417016</v>
      </c>
      <c r="EE32" s="27">
        <v>3.8952369590954605</v>
      </c>
      <c r="EG32" s="39" t="s">
        <v>703</v>
      </c>
      <c r="EH32" s="63">
        <v>1240</v>
      </c>
      <c r="EI32" s="31">
        <v>5.0053578947368412E-3</v>
      </c>
      <c r="EJ32" s="31">
        <v>3.1765729381356939E-2</v>
      </c>
      <c r="EM32">
        <v>0</v>
      </c>
      <c r="EN32">
        <v>0</v>
      </c>
    </row>
    <row r="33" spans="1:144" ht="15">
      <c r="A33" s="39" t="s">
        <v>704</v>
      </c>
      <c r="B33" s="94">
        <v>1250</v>
      </c>
      <c r="C33" s="39">
        <v>1270</v>
      </c>
      <c r="D33" s="63" t="s">
        <v>435</v>
      </c>
      <c r="E33" s="94" t="s">
        <v>429</v>
      </c>
      <c r="F33" s="135" t="s">
        <v>427</v>
      </c>
      <c r="G33" s="61">
        <v>94.667536053000006</v>
      </c>
      <c r="H33" s="291">
        <v>0.25990264095659682</v>
      </c>
      <c r="I33" s="291">
        <v>1.1722641025738294</v>
      </c>
      <c r="J33" s="291">
        <v>5.1387799599848885</v>
      </c>
      <c r="K33" s="291">
        <v>8.5903904174439347</v>
      </c>
      <c r="L33" s="291">
        <v>3.2508734478860606</v>
      </c>
      <c r="M33" s="291">
        <v>26.759855364073424</v>
      </c>
      <c r="N33" s="291">
        <v>4.0557444876832394</v>
      </c>
      <c r="O33" s="300">
        <v>0</v>
      </c>
      <c r="P33" s="292">
        <v>44.885403895571905</v>
      </c>
      <c r="Q33" s="291">
        <v>1.1063766434903999E-4</v>
      </c>
      <c r="R33" s="291">
        <v>0</v>
      </c>
      <c r="S33" s="291">
        <v>0</v>
      </c>
      <c r="T33" s="291">
        <v>0.55421109916178213</v>
      </c>
      <c r="U33" s="306">
        <v>113.22556004527289</v>
      </c>
      <c r="V33" s="136">
        <v>4.8031776633359753</v>
      </c>
      <c r="W33" s="306">
        <v>0</v>
      </c>
      <c r="X33" s="136">
        <v>0</v>
      </c>
      <c r="Y33" s="306">
        <v>1.03686182336212E-2</v>
      </c>
      <c r="Z33" s="306">
        <v>0</v>
      </c>
      <c r="AA33" s="306">
        <v>0</v>
      </c>
      <c r="AB33" s="312">
        <v>1.6330571959920948</v>
      </c>
      <c r="AC33" s="312">
        <v>35.612605311500204</v>
      </c>
      <c r="AD33" s="312">
        <v>7.5336520271986247</v>
      </c>
      <c r="AE33" s="312">
        <v>0.27467068378214338</v>
      </c>
      <c r="AF33" s="312">
        <v>0.118080714445675</v>
      </c>
      <c r="AG33" s="312">
        <v>0</v>
      </c>
      <c r="AH33" s="19">
        <v>24.361071610481581</v>
      </c>
      <c r="AI33" s="19">
        <v>41.864058194954033</v>
      </c>
      <c r="AJ33" s="19">
        <v>0</v>
      </c>
      <c r="AK33" s="19">
        <v>28.442406247564385</v>
      </c>
      <c r="AL33" s="19">
        <v>638.18248175199994</v>
      </c>
      <c r="AM33" s="19">
        <v>3.6640999999999999</v>
      </c>
      <c r="AN33" s="19" t="s">
        <v>11</v>
      </c>
      <c r="AO33" s="19" t="s">
        <v>12</v>
      </c>
      <c r="AP33" s="305">
        <v>1.7191601544494099</v>
      </c>
      <c r="AQ33" s="341">
        <v>9.6184525547439996</v>
      </c>
      <c r="AR33" s="351"/>
      <c r="AS33" s="346"/>
      <c r="AT33" s="249"/>
      <c r="AU33" s="312">
        <v>1337.058180584</v>
      </c>
      <c r="AV33" s="312">
        <v>1398.3425212769889</v>
      </c>
      <c r="AW33" s="312">
        <v>803.10192297228571</v>
      </c>
      <c r="AX33" s="312">
        <v>793.31351151577155</v>
      </c>
      <c r="AY33" s="333">
        <v>687.92286010200007</v>
      </c>
      <c r="AZ33">
        <v>1137.2936073890196</v>
      </c>
      <c r="BA33">
        <v>710.81427965669309</v>
      </c>
      <c r="BB33" s="48">
        <v>1259.4077525973305</v>
      </c>
      <c r="BC33" s="48">
        <v>724.57316538348607</v>
      </c>
      <c r="BD33" s="48">
        <v>34.563938753959874</v>
      </c>
      <c r="BE33" s="310">
        <v>0.94764813562459926</v>
      </c>
      <c r="BF33" s="310">
        <v>1.7045786410832502</v>
      </c>
      <c r="BG33" s="310">
        <v>3.5277395047759463</v>
      </c>
      <c r="BH33" s="310">
        <v>6.0420566646965019</v>
      </c>
      <c r="BI33" s="310">
        <v>13.881321191650825</v>
      </c>
      <c r="BJ33" s="305">
        <v>0.26829918430446414</v>
      </c>
      <c r="BK33" s="48">
        <v>0.12574099999999999</v>
      </c>
      <c r="BL33" s="48">
        <v>3300</v>
      </c>
      <c r="BM33" s="48">
        <v>1</v>
      </c>
      <c r="BN33" s="48">
        <v>0</v>
      </c>
      <c r="BO33" s="48">
        <v>1.2160787184756165</v>
      </c>
      <c r="BP33" s="314">
        <v>54.964276174136074</v>
      </c>
      <c r="BQ33" s="314">
        <v>53.534162365026241</v>
      </c>
      <c r="BR33" s="316">
        <v>294.62730122787985</v>
      </c>
      <c r="BS33" s="318">
        <v>10136.364472634716</v>
      </c>
      <c r="BT33" s="188">
        <v>9401.0511393013821</v>
      </c>
      <c r="BU33" s="188">
        <v>9401.0511393013821</v>
      </c>
      <c r="BV33" s="48">
        <v>735.31333333333282</v>
      </c>
      <c r="BW33" s="48">
        <v>50</v>
      </c>
      <c r="BX33" s="48">
        <v>30</v>
      </c>
      <c r="BY33" s="48">
        <v>43</v>
      </c>
      <c r="BZ33" s="48">
        <v>0</v>
      </c>
      <c r="CA33" s="71">
        <v>0</v>
      </c>
      <c r="CB33" s="321">
        <v>0</v>
      </c>
      <c r="CC33" s="321">
        <v>0</v>
      </c>
      <c r="CD33" s="321">
        <v>0</v>
      </c>
      <c r="CE33" s="321">
        <v>0</v>
      </c>
      <c r="CF33" s="321">
        <v>0</v>
      </c>
      <c r="CG33" s="42">
        <v>0</v>
      </c>
      <c r="CH33" s="42">
        <v>0</v>
      </c>
      <c r="CI33" s="42">
        <v>0</v>
      </c>
      <c r="CJ33" s="42">
        <v>0</v>
      </c>
      <c r="CK33" s="42">
        <v>0</v>
      </c>
      <c r="CL33" s="151" t="str">
        <f t="shared" si="0"/>
        <v>OK</v>
      </c>
      <c r="CM33" s="152" t="str">
        <f t="shared" si="1"/>
        <v>OK</v>
      </c>
      <c r="CN33" s="153" t="str">
        <f t="shared" si="2"/>
        <v>OK</v>
      </c>
      <c r="CO33" s="327">
        <f t="shared" si="3"/>
        <v>490.20888888888902</v>
      </c>
      <c r="CP33" s="328"/>
      <c r="CQ33" s="326"/>
      <c r="CR33" s="326" t="e">
        <v>#N/A</v>
      </c>
      <c r="CS33" s="328">
        <v>1250</v>
      </c>
      <c r="CT33" s="327">
        <v>3.122150537634409</v>
      </c>
      <c r="CU33" s="327">
        <f>VLOOKUP(B33,Tabelle2!$AL$2:$AM$82,2,)</f>
        <v>3.122150537634409</v>
      </c>
      <c r="CV33">
        <v>4</v>
      </c>
      <c r="CW33">
        <v>0.05</v>
      </c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N33" s="31"/>
      <c r="DO33" s="136" t="e">
        <v>#N/A</v>
      </c>
      <c r="DP33" s="136" t="e">
        <v>#N/A</v>
      </c>
      <c r="DQ33">
        <f t="shared" si="4"/>
        <v>1250</v>
      </c>
      <c r="DR33" s="147"/>
      <c r="DS33" s="147"/>
      <c r="DT33" s="147"/>
      <c r="DU33" s="147"/>
      <c r="DV33" s="147"/>
      <c r="DW33" s="147"/>
      <c r="DY33" s="48"/>
      <c r="DZ33" s="48"/>
      <c r="EA33" s="48"/>
      <c r="EC33" s="61">
        <v>88.092760231518653</v>
      </c>
      <c r="ED33" s="27">
        <v>82.385052964916071</v>
      </c>
      <c r="EE33" s="27">
        <v>1.8211339905420554</v>
      </c>
      <c r="EG33" s="39" t="s">
        <v>704</v>
      </c>
      <c r="EH33" s="94">
        <v>1250</v>
      </c>
      <c r="EI33" s="31">
        <v>6.1619298245614027E-3</v>
      </c>
      <c r="EJ33" s="31">
        <v>2.6628946741661354E-2</v>
      </c>
      <c r="EM33">
        <v>0</v>
      </c>
      <c r="EN33">
        <v>0</v>
      </c>
    </row>
    <row r="34" spans="1:144" ht="15">
      <c r="A34" s="39" t="s">
        <v>705</v>
      </c>
      <c r="B34" s="63">
        <v>1260</v>
      </c>
      <c r="C34" s="63">
        <v>1270</v>
      </c>
      <c r="D34" s="63" t="s">
        <v>435</v>
      </c>
      <c r="E34" s="94" t="s">
        <v>429</v>
      </c>
      <c r="F34" s="135" t="s">
        <v>427</v>
      </c>
      <c r="G34" s="61">
        <v>246.416951705</v>
      </c>
      <c r="H34" s="291">
        <v>0.11790311398685495</v>
      </c>
      <c r="I34" s="291">
        <v>0.87594406567638217</v>
      </c>
      <c r="J34" s="291">
        <v>2.5939079179635538</v>
      </c>
      <c r="K34" s="291">
        <v>8.4506791689645713</v>
      </c>
      <c r="L34" s="291">
        <v>10.872658592497364</v>
      </c>
      <c r="M34" s="291">
        <v>88.813541783667958</v>
      </c>
      <c r="N34" s="291">
        <v>10.19762763251439</v>
      </c>
      <c r="O34" s="300">
        <v>0.32778799040793338</v>
      </c>
      <c r="P34" s="292">
        <v>122.70636746278986</v>
      </c>
      <c r="Q34" s="291">
        <v>0</v>
      </c>
      <c r="R34" s="291">
        <v>0</v>
      </c>
      <c r="S34" s="291">
        <v>5.3980703177477596E-4</v>
      </c>
      <c r="T34" s="291">
        <v>1.4599941694993659</v>
      </c>
      <c r="U34" s="306">
        <v>385.16702732556291</v>
      </c>
      <c r="V34" s="136">
        <v>3.5697679268912497</v>
      </c>
      <c r="W34" s="306">
        <v>0</v>
      </c>
      <c r="X34" s="136">
        <v>0</v>
      </c>
      <c r="Y34" s="306">
        <v>8.5037268856526002E-2</v>
      </c>
      <c r="Z34" s="306">
        <v>0</v>
      </c>
      <c r="AA34" s="306">
        <v>0</v>
      </c>
      <c r="AB34" s="312">
        <v>11.657653633296137</v>
      </c>
      <c r="AC34" s="312">
        <v>85.929581218089368</v>
      </c>
      <c r="AD34" s="312">
        <v>10.310284456260336</v>
      </c>
      <c r="AE34" s="312">
        <v>2.1304337119470769</v>
      </c>
      <c r="AF34" s="312">
        <v>1.6966816231637598</v>
      </c>
      <c r="AG34" s="312">
        <v>0</v>
      </c>
      <c r="AH34" s="19">
        <v>31.593113626872952</v>
      </c>
      <c r="AI34" s="19">
        <v>185.70958883325684</v>
      </c>
      <c r="AJ34" s="19">
        <v>0.1210359616708772</v>
      </c>
      <c r="AK34" s="19">
        <v>28.993213283199303</v>
      </c>
      <c r="AL34" s="19">
        <v>621.12080536899998</v>
      </c>
      <c r="AM34" s="19">
        <v>3.1053999999999999</v>
      </c>
      <c r="AN34" s="19" t="s">
        <v>14</v>
      </c>
      <c r="AO34" s="19" t="s">
        <v>12</v>
      </c>
      <c r="AP34" s="305">
        <v>4.9386485686677402</v>
      </c>
      <c r="AQ34">
        <v>8.6067420000000006</v>
      </c>
      <c r="AR34" s="351"/>
      <c r="AS34" s="346"/>
      <c r="AT34" s="249"/>
      <c r="AU34" s="312">
        <v>1346.4074381911428</v>
      </c>
      <c r="AV34" s="312">
        <v>1344.0393294173437</v>
      </c>
      <c r="AW34" s="312">
        <v>808.52701633471429</v>
      </c>
      <c r="AX34" s="312">
        <v>766.72824497115221</v>
      </c>
      <c r="AY34" s="333">
        <v>690.97482675528568</v>
      </c>
      <c r="AZ34">
        <v>1137.2932962457949</v>
      </c>
      <c r="BA34">
        <v>710.81493219420736</v>
      </c>
      <c r="BB34" s="48">
        <v>1259.4070146392492</v>
      </c>
      <c r="BC34" s="48">
        <v>724.57471304801379</v>
      </c>
      <c r="BD34" s="48">
        <v>34.563938753959874</v>
      </c>
      <c r="BE34" s="310">
        <v>0.58889578032121015</v>
      </c>
      <c r="BF34" s="310">
        <v>1.6355647969491329</v>
      </c>
      <c r="BG34" s="310">
        <v>3.5259549899990197</v>
      </c>
      <c r="BH34" s="310">
        <v>7.3901371322481246</v>
      </c>
      <c r="BI34" s="310">
        <v>11.919504430972511</v>
      </c>
      <c r="BJ34" s="305">
        <v>0.29509724374864632</v>
      </c>
      <c r="BK34" s="48">
        <v>0.108611</v>
      </c>
      <c r="BL34" s="48">
        <v>3857.2222222222204</v>
      </c>
      <c r="BM34" s="48">
        <v>1</v>
      </c>
      <c r="BN34" s="48">
        <v>0</v>
      </c>
      <c r="BO34" s="48">
        <v>4.3195545628508665</v>
      </c>
      <c r="BP34" s="314">
        <v>51.565466260637585</v>
      </c>
      <c r="BQ34" s="314">
        <v>51.264972265091785</v>
      </c>
      <c r="BR34" s="316">
        <v>204.58199106945335</v>
      </c>
      <c r="BS34" s="318">
        <v>22618.090876931412</v>
      </c>
      <c r="BT34" s="188">
        <v>19303.424210264744</v>
      </c>
      <c r="BU34" s="188">
        <v>19303.424210264744</v>
      </c>
      <c r="BV34" s="48">
        <v>3314.6666666666665</v>
      </c>
      <c r="BW34" s="48">
        <v>50</v>
      </c>
      <c r="BX34" s="48">
        <v>30</v>
      </c>
      <c r="BY34" s="48">
        <v>43</v>
      </c>
      <c r="BZ34" s="48">
        <v>0</v>
      </c>
      <c r="CA34" s="71">
        <v>0</v>
      </c>
      <c r="CB34" s="321">
        <v>2.4896896985455774E-2</v>
      </c>
      <c r="CC34" s="321">
        <v>1.5143126666666669</v>
      </c>
      <c r="CD34" s="321">
        <v>0.57811433333333329</v>
      </c>
      <c r="CE34" s="321">
        <v>0</v>
      </c>
      <c r="CF34" s="321">
        <v>0</v>
      </c>
      <c r="CG34" s="42">
        <v>0</v>
      </c>
      <c r="CH34" s="42">
        <v>0</v>
      </c>
      <c r="CI34" s="42">
        <v>0</v>
      </c>
      <c r="CJ34" s="42">
        <v>0</v>
      </c>
      <c r="CK34" s="42">
        <v>0</v>
      </c>
      <c r="CL34" s="151" t="str">
        <f t="shared" si="0"/>
        <v>OK</v>
      </c>
      <c r="CM34" s="152" t="str">
        <f t="shared" si="1"/>
        <v>OK</v>
      </c>
      <c r="CN34" s="153" t="str">
        <f t="shared" si="2"/>
        <v>OK</v>
      </c>
      <c r="CO34" s="327">
        <f t="shared" si="3"/>
        <v>2209.7777777777787</v>
      </c>
      <c r="CP34" s="328"/>
      <c r="CQ34" s="326"/>
      <c r="CR34" s="326" t="e">
        <v>#N/A</v>
      </c>
      <c r="CS34" s="328">
        <v>1260</v>
      </c>
      <c r="CT34" s="327">
        <v>1.6361935483870966</v>
      </c>
      <c r="CU34" s="327">
        <f>VLOOKUP(B34,Tabelle2!$AL$2:$AM$82,2,)</f>
        <v>1.6361935483870966</v>
      </c>
      <c r="CV34">
        <v>4</v>
      </c>
      <c r="CW34">
        <v>0.05</v>
      </c>
      <c r="CY34" s="147">
        <f>VLOOKUP($B34,Tabelle2!$J$3:$W$38,3,)</f>
        <v>3.7777777777777777</v>
      </c>
      <c r="CZ34" s="147">
        <f>VLOOKUP($B34,Tabelle2!$J$3:$W$38,4,)</f>
        <v>4.7999999999999918</v>
      </c>
      <c r="DA34" s="147">
        <f>VLOOKUP($B34,Tabelle2!$J$3:$W$38,5,)</f>
        <v>2.4994505494505478E-2</v>
      </c>
      <c r="DB34" s="147">
        <f>VLOOKUP($B34,Tabelle2!$J$3:$W$38,6,)</f>
        <v>2.5999999999999999E-2</v>
      </c>
      <c r="DC34" s="147">
        <f>VLOOKUP($B34,Tabelle2!$J$3:$W$38,7,)</f>
        <v>7.4500000000000009E-3</v>
      </c>
      <c r="DD34" s="147">
        <f>VLOOKUP($B34,Tabelle2!$J$3:$W$38,8,)</f>
        <v>1.3100000000000007E-2</v>
      </c>
      <c r="DE34" s="147">
        <f>VLOOKUP($B34,Tabelle2!$J$3:$W$38,9,)</f>
        <v>3.0879120879120899E-3</v>
      </c>
      <c r="DF34" s="147">
        <f>VLOOKUP($B34,Tabelle2!$J$3:$W$38,10,)</f>
        <v>6.0000000000000001E-3</v>
      </c>
      <c r="DG34" s="147">
        <f>VLOOKUP($B34,Tabelle2!$J$3:$W$38,11,)</f>
        <v>1.5296703296703289</v>
      </c>
      <c r="DH34" s="147">
        <f>VLOOKUP($B34,Tabelle2!$J$3:$W$38,12,)</f>
        <v>1.6</v>
      </c>
      <c r="DI34" s="147">
        <f>VLOOKUP($B34,Tabelle2!$J$3:$W$38,13,)</f>
        <v>9.8901098901098949E-3</v>
      </c>
      <c r="DJ34" s="147">
        <f>VLOOKUP($B34,Tabelle2!$J$3:$W$38,14,)</f>
        <v>0.02</v>
      </c>
      <c r="DK34" s="147">
        <f t="shared" si="5"/>
        <v>1.5426483516483509</v>
      </c>
      <c r="DL34" s="147">
        <f t="shared" si="6"/>
        <v>1.6260000000000001</v>
      </c>
      <c r="DN34" s="31"/>
      <c r="DO34" s="136" t="e">
        <v>#N/A</v>
      </c>
      <c r="DP34" s="136" t="e">
        <v>#N/A</v>
      </c>
      <c r="DQ34">
        <f t="shared" si="4"/>
        <v>1260</v>
      </c>
      <c r="DR34" s="147"/>
      <c r="DS34" s="147"/>
      <c r="DT34" s="147"/>
      <c r="DU34" s="147"/>
      <c r="DV34" s="147"/>
      <c r="DW34" s="147"/>
      <c r="DY34" s="48"/>
      <c r="DZ34" s="48"/>
      <c r="EA34" s="48"/>
      <c r="EC34" s="61">
        <v>336.71973424375835</v>
      </c>
      <c r="ED34" s="27">
        <v>324.19343863212617</v>
      </c>
      <c r="EE34" s="27">
        <v>4.7469748562302518</v>
      </c>
      <c r="EG34" s="39" t="s">
        <v>705</v>
      </c>
      <c r="EH34" s="63">
        <v>1260</v>
      </c>
      <c r="EI34" s="31">
        <v>1.2592591578947369E-2</v>
      </c>
      <c r="EJ34" s="31">
        <v>2.8694853386589357E-2</v>
      </c>
      <c r="EM34">
        <v>0</v>
      </c>
      <c r="EN34">
        <v>0</v>
      </c>
    </row>
    <row r="35" spans="1:144" ht="15">
      <c r="A35" s="39" t="s">
        <v>705</v>
      </c>
      <c r="B35" s="63">
        <v>1270</v>
      </c>
      <c r="C35" s="63">
        <v>1290</v>
      </c>
      <c r="D35" s="63" t="s">
        <v>435</v>
      </c>
      <c r="E35" s="94" t="s">
        <v>429</v>
      </c>
      <c r="F35" s="135" t="s">
        <v>427</v>
      </c>
      <c r="G35" s="61">
        <v>98.631832488100002</v>
      </c>
      <c r="H35" s="291">
        <v>0.70391799197971994</v>
      </c>
      <c r="I35" s="291">
        <v>1.4461135488672836</v>
      </c>
      <c r="J35" s="291">
        <v>2.3219263881376278</v>
      </c>
      <c r="K35" s="291">
        <v>5.4303364571023041</v>
      </c>
      <c r="L35" s="291">
        <v>8.8938722752009678</v>
      </c>
      <c r="M35" s="291">
        <v>29.70672175176842</v>
      </c>
      <c r="N35" s="291">
        <v>6.5957232431893109</v>
      </c>
      <c r="O35" s="300">
        <v>0</v>
      </c>
      <c r="P35" s="292">
        <v>42.641925571124048</v>
      </c>
      <c r="Q35" s="291">
        <v>0</v>
      </c>
      <c r="R35" s="291">
        <v>0</v>
      </c>
      <c r="S35" s="291">
        <v>0</v>
      </c>
      <c r="T35" s="291">
        <v>0.89129526073031573</v>
      </c>
      <c r="U35" s="306">
        <v>354.25021284713591</v>
      </c>
      <c r="V35" s="136">
        <v>1.9939750917312358</v>
      </c>
      <c r="W35" s="306">
        <v>7.4836895638194694</v>
      </c>
      <c r="X35" s="136">
        <v>20</v>
      </c>
      <c r="Y35" s="306">
        <v>3.5255368796248701E-2</v>
      </c>
      <c r="Z35" s="306">
        <v>0</v>
      </c>
      <c r="AA35" s="306">
        <v>0</v>
      </c>
      <c r="AB35" s="312">
        <v>12.668029319334702</v>
      </c>
      <c r="AC35" s="312">
        <v>20.171067410637377</v>
      </c>
      <c r="AD35" s="312">
        <v>15.357694291012617</v>
      </c>
      <c r="AE35" s="312">
        <v>0.13290812427606574</v>
      </c>
      <c r="AF35" s="312">
        <v>0.17318926779557117</v>
      </c>
      <c r="AG35" s="312">
        <v>0</v>
      </c>
      <c r="AH35" s="19">
        <v>0</v>
      </c>
      <c r="AI35" s="19">
        <v>96.878613896497285</v>
      </c>
      <c r="AJ35" s="19">
        <v>0</v>
      </c>
      <c r="AK35" s="19">
        <v>1.7532185916027225</v>
      </c>
      <c r="AL35" s="19">
        <v>540.26515151499996</v>
      </c>
      <c r="AM35" s="19">
        <v>2.8755000000000002</v>
      </c>
      <c r="AN35" s="19" t="s">
        <v>16</v>
      </c>
      <c r="AO35" s="19" t="s">
        <v>12</v>
      </c>
      <c r="AP35" s="305">
        <v>1.9074490055154001</v>
      </c>
      <c r="AQ35">
        <v>9.9068629999999995</v>
      </c>
      <c r="AR35" s="351"/>
      <c r="AS35" s="347"/>
      <c r="AT35" s="349"/>
      <c r="AU35" s="312">
        <v>1105.1259356960002</v>
      </c>
      <c r="AV35" s="312">
        <v>1133.8722934486239</v>
      </c>
      <c r="AW35" s="312">
        <v>682.29443923028578</v>
      </c>
      <c r="AX35" s="312">
        <v>656.04469635332566</v>
      </c>
      <c r="AY35" s="333">
        <v>703.0454674547143</v>
      </c>
      <c r="AZ35">
        <v>1137.2931439697948</v>
      </c>
      <c r="BA35">
        <v>710.81434893310279</v>
      </c>
      <c r="BB35" s="48">
        <v>1259.4066534766209</v>
      </c>
      <c r="BC35" s="48">
        <v>724.57332969073173</v>
      </c>
      <c r="BD35" s="48">
        <v>34.563938753959874</v>
      </c>
      <c r="BE35" s="310">
        <v>0.72339897671663478</v>
      </c>
      <c r="BF35" s="310">
        <v>1.2721341660844097</v>
      </c>
      <c r="BG35" s="310">
        <v>2.4452841915801216</v>
      </c>
      <c r="BH35" s="310">
        <v>4.8585309509795724</v>
      </c>
      <c r="BI35" s="310">
        <v>8.8662248062008917</v>
      </c>
      <c r="BJ35" s="305">
        <v>0.17777058586816943</v>
      </c>
      <c r="BK35" s="48">
        <v>9.9863500000000008E-2</v>
      </c>
      <c r="BL35" s="48">
        <v>2483.3333333333298</v>
      </c>
      <c r="BM35" s="48">
        <v>1</v>
      </c>
      <c r="BN35" s="48">
        <v>0</v>
      </c>
      <c r="BO35" s="48">
        <v>1.0460455980466661</v>
      </c>
      <c r="BP35" s="314">
        <v>54.022643256081352</v>
      </c>
      <c r="BQ35" s="314">
        <v>53.641416580468871</v>
      </c>
      <c r="BR35" s="316">
        <v>294.26085690471257</v>
      </c>
      <c r="BS35" s="318">
        <v>20152.161134579455</v>
      </c>
      <c r="BT35" s="188">
        <v>17194.77446791279</v>
      </c>
      <c r="BU35" s="188">
        <v>17194.77446791279</v>
      </c>
      <c r="BV35" s="48">
        <v>2957.3866666666663</v>
      </c>
      <c r="BW35" s="48">
        <v>50</v>
      </c>
      <c r="BX35" s="48">
        <v>30</v>
      </c>
      <c r="BY35" s="48">
        <v>43</v>
      </c>
      <c r="BZ35" s="48">
        <v>0</v>
      </c>
      <c r="CA35" s="71">
        <v>0</v>
      </c>
      <c r="CB35" s="321">
        <v>0.13703656054456284</v>
      </c>
      <c r="CC35" s="321">
        <v>0</v>
      </c>
      <c r="CD35" s="321">
        <v>0</v>
      </c>
      <c r="CE35" s="321">
        <v>25.671532166666665</v>
      </c>
      <c r="CF35" s="321">
        <v>2.4742743333333328</v>
      </c>
      <c r="CG35" s="42">
        <v>0</v>
      </c>
      <c r="CH35" s="42">
        <v>0</v>
      </c>
      <c r="CI35" s="42">
        <v>0</v>
      </c>
      <c r="CJ35" s="42">
        <v>0</v>
      </c>
      <c r="CK35" s="42">
        <v>0</v>
      </c>
      <c r="CL35" s="151" t="str">
        <f t="shared" si="0"/>
        <v>OK</v>
      </c>
      <c r="CM35" s="152" t="str">
        <f t="shared" si="1"/>
        <v>OK</v>
      </c>
      <c r="CN35" s="153" t="str">
        <f t="shared" si="2"/>
        <v>OK</v>
      </c>
      <c r="CO35" s="327">
        <f t="shared" si="3"/>
        <v>1971.5911111111102</v>
      </c>
      <c r="CP35" s="328"/>
      <c r="CQ35" s="326"/>
      <c r="CR35" s="326">
        <v>3509.211492806684</v>
      </c>
      <c r="CS35" s="328">
        <v>1270</v>
      </c>
      <c r="CT35" s="327">
        <v>2.282451612903226</v>
      </c>
      <c r="CU35" s="327">
        <f>VLOOKUP(B35,Tabelle2!$AL$2:$AM$82,2,)</f>
        <v>2.282451612903226</v>
      </c>
      <c r="CV35">
        <v>4</v>
      </c>
      <c r="CW35">
        <v>0.05</v>
      </c>
      <c r="CY35" s="147">
        <f>VLOOKUP($B35,Tabelle2!$J$3:$W$38,3,)</f>
        <v>5.4</v>
      </c>
      <c r="CZ35" s="147">
        <f>VLOOKUP($B35,Tabelle2!$J$3:$W$38,4,)</f>
        <v>15.399999999999999</v>
      </c>
      <c r="DA35" s="147">
        <f>VLOOKUP($B35,Tabelle2!$J$3:$W$38,5,)</f>
        <v>4.2752747252747206E-2</v>
      </c>
      <c r="DB35" s="147">
        <f>VLOOKUP($B35,Tabelle2!$J$3:$W$38,6,)</f>
        <v>5.2999999999999999E-2</v>
      </c>
      <c r="DC35" s="147">
        <f>VLOOKUP($B35,Tabelle2!$J$3:$W$38,7,)</f>
        <v>1.715934065934064E-2</v>
      </c>
      <c r="DD35" s="147">
        <f>VLOOKUP($B35,Tabelle2!$J$3:$W$38,8,)</f>
        <v>2.5999999999999999E-2</v>
      </c>
      <c r="DE35" s="147">
        <f>VLOOKUP($B35,Tabelle2!$J$3:$W$38,9,)</f>
        <v>6.7692307692307739E-3</v>
      </c>
      <c r="DF35" s="147">
        <f>VLOOKUP($B35,Tabelle2!$J$3:$W$38,10,)</f>
        <v>0.01</v>
      </c>
      <c r="DG35" s="147">
        <f>VLOOKUP($B35,Tabelle2!$J$3:$W$38,11,)</f>
        <v>1.8956043956043966</v>
      </c>
      <c r="DH35" s="147">
        <f>VLOOKUP($B35,Tabelle2!$J$3:$W$38,12,)</f>
        <v>2</v>
      </c>
      <c r="DI35" s="147">
        <f>VLOOKUP($B35,Tabelle2!$J$3:$W$38,13,)</f>
        <v>1.9780219780219783E-2</v>
      </c>
      <c r="DJ35" s="147">
        <f>VLOOKUP($B35,Tabelle2!$J$3:$W$38,14,)</f>
        <v>0.04</v>
      </c>
      <c r="DK35" s="147">
        <f t="shared" si="5"/>
        <v>1.9221538461538472</v>
      </c>
      <c r="DL35" s="147">
        <f t="shared" si="6"/>
        <v>2.0499999999999998</v>
      </c>
      <c r="DN35" s="31"/>
      <c r="DO35" s="146" t="e">
        <f t="shared" ref="DO35:DO41" si="7">DS35</f>
        <v>#N/A</v>
      </c>
      <c r="DP35" s="136">
        <v>3509.211492806684</v>
      </c>
      <c r="DQ35">
        <f t="shared" si="4"/>
        <v>1270</v>
      </c>
      <c r="DR35" s="147" t="e">
        <f>VLOOKUP(B35,Tabelle2!AC$2:AJ$73,3,)</f>
        <v>#N/A</v>
      </c>
      <c r="DS35" s="147" t="e">
        <f>VLOOKUP($B35,Tabelle2!$AC$2:$AJ$73,4,)</f>
        <v>#N/A</v>
      </c>
      <c r="DT35" s="147" t="e">
        <f>VLOOKUP($B35,Tabelle2!$AC$2:$AJ$73,5,)</f>
        <v>#N/A</v>
      </c>
      <c r="DU35" s="147" t="e">
        <f>VLOOKUP($B35,Tabelle2!$AC$2:$AJ$73,6,)</f>
        <v>#N/A</v>
      </c>
      <c r="DV35" s="147" t="e">
        <f>VLOOKUP($B35,Tabelle2!$AC$2:$AJ$73,7,)</f>
        <v>#N/A</v>
      </c>
      <c r="DW35" s="147" t="e">
        <f>VLOOKUP($B35,Tabelle2!$AC$2:$AJ$73,8,)</f>
        <v>#N/A</v>
      </c>
      <c r="DY35" s="48"/>
      <c r="DZ35" s="48" t="e">
        <f t="shared" ref="DZ35:DZ42" si="8">DW35</f>
        <v>#N/A</v>
      </c>
      <c r="EA35" s="48">
        <v>10.958214412480789</v>
      </c>
      <c r="EC35" s="61">
        <v>566.06054294441321</v>
      </c>
      <c r="ED35" s="27">
        <v>540.99562884832596</v>
      </c>
      <c r="EE35" s="27">
        <v>10.876975208676775</v>
      </c>
      <c r="EG35" s="39" t="s">
        <v>705</v>
      </c>
      <c r="EH35" s="63">
        <v>1270</v>
      </c>
      <c r="EI35" s="31">
        <v>3.4716410526315786E-2</v>
      </c>
      <c r="EJ35" s="31">
        <v>3.6720588110384665E-2</v>
      </c>
      <c r="EM35">
        <v>0</v>
      </c>
      <c r="EN35">
        <v>0</v>
      </c>
    </row>
    <row r="36" spans="1:144" ht="15">
      <c r="A36" s="39" t="s">
        <v>706</v>
      </c>
      <c r="B36" s="63">
        <v>1280</v>
      </c>
      <c r="C36" s="63">
        <v>1290</v>
      </c>
      <c r="D36" s="63" t="s">
        <v>435</v>
      </c>
      <c r="E36" s="94" t="s">
        <v>429</v>
      </c>
      <c r="F36" s="135" t="s">
        <v>427</v>
      </c>
      <c r="G36" s="61">
        <v>376.40512780199998</v>
      </c>
      <c r="H36" s="291">
        <v>0.38933024962538582</v>
      </c>
      <c r="I36" s="291">
        <v>0.90095268081457569</v>
      </c>
      <c r="J36" s="291">
        <v>2.8830405095100815</v>
      </c>
      <c r="K36" s="291">
        <v>5.3365342296006872</v>
      </c>
      <c r="L36" s="291">
        <v>2.7988557646431054</v>
      </c>
      <c r="M36" s="291">
        <v>69.051059802109492</v>
      </c>
      <c r="N36" s="291">
        <v>15.942588940389589</v>
      </c>
      <c r="O36" s="300">
        <v>0</v>
      </c>
      <c r="P36" s="292">
        <v>202.74021798674011</v>
      </c>
      <c r="Q36" s="291">
        <v>10.076644422931</v>
      </c>
      <c r="R36" s="291">
        <v>0</v>
      </c>
      <c r="S36" s="291">
        <v>1.4976336400942501E-2</v>
      </c>
      <c r="T36" s="291">
        <v>66.270926879235077</v>
      </c>
      <c r="U36" s="306">
        <v>408.96172617589843</v>
      </c>
      <c r="V36" s="136">
        <v>4.0255081197131375</v>
      </c>
      <c r="W36" s="306">
        <v>0</v>
      </c>
      <c r="X36" s="136">
        <v>0</v>
      </c>
      <c r="Y36" s="306">
        <v>0</v>
      </c>
      <c r="Z36" s="306">
        <v>37.417989267098939</v>
      </c>
      <c r="AA36" s="306">
        <v>27.206658862763156</v>
      </c>
      <c r="AB36" s="312">
        <v>6.8498680429915346</v>
      </c>
      <c r="AC36" s="312">
        <v>62.411133594293759</v>
      </c>
      <c r="AD36" s="312">
        <v>2.8339272269389992</v>
      </c>
      <c r="AE36" s="312">
        <v>5.4643032780565646</v>
      </c>
      <c r="AF36" s="312">
        <v>3.7839810095836577</v>
      </c>
      <c r="AG36" s="312">
        <v>1.6560084438818259E-2</v>
      </c>
      <c r="AH36" s="19">
        <v>151.75895155410848</v>
      </c>
      <c r="AI36" s="19">
        <v>14.559173140050953</v>
      </c>
      <c r="AJ36" s="19">
        <v>67.135506716180643</v>
      </c>
      <c r="AK36" s="19">
        <v>142.95149639165987</v>
      </c>
      <c r="AL36" s="19">
        <v>724.35483870999997</v>
      </c>
      <c r="AM36" s="19">
        <v>11.2301</v>
      </c>
      <c r="AN36" s="19" t="s">
        <v>11</v>
      </c>
      <c r="AO36" s="19" t="s">
        <v>12</v>
      </c>
      <c r="AP36" s="305">
        <v>12.3508200598573</v>
      </c>
      <c r="AQ36">
        <v>11.971154</v>
      </c>
      <c r="AR36" s="351">
        <v>386.63265457584458</v>
      </c>
      <c r="AS36" s="346">
        <v>351.484231432586</v>
      </c>
      <c r="AT36" s="249">
        <v>6.2829680096111602</v>
      </c>
      <c r="AU36" s="312">
        <v>1514.4879292124285</v>
      </c>
      <c r="AV36" s="312">
        <v>1543.4872554840867</v>
      </c>
      <c r="AW36" s="312">
        <v>934.65303806428585</v>
      </c>
      <c r="AX36" s="312">
        <v>883.25591346619728</v>
      </c>
      <c r="AY36" s="333">
        <v>697.8600971831429</v>
      </c>
      <c r="AZ36">
        <v>1106.5964763233751</v>
      </c>
      <c r="BA36">
        <v>706.5981891924921</v>
      </c>
      <c r="BB36" s="48">
        <v>1237.112043767391</v>
      </c>
      <c r="BC36" s="48">
        <v>728.54072576201122</v>
      </c>
      <c r="BD36" s="48">
        <v>34.563938753959874</v>
      </c>
      <c r="BE36" s="310">
        <v>0.94777786762230942</v>
      </c>
      <c r="BF36" s="310">
        <v>1.6927254592699554</v>
      </c>
      <c r="BG36" s="310">
        <v>3.0238896687666341</v>
      </c>
      <c r="BH36" s="310">
        <v>5.7440043638584521</v>
      </c>
      <c r="BI36" s="310">
        <v>18.356872883861694</v>
      </c>
      <c r="BJ36" s="305">
        <v>0.48098661376672225</v>
      </c>
      <c r="BK36" s="48">
        <v>0.11229699999999999</v>
      </c>
      <c r="BL36" s="48">
        <v>5778.6363636363603</v>
      </c>
      <c r="BM36" s="48">
        <v>1</v>
      </c>
      <c r="BN36" s="48">
        <v>0</v>
      </c>
      <c r="BO36" s="48">
        <v>5.1905484829710691</v>
      </c>
      <c r="BP36" s="314">
        <v>41.945891984094551</v>
      </c>
      <c r="BQ36" s="314">
        <v>41.647918689567248</v>
      </c>
      <c r="BR36" s="316">
        <v>185.95842116555366</v>
      </c>
      <c r="BS36" s="318">
        <v>27123.972336891566</v>
      </c>
      <c r="BT36" s="188">
        <v>25172.792336891565</v>
      </c>
      <c r="BU36" s="188">
        <v>25172.792336891565</v>
      </c>
      <c r="BV36" s="48">
        <v>1951.1800000000003</v>
      </c>
      <c r="BW36" s="48">
        <v>50</v>
      </c>
      <c r="BX36" s="48">
        <v>30</v>
      </c>
      <c r="BY36" s="48">
        <v>43</v>
      </c>
      <c r="BZ36" s="48">
        <v>0</v>
      </c>
      <c r="CA36" s="71">
        <v>0</v>
      </c>
      <c r="CB36" s="321">
        <v>5.9175308483426343E-2</v>
      </c>
      <c r="CC36" s="321">
        <v>0</v>
      </c>
      <c r="CD36" s="321">
        <v>0</v>
      </c>
      <c r="CE36" s="321">
        <v>11.892025</v>
      </c>
      <c r="CF36" s="321">
        <v>0.84938599999999997</v>
      </c>
      <c r="CG36" s="42">
        <v>0</v>
      </c>
      <c r="CH36" s="42">
        <v>0</v>
      </c>
      <c r="CI36" s="42">
        <v>0</v>
      </c>
      <c r="CJ36" s="42">
        <v>0</v>
      </c>
      <c r="CK36" s="42">
        <v>0</v>
      </c>
      <c r="CL36" s="151" t="str">
        <f t="shared" si="0"/>
        <v>OK</v>
      </c>
      <c r="CM36" s="152" t="str">
        <f t="shared" si="1"/>
        <v>OK</v>
      </c>
      <c r="CN36" s="153" t="str">
        <f t="shared" si="2"/>
        <v>OK</v>
      </c>
      <c r="CO36" s="327">
        <f t="shared" si="3"/>
        <v>1300.7866666666669</v>
      </c>
      <c r="CP36" s="328"/>
      <c r="CQ36" s="326"/>
      <c r="CR36" s="326">
        <v>821.50232084689662</v>
      </c>
      <c r="CS36" s="328">
        <v>1280</v>
      </c>
      <c r="CT36" s="327">
        <v>2.1587096774193544</v>
      </c>
      <c r="CU36" s="327">
        <f>VLOOKUP(B36,Tabelle2!$AL$2:$AM$82,2,)</f>
        <v>2.1587096774193544</v>
      </c>
      <c r="CV36">
        <v>7</v>
      </c>
      <c r="CW36">
        <v>0.05</v>
      </c>
      <c r="CY36" s="147">
        <f>VLOOKUP($B36,Tabelle2!$J$3:$W$38,3,)</f>
        <v>2.5</v>
      </c>
      <c r="CZ36" s="147">
        <f>VLOOKUP($B36,Tabelle2!$J$3:$W$38,4,)</f>
        <v>2.5</v>
      </c>
      <c r="DA36" s="147">
        <f>VLOOKUP($B36,Tabelle2!$J$3:$W$38,5,)</f>
        <v>2.1397849462365583E-2</v>
      </c>
      <c r="DB36" s="147">
        <f>VLOOKUP($B36,Tabelle2!$J$3:$W$38,6,)</f>
        <v>5.0999999999999983E-2</v>
      </c>
      <c r="DC36" s="147">
        <f>VLOOKUP($B36,Tabelle2!$J$3:$W$38,7,)</f>
        <v>1.1451612903225801E-2</v>
      </c>
      <c r="DD36" s="147">
        <f>VLOOKUP($B36,Tabelle2!$J$3:$W$38,8,)</f>
        <v>2.7999999999999987E-2</v>
      </c>
      <c r="DE36" s="147">
        <f>VLOOKUP($B36,Tabelle2!$J$3:$W$38,9,)</f>
        <v>5.155913978494628E-3</v>
      </c>
      <c r="DF36" s="147">
        <f>VLOOKUP($B36,Tabelle2!$J$3:$W$38,10,)</f>
        <v>8.0000000000000002E-3</v>
      </c>
      <c r="DG36" s="147">
        <f>VLOOKUP($B36,Tabelle2!$J$3:$W$38,11,)</f>
        <v>0.71720430107526945</v>
      </c>
      <c r="DH36" s="147">
        <f>VLOOKUP($B36,Tabelle2!$J$3:$W$38,12,)</f>
        <v>0.8</v>
      </c>
      <c r="DI36" s="147">
        <f>VLOOKUP($B36,Tabelle2!$J$3:$W$38,13,)</f>
        <v>7.1397849462365576E-2</v>
      </c>
      <c r="DJ36" s="147">
        <f>VLOOKUP($B36,Tabelle2!$J$3:$W$38,14,)</f>
        <v>0.17599999999999993</v>
      </c>
      <c r="DK36" s="147">
        <f t="shared" si="5"/>
        <v>0.79375806451612962</v>
      </c>
      <c r="DL36" s="147">
        <f t="shared" si="6"/>
        <v>0.98399999999999999</v>
      </c>
      <c r="DN36" s="31"/>
      <c r="DO36" s="146">
        <f t="shared" si="7"/>
        <v>5.0999999999999996</v>
      </c>
      <c r="DP36" s="136">
        <v>821.50232084689662</v>
      </c>
      <c r="DQ36">
        <f t="shared" si="4"/>
        <v>1280</v>
      </c>
      <c r="DR36" s="147">
        <v>11</v>
      </c>
      <c r="DS36" s="147">
        <v>5.0999999999999996</v>
      </c>
      <c r="DT36" s="147">
        <v>35.1</v>
      </c>
      <c r="DU36" s="147">
        <v>2.5</v>
      </c>
      <c r="DV36" s="147">
        <v>385.6</v>
      </c>
      <c r="DW36" s="147">
        <v>423.2</v>
      </c>
      <c r="DY36" s="48"/>
      <c r="DZ36" s="48">
        <f t="shared" si="8"/>
        <v>423.2</v>
      </c>
      <c r="EA36" s="48">
        <f t="shared" ref="EA36:EA42" si="9">DR36</f>
        <v>11</v>
      </c>
      <c r="EC36" s="61">
        <v>376.19371437545078</v>
      </c>
      <c r="ED36" s="27">
        <v>300.70000853216459</v>
      </c>
      <c r="EE36" s="27">
        <v>14.431650030642352</v>
      </c>
      <c r="EG36" s="39" t="s">
        <v>706</v>
      </c>
      <c r="EH36" s="63">
        <v>1280</v>
      </c>
      <c r="EI36" s="31">
        <v>8.6318684210526311E-3</v>
      </c>
      <c r="EJ36" s="31">
        <v>2.5131736027999108E-2</v>
      </c>
      <c r="EM36">
        <v>0</v>
      </c>
      <c r="EN36">
        <v>0</v>
      </c>
    </row>
    <row r="37" spans="1:144" ht="15">
      <c r="A37" s="39" t="s">
        <v>706</v>
      </c>
      <c r="B37" s="63">
        <v>1290</v>
      </c>
      <c r="C37" s="63">
        <v>4020</v>
      </c>
      <c r="D37" s="63" t="s">
        <v>435</v>
      </c>
      <c r="E37" s="94" t="s">
        <v>429</v>
      </c>
      <c r="F37" s="135" t="s">
        <v>427</v>
      </c>
      <c r="G37" s="61">
        <v>324.76136307399997</v>
      </c>
      <c r="H37" s="291">
        <v>7.126525448281142</v>
      </c>
      <c r="I37" s="291">
        <v>10.479134318147135</v>
      </c>
      <c r="J37" s="291">
        <v>13.743809995938557</v>
      </c>
      <c r="K37" s="291">
        <v>21.218082611928505</v>
      </c>
      <c r="L37" s="291">
        <v>33.621060661488578</v>
      </c>
      <c r="M37" s="291">
        <v>59.456434424935175</v>
      </c>
      <c r="N37" s="291">
        <v>21.772363338096032</v>
      </c>
      <c r="O37" s="300">
        <v>0.5571823935110215</v>
      </c>
      <c r="P37" s="292">
        <v>153.38895261810839</v>
      </c>
      <c r="Q37" s="291">
        <v>8.5803392196515088E-2</v>
      </c>
      <c r="R37" s="291">
        <v>0</v>
      </c>
      <c r="S37" s="291">
        <v>2.2484716291368998E-3</v>
      </c>
      <c r="T37" s="291">
        <v>3.309765399739808</v>
      </c>
      <c r="U37" s="306">
        <v>713.54622618504516</v>
      </c>
      <c r="V37" s="136">
        <v>3.9110397970058566</v>
      </c>
      <c r="W37" s="306">
        <v>9.1486634822226556</v>
      </c>
      <c r="X37" s="136">
        <v>34.25</v>
      </c>
      <c r="Y37" s="306">
        <v>0.205715987860628</v>
      </c>
      <c r="Z37" s="306">
        <v>0</v>
      </c>
      <c r="AA37" s="306">
        <v>0</v>
      </c>
      <c r="AB37" s="312">
        <v>35.966618357474339</v>
      </c>
      <c r="AC37" s="312">
        <v>78.26039297735089</v>
      </c>
      <c r="AD37" s="312">
        <v>27.369532698953581</v>
      </c>
      <c r="AE37" s="312">
        <v>3.409610975775049</v>
      </c>
      <c r="AF37" s="312">
        <v>0.63889245116524984</v>
      </c>
      <c r="AG37" s="312">
        <v>0</v>
      </c>
      <c r="AH37" s="19">
        <v>20.220692405039234</v>
      </c>
      <c r="AI37" s="19">
        <v>224.50965769416689</v>
      </c>
      <c r="AJ37" s="19">
        <v>5.7117789282790596</v>
      </c>
      <c r="AK37" s="19">
        <v>74.319234046514822</v>
      </c>
      <c r="AL37" s="19">
        <v>560.30272952899998</v>
      </c>
      <c r="AM37" s="19">
        <v>3.9196</v>
      </c>
      <c r="AN37" s="19" t="s">
        <v>13</v>
      </c>
      <c r="AO37" s="19" t="s">
        <v>12</v>
      </c>
      <c r="AP37" s="305">
        <v>8.2184898850020502</v>
      </c>
      <c r="AQ37">
        <v>11.233654</v>
      </c>
      <c r="AR37" s="351">
        <v>1598.0039022462681</v>
      </c>
      <c r="AS37" s="346">
        <v>1452.7308202238801</v>
      </c>
      <c r="AT37" s="249">
        <v>34.7389588272503</v>
      </c>
      <c r="AU37" s="312">
        <v>1169.0891718199998</v>
      </c>
      <c r="AV37" s="312">
        <v>1194.2971741668161</v>
      </c>
      <c r="AW37" s="312">
        <v>734.72007381371441</v>
      </c>
      <c r="AX37" s="312">
        <v>700.75795247597125</v>
      </c>
      <c r="AY37" s="333">
        <v>705.50104929571432</v>
      </c>
      <c r="AZ37">
        <v>1095.5808218382133</v>
      </c>
      <c r="BA37">
        <v>703.62857163421722</v>
      </c>
      <c r="BB37" s="48">
        <v>1228.781771162955</v>
      </c>
      <c r="BC37" s="48">
        <v>727.88629633287258</v>
      </c>
      <c r="BD37" s="48">
        <v>34.563938753959874</v>
      </c>
      <c r="BE37" s="310">
        <v>0.6021386372365759</v>
      </c>
      <c r="BF37" s="310">
        <v>1.878083789655915</v>
      </c>
      <c r="BG37" s="310">
        <v>3.8320875650005988</v>
      </c>
      <c r="BH37" s="310">
        <v>6.1979104340168893</v>
      </c>
      <c r="BI37" s="310">
        <v>14.615870865965023</v>
      </c>
      <c r="BJ37" s="305">
        <v>0.26024318085243864</v>
      </c>
      <c r="BK37" s="48">
        <v>0.14222100000000001</v>
      </c>
      <c r="BL37" s="48">
        <v>2240</v>
      </c>
      <c r="BM37" s="48">
        <v>1</v>
      </c>
      <c r="BN37" s="48">
        <v>0</v>
      </c>
      <c r="BO37" s="48">
        <v>2.1486501495609849</v>
      </c>
      <c r="BP37" s="314">
        <v>51.58170889124623</v>
      </c>
      <c r="BQ37" s="314">
        <v>52.137608917746242</v>
      </c>
      <c r="BR37" s="316">
        <v>393.61702177731485</v>
      </c>
      <c r="BS37" s="318">
        <v>60943.767765801225</v>
      </c>
      <c r="BT37" s="188">
        <v>56502.11443246789</v>
      </c>
      <c r="BU37" s="188">
        <v>56502.11443246789</v>
      </c>
      <c r="BV37" s="48">
        <v>4441.6533333333355</v>
      </c>
      <c r="BW37" s="48">
        <v>50</v>
      </c>
      <c r="BX37" s="48">
        <v>30</v>
      </c>
      <c r="BY37" s="48">
        <v>43</v>
      </c>
      <c r="BZ37" s="48">
        <v>0</v>
      </c>
      <c r="CA37" s="71">
        <v>0</v>
      </c>
      <c r="CB37" s="321">
        <v>0.20548032671655675</v>
      </c>
      <c r="CC37" s="321">
        <v>0</v>
      </c>
      <c r="CD37" s="321">
        <v>0</v>
      </c>
      <c r="CE37" s="321">
        <v>73.3185708888889</v>
      </c>
      <c r="CF37" s="321">
        <v>5.0897451666666669</v>
      </c>
      <c r="CG37" s="42">
        <v>0</v>
      </c>
      <c r="CH37" s="42">
        <v>0</v>
      </c>
      <c r="CI37" s="42">
        <v>0</v>
      </c>
      <c r="CJ37" s="42">
        <v>2.0299999999999998</v>
      </c>
      <c r="CK37" s="42">
        <v>0</v>
      </c>
      <c r="CL37" s="151" t="str">
        <f t="shared" si="0"/>
        <v>OK</v>
      </c>
      <c r="CM37" s="152" t="str">
        <f t="shared" si="1"/>
        <v>OK</v>
      </c>
      <c r="CN37" s="153" t="str">
        <f t="shared" si="2"/>
        <v>OK</v>
      </c>
      <c r="CO37" s="327">
        <f t="shared" si="3"/>
        <v>2961.1022222222236</v>
      </c>
      <c r="CP37" s="328"/>
      <c r="CQ37" s="326">
        <v>9.6830234510836295</v>
      </c>
      <c r="CR37" s="326">
        <v>7492.9962958778478</v>
      </c>
      <c r="CS37" s="328">
        <v>1290</v>
      </c>
      <c r="CT37" s="327">
        <v>4.3022770398481969</v>
      </c>
      <c r="CU37" s="327">
        <f>VLOOKUP(B37,Tabelle2!$AL$2:$AM$82,2,)</f>
        <v>4.3022770398481969</v>
      </c>
      <c r="CV37">
        <v>4</v>
      </c>
      <c r="CW37">
        <v>0.05</v>
      </c>
      <c r="CY37" s="147">
        <f>VLOOKUP($B37,Tabelle2!$J$3:$W$38,3,)</f>
        <v>5.3</v>
      </c>
      <c r="CZ37" s="147">
        <f>VLOOKUP($B37,Tabelle2!$J$3:$W$38,4,)</f>
        <v>11.299999999999995</v>
      </c>
      <c r="DA37" s="147">
        <f>VLOOKUP($B37,Tabelle2!$J$3:$W$38,5,)</f>
        <v>3.401612903225805E-2</v>
      </c>
      <c r="DB37" s="147">
        <f>VLOOKUP($B37,Tabelle2!$J$3:$W$38,6,)</f>
        <v>3.7599999999999995E-2</v>
      </c>
      <c r="DC37" s="147">
        <f>VLOOKUP($B37,Tabelle2!$J$3:$W$38,7,)</f>
        <v>1.0075268817204304E-2</v>
      </c>
      <c r="DD37" s="147">
        <f>VLOOKUP($B37,Tabelle2!$J$3:$W$38,8,)</f>
        <v>1.7799999999999996E-2</v>
      </c>
      <c r="DE37" s="147">
        <f>VLOOKUP($B37,Tabelle2!$J$3:$W$38,9,)</f>
        <v>5.9193548387096824E-3</v>
      </c>
      <c r="DF37" s="147">
        <f>VLOOKUP($B37,Tabelle2!$J$3:$W$38,10,)</f>
        <v>8.9999999999999993E-3</v>
      </c>
      <c r="DG37" s="147">
        <f>VLOOKUP($B37,Tabelle2!$J$3:$W$38,11,)</f>
        <v>1.597849462365591</v>
      </c>
      <c r="DH37" s="147">
        <f>VLOOKUP($B37,Tabelle2!$J$3:$W$38,12,)</f>
        <v>1.8</v>
      </c>
      <c r="DI37" s="147">
        <f>VLOOKUP($B37,Tabelle2!$J$3:$W$38,13,)</f>
        <v>1.741935483870968E-2</v>
      </c>
      <c r="DJ37" s="147">
        <f>VLOOKUP($B37,Tabelle2!$J$3:$W$38,14,)</f>
        <v>3.7999999999999971E-2</v>
      </c>
      <c r="DK37" s="147">
        <f t="shared" si="5"/>
        <v>1.6211881720430104</v>
      </c>
      <c r="DL37" s="147">
        <f t="shared" si="6"/>
        <v>1.847</v>
      </c>
      <c r="DN37" s="31"/>
      <c r="DO37" s="146" t="e">
        <f t="shared" si="7"/>
        <v>#N/A</v>
      </c>
      <c r="DP37" s="136">
        <v>7492.9962958778478</v>
      </c>
      <c r="DQ37">
        <f t="shared" si="4"/>
        <v>1290</v>
      </c>
      <c r="DR37" s="147" t="e">
        <f>VLOOKUP(B37,Tabelle2!AC$2:AJ$73,3,)</f>
        <v>#N/A</v>
      </c>
      <c r="DS37" s="147" t="e">
        <f>VLOOKUP($B37,Tabelle2!$AC$2:$AJ$73,4,)</f>
        <v>#N/A</v>
      </c>
      <c r="DT37" s="147" t="e">
        <f>VLOOKUP($B37,Tabelle2!$AC$2:$AJ$73,5,)</f>
        <v>#N/A</v>
      </c>
      <c r="DU37" s="147" t="e">
        <f>VLOOKUP($B37,Tabelle2!$AC$2:$AJ$73,6,)</f>
        <v>#N/A</v>
      </c>
      <c r="DV37" s="147" t="e">
        <f>VLOOKUP($B37,Tabelle2!$AC$2:$AJ$73,7,)</f>
        <v>#N/A</v>
      </c>
      <c r="DW37" s="147" t="e">
        <f>VLOOKUP($B37,Tabelle2!$AC$2:$AJ$73,8,)</f>
        <v>#N/A</v>
      </c>
      <c r="DY37" s="48"/>
      <c r="DZ37" s="48" t="e">
        <f t="shared" si="8"/>
        <v>#N/A</v>
      </c>
      <c r="EA37" s="48" t="e">
        <f t="shared" si="9"/>
        <v>#N/A</v>
      </c>
      <c r="EC37" s="61">
        <v>1436.3935451424406</v>
      </c>
      <c r="ED37" s="27">
        <v>1308.8848934081839</v>
      </c>
      <c r="EE37" s="27">
        <v>38.362377254565722</v>
      </c>
      <c r="EG37" s="39" t="s">
        <v>706</v>
      </c>
      <c r="EH37" s="63">
        <v>1290</v>
      </c>
      <c r="EI37" s="31">
        <v>3.631576099071207E-2</v>
      </c>
      <c r="EJ37" s="31">
        <v>3.5096002366005741E-2</v>
      </c>
      <c r="EM37">
        <v>0</v>
      </c>
      <c r="EN37">
        <v>0</v>
      </c>
    </row>
    <row r="38" spans="1:144" ht="15">
      <c r="A38" s="39" t="s">
        <v>707</v>
      </c>
      <c r="B38" s="63">
        <v>1300</v>
      </c>
      <c r="C38" s="63">
        <v>1310</v>
      </c>
      <c r="D38" s="63" t="s">
        <v>435</v>
      </c>
      <c r="E38" s="94" t="s">
        <v>429</v>
      </c>
      <c r="F38" s="135" t="s">
        <v>427</v>
      </c>
      <c r="G38" s="61">
        <v>243.148242549</v>
      </c>
      <c r="H38" s="291">
        <v>1.9130857554041194E-3</v>
      </c>
      <c r="I38" s="291">
        <v>3.0391562412950476E-3</v>
      </c>
      <c r="J38" s="291">
        <v>6.1484464614087325E-3</v>
      </c>
      <c r="K38" s="291">
        <v>1.7980748524446661E-3</v>
      </c>
      <c r="L38" s="291">
        <v>9.5118035069752943E-4</v>
      </c>
      <c r="M38" s="291">
        <v>5.5968829258320376</v>
      </c>
      <c r="N38" s="291">
        <v>2.3905286985995975</v>
      </c>
      <c r="O38" s="300">
        <v>0</v>
      </c>
      <c r="P38" s="292">
        <v>221.00280898019136</v>
      </c>
      <c r="Q38" s="291">
        <v>9.761435512162409</v>
      </c>
      <c r="R38" s="291">
        <v>0</v>
      </c>
      <c r="S38" s="291">
        <v>0.114247308911798</v>
      </c>
      <c r="T38" s="291">
        <v>4.2684891796415263</v>
      </c>
      <c r="U38" s="306">
        <v>714.54909216200849</v>
      </c>
      <c r="V38" s="136">
        <v>4.6081667096264507</v>
      </c>
      <c r="W38" s="306">
        <v>0</v>
      </c>
      <c r="X38" s="136">
        <v>0</v>
      </c>
      <c r="Y38" s="306">
        <v>0.97572784074675589</v>
      </c>
      <c r="Z38" s="306">
        <v>0</v>
      </c>
      <c r="AA38" s="306">
        <v>0</v>
      </c>
      <c r="AB38" s="312">
        <v>0</v>
      </c>
      <c r="AC38" s="312">
        <v>4.4562224087934119</v>
      </c>
      <c r="AD38" s="312">
        <v>0.7906627393456982</v>
      </c>
      <c r="AE38" s="312">
        <v>0.23075002783767024</v>
      </c>
      <c r="AF38" s="312">
        <v>0.13309769351650744</v>
      </c>
      <c r="AG38" s="312">
        <v>0</v>
      </c>
      <c r="AH38" s="19">
        <v>44.914151055689921</v>
      </c>
      <c r="AI38" s="19">
        <v>2.5551186245989905</v>
      </c>
      <c r="AJ38" s="19">
        <v>186.822552323434</v>
      </c>
      <c r="AK38" s="19">
        <v>8.8564205452771017</v>
      </c>
      <c r="AL38" s="19">
        <v>1090.9189189199999</v>
      </c>
      <c r="AM38" s="19">
        <v>18.093299999999999</v>
      </c>
      <c r="AN38" s="19" t="s">
        <v>11</v>
      </c>
      <c r="AO38" s="19" t="s">
        <v>12</v>
      </c>
      <c r="AP38" s="305">
        <v>11.0388092323403</v>
      </c>
      <c r="AQ38">
        <v>8.7288460000000008</v>
      </c>
      <c r="AR38" s="351">
        <v>358.62866433558008</v>
      </c>
      <c r="AS38" s="346">
        <v>326.02605848689097</v>
      </c>
      <c r="AT38" s="330">
        <v>1.84315248035733</v>
      </c>
      <c r="AU38" s="312">
        <v>1908.4497422962856</v>
      </c>
      <c r="AV38" s="312">
        <v>1822.282798716951</v>
      </c>
      <c r="AW38" s="312">
        <v>1147.5248645578572</v>
      </c>
      <c r="AX38" s="312">
        <v>1017.1661177422666</v>
      </c>
      <c r="AY38" s="333">
        <v>653.73367313128563</v>
      </c>
      <c r="AZ38">
        <v>741.92352117229007</v>
      </c>
      <c r="BA38">
        <v>657.89657578100582</v>
      </c>
      <c r="BB38" s="48">
        <v>960.22033745320596</v>
      </c>
      <c r="BC38" s="48">
        <v>780.86867902810286</v>
      </c>
      <c r="BD38" s="48">
        <v>34.588208367664571</v>
      </c>
      <c r="BE38" s="310">
        <v>6.5253889974104334E-2</v>
      </c>
      <c r="BF38" s="310">
        <v>0.24159085581979875</v>
      </c>
      <c r="BG38" s="310">
        <v>2.1050852394694073</v>
      </c>
      <c r="BH38" s="310">
        <v>2.4170555976458847</v>
      </c>
      <c r="BI38" s="310">
        <v>14.438566866106173</v>
      </c>
      <c r="BJ38" s="305">
        <v>0.36149343109493054</v>
      </c>
      <c r="BK38" s="48">
        <v>9.2875200000000005E-2</v>
      </c>
      <c r="BL38" s="48">
        <v>3305</v>
      </c>
      <c r="BM38" s="48">
        <v>1</v>
      </c>
      <c r="BN38" s="48">
        <v>0</v>
      </c>
      <c r="BO38" s="48">
        <v>0</v>
      </c>
      <c r="BP38" s="314">
        <v>24.61002535006843</v>
      </c>
      <c r="BQ38" s="314">
        <v>28.104691977609079</v>
      </c>
      <c r="BR38" s="316">
        <v>240.63141046943846</v>
      </c>
      <c r="BS38" s="318">
        <v>2411.7673786835112</v>
      </c>
      <c r="BT38" s="188">
        <v>1990.914045350178</v>
      </c>
      <c r="BU38" s="188">
        <v>1990.914045350178</v>
      </c>
      <c r="BV38" s="48">
        <v>420.8533333333333</v>
      </c>
      <c r="BW38" s="48">
        <v>50</v>
      </c>
      <c r="BX38" s="48">
        <v>51</v>
      </c>
      <c r="BY38" s="48">
        <v>43</v>
      </c>
      <c r="BZ38" s="48">
        <v>0</v>
      </c>
      <c r="CA38" s="71">
        <v>0</v>
      </c>
      <c r="CB38" s="321">
        <v>0</v>
      </c>
      <c r="CC38" s="321">
        <v>0</v>
      </c>
      <c r="CD38" s="321">
        <v>0</v>
      </c>
      <c r="CE38" s="321">
        <v>0</v>
      </c>
      <c r="CF38" s="321">
        <v>0</v>
      </c>
      <c r="CG38" s="42">
        <v>0</v>
      </c>
      <c r="CH38" s="42">
        <v>0</v>
      </c>
      <c r="CI38" s="42">
        <v>0</v>
      </c>
      <c r="CJ38" s="42">
        <v>0</v>
      </c>
      <c r="CK38" s="42">
        <v>0</v>
      </c>
      <c r="CL38" s="151" t="str">
        <f t="shared" si="0"/>
        <v>OK</v>
      </c>
      <c r="CM38" s="152" t="str">
        <f t="shared" si="1"/>
        <v>OK</v>
      </c>
      <c r="CN38" s="153" t="str">
        <f t="shared" si="2"/>
        <v>OK</v>
      </c>
      <c r="CO38" s="327">
        <f t="shared" si="3"/>
        <v>280.56888888888881</v>
      </c>
      <c r="CP38" s="328"/>
      <c r="CQ38" s="326"/>
      <c r="CR38" s="326" t="e">
        <v>#N/A</v>
      </c>
      <c r="CS38" s="328">
        <v>1300</v>
      </c>
      <c r="CT38" s="327">
        <v>0.99580645161290327</v>
      </c>
      <c r="CU38" s="327">
        <f>VLOOKUP(B38,Tabelle2!$AL$2:$AM$82,2,)</f>
        <v>0.99580645161290327</v>
      </c>
      <c r="CV38">
        <v>5.5</v>
      </c>
      <c r="CW38">
        <v>0.03</v>
      </c>
      <c r="CY38" s="147">
        <f>VLOOKUP($B38,Tabelle2!$J$3:$W$38,3,)</f>
        <v>4.1363636363636367</v>
      </c>
      <c r="CZ38" s="147">
        <f>VLOOKUP($B38,Tabelle2!$J$3:$W$38,4,)</f>
        <v>5.3999999999999897</v>
      </c>
      <c r="DA38" s="147">
        <f>VLOOKUP($B38,Tabelle2!$J$3:$W$38,5,)</f>
        <v>5.2083333333333356E-3</v>
      </c>
      <c r="DB38" s="147">
        <f>VLOOKUP($B38,Tabelle2!$J$3:$W$38,6,)</f>
        <v>6.5000000000000006E-3</v>
      </c>
      <c r="DC38" s="147">
        <f>VLOOKUP($B38,Tabelle2!$J$3:$W$38,7,)</f>
        <v>2.5260416666666682E-3</v>
      </c>
      <c r="DD38" s="147">
        <f>VLOOKUP($B38,Tabelle2!$J$3:$W$38,8,)</f>
        <v>2.5000000000000001E-3</v>
      </c>
      <c r="DE38" s="147">
        <f>VLOOKUP($B38,Tabelle2!$J$3:$W$38,9,)</f>
        <v>1.5000000000000011E-3</v>
      </c>
      <c r="DF38" s="147">
        <f>VLOOKUP($B38,Tabelle2!$J$3:$W$38,10,)</f>
        <v>1.5E-3</v>
      </c>
      <c r="DG38" s="147">
        <f>VLOOKUP($B38,Tabelle2!$J$3:$W$38,11,)</f>
        <v>0.91354166666666614</v>
      </c>
      <c r="DH38" s="147">
        <f>VLOOKUP($B38,Tabelle2!$J$3:$W$38,12,)</f>
        <v>1</v>
      </c>
      <c r="DI38" s="147">
        <f>VLOOKUP($B38,Tabelle2!$J$3:$W$38,13,)</f>
        <v>5.7291666666666706E-3</v>
      </c>
      <c r="DJ38" s="147">
        <f>VLOOKUP($B38,Tabelle2!$J$3:$W$38,14,)</f>
        <v>0.01</v>
      </c>
      <c r="DK38" s="147">
        <f t="shared" si="5"/>
        <v>0.92077083333333276</v>
      </c>
      <c r="DL38" s="147">
        <f t="shared" si="6"/>
        <v>1.0115000000000001</v>
      </c>
      <c r="DN38" s="31"/>
      <c r="DO38" s="146" t="e">
        <f t="shared" si="7"/>
        <v>#N/A</v>
      </c>
      <c r="DP38" s="136" t="e">
        <v>#N/A</v>
      </c>
      <c r="DQ38">
        <f t="shared" si="4"/>
        <v>1300</v>
      </c>
      <c r="DR38" s="147" t="e">
        <f>VLOOKUP(B38,Tabelle2!AC$2:AJ$73,3,)</f>
        <v>#N/A</v>
      </c>
      <c r="DS38" s="147" t="e">
        <f>VLOOKUP($B38,Tabelle2!$AC$2:$AJ$73,4,)</f>
        <v>#N/A</v>
      </c>
      <c r="DT38" s="147" t="e">
        <f>VLOOKUP($B38,Tabelle2!$AC$2:$AJ$73,5,)</f>
        <v>#N/A</v>
      </c>
      <c r="DU38" s="147" t="e">
        <f>VLOOKUP($B38,Tabelle2!$AC$2:$AJ$73,6,)</f>
        <v>#N/A</v>
      </c>
      <c r="DV38" s="147" t="e">
        <f>VLOOKUP($B38,Tabelle2!$AC$2:$AJ$73,7,)</f>
        <v>#N/A</v>
      </c>
      <c r="DW38" s="147" t="e">
        <f>VLOOKUP($B38,Tabelle2!$AC$2:$AJ$73,8,)</f>
        <v>#N/A</v>
      </c>
      <c r="DY38" s="48"/>
      <c r="DZ38" s="48" t="e">
        <f t="shared" si="8"/>
        <v>#N/A</v>
      </c>
      <c r="EA38" s="48" t="e">
        <f t="shared" si="9"/>
        <v>#N/A</v>
      </c>
      <c r="EC38" s="61">
        <v>248.84804318032187</v>
      </c>
      <c r="ED38" s="27">
        <v>242.72938036327625</v>
      </c>
      <c r="EE38" s="27">
        <v>2.1439114193786293</v>
      </c>
      <c r="EG38" s="39" t="s">
        <v>707</v>
      </c>
      <c r="EH38" s="63">
        <v>1300</v>
      </c>
      <c r="EI38" s="31">
        <v>3.0569263157894737E-3</v>
      </c>
      <c r="EJ38" s="31">
        <v>2.0126940873300983E-2</v>
      </c>
      <c r="EM38">
        <v>0</v>
      </c>
      <c r="EN38">
        <v>0</v>
      </c>
    </row>
    <row r="39" spans="1:144" ht="15">
      <c r="A39" s="39" t="s">
        <v>707</v>
      </c>
      <c r="B39" s="339">
        <v>1310</v>
      </c>
      <c r="C39" s="63">
        <v>4020</v>
      </c>
      <c r="D39" s="63" t="s">
        <v>435</v>
      </c>
      <c r="E39" s="94" t="s">
        <v>429</v>
      </c>
      <c r="F39" s="135" t="s">
        <v>427</v>
      </c>
      <c r="G39" s="61">
        <v>258.66038418900001</v>
      </c>
      <c r="H39" s="291">
        <v>2.0571508319800915</v>
      </c>
      <c r="I39" s="291">
        <v>9.0773220723762496</v>
      </c>
      <c r="J39" s="291">
        <v>20.562453356592655</v>
      </c>
      <c r="K39" s="291">
        <v>23.422376926623809</v>
      </c>
      <c r="L39" s="291">
        <v>11.011499794432718</v>
      </c>
      <c r="M39" s="291">
        <v>47.794760794008177</v>
      </c>
      <c r="N39" s="291">
        <v>14.31357659450283</v>
      </c>
      <c r="O39" s="300">
        <v>0.3011019274571029</v>
      </c>
      <c r="P39" s="292">
        <v>126.94347417792484</v>
      </c>
      <c r="Q39" s="291">
        <v>0</v>
      </c>
      <c r="R39" s="291">
        <v>0</v>
      </c>
      <c r="S39" s="291">
        <v>6.0244625975513402E-2</v>
      </c>
      <c r="T39" s="291">
        <v>3.1164230871260612</v>
      </c>
      <c r="U39" s="306">
        <v>755.66094335169862</v>
      </c>
      <c r="V39" s="136">
        <v>3.3702073178447676</v>
      </c>
      <c r="W39" s="306">
        <v>10.86855469589818</v>
      </c>
      <c r="X39" s="136">
        <v>30.333333333333332</v>
      </c>
      <c r="Y39" s="306">
        <v>0.24000955359044102</v>
      </c>
      <c r="Z39" s="306">
        <v>0</v>
      </c>
      <c r="AA39" s="306">
        <v>0</v>
      </c>
      <c r="AB39" s="312">
        <v>2.7756259684069442</v>
      </c>
      <c r="AC39" s="312">
        <v>66.114658695158809</v>
      </c>
      <c r="AD39" s="312">
        <v>40.045951698997612</v>
      </c>
      <c r="AE39" s="312">
        <v>4.7337221333735817</v>
      </c>
      <c r="AF39" s="312">
        <v>0.25560528007676836</v>
      </c>
      <c r="AG39" s="312">
        <v>0</v>
      </c>
      <c r="AH39" s="19">
        <v>23.012056563728311</v>
      </c>
      <c r="AI39" s="19">
        <v>104.81703131630006</v>
      </c>
      <c r="AJ39" s="19">
        <v>23.292430547896569</v>
      </c>
      <c r="AK39" s="19">
        <v>107.5388657610751</v>
      </c>
      <c r="AL39" s="19">
        <v>601.27243589700004</v>
      </c>
      <c r="AM39" s="19">
        <v>6.1761999999999997</v>
      </c>
      <c r="AN39" s="19" t="s">
        <v>11</v>
      </c>
      <c r="AO39" s="19" t="s">
        <v>12</v>
      </c>
      <c r="AP39" s="305">
        <v>4.9374313373663998</v>
      </c>
      <c r="AQ39">
        <v>9.2902909999999999</v>
      </c>
      <c r="AR39" s="351">
        <v>750.86689606784569</v>
      </c>
      <c r="AS39" s="346">
        <v>682.60626915258695</v>
      </c>
      <c r="AT39" s="249">
        <v>5.1544949474048298</v>
      </c>
      <c r="AU39" s="312">
        <v>1273.772935338</v>
      </c>
      <c r="AV39" s="312">
        <v>1237.5762219195667</v>
      </c>
      <c r="AW39" s="312">
        <v>825.95362221771427</v>
      </c>
      <c r="AX39" s="312">
        <v>737.77914751377261</v>
      </c>
      <c r="AY39" s="333">
        <v>704.94883569728586</v>
      </c>
      <c r="AZ39">
        <v>836.20231981945403</v>
      </c>
      <c r="BA39">
        <v>656.09532183754732</v>
      </c>
      <c r="BB39" s="48">
        <v>1010.8117001895801</v>
      </c>
      <c r="BC39" s="48">
        <v>738.19107665224328</v>
      </c>
      <c r="BD39" s="48">
        <v>34.588208367664571</v>
      </c>
      <c r="BE39" s="310">
        <v>1.6829451952368306</v>
      </c>
      <c r="BF39" s="310">
        <v>3.0846736821871623</v>
      </c>
      <c r="BG39" s="310">
        <v>5.3642768725757266</v>
      </c>
      <c r="BH39" s="310">
        <v>8.1735811960441378</v>
      </c>
      <c r="BI39" s="310">
        <v>26.861281649705507</v>
      </c>
      <c r="BJ39" s="305">
        <v>0.48344082522938775</v>
      </c>
      <c r="BK39" s="48">
        <v>0.223638</v>
      </c>
      <c r="BL39" s="48">
        <v>3755</v>
      </c>
      <c r="BM39" s="48">
        <v>1</v>
      </c>
      <c r="BN39" s="48">
        <v>0</v>
      </c>
      <c r="BO39" s="48">
        <v>1.374715061110702</v>
      </c>
      <c r="BP39" s="314">
        <v>56.252996849742885</v>
      </c>
      <c r="BQ39" s="314">
        <v>55.922584956089935</v>
      </c>
      <c r="BR39" s="316">
        <v>431.9922919006309</v>
      </c>
      <c r="BS39" s="318">
        <v>27156.814328359666</v>
      </c>
      <c r="BT39" s="188">
        <v>22489.814328359666</v>
      </c>
      <c r="BU39" s="188">
        <v>22489.814328359666</v>
      </c>
      <c r="BV39" s="48">
        <v>4667</v>
      </c>
      <c r="BW39" s="48">
        <v>50</v>
      </c>
      <c r="BX39" s="48">
        <v>51</v>
      </c>
      <c r="BY39" s="48">
        <v>43</v>
      </c>
      <c r="BZ39" s="48">
        <v>0</v>
      </c>
      <c r="CA39" s="71">
        <v>0</v>
      </c>
      <c r="CB39" s="321">
        <v>3.8358190269321829E-2</v>
      </c>
      <c r="CC39" s="321">
        <v>0</v>
      </c>
      <c r="CD39" s="321">
        <v>0</v>
      </c>
      <c r="CE39" s="321">
        <v>13.584467966666665</v>
      </c>
      <c r="CF39" s="321">
        <v>1.1829415000000001</v>
      </c>
      <c r="CG39" s="42">
        <v>0</v>
      </c>
      <c r="CH39" s="42">
        <v>0</v>
      </c>
      <c r="CI39" s="42">
        <v>0</v>
      </c>
      <c r="CJ39" s="42">
        <v>0</v>
      </c>
      <c r="CK39" s="42">
        <v>0</v>
      </c>
      <c r="CL39" s="151" t="str">
        <f t="shared" si="0"/>
        <v>OK</v>
      </c>
      <c r="CM39" s="152" t="str">
        <f t="shared" si="1"/>
        <v>OK</v>
      </c>
      <c r="CN39" s="153" t="str">
        <f t="shared" si="2"/>
        <v>OK</v>
      </c>
      <c r="CO39" s="327">
        <f t="shared" si="3"/>
        <v>3111.3333333333335</v>
      </c>
      <c r="CP39" s="328"/>
      <c r="CQ39" s="326"/>
      <c r="CR39" s="326" t="e">
        <v>#N/A</v>
      </c>
      <c r="CS39" s="328">
        <v>1310</v>
      </c>
      <c r="CT39" s="327">
        <v>3.4062150537634412</v>
      </c>
      <c r="CU39" s="327">
        <f>VLOOKUP(B39,Tabelle2!$AL$2:$AM$82,2,)</f>
        <v>3.4062150537634412</v>
      </c>
      <c r="CV39">
        <v>4</v>
      </c>
      <c r="CW39">
        <v>0.05</v>
      </c>
      <c r="CY39" s="147">
        <f>VLOOKUP($B39,Tabelle2!$J$3:$W$38,3,)</f>
        <v>4.8181818181818183</v>
      </c>
      <c r="CZ39" s="147">
        <f>VLOOKUP($B39,Tabelle2!$J$3:$W$38,4,)</f>
        <v>3.7999999999999954</v>
      </c>
      <c r="DA39" s="147">
        <f>VLOOKUP($B39,Tabelle2!$J$3:$W$38,5,)</f>
        <v>1.1895833333333312E-2</v>
      </c>
      <c r="DB39" s="147">
        <f>VLOOKUP($B39,Tabelle2!$J$3:$W$38,6,)</f>
        <v>0.02</v>
      </c>
      <c r="DC39" s="147">
        <f>VLOOKUP($B39,Tabelle2!$J$3:$W$38,7,)</f>
        <v>4.0156250000000027E-3</v>
      </c>
      <c r="DD39" s="147">
        <f>VLOOKUP($B39,Tabelle2!$J$3:$W$38,8,)</f>
        <v>7.0000000000000001E-3</v>
      </c>
      <c r="DE39" s="147">
        <f>VLOOKUP($B39,Tabelle2!$J$3:$W$38,9,)</f>
        <v>2.0572916666666682E-3</v>
      </c>
      <c r="DF39" s="147">
        <f>VLOOKUP($B39,Tabelle2!$J$3:$W$38,10,)</f>
        <v>4.0000000000000001E-3</v>
      </c>
      <c r="DG39" s="147">
        <f>VLOOKUP($B39,Tabelle2!$J$3:$W$38,11,)</f>
        <v>1.401041666666667</v>
      </c>
      <c r="DH39" s="147">
        <f>VLOOKUP($B39,Tabelle2!$J$3:$W$38,12,)</f>
        <v>1.6</v>
      </c>
      <c r="DI39" s="147">
        <f>VLOOKUP($B39,Tabelle2!$J$3:$W$38,13,)</f>
        <v>9.1666666666666719E-3</v>
      </c>
      <c r="DJ39" s="147">
        <f>VLOOKUP($B39,Tabelle2!$J$3:$W$38,14,)</f>
        <v>0.02</v>
      </c>
      <c r="DK39" s="147">
        <f t="shared" si="5"/>
        <v>1.4122656250000003</v>
      </c>
      <c r="DL39" s="147">
        <f t="shared" si="6"/>
        <v>1.6240000000000001</v>
      </c>
      <c r="DN39" s="31"/>
      <c r="DO39" s="146">
        <f t="shared" si="7"/>
        <v>2.2000000000000002</v>
      </c>
      <c r="DP39" s="136" t="e">
        <v>#N/A</v>
      </c>
      <c r="DQ39">
        <f t="shared" si="4"/>
        <v>1310</v>
      </c>
      <c r="DR39" s="147">
        <v>8.1</v>
      </c>
      <c r="DS39" s="147">
        <v>2.2000000000000002</v>
      </c>
      <c r="DT39" s="147">
        <v>5.0999999999999996</v>
      </c>
      <c r="DU39" s="147">
        <v>1.2</v>
      </c>
      <c r="DV39" s="147">
        <v>777.1</v>
      </c>
      <c r="DW39" s="147">
        <v>783.4</v>
      </c>
      <c r="DX39">
        <f>DW39/'Summed emissions'!E39*1000000/3600/24/365</f>
        <v>1.5548996606363215</v>
      </c>
      <c r="DY39" s="48"/>
      <c r="DZ39" s="48">
        <f t="shared" si="8"/>
        <v>783.4</v>
      </c>
      <c r="EA39" s="48">
        <f t="shared" si="9"/>
        <v>8.1</v>
      </c>
      <c r="EC39" s="61">
        <v>662.55221633592487</v>
      </c>
      <c r="ED39" s="27">
        <v>642.18477566522768</v>
      </c>
      <c r="EE39" s="27">
        <v>13.127890298591417</v>
      </c>
      <c r="EG39" s="39" t="s">
        <v>707</v>
      </c>
      <c r="EH39" s="63">
        <v>1310</v>
      </c>
      <c r="EI39" s="31">
        <v>1.6499940350877193E-2</v>
      </c>
      <c r="EJ39" s="31">
        <v>2.5642379053363477E-2</v>
      </c>
      <c r="EM39">
        <v>0</v>
      </c>
      <c r="EN39">
        <v>0</v>
      </c>
    </row>
    <row r="40" spans="1:144" ht="15">
      <c r="A40" s="279" t="s">
        <v>708</v>
      </c>
      <c r="B40" s="340">
        <v>1320</v>
      </c>
      <c r="C40" s="63">
        <v>1330</v>
      </c>
      <c r="D40" s="63" t="s">
        <v>435</v>
      </c>
      <c r="E40" s="94" t="s">
        <v>429</v>
      </c>
      <c r="F40" s="135" t="s">
        <v>427</v>
      </c>
      <c r="G40" s="61">
        <v>140.39721736000001</v>
      </c>
      <c r="H40" s="291">
        <v>0.49414914168480656</v>
      </c>
      <c r="I40" s="291">
        <v>2.6324900879172168</v>
      </c>
      <c r="J40" s="291">
        <v>7.7281513830458186</v>
      </c>
      <c r="K40" s="291">
        <v>17.034896983505238</v>
      </c>
      <c r="L40" s="291">
        <v>16.850741607735454</v>
      </c>
      <c r="M40" s="291">
        <v>30.303114008126339</v>
      </c>
      <c r="N40" s="291">
        <v>9.0911935969455602</v>
      </c>
      <c r="O40" s="300">
        <v>0.2513498934534823</v>
      </c>
      <c r="P40" s="292">
        <v>54.482006231107867</v>
      </c>
      <c r="Q40" s="291">
        <v>0.26739453120115203</v>
      </c>
      <c r="R40" s="291">
        <v>0</v>
      </c>
      <c r="S40" s="291">
        <v>1.6475458638556199E-2</v>
      </c>
      <c r="T40" s="291">
        <v>1.245254436638525</v>
      </c>
      <c r="U40" s="337">
        <v>323.41125703435091</v>
      </c>
      <c r="V40" s="136">
        <v>3.5474989640844203</v>
      </c>
      <c r="W40" s="306">
        <v>0</v>
      </c>
      <c r="X40" s="136">
        <v>0</v>
      </c>
      <c r="Y40" s="306">
        <v>9.7953337335925095E-2</v>
      </c>
      <c r="Z40" s="306">
        <v>0</v>
      </c>
      <c r="AA40" s="306">
        <v>0</v>
      </c>
      <c r="AB40" s="312">
        <v>4.1379349193639163E-2</v>
      </c>
      <c r="AC40" s="312">
        <v>60.414837881527525</v>
      </c>
      <c r="AD40" s="312">
        <v>10.361233368402265</v>
      </c>
      <c r="AE40" s="312">
        <v>4.226092612891458</v>
      </c>
      <c r="AF40" s="312">
        <v>0</v>
      </c>
      <c r="AG40" s="312">
        <v>0</v>
      </c>
      <c r="AH40" s="19">
        <v>63.775423522499999</v>
      </c>
      <c r="AI40" s="19">
        <v>0</v>
      </c>
      <c r="AJ40" s="19">
        <v>20.2954907023</v>
      </c>
      <c r="AK40" s="19">
        <v>56.3263031356</v>
      </c>
      <c r="AL40" s="19">
        <v>575.96666666700003</v>
      </c>
      <c r="AM40" s="19">
        <v>7.8475999999999999</v>
      </c>
      <c r="AN40" s="19" t="s">
        <v>11</v>
      </c>
      <c r="AO40" s="19" t="s">
        <v>12</v>
      </c>
      <c r="AP40" s="305">
        <v>2.7933615807068799</v>
      </c>
      <c r="AQ40">
        <v>10.052474999999999</v>
      </c>
      <c r="AR40" s="351">
        <v>259.07952390038508</v>
      </c>
      <c r="AS40" s="346">
        <v>235.52683990944101</v>
      </c>
      <c r="AT40" s="249">
        <v>7.1226771909697604</v>
      </c>
      <c r="AU40" s="312">
        <v>1256.1542633981428</v>
      </c>
      <c r="AV40" s="312">
        <v>1210.9659484006941</v>
      </c>
      <c r="AW40" s="312">
        <v>817.7074611055715</v>
      </c>
      <c r="AX40" s="312">
        <v>721.91223510552049</v>
      </c>
      <c r="AY40" s="333">
        <v>714.38373488728564</v>
      </c>
      <c r="AZ40">
        <v>923.98321672827774</v>
      </c>
      <c r="BA40">
        <v>660.61971226237029</v>
      </c>
      <c r="BB40" s="48">
        <v>1021.2841155050883</v>
      </c>
      <c r="BC40" s="48">
        <v>691.95429211531609</v>
      </c>
      <c r="BD40" s="48">
        <v>34.588208367664571</v>
      </c>
      <c r="BE40" s="310">
        <v>1.7521862723175756</v>
      </c>
      <c r="BF40" s="310">
        <v>2.9272951908846836</v>
      </c>
      <c r="BG40" s="310">
        <v>5.5472418562665782</v>
      </c>
      <c r="BH40" s="310">
        <v>11.647870705090204</v>
      </c>
      <c r="BI40" s="310">
        <v>32.908347635589855</v>
      </c>
      <c r="BJ40" s="305">
        <v>0.51432227078542614</v>
      </c>
      <c r="BK40" s="48">
        <v>0.16714599999999999</v>
      </c>
      <c r="BL40" s="48">
        <v>1613.3333333333298</v>
      </c>
      <c r="BM40" s="48">
        <v>1</v>
      </c>
      <c r="BN40" s="48">
        <v>0</v>
      </c>
      <c r="BO40" s="48">
        <v>3.1064197773214248</v>
      </c>
      <c r="BP40" s="314">
        <v>68.716121387947013</v>
      </c>
      <c r="BQ40" s="314">
        <v>72.846132173570766</v>
      </c>
      <c r="BR40" s="316">
        <v>543.94475484283748</v>
      </c>
      <c r="BS40" s="318">
        <v>17561.774137363838</v>
      </c>
      <c r="BT40" s="188">
        <v>14526.187470697172</v>
      </c>
      <c r="BU40" s="188">
        <v>14526.187470697172</v>
      </c>
      <c r="BV40" s="48">
        <v>3035.5866666666661</v>
      </c>
      <c r="BW40" s="48">
        <v>50</v>
      </c>
      <c r="BX40" s="48">
        <v>51</v>
      </c>
      <c r="BY40" s="48">
        <v>43</v>
      </c>
      <c r="BZ40" s="48">
        <v>0</v>
      </c>
      <c r="CA40" s="71">
        <v>0</v>
      </c>
      <c r="CB40" s="321">
        <v>8.2026879280821932E-2</v>
      </c>
      <c r="CC40" s="321">
        <v>27.541234166666669</v>
      </c>
      <c r="CD40" s="321">
        <v>2.024393166666667</v>
      </c>
      <c r="CE40" s="321">
        <v>0</v>
      </c>
      <c r="CF40" s="321">
        <v>0</v>
      </c>
      <c r="CG40" s="42">
        <v>0</v>
      </c>
      <c r="CH40" s="42">
        <v>0</v>
      </c>
      <c r="CI40" s="42">
        <v>0</v>
      </c>
      <c r="CJ40" s="42">
        <v>0</v>
      </c>
      <c r="CK40" s="42">
        <v>0</v>
      </c>
      <c r="CL40" s="151" t="str">
        <f t="shared" si="0"/>
        <v>OK</v>
      </c>
      <c r="CM40" s="152" t="str">
        <f t="shared" si="1"/>
        <v>OK</v>
      </c>
      <c r="CN40" s="153" t="str">
        <f t="shared" si="2"/>
        <v>OK</v>
      </c>
      <c r="CO40" s="327">
        <f t="shared" si="3"/>
        <v>2023.7244444444441</v>
      </c>
      <c r="CP40" s="328"/>
      <c r="CQ40" s="326">
        <v>4.2003593975230702</v>
      </c>
      <c r="CR40" s="326" t="e">
        <v>#N/A</v>
      </c>
      <c r="CS40" s="328">
        <v>1320</v>
      </c>
      <c r="CT40" s="327">
        <v>3.1662580645161289</v>
      </c>
      <c r="CU40" s="327">
        <f>VLOOKUP(B40,Tabelle2!$AL$2:$AM$82,2,)</f>
        <v>3.1662580645161289</v>
      </c>
      <c r="CV40">
        <v>4</v>
      </c>
      <c r="CW40">
        <v>0.05</v>
      </c>
      <c r="CY40" s="147">
        <f>VLOOKUP($B40,Tabelle2!$J$3:$W$38,3,)</f>
        <v>6.2272727272727275</v>
      </c>
      <c r="CZ40" s="147">
        <f>VLOOKUP($B40,Tabelle2!$J$3:$W$38,4,)</f>
        <v>19</v>
      </c>
      <c r="DA40" s="147">
        <f>VLOOKUP($B40,Tabelle2!$J$3:$W$38,5,)</f>
        <v>7.7297872340425539E-2</v>
      </c>
      <c r="DB40" s="147">
        <f>VLOOKUP($B40,Tabelle2!$J$3:$W$38,6,)</f>
        <v>0.12</v>
      </c>
      <c r="DC40" s="147">
        <f>VLOOKUP($B40,Tabelle2!$J$3:$W$38,7,)</f>
        <v>4.6946808510638281E-2</v>
      </c>
      <c r="DD40" s="147">
        <f>VLOOKUP($B40,Tabelle2!$J$3:$W$38,8,)</f>
        <v>8.5999999999999993E-2</v>
      </c>
      <c r="DE40" s="147">
        <f>VLOOKUP($B40,Tabelle2!$J$3:$W$38,9,)</f>
        <v>2.2170212765957441E-2</v>
      </c>
      <c r="DF40" s="147">
        <f>VLOOKUP($B40,Tabelle2!$J$3:$W$38,10,)</f>
        <v>3.4700000000000009E-2</v>
      </c>
      <c r="DG40" s="147">
        <f>VLOOKUP($B40,Tabelle2!$J$3:$W$38,11,)</f>
        <v>2.7904255319148943</v>
      </c>
      <c r="DH40" s="147">
        <f>VLOOKUP($B40,Tabelle2!$J$3:$W$38,12,)</f>
        <v>3.5</v>
      </c>
      <c r="DI40" s="147">
        <f>VLOOKUP($B40,Tabelle2!$J$3:$W$38,13,)</f>
        <v>0.14468085106382975</v>
      </c>
      <c r="DJ40" s="147">
        <f>VLOOKUP($B40,Tabelle2!$J$3:$W$38,14,)</f>
        <v>0.32</v>
      </c>
      <c r="DK40" s="147">
        <f t="shared" si="5"/>
        <v>2.9572765957446814</v>
      </c>
      <c r="DL40" s="147">
        <f t="shared" si="6"/>
        <v>3.8546999999999998</v>
      </c>
      <c r="DN40" s="31"/>
      <c r="DO40" s="146" t="e">
        <f t="shared" si="7"/>
        <v>#N/A</v>
      </c>
      <c r="DP40" s="136" t="e">
        <v>#N/A</v>
      </c>
      <c r="DQ40">
        <f t="shared" si="4"/>
        <v>1320</v>
      </c>
      <c r="DR40" s="147" t="e">
        <f>VLOOKUP(B40,Tabelle2!AC$2:AJ$73,3,)</f>
        <v>#N/A</v>
      </c>
      <c r="DS40" s="147" t="e">
        <f>VLOOKUP($B40,Tabelle2!$AC$2:$AJ$73,4,)</f>
        <v>#N/A</v>
      </c>
      <c r="DT40" s="147" t="e">
        <f>VLOOKUP($B40,Tabelle2!$AC$2:$AJ$73,5,)</f>
        <v>#N/A</v>
      </c>
      <c r="DU40" s="147" t="e">
        <f>VLOOKUP($B40,Tabelle2!$AC$2:$AJ$73,6,)</f>
        <v>#N/A</v>
      </c>
      <c r="DV40" s="147" t="e">
        <f>VLOOKUP($B40,Tabelle2!$AC$2:$AJ$73,7,)</f>
        <v>#N/A</v>
      </c>
      <c r="DW40" s="147" t="e">
        <f>VLOOKUP($B40,Tabelle2!$AC$2:$AJ$73,8,)</f>
        <v>#N/A</v>
      </c>
      <c r="DX40" t="e">
        <f>DW40/'Summed emissions'!E40*1000000/3600/24/365</f>
        <v>#N/A</v>
      </c>
      <c r="DY40" s="48"/>
      <c r="DZ40" s="48" t="e">
        <f t="shared" si="8"/>
        <v>#N/A</v>
      </c>
      <c r="EA40" s="48" t="e">
        <f t="shared" si="9"/>
        <v>#N/A</v>
      </c>
      <c r="EC40" s="61">
        <v>235.67763769048537</v>
      </c>
      <c r="ED40" s="27">
        <v>222.21733913462859</v>
      </c>
      <c r="EE40" s="27">
        <v>10.561021088353048</v>
      </c>
      <c r="EG40" s="39" t="s">
        <v>708</v>
      </c>
      <c r="EH40" s="63">
        <v>1320</v>
      </c>
      <c r="EI40" s="31">
        <v>1.8936953684210531E-2</v>
      </c>
      <c r="EJ40" s="31">
        <v>2.544799620746941E-2</v>
      </c>
      <c r="EM40">
        <v>1</v>
      </c>
      <c r="EN40">
        <v>0</v>
      </c>
    </row>
    <row r="41" spans="1:144" ht="15">
      <c r="A41" s="279" t="s">
        <v>708</v>
      </c>
      <c r="B41" s="340">
        <v>1330</v>
      </c>
      <c r="C41" s="63">
        <v>4020</v>
      </c>
      <c r="D41" s="63" t="s">
        <v>435</v>
      </c>
      <c r="E41" s="94" t="s">
        <v>429</v>
      </c>
      <c r="F41" s="135" t="s">
        <v>427</v>
      </c>
      <c r="G41" s="61">
        <v>239.82784833599999</v>
      </c>
      <c r="H41" s="291">
        <v>4.1077654019184875</v>
      </c>
      <c r="I41" s="291">
        <v>11.893514768436411</v>
      </c>
      <c r="J41" s="291">
        <v>35.522284071058237</v>
      </c>
      <c r="K41" s="291">
        <v>59.246245172210706</v>
      </c>
      <c r="L41" s="291">
        <v>39.654530263291598</v>
      </c>
      <c r="M41" s="291">
        <v>16.537768684635786</v>
      </c>
      <c r="N41" s="291">
        <v>14.732171957065553</v>
      </c>
      <c r="O41" s="300">
        <v>0</v>
      </c>
      <c r="P41" s="292">
        <v>55.696350227573355</v>
      </c>
      <c r="Q41" s="291">
        <v>0</v>
      </c>
      <c r="R41" s="291">
        <v>0</v>
      </c>
      <c r="S41" s="291">
        <v>1.12652760670116E-3</v>
      </c>
      <c r="T41" s="291">
        <v>2.4360912622031141</v>
      </c>
      <c r="U41" s="337">
        <v>447.35176947298055</v>
      </c>
      <c r="V41" s="136">
        <v>3.5254415960477239</v>
      </c>
      <c r="W41" s="306">
        <v>58.987782253076269</v>
      </c>
      <c r="X41" s="136">
        <v>7.5</v>
      </c>
      <c r="Y41" s="306">
        <v>0.41657035913944401</v>
      </c>
      <c r="Z41" s="306">
        <v>0</v>
      </c>
      <c r="AA41" s="306">
        <v>0</v>
      </c>
      <c r="AB41" s="312">
        <v>3.1141989036675755</v>
      </c>
      <c r="AC41" s="312">
        <v>74.989417809098498</v>
      </c>
      <c r="AD41" s="312">
        <v>75.392795570903957</v>
      </c>
      <c r="AE41" s="312">
        <v>13.023541503021951</v>
      </c>
      <c r="AF41" s="312">
        <v>0.44215457485925924</v>
      </c>
      <c r="AG41" s="312">
        <v>0</v>
      </c>
      <c r="AH41" s="19">
        <v>226.541714724</v>
      </c>
      <c r="AI41" s="19">
        <v>0</v>
      </c>
      <c r="AJ41" s="19">
        <v>0</v>
      </c>
      <c r="AK41" s="19">
        <v>13.286133612</v>
      </c>
      <c r="AL41" s="19">
        <v>382.55363321800002</v>
      </c>
      <c r="AM41" s="19">
        <v>1.8859999999999999</v>
      </c>
      <c r="AN41" s="19" t="s">
        <v>11</v>
      </c>
      <c r="AO41" s="19"/>
      <c r="AP41" s="305">
        <v>3.2627820068984299</v>
      </c>
      <c r="AQ41">
        <v>10.952475</v>
      </c>
      <c r="AR41" s="351">
        <v>861.01081258343697</v>
      </c>
      <c r="AS41" s="346">
        <v>782.73710234857901</v>
      </c>
      <c r="AT41" s="249">
        <v>18.367095526222901</v>
      </c>
      <c r="AU41" s="312">
        <v>977.23460460842841</v>
      </c>
      <c r="AV41" s="312">
        <v>955.27067872256055</v>
      </c>
      <c r="AW41" s="312">
        <v>644.53600296771424</v>
      </c>
      <c r="AX41" s="312">
        <v>580.92655967636438</v>
      </c>
      <c r="AY41" s="333">
        <v>735.49786559928566</v>
      </c>
      <c r="AZ41">
        <v>932.06854133795889</v>
      </c>
      <c r="BA41">
        <v>660.96821682205587</v>
      </c>
      <c r="BB41" s="48">
        <v>1023.52450157765</v>
      </c>
      <c r="BC41" s="48">
        <v>688.66165952542224</v>
      </c>
      <c r="BD41" s="48">
        <v>34.588208367664571</v>
      </c>
      <c r="BE41" s="310">
        <v>0.89855039370739453</v>
      </c>
      <c r="BF41" s="310">
        <v>2.134727919819646</v>
      </c>
      <c r="BG41" s="310">
        <v>4.6691222837133557</v>
      </c>
      <c r="BH41" s="310">
        <v>10.42480669663979</v>
      </c>
      <c r="BI41" s="310">
        <v>20.251662472852257</v>
      </c>
      <c r="BJ41" s="305">
        <v>0.34497719360618545</v>
      </c>
      <c r="BK41" s="48">
        <v>0.67744399999999994</v>
      </c>
      <c r="BL41" s="48">
        <v>2076.4285714285697</v>
      </c>
      <c r="BM41" s="48">
        <v>1</v>
      </c>
      <c r="BN41" s="48">
        <v>0</v>
      </c>
      <c r="BO41" s="48">
        <v>18.439992858990124</v>
      </c>
      <c r="BP41" s="314">
        <v>54.037466470537403</v>
      </c>
      <c r="BQ41" s="315">
        <v>73.420670457932317</v>
      </c>
      <c r="BR41" s="316">
        <v>652.09009220447206</v>
      </c>
      <c r="BS41" s="318">
        <v>47181.302555393224</v>
      </c>
      <c r="BT41" s="188">
        <v>39229.289222059895</v>
      </c>
      <c r="BU41" s="188">
        <v>39229.289222059895</v>
      </c>
      <c r="BV41" s="48">
        <v>7952.0133333333306</v>
      </c>
      <c r="BW41" s="48">
        <v>50</v>
      </c>
      <c r="BX41" s="48">
        <v>51</v>
      </c>
      <c r="BY41" s="48">
        <v>43</v>
      </c>
      <c r="BZ41" s="48">
        <v>0</v>
      </c>
      <c r="CA41" s="71">
        <v>0</v>
      </c>
      <c r="CB41" s="321">
        <v>0.11047462022239135</v>
      </c>
      <c r="CC41" s="321">
        <v>0</v>
      </c>
      <c r="CD41" s="321">
        <v>0</v>
      </c>
      <c r="CE41" s="321">
        <v>16.986740000000001</v>
      </c>
      <c r="CF41" s="321">
        <v>2.3649849999999999</v>
      </c>
      <c r="CG41" s="42">
        <v>0</v>
      </c>
      <c r="CH41" s="42">
        <v>0</v>
      </c>
      <c r="CI41" s="42">
        <v>0</v>
      </c>
      <c r="CJ41" s="42">
        <v>0</v>
      </c>
      <c r="CK41" s="42">
        <v>0</v>
      </c>
      <c r="CL41" s="151" t="str">
        <f t="shared" si="0"/>
        <v>OK</v>
      </c>
      <c r="CM41" s="152" t="str">
        <f t="shared" si="1"/>
        <v>OK</v>
      </c>
      <c r="CN41" s="153" t="str">
        <f t="shared" si="2"/>
        <v>OK</v>
      </c>
      <c r="CO41" s="327">
        <f t="shared" si="3"/>
        <v>5301.3422222222189</v>
      </c>
      <c r="CP41" s="328"/>
      <c r="CQ41" s="326">
        <v>9.7021990172771897</v>
      </c>
      <c r="CR41" s="326">
        <v>6027.2102458591435</v>
      </c>
      <c r="CS41" s="328">
        <v>1330</v>
      </c>
      <c r="CT41" s="327">
        <v>9.762542694497153</v>
      </c>
      <c r="CU41" s="327">
        <f>VLOOKUP(B41,Tabelle2!$AL$2:$AM$82,2,)</f>
        <v>9.762542694497153</v>
      </c>
      <c r="CV41">
        <v>4</v>
      </c>
      <c r="CW41">
        <v>0.05</v>
      </c>
      <c r="CY41" s="147">
        <f>VLOOKUP($B41,Tabelle2!$J$3:$W$38,3,)</f>
        <v>19.545454545454547</v>
      </c>
      <c r="CZ41" s="147">
        <f>VLOOKUP($B41,Tabelle2!$J$3:$W$38,4,)</f>
        <v>22</v>
      </c>
      <c r="DA41" s="147">
        <f>VLOOKUP($B41,Tabelle2!$J$3:$W$38,5,)</f>
        <v>9.1117021276595739E-2</v>
      </c>
      <c r="DB41" s="147">
        <f>VLOOKUP($B41,Tabelle2!$J$3:$W$38,6,)</f>
        <v>0.13</v>
      </c>
      <c r="DC41" s="147">
        <f>VLOOKUP($B41,Tabelle2!$J$3:$W$38,7,)</f>
        <v>4.490425531914892E-2</v>
      </c>
      <c r="DD41" s="147">
        <f>VLOOKUP($B41,Tabelle2!$J$3:$W$38,8,)</f>
        <v>7.0400000000000004E-2</v>
      </c>
      <c r="DE41" s="147">
        <f>VLOOKUP($B41,Tabelle2!$J$3:$W$38,9,)</f>
        <v>2.3638297872340411E-2</v>
      </c>
      <c r="DF41" s="147">
        <f>VLOOKUP($B41,Tabelle2!$J$3:$W$38,10,)</f>
        <v>3.8700000000000005E-2</v>
      </c>
      <c r="DG41" s="147">
        <f>VLOOKUP($B41,Tabelle2!$J$3:$W$38,11,)</f>
        <v>4.469148936170213</v>
      </c>
      <c r="DH41" s="147">
        <f>VLOOKUP($B41,Tabelle2!$J$3:$W$38,12,)</f>
        <v>5.0999999999999996</v>
      </c>
      <c r="DI41" s="147">
        <f>VLOOKUP($B41,Tabelle2!$J$3:$W$38,13,)</f>
        <v>6.1117021276595691E-2</v>
      </c>
      <c r="DJ41" s="147">
        <f>VLOOKUP($B41,Tabelle2!$J$3:$W$38,14,)</f>
        <v>0.13</v>
      </c>
      <c r="DK41" s="147">
        <f t="shared" si="5"/>
        <v>4.5539042553191491</v>
      </c>
      <c r="DL41" s="147">
        <f t="shared" si="6"/>
        <v>5.2686999999999999</v>
      </c>
      <c r="DN41" s="31"/>
      <c r="DO41" s="146" t="e">
        <f t="shared" si="7"/>
        <v>#N/A</v>
      </c>
      <c r="DP41" s="136">
        <v>6027.2102458591435</v>
      </c>
      <c r="DQ41">
        <f t="shared" si="4"/>
        <v>1330</v>
      </c>
      <c r="DR41" s="147" t="e">
        <f>VLOOKUP(B41,Tabelle2!AC$2:AJ$73,3,)</f>
        <v>#N/A</v>
      </c>
      <c r="DS41" s="147" t="e">
        <f>VLOOKUP($B41,Tabelle2!$AC$2:$AJ$73,4,)</f>
        <v>#N/A</v>
      </c>
      <c r="DT41" s="147" t="e">
        <f>VLOOKUP($B41,Tabelle2!$AC$2:$AJ$73,5,)</f>
        <v>#N/A</v>
      </c>
      <c r="DU41" s="147" t="e">
        <f>VLOOKUP($B41,Tabelle2!$AC$2:$AJ$73,6,)</f>
        <v>#N/A</v>
      </c>
      <c r="DV41" s="147" t="e">
        <f>VLOOKUP($B41,Tabelle2!$AC$2:$AJ$73,7,)</f>
        <v>#N/A</v>
      </c>
      <c r="DW41" s="147" t="e">
        <f>VLOOKUP($B41,Tabelle2!$AC$2:$AJ$73,8,)</f>
        <v>#N/A</v>
      </c>
      <c r="DX41" t="e">
        <f>DW41/'Summed emissions'!E41*1000000/3600/24/365</f>
        <v>#N/A</v>
      </c>
      <c r="DY41" s="48"/>
      <c r="DZ41" s="48" t="e">
        <f t="shared" si="8"/>
        <v>#N/A</v>
      </c>
      <c r="EA41" s="48" t="e">
        <f t="shared" si="9"/>
        <v>#N/A</v>
      </c>
      <c r="EC41" s="61">
        <v>654.11730076417928</v>
      </c>
      <c r="ED41" s="27">
        <v>608.7009765081134</v>
      </c>
      <c r="EE41" s="27">
        <v>29.963911271420521</v>
      </c>
      <c r="EG41" s="39" t="s">
        <v>708</v>
      </c>
      <c r="EH41" s="63">
        <v>1330</v>
      </c>
      <c r="EI41" s="31">
        <v>2.8192954798761615E-2</v>
      </c>
      <c r="EJ41" s="31">
        <v>2.823280054439636E-2</v>
      </c>
      <c r="EM41">
        <v>1</v>
      </c>
      <c r="EN41">
        <v>1</v>
      </c>
    </row>
    <row r="42" spans="1:144" ht="15">
      <c r="A42" s="279" t="s">
        <v>709</v>
      </c>
      <c r="B42" s="280">
        <v>1340</v>
      </c>
      <c r="C42" s="63">
        <v>5010</v>
      </c>
      <c r="D42" s="63" t="s">
        <v>435</v>
      </c>
      <c r="E42" s="94" t="s">
        <v>429</v>
      </c>
      <c r="F42" s="135" t="s">
        <v>427</v>
      </c>
      <c r="G42" s="61">
        <v>129.80039827499999</v>
      </c>
      <c r="H42" s="291">
        <v>3.9278951417704131</v>
      </c>
      <c r="I42" s="291">
        <v>9.1342276730882741</v>
      </c>
      <c r="J42" s="291">
        <v>20.908922647819953</v>
      </c>
      <c r="K42" s="291">
        <v>25.609563704811894</v>
      </c>
      <c r="L42" s="291">
        <v>22.152638096776737</v>
      </c>
      <c r="M42" s="291">
        <v>3.5298202884604661</v>
      </c>
      <c r="N42" s="291">
        <v>9.5784216995410763</v>
      </c>
      <c r="O42" s="300">
        <v>1.1745830762496392</v>
      </c>
      <c r="P42" s="292">
        <v>31.521918358178734</v>
      </c>
      <c r="Q42" s="291">
        <v>0</v>
      </c>
      <c r="R42" s="291">
        <v>0</v>
      </c>
      <c r="S42" s="291">
        <v>3.00606598763421E-2</v>
      </c>
      <c r="T42" s="291">
        <v>2.2323469284264501</v>
      </c>
      <c r="U42" s="355">
        <v>80.081999999999994</v>
      </c>
      <c r="V42" s="136">
        <v>3.1</v>
      </c>
      <c r="W42" s="306">
        <v>0</v>
      </c>
      <c r="X42" s="136">
        <v>0</v>
      </c>
      <c r="Y42" s="355">
        <v>0.1</v>
      </c>
      <c r="Z42" s="306">
        <v>0</v>
      </c>
      <c r="AA42" s="306">
        <v>0</v>
      </c>
      <c r="AB42" s="312">
        <v>1.9779343971515106</v>
      </c>
      <c r="AC42" s="312">
        <v>11.9777571949492</v>
      </c>
      <c r="AD42" s="312">
        <v>46.986723256509485</v>
      </c>
      <c r="AE42" s="312">
        <v>24.073779938293256</v>
      </c>
      <c r="AF42" s="312">
        <v>0.24687276582430207</v>
      </c>
      <c r="AG42" s="312">
        <v>0</v>
      </c>
      <c r="AH42" s="19">
        <v>129.80039827471001</v>
      </c>
      <c r="AI42" s="19">
        <v>0</v>
      </c>
      <c r="AJ42" s="19">
        <v>0</v>
      </c>
      <c r="AK42" s="19">
        <v>0</v>
      </c>
      <c r="AL42" s="19">
        <v>324.64596273299998</v>
      </c>
      <c r="AM42" s="19">
        <v>1.1217999999999999</v>
      </c>
      <c r="AN42" s="19"/>
      <c r="AO42" s="19"/>
      <c r="AP42" s="305">
        <v>1.36522646128897</v>
      </c>
      <c r="AQ42">
        <v>9.9287130000000001</v>
      </c>
      <c r="AR42" s="351">
        <v>303.79268092948502</v>
      </c>
      <c r="AS42" s="346">
        <v>276.17516448135001</v>
      </c>
      <c r="AT42" s="330">
        <v>3.7533943749310898</v>
      </c>
      <c r="AU42" s="312">
        <v>883.68304088499997</v>
      </c>
      <c r="AV42" s="312">
        <v>873.448092683298</v>
      </c>
      <c r="AW42" s="312">
        <v>581.40049184342854</v>
      </c>
      <c r="AX42" s="312">
        <v>523.58076900104516</v>
      </c>
      <c r="AY42" s="333">
        <v>748.44867512928579</v>
      </c>
      <c r="AZ42">
        <v>930.15889439522334</v>
      </c>
      <c r="BA42">
        <v>660.25932187673345</v>
      </c>
      <c r="BB42" s="48">
        <v>1021.2892562248544</v>
      </c>
      <c r="BC42" s="48">
        <v>687.93526911861863</v>
      </c>
      <c r="BD42" s="48">
        <v>34.778750100538893</v>
      </c>
      <c r="BE42" s="310">
        <v>0.67567631331785805</v>
      </c>
      <c r="BF42" s="310">
        <v>1.7779023710526465</v>
      </c>
      <c r="BG42" s="310">
        <v>4.4466907225693175</v>
      </c>
      <c r="BH42" s="310">
        <v>8.0729964032014987</v>
      </c>
      <c r="BI42" s="310">
        <v>15.929135803094496</v>
      </c>
      <c r="BJ42" s="305">
        <v>0.29587427509467279</v>
      </c>
      <c r="BK42" s="48">
        <v>0.37286399999999997</v>
      </c>
      <c r="BL42" s="48">
        <v>1534.375</v>
      </c>
      <c r="BM42" s="48">
        <v>1</v>
      </c>
      <c r="BN42" s="48">
        <v>0</v>
      </c>
      <c r="BO42" s="48">
        <v>6.3877121671900152</v>
      </c>
      <c r="BP42" s="314">
        <v>39.32030003996033</v>
      </c>
      <c r="BQ42" s="315">
        <v>58.979929698924472</v>
      </c>
      <c r="BR42" s="316">
        <v>696.11596856278732</v>
      </c>
      <c r="BS42" s="318">
        <v>57731.211974412246</v>
      </c>
      <c r="BT42" s="188">
        <v>49954.911974412251</v>
      </c>
      <c r="BU42" s="188">
        <v>49954.911974412251</v>
      </c>
      <c r="BV42" s="48">
        <v>7776.2999999999975</v>
      </c>
      <c r="BW42" s="48">
        <v>50</v>
      </c>
      <c r="BX42" s="48">
        <v>20</v>
      </c>
      <c r="BY42" s="48">
        <v>43</v>
      </c>
      <c r="BZ42" s="48">
        <v>0</v>
      </c>
      <c r="CA42" s="71">
        <v>0</v>
      </c>
      <c r="CB42" s="321">
        <v>0</v>
      </c>
      <c r="CC42" s="321">
        <v>0</v>
      </c>
      <c r="CD42" s="321">
        <v>0</v>
      </c>
      <c r="CE42" s="321">
        <v>0</v>
      </c>
      <c r="CF42" s="321">
        <v>0</v>
      </c>
      <c r="CG42" s="42">
        <v>0</v>
      </c>
      <c r="CH42" s="42">
        <v>0</v>
      </c>
      <c r="CI42" s="42">
        <v>0</v>
      </c>
      <c r="CJ42" s="42">
        <v>0</v>
      </c>
      <c r="CK42" s="42">
        <v>0</v>
      </c>
      <c r="CL42" s="151" t="str">
        <f t="shared" si="0"/>
        <v>OK</v>
      </c>
      <c r="CM42" s="152" t="str">
        <f t="shared" si="1"/>
        <v>OK</v>
      </c>
      <c r="CN42" s="153" t="str">
        <f t="shared" si="2"/>
        <v>OK</v>
      </c>
      <c r="CO42" s="327">
        <f t="shared" si="3"/>
        <v>5184.1999999999971</v>
      </c>
      <c r="CP42" s="328"/>
      <c r="CQ42" s="326">
        <v>1.70846241824733</v>
      </c>
      <c r="CR42" s="326" t="s">
        <v>580</v>
      </c>
      <c r="CS42" s="328">
        <v>1340</v>
      </c>
      <c r="CT42" s="327">
        <v>8.9607526881720414</v>
      </c>
      <c r="CU42" s="327">
        <f>VLOOKUP(B42,Tabelle2!$AL$2:$AM$82,2,)</f>
        <v>8.9607526881720414</v>
      </c>
      <c r="CV42">
        <v>4</v>
      </c>
      <c r="CW42">
        <v>0.05</v>
      </c>
      <c r="CY42" s="147">
        <f>VLOOKUP($B42,Tabelle2!$J$3:$W$38,3,)</f>
        <v>8.7272727272727266</v>
      </c>
      <c r="CZ42" s="147">
        <f>VLOOKUP($B42,Tabelle2!$J$3:$W$38,4,)</f>
        <v>11</v>
      </c>
      <c r="DA42" s="147">
        <f>VLOOKUP($B42,Tabelle2!$J$3:$W$38,5,)</f>
        <v>6.6505376344086042E-2</v>
      </c>
      <c r="DB42" s="147">
        <f>VLOOKUP($B42,Tabelle2!$J$3:$W$38,6,)</f>
        <v>8.9599999999999985E-2</v>
      </c>
      <c r="DC42" s="147">
        <f>VLOOKUP($B42,Tabelle2!$J$3:$W$38,7,)</f>
        <v>3.4268817204301055E-2</v>
      </c>
      <c r="DD42" s="147">
        <f>VLOOKUP($B42,Tabelle2!$J$3:$W$38,8,)</f>
        <v>5.3799999999999994E-2</v>
      </c>
      <c r="DE42" s="147">
        <f>VLOOKUP($B42,Tabelle2!$J$3:$W$38,9,)</f>
        <v>2.7376344086021503E-2</v>
      </c>
      <c r="DF42" s="147">
        <f>VLOOKUP($B42,Tabelle2!$J$3:$W$38,10,)</f>
        <v>4.2999999999999997E-2</v>
      </c>
      <c r="DG42" s="147">
        <f>VLOOKUP($B42,Tabelle2!$J$3:$W$38,11,)</f>
        <v>7.2182795698924735</v>
      </c>
      <c r="DH42" s="147">
        <f>VLOOKUP($B42,Tabelle2!$J$3:$W$38,12,)</f>
        <v>8.2799999999999994</v>
      </c>
      <c r="DI42" s="147">
        <f>VLOOKUP($B42,Tabelle2!$J$3:$W$38,13,)</f>
        <v>4.4462365591397837E-2</v>
      </c>
      <c r="DJ42" s="147">
        <f>VLOOKUP($B42,Tabelle2!$J$3:$W$38,14,)</f>
        <v>0.08</v>
      </c>
      <c r="DK42" s="147">
        <f t="shared" si="5"/>
        <v>7.2901182795698931</v>
      </c>
      <c r="DL42" s="147">
        <f t="shared" si="6"/>
        <v>8.4029999999999987</v>
      </c>
      <c r="DN42" s="31"/>
      <c r="DO42" s="136">
        <v>1.2107984588631628</v>
      </c>
      <c r="DP42" s="136" t="s">
        <v>580</v>
      </c>
      <c r="DQ42">
        <f t="shared" si="4"/>
        <v>1340</v>
      </c>
      <c r="DR42" s="271">
        <v>3.3</v>
      </c>
      <c r="DS42" s="271">
        <v>1.6</v>
      </c>
      <c r="DT42" s="271">
        <v>2.2999999999999998</v>
      </c>
      <c r="DU42" s="271">
        <v>1.1000000000000001</v>
      </c>
      <c r="DV42" s="271">
        <v>303.5</v>
      </c>
      <c r="DW42" s="271">
        <v>306.89999999999998</v>
      </c>
      <c r="DY42" s="48"/>
      <c r="DZ42" s="48">
        <f t="shared" si="8"/>
        <v>306.89999999999998</v>
      </c>
      <c r="EA42" s="48">
        <f t="shared" si="9"/>
        <v>3.3</v>
      </c>
      <c r="EC42" s="61">
        <v>129.60479594553073</v>
      </c>
      <c r="ED42" s="27">
        <v>121.14689538653454</v>
      </c>
      <c r="EE42" s="27">
        <v>6.1079981938684647</v>
      </c>
      <c r="EG42" s="39" t="s">
        <v>709</v>
      </c>
      <c r="EH42" s="63">
        <v>1340</v>
      </c>
      <c r="EI42" s="31">
        <v>3.3872144561403507E-2</v>
      </c>
      <c r="EJ42" s="31">
        <v>2.8071726507591061E-2</v>
      </c>
      <c r="EM42">
        <v>1</v>
      </c>
      <c r="EN42">
        <v>1</v>
      </c>
    </row>
    <row r="43" spans="1:144" ht="15">
      <c r="A43" s="279" t="s">
        <v>710</v>
      </c>
      <c r="B43" s="280">
        <v>1350</v>
      </c>
      <c r="C43" s="63">
        <v>5010</v>
      </c>
      <c r="D43" s="63" t="s">
        <v>435</v>
      </c>
      <c r="E43" s="94" t="s">
        <v>429</v>
      </c>
      <c r="F43" s="135" t="s">
        <v>427</v>
      </c>
      <c r="G43" s="61">
        <v>135.30305997900001</v>
      </c>
      <c r="H43" s="291">
        <v>4.5246755962041796</v>
      </c>
      <c r="I43" s="291">
        <v>10.102819846010634</v>
      </c>
      <c r="J43" s="291">
        <v>24.118091766375741</v>
      </c>
      <c r="K43" s="291">
        <v>36.195687365207078</v>
      </c>
      <c r="L43" s="291">
        <v>15.53599753767884</v>
      </c>
      <c r="M43" s="291">
        <v>3.9800447461576418</v>
      </c>
      <c r="N43" s="291">
        <v>9.2591001512579005</v>
      </c>
      <c r="O43" s="300">
        <v>1.2706256025579146</v>
      </c>
      <c r="P43" s="292">
        <v>29.34912838705975</v>
      </c>
      <c r="Q43" s="291">
        <v>0</v>
      </c>
      <c r="R43" s="291">
        <v>0</v>
      </c>
      <c r="S43" s="291">
        <v>8.1071673954420508E-3</v>
      </c>
      <c r="T43" s="291">
        <v>0.95878181309487343</v>
      </c>
      <c r="U43" s="306">
        <v>310.52241690227856</v>
      </c>
      <c r="V43" s="136">
        <v>2.8467868063572079</v>
      </c>
      <c r="W43" s="306">
        <v>0</v>
      </c>
      <c r="X43" s="136">
        <v>0</v>
      </c>
      <c r="Y43" s="306">
        <v>7.479069357931431E-2</v>
      </c>
      <c r="Z43" s="306">
        <v>0</v>
      </c>
      <c r="AA43" s="306">
        <v>0</v>
      </c>
      <c r="AB43" s="312">
        <v>0.26777699987851411</v>
      </c>
      <c r="AC43" s="312">
        <v>13.352582488825005</v>
      </c>
      <c r="AD43" s="312">
        <v>53.243445942959248</v>
      </c>
      <c r="AE43" s="312">
        <v>26.89986753308273</v>
      </c>
      <c r="AF43" s="312">
        <v>0.69364389288861805</v>
      </c>
      <c r="AG43" s="312">
        <v>0</v>
      </c>
      <c r="AH43" s="19">
        <v>115.0488444657</v>
      </c>
      <c r="AI43" s="19">
        <v>20.220624581900001</v>
      </c>
      <c r="AJ43" s="19">
        <v>0</v>
      </c>
      <c r="AK43" s="19">
        <v>3.3590931342000002E-2</v>
      </c>
      <c r="AL43" s="19">
        <v>320.16374268999999</v>
      </c>
      <c r="AM43" s="19">
        <v>1.3291999999999999</v>
      </c>
      <c r="AN43" s="19"/>
      <c r="AO43" s="19"/>
      <c r="AP43" s="305">
        <v>1.47764242724656</v>
      </c>
      <c r="AQ43" s="341">
        <v>10.57250877193</v>
      </c>
      <c r="AR43" s="351"/>
      <c r="AS43" s="346"/>
      <c r="AT43" s="249"/>
      <c r="AU43" s="312">
        <v>887.85584421328588</v>
      </c>
      <c r="AV43" s="312">
        <v>880.12781651057412</v>
      </c>
      <c r="AW43" s="312">
        <v>579.53604518028567</v>
      </c>
      <c r="AX43" s="312">
        <v>525.68010809143743</v>
      </c>
      <c r="AY43" s="333">
        <v>746.67790424457144</v>
      </c>
      <c r="AZ43">
        <v>924.94475251103086</v>
      </c>
      <c r="BA43">
        <v>658.33541123515374</v>
      </c>
      <c r="BB43" s="48">
        <v>1016.1758017022303</v>
      </c>
      <c r="BC43" s="48">
        <v>686.28016973311219</v>
      </c>
      <c r="BD43" s="48">
        <v>34.767886814181132</v>
      </c>
      <c r="BE43" s="310">
        <v>0.70051360388704309</v>
      </c>
      <c r="BF43" s="310">
        <v>1.7018396907876792</v>
      </c>
      <c r="BG43" s="310">
        <v>3.8869049369816153</v>
      </c>
      <c r="BH43" s="310">
        <v>6.7012883337626787</v>
      </c>
      <c r="BI43" s="310">
        <v>14.671179804291645</v>
      </c>
      <c r="BJ43" s="305">
        <v>0.26020166988771171</v>
      </c>
      <c r="BK43" s="48">
        <v>0.56507600000000002</v>
      </c>
      <c r="BL43" s="48">
        <v>2333.125</v>
      </c>
      <c r="BM43" s="48">
        <v>1</v>
      </c>
      <c r="BN43" s="48">
        <v>0</v>
      </c>
      <c r="BO43" s="48">
        <v>5.8961321603085786</v>
      </c>
      <c r="BP43" s="314">
        <v>36.572972355852677</v>
      </c>
      <c r="BQ43" s="315">
        <v>54.983628473869871</v>
      </c>
      <c r="BR43" s="316">
        <v>657.82033209259919</v>
      </c>
      <c r="BS43" s="318">
        <v>22993.248109822223</v>
      </c>
      <c r="BT43" s="188">
        <v>20623.008109822222</v>
      </c>
      <c r="BU43" s="188">
        <v>20623.008109822222</v>
      </c>
      <c r="BV43" s="48">
        <v>2370.2400000000002</v>
      </c>
      <c r="BW43" s="48">
        <v>50</v>
      </c>
      <c r="BX43" s="48">
        <v>34</v>
      </c>
      <c r="BY43" s="48">
        <v>43</v>
      </c>
      <c r="BZ43" s="48">
        <v>0</v>
      </c>
      <c r="CA43" s="71">
        <v>0</v>
      </c>
      <c r="CB43" s="321">
        <v>0</v>
      </c>
      <c r="CC43" s="321">
        <v>0</v>
      </c>
      <c r="CD43" s="321">
        <v>0.61204100000000006</v>
      </c>
      <c r="CE43" s="321">
        <v>0</v>
      </c>
      <c r="CF43" s="321">
        <v>0</v>
      </c>
      <c r="CG43" s="42">
        <v>0</v>
      </c>
      <c r="CH43" s="42">
        <v>0</v>
      </c>
      <c r="CI43" s="42">
        <v>0</v>
      </c>
      <c r="CJ43" s="42">
        <v>0</v>
      </c>
      <c r="CK43" s="42">
        <v>0</v>
      </c>
      <c r="CL43" s="151" t="str">
        <f t="shared" si="0"/>
        <v>OK</v>
      </c>
      <c r="CM43" s="152" t="str">
        <f t="shared" si="1"/>
        <v>OK</v>
      </c>
      <c r="CN43" s="153" t="str">
        <f t="shared" si="2"/>
        <v>OK</v>
      </c>
      <c r="CO43" s="327">
        <f t="shared" si="3"/>
        <v>1580.160000000001</v>
      </c>
      <c r="CP43" s="328"/>
      <c r="CQ43" s="326"/>
      <c r="CR43" s="326" t="e">
        <v>#N/A</v>
      </c>
      <c r="CS43" s="328">
        <v>1350</v>
      </c>
      <c r="CT43" s="327">
        <v>7.9209337860780984</v>
      </c>
      <c r="CU43" s="327">
        <f>VLOOKUP(B43,Tabelle2!$AL$2:$AM$82,2,)</f>
        <v>7.9209337860780984</v>
      </c>
      <c r="CV43">
        <v>4</v>
      </c>
      <c r="CW43">
        <v>0.05</v>
      </c>
      <c r="CY43" s="147"/>
      <c r="CZ43" s="147"/>
      <c r="DA43" s="268">
        <v>0.08</v>
      </c>
      <c r="DB43" s="268">
        <v>0.15</v>
      </c>
      <c r="DC43" s="268">
        <v>0.05</v>
      </c>
      <c r="DD43" s="268">
        <v>0.08</v>
      </c>
      <c r="DE43" s="268"/>
      <c r="DF43" s="268"/>
      <c r="DG43" s="268"/>
      <c r="DH43" s="268"/>
      <c r="DI43" s="268"/>
      <c r="DJ43" s="268"/>
      <c r="DK43" s="268">
        <v>5.9</v>
      </c>
      <c r="DL43" s="268">
        <v>7</v>
      </c>
      <c r="DN43" s="31"/>
      <c r="DO43" s="136" t="e">
        <v>#N/A</v>
      </c>
      <c r="DP43" s="136" t="e">
        <v>#N/A</v>
      </c>
      <c r="DQ43">
        <f t="shared" si="4"/>
        <v>1350</v>
      </c>
      <c r="DR43" s="147"/>
      <c r="DS43" s="147"/>
      <c r="DT43" s="147"/>
      <c r="DU43" s="147"/>
      <c r="DV43" s="147"/>
      <c r="DW43" s="147"/>
      <c r="DY43" s="48"/>
      <c r="DZ43" s="48"/>
      <c r="EA43" s="48"/>
      <c r="EC43" s="61">
        <v>198.23685425857732</v>
      </c>
      <c r="ED43" s="27">
        <v>189.52755507394784</v>
      </c>
      <c r="EE43" s="27">
        <v>7.1529727983523257</v>
      </c>
      <c r="EG43" s="39" t="s">
        <v>710</v>
      </c>
      <c r="EH43" s="63">
        <v>1350</v>
      </c>
      <c r="EI43" s="31">
        <v>4.0478322991689748E-2</v>
      </c>
      <c r="EJ43" s="31">
        <v>2.7871825333868675E-2</v>
      </c>
      <c r="EM43">
        <v>1</v>
      </c>
      <c r="EN43">
        <v>1</v>
      </c>
    </row>
    <row r="44" spans="1:144" ht="15">
      <c r="A44" s="277" t="s">
        <v>711</v>
      </c>
      <c r="B44" s="278">
        <v>1360</v>
      </c>
      <c r="C44" s="63">
        <v>1370</v>
      </c>
      <c r="D44" s="63" t="s">
        <v>435</v>
      </c>
      <c r="E44" s="94" t="s">
        <v>429</v>
      </c>
      <c r="F44" s="135" t="s">
        <v>427</v>
      </c>
      <c r="G44" s="61">
        <v>112.128344822</v>
      </c>
      <c r="H44" s="291">
        <v>6.5596824513232945E-3</v>
      </c>
      <c r="I44" s="291">
        <v>0.20931223619619607</v>
      </c>
      <c r="J44" s="291">
        <v>1.1589071413639431</v>
      </c>
      <c r="K44" s="291">
        <v>7.9311241557174244</v>
      </c>
      <c r="L44" s="291">
        <v>21.902943367263557</v>
      </c>
      <c r="M44" s="291">
        <v>29.555328331433415</v>
      </c>
      <c r="N44" s="291">
        <v>5.2542230747448944</v>
      </c>
      <c r="O44" s="300">
        <v>0</v>
      </c>
      <c r="P44" s="292">
        <v>45.793922007058235</v>
      </c>
      <c r="Q44" s="291">
        <v>0</v>
      </c>
      <c r="R44" s="291">
        <v>0</v>
      </c>
      <c r="S44" s="291">
        <v>5.8959208863209993E-4</v>
      </c>
      <c r="T44" s="291">
        <v>0.31543523368238557</v>
      </c>
      <c r="U44" s="306">
        <v>101.0373494825416</v>
      </c>
      <c r="V44" s="136">
        <v>2.5</v>
      </c>
      <c r="W44" s="306">
        <v>0</v>
      </c>
      <c r="X44" s="136">
        <v>0</v>
      </c>
      <c r="Y44" s="306">
        <v>6.2841859976031603E-2</v>
      </c>
      <c r="Z44" s="306">
        <v>0</v>
      </c>
      <c r="AA44" s="306">
        <v>0</v>
      </c>
      <c r="AB44" s="312">
        <v>47.055122568627169</v>
      </c>
      <c r="AC44" s="312">
        <v>12.516245642971159</v>
      </c>
      <c r="AD44" s="312">
        <v>1.0584620883518978</v>
      </c>
      <c r="AE44" s="312">
        <v>5.2959832644722343E-2</v>
      </c>
      <c r="AF44" s="312">
        <v>0</v>
      </c>
      <c r="AG44" s="312">
        <v>8.1384781830904182E-2</v>
      </c>
      <c r="AH44" s="19">
        <v>0</v>
      </c>
      <c r="AI44" s="19">
        <v>16.390025255892056</v>
      </c>
      <c r="AJ44" s="19">
        <v>0</v>
      </c>
      <c r="AK44" s="19">
        <v>95.738319566107947</v>
      </c>
      <c r="AL44" s="19">
        <v>547.41176470599999</v>
      </c>
      <c r="AM44" s="19">
        <v>4.0894000000000004</v>
      </c>
      <c r="AN44" s="19"/>
      <c r="AO44" s="19"/>
      <c r="AP44" s="305">
        <v>0.93456274867830103</v>
      </c>
      <c r="AQ44">
        <v>9.3376239999999999</v>
      </c>
      <c r="AR44" s="351">
        <v>145.59089000369539</v>
      </c>
      <c r="AS44" s="346">
        <v>132.35535454881401</v>
      </c>
      <c r="AT44" s="330">
        <v>5.0154429547396804</v>
      </c>
      <c r="AU44" s="312">
        <v>815.58459465042847</v>
      </c>
      <c r="AV44" s="312">
        <v>795.70181218241441</v>
      </c>
      <c r="AW44" s="312">
        <v>534.16100228814287</v>
      </c>
      <c r="AX44" s="312">
        <v>480.48929568009618</v>
      </c>
      <c r="AY44" s="333">
        <v>689.88991197114285</v>
      </c>
      <c r="AZ44">
        <v>773.40081526514336</v>
      </c>
      <c r="BA44">
        <v>592.55743535958914</v>
      </c>
      <c r="BB44" s="48">
        <v>1015.968971981819</v>
      </c>
      <c r="BC44" s="48">
        <v>709.20875959699094</v>
      </c>
      <c r="BD44" s="48">
        <v>34.825315844532071</v>
      </c>
      <c r="BE44" s="310">
        <v>0.69620767952855955</v>
      </c>
      <c r="BF44" s="310">
        <v>1.1766043972585338</v>
      </c>
      <c r="BG44" s="310">
        <v>1.8134995560803731</v>
      </c>
      <c r="BH44" s="310">
        <v>2.842287184834309</v>
      </c>
      <c r="BI44" s="310">
        <v>3.6240161216484594</v>
      </c>
      <c r="BJ44" s="305">
        <v>0.10127188542096033</v>
      </c>
      <c r="BK44" s="48">
        <v>0.109348</v>
      </c>
      <c r="BL44" s="48">
        <v>2003.3333333333301</v>
      </c>
      <c r="BM44" s="48">
        <v>1</v>
      </c>
      <c r="BN44" s="48">
        <v>0</v>
      </c>
      <c r="BO44" s="48">
        <v>7.2847761091531424</v>
      </c>
      <c r="BP44" s="314">
        <v>56.417498791950074</v>
      </c>
      <c r="BQ44" s="315">
        <v>61.764136644129266</v>
      </c>
      <c r="BR44" s="316">
        <v>425.75644419702769</v>
      </c>
      <c r="BS44" s="318">
        <v>12448.720607778589</v>
      </c>
      <c r="BT44" s="188">
        <v>11151.867274445254</v>
      </c>
      <c r="BU44" s="188">
        <v>11151.867274445254</v>
      </c>
      <c r="BV44" s="48">
        <v>1296.8533333333337</v>
      </c>
      <c r="BW44" s="48">
        <v>50</v>
      </c>
      <c r="BX44" s="48">
        <v>54</v>
      </c>
      <c r="BY44" s="48">
        <v>43</v>
      </c>
      <c r="BZ44" s="48">
        <v>0</v>
      </c>
      <c r="CA44" s="71">
        <v>0</v>
      </c>
      <c r="CB44" s="321">
        <v>1.4939339220784711E-2</v>
      </c>
      <c r="CC44" s="321">
        <v>1.5047051833333334</v>
      </c>
      <c r="CD44" s="321">
        <v>0.33442466666666665</v>
      </c>
      <c r="CE44" s="321">
        <v>0</v>
      </c>
      <c r="CF44" s="321">
        <v>0</v>
      </c>
      <c r="CG44" s="42">
        <v>0</v>
      </c>
      <c r="CH44" s="42">
        <v>0</v>
      </c>
      <c r="CI44" s="42">
        <v>0</v>
      </c>
      <c r="CJ44" s="42">
        <v>0</v>
      </c>
      <c r="CK44" s="42">
        <v>0</v>
      </c>
      <c r="CL44" s="151" t="str">
        <f t="shared" si="0"/>
        <v>OK</v>
      </c>
      <c r="CM44" s="152" t="str">
        <f t="shared" si="1"/>
        <v>OK</v>
      </c>
      <c r="CN44" s="153" t="str">
        <f t="shared" si="2"/>
        <v>OK</v>
      </c>
      <c r="CO44" s="327">
        <f t="shared" si="3"/>
        <v>864.56888888888955</v>
      </c>
      <c r="CP44" s="328"/>
      <c r="CQ44" s="326">
        <v>2.24617849942172</v>
      </c>
      <c r="CR44" s="326" t="e">
        <v>#N/A</v>
      </c>
      <c r="CS44" s="328">
        <v>1360</v>
      </c>
      <c r="CT44" s="327">
        <v>0</v>
      </c>
      <c r="CU44" s="327">
        <f>VLOOKUP(B44,Tabelle2!$AL$2:$AM$82,2,)</f>
        <v>0</v>
      </c>
      <c r="CV44">
        <v>5.5</v>
      </c>
      <c r="CW44">
        <v>0.1</v>
      </c>
      <c r="CY44" s="147">
        <f>VLOOKUP($B44,Tabelle2!$J$3:$W$38,3,)</f>
        <v>15.23076923076923</v>
      </c>
      <c r="CZ44" s="147">
        <f>VLOOKUP($B44,Tabelle2!$J$3:$W$38,4,)</f>
        <v>44.8</v>
      </c>
      <c r="DA44" s="147">
        <f>VLOOKUP($B44,Tabelle2!$J$3:$W$38,5,)</f>
        <v>0.1535876288659794</v>
      </c>
      <c r="DB44" s="147">
        <f>VLOOKUP($B44,Tabelle2!$J$3:$W$38,6,)</f>
        <v>0.26400000000000007</v>
      </c>
      <c r="DC44" s="147">
        <f>VLOOKUP($B44,Tabelle2!$J$3:$W$38,7,)</f>
        <v>0.10210309278350517</v>
      </c>
      <c r="DD44" s="147">
        <f>VLOOKUP($B44,Tabelle2!$J$3:$W$38,8,)</f>
        <v>0.18400000000000005</v>
      </c>
      <c r="DE44" s="147">
        <f>VLOOKUP($B44,Tabelle2!$J$3:$W$38,9,)</f>
        <v>1.9711340206185552E-2</v>
      </c>
      <c r="DF44" s="147">
        <f>VLOOKUP($B44,Tabelle2!$J$3:$W$38,10,)</f>
        <v>4.1000000000000002E-2</v>
      </c>
      <c r="DG44" s="147">
        <f>VLOOKUP($B44,Tabelle2!$J$3:$W$38,11,)</f>
        <v>3.6835051546391759</v>
      </c>
      <c r="DH44" s="147">
        <f>VLOOKUP($B44,Tabelle2!$J$3:$W$38,12,)</f>
        <v>5.0200000000000022</v>
      </c>
      <c r="DI44" s="147">
        <f>VLOOKUP($B44,Tabelle2!$J$3:$W$38,13,)</f>
        <v>5.5618556701030886E-2</v>
      </c>
      <c r="DJ44" s="147">
        <f>VLOOKUP($B44,Tabelle2!$J$3:$W$38,14,)</f>
        <v>0.11</v>
      </c>
      <c r="DK44" s="147">
        <f t="shared" si="5"/>
        <v>3.7588350515463924</v>
      </c>
      <c r="DL44" s="147">
        <f t="shared" si="6"/>
        <v>5.1710000000000029</v>
      </c>
      <c r="DN44" s="31"/>
      <c r="DO44" s="146">
        <f>DS44</f>
        <v>2.5</v>
      </c>
      <c r="DP44" s="136" t="e">
        <v>#N/A</v>
      </c>
      <c r="DQ44">
        <f t="shared" si="4"/>
        <v>1360</v>
      </c>
      <c r="DR44" s="271">
        <v>3.9</v>
      </c>
      <c r="DS44" s="271">
        <v>2.5</v>
      </c>
      <c r="DT44" s="271">
        <v>2.1</v>
      </c>
      <c r="DU44" s="271">
        <v>0.5</v>
      </c>
      <c r="DV44" s="271">
        <v>145.1</v>
      </c>
      <c r="DW44" s="271">
        <v>147.80000000000001</v>
      </c>
      <c r="DX44">
        <f>DR44/'Summed emissions'!E44*1000000/3600/24/365</f>
        <v>0.13232732517059853</v>
      </c>
      <c r="DY44" s="48"/>
      <c r="DZ44" s="147" t="e">
        <f>VLOOKUP($B44,Tabelle2!$AC$2:$AJ$73,8,)</f>
        <v>#N/A</v>
      </c>
      <c r="EA44" s="248">
        <v>3.6314752664493062</v>
      </c>
      <c r="EC44" s="61">
        <v>91.273254717508308</v>
      </c>
      <c r="ED44" s="27">
        <v>81.585723844113673</v>
      </c>
      <c r="EE44" s="27">
        <v>2.1051923060071003</v>
      </c>
      <c r="EG44" s="39" t="s">
        <v>711</v>
      </c>
      <c r="EH44" s="63">
        <v>1360</v>
      </c>
      <c r="EI44" s="31" t="s">
        <v>927</v>
      </c>
      <c r="EJ44" s="31">
        <v>5.7050899049726538E-2</v>
      </c>
      <c r="EM44">
        <v>1</v>
      </c>
      <c r="EN44">
        <v>0</v>
      </c>
    </row>
    <row r="45" spans="1:144" ht="15">
      <c r="A45" s="277" t="s">
        <v>712</v>
      </c>
      <c r="B45" s="278">
        <v>1370</v>
      </c>
      <c r="C45" s="63">
        <v>1380</v>
      </c>
      <c r="D45" s="63" t="s">
        <v>435</v>
      </c>
      <c r="E45" s="94" t="s">
        <v>429</v>
      </c>
      <c r="F45" s="135" t="s">
        <v>427</v>
      </c>
      <c r="G45" s="61">
        <v>111.068137202</v>
      </c>
      <c r="H45" s="291">
        <v>6.1237544840505982E-2</v>
      </c>
      <c r="I45" s="291">
        <v>0.37487337868429932</v>
      </c>
      <c r="J45" s="291">
        <v>1.4261578507792159</v>
      </c>
      <c r="K45" s="291">
        <v>6.5581596256930155</v>
      </c>
      <c r="L45" s="291">
        <v>20.557979526074718</v>
      </c>
      <c r="M45" s="291">
        <v>29.298732811397532</v>
      </c>
      <c r="N45" s="291">
        <v>6.0188783179506276</v>
      </c>
      <c r="O45" s="300">
        <v>0</v>
      </c>
      <c r="P45" s="292">
        <v>46.331678170728495</v>
      </c>
      <c r="Q45" s="291">
        <v>0</v>
      </c>
      <c r="R45" s="291">
        <v>0</v>
      </c>
      <c r="S45" s="291">
        <v>2.5433489689728798E-3</v>
      </c>
      <c r="T45" s="291">
        <v>0.43789662688263353</v>
      </c>
      <c r="U45" s="306">
        <v>106.24716713765842</v>
      </c>
      <c r="V45" s="136">
        <v>3.5953713117909571</v>
      </c>
      <c r="W45" s="306">
        <v>0</v>
      </c>
      <c r="X45" s="136">
        <v>0</v>
      </c>
      <c r="Y45" s="306">
        <v>5.5898610196837499E-2</v>
      </c>
      <c r="Z45" s="306">
        <v>0</v>
      </c>
      <c r="AA45" s="306">
        <v>0</v>
      </c>
      <c r="AB45" s="312">
        <v>45.837032733093018</v>
      </c>
      <c r="AC45" s="312">
        <v>5.901507211068342</v>
      </c>
      <c r="AD45" s="312">
        <v>6.0326951371942892</v>
      </c>
      <c r="AE45" s="312">
        <v>0.50590565611362903</v>
      </c>
      <c r="AF45" s="312">
        <v>0</v>
      </c>
      <c r="AG45" s="312">
        <v>0</v>
      </c>
      <c r="AH45" s="19">
        <v>0</v>
      </c>
      <c r="AI45" s="19">
        <v>13.99635353598498</v>
      </c>
      <c r="AJ45" s="19">
        <v>0</v>
      </c>
      <c r="AK45" s="19">
        <v>97.071783666015023</v>
      </c>
      <c r="AL45" s="19">
        <v>603.87333333300001</v>
      </c>
      <c r="AM45" s="19">
        <v>4.4074999999999998</v>
      </c>
      <c r="AN45" s="19"/>
      <c r="AO45" s="19"/>
      <c r="AP45" s="305">
        <v>1.1167006998739899</v>
      </c>
      <c r="AQ45">
        <v>9.6217819999999996</v>
      </c>
      <c r="AR45" s="351">
        <v>170.33829252124741</v>
      </c>
      <c r="AS45" s="346">
        <v>154.85299320113401</v>
      </c>
      <c r="AT45" s="249">
        <v>6.5580744771673398</v>
      </c>
      <c r="AU45" s="312">
        <v>907.67446913285698</v>
      </c>
      <c r="AV45" s="312">
        <v>882.33846184512049</v>
      </c>
      <c r="AW45" s="312">
        <v>572.64614360857138</v>
      </c>
      <c r="AX45" s="312">
        <v>513.02597524730845</v>
      </c>
      <c r="AY45" s="333">
        <v>673.22366582128575</v>
      </c>
      <c r="AZ45">
        <v>766.17892308495698</v>
      </c>
      <c r="BA45">
        <v>586.78412322676195</v>
      </c>
      <c r="BB45" s="48">
        <v>1053.661063659147</v>
      </c>
      <c r="BC45" s="48">
        <v>727.80060316413028</v>
      </c>
      <c r="BD45" s="48">
        <v>34.825315844532071</v>
      </c>
      <c r="BE45" s="310">
        <v>0.53838694650930152</v>
      </c>
      <c r="BF45" s="310">
        <v>1.1785296410776247</v>
      </c>
      <c r="BG45" s="310">
        <v>2.0283848639139972</v>
      </c>
      <c r="BH45" s="310">
        <v>2.7705328260703816</v>
      </c>
      <c r="BI45" s="310">
        <v>4.7268180036381873</v>
      </c>
      <c r="BJ45" s="305">
        <v>0.14462277535294932</v>
      </c>
      <c r="BK45" s="48">
        <v>0.10786900000000001</v>
      </c>
      <c r="BL45" s="48">
        <v>2794</v>
      </c>
      <c r="BM45" s="48">
        <v>1</v>
      </c>
      <c r="BN45" s="48">
        <v>0</v>
      </c>
      <c r="BO45" s="48">
        <v>5.7444780487427938</v>
      </c>
      <c r="BP45" s="314">
        <v>55.532803849903793</v>
      </c>
      <c r="BQ45" s="315">
        <v>58.006784921712438</v>
      </c>
      <c r="BR45" s="316">
        <v>432.20197829984807</v>
      </c>
      <c r="BS45" s="318">
        <v>17370.122931665443</v>
      </c>
      <c r="BT45" s="188">
        <v>15546.336264998776</v>
      </c>
      <c r="BU45" s="188">
        <v>15546.336264998776</v>
      </c>
      <c r="BV45" s="48">
        <v>1823.7866666666669</v>
      </c>
      <c r="BW45" s="48">
        <v>50</v>
      </c>
      <c r="BX45" s="48">
        <v>54</v>
      </c>
      <c r="BY45" s="48">
        <v>43</v>
      </c>
      <c r="BZ45" s="48">
        <v>0</v>
      </c>
      <c r="CA45" s="71">
        <v>0</v>
      </c>
      <c r="CB45" s="321">
        <v>7.7221695205479446E-2</v>
      </c>
      <c r="CC45" s="321">
        <v>0</v>
      </c>
      <c r="CD45" s="321">
        <v>0</v>
      </c>
      <c r="CE45" s="321">
        <v>19.331766666666667</v>
      </c>
      <c r="CF45" s="321">
        <v>1.4558059999999999</v>
      </c>
      <c r="CG45" s="42">
        <v>0</v>
      </c>
      <c r="CH45" s="42">
        <v>0</v>
      </c>
      <c r="CI45" s="42">
        <v>0</v>
      </c>
      <c r="CJ45" s="42">
        <v>0</v>
      </c>
      <c r="CK45" s="42">
        <v>0</v>
      </c>
      <c r="CL45" s="151" t="str">
        <f t="shared" si="0"/>
        <v>OK</v>
      </c>
      <c r="CM45" s="152" t="str">
        <f t="shared" si="1"/>
        <v>OK</v>
      </c>
      <c r="CN45" s="153" t="str">
        <f t="shared" si="2"/>
        <v>OK</v>
      </c>
      <c r="CO45" s="327">
        <f t="shared" si="3"/>
        <v>1215.857777777778</v>
      </c>
      <c r="CP45" s="328"/>
      <c r="CQ45" s="326">
        <v>2.90781060041415</v>
      </c>
      <c r="CR45" s="326" t="s">
        <v>580</v>
      </c>
      <c r="CS45" s="328">
        <v>1370</v>
      </c>
      <c r="CT45" s="327">
        <v>1.2148387096774191</v>
      </c>
      <c r="CU45" s="327">
        <f>VLOOKUP(B45,Tabelle2!$AL$2:$AM$82,2,)</f>
        <v>1.2148387096774191</v>
      </c>
      <c r="CV45">
        <v>5.5</v>
      </c>
      <c r="CW45">
        <v>0.1</v>
      </c>
      <c r="CY45" s="147">
        <f>VLOOKUP($B45,Tabelle2!$J$3:$W$38,3,)</f>
        <v>26.23076923076923</v>
      </c>
      <c r="CZ45" s="147">
        <f>VLOOKUP($B45,Tabelle2!$J$3:$W$38,4,)</f>
        <v>37.200000000000003</v>
      </c>
      <c r="DA45" s="147">
        <f>VLOOKUP($B45,Tabelle2!$J$3:$W$38,5,)</f>
        <v>0.15555670103092792</v>
      </c>
      <c r="DB45" s="147">
        <f>VLOOKUP($B45,Tabelle2!$J$3:$W$38,6,)</f>
        <v>0.27</v>
      </c>
      <c r="DC45" s="147">
        <f>VLOOKUP($B45,Tabelle2!$J$3:$W$38,7,)</f>
        <v>0.11341237113402061</v>
      </c>
      <c r="DD45" s="147">
        <f>VLOOKUP($B45,Tabelle2!$J$3:$W$38,8,)</f>
        <v>0.21</v>
      </c>
      <c r="DE45" s="147">
        <f>VLOOKUP($B45,Tabelle2!$J$3:$W$38,9,)</f>
        <v>2.6092783505154635E-2</v>
      </c>
      <c r="DF45" s="147">
        <f>VLOOKUP($B45,Tabelle2!$J$3:$W$38,10,)</f>
        <v>4.2800000000000012E-2</v>
      </c>
      <c r="DG45" s="147">
        <f>VLOOKUP($B45,Tabelle2!$J$3:$W$38,11,)</f>
        <v>3.7824742268041245</v>
      </c>
      <c r="DH45" s="147">
        <f>VLOOKUP($B45,Tabelle2!$J$3:$W$38,12,)</f>
        <v>4.8</v>
      </c>
      <c r="DI45" s="147">
        <f>VLOOKUP($B45,Tabelle2!$J$3:$W$38,13,)</f>
        <v>9.1701030927834992E-2</v>
      </c>
      <c r="DJ45" s="147">
        <f>VLOOKUP($B45,Tabelle2!$J$3:$W$38,14,)</f>
        <v>0.21</v>
      </c>
      <c r="DK45" s="147">
        <f t="shared" si="5"/>
        <v>3.9002680412371142</v>
      </c>
      <c r="DL45" s="147">
        <f t="shared" si="6"/>
        <v>5.0527999999999995</v>
      </c>
      <c r="DN45" s="31"/>
      <c r="DO45" s="146" t="e">
        <f>DS45</f>
        <v>#N/A</v>
      </c>
      <c r="DP45" s="136" t="s">
        <v>580</v>
      </c>
      <c r="DQ45">
        <f t="shared" si="4"/>
        <v>1370</v>
      </c>
      <c r="DR45" s="147" t="e">
        <f>VLOOKUP(B45,Tabelle2!AC$2:AJ$73,3,)</f>
        <v>#N/A</v>
      </c>
      <c r="DS45" s="147" t="e">
        <f>VLOOKUP($B45,Tabelle2!$AC$2:$AJ$73,4,)</f>
        <v>#N/A</v>
      </c>
      <c r="DT45" s="147" t="e">
        <f>VLOOKUP($B45,Tabelle2!$AC$2:$AJ$73,5,)</f>
        <v>#N/A</v>
      </c>
      <c r="DU45" s="147" t="e">
        <f>VLOOKUP($B45,Tabelle2!$AC$2:$AJ$73,6,)</f>
        <v>#N/A</v>
      </c>
      <c r="DV45" s="147" t="e">
        <f>VLOOKUP($B45,Tabelle2!$AC$2:$AJ$73,7,)</f>
        <v>#N/A</v>
      </c>
      <c r="DW45" s="147" t="e">
        <f>VLOOKUP($B45,Tabelle2!$AC$2:$AJ$73,8,)</f>
        <v>#N/A</v>
      </c>
      <c r="DX45" t="e">
        <f>DR45/'Summed emissions'!E45*1000000/3600/24/365</f>
        <v>#N/A</v>
      </c>
      <c r="DY45" s="48"/>
      <c r="DZ45" s="147" t="e">
        <f>VLOOKUP($B45,Tabelle2!$AC$2:$AJ$73,8,)</f>
        <v>#N/A</v>
      </c>
      <c r="EA45" s="248">
        <v>8.5926775461643015</v>
      </c>
      <c r="EC45" s="61">
        <v>194.55069179290433</v>
      </c>
      <c r="ED45" s="27">
        <v>175.19678586566181</v>
      </c>
      <c r="EE45" s="27">
        <v>5.8601143916958351</v>
      </c>
      <c r="EG45" s="39" t="s">
        <v>712</v>
      </c>
      <c r="EH45" s="63">
        <v>1370</v>
      </c>
      <c r="EI45" s="31">
        <v>7.6771173684210534E-2</v>
      </c>
      <c r="EJ45" s="31">
        <v>5.7157464640628063E-2</v>
      </c>
      <c r="EM45">
        <v>1</v>
      </c>
      <c r="EN45">
        <v>0</v>
      </c>
    </row>
    <row r="46" spans="1:144" ht="15">
      <c r="A46" s="277" t="s">
        <v>713</v>
      </c>
      <c r="B46" s="278">
        <v>1380</v>
      </c>
      <c r="C46" s="63">
        <v>5010</v>
      </c>
      <c r="D46" s="63" t="s">
        <v>435</v>
      </c>
      <c r="E46" s="94" t="s">
        <v>429</v>
      </c>
      <c r="F46" s="135" t="s">
        <v>427</v>
      </c>
      <c r="G46" s="61">
        <v>72.893099392600007</v>
      </c>
      <c r="H46" s="291">
        <v>0.87949733434136057</v>
      </c>
      <c r="I46" s="291">
        <v>1.2210538077641684</v>
      </c>
      <c r="J46" s="291">
        <v>2.0959278949739857</v>
      </c>
      <c r="K46" s="291">
        <v>11.599833118993857</v>
      </c>
      <c r="L46" s="291">
        <v>18.941290973256066</v>
      </c>
      <c r="M46" s="291">
        <v>9.2203050053999522</v>
      </c>
      <c r="N46" s="291">
        <v>4.5841928819897682</v>
      </c>
      <c r="O46" s="300">
        <v>0</v>
      </c>
      <c r="P46" s="292">
        <v>23.836763323839101</v>
      </c>
      <c r="Q46" s="291">
        <v>0</v>
      </c>
      <c r="R46" s="291">
        <v>0</v>
      </c>
      <c r="S46" s="291">
        <v>5.8600833224738101E-3</v>
      </c>
      <c r="T46" s="291">
        <v>0.50837496871926902</v>
      </c>
      <c r="U46" s="306">
        <v>118.96706134184551</v>
      </c>
      <c r="V46" s="136">
        <v>2.7397468671433898</v>
      </c>
      <c r="W46" s="306">
        <v>5.0989059656870159</v>
      </c>
      <c r="X46" s="136">
        <v>20</v>
      </c>
      <c r="Y46" s="306">
        <v>8.0457215800952095E-2</v>
      </c>
      <c r="Z46" s="306">
        <v>0</v>
      </c>
      <c r="AA46" s="306">
        <v>0</v>
      </c>
      <c r="AB46" s="312">
        <v>11.674197716949525</v>
      </c>
      <c r="AC46" s="312">
        <v>10.915711896323664</v>
      </c>
      <c r="AD46" s="312">
        <v>6.3670966179304243</v>
      </c>
      <c r="AE46" s="312">
        <v>15.000901903525774</v>
      </c>
      <c r="AF46" s="312">
        <v>0</v>
      </c>
      <c r="AG46" s="312">
        <v>0</v>
      </c>
      <c r="AH46" s="19">
        <v>8.1877933732782093</v>
      </c>
      <c r="AI46" s="19">
        <v>51.037936223433221</v>
      </c>
      <c r="AJ46" s="19">
        <v>0</v>
      </c>
      <c r="AK46" s="19">
        <v>13.667369795888586</v>
      </c>
      <c r="AL46" s="19">
        <v>321.44565217399997</v>
      </c>
      <c r="AM46" s="19">
        <v>2.6107999999999998</v>
      </c>
      <c r="AN46" s="19"/>
      <c r="AO46" s="19"/>
      <c r="AP46" s="305">
        <v>0.82665885597989996</v>
      </c>
      <c r="AQ46">
        <v>10.410890999999999</v>
      </c>
      <c r="AR46" s="351">
        <v>439.68411317180903</v>
      </c>
      <c r="AS46" s="346">
        <v>399.71283015619002</v>
      </c>
      <c r="AT46" s="249">
        <v>18.878479273648001</v>
      </c>
      <c r="AU46" s="312">
        <v>807.28371108300018</v>
      </c>
      <c r="AV46" s="312">
        <v>779.11336557303287</v>
      </c>
      <c r="AW46" s="312">
        <v>536.53950131385716</v>
      </c>
      <c r="AX46" s="312">
        <v>470.53836489213722</v>
      </c>
      <c r="AY46" s="333">
        <v>744.33161390142857</v>
      </c>
      <c r="AZ46">
        <v>795.08072056683</v>
      </c>
      <c r="BA46">
        <v>610.42481042444342</v>
      </c>
      <c r="BB46" s="48">
        <v>891.02600839529794</v>
      </c>
      <c r="BC46" s="48">
        <v>646.69285136106748</v>
      </c>
      <c r="BD46" s="48">
        <v>34.767886814181132</v>
      </c>
      <c r="BE46" s="310">
        <v>0.82782819506088023</v>
      </c>
      <c r="BF46" s="310">
        <v>1.5954522122220804</v>
      </c>
      <c r="BG46" s="310">
        <v>3.3042408951027249</v>
      </c>
      <c r="BH46" s="310">
        <v>6.3597176327689562</v>
      </c>
      <c r="BI46" s="310">
        <v>11.672523502313394</v>
      </c>
      <c r="BJ46" s="305">
        <v>0.23981084639171921</v>
      </c>
      <c r="BK46" s="48">
        <v>0.359983</v>
      </c>
      <c r="BL46" s="48">
        <v>1800</v>
      </c>
      <c r="BM46" s="48">
        <v>1</v>
      </c>
      <c r="BN46" s="48">
        <v>0</v>
      </c>
      <c r="BO46" s="48">
        <v>4.5507972172933338</v>
      </c>
      <c r="BP46" s="314">
        <v>54.913780662411561</v>
      </c>
      <c r="BQ46" s="314">
        <v>59.9266880903062</v>
      </c>
      <c r="BR46" s="316">
        <v>635.73165660306699</v>
      </c>
      <c r="BS46" s="318">
        <v>15828.248475300654</v>
      </c>
      <c r="BT46" s="188">
        <v>14152.195141967321</v>
      </c>
      <c r="BU46" s="188">
        <v>14152.195141967321</v>
      </c>
      <c r="BV46" s="48">
        <v>1676.0533333333333</v>
      </c>
      <c r="BW46" s="48">
        <v>50</v>
      </c>
      <c r="BX46" s="48">
        <v>54</v>
      </c>
      <c r="BY46" s="48">
        <v>43</v>
      </c>
      <c r="BZ46" s="48">
        <v>0</v>
      </c>
      <c r="CA46" s="71">
        <v>0</v>
      </c>
      <c r="CB46" s="321">
        <v>2.2164600192372739E-2</v>
      </c>
      <c r="CC46" s="321">
        <v>0</v>
      </c>
      <c r="CD46" s="321">
        <v>0</v>
      </c>
      <c r="CE46" s="321">
        <v>2.9378125000000006</v>
      </c>
      <c r="CF46" s="321">
        <v>0.22425</v>
      </c>
      <c r="CG46" s="42">
        <v>0</v>
      </c>
      <c r="CH46" s="42">
        <v>0</v>
      </c>
      <c r="CI46" s="42">
        <v>0</v>
      </c>
      <c r="CJ46" s="42">
        <v>0</v>
      </c>
      <c r="CK46" s="42">
        <v>0</v>
      </c>
      <c r="CL46" s="151" t="str">
        <f t="shared" si="0"/>
        <v>OK</v>
      </c>
      <c r="CM46" s="152" t="str">
        <f t="shared" si="1"/>
        <v>OK</v>
      </c>
      <c r="CN46" s="153" t="str">
        <f t="shared" si="2"/>
        <v>OK</v>
      </c>
      <c r="CO46" s="327">
        <f t="shared" si="3"/>
        <v>1117.3688888888889</v>
      </c>
      <c r="CP46" s="328"/>
      <c r="CQ46" s="326">
        <v>8.4030444211105202</v>
      </c>
      <c r="CR46" s="326" t="e">
        <v>#N/A</v>
      </c>
      <c r="CS46" s="328">
        <v>1380</v>
      </c>
      <c r="CT46" s="327">
        <v>4.9835483870967741</v>
      </c>
      <c r="CU46" s="327">
        <f>VLOOKUP(B46,Tabelle2!$AL$2:$AM$82,2,)</f>
        <v>4.9835483870967741</v>
      </c>
      <c r="CV46">
        <v>4</v>
      </c>
      <c r="CW46">
        <v>0.05</v>
      </c>
      <c r="CY46" s="147">
        <f>VLOOKUP($B46,Tabelle2!$J$3:$W$38,3,)</f>
        <v>16.076923076923077</v>
      </c>
      <c r="CZ46" s="147">
        <f>VLOOKUP($B46,Tabelle2!$J$3:$W$38,4,)</f>
        <v>39.600000000000009</v>
      </c>
      <c r="DA46" s="147">
        <f>VLOOKUP($B46,Tabelle2!$J$3:$W$38,5,)</f>
        <v>0.16252577319587624</v>
      </c>
      <c r="DB46" s="147">
        <f>VLOOKUP($B46,Tabelle2!$J$3:$W$38,6,)</f>
        <v>0.26</v>
      </c>
      <c r="DC46" s="147">
        <f>VLOOKUP($B46,Tabelle2!$J$3:$W$38,7,)</f>
        <v>0.12065979381443291</v>
      </c>
      <c r="DD46" s="147">
        <f>VLOOKUP($B46,Tabelle2!$J$3:$W$38,8,)</f>
        <v>0.2</v>
      </c>
      <c r="DE46" s="147">
        <f>VLOOKUP($B46,Tabelle2!$J$3:$W$38,9,)</f>
        <v>3.0587628865979388E-2</v>
      </c>
      <c r="DF46" s="147">
        <f>VLOOKUP($B46,Tabelle2!$J$3:$W$38,10,)</f>
        <v>5.0400000000000035E-2</v>
      </c>
      <c r="DG46" s="147">
        <f>VLOOKUP($B46,Tabelle2!$J$3:$W$38,11,)</f>
        <v>3.8092783505154637</v>
      </c>
      <c r="DH46" s="147">
        <f>VLOOKUP($B46,Tabelle2!$J$3:$W$38,12,)</f>
        <v>4.8</v>
      </c>
      <c r="DI46" s="147">
        <f>VLOOKUP($B46,Tabelle2!$J$3:$W$38,13,)</f>
        <v>9.9329896907216456E-2</v>
      </c>
      <c r="DJ46" s="147">
        <f>VLOOKUP($B46,Tabelle2!$J$3:$W$38,14,)</f>
        <v>0.21800000000000011</v>
      </c>
      <c r="DK46" s="147">
        <f t="shared" si="5"/>
        <v>3.9391958762886596</v>
      </c>
      <c r="DL46" s="147">
        <f t="shared" si="6"/>
        <v>5.0683999999999996</v>
      </c>
      <c r="DN46" s="31"/>
      <c r="DO46" s="146">
        <f>DS46</f>
        <v>8.5</v>
      </c>
      <c r="DP46" s="136" t="e">
        <v>#N/A</v>
      </c>
      <c r="DQ46">
        <f t="shared" si="4"/>
        <v>1380</v>
      </c>
      <c r="DR46" s="271">
        <v>12.5</v>
      </c>
      <c r="DS46" s="271">
        <v>8.5</v>
      </c>
      <c r="DT46" s="271">
        <v>10.8</v>
      </c>
      <c r="DU46" s="271">
        <v>2.4</v>
      </c>
      <c r="DV46" s="271">
        <v>399.3</v>
      </c>
      <c r="DW46" s="271">
        <v>412.5</v>
      </c>
      <c r="DX46">
        <f>DR46/'Summed emissions'!E46*1000000/3600/24/365</f>
        <v>0.13772866597991357</v>
      </c>
      <c r="DY46" s="48"/>
      <c r="DZ46" s="147" t="e">
        <f>VLOOKUP($B46,Tabelle2!$AC$2:$AJ$73,8,)</f>
        <v>#N/A</v>
      </c>
      <c r="EA46" s="248">
        <v>11.460551935772578</v>
      </c>
      <c r="EC46" s="61">
        <v>270.01149862502297</v>
      </c>
      <c r="ED46" s="27">
        <v>238.98086409282823</v>
      </c>
      <c r="EE46" s="27">
        <v>9.4907079171620552</v>
      </c>
      <c r="EG46" s="39" t="s">
        <v>713</v>
      </c>
      <c r="EH46" s="63">
        <v>1380</v>
      </c>
      <c r="EI46" s="31">
        <v>5.4250000000000001E-3</v>
      </c>
      <c r="EJ46" s="31">
        <v>3.9328333494232946E-2</v>
      </c>
      <c r="EM46">
        <v>1</v>
      </c>
      <c r="EN46">
        <v>1</v>
      </c>
    </row>
    <row r="47" spans="1:144" ht="15">
      <c r="A47" s="39" t="s">
        <v>725</v>
      </c>
      <c r="B47" s="63">
        <v>1520</v>
      </c>
      <c r="C47" s="63">
        <v>4080</v>
      </c>
      <c r="D47" s="63" t="s">
        <v>435</v>
      </c>
      <c r="E47" s="94" t="s">
        <v>429</v>
      </c>
      <c r="F47" s="135" t="s">
        <v>427</v>
      </c>
      <c r="G47" s="61">
        <v>170.73598434799999</v>
      </c>
      <c r="H47" s="291">
        <v>0</v>
      </c>
      <c r="I47" s="291">
        <v>0</v>
      </c>
      <c r="J47" s="291">
        <v>0</v>
      </c>
      <c r="K47" s="291">
        <v>4.411044942081047E-6</v>
      </c>
      <c r="L47" s="291">
        <v>2.0026188218424785E-5</v>
      </c>
      <c r="M47" s="291">
        <v>12.412027133227236</v>
      </c>
      <c r="N47" s="291">
        <v>1.3115316194785482</v>
      </c>
      <c r="O47" s="300">
        <v>0</v>
      </c>
      <c r="P47" s="292">
        <v>155.02671368409852</v>
      </c>
      <c r="Q47" s="291">
        <v>0.56110174115632105</v>
      </c>
      <c r="R47" s="291">
        <v>0</v>
      </c>
      <c r="S47" s="291">
        <v>0</v>
      </c>
      <c r="T47" s="291">
        <v>1.4245857328061793</v>
      </c>
      <c r="U47" s="306">
        <v>351.40800905908816</v>
      </c>
      <c r="V47" s="136">
        <v>4.0296459575683601</v>
      </c>
      <c r="W47" s="306">
        <v>0</v>
      </c>
      <c r="X47" s="136">
        <v>0</v>
      </c>
      <c r="Y47" s="306">
        <v>8.5358696440791387E-3</v>
      </c>
      <c r="Z47" s="306">
        <v>0</v>
      </c>
      <c r="AA47" s="306">
        <v>0</v>
      </c>
      <c r="AB47" s="312">
        <v>3.9984857653631964</v>
      </c>
      <c r="AC47" s="312">
        <v>3.7840671850819909</v>
      </c>
      <c r="AD47" s="312">
        <v>1.2742525118169017</v>
      </c>
      <c r="AE47" s="312">
        <v>3.3552461081983087</v>
      </c>
      <c r="AF47" s="312">
        <v>0</v>
      </c>
      <c r="AG47" s="312">
        <v>0</v>
      </c>
      <c r="AH47" s="19">
        <v>5.5041716274771808</v>
      </c>
      <c r="AI47" s="19">
        <v>0</v>
      </c>
      <c r="AJ47" s="19">
        <v>106.2180485656972</v>
      </c>
      <c r="AK47" s="19">
        <v>59.013764154825616</v>
      </c>
      <c r="AL47" s="19">
        <v>896.947867299</v>
      </c>
      <c r="AM47" s="19">
        <v>13.0572</v>
      </c>
      <c r="AN47" s="19" t="s">
        <v>11</v>
      </c>
      <c r="AO47" s="19" t="s">
        <v>12</v>
      </c>
      <c r="AP47" s="305">
        <v>6.3376087782395301</v>
      </c>
      <c r="AQ47" s="341">
        <v>8.8421563981030005</v>
      </c>
      <c r="AR47" s="351"/>
      <c r="AS47" s="346"/>
      <c r="AT47" s="249"/>
      <c r="AU47" s="312">
        <v>1689.948872401857</v>
      </c>
      <c r="AV47" s="312">
        <v>1582.6026235989634</v>
      </c>
      <c r="AW47" s="312">
        <v>1015.8653791974284</v>
      </c>
      <c r="AX47" s="312">
        <v>883.40513499521603</v>
      </c>
      <c r="AY47" s="333">
        <v>653.87645361842863</v>
      </c>
      <c r="AZ47">
        <v>820.1750093565505</v>
      </c>
      <c r="BA47">
        <v>697.68983659860839</v>
      </c>
      <c r="BB47" s="48">
        <v>1024.0027970407564</v>
      </c>
      <c r="BC47" s="48">
        <v>830.40674085808291</v>
      </c>
      <c r="BD47" s="48">
        <v>34.554092776274928</v>
      </c>
      <c r="BE47" s="310">
        <v>0</v>
      </c>
      <c r="BF47" s="310">
        <v>0</v>
      </c>
      <c r="BG47" s="310">
        <v>0</v>
      </c>
      <c r="BH47" s="310">
        <v>4.6319263140428433</v>
      </c>
      <c r="BI47" s="310">
        <v>46.065344695429921</v>
      </c>
      <c r="BJ47" s="305">
        <v>0.84412225105974514</v>
      </c>
      <c r="BK47" s="48">
        <v>0.102174</v>
      </c>
      <c r="BL47" s="48">
        <v>6300</v>
      </c>
      <c r="BM47" s="48">
        <v>1</v>
      </c>
      <c r="BN47" s="48">
        <v>0</v>
      </c>
      <c r="BO47" s="48">
        <v>0</v>
      </c>
      <c r="BP47" s="314">
        <v>56.502830453180955</v>
      </c>
      <c r="BQ47" s="314">
        <v>31.821320031350126</v>
      </c>
      <c r="BR47" s="316">
        <v>426.13513083934976</v>
      </c>
      <c r="BS47" s="318">
        <v>3003.9675608664584</v>
      </c>
      <c r="BT47" s="188">
        <v>2656.1475608664582</v>
      </c>
      <c r="BU47" s="188">
        <v>2656.1475608664582</v>
      </c>
      <c r="BV47" s="48">
        <v>347.82</v>
      </c>
      <c r="BW47" s="48">
        <v>50</v>
      </c>
      <c r="BX47" s="48">
        <v>48</v>
      </c>
      <c r="BY47" s="48">
        <v>43</v>
      </c>
      <c r="BZ47" s="48">
        <v>0</v>
      </c>
      <c r="CA47" s="71">
        <v>0</v>
      </c>
      <c r="CB47" s="321">
        <v>5.5436984715880261E-3</v>
      </c>
      <c r="CC47" s="321">
        <v>0</v>
      </c>
      <c r="CD47" s="321">
        <v>0.23502149999999999</v>
      </c>
      <c r="CE47" s="321">
        <v>0</v>
      </c>
      <c r="CF47" s="321">
        <v>0</v>
      </c>
      <c r="CG47" s="42">
        <v>0</v>
      </c>
      <c r="CH47" s="42">
        <v>0</v>
      </c>
      <c r="CI47" s="42">
        <v>0</v>
      </c>
      <c r="CJ47" s="42">
        <v>0</v>
      </c>
      <c r="CK47" s="42">
        <v>0</v>
      </c>
      <c r="CL47" s="151" t="str">
        <f t="shared" si="0"/>
        <v>OK</v>
      </c>
      <c r="CM47" s="152" t="str">
        <f t="shared" si="1"/>
        <v>OK</v>
      </c>
      <c r="CN47" s="153" t="str">
        <f t="shared" si="2"/>
        <v>OK</v>
      </c>
      <c r="CO47" s="327">
        <f t="shared" si="3"/>
        <v>231.88000000000011</v>
      </c>
      <c r="CP47" s="328"/>
      <c r="CQ47" s="326"/>
      <c r="CR47" s="326" t="e">
        <v>#N/A</v>
      </c>
      <c r="CS47" s="328">
        <v>1520</v>
      </c>
      <c r="CT47" s="327">
        <v>0</v>
      </c>
      <c r="CU47" s="327">
        <f>VLOOKUP(B47,Tabelle2!$AL$2:$AM$82,2,)</f>
        <v>0</v>
      </c>
      <c r="CV47">
        <v>5.5</v>
      </c>
      <c r="CW47">
        <v>0.03</v>
      </c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N47" s="31"/>
      <c r="DO47" s="136" t="e">
        <v>#N/A</v>
      </c>
      <c r="DP47" s="136" t="e">
        <v>#N/A</v>
      </c>
      <c r="DQ47">
        <f t="shared" si="4"/>
        <v>1520</v>
      </c>
      <c r="DR47" s="147"/>
      <c r="DS47" s="147"/>
      <c r="DT47" s="147"/>
      <c r="DU47" s="147"/>
      <c r="DV47" s="147"/>
      <c r="DW47" s="147"/>
      <c r="DY47" s="48"/>
      <c r="DZ47" s="48"/>
      <c r="EA47" s="48"/>
      <c r="EC47" s="61">
        <v>166.27124290365094</v>
      </c>
      <c r="ED47" s="27">
        <v>162.11881016012208</v>
      </c>
      <c r="EE47" s="27">
        <v>1.427804777682965</v>
      </c>
      <c r="EG47" s="39" t="s">
        <v>725</v>
      </c>
      <c r="EH47" s="63">
        <v>1520</v>
      </c>
      <c r="EI47" s="31" t="s">
        <v>927</v>
      </c>
      <c r="EJ47" s="31">
        <v>2.0632980515816843E-2</v>
      </c>
      <c r="EM47">
        <v>0</v>
      </c>
      <c r="EN47">
        <v>0</v>
      </c>
    </row>
    <row r="48" spans="1:144" ht="15">
      <c r="A48" s="39" t="s">
        <v>726</v>
      </c>
      <c r="B48" s="63">
        <v>1530</v>
      </c>
      <c r="C48" s="63">
        <v>1560</v>
      </c>
      <c r="D48" s="63" t="s">
        <v>435</v>
      </c>
      <c r="E48" s="94" t="s">
        <v>429</v>
      </c>
      <c r="F48" s="135" t="s">
        <v>427</v>
      </c>
      <c r="G48" s="61">
        <v>238.968458156</v>
      </c>
      <c r="H48" s="291">
        <v>1.8466667111714682E-2</v>
      </c>
      <c r="I48" s="291">
        <v>7.4432560750346197E-2</v>
      </c>
      <c r="J48" s="291">
        <v>0.11801146918932488</v>
      </c>
      <c r="K48" s="291">
        <v>8.9889863367964395E-2</v>
      </c>
      <c r="L48" s="291">
        <v>0.11786846714033518</v>
      </c>
      <c r="M48" s="291">
        <v>45.580796327090312</v>
      </c>
      <c r="N48" s="291">
        <v>6.6384999305295596</v>
      </c>
      <c r="O48" s="300">
        <v>0.33489969907646883</v>
      </c>
      <c r="P48" s="292">
        <v>167.09478869521863</v>
      </c>
      <c r="Q48" s="291">
        <v>17.141358017559302</v>
      </c>
      <c r="R48" s="291">
        <v>0</v>
      </c>
      <c r="S48" s="291">
        <v>0.17025909906324402</v>
      </c>
      <c r="T48" s="291">
        <v>1.589187359902795</v>
      </c>
      <c r="U48" s="306">
        <v>276.31473012753554</v>
      </c>
      <c r="V48" s="136">
        <v>4.8807781383667361</v>
      </c>
      <c r="W48" s="306">
        <v>0</v>
      </c>
      <c r="X48" s="136">
        <v>0</v>
      </c>
      <c r="Y48" s="306">
        <v>0.240556465787615</v>
      </c>
      <c r="Z48" s="306">
        <v>0</v>
      </c>
      <c r="AA48" s="306">
        <v>0</v>
      </c>
      <c r="AB48" s="312">
        <v>2.9228094586216717</v>
      </c>
      <c r="AC48" s="312">
        <v>38.631102331519486</v>
      </c>
      <c r="AD48" s="312">
        <v>1.1448280377550768</v>
      </c>
      <c r="AE48" s="312">
        <v>2.0962974308991718</v>
      </c>
      <c r="AF48" s="312">
        <v>0</v>
      </c>
      <c r="AG48" s="312">
        <v>1.2044280958545914</v>
      </c>
      <c r="AH48" s="19">
        <v>74.023141089362881</v>
      </c>
      <c r="AI48" s="19">
        <v>0</v>
      </c>
      <c r="AJ48" s="19">
        <v>112.90369242777618</v>
      </c>
      <c r="AK48" s="19">
        <v>52.041624638860938</v>
      </c>
      <c r="AL48" s="19">
        <v>1070.1748251700001</v>
      </c>
      <c r="AM48" s="19">
        <v>16.722899999999999</v>
      </c>
      <c r="AN48" s="19" t="s">
        <v>11</v>
      </c>
      <c r="AO48" s="19" t="s">
        <v>12</v>
      </c>
      <c r="AP48" s="305">
        <v>13.0779721553921</v>
      </c>
      <c r="AQ48" s="341">
        <v>8.3224755244899988</v>
      </c>
      <c r="AR48" s="351"/>
      <c r="AS48" s="346"/>
      <c r="AT48" s="249"/>
      <c r="AU48" s="312">
        <v>1591.7884359417142</v>
      </c>
      <c r="AV48" s="312">
        <v>1539.301636030179</v>
      </c>
      <c r="AW48" s="312">
        <v>989.59187472285714</v>
      </c>
      <c r="AX48" s="312">
        <v>872.2064058776773</v>
      </c>
      <c r="AY48" s="333">
        <v>646.92484734200002</v>
      </c>
      <c r="AZ48">
        <v>731.5153723573867</v>
      </c>
      <c r="BA48">
        <v>637.12787616333571</v>
      </c>
      <c r="BB48" s="48">
        <v>959.98928175236813</v>
      </c>
      <c r="BC48" s="48">
        <v>790.50710177334895</v>
      </c>
      <c r="BD48" s="48">
        <v>34.554092776274928</v>
      </c>
      <c r="BE48" s="310">
        <v>0.46293011489610086</v>
      </c>
      <c r="BF48" s="310">
        <v>1.8544226897827876</v>
      </c>
      <c r="BG48" s="310">
        <v>2.2870189579338152</v>
      </c>
      <c r="BH48" s="310">
        <v>7.8307211761469588</v>
      </c>
      <c r="BI48" s="310">
        <v>18.930213091376924</v>
      </c>
      <c r="BJ48" s="305">
        <v>0.63077677746780714</v>
      </c>
      <c r="BK48" s="48">
        <v>0.10675</v>
      </c>
      <c r="BL48" s="48">
        <v>7177</v>
      </c>
      <c r="BM48" s="48">
        <v>1</v>
      </c>
      <c r="BN48" s="48">
        <v>0</v>
      </c>
      <c r="BO48" s="48">
        <v>7.0196023761384394</v>
      </c>
      <c r="BP48" s="314">
        <v>59.709807411588713</v>
      </c>
      <c r="BQ48" s="314">
        <v>52.579135550569049</v>
      </c>
      <c r="BR48" s="316">
        <v>437.45851499998201</v>
      </c>
      <c r="BS48" s="318">
        <v>7364.706040721645</v>
      </c>
      <c r="BT48" s="188">
        <v>6524.9060407216448</v>
      </c>
      <c r="BU48" s="188">
        <v>6524.9060407216448</v>
      </c>
      <c r="BV48" s="48">
        <v>839.79999999999984</v>
      </c>
      <c r="BW48" s="48">
        <v>50</v>
      </c>
      <c r="BX48" s="48">
        <v>48</v>
      </c>
      <c r="BY48" s="48">
        <v>43</v>
      </c>
      <c r="BZ48" s="48">
        <v>0</v>
      </c>
      <c r="CA48" s="71">
        <v>0</v>
      </c>
      <c r="CB48" s="321">
        <v>3.2818017926602397E-2</v>
      </c>
      <c r="CC48" s="321">
        <v>3.8157775000000003</v>
      </c>
      <c r="CD48" s="321">
        <v>0.78827066666666656</v>
      </c>
      <c r="CE48" s="321">
        <v>0</v>
      </c>
      <c r="CF48" s="321">
        <v>0</v>
      </c>
      <c r="CG48" s="42">
        <v>0</v>
      </c>
      <c r="CH48" s="42">
        <v>0</v>
      </c>
      <c r="CI48" s="42">
        <v>0</v>
      </c>
      <c r="CJ48" s="42">
        <v>0</v>
      </c>
      <c r="CK48" s="42">
        <v>0</v>
      </c>
      <c r="CL48" s="151" t="str">
        <f t="shared" si="0"/>
        <v>OK</v>
      </c>
      <c r="CM48" s="152" t="str">
        <f t="shared" si="1"/>
        <v>OK</v>
      </c>
      <c r="CN48" s="153" t="str">
        <f t="shared" si="2"/>
        <v>OK</v>
      </c>
      <c r="CO48" s="327">
        <f t="shared" si="3"/>
        <v>559.86666666666679</v>
      </c>
      <c r="CP48" s="328"/>
      <c r="CQ48" s="326"/>
      <c r="CR48" s="326" t="e">
        <v>#N/A</v>
      </c>
      <c r="CS48" s="328">
        <v>1530</v>
      </c>
      <c r="CT48" s="327">
        <v>0.68870967741935485</v>
      </c>
      <c r="CU48" s="327">
        <f>VLOOKUP(B48,Tabelle2!$AL$2:$AM$82,2,)</f>
        <v>0.68870967741935485</v>
      </c>
      <c r="CV48">
        <v>5.5</v>
      </c>
      <c r="CW48">
        <v>0.03</v>
      </c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N48" s="31"/>
      <c r="DO48" s="136" t="e">
        <v>#N/A</v>
      </c>
      <c r="DP48" s="136" t="e">
        <v>#N/A</v>
      </c>
      <c r="DQ48">
        <f t="shared" si="4"/>
        <v>1530</v>
      </c>
      <c r="DR48" s="147"/>
      <c r="DS48" s="147"/>
      <c r="DT48" s="147"/>
      <c r="DU48" s="147"/>
      <c r="DV48" s="147"/>
      <c r="DW48" s="147"/>
      <c r="DY48" s="48"/>
      <c r="DZ48" s="48"/>
      <c r="EA48" s="48"/>
      <c r="EC48" s="61">
        <v>318.44860419449981</v>
      </c>
      <c r="ED48" s="27">
        <v>305.74459800007571</v>
      </c>
      <c r="EE48" s="27">
        <v>7.0744815366344165</v>
      </c>
      <c r="EG48" s="39" t="s">
        <v>726</v>
      </c>
      <c r="EH48" s="63">
        <v>1530</v>
      </c>
      <c r="EI48" s="31">
        <v>4.9260631578947368E-3</v>
      </c>
      <c r="EJ48" s="31">
        <v>3.4915617660171719E-2</v>
      </c>
      <c r="EM48">
        <v>0</v>
      </c>
      <c r="EN48">
        <v>0</v>
      </c>
    </row>
    <row r="49" spans="1:144" ht="15">
      <c r="A49" s="39" t="s">
        <v>727</v>
      </c>
      <c r="B49" s="63">
        <v>1540</v>
      </c>
      <c r="C49" s="63">
        <v>1560</v>
      </c>
      <c r="D49" s="63" t="s">
        <v>435</v>
      </c>
      <c r="E49" s="94" t="s">
        <v>429</v>
      </c>
      <c r="F49" s="135" t="s">
        <v>427</v>
      </c>
      <c r="G49" s="61">
        <v>136.17471837900001</v>
      </c>
      <c r="H49" s="291">
        <v>7.1889438721365424E-3</v>
      </c>
      <c r="I49" s="291">
        <v>4.2785923519650937E-2</v>
      </c>
      <c r="J49" s="291">
        <v>8.011631464533342E-2</v>
      </c>
      <c r="K49" s="291">
        <v>3.7661742027703053E-2</v>
      </c>
      <c r="L49" s="291">
        <v>1.4344428741039639E-2</v>
      </c>
      <c r="M49" s="291">
        <v>13.926149138018651</v>
      </c>
      <c r="N49" s="291">
        <v>1.1866400782383939</v>
      </c>
      <c r="O49" s="300">
        <v>0</v>
      </c>
      <c r="P49" s="292">
        <v>117.03036305929369</v>
      </c>
      <c r="Q49" s="291">
        <v>3.0279566586035602</v>
      </c>
      <c r="R49" s="291">
        <v>0</v>
      </c>
      <c r="S49" s="291">
        <v>0</v>
      </c>
      <c r="T49" s="291">
        <v>0.82151209203985387</v>
      </c>
      <c r="U49" s="306">
        <v>165.06817031023238</v>
      </c>
      <c r="V49" s="136">
        <v>4.948677983554969</v>
      </c>
      <c r="W49" s="306">
        <v>0</v>
      </c>
      <c r="X49" s="136">
        <v>0</v>
      </c>
      <c r="Y49" s="306">
        <v>4.6428718399049102E-3</v>
      </c>
      <c r="Z49" s="306">
        <v>0</v>
      </c>
      <c r="AA49" s="306">
        <v>0</v>
      </c>
      <c r="AB49" s="312">
        <v>9.0519651994497116E-2</v>
      </c>
      <c r="AC49" s="312">
        <v>4.9756383235057271</v>
      </c>
      <c r="AD49" s="312">
        <v>2.9047323816200032</v>
      </c>
      <c r="AE49" s="312">
        <v>6.1373561337042872</v>
      </c>
      <c r="AF49" s="312">
        <v>0</v>
      </c>
      <c r="AG49" s="312">
        <v>0</v>
      </c>
      <c r="AH49" s="19">
        <v>15.166507257846748</v>
      </c>
      <c r="AI49" s="19">
        <v>0</v>
      </c>
      <c r="AJ49" s="19">
        <v>110.75223495992836</v>
      </c>
      <c r="AK49" s="19">
        <v>10.255976161224895</v>
      </c>
      <c r="AL49" s="19">
        <v>931.24137930999996</v>
      </c>
      <c r="AM49" s="19">
        <v>14.6088</v>
      </c>
      <c r="AN49" s="19" t="s">
        <v>11</v>
      </c>
      <c r="AO49" s="19" t="s">
        <v>12</v>
      </c>
      <c r="AP49" s="305">
        <v>4.1532941470896896</v>
      </c>
      <c r="AQ49" s="341">
        <v>8.7392758620699986</v>
      </c>
      <c r="AR49" s="351"/>
      <c r="AS49" s="346"/>
      <c r="AT49" s="249"/>
      <c r="AU49" s="312">
        <v>1718.615820459429</v>
      </c>
      <c r="AV49" s="312">
        <v>1592.5395780757071</v>
      </c>
      <c r="AW49" s="312">
        <v>1070.6248384998571</v>
      </c>
      <c r="AX49" s="312">
        <v>912.64791599725402</v>
      </c>
      <c r="AY49" s="333">
        <v>662.38112758857153</v>
      </c>
      <c r="AZ49">
        <v>920.54752217734529</v>
      </c>
      <c r="BA49">
        <v>664.41834373563438</v>
      </c>
      <c r="BB49" s="48">
        <v>1023.7518130845233</v>
      </c>
      <c r="BC49" s="48">
        <v>702.18508955523077</v>
      </c>
      <c r="BD49" s="48">
        <v>34.554092776274928</v>
      </c>
      <c r="BE49" s="310">
        <v>0.47702147058929883</v>
      </c>
      <c r="BF49" s="310">
        <v>0.50407639089766809</v>
      </c>
      <c r="BG49" s="310">
        <v>1.5683427458190546</v>
      </c>
      <c r="BH49" s="310">
        <v>4.4981660759136055</v>
      </c>
      <c r="BI49" s="310">
        <v>40.103589797307507</v>
      </c>
      <c r="BJ49" s="305">
        <v>0.75148506455418929</v>
      </c>
      <c r="BK49" s="48">
        <v>0.116925</v>
      </c>
      <c r="BL49" s="48">
        <v>8405</v>
      </c>
      <c r="BM49" s="48">
        <v>1</v>
      </c>
      <c r="BN49" s="48">
        <v>0</v>
      </c>
      <c r="BO49" s="48">
        <v>0</v>
      </c>
      <c r="BP49" s="314">
        <v>62.368367283898614</v>
      </c>
      <c r="BQ49" s="314">
        <v>51.877666404862623</v>
      </c>
      <c r="BR49" s="316">
        <v>466.09264055909097</v>
      </c>
      <c r="BS49" s="318">
        <v>2170.237661390418</v>
      </c>
      <c r="BT49" s="188">
        <v>1920.1109947237512</v>
      </c>
      <c r="BU49" s="188">
        <v>1920.1109947237512</v>
      </c>
      <c r="BV49" s="48">
        <v>250.12666666666669</v>
      </c>
      <c r="BW49" s="48">
        <v>50</v>
      </c>
      <c r="BX49" s="48">
        <v>48</v>
      </c>
      <c r="BY49" s="48">
        <v>43</v>
      </c>
      <c r="BZ49" s="48">
        <v>0</v>
      </c>
      <c r="CA49" s="71">
        <v>0</v>
      </c>
      <c r="CB49" s="321">
        <v>1.5883930798663959E-2</v>
      </c>
      <c r="CC49" s="321">
        <v>1.769347</v>
      </c>
      <c r="CD49" s="321">
        <v>0.13374033333333332</v>
      </c>
      <c r="CE49" s="321">
        <v>0</v>
      </c>
      <c r="CF49" s="321">
        <v>0</v>
      </c>
      <c r="CG49" s="42">
        <v>0</v>
      </c>
      <c r="CH49" s="42">
        <v>0</v>
      </c>
      <c r="CI49" s="42">
        <v>0</v>
      </c>
      <c r="CJ49" s="42">
        <v>0</v>
      </c>
      <c r="CK49" s="42">
        <v>0</v>
      </c>
      <c r="CL49" s="151" t="str">
        <f t="shared" si="0"/>
        <v>OK</v>
      </c>
      <c r="CM49" s="152" t="str">
        <f t="shared" si="1"/>
        <v>OK</v>
      </c>
      <c r="CN49" s="153" t="str">
        <f t="shared" si="2"/>
        <v>OK</v>
      </c>
      <c r="CO49" s="327">
        <f t="shared" si="3"/>
        <v>166.75111111111119</v>
      </c>
      <c r="CP49" s="328"/>
      <c r="CQ49" s="326"/>
      <c r="CR49" s="326" t="e">
        <v>#N/A</v>
      </c>
      <c r="CS49" s="328">
        <v>1540</v>
      </c>
      <c r="CT49" s="327">
        <v>1.2012903225806453</v>
      </c>
      <c r="CU49" s="327">
        <f>VLOOKUP(B49,Tabelle2!$AL$2:$AM$82,2,)</f>
        <v>1.2012903225806453</v>
      </c>
      <c r="CV49">
        <v>5.5</v>
      </c>
      <c r="CW49">
        <v>0.03</v>
      </c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N49" s="31"/>
      <c r="DO49" s="136" t="e">
        <v>#N/A</v>
      </c>
      <c r="DP49" s="136" t="e">
        <v>#N/A</v>
      </c>
      <c r="DQ49">
        <f t="shared" si="4"/>
        <v>1540</v>
      </c>
      <c r="DR49" s="147"/>
      <c r="DS49" s="147"/>
      <c r="DT49" s="147"/>
      <c r="DU49" s="147"/>
      <c r="DV49" s="147"/>
      <c r="DW49" s="147"/>
      <c r="DY49" s="48"/>
      <c r="DZ49" s="48"/>
      <c r="EA49" s="48"/>
      <c r="EC49" s="61">
        <v>117.58121576485253</v>
      </c>
      <c r="ED49" s="27">
        <v>114.14639332537051</v>
      </c>
      <c r="EE49" s="27">
        <v>1.3166359488852337</v>
      </c>
      <c r="EG49" s="39" t="s">
        <v>727</v>
      </c>
      <c r="EH49" s="63">
        <v>1540</v>
      </c>
      <c r="EI49" s="31">
        <v>5.0964000000000001E-3</v>
      </c>
      <c r="EJ49" s="31">
        <v>2.0406565611077825E-2</v>
      </c>
      <c r="EM49">
        <v>0</v>
      </c>
      <c r="EN49">
        <v>0</v>
      </c>
    </row>
    <row r="50" spans="1:144" ht="15">
      <c r="A50" s="39" t="s">
        <v>728</v>
      </c>
      <c r="B50" s="63">
        <v>1550</v>
      </c>
      <c r="C50" s="63">
        <v>1560</v>
      </c>
      <c r="D50" s="63" t="s">
        <v>435</v>
      </c>
      <c r="E50" s="94" t="s">
        <v>429</v>
      </c>
      <c r="F50" s="135" t="s">
        <v>427</v>
      </c>
      <c r="G50" s="61">
        <v>23.949311064300002</v>
      </c>
      <c r="H50" s="291">
        <v>2.9846047913068192E-5</v>
      </c>
      <c r="I50" s="291">
        <v>1.8785320183487496E-4</v>
      </c>
      <c r="J50" s="291">
        <v>2.3690867600167299E-4</v>
      </c>
      <c r="K50" s="291">
        <v>7.9377788162724768E-6</v>
      </c>
      <c r="L50" s="291">
        <v>3.9007588078891337E-5</v>
      </c>
      <c r="M50" s="291">
        <v>1.7362485345445804</v>
      </c>
      <c r="N50" s="291">
        <v>0.13767723619754973</v>
      </c>
      <c r="O50" s="300">
        <v>0</v>
      </c>
      <c r="P50" s="292">
        <v>12.176111568408015</v>
      </c>
      <c r="Q50" s="291">
        <v>9.78069411339726</v>
      </c>
      <c r="R50" s="291">
        <v>0</v>
      </c>
      <c r="S50" s="291">
        <v>0</v>
      </c>
      <c r="T50" s="291">
        <v>0.11807805845995496</v>
      </c>
      <c r="U50" s="306">
        <v>19.905246159958804</v>
      </c>
      <c r="V50" s="136">
        <v>5.740261169808738</v>
      </c>
      <c r="W50" s="306">
        <v>0</v>
      </c>
      <c r="X50" s="136">
        <v>0</v>
      </c>
      <c r="Y50" s="306">
        <v>3.81674685245896E-3</v>
      </c>
      <c r="Z50" s="306">
        <v>0</v>
      </c>
      <c r="AA50" s="306">
        <v>0</v>
      </c>
      <c r="AB50" s="312">
        <v>1.0190370810614795</v>
      </c>
      <c r="AC50" s="312">
        <v>0.27527853680002345</v>
      </c>
      <c r="AD50" s="312">
        <v>0.32600924604972109</v>
      </c>
      <c r="AE50" s="312">
        <v>0.11642522392600098</v>
      </c>
      <c r="AF50" s="312">
        <v>0</v>
      </c>
      <c r="AG50" s="312">
        <v>0</v>
      </c>
      <c r="AH50" s="19">
        <v>3.090419889232765</v>
      </c>
      <c r="AI50" s="19">
        <v>0</v>
      </c>
      <c r="AJ50" s="19">
        <v>19.043564042205517</v>
      </c>
      <c r="AK50" s="19">
        <v>1.81532713286172</v>
      </c>
      <c r="AL50" s="19">
        <v>1465.9749999999999</v>
      </c>
      <c r="AM50" s="19">
        <v>30.776299999999999</v>
      </c>
      <c r="AN50" s="19" t="s">
        <v>11</v>
      </c>
      <c r="AO50" s="19" t="s">
        <v>12</v>
      </c>
      <c r="AP50" s="305">
        <v>1.5065033848160001</v>
      </c>
      <c r="AQ50" s="341">
        <v>6.9541666666666684</v>
      </c>
      <c r="AR50" s="351"/>
      <c r="AS50" s="347"/>
      <c r="AT50" s="349"/>
      <c r="AU50" s="312">
        <v>1629.2285773580002</v>
      </c>
      <c r="AV50" s="312">
        <v>1731.619756888651</v>
      </c>
      <c r="AW50" s="312">
        <v>967.77107840428562</v>
      </c>
      <c r="AX50" s="312">
        <v>891.20516954454695</v>
      </c>
      <c r="AY50" s="333">
        <v>580.06352984685714</v>
      </c>
      <c r="AZ50">
        <v>741.9245106349664</v>
      </c>
      <c r="BA50">
        <v>657.89699396224523</v>
      </c>
      <c r="BB50" s="48">
        <v>960.2227519501522</v>
      </c>
      <c r="BC50" s="48">
        <v>780.86969947824173</v>
      </c>
      <c r="BD50" s="48">
        <v>34.554092776274928</v>
      </c>
      <c r="BE50" s="310">
        <v>0.29350122744993179</v>
      </c>
      <c r="BF50" s="310">
        <v>1.9378083088412765</v>
      </c>
      <c r="BG50" s="310">
        <v>4.6885910680176215</v>
      </c>
      <c r="BH50" s="310">
        <v>0.63064144052420334</v>
      </c>
      <c r="BI50" s="310">
        <v>30.602727418250538</v>
      </c>
      <c r="BJ50" s="305">
        <v>0.50374037258645177</v>
      </c>
      <c r="BK50" s="48">
        <v>8.5413700000000009E-2</v>
      </c>
      <c r="BL50" s="48">
        <v>2030</v>
      </c>
      <c r="BM50" s="48">
        <v>1</v>
      </c>
      <c r="BN50" s="48">
        <v>0</v>
      </c>
      <c r="BO50" s="48">
        <v>0</v>
      </c>
      <c r="BP50" s="314">
        <v>41.413011775283273</v>
      </c>
      <c r="BQ50" s="314">
        <v>59.140828776148012</v>
      </c>
      <c r="BR50" s="316">
        <v>453.2287340642705</v>
      </c>
      <c r="BS50" s="318">
        <v>166.82263265933503</v>
      </c>
      <c r="BT50" s="188">
        <v>147.44263265933503</v>
      </c>
      <c r="BU50" s="188">
        <v>147.44263265933503</v>
      </c>
      <c r="BV50" s="48">
        <v>19.379999999999995</v>
      </c>
      <c r="BW50" s="48">
        <v>50</v>
      </c>
      <c r="BX50" s="48">
        <v>48</v>
      </c>
      <c r="BY50" s="48">
        <v>43</v>
      </c>
      <c r="BZ50" s="48">
        <v>0</v>
      </c>
      <c r="CA50" s="71">
        <v>0</v>
      </c>
      <c r="CB50" s="321">
        <v>0</v>
      </c>
      <c r="CC50" s="321">
        <v>0</v>
      </c>
      <c r="CD50" s="321">
        <v>0</v>
      </c>
      <c r="CE50" s="321">
        <v>0</v>
      </c>
      <c r="CF50" s="321">
        <v>0</v>
      </c>
      <c r="CG50" s="42">
        <v>0</v>
      </c>
      <c r="CH50" s="42">
        <v>0</v>
      </c>
      <c r="CI50" s="42">
        <v>0</v>
      </c>
      <c r="CJ50" s="42">
        <v>0</v>
      </c>
      <c r="CK50" s="42">
        <v>0</v>
      </c>
      <c r="CL50" s="151" t="str">
        <f t="shared" si="0"/>
        <v>OK</v>
      </c>
      <c r="CM50" s="152" t="str">
        <f t="shared" si="1"/>
        <v>OK</v>
      </c>
      <c r="CN50" s="153" t="str">
        <f t="shared" si="2"/>
        <v>OK</v>
      </c>
      <c r="CO50" s="327">
        <f t="shared" si="3"/>
        <v>12.919999999999996</v>
      </c>
      <c r="CP50" s="328"/>
      <c r="CQ50" s="326"/>
      <c r="CR50" s="326">
        <v>126.92166335165521</v>
      </c>
      <c r="CS50" s="328">
        <v>1550</v>
      </c>
      <c r="CT50" s="327">
        <v>0.46516129032258063</v>
      </c>
      <c r="CU50" s="327">
        <f>VLOOKUP(B50,Tabelle2!$AL$2:$AM$82,2,)</f>
        <v>0.46516129032258063</v>
      </c>
      <c r="CV50">
        <v>4</v>
      </c>
      <c r="CW50">
        <v>1.4999999999999999E-2</v>
      </c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N50" s="31"/>
      <c r="DO50" s="136">
        <v>0.10173809839399013</v>
      </c>
      <c r="DP50" s="136">
        <v>126.92166335165521</v>
      </c>
      <c r="DQ50">
        <f t="shared" si="4"/>
        <v>1550</v>
      </c>
      <c r="DR50" s="147"/>
      <c r="DS50" s="147"/>
      <c r="DT50" s="147"/>
      <c r="DU50" s="147"/>
      <c r="DV50" s="147"/>
      <c r="DW50" s="147"/>
      <c r="DY50" s="48"/>
      <c r="DZ50" s="48">
        <v>22.390159611867979</v>
      </c>
      <c r="EA50" s="48">
        <v>0.55670511427773928</v>
      </c>
      <c r="EC50" s="61">
        <v>25.812562506122514</v>
      </c>
      <c r="ED50" s="27">
        <v>25.582904296722045</v>
      </c>
      <c r="EE50" s="27">
        <v>0.32793000434698089</v>
      </c>
      <c r="EG50" s="39" t="s">
        <v>728</v>
      </c>
      <c r="EH50" s="63">
        <v>1550</v>
      </c>
      <c r="EI50" s="31">
        <v>3.555863157894737E-3</v>
      </c>
      <c r="EJ50" s="31">
        <v>2.193935013615252E-2</v>
      </c>
      <c r="EM50">
        <v>0</v>
      </c>
      <c r="EN50">
        <v>0</v>
      </c>
    </row>
    <row r="51" spans="1:144" ht="15">
      <c r="A51" s="39" t="s">
        <v>728</v>
      </c>
      <c r="B51" s="63">
        <v>1560</v>
      </c>
      <c r="C51" s="63">
        <v>4080</v>
      </c>
      <c r="D51" s="63" t="s">
        <v>435</v>
      </c>
      <c r="E51" s="94" t="s">
        <v>429</v>
      </c>
      <c r="F51" s="135" t="s">
        <v>427</v>
      </c>
      <c r="G51" s="61">
        <v>515.87024038300001</v>
      </c>
      <c r="H51" s="291">
        <v>0.70252085198351233</v>
      </c>
      <c r="I51" s="291">
        <v>3.8401748435183998</v>
      </c>
      <c r="J51" s="291">
        <v>5.3058431746381487</v>
      </c>
      <c r="K51" s="291">
        <v>6.193908770941178</v>
      </c>
      <c r="L51" s="291">
        <v>7.6564079450172855</v>
      </c>
      <c r="M51" s="291">
        <v>73.52372714538825</v>
      </c>
      <c r="N51" s="291">
        <v>15.524879243522138</v>
      </c>
      <c r="O51" s="300">
        <v>1.9108894372522245</v>
      </c>
      <c r="P51" s="292">
        <v>351.75020912426555</v>
      </c>
      <c r="Q51" s="291">
        <v>43.688291963361998</v>
      </c>
      <c r="R51" s="291">
        <v>0</v>
      </c>
      <c r="S51" s="291">
        <v>7.3863680793003004E-4</v>
      </c>
      <c r="T51" s="291">
        <v>5.7726492463034145</v>
      </c>
      <c r="U51" s="306">
        <v>1562.8247993564796</v>
      </c>
      <c r="V51" s="136">
        <v>2.609465815963997</v>
      </c>
      <c r="W51" s="306">
        <v>22.234193216471631</v>
      </c>
      <c r="X51" s="136">
        <v>37.75</v>
      </c>
      <c r="Y51" s="306">
        <v>0.18060368914953379</v>
      </c>
      <c r="Z51" s="306">
        <v>0.67456687297055007</v>
      </c>
      <c r="AA51" s="306">
        <v>0</v>
      </c>
      <c r="AB51" s="312">
        <v>1.8115823785252516</v>
      </c>
      <c r="AC51" s="312">
        <v>60.377153292398887</v>
      </c>
      <c r="AD51" s="312">
        <v>18.742176861727195</v>
      </c>
      <c r="AE51" s="312">
        <v>15.567447492205178</v>
      </c>
      <c r="AF51" s="312">
        <v>0.5419937334806072</v>
      </c>
      <c r="AG51" s="312">
        <v>0.18222897314964728</v>
      </c>
      <c r="AH51" s="19">
        <v>89.609118664479212</v>
      </c>
      <c r="AI51" s="19">
        <v>20.203838967329478</v>
      </c>
      <c r="AJ51" s="19">
        <v>317.842693724208</v>
      </c>
      <c r="AK51" s="19">
        <v>88.214589026983319</v>
      </c>
      <c r="AL51" s="19">
        <v>909.26051779900001</v>
      </c>
      <c r="AM51" s="19">
        <v>15.514900000000001</v>
      </c>
      <c r="AN51" s="19" t="s">
        <v>11</v>
      </c>
      <c r="AO51" s="19" t="s">
        <v>12</v>
      </c>
      <c r="AP51" s="305">
        <v>17.6600955969563</v>
      </c>
      <c r="AQ51">
        <v>8.3048540000000006</v>
      </c>
      <c r="AR51" s="351">
        <v>1186.032316235041</v>
      </c>
      <c r="AS51" s="346">
        <v>1078.2111965773099</v>
      </c>
      <c r="AT51" s="249">
        <v>11.447065116549499</v>
      </c>
      <c r="AU51" s="312">
        <v>1536.7139436924285</v>
      </c>
      <c r="AV51" s="312">
        <v>1550.6549071236236</v>
      </c>
      <c r="AW51" s="312">
        <v>961.3502098548571</v>
      </c>
      <c r="AX51" s="312">
        <v>854.71898825907601</v>
      </c>
      <c r="AY51" s="333">
        <v>666.92328835814283</v>
      </c>
      <c r="AZ51">
        <v>835.39175057669559</v>
      </c>
      <c r="BA51">
        <v>659.20300539961613</v>
      </c>
      <c r="BB51" s="48">
        <v>992.21824488996685</v>
      </c>
      <c r="BC51" s="48">
        <v>734.51152226841191</v>
      </c>
      <c r="BD51" s="48">
        <v>34.554092776274928</v>
      </c>
      <c r="BE51" s="310">
        <v>1.147448099559383</v>
      </c>
      <c r="BF51" s="310">
        <v>2.008771603983472</v>
      </c>
      <c r="BG51" s="310">
        <v>4.3868607084601772</v>
      </c>
      <c r="BH51" s="310">
        <v>7.4385030362509488</v>
      </c>
      <c r="BI51" s="310">
        <v>30.871788032851736</v>
      </c>
      <c r="BJ51" s="305">
        <v>0.69454310152188115</v>
      </c>
      <c r="BK51" s="48">
        <v>0.11007699999999999</v>
      </c>
      <c r="BL51" s="48">
        <v>4677</v>
      </c>
      <c r="BM51" s="48">
        <v>1</v>
      </c>
      <c r="BN51" s="48">
        <v>0</v>
      </c>
      <c r="BO51" s="48">
        <v>0.31633682934646729</v>
      </c>
      <c r="BP51" s="314">
        <v>64.629885066800497</v>
      </c>
      <c r="BQ51" s="314">
        <v>58.998074756781065</v>
      </c>
      <c r="BR51" s="316">
        <v>455.89709914594778</v>
      </c>
      <c r="BS51" s="318">
        <v>27606.552381534326</v>
      </c>
      <c r="BT51" s="188">
        <v>24444.32571486766</v>
      </c>
      <c r="BU51" s="188">
        <v>24444.32571486766</v>
      </c>
      <c r="BV51" s="48">
        <v>3162.2266666666665</v>
      </c>
      <c r="BW51" s="48">
        <v>50</v>
      </c>
      <c r="BX51" s="48">
        <v>48</v>
      </c>
      <c r="BY51" s="48">
        <v>43</v>
      </c>
      <c r="BZ51" s="48">
        <v>0</v>
      </c>
      <c r="CA51" s="71">
        <v>0</v>
      </c>
      <c r="CB51" s="321">
        <v>1.4309439793674952E-2</v>
      </c>
      <c r="CC51" s="321">
        <v>0</v>
      </c>
      <c r="CD51" s="321">
        <v>0</v>
      </c>
      <c r="CE51" s="321">
        <v>2.624017166666667</v>
      </c>
      <c r="CF51" s="321">
        <v>0.38834383333333333</v>
      </c>
      <c r="CG51" s="42">
        <v>0</v>
      </c>
      <c r="CH51" s="42">
        <v>0</v>
      </c>
      <c r="CI51" s="42">
        <v>0</v>
      </c>
      <c r="CJ51" s="42">
        <v>0</v>
      </c>
      <c r="CK51" s="42">
        <v>0</v>
      </c>
      <c r="CL51" s="151" t="str">
        <f t="shared" si="0"/>
        <v>OK</v>
      </c>
      <c r="CM51" s="152" t="str">
        <f t="shared" si="1"/>
        <v>OK</v>
      </c>
      <c r="CN51" s="153" t="str">
        <f t="shared" si="2"/>
        <v>OK</v>
      </c>
      <c r="CO51" s="327">
        <f t="shared" si="3"/>
        <v>2108.1511111111104</v>
      </c>
      <c r="CP51" s="328"/>
      <c r="CQ51" s="326"/>
      <c r="CR51" s="326">
        <v>6488.2146876579309</v>
      </c>
      <c r="CS51" s="328">
        <v>1560</v>
      </c>
      <c r="CT51" s="327">
        <v>1.0019354838709678</v>
      </c>
      <c r="CU51" s="327">
        <f>VLOOKUP(B51,Tabelle2!$AL$2:$AM$82,2,)</f>
        <v>1.0019354838709678</v>
      </c>
      <c r="CV51">
        <v>4</v>
      </c>
      <c r="CW51">
        <v>0.05</v>
      </c>
      <c r="CY51" s="147">
        <f>VLOOKUP($B51,Tabelle2!$J$3:$W$38,3,)</f>
        <v>3.3181818181818183</v>
      </c>
      <c r="CZ51" s="147">
        <f>VLOOKUP($B51,Tabelle2!$J$3:$W$38,4,)</f>
        <v>6</v>
      </c>
      <c r="DA51" s="147">
        <f>VLOOKUP($B51,Tabelle2!$J$3:$W$38,5,)</f>
        <v>1.0639784946236543E-2</v>
      </c>
      <c r="DB51" s="147">
        <f>VLOOKUP($B51,Tabelle2!$J$3:$W$38,6,)</f>
        <v>1.4E-2</v>
      </c>
      <c r="DC51" s="31">
        <f>VLOOKUP($B51,Tabelle2!$J$3:$W$38,7,)</f>
        <v>3.0053763440860237E-3</v>
      </c>
      <c r="DD51" s="147">
        <f>VLOOKUP($B51,Tabelle2!$J$3:$W$38,8,)</f>
        <v>5.0000000000000001E-3</v>
      </c>
      <c r="DE51" s="147">
        <f>VLOOKUP($B51,Tabelle2!$J$3:$W$38,9,)</f>
        <v>1.688172043010754E-3</v>
      </c>
      <c r="DF51" s="147">
        <f>VLOOKUP($B51,Tabelle2!$J$3:$W$38,10,)</f>
        <v>3.0000000000000001E-3</v>
      </c>
      <c r="DG51" s="147">
        <f>VLOOKUP($B51,Tabelle2!$J$3:$W$38,11,)</f>
        <v>0.96774193548387077</v>
      </c>
      <c r="DH51" s="147">
        <f>VLOOKUP($B51,Tabelle2!$J$3:$W$38,12,)</f>
        <v>1.2</v>
      </c>
      <c r="DI51" s="147">
        <f>VLOOKUP($B51,Tabelle2!$J$3:$W$38,13,)</f>
        <v>6.6666666666666706E-3</v>
      </c>
      <c r="DJ51" s="147">
        <f>VLOOKUP($B51,Tabelle2!$J$3:$W$38,14,)</f>
        <v>0.01</v>
      </c>
      <c r="DK51" s="147">
        <f t="shared" si="5"/>
        <v>0.97609677419354823</v>
      </c>
      <c r="DL51" s="147">
        <f t="shared" si="6"/>
        <v>1.2129999999999999</v>
      </c>
      <c r="DN51" s="31"/>
      <c r="DO51" s="146" t="e">
        <f t="shared" ref="DO51:DO57" si="10">DS51</f>
        <v>#N/A</v>
      </c>
      <c r="DP51" s="136">
        <v>6488.2146876579309</v>
      </c>
      <c r="DQ51">
        <f t="shared" si="4"/>
        <v>1560</v>
      </c>
      <c r="DR51" s="147" t="e">
        <f>VLOOKUP(B51,Tabelle2!AC$2:AJ$73,3,)</f>
        <v>#N/A</v>
      </c>
      <c r="DS51" s="147" t="e">
        <f>VLOOKUP($B51,Tabelle2!$AC$2:$AJ$73,4,)</f>
        <v>#N/A</v>
      </c>
      <c r="DT51" s="147" t="e">
        <f>VLOOKUP($B51,Tabelle2!$AC$2:$AJ$73,5,)</f>
        <v>#N/A</v>
      </c>
      <c r="DU51" s="147" t="e">
        <f>VLOOKUP($B51,Tabelle2!$AC$2:$AJ$73,6,)</f>
        <v>#N/A</v>
      </c>
      <c r="DV51" s="147" t="e">
        <f>VLOOKUP($B51,Tabelle2!$AC$2:$AJ$73,7,)</f>
        <v>#N/A</v>
      </c>
      <c r="DW51" s="147" t="e">
        <f>VLOOKUP($B51,Tabelle2!$AC$2:$AJ$73,8,)</f>
        <v>#N/A</v>
      </c>
      <c r="DY51" s="48"/>
      <c r="DZ51" s="48" t="e">
        <f>DW51</f>
        <v>#N/A</v>
      </c>
      <c r="EA51" s="48">
        <v>20.890264024608474</v>
      </c>
      <c r="EC51" s="61">
        <v>1083.8387849100159</v>
      </c>
      <c r="ED51" s="27">
        <v>1053.4988917783473</v>
      </c>
      <c r="EE51" s="27">
        <v>18.362335657388179</v>
      </c>
      <c r="EG51" s="39" t="s">
        <v>728</v>
      </c>
      <c r="EH51" s="63">
        <v>1560</v>
      </c>
      <c r="EI51" s="31">
        <v>6.6287789473684208E-3</v>
      </c>
      <c r="EJ51" s="31">
        <v>2.246203074437798E-2</v>
      </c>
      <c r="EM51">
        <v>0</v>
      </c>
      <c r="EN51">
        <v>0</v>
      </c>
    </row>
    <row r="52" spans="1:144" ht="15">
      <c r="A52" s="277" t="s">
        <v>729</v>
      </c>
      <c r="B52" s="278">
        <v>1570</v>
      </c>
      <c r="C52" s="63">
        <v>1580</v>
      </c>
      <c r="D52" s="63" t="s">
        <v>435</v>
      </c>
      <c r="E52" s="94" t="s">
        <v>429</v>
      </c>
      <c r="F52" s="135" t="s">
        <v>427</v>
      </c>
      <c r="G52" s="61">
        <v>65.083340208799996</v>
      </c>
      <c r="H52" s="291">
        <v>1.9213380512297894E-2</v>
      </c>
      <c r="I52" s="291">
        <v>0.10171129328833495</v>
      </c>
      <c r="J52" s="291">
        <v>1.2930325325780558</v>
      </c>
      <c r="K52" s="291">
        <v>5.4678565950367348</v>
      </c>
      <c r="L52" s="291">
        <v>7.6701498274014197</v>
      </c>
      <c r="M52" s="291">
        <v>20.560745079782922</v>
      </c>
      <c r="N52" s="291">
        <v>3.2311857743311521</v>
      </c>
      <c r="O52" s="300">
        <v>0</v>
      </c>
      <c r="P52" s="292">
        <v>26.435657425172888</v>
      </c>
      <c r="Q52" s="291">
        <v>0</v>
      </c>
      <c r="R52" s="291">
        <v>0</v>
      </c>
      <c r="S52" s="291">
        <v>0</v>
      </c>
      <c r="T52" s="291">
        <v>0.30378830069618362</v>
      </c>
      <c r="U52" s="306">
        <v>83.355036956683605</v>
      </c>
      <c r="V52" s="136">
        <v>2.5</v>
      </c>
      <c r="W52" s="306">
        <v>0</v>
      </c>
      <c r="X52" s="136">
        <v>0</v>
      </c>
      <c r="Y52" s="306">
        <v>9.5400708304474599E-2</v>
      </c>
      <c r="Z52" s="306">
        <v>0</v>
      </c>
      <c r="AA52" s="306">
        <v>0</v>
      </c>
      <c r="AB52" s="312">
        <v>35.112708708599769</v>
      </c>
      <c r="AC52" s="312">
        <v>0</v>
      </c>
      <c r="AD52" s="312">
        <v>0</v>
      </c>
      <c r="AE52" s="312">
        <v>0</v>
      </c>
      <c r="AF52" s="312">
        <v>0</v>
      </c>
      <c r="AG52" s="312">
        <v>0</v>
      </c>
      <c r="AH52" s="19">
        <v>0</v>
      </c>
      <c r="AI52" s="19">
        <v>1.8103521879050444</v>
      </c>
      <c r="AJ52" s="19">
        <v>0</v>
      </c>
      <c r="AK52" s="19">
        <v>63.27298802089495</v>
      </c>
      <c r="AL52" s="19">
        <v>718.2</v>
      </c>
      <c r="AM52" s="19">
        <v>3.4676999999999998</v>
      </c>
      <c r="AN52" s="19"/>
      <c r="AO52" s="19"/>
      <c r="AP52" s="305">
        <v>0.66651881797970702</v>
      </c>
      <c r="AQ52">
        <v>8.8922329999999992</v>
      </c>
      <c r="AR52" s="351">
        <v>83.104340877438645</v>
      </c>
      <c r="AS52" s="346">
        <v>75.549400797671495</v>
      </c>
      <c r="AT52" s="249">
        <v>2.3055408344691499</v>
      </c>
      <c r="AU52" s="312">
        <v>846.61280316357147</v>
      </c>
      <c r="AV52" s="312">
        <v>798.20958283851382</v>
      </c>
      <c r="AW52" s="312">
        <v>563.47554636528571</v>
      </c>
      <c r="AX52" s="312">
        <v>506.9035567516334</v>
      </c>
      <c r="AY52" s="333">
        <v>651.52600574485712</v>
      </c>
      <c r="AZ52">
        <v>762.22646605350371</v>
      </c>
      <c r="BA52">
        <v>583.69739844783533</v>
      </c>
      <c r="BB52" s="48">
        <v>1072.6272362737595</v>
      </c>
      <c r="BC52" s="48">
        <v>737.11330477295405</v>
      </c>
      <c r="BD52" s="48">
        <v>34.825315844532071</v>
      </c>
      <c r="BE52" s="310">
        <v>0.13611176689836402</v>
      </c>
      <c r="BF52" s="310">
        <v>0.22581838592858816</v>
      </c>
      <c r="BG52" s="310">
        <v>0.59367235097025628</v>
      </c>
      <c r="BH52" s="310">
        <v>1.2263015452047055</v>
      </c>
      <c r="BI52" s="310">
        <v>2.0910200323456354</v>
      </c>
      <c r="BJ52" s="305">
        <v>6.8401993286073312E-2</v>
      </c>
      <c r="BK52" s="48">
        <v>9.2814599999999997E-2</v>
      </c>
      <c r="BL52" s="48">
        <v>2846.6666666666702</v>
      </c>
      <c r="BM52" s="48">
        <v>1</v>
      </c>
      <c r="BN52" s="48">
        <v>0</v>
      </c>
      <c r="BO52" s="48">
        <v>4.9009269034040992</v>
      </c>
      <c r="BP52" s="314">
        <v>56.793377137511264</v>
      </c>
      <c r="BQ52" s="314">
        <v>59.893428329325417</v>
      </c>
      <c r="BR52" s="316">
        <v>374.87826280114717</v>
      </c>
      <c r="BS52" s="318">
        <v>6976.6806525704305</v>
      </c>
      <c r="BT52" s="188">
        <v>5720.6406525704306</v>
      </c>
      <c r="BU52" s="188">
        <v>5720.6406525704306</v>
      </c>
      <c r="BV52" s="48">
        <v>1256.0400000000002</v>
      </c>
      <c r="BW52" s="48">
        <v>50</v>
      </c>
      <c r="BX52" s="48">
        <v>42</v>
      </c>
      <c r="BY52" s="48">
        <v>43</v>
      </c>
      <c r="BZ52" s="48">
        <v>0</v>
      </c>
      <c r="CA52" s="71">
        <v>0</v>
      </c>
      <c r="CB52" s="321">
        <v>4.8888888888888897E-4</v>
      </c>
      <c r="CC52" s="321">
        <v>0.13567488000000003</v>
      </c>
      <c r="CD52" s="321">
        <v>1.73448E-2</v>
      </c>
      <c r="CE52" s="321">
        <v>0</v>
      </c>
      <c r="CF52" s="321">
        <v>0</v>
      </c>
      <c r="CG52" s="42">
        <v>0</v>
      </c>
      <c r="CH52" s="42">
        <v>0</v>
      </c>
      <c r="CI52" s="42">
        <v>0</v>
      </c>
      <c r="CJ52" s="42">
        <v>0</v>
      </c>
      <c r="CK52" s="42">
        <v>0</v>
      </c>
      <c r="CL52" s="151" t="str">
        <f t="shared" si="0"/>
        <v>OK</v>
      </c>
      <c r="CM52" s="152" t="str">
        <f t="shared" si="1"/>
        <v>OK</v>
      </c>
      <c r="CN52" s="153" t="str">
        <f t="shared" si="2"/>
        <v>OK</v>
      </c>
      <c r="CO52" s="327">
        <f t="shared" si="3"/>
        <v>837.36</v>
      </c>
      <c r="CP52" s="328"/>
      <c r="CQ52" s="326">
        <v>0.75797421136143905</v>
      </c>
      <c r="CR52" s="326" t="s">
        <v>580</v>
      </c>
      <c r="CS52" s="328">
        <v>1570</v>
      </c>
      <c r="CT52" s="327">
        <v>0</v>
      </c>
      <c r="CU52" s="327">
        <f>VLOOKUP(B52,Tabelle2!$AL$2:$AM$82,2,)</f>
        <v>0</v>
      </c>
      <c r="CV52">
        <v>4</v>
      </c>
      <c r="CW52">
        <v>0.08</v>
      </c>
      <c r="CY52" s="147">
        <f>VLOOKUP($B52,Tabelle2!$J$3:$W$38,3,)</f>
        <v>9.5</v>
      </c>
      <c r="CZ52" s="147">
        <f>VLOOKUP($B52,Tabelle2!$J$3:$W$38,4,)</f>
        <v>23.800000000000011</v>
      </c>
      <c r="DA52" s="147">
        <f>VLOOKUP($B52,Tabelle2!$J$3:$W$38,5,)</f>
        <v>8.4112244897959224E-2</v>
      </c>
      <c r="DB52" s="147">
        <f>VLOOKUP($B52,Tabelle2!$J$3:$W$38,6,)</f>
        <v>0.12</v>
      </c>
      <c r="DC52" s="147">
        <f>VLOOKUP($B52,Tabelle2!$J$3:$W$38,7,)</f>
        <v>4.6632653061224487E-2</v>
      </c>
      <c r="DD52" s="147">
        <f>VLOOKUP($B52,Tabelle2!$J$3:$W$38,8,)</f>
        <v>7.1999999999999995E-2</v>
      </c>
      <c r="DE52" s="147">
        <f>VLOOKUP($B52,Tabelle2!$J$3:$W$38,9,)</f>
        <v>1.0785714285714289E-2</v>
      </c>
      <c r="DF52" s="147">
        <f>VLOOKUP($B52,Tabelle2!$J$3:$W$38,10,)</f>
        <v>1.7999999999999999E-2</v>
      </c>
      <c r="DG52" s="147">
        <f>VLOOKUP($B52,Tabelle2!$J$3:$W$38,11,)</f>
        <v>3.2224489795918374</v>
      </c>
      <c r="DH52" s="147">
        <f>VLOOKUP($B52,Tabelle2!$J$3:$W$38,12,)</f>
        <v>4.43</v>
      </c>
      <c r="DI52" s="147">
        <f>VLOOKUP($B52,Tabelle2!$J$3:$W$38,13,)</f>
        <v>2.8775510204081613E-2</v>
      </c>
      <c r="DJ52" s="147">
        <f>VLOOKUP($B52,Tabelle2!$J$3:$W$38,14,)</f>
        <v>0.06</v>
      </c>
      <c r="DK52" s="147">
        <f t="shared" si="5"/>
        <v>3.2620102040816334</v>
      </c>
      <c r="DL52" s="147">
        <f t="shared" si="6"/>
        <v>4.5079999999999991</v>
      </c>
      <c r="DN52" s="31"/>
      <c r="DO52" s="146" t="e">
        <f t="shared" si="10"/>
        <v>#N/A</v>
      </c>
      <c r="DP52" s="136" t="s">
        <v>580</v>
      </c>
      <c r="DQ52">
        <f t="shared" si="4"/>
        <v>1570</v>
      </c>
      <c r="DR52" s="147" t="e">
        <f>VLOOKUP(B52,Tabelle2!AC$2:AJ$73,3,)</f>
        <v>#N/A</v>
      </c>
      <c r="DS52" s="147" t="e">
        <f>VLOOKUP($B52,Tabelle2!$AC$2:$AJ$73,4,)</f>
        <v>#N/A</v>
      </c>
      <c r="DT52" s="147" t="e">
        <f>VLOOKUP($B52,Tabelle2!$AC$2:$AJ$73,5,)</f>
        <v>#N/A</v>
      </c>
      <c r="DU52" s="147" t="e">
        <f>VLOOKUP($B52,Tabelle2!$AC$2:$AJ$73,6,)</f>
        <v>#N/A</v>
      </c>
      <c r="DV52" s="147" t="e">
        <f>VLOOKUP($B52,Tabelle2!$AC$2:$AJ$73,7,)</f>
        <v>#N/A</v>
      </c>
      <c r="DW52" s="147" t="e">
        <f>VLOOKUP($B52,Tabelle2!$AC$2:$AJ$73,8,)</f>
        <v>#N/A</v>
      </c>
      <c r="DY52" s="48"/>
      <c r="DZ52" s="48" t="e">
        <f>DW52</f>
        <v>#N/A</v>
      </c>
      <c r="EA52" s="48" t="e">
        <f>DR52</f>
        <v>#N/A</v>
      </c>
      <c r="EC52" s="61">
        <v>51.211780800713861</v>
      </c>
      <c r="ED52" s="27">
        <v>48.241972701783702</v>
      </c>
      <c r="EE52" s="27">
        <v>1.5538763748742948</v>
      </c>
      <c r="EG52" s="39" t="s">
        <v>729</v>
      </c>
      <c r="EH52" s="63">
        <v>1570</v>
      </c>
      <c r="EI52" s="31" t="s">
        <v>927</v>
      </c>
      <c r="EJ52" s="31">
        <v>6.1611483440835647E-2</v>
      </c>
      <c r="EM52">
        <v>0</v>
      </c>
      <c r="EN52">
        <v>1</v>
      </c>
    </row>
    <row r="53" spans="1:144" ht="15">
      <c r="A53" s="277" t="s">
        <v>729</v>
      </c>
      <c r="B53" s="278">
        <v>1580</v>
      </c>
      <c r="C53" s="63">
        <v>1600</v>
      </c>
      <c r="D53" s="63" t="s">
        <v>435</v>
      </c>
      <c r="E53" s="94" t="s">
        <v>429</v>
      </c>
      <c r="F53" s="135" t="s">
        <v>427</v>
      </c>
      <c r="G53" s="61">
        <v>197.962294697</v>
      </c>
      <c r="H53" s="291">
        <v>8.4449224476136397E-2</v>
      </c>
      <c r="I53" s="291">
        <v>0.39874400814290412</v>
      </c>
      <c r="J53" s="291">
        <v>2.5402937142432713</v>
      </c>
      <c r="K53" s="291">
        <v>13.526766553056737</v>
      </c>
      <c r="L53" s="291">
        <v>33.650976286124056</v>
      </c>
      <c r="M53" s="291">
        <v>54.062222709631513</v>
      </c>
      <c r="N53" s="291">
        <v>9.4916492478838421</v>
      </c>
      <c r="O53" s="300">
        <v>0</v>
      </c>
      <c r="P53" s="292">
        <v>83.333375764156443</v>
      </c>
      <c r="Q53" s="291">
        <v>0</v>
      </c>
      <c r="R53" s="291">
        <v>0</v>
      </c>
      <c r="S53" s="291">
        <v>0</v>
      </c>
      <c r="T53" s="291">
        <v>0.873817189285091</v>
      </c>
      <c r="U53" s="337">
        <v>234.37650648450818</v>
      </c>
      <c r="V53" s="136">
        <v>2.3206938490548796</v>
      </c>
      <c r="W53" s="306">
        <v>6.1351775647473321</v>
      </c>
      <c r="X53" s="136">
        <v>20</v>
      </c>
      <c r="Y53" s="306">
        <v>0.207197521028575</v>
      </c>
      <c r="Z53" s="306">
        <v>0</v>
      </c>
      <c r="AA53" s="306">
        <v>0</v>
      </c>
      <c r="AB53" s="312">
        <v>97.258484648425991</v>
      </c>
      <c r="AC53" s="312">
        <v>5.3694138407700445</v>
      </c>
      <c r="AD53" s="312">
        <v>1.6355540064785887</v>
      </c>
      <c r="AE53" s="312">
        <v>0</v>
      </c>
      <c r="AF53" s="312">
        <v>0</v>
      </c>
      <c r="AG53" s="312">
        <v>0</v>
      </c>
      <c r="AH53" s="19">
        <v>1.5180145708911447E-7</v>
      </c>
      <c r="AI53" s="19">
        <v>25.711530354725028</v>
      </c>
      <c r="AJ53" s="19">
        <v>0</v>
      </c>
      <c r="AK53" s="19">
        <v>172.25076419047352</v>
      </c>
      <c r="AL53" s="19">
        <v>632.43609022600003</v>
      </c>
      <c r="AM53" s="19">
        <v>4.2854000000000001</v>
      </c>
      <c r="AN53" s="19"/>
      <c r="AO53" s="19"/>
      <c r="AP53" s="305">
        <v>1.92529952434047</v>
      </c>
      <c r="AQ53">
        <v>9.5252429999999997</v>
      </c>
      <c r="AR53" s="351">
        <v>350.61286874010534</v>
      </c>
      <c r="AS53" s="348">
        <v>318.73897158191397</v>
      </c>
      <c r="AT53" s="350">
        <v>13.660576820034001</v>
      </c>
      <c r="AU53" s="312">
        <v>803.62908238914292</v>
      </c>
      <c r="AV53" s="312">
        <v>787.9329124387076</v>
      </c>
      <c r="AW53" s="312">
        <v>533.59257992742857</v>
      </c>
      <c r="AX53" s="312">
        <v>492.15325016562201</v>
      </c>
      <c r="AY53" s="333">
        <v>670.67816647028576</v>
      </c>
      <c r="AZ53">
        <v>771.56026748315332</v>
      </c>
      <c r="BA53">
        <v>591.11075005556631</v>
      </c>
      <c r="BB53" s="48">
        <v>1025.0211034512381</v>
      </c>
      <c r="BC53" s="48">
        <v>713.68584050886454</v>
      </c>
      <c r="BD53" s="48">
        <v>34.825315844532071</v>
      </c>
      <c r="BE53" s="310">
        <v>0.40694379226156024</v>
      </c>
      <c r="BF53" s="310">
        <v>0.46051628195596206</v>
      </c>
      <c r="BG53" s="310">
        <v>0.89249176506150663</v>
      </c>
      <c r="BH53" s="310">
        <v>1.4136288488823652</v>
      </c>
      <c r="BI53" s="310">
        <v>2.8336106417787978</v>
      </c>
      <c r="BJ53" s="305">
        <v>8.3932316623058514E-2</v>
      </c>
      <c r="BK53" s="48">
        <v>0.10024899999999999</v>
      </c>
      <c r="BL53" s="48">
        <v>1916.875</v>
      </c>
      <c r="BM53" s="48">
        <v>1</v>
      </c>
      <c r="BN53" s="48">
        <v>0</v>
      </c>
      <c r="BO53" s="48">
        <v>14.241203773301978</v>
      </c>
      <c r="BP53" s="314">
        <v>56.998779166109699</v>
      </c>
      <c r="BQ53" s="314">
        <v>46.404547758121254</v>
      </c>
      <c r="BR53" s="316">
        <v>394.2329196130741</v>
      </c>
      <c r="BS53" s="318">
        <v>18948.674904348543</v>
      </c>
      <c r="BT53" s="188">
        <v>15554.774904348544</v>
      </c>
      <c r="BU53" s="188">
        <v>15554.774904348544</v>
      </c>
      <c r="BV53" s="48">
        <v>3393.9</v>
      </c>
      <c r="BW53" s="48">
        <v>50</v>
      </c>
      <c r="BX53" s="48">
        <v>42</v>
      </c>
      <c r="BY53" s="48">
        <v>43</v>
      </c>
      <c r="BZ53" s="48">
        <v>0</v>
      </c>
      <c r="CA53" s="71">
        <v>0</v>
      </c>
      <c r="CB53" s="321">
        <v>9.1905214093945559E-2</v>
      </c>
      <c r="CC53" s="321">
        <v>0</v>
      </c>
      <c r="CD53" s="321">
        <v>0</v>
      </c>
      <c r="CE53" s="321">
        <v>12.947146533333333</v>
      </c>
      <c r="CF53" s="321">
        <v>1.6290028333333335</v>
      </c>
      <c r="CG53" s="42">
        <v>0</v>
      </c>
      <c r="CH53" s="42">
        <v>0</v>
      </c>
      <c r="CI53" s="42">
        <v>0</v>
      </c>
      <c r="CJ53" s="42">
        <v>0</v>
      </c>
      <c r="CK53" s="42">
        <v>0</v>
      </c>
      <c r="CL53" s="151" t="str">
        <f t="shared" si="0"/>
        <v>OK</v>
      </c>
      <c r="CM53" s="152" t="str">
        <f t="shared" si="1"/>
        <v>OK</v>
      </c>
      <c r="CN53" s="153" t="str">
        <f t="shared" si="2"/>
        <v>OK</v>
      </c>
      <c r="CO53" s="327">
        <f t="shared" si="3"/>
        <v>2262.6</v>
      </c>
      <c r="CP53" s="328"/>
      <c r="CQ53" s="326">
        <v>4.3523328475479799</v>
      </c>
      <c r="CR53" s="326" t="e">
        <v>#N/A</v>
      </c>
      <c r="CS53" s="328">
        <v>1580</v>
      </c>
      <c r="CT53" s="327">
        <v>4.8796774193548389</v>
      </c>
      <c r="CU53" s="327">
        <f>VLOOKUP(B53,Tabelle2!$AL$2:$AM$82,2,)</f>
        <v>4.8796774193548389</v>
      </c>
      <c r="CV53">
        <v>5.5</v>
      </c>
      <c r="CW53">
        <v>0.1</v>
      </c>
      <c r="CY53" s="147">
        <f>VLOOKUP($B53,Tabelle2!$J$3:$W$38,3,)</f>
        <v>9.8076923076923084</v>
      </c>
      <c r="CZ53" s="147">
        <f>VLOOKUP($B53,Tabelle2!$J$3:$W$38,4,)</f>
        <v>30.800000000000018</v>
      </c>
      <c r="DA53" s="147">
        <f>VLOOKUP($B53,Tabelle2!$J$3:$W$38,5,)</f>
        <v>0.12622448979591838</v>
      </c>
      <c r="DB53" s="147">
        <f>VLOOKUP($B53,Tabelle2!$J$3:$W$38,6,)</f>
        <v>0.21299999999999997</v>
      </c>
      <c r="DC53" s="147">
        <f>VLOOKUP($B53,Tabelle2!$J$3:$W$38,7,)</f>
        <v>8.515306122448979E-2</v>
      </c>
      <c r="DD53" s="147">
        <f>VLOOKUP($B53,Tabelle2!$J$3:$W$38,8,)</f>
        <v>0.15</v>
      </c>
      <c r="DE53" s="147">
        <f>VLOOKUP($B53,Tabelle2!$J$3:$W$38,9,)</f>
        <v>1.6653061224489785E-2</v>
      </c>
      <c r="DF53" s="147">
        <f>VLOOKUP($B53,Tabelle2!$J$3:$W$38,10,)</f>
        <v>2.8299999999999999E-2</v>
      </c>
      <c r="DG53" s="147">
        <f>VLOOKUP($B53,Tabelle2!$J$3:$W$38,11,)</f>
        <v>3.5642857142857149</v>
      </c>
      <c r="DH53" s="147">
        <f>VLOOKUP($B53,Tabelle2!$J$3:$W$38,12,)</f>
        <v>5.0999999999999996</v>
      </c>
      <c r="DI53" s="147">
        <f>VLOOKUP($B53,Tabelle2!$J$3:$W$38,13,)</f>
        <v>4.7602040816326484E-2</v>
      </c>
      <c r="DJ53" s="147">
        <f>VLOOKUP($B53,Tabelle2!$J$3:$W$38,14,)</f>
        <v>0.11</v>
      </c>
      <c r="DK53" s="147">
        <f t="shared" si="5"/>
        <v>3.6285408163265314</v>
      </c>
      <c r="DL53" s="147">
        <f t="shared" si="6"/>
        <v>5.2382999999999997</v>
      </c>
      <c r="DN53" s="31"/>
      <c r="DO53" s="146"/>
      <c r="DP53" s="136" t="e">
        <v>#N/A</v>
      </c>
      <c r="DQ53">
        <f t="shared" si="4"/>
        <v>1580</v>
      </c>
      <c r="DR53" s="147"/>
      <c r="DS53" s="147"/>
      <c r="DT53" s="147"/>
      <c r="DU53" s="147"/>
      <c r="DV53" s="147"/>
      <c r="DW53" s="147"/>
      <c r="DY53" s="48"/>
      <c r="DZ53" s="48"/>
      <c r="EA53" s="48"/>
      <c r="EC53" s="61">
        <v>236.2595753204188</v>
      </c>
      <c r="ED53" s="27">
        <v>223.38524360884779</v>
      </c>
      <c r="EE53" s="27">
        <v>9.0752893767129024</v>
      </c>
      <c r="EG53" s="39" t="s">
        <v>729</v>
      </c>
      <c r="EH53" s="63">
        <v>1580</v>
      </c>
      <c r="EI53" s="31">
        <v>4.591238684210526E-2</v>
      </c>
      <c r="EJ53" s="31">
        <v>6.3780517014898924E-2</v>
      </c>
      <c r="EM53">
        <v>1</v>
      </c>
      <c r="EN53">
        <v>0</v>
      </c>
    </row>
    <row r="54" spans="1:144" ht="15">
      <c r="A54" s="277" t="s">
        <v>730</v>
      </c>
      <c r="B54" s="278">
        <v>1590</v>
      </c>
      <c r="C54" s="63">
        <v>1600</v>
      </c>
      <c r="D54" s="63" t="s">
        <v>435</v>
      </c>
      <c r="E54" s="94" t="s">
        <v>429</v>
      </c>
      <c r="F54" s="135" t="s">
        <v>427</v>
      </c>
      <c r="G54" s="61">
        <v>282.07629954999999</v>
      </c>
      <c r="H54" s="291">
        <v>0</v>
      </c>
      <c r="I54" s="291">
        <v>3.004009778687719E-2</v>
      </c>
      <c r="J54" s="291">
        <v>0.38836511927143375</v>
      </c>
      <c r="K54" s="291">
        <v>3.5642668740375942</v>
      </c>
      <c r="L54" s="291">
        <v>33.033947437731747</v>
      </c>
      <c r="M54" s="291">
        <v>53.735819850226335</v>
      </c>
      <c r="N54" s="291">
        <v>8.3461556942098643</v>
      </c>
      <c r="O54" s="300">
        <v>0</v>
      </c>
      <c r="P54" s="292">
        <v>180.78831059002786</v>
      </c>
      <c r="Q54" s="291">
        <v>0</v>
      </c>
      <c r="R54" s="291">
        <v>0</v>
      </c>
      <c r="S54" s="291">
        <v>0.72373852200330091</v>
      </c>
      <c r="T54" s="291">
        <v>1.4656553647049719</v>
      </c>
      <c r="U54" s="306">
        <v>295.72100604468591</v>
      </c>
      <c r="V54" s="136">
        <v>3.5667838654048638</v>
      </c>
      <c r="W54" s="306">
        <v>0</v>
      </c>
      <c r="X54" s="136">
        <v>0</v>
      </c>
      <c r="Y54" s="306">
        <v>0.41088245168349197</v>
      </c>
      <c r="Z54" s="306">
        <v>0</v>
      </c>
      <c r="AA54" s="306">
        <v>0</v>
      </c>
      <c r="AB54" s="312">
        <v>83.661601172386511</v>
      </c>
      <c r="AC54" s="312">
        <v>1.0831117690365404</v>
      </c>
      <c r="AD54" s="312">
        <v>5.0882096259041925</v>
      </c>
      <c r="AE54" s="312">
        <v>0</v>
      </c>
      <c r="AF54" s="312">
        <v>0.79930677570102526</v>
      </c>
      <c r="AG54" s="312">
        <v>0.12021003602569533</v>
      </c>
      <c r="AH54" s="19">
        <v>0</v>
      </c>
      <c r="AI54" s="19">
        <v>11.725230685673907</v>
      </c>
      <c r="AJ54" s="19">
        <v>0</v>
      </c>
      <c r="AK54" s="19">
        <v>270.35106886432607</v>
      </c>
      <c r="AL54" s="19">
        <v>750.27245508999999</v>
      </c>
      <c r="AM54" s="19">
        <v>3.9445999999999999</v>
      </c>
      <c r="AN54" s="19"/>
      <c r="AO54" s="19"/>
      <c r="AP54" s="305">
        <v>3.6506930601064198</v>
      </c>
      <c r="AQ54">
        <v>8.6718449999999994</v>
      </c>
      <c r="AR54" s="351">
        <v>226.25008305051682</v>
      </c>
      <c r="AS54" s="346">
        <v>205.68189368228801</v>
      </c>
      <c r="AT54" s="249">
        <v>10.0594511988613</v>
      </c>
      <c r="AU54" s="312">
        <v>907.19869014571429</v>
      </c>
      <c r="AV54" s="312">
        <v>875.2206598702162</v>
      </c>
      <c r="AW54" s="312">
        <v>587.2550192648572</v>
      </c>
      <c r="AX54" s="312">
        <v>536.11657299246656</v>
      </c>
      <c r="AY54" s="333">
        <v>644.69076479742853</v>
      </c>
      <c r="AZ54">
        <v>788.50783314957675</v>
      </c>
      <c r="BA54">
        <v>604.88564666082902</v>
      </c>
      <c r="BB54" s="48">
        <v>931.60335256679036</v>
      </c>
      <c r="BC54" s="48">
        <v>667.15824289044519</v>
      </c>
      <c r="BD54" s="48">
        <v>34.825315844532071</v>
      </c>
      <c r="BE54" s="310">
        <v>0</v>
      </c>
      <c r="BF54" s="310">
        <v>0.21136602828950238</v>
      </c>
      <c r="BG54" s="310">
        <v>0.56856836219168339</v>
      </c>
      <c r="BH54" s="310">
        <v>0.68578421593271477</v>
      </c>
      <c r="BI54" s="310">
        <v>1.8185445322806559</v>
      </c>
      <c r="BJ54" s="305">
        <v>8.4211386525175902E-2</v>
      </c>
      <c r="BK54" s="48">
        <v>9.3441500000000011E-2</v>
      </c>
      <c r="BL54" s="48">
        <v>2394.2857142857101</v>
      </c>
      <c r="BM54" s="48">
        <v>1</v>
      </c>
      <c r="BN54" s="48">
        <v>0</v>
      </c>
      <c r="BO54" s="48">
        <v>7.2260619109102375</v>
      </c>
      <c r="BP54" s="314">
        <v>53.980110625395497</v>
      </c>
      <c r="BQ54" s="314">
        <v>59.292893665220333</v>
      </c>
      <c r="BR54" s="316">
        <v>748.63618880634704</v>
      </c>
      <c r="BS54" s="318">
        <v>12699.874090518839</v>
      </c>
      <c r="BT54" s="188">
        <v>10409.014090518838</v>
      </c>
      <c r="BU54" s="188">
        <v>10409.014090518838</v>
      </c>
      <c r="BV54" s="48">
        <v>2290.8600000000006</v>
      </c>
      <c r="BW54" s="48">
        <v>50</v>
      </c>
      <c r="BX54" s="48">
        <v>42</v>
      </c>
      <c r="BY54" s="48">
        <v>43</v>
      </c>
      <c r="BZ54" s="48">
        <v>0</v>
      </c>
      <c r="CA54" s="71">
        <v>0</v>
      </c>
      <c r="CB54" s="321">
        <v>1.0815832012092002E-2</v>
      </c>
      <c r="CC54" s="321">
        <v>0.96902619999999995</v>
      </c>
      <c r="CD54" s="321">
        <v>0.40314749999999994</v>
      </c>
      <c r="CE54" s="321">
        <v>0</v>
      </c>
      <c r="CF54" s="321">
        <v>0</v>
      </c>
      <c r="CG54" s="42">
        <v>0</v>
      </c>
      <c r="CH54" s="42">
        <v>0</v>
      </c>
      <c r="CI54" s="42">
        <v>0</v>
      </c>
      <c r="CJ54" s="42">
        <v>0</v>
      </c>
      <c r="CK54" s="42">
        <v>0</v>
      </c>
      <c r="CL54" s="151" t="str">
        <f t="shared" si="0"/>
        <v>OK</v>
      </c>
      <c r="CM54" s="152" t="str">
        <f t="shared" si="1"/>
        <v>OK</v>
      </c>
      <c r="CN54" s="153" t="str">
        <f t="shared" si="2"/>
        <v>OK</v>
      </c>
      <c r="CO54" s="327">
        <f t="shared" si="3"/>
        <v>1527.2400000000005</v>
      </c>
      <c r="CP54" s="328"/>
      <c r="CQ54" s="326">
        <v>1.78613184248956</v>
      </c>
      <c r="CR54" s="326" t="s">
        <v>580</v>
      </c>
      <c r="CS54" s="328">
        <v>1590</v>
      </c>
      <c r="CT54" s="327">
        <v>1.0808602150537632</v>
      </c>
      <c r="CU54" s="327">
        <f>VLOOKUP(B54,Tabelle2!$AL$2:$AM$82,2,)</f>
        <v>1.0808602150537632</v>
      </c>
      <c r="CV54">
        <v>5.5</v>
      </c>
      <c r="CW54">
        <v>0.1</v>
      </c>
      <c r="CY54" s="147">
        <f>VLOOKUP($B54,Tabelle2!$J$3:$W$38,3,)</f>
        <v>7.3461538461538458</v>
      </c>
      <c r="CZ54" s="147">
        <f>VLOOKUP($B54,Tabelle2!$J$3:$W$38,4,)</f>
        <v>22.800000000000015</v>
      </c>
      <c r="DA54" s="147">
        <f>VLOOKUP($B54,Tabelle2!$J$3:$W$38,5,)</f>
        <v>3.7397959183673439E-2</v>
      </c>
      <c r="DB54" s="147">
        <f>VLOOKUP($B54,Tabelle2!$J$3:$W$38,6,)</f>
        <v>6.0599999999999994E-2</v>
      </c>
      <c r="DC54" s="147">
        <f>VLOOKUP($B54,Tabelle2!$J$3:$W$38,7,)</f>
        <v>1.3091836734693874E-2</v>
      </c>
      <c r="DD54" s="147">
        <f>VLOOKUP($B54,Tabelle2!$J$3:$W$38,8,)</f>
        <v>2.0299999999999999E-2</v>
      </c>
      <c r="DE54" s="147">
        <f>VLOOKUP($B54,Tabelle2!$J$3:$W$38,9,)</f>
        <v>2.724489795918369E-3</v>
      </c>
      <c r="DF54" s="147">
        <f>VLOOKUP($B54,Tabelle2!$J$3:$W$38,10,)</f>
        <v>4.0000000000000001E-3</v>
      </c>
      <c r="DG54" s="147">
        <f>VLOOKUP($B54,Tabelle2!$J$3:$W$38,11,)</f>
        <v>1.6612244897959185</v>
      </c>
      <c r="DH54" s="147">
        <f>VLOOKUP($B54,Tabelle2!$J$3:$W$38,12,)</f>
        <v>2.4</v>
      </c>
      <c r="DI54" s="147">
        <f>VLOOKUP($B54,Tabelle2!$J$3:$W$38,13,)</f>
        <v>1.3367346938775516E-2</v>
      </c>
      <c r="DJ54" s="147">
        <f>VLOOKUP($B54,Tabelle2!$J$3:$W$38,14,)</f>
        <v>0.02</v>
      </c>
      <c r="DK54" s="147">
        <f t="shared" si="5"/>
        <v>1.6773163265306126</v>
      </c>
      <c r="DL54" s="147">
        <f t="shared" si="6"/>
        <v>2.4239999999999999</v>
      </c>
      <c r="DN54" s="31"/>
      <c r="DO54" s="146">
        <f t="shared" si="10"/>
        <v>1.6</v>
      </c>
      <c r="DP54" s="136" t="s">
        <v>580</v>
      </c>
      <c r="DQ54">
        <f t="shared" si="4"/>
        <v>1590</v>
      </c>
      <c r="DR54" s="271">
        <v>5.2</v>
      </c>
      <c r="DS54" s="271">
        <v>1.6</v>
      </c>
      <c r="DT54" s="271">
        <v>1.6</v>
      </c>
      <c r="DU54" s="271">
        <v>0.3</v>
      </c>
      <c r="DV54" s="271">
        <v>214.9</v>
      </c>
      <c r="DW54" s="271">
        <v>216.8</v>
      </c>
      <c r="DY54" s="48"/>
      <c r="DZ54" s="48">
        <f>DW54</f>
        <v>216.8</v>
      </c>
      <c r="EA54" s="48">
        <f>DR54</f>
        <v>5.2</v>
      </c>
      <c r="EC54" s="61">
        <v>162.45145469567123</v>
      </c>
      <c r="ED54" s="27">
        <v>150.9458335152647</v>
      </c>
      <c r="EE54" s="27">
        <v>5.7814132089716352</v>
      </c>
      <c r="EG54" s="39" t="s">
        <v>730</v>
      </c>
      <c r="EH54" s="63">
        <v>1590</v>
      </c>
      <c r="EI54" s="31">
        <v>3.732748070175438E-2</v>
      </c>
      <c r="EJ54" s="31">
        <v>4.5871812889858886E-2</v>
      </c>
      <c r="EM54">
        <v>0</v>
      </c>
      <c r="EN54">
        <v>0</v>
      </c>
    </row>
    <row r="55" spans="1:144" ht="15">
      <c r="A55" s="277" t="s">
        <v>731</v>
      </c>
      <c r="B55" s="278">
        <v>1600</v>
      </c>
      <c r="C55" s="63">
        <v>5020</v>
      </c>
      <c r="D55" s="63" t="s">
        <v>435</v>
      </c>
      <c r="E55" s="94" t="s">
        <v>429</v>
      </c>
      <c r="F55" s="135" t="s">
        <v>427</v>
      </c>
      <c r="G55" s="61">
        <v>104.92062178099999</v>
      </c>
      <c r="H55" s="291">
        <v>2.0726782049526808</v>
      </c>
      <c r="I55" s="291">
        <v>2.0509970550093408</v>
      </c>
      <c r="J55" s="291">
        <v>1.3699430864797293</v>
      </c>
      <c r="K55" s="291">
        <v>7.1631424276090705</v>
      </c>
      <c r="L55" s="291">
        <v>23.028052618334005</v>
      </c>
      <c r="M55" s="291">
        <v>21.025949832741436</v>
      </c>
      <c r="N55" s="291">
        <v>6.7051958879916436</v>
      </c>
      <c r="O55" s="300">
        <v>0.46492298306523955</v>
      </c>
      <c r="P55" s="292">
        <v>40.414865336994986</v>
      </c>
      <c r="Q55" s="291">
        <v>0</v>
      </c>
      <c r="R55" s="291">
        <v>0</v>
      </c>
      <c r="S55" s="291">
        <v>1.08621421766518E-3</v>
      </c>
      <c r="T55" s="291">
        <v>0.6237881336041915</v>
      </c>
      <c r="U55" s="306">
        <v>205.41420847792517</v>
      </c>
      <c r="V55" s="136">
        <v>2.2076939328371843</v>
      </c>
      <c r="W55" s="306">
        <v>4.6737018701230575</v>
      </c>
      <c r="X55" s="136">
        <v>20</v>
      </c>
      <c r="Y55" s="306">
        <v>7.6822394426462604E-2</v>
      </c>
      <c r="Z55" s="306">
        <v>0</v>
      </c>
      <c r="AA55" s="306">
        <v>0</v>
      </c>
      <c r="AB55" s="312">
        <v>43.740874801077958</v>
      </c>
      <c r="AC55" s="312">
        <v>3.6808877588921485</v>
      </c>
      <c r="AD55" s="312">
        <v>7.7124938271662327</v>
      </c>
      <c r="AE55" s="312">
        <v>1.40617295502971</v>
      </c>
      <c r="AF55" s="312">
        <v>0.17033388296020463</v>
      </c>
      <c r="AG55" s="312">
        <v>0</v>
      </c>
      <c r="AH55" s="19">
        <v>12.7965049979874</v>
      </c>
      <c r="AI55" s="19">
        <v>20.366226120328292</v>
      </c>
      <c r="AJ55" s="19">
        <v>0</v>
      </c>
      <c r="AK55" s="19">
        <v>71.757890662684304</v>
      </c>
      <c r="AL55" s="19">
        <v>434.13138686100001</v>
      </c>
      <c r="AM55" s="19">
        <v>3.2334999999999998</v>
      </c>
      <c r="AN55" s="19"/>
      <c r="AO55" s="19"/>
      <c r="AP55" s="305">
        <v>1.11059834248985</v>
      </c>
      <c r="AQ55">
        <v>9.5921570000000003</v>
      </c>
      <c r="AR55" s="351">
        <v>730.68974513121407</v>
      </c>
      <c r="AS55" s="346">
        <v>664.26340466474005</v>
      </c>
      <c r="AT55" s="249">
        <v>32.784468276737101</v>
      </c>
      <c r="AU55" s="312">
        <v>808.88684213271438</v>
      </c>
      <c r="AV55" s="312">
        <v>781.11088107329647</v>
      </c>
      <c r="AW55" s="312">
        <v>549.97457839185722</v>
      </c>
      <c r="AX55" s="312">
        <v>486.83696733133951</v>
      </c>
      <c r="AY55" s="333">
        <v>717.84132714357133</v>
      </c>
      <c r="AZ55">
        <v>795.08104080451017</v>
      </c>
      <c r="BA55">
        <v>610.42513343372639</v>
      </c>
      <c r="BB55" s="48">
        <v>891.02678695005716</v>
      </c>
      <c r="BC55" s="48">
        <v>646.69363665408628</v>
      </c>
      <c r="BD55" s="48">
        <v>34.767886814181132</v>
      </c>
      <c r="BE55" s="310">
        <v>0.57009861342333623</v>
      </c>
      <c r="BF55" s="310">
        <v>0.93022062960937124</v>
      </c>
      <c r="BG55" s="310">
        <v>2.1524453134568589</v>
      </c>
      <c r="BH55" s="310">
        <v>3.2615765800460541</v>
      </c>
      <c r="BI55" s="310">
        <v>6.4884815324513383</v>
      </c>
      <c r="BJ55" s="305">
        <v>0.18162731641794908</v>
      </c>
      <c r="BK55" s="48">
        <v>0.21199500000000002</v>
      </c>
      <c r="BL55" s="48">
        <v>2288.3333333333303</v>
      </c>
      <c r="BM55" s="48">
        <v>1</v>
      </c>
      <c r="BN55" s="48">
        <v>0</v>
      </c>
      <c r="BO55" s="48">
        <v>1.6241238240052052</v>
      </c>
      <c r="BP55" s="314">
        <v>59.370246047837917</v>
      </c>
      <c r="BQ55" s="314">
        <v>46.227742827432763</v>
      </c>
      <c r="BR55" s="316">
        <v>525.36375099494376</v>
      </c>
      <c r="BS55" s="318">
        <v>14542.336052611437</v>
      </c>
      <c r="BT55" s="188">
        <v>11933.236052611439</v>
      </c>
      <c r="BU55" s="188">
        <v>11933.236052611439</v>
      </c>
      <c r="BV55" s="48">
        <v>2609.0999999999995</v>
      </c>
      <c r="BW55" s="48">
        <v>50</v>
      </c>
      <c r="BX55" s="48">
        <v>42</v>
      </c>
      <c r="BY55" s="48">
        <v>43</v>
      </c>
      <c r="BZ55" s="48">
        <v>0</v>
      </c>
      <c r="CA55" s="71">
        <v>0</v>
      </c>
      <c r="CB55" s="321">
        <v>2.3758635580500592E-2</v>
      </c>
      <c r="CC55" s="321">
        <v>0</v>
      </c>
      <c r="CD55" s="321">
        <v>0</v>
      </c>
      <c r="CE55" s="321">
        <v>2.9462612666666663</v>
      </c>
      <c r="CF55" s="321">
        <v>0.61756300000000008</v>
      </c>
      <c r="CG55" s="42">
        <v>0</v>
      </c>
      <c r="CH55" s="42">
        <v>0</v>
      </c>
      <c r="CI55" s="42">
        <v>0</v>
      </c>
      <c r="CJ55" s="42">
        <v>0</v>
      </c>
      <c r="CK55" s="42">
        <v>0</v>
      </c>
      <c r="CL55" s="151" t="str">
        <f t="shared" si="0"/>
        <v>OK</v>
      </c>
      <c r="CM55" s="152" t="str">
        <f t="shared" si="1"/>
        <v>OK</v>
      </c>
      <c r="CN55" s="153" t="str">
        <f t="shared" si="2"/>
        <v>OK</v>
      </c>
      <c r="CO55" s="327">
        <f t="shared" si="3"/>
        <v>1739.399999999999</v>
      </c>
      <c r="CP55" s="328"/>
      <c r="CQ55" s="326">
        <v>8.8756207834758598</v>
      </c>
      <c r="CR55" s="326" t="e">
        <v>#N/A</v>
      </c>
      <c r="CS55" s="328">
        <v>1600</v>
      </c>
      <c r="CT55" s="327">
        <v>5.7033064516129039</v>
      </c>
      <c r="CU55" s="327">
        <f>VLOOKUP(B55,Tabelle2!$AL$2:$AM$82,2,)</f>
        <v>5.7033064516129039</v>
      </c>
      <c r="CV55">
        <v>4</v>
      </c>
      <c r="CW55">
        <v>0.05</v>
      </c>
      <c r="CY55" s="147">
        <f>VLOOKUP($B55,Tabelle2!$J$3:$W$38,3,)</f>
        <v>11.923076923076923</v>
      </c>
      <c r="CZ55" s="147">
        <f>VLOOKUP($B55,Tabelle2!$J$3:$W$38,4,)</f>
        <v>41.000000000000021</v>
      </c>
      <c r="DA55" s="147">
        <f>VLOOKUP($B55,Tabelle2!$J$3:$W$38,5,)</f>
        <v>7.9193877551020433E-2</v>
      </c>
      <c r="DB55" s="147">
        <f>VLOOKUP($B55,Tabelle2!$J$3:$W$38,6,)</f>
        <v>0.13</v>
      </c>
      <c r="DC55" s="147">
        <f>VLOOKUP($B55,Tabelle2!$J$3:$W$38,7,)</f>
        <v>4.3795918367346927E-2</v>
      </c>
      <c r="DD55" s="147">
        <f>VLOOKUP($B55,Tabelle2!$J$3:$W$38,8,)</f>
        <v>6.83E-2</v>
      </c>
      <c r="DE55" s="147">
        <f>VLOOKUP($B55,Tabelle2!$J$3:$W$38,9,)</f>
        <v>8.5510204081632717E-3</v>
      </c>
      <c r="DF55" s="147">
        <f>VLOOKUP($B55,Tabelle2!$J$3:$W$38,10,)</f>
        <v>1.2299999999999997E-2</v>
      </c>
      <c r="DG55" s="147">
        <f>VLOOKUP($B55,Tabelle2!$J$3:$W$38,11,)</f>
        <v>2.6173469387755097</v>
      </c>
      <c r="DH55" s="147">
        <f>VLOOKUP($B55,Tabelle2!$J$3:$W$38,12,)</f>
        <v>3.8</v>
      </c>
      <c r="DI55" s="147">
        <f>VLOOKUP($B55,Tabelle2!$J$3:$W$38,13,)</f>
        <v>3.6020408163265294E-2</v>
      </c>
      <c r="DJ55" s="147">
        <f>VLOOKUP($B55,Tabelle2!$J$3:$W$38,14,)</f>
        <v>0.06</v>
      </c>
      <c r="DK55" s="147">
        <f t="shared" si="5"/>
        <v>2.6619183673469382</v>
      </c>
      <c r="DL55" s="147">
        <f t="shared" si="6"/>
        <v>3.8723000000000001</v>
      </c>
      <c r="DN55" s="31"/>
      <c r="DO55" s="146">
        <f t="shared" si="10"/>
        <v>9.1999999999999993</v>
      </c>
      <c r="DP55" s="136" t="e">
        <v>#N/A</v>
      </c>
      <c r="DQ55">
        <f t="shared" si="4"/>
        <v>1600</v>
      </c>
      <c r="DR55" s="147">
        <v>20.7</v>
      </c>
      <c r="DS55" s="147">
        <v>9.1999999999999993</v>
      </c>
      <c r="DT55" s="147">
        <v>9.4</v>
      </c>
      <c r="DU55" s="147">
        <v>1.9</v>
      </c>
      <c r="DV55" s="147">
        <v>697.5</v>
      </c>
      <c r="DW55" s="147">
        <v>708.8</v>
      </c>
      <c r="DY55" s="48"/>
      <c r="DZ55" s="48">
        <f>DW55</f>
        <v>708.8</v>
      </c>
      <c r="EA55" s="48">
        <f>DR55</f>
        <v>20.7</v>
      </c>
      <c r="EC55" s="61">
        <v>493.53810585579799</v>
      </c>
      <c r="ED55" s="27">
        <v>460.71468456092487</v>
      </c>
      <c r="EE55" s="27">
        <v>18.527436025446391</v>
      </c>
      <c r="EG55" s="39" t="s">
        <v>731</v>
      </c>
      <c r="EH55" s="63">
        <v>1600</v>
      </c>
      <c r="EI55" s="31">
        <v>4.4428465789473681E-2</v>
      </c>
      <c r="EJ55" s="31">
        <v>5.8972964474680277E-2</v>
      </c>
      <c r="EM55">
        <v>1</v>
      </c>
      <c r="EN55">
        <v>0</v>
      </c>
    </row>
    <row r="56" spans="1:144" ht="15">
      <c r="A56" s="39" t="s">
        <v>732</v>
      </c>
      <c r="B56" s="63">
        <v>1620</v>
      </c>
      <c r="C56" s="63">
        <v>1640</v>
      </c>
      <c r="D56" s="63" t="s">
        <v>435</v>
      </c>
      <c r="E56" s="94" t="s">
        <v>429</v>
      </c>
      <c r="F56" s="135" t="s">
        <v>427</v>
      </c>
      <c r="G56" s="61">
        <v>98.794377356799998</v>
      </c>
      <c r="H56" s="291">
        <v>1.4357961878330083</v>
      </c>
      <c r="I56" s="291">
        <v>1.3151979570239545</v>
      </c>
      <c r="J56" s="291">
        <v>0.73319108590277671</v>
      </c>
      <c r="K56" s="291">
        <v>1.999331819347</v>
      </c>
      <c r="L56" s="291">
        <v>18.633749159129724</v>
      </c>
      <c r="M56" s="291">
        <v>24.77818741623507</v>
      </c>
      <c r="N56" s="291">
        <v>4.4319224499579928</v>
      </c>
      <c r="O56" s="300">
        <v>0</v>
      </c>
      <c r="P56" s="292">
        <v>45.063227650774202</v>
      </c>
      <c r="Q56" s="291">
        <v>0</v>
      </c>
      <c r="R56" s="291">
        <v>0</v>
      </c>
      <c r="S56" s="291">
        <v>3.00357826532674E-3</v>
      </c>
      <c r="T56" s="291">
        <v>0.40077005233093999</v>
      </c>
      <c r="U56" s="306">
        <v>132.67162137451848</v>
      </c>
      <c r="V56" s="136">
        <v>2.5505913279795411</v>
      </c>
      <c r="W56" s="306">
        <v>0</v>
      </c>
      <c r="X56" s="136">
        <v>0</v>
      </c>
      <c r="Y56" s="306">
        <v>6.2378965384107997E-2</v>
      </c>
      <c r="Z56" s="306">
        <v>0</v>
      </c>
      <c r="AA56" s="306">
        <v>0</v>
      </c>
      <c r="AB56" s="312">
        <v>7.2866310961453493</v>
      </c>
      <c r="AC56" s="312">
        <v>28.440993444235836</v>
      </c>
      <c r="AD56" s="312">
        <v>8.2388411075642658</v>
      </c>
      <c r="AE56" s="312">
        <v>4.7979887542118762</v>
      </c>
      <c r="AF56" s="312">
        <v>0.13099922331420452</v>
      </c>
      <c r="AG56" s="312">
        <v>0</v>
      </c>
      <c r="AH56" s="19">
        <v>5.2936055500708541</v>
      </c>
      <c r="AI56" s="19">
        <v>14.438784645030314</v>
      </c>
      <c r="AJ56" s="19">
        <v>0</v>
      </c>
      <c r="AK56" s="19">
        <v>79.061987161698823</v>
      </c>
      <c r="AL56" s="19">
        <v>481.97014925399998</v>
      </c>
      <c r="AM56" s="19">
        <v>3.8740999999999999</v>
      </c>
      <c r="AN56" s="19"/>
      <c r="AO56" s="19"/>
      <c r="AP56" s="305">
        <v>1.1829493162937501</v>
      </c>
      <c r="AQ56">
        <v>8.809901</v>
      </c>
      <c r="AR56" s="351"/>
      <c r="AS56" s="346"/>
      <c r="AT56" s="249"/>
      <c r="AU56" s="312">
        <v>917.01916906885708</v>
      </c>
      <c r="AV56" s="312">
        <v>849.70958787609482</v>
      </c>
      <c r="AW56" s="312">
        <v>596.98385633357145</v>
      </c>
      <c r="AX56" s="312">
        <v>521.07090901816309</v>
      </c>
      <c r="AY56" s="333">
        <v>704.36418254171429</v>
      </c>
      <c r="AZ56">
        <v>795.08100847720118</v>
      </c>
      <c r="BA56">
        <v>610.4249026387123</v>
      </c>
      <c r="BB56" s="48">
        <v>891.02670835661945</v>
      </c>
      <c r="BC56" s="48">
        <v>646.69307555035687</v>
      </c>
      <c r="BD56" s="48">
        <v>34.767886814181132</v>
      </c>
      <c r="BE56" s="310">
        <v>0.75417601768028542</v>
      </c>
      <c r="BF56" s="310">
        <v>1.523661994966006</v>
      </c>
      <c r="BG56" s="310">
        <v>2.857251768920456</v>
      </c>
      <c r="BH56" s="310">
        <v>6.4181322581206395</v>
      </c>
      <c r="BI56" s="310">
        <v>4.9244734817558795</v>
      </c>
      <c r="BJ56" s="305">
        <v>0.15201412984661375</v>
      </c>
      <c r="BK56" s="48">
        <v>0.12675700000000001</v>
      </c>
      <c r="BL56" s="48">
        <v>2587</v>
      </c>
      <c r="BM56" s="48">
        <v>1</v>
      </c>
      <c r="BN56" s="48">
        <v>0</v>
      </c>
      <c r="BO56" s="48">
        <v>1.2506510061897962</v>
      </c>
      <c r="BP56" s="314">
        <v>77.205262566701649</v>
      </c>
      <c r="BQ56" s="314">
        <v>36.5464411532841</v>
      </c>
      <c r="BR56" s="316">
        <v>650.99052070559037</v>
      </c>
      <c r="BS56" s="318">
        <v>5453.1294432051072</v>
      </c>
      <c r="BT56" s="188">
        <v>4260.2894432051071</v>
      </c>
      <c r="BU56" s="188">
        <v>4260.2894432051071</v>
      </c>
      <c r="BV56" s="48">
        <v>1192.8400000000001</v>
      </c>
      <c r="BW56" s="48">
        <v>50</v>
      </c>
      <c r="BX56" s="48">
        <v>39</v>
      </c>
      <c r="BY56" s="48">
        <v>43</v>
      </c>
      <c r="BZ56" s="48">
        <v>0</v>
      </c>
      <c r="CA56" s="71">
        <v>0</v>
      </c>
      <c r="CB56" s="321">
        <v>2.1530998065702685E-2</v>
      </c>
      <c r="CC56" s="321">
        <v>3.1466197666666673</v>
      </c>
      <c r="CD56" s="321">
        <v>0.45692200000000005</v>
      </c>
      <c r="CE56" s="321">
        <v>0</v>
      </c>
      <c r="CF56" s="321">
        <v>0</v>
      </c>
      <c r="CG56" s="42">
        <v>0</v>
      </c>
      <c r="CH56" s="42">
        <v>0</v>
      </c>
      <c r="CI56" s="42">
        <v>0</v>
      </c>
      <c r="CJ56" s="42">
        <v>0</v>
      </c>
      <c r="CK56" s="42">
        <v>0</v>
      </c>
      <c r="CL56" s="151" t="str">
        <f t="shared" si="0"/>
        <v>OK</v>
      </c>
      <c r="CM56" s="152" t="str">
        <f t="shared" si="1"/>
        <v>OK</v>
      </c>
      <c r="CN56" s="153" t="str">
        <f t="shared" si="2"/>
        <v>OK</v>
      </c>
      <c r="CO56" s="327">
        <f t="shared" si="3"/>
        <v>795.2266666666668</v>
      </c>
      <c r="CP56" s="328"/>
      <c r="CQ56" s="326"/>
      <c r="CR56" s="326" t="e">
        <v>#N/A</v>
      </c>
      <c r="CS56" s="328">
        <v>1620</v>
      </c>
      <c r="CT56" s="327">
        <v>0</v>
      </c>
      <c r="CU56" s="327">
        <f>VLOOKUP(B56,Tabelle2!$AL$2:$AM$82,2,)</f>
        <v>0</v>
      </c>
      <c r="CV56">
        <v>4</v>
      </c>
      <c r="CW56">
        <v>0.05</v>
      </c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N56" s="31"/>
      <c r="DO56" s="136" t="e">
        <v>#N/A</v>
      </c>
      <c r="DP56" s="136" t="e">
        <v>#N/A</v>
      </c>
      <c r="DQ56">
        <f t="shared" si="4"/>
        <v>1620</v>
      </c>
      <c r="DR56" s="147"/>
      <c r="DS56" s="147"/>
      <c r="DT56" s="147"/>
      <c r="DU56" s="147"/>
      <c r="DV56" s="147"/>
      <c r="DW56" s="147"/>
      <c r="DY56" s="48"/>
      <c r="DZ56" s="48"/>
      <c r="EA56" s="48"/>
      <c r="EC56" s="61">
        <v>101.26806127538785</v>
      </c>
      <c r="ED56" s="27">
        <v>93.025224591099629</v>
      </c>
      <c r="EE56" s="27">
        <v>2.524001890828194</v>
      </c>
      <c r="EG56" s="39" t="s">
        <v>732</v>
      </c>
      <c r="EH56" s="63">
        <v>1620</v>
      </c>
      <c r="EI56" s="31" t="s">
        <v>927</v>
      </c>
      <c r="EJ56" s="31">
        <v>3.1555802909286501E-2</v>
      </c>
      <c r="EM56">
        <v>0</v>
      </c>
      <c r="EN56">
        <v>0</v>
      </c>
    </row>
    <row r="57" spans="1:144" ht="15">
      <c r="A57" s="39" t="s">
        <v>733</v>
      </c>
      <c r="B57" s="63">
        <v>1630</v>
      </c>
      <c r="C57" s="63">
        <v>1640</v>
      </c>
      <c r="D57" s="63" t="s">
        <v>435</v>
      </c>
      <c r="E57" s="94" t="s">
        <v>429</v>
      </c>
      <c r="F57" s="135" t="s">
        <v>427</v>
      </c>
      <c r="G57" s="61">
        <v>79.3027611734</v>
      </c>
      <c r="H57" s="291">
        <v>0</v>
      </c>
      <c r="I57" s="291">
        <v>4.6234658208697413E-3</v>
      </c>
      <c r="J57" s="291">
        <v>0.1138334743497984</v>
      </c>
      <c r="K57" s="291">
        <v>2.0509172121326373</v>
      </c>
      <c r="L57" s="291">
        <v>10.176106260958997</v>
      </c>
      <c r="M57" s="291">
        <v>12.926107358012768</v>
      </c>
      <c r="N57" s="291">
        <v>2.0351082823345816</v>
      </c>
      <c r="O57" s="300">
        <v>0</v>
      </c>
      <c r="P57" s="292">
        <v>51.74017731718633</v>
      </c>
      <c r="Q57" s="291">
        <v>0</v>
      </c>
      <c r="R57" s="291">
        <v>0</v>
      </c>
      <c r="S57" s="291">
        <v>0</v>
      </c>
      <c r="T57" s="291">
        <v>0.25588780260401678</v>
      </c>
      <c r="U57" s="306">
        <v>75.433972480158403</v>
      </c>
      <c r="V57" s="136">
        <v>2.5</v>
      </c>
      <c r="W57" s="306">
        <v>0</v>
      </c>
      <c r="X57" s="136">
        <v>0</v>
      </c>
      <c r="Y57" s="306">
        <v>6.730287140362079E-2</v>
      </c>
      <c r="Z57" s="306">
        <v>0</v>
      </c>
      <c r="AA57" s="306">
        <v>0</v>
      </c>
      <c r="AB57" s="312">
        <v>24.989728716895083</v>
      </c>
      <c r="AC57" s="312">
        <v>0.18945747539794541</v>
      </c>
      <c r="AD57" s="312">
        <v>0</v>
      </c>
      <c r="AE57" s="312">
        <v>0</v>
      </c>
      <c r="AF57" s="312">
        <v>0</v>
      </c>
      <c r="AG57" s="312">
        <v>9.2401578982044333E-2</v>
      </c>
      <c r="AH57" s="19">
        <v>0</v>
      </c>
      <c r="AI57" s="19">
        <v>1.4476884211756067</v>
      </c>
      <c r="AJ57" s="19">
        <v>0</v>
      </c>
      <c r="AK57" s="19">
        <v>77.855072752224388</v>
      </c>
      <c r="AL57" s="19">
        <v>830.58653846200002</v>
      </c>
      <c r="AM57" s="19">
        <v>3.6617000000000002</v>
      </c>
      <c r="AN57" s="19"/>
      <c r="AO57" s="19"/>
      <c r="AP57" s="305">
        <v>1.1185962075819</v>
      </c>
      <c r="AQ57">
        <v>7.3841580000000002</v>
      </c>
      <c r="AR57" s="351">
        <v>62.592696556374491</v>
      </c>
      <c r="AS57" s="346">
        <v>56.902451414885903</v>
      </c>
      <c r="AT57" s="249">
        <v>1.41798826172318</v>
      </c>
      <c r="AU57" s="312">
        <v>942.84002585157134</v>
      </c>
      <c r="AV57" s="312">
        <v>890.64865755120854</v>
      </c>
      <c r="AW57" s="312">
        <v>611.37395775585719</v>
      </c>
      <c r="AX57" s="312">
        <v>537.98180902655827</v>
      </c>
      <c r="AY57" s="333">
        <v>626.42054672085703</v>
      </c>
      <c r="AZ57">
        <v>795.08130011550656</v>
      </c>
      <c r="BA57">
        <v>610.42507542293583</v>
      </c>
      <c r="BB57" s="48">
        <v>891.02162291006448</v>
      </c>
      <c r="BC57" s="48">
        <v>646.68929008474743</v>
      </c>
      <c r="BD57" s="48">
        <v>34.825315844532071</v>
      </c>
      <c r="BE57" s="310">
        <v>0</v>
      </c>
      <c r="BF57" s="310">
        <v>0.11856767625197777</v>
      </c>
      <c r="BG57" s="310">
        <v>0.15267881514919954</v>
      </c>
      <c r="BH57" s="310">
        <v>0.30081135793704866</v>
      </c>
      <c r="BI57" s="310">
        <v>0.68425702066513028</v>
      </c>
      <c r="BJ57" s="305">
        <v>5.8072284235275863E-2</v>
      </c>
      <c r="BK57" s="48">
        <v>9.3557500000000002E-2</v>
      </c>
      <c r="BL57" s="48">
        <v>3915</v>
      </c>
      <c r="BM57" s="48">
        <v>1</v>
      </c>
      <c r="BN57" s="48">
        <v>0</v>
      </c>
      <c r="BO57" s="48">
        <v>0</v>
      </c>
      <c r="BP57" s="314">
        <v>55.535194204778975</v>
      </c>
      <c r="BQ57" s="314">
        <v>37.803820855151997</v>
      </c>
      <c r="BR57" s="316">
        <v>591.90268488572588</v>
      </c>
      <c r="BS57" s="318">
        <v>2946.8477584474549</v>
      </c>
      <c r="BT57" s="188">
        <v>2294.9877584474552</v>
      </c>
      <c r="BU57" s="188">
        <v>2294.9877584474552</v>
      </c>
      <c r="BV57" s="48">
        <v>651.8599999999999</v>
      </c>
      <c r="BW57" s="48">
        <v>50</v>
      </c>
      <c r="BX57" s="48">
        <v>39</v>
      </c>
      <c r="BY57" s="48">
        <v>43</v>
      </c>
      <c r="BZ57" s="48">
        <v>0</v>
      </c>
      <c r="CA57" s="71">
        <v>0</v>
      </c>
      <c r="CB57" s="321">
        <v>0</v>
      </c>
      <c r="CC57" s="321">
        <v>0</v>
      </c>
      <c r="CD57" s="321">
        <v>0</v>
      </c>
      <c r="CE57" s="321">
        <v>0</v>
      </c>
      <c r="CF57" s="321">
        <v>0</v>
      </c>
      <c r="CG57" s="42">
        <v>0</v>
      </c>
      <c r="CH57" s="42">
        <v>0</v>
      </c>
      <c r="CI57" s="42">
        <v>0</v>
      </c>
      <c r="CJ57" s="42">
        <v>0</v>
      </c>
      <c r="CK57" s="42">
        <v>0</v>
      </c>
      <c r="CL57" s="151" t="str">
        <f t="shared" si="0"/>
        <v>OK</v>
      </c>
      <c r="CM57" s="152" t="str">
        <f t="shared" si="1"/>
        <v>OK</v>
      </c>
      <c r="CN57" s="153" t="str">
        <f t="shared" si="2"/>
        <v>OK</v>
      </c>
      <c r="CO57" s="327">
        <f t="shared" si="3"/>
        <v>434.5733333333331</v>
      </c>
      <c r="CP57" s="328"/>
      <c r="CQ57" s="326">
        <v>0.37531483649916397</v>
      </c>
      <c r="CR57" s="326" t="e">
        <v>#N/A</v>
      </c>
      <c r="CS57" s="328">
        <v>1630</v>
      </c>
      <c r="CT57" s="327">
        <v>2.3675806451612904</v>
      </c>
      <c r="CU57" s="327">
        <f>VLOOKUP(B57,Tabelle2!$AL$2:$AM$82,2,)</f>
        <v>2.3675806451612904</v>
      </c>
      <c r="CV57">
        <v>4</v>
      </c>
      <c r="CW57">
        <v>0.08</v>
      </c>
      <c r="CY57" s="147">
        <f>VLOOKUP($B57,Tabelle2!$J$3:$W$38,3,)</f>
        <v>4.5909090909090908</v>
      </c>
      <c r="CZ57" s="147">
        <f>VLOOKUP($B57,Tabelle2!$J$3:$W$38,4,)</f>
        <v>10</v>
      </c>
      <c r="DA57" s="147">
        <f>VLOOKUP($B57,Tabelle2!$J$3:$W$38,5,)</f>
        <v>2.9215053763440829E-2</v>
      </c>
      <c r="DB57" s="147">
        <f>VLOOKUP($B57,Tabelle2!$J$3:$W$38,6,)</f>
        <v>4.579999999999998E-2</v>
      </c>
      <c r="DC57" s="147">
        <f>VLOOKUP($B57,Tabelle2!$J$3:$W$38,7,)</f>
        <v>1.1688172043010755E-2</v>
      </c>
      <c r="DD57" s="147">
        <f>VLOOKUP($B57,Tabelle2!$J$3:$W$38,8,)</f>
        <v>1.4999999999999999E-2</v>
      </c>
      <c r="DE57" s="147">
        <f>VLOOKUP($B57,Tabelle2!$J$3:$W$38,9,)</f>
        <v>1.6236559139784959E-3</v>
      </c>
      <c r="DF57" s="147">
        <f>VLOOKUP($B57,Tabelle2!$J$3:$W$38,10,)</f>
        <v>1.5E-3</v>
      </c>
      <c r="DG57" s="147">
        <f>VLOOKUP($B57,Tabelle2!$J$3:$W$38,11,)</f>
        <v>1.6096774193548382</v>
      </c>
      <c r="DH57" s="147">
        <f>VLOOKUP($B57,Tabelle2!$J$3:$W$38,12,)</f>
        <v>1.9</v>
      </c>
      <c r="DI57" s="147">
        <f>VLOOKUP($B57,Tabelle2!$J$3:$W$38,13,)</f>
        <v>1.0268817204301083E-2</v>
      </c>
      <c r="DJ57" s="147">
        <f>VLOOKUP($B57,Tabelle2!$J$3:$W$38,14,)</f>
        <v>0.02</v>
      </c>
      <c r="DK57" s="147">
        <f t="shared" si="5"/>
        <v>1.6215698924731177</v>
      </c>
      <c r="DL57" s="147">
        <f t="shared" si="6"/>
        <v>1.9215</v>
      </c>
      <c r="DN57" s="31"/>
      <c r="DO57" s="146" t="e">
        <f t="shared" si="10"/>
        <v>#N/A</v>
      </c>
      <c r="DP57" s="136" t="e">
        <v>#N/A</v>
      </c>
      <c r="DQ57">
        <f t="shared" si="4"/>
        <v>1630</v>
      </c>
      <c r="DR57" s="147" t="e">
        <f>VLOOKUP(B57,Tabelle2!AC$2:AJ$73,3,)</f>
        <v>#N/A</v>
      </c>
      <c r="DS57" s="147" t="e">
        <f>VLOOKUP($B57,Tabelle2!$AC$2:$AJ$73,4,)</f>
        <v>#N/A</v>
      </c>
      <c r="DT57" s="147" t="e">
        <f>VLOOKUP($B57,Tabelle2!$AC$2:$AJ$73,5,)</f>
        <v>#N/A</v>
      </c>
      <c r="DU57" s="147" t="e">
        <f>VLOOKUP($B57,Tabelle2!$AC$2:$AJ$73,6,)</f>
        <v>#N/A</v>
      </c>
      <c r="DV57" s="147" t="e">
        <f>VLOOKUP($B57,Tabelle2!$AC$2:$AJ$73,7,)</f>
        <v>#N/A</v>
      </c>
      <c r="DW57" s="147" t="e">
        <f>VLOOKUP($B57,Tabelle2!$AC$2:$AJ$73,8,)</f>
        <v>#N/A</v>
      </c>
      <c r="DY57" s="48"/>
      <c r="DZ57" s="48" t="e">
        <f>DW57</f>
        <v>#N/A</v>
      </c>
      <c r="EA57" s="48" t="e">
        <f>DR57</f>
        <v>#N/A</v>
      </c>
      <c r="EC57" s="61">
        <v>46.186630083861587</v>
      </c>
      <c r="ED57" s="27">
        <v>41.314630536197463</v>
      </c>
      <c r="EE57" s="27">
        <v>1.699188327502547</v>
      </c>
      <c r="EG57" s="39" t="s">
        <v>733</v>
      </c>
      <c r="EH57" s="63">
        <v>1630</v>
      </c>
      <c r="EI57" s="31">
        <v>2.8345257894736842E-2</v>
      </c>
      <c r="EJ57" s="31">
        <v>4.7233850818497881E-2</v>
      </c>
      <c r="EM57">
        <v>0</v>
      </c>
      <c r="EN57">
        <v>0</v>
      </c>
    </row>
    <row r="58" spans="1:144" ht="15">
      <c r="A58" s="39" t="s">
        <v>734</v>
      </c>
      <c r="B58" s="63">
        <v>1640</v>
      </c>
      <c r="C58" s="63">
        <v>5020</v>
      </c>
      <c r="D58" s="63" t="s">
        <v>435</v>
      </c>
      <c r="E58" s="94" t="s">
        <v>429</v>
      </c>
      <c r="F58" s="135" t="s">
        <v>427</v>
      </c>
      <c r="G58" s="61">
        <v>291.62679402600003</v>
      </c>
      <c r="H58" s="291">
        <v>11.766757329794117</v>
      </c>
      <c r="I58" s="291">
        <v>11.356053062403218</v>
      </c>
      <c r="J58" s="291">
        <v>4.8014908190230905</v>
      </c>
      <c r="K58" s="291">
        <v>3.4518954711872554</v>
      </c>
      <c r="L58" s="291">
        <v>45.095438070553513</v>
      </c>
      <c r="M58" s="291">
        <v>58.70734464118523</v>
      </c>
      <c r="N58" s="291">
        <v>12.308311404632573</v>
      </c>
      <c r="O58" s="300">
        <v>0</v>
      </c>
      <c r="P58" s="292">
        <v>142.12761023355318</v>
      </c>
      <c r="Q58" s="291">
        <v>0</v>
      </c>
      <c r="R58" s="291">
        <v>0</v>
      </c>
      <c r="S58" s="291">
        <v>2.4083799998412899E-4</v>
      </c>
      <c r="T58" s="291">
        <v>2.0116521556678113</v>
      </c>
      <c r="U58" s="306">
        <v>479.25006353733011</v>
      </c>
      <c r="V58" s="136">
        <v>2.9761139542799531</v>
      </c>
      <c r="W58" s="306">
        <v>24.550317105397003</v>
      </c>
      <c r="X58" s="136">
        <v>7.5</v>
      </c>
      <c r="Y58" s="306">
        <v>0.40122197569433099</v>
      </c>
      <c r="Z58" s="306">
        <v>0</v>
      </c>
      <c r="AA58" s="306">
        <v>0</v>
      </c>
      <c r="AB58" s="312">
        <v>93.270241610987881</v>
      </c>
      <c r="AC58" s="312">
        <v>13.020188269944498</v>
      </c>
      <c r="AD58" s="312">
        <v>22.108619198905306</v>
      </c>
      <c r="AE58" s="312">
        <v>5.4520549851694025</v>
      </c>
      <c r="AF58" s="312">
        <v>1.2696518045009662</v>
      </c>
      <c r="AG58" s="312">
        <v>5.8223524638386211E-2</v>
      </c>
      <c r="AH58" s="19">
        <v>41.461546136127787</v>
      </c>
      <c r="AI58" s="19">
        <v>21.330015259032226</v>
      </c>
      <c r="AJ58" s="19">
        <v>0</v>
      </c>
      <c r="AK58" s="19">
        <v>228.83523263084004</v>
      </c>
      <c r="AL58" s="19">
        <v>575.92225201099996</v>
      </c>
      <c r="AM58" s="19">
        <v>3.6351</v>
      </c>
      <c r="AN58" s="19"/>
      <c r="AO58" s="19"/>
      <c r="AP58" s="305">
        <v>3.6531714983270001</v>
      </c>
      <c r="AQ58" s="341">
        <v>9.8052332439669989</v>
      </c>
      <c r="AR58" s="351"/>
      <c r="AS58" s="346"/>
      <c r="AT58" s="249"/>
      <c r="AU58" s="312">
        <v>893.4367856987144</v>
      </c>
      <c r="AV58" s="312">
        <v>849.0143234492615</v>
      </c>
      <c r="AW58" s="312">
        <v>586.2401680904286</v>
      </c>
      <c r="AX58" s="312">
        <v>520.56266177251916</v>
      </c>
      <c r="AY58" s="333">
        <v>689.88321820257136</v>
      </c>
      <c r="AZ58">
        <v>795.08170123822561</v>
      </c>
      <c r="BA58">
        <v>610.42574753023553</v>
      </c>
      <c r="BB58" s="48">
        <v>891.02259810439807</v>
      </c>
      <c r="BC58" s="48">
        <v>646.69092408651136</v>
      </c>
      <c r="BD58" s="48">
        <v>34.767886814181132</v>
      </c>
      <c r="BE58" s="310">
        <v>0.75331121216313068</v>
      </c>
      <c r="BF58" s="310">
        <v>1.3301737954685964</v>
      </c>
      <c r="BG58" s="310">
        <v>2.0921364624880172</v>
      </c>
      <c r="BH58" s="310">
        <v>3.2363998277103421</v>
      </c>
      <c r="BI58" s="310">
        <v>4.1497232228153296</v>
      </c>
      <c r="BJ58" s="305">
        <v>0.15532567619552973</v>
      </c>
      <c r="BK58" s="48">
        <v>0.11761199999999999</v>
      </c>
      <c r="BL58" s="48">
        <v>2750</v>
      </c>
      <c r="BM58" s="48">
        <v>1</v>
      </c>
      <c r="BN58" s="48">
        <v>0</v>
      </c>
      <c r="BO58" s="48">
        <v>1.9215490743620725</v>
      </c>
      <c r="BP58" s="314">
        <v>62.836784291257977</v>
      </c>
      <c r="BQ58" s="314">
        <v>53.649638206353757</v>
      </c>
      <c r="BR58" s="316">
        <v>518.59724968783428</v>
      </c>
      <c r="BS58" s="318">
        <v>20981.120855093628</v>
      </c>
      <c r="BT58" s="188">
        <v>16446.920855093631</v>
      </c>
      <c r="BU58" s="188">
        <v>16446.920855093631</v>
      </c>
      <c r="BV58" s="48">
        <v>4534.1999999999989</v>
      </c>
      <c r="BW58" s="48">
        <v>50</v>
      </c>
      <c r="BX58" s="48">
        <v>39</v>
      </c>
      <c r="BY58" s="48">
        <v>43</v>
      </c>
      <c r="BZ58" s="48">
        <v>0</v>
      </c>
      <c r="CA58" s="71">
        <v>0</v>
      </c>
      <c r="CB58" s="321">
        <v>6.8433975879418241E-2</v>
      </c>
      <c r="CC58" s="321">
        <v>0</v>
      </c>
      <c r="CD58" s="321">
        <v>0</v>
      </c>
      <c r="CE58" s="321">
        <v>5.635122471111111</v>
      </c>
      <c r="CF58" s="321">
        <v>1.3956282666666666</v>
      </c>
      <c r="CG58" s="42">
        <v>0</v>
      </c>
      <c r="CH58" s="42">
        <v>0</v>
      </c>
      <c r="CI58" s="42">
        <v>0</v>
      </c>
      <c r="CJ58" s="42">
        <v>0</v>
      </c>
      <c r="CK58" s="42">
        <v>0</v>
      </c>
      <c r="CL58" s="151" t="str">
        <f t="shared" si="0"/>
        <v>OK</v>
      </c>
      <c r="CM58" s="152" t="str">
        <f t="shared" si="1"/>
        <v>OK</v>
      </c>
      <c r="CN58" s="153" t="str">
        <f t="shared" si="2"/>
        <v>OK</v>
      </c>
      <c r="CO58" s="327">
        <f t="shared" si="3"/>
        <v>3022.7999999999979</v>
      </c>
      <c r="CP58" s="328"/>
      <c r="CQ58" s="326"/>
      <c r="CR58" s="326" t="e">
        <v>#N/A</v>
      </c>
      <c r="CS58" s="328">
        <v>1640</v>
      </c>
      <c r="CT58" s="327">
        <v>3.9414516129032253</v>
      </c>
      <c r="CU58" s="327">
        <f>VLOOKUP(B58,Tabelle2!$AL$2:$AM$82,2,)</f>
        <v>3.9414516129032253</v>
      </c>
      <c r="CV58" t="s">
        <v>614</v>
      </c>
      <c r="CW58">
        <v>0.05</v>
      </c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N58" s="31"/>
      <c r="DO58" s="136" t="e">
        <v>#N/A</v>
      </c>
      <c r="DP58" s="136" t="e">
        <v>#N/A</v>
      </c>
      <c r="DQ58">
        <f t="shared" si="4"/>
        <v>1640</v>
      </c>
      <c r="DR58" s="147"/>
      <c r="DS58" s="147"/>
      <c r="DT58" s="147"/>
      <c r="DU58" s="147"/>
      <c r="DV58" s="147"/>
      <c r="DW58" s="147"/>
      <c r="DY58" s="48"/>
      <c r="DZ58" s="48"/>
      <c r="EA58" s="48"/>
      <c r="EC58" s="61">
        <v>376.39810488946284</v>
      </c>
      <c r="ED58" s="27">
        <v>343.2087486634689</v>
      </c>
      <c r="EE58" s="27">
        <v>12.112285612160854</v>
      </c>
      <c r="EG58" s="39" t="s">
        <v>734</v>
      </c>
      <c r="EH58" s="63">
        <v>1640</v>
      </c>
      <c r="EI58" s="31">
        <v>2.4060867543859648E-2</v>
      </c>
      <c r="EJ58" s="31">
        <v>5.1274676343303023E-2</v>
      </c>
      <c r="EM58">
        <v>0</v>
      </c>
      <c r="EN58">
        <v>0</v>
      </c>
    </row>
    <row r="59" spans="1:144" ht="15">
      <c r="A59" s="39" t="s">
        <v>735</v>
      </c>
      <c r="B59" s="63">
        <v>3650</v>
      </c>
      <c r="C59" s="63"/>
      <c r="D59" s="63" t="s">
        <v>435</v>
      </c>
      <c r="E59" s="94" t="s">
        <v>430</v>
      </c>
      <c r="F59" s="135" t="s">
        <v>431</v>
      </c>
      <c r="G59" s="61">
        <v>67.72</v>
      </c>
      <c r="H59" s="291">
        <v>7.1604097620332303E-3</v>
      </c>
      <c r="I59" s="291">
        <v>0.19557745182750885</v>
      </c>
      <c r="J59" s="291">
        <v>1.6809557284350722</v>
      </c>
      <c r="K59" s="291">
        <v>7.3571870193679656</v>
      </c>
      <c r="L59" s="291">
        <v>9.2501419633656621</v>
      </c>
      <c r="M59" s="291">
        <v>22.37775301482964</v>
      </c>
      <c r="N59" s="291">
        <v>2.3626565379773532</v>
      </c>
      <c r="O59" s="300">
        <v>0</v>
      </c>
      <c r="P59" s="292">
        <v>24.308603868842805</v>
      </c>
      <c r="Q59" s="291">
        <v>0</v>
      </c>
      <c r="R59" s="291">
        <v>0</v>
      </c>
      <c r="S59" s="291">
        <v>0</v>
      </c>
      <c r="T59" s="291">
        <v>0.17996400559196862</v>
      </c>
      <c r="U59" s="306">
        <v>42.587581598730402</v>
      </c>
      <c r="V59" s="136">
        <v>2.5</v>
      </c>
      <c r="W59" s="306">
        <v>0</v>
      </c>
      <c r="X59" s="136">
        <v>0</v>
      </c>
      <c r="Y59" s="306">
        <v>7.3495051595142608E-2</v>
      </c>
      <c r="Z59" s="306">
        <v>0</v>
      </c>
      <c r="AA59" s="306">
        <v>0</v>
      </c>
      <c r="AB59" s="312">
        <v>40.708387281983221</v>
      </c>
      <c r="AC59" s="312">
        <v>0.16038830560465889</v>
      </c>
      <c r="AD59" s="312">
        <v>0</v>
      </c>
      <c r="AE59" s="312">
        <v>0</v>
      </c>
      <c r="AF59" s="312">
        <v>0</v>
      </c>
      <c r="AG59" s="312">
        <v>0</v>
      </c>
      <c r="AH59" s="19">
        <v>3.0559631808521326</v>
      </c>
      <c r="AI59" s="19">
        <v>0</v>
      </c>
      <c r="AJ59" s="19">
        <v>0</v>
      </c>
      <c r="AK59" s="19">
        <v>64.664036819147867</v>
      </c>
      <c r="AL59" s="19">
        <v>718.87878700000567</v>
      </c>
      <c r="AM59" s="19">
        <v>2.4471000000000118</v>
      </c>
      <c r="AN59" s="19"/>
      <c r="AO59" s="19"/>
      <c r="AP59" s="305">
        <v>0.77814879415982197</v>
      </c>
      <c r="AQ59" s="341">
        <v>9.3763636389999832</v>
      </c>
      <c r="AR59" s="351"/>
      <c r="AS59" s="346"/>
      <c r="AT59" s="249"/>
      <c r="AU59" s="312">
        <v>847.81554217285714</v>
      </c>
      <c r="AV59" s="312">
        <v>809.29637526870692</v>
      </c>
      <c r="AW59" s="312">
        <v>541.2950211854286</v>
      </c>
      <c r="AX59" s="312">
        <v>492.81358628647678</v>
      </c>
      <c r="AY59" s="333">
        <v>654.46243196357148</v>
      </c>
      <c r="AZ59">
        <v>762.22675692782241</v>
      </c>
      <c r="BA59">
        <v>583.69739663823236</v>
      </c>
      <c r="BB59" s="48">
        <v>1072.6339067446638</v>
      </c>
      <c r="BC59" s="48">
        <v>737.11737606789939</v>
      </c>
      <c r="BD59" s="48">
        <v>36.085422307625123</v>
      </c>
      <c r="BE59" s="310">
        <v>0.2563837190249979</v>
      </c>
      <c r="BF59" s="310">
        <v>0.52560828071425247</v>
      </c>
      <c r="BG59" s="310">
        <v>1.0071903814521121</v>
      </c>
      <c r="BH59" s="310">
        <v>1.685940067434202</v>
      </c>
      <c r="BI59" s="310">
        <v>2.7831382948479089</v>
      </c>
      <c r="BJ59" s="305">
        <v>9.1988644979388745E-2</v>
      </c>
      <c r="BK59" s="48">
        <v>8.5484199999999996E-2</v>
      </c>
      <c r="BL59" s="48">
        <v>2946.6666666666702</v>
      </c>
      <c r="BM59" s="48">
        <v>1</v>
      </c>
      <c r="BN59" s="48">
        <v>0</v>
      </c>
      <c r="BO59" s="48">
        <v>8.5045153766829689</v>
      </c>
      <c r="BP59" s="314">
        <v>59.4292808506273</v>
      </c>
      <c r="BQ59" s="314">
        <v>33.216878269735936</v>
      </c>
      <c r="BR59" s="316">
        <v>397.79754046612464</v>
      </c>
      <c r="BS59" s="318">
        <v>4530.1345094808075</v>
      </c>
      <c r="BT59" s="188">
        <v>3061.7678428141407</v>
      </c>
      <c r="BU59" s="188">
        <v>3061.7678428141407</v>
      </c>
      <c r="BV59" s="48">
        <v>1468.3666666666668</v>
      </c>
      <c r="BW59" s="48">
        <v>50</v>
      </c>
      <c r="BX59" s="48">
        <v>55</v>
      </c>
      <c r="BY59" s="48">
        <v>43</v>
      </c>
      <c r="BZ59" s="48">
        <v>0</v>
      </c>
      <c r="CA59" s="71">
        <v>0</v>
      </c>
      <c r="CB59" s="321">
        <v>1.010817631701336E-2</v>
      </c>
      <c r="CC59" s="321">
        <v>0.6888943666666667</v>
      </c>
      <c r="CD59" s="321">
        <v>0.30080983333333333</v>
      </c>
      <c r="CE59" s="321">
        <v>0</v>
      </c>
      <c r="CF59" s="321">
        <v>0</v>
      </c>
      <c r="CG59" s="42">
        <v>0</v>
      </c>
      <c r="CH59" s="42">
        <v>0</v>
      </c>
      <c r="CI59" s="42">
        <v>0</v>
      </c>
      <c r="CJ59" s="42">
        <v>0</v>
      </c>
      <c r="CK59" s="42">
        <v>0</v>
      </c>
      <c r="CL59" s="151" t="str">
        <f t="shared" si="0"/>
        <v>OK</v>
      </c>
      <c r="CM59" s="152" t="str">
        <f t="shared" si="1"/>
        <v>OK</v>
      </c>
      <c r="CN59" s="153" t="str">
        <f t="shared" si="2"/>
        <v>OK</v>
      </c>
      <c r="CO59" s="327">
        <f t="shared" si="3"/>
        <v>978.91111111111115</v>
      </c>
      <c r="CP59" s="328"/>
      <c r="CQ59" s="326"/>
      <c r="CR59" s="326" t="e">
        <v>#N/A</v>
      </c>
      <c r="CS59" s="328">
        <v>3650</v>
      </c>
      <c r="CT59" s="327">
        <v>0</v>
      </c>
      <c r="CU59" s="327">
        <f>VLOOKUP(B59,Tabelle2!$AL$2:$AM$82,2,)</f>
        <v>0</v>
      </c>
      <c r="CV59">
        <v>4</v>
      </c>
      <c r="CW59">
        <v>0.08</v>
      </c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N59" s="31"/>
      <c r="DO59" s="136" t="e">
        <v>#N/A</v>
      </c>
      <c r="DP59" s="136" t="e">
        <v>#N/A</v>
      </c>
      <c r="DQ59">
        <f t="shared" si="4"/>
        <v>3650</v>
      </c>
      <c r="DR59" s="147"/>
      <c r="DS59" s="147"/>
      <c r="DT59" s="147"/>
      <c r="DU59" s="147"/>
      <c r="DV59" s="147"/>
      <c r="DW59" s="147"/>
      <c r="DY59" s="48"/>
      <c r="DZ59" s="48"/>
      <c r="EA59" s="48"/>
      <c r="EC59" s="61">
        <v>71.015485260463819</v>
      </c>
      <c r="ED59" s="27">
        <v>67.956314909386521</v>
      </c>
      <c r="EE59" s="27">
        <v>2.4839148404915576</v>
      </c>
      <c r="EG59" s="39" t="s">
        <v>735</v>
      </c>
      <c r="EH59" s="63">
        <v>3650</v>
      </c>
      <c r="EI59" s="31" t="s">
        <v>927</v>
      </c>
      <c r="EJ59" s="31">
        <v>6.9436041486928057E-2</v>
      </c>
      <c r="EM59">
        <v>0</v>
      </c>
      <c r="EN59">
        <v>0</v>
      </c>
    </row>
    <row r="60" spans="1:144" ht="15">
      <c r="A60" s="39" t="s">
        <v>432</v>
      </c>
      <c r="B60" s="63">
        <v>3660</v>
      </c>
      <c r="C60" s="63"/>
      <c r="D60" s="63" t="s">
        <v>435</v>
      </c>
      <c r="E60" s="94" t="s">
        <v>432</v>
      </c>
      <c r="F60" s="135" t="s">
        <v>431</v>
      </c>
      <c r="G60" s="61">
        <v>97.007999999999996</v>
      </c>
      <c r="H60" s="291">
        <v>4.1938323088947328E-2</v>
      </c>
      <c r="I60" s="291">
        <v>0.2422237833738852</v>
      </c>
      <c r="J60" s="291">
        <v>0.78587460377868157</v>
      </c>
      <c r="K60" s="291">
        <v>4.6172550067945712</v>
      </c>
      <c r="L60" s="291">
        <v>9.263808926970329</v>
      </c>
      <c r="M60" s="291">
        <v>27.729074390490663</v>
      </c>
      <c r="N60" s="291">
        <v>2.7989337535609429</v>
      </c>
      <c r="O60" s="300">
        <v>0</v>
      </c>
      <c r="P60" s="292">
        <v>51.214132132827537</v>
      </c>
      <c r="Q60" s="291">
        <v>0</v>
      </c>
      <c r="R60" s="291">
        <v>0</v>
      </c>
      <c r="S60" s="291">
        <v>0</v>
      </c>
      <c r="T60" s="291">
        <v>0.3147590791144384</v>
      </c>
      <c r="U60" s="306">
        <v>89.110137701787608</v>
      </c>
      <c r="V60" s="136">
        <v>2.5</v>
      </c>
      <c r="W60" s="306">
        <v>0</v>
      </c>
      <c r="X60" s="136">
        <v>0</v>
      </c>
      <c r="Y60" s="306">
        <v>9.1983734859969399E-2</v>
      </c>
      <c r="Z60" s="306">
        <v>0</v>
      </c>
      <c r="AA60" s="306">
        <v>0</v>
      </c>
      <c r="AB60" s="312">
        <v>41.536344647085784</v>
      </c>
      <c r="AC60" s="312">
        <v>0.40177666013211505</v>
      </c>
      <c r="AD60" s="312">
        <v>0.44895750970152543</v>
      </c>
      <c r="AE60" s="312">
        <v>0</v>
      </c>
      <c r="AF60" s="312">
        <v>0.29309621757764576</v>
      </c>
      <c r="AG60" s="312">
        <v>0</v>
      </c>
      <c r="AH60" s="19">
        <v>2.5959152262638279</v>
      </c>
      <c r="AI60" s="19">
        <v>0</v>
      </c>
      <c r="AJ60" s="19">
        <v>0</v>
      </c>
      <c r="AK60" s="19">
        <v>94.412084773736169</v>
      </c>
      <c r="AL60" s="19">
        <v>793.9568340000078</v>
      </c>
      <c r="AM60" s="19">
        <v>3.9896000000000229</v>
      </c>
      <c r="AN60" s="19"/>
      <c r="AO60" s="19"/>
      <c r="AP60" s="305">
        <v>1.14928402750619</v>
      </c>
      <c r="AQ60" s="341">
        <v>9.1511294979999764</v>
      </c>
      <c r="AR60" s="351"/>
      <c r="AS60" s="346"/>
      <c r="AT60" s="249"/>
      <c r="AU60" s="312">
        <v>968.00888821142848</v>
      </c>
      <c r="AV60" s="312">
        <v>882.33914335854092</v>
      </c>
      <c r="AW60" s="312">
        <v>646.82681882114287</v>
      </c>
      <c r="AX60" s="312">
        <v>558.45696977106888</v>
      </c>
      <c r="AY60" s="333">
        <v>634.75320154299993</v>
      </c>
      <c r="AZ60">
        <v>752.3096656638088</v>
      </c>
      <c r="BA60">
        <v>588.48846133799839</v>
      </c>
      <c r="BB60" s="48">
        <v>1054.2414757713066</v>
      </c>
      <c r="BC60" s="48">
        <v>746.5124047203318</v>
      </c>
      <c r="BD60" s="48">
        <v>36.085342417889592</v>
      </c>
      <c r="BE60" s="310">
        <v>0.20545008254515276</v>
      </c>
      <c r="BF60" s="310">
        <v>0.47453144270105452</v>
      </c>
      <c r="BG60" s="310">
        <v>0.61504205296382297</v>
      </c>
      <c r="BH60" s="310">
        <v>0.97734724153182573</v>
      </c>
      <c r="BI60" s="310">
        <v>1.4194914979880451</v>
      </c>
      <c r="BJ60" s="305">
        <v>6.5752598023522166E-2</v>
      </c>
      <c r="BK60" s="48">
        <v>9.6597700000000009E-2</v>
      </c>
      <c r="BL60" s="48">
        <v>3787.5</v>
      </c>
      <c r="BM60" s="48">
        <v>1</v>
      </c>
      <c r="BN60" s="48">
        <v>0</v>
      </c>
      <c r="BO60" s="48">
        <v>4.810712244953959</v>
      </c>
      <c r="BP60" s="314">
        <v>52.439888305346216</v>
      </c>
      <c r="BQ60" s="314">
        <v>50.397506724546048</v>
      </c>
      <c r="BR60" s="316">
        <v>435.08301366689852</v>
      </c>
      <c r="BS60" s="318">
        <v>3506.3829628872081</v>
      </c>
      <c r="BT60" s="188">
        <v>2654.8629628872081</v>
      </c>
      <c r="BU60" s="188">
        <v>2654.8629628872081</v>
      </c>
      <c r="BV60" s="48">
        <v>851.5200000000001</v>
      </c>
      <c r="BW60" s="48">
        <v>50</v>
      </c>
      <c r="BX60" s="48">
        <v>65</v>
      </c>
      <c r="BY60" s="48">
        <v>43</v>
      </c>
      <c r="BZ60" s="48">
        <v>0</v>
      </c>
      <c r="CA60" s="71">
        <v>0</v>
      </c>
      <c r="CB60" s="321">
        <v>2.6010868531202436E-3</v>
      </c>
      <c r="CC60" s="321">
        <v>0.61670400000000014</v>
      </c>
      <c r="CD60" s="321">
        <v>7.8839999999999993E-2</v>
      </c>
      <c r="CE60" s="321">
        <v>0</v>
      </c>
      <c r="CF60" s="321">
        <v>0</v>
      </c>
      <c r="CG60" s="42">
        <v>0</v>
      </c>
      <c r="CH60" s="42">
        <v>0</v>
      </c>
      <c r="CI60" s="42">
        <v>0</v>
      </c>
      <c r="CJ60" s="42">
        <v>0</v>
      </c>
      <c r="CK60" s="42">
        <v>0</v>
      </c>
      <c r="CL60" s="151" t="str">
        <f t="shared" si="0"/>
        <v>OK</v>
      </c>
      <c r="CM60" s="152" t="str">
        <f t="shared" si="1"/>
        <v>OK</v>
      </c>
      <c r="CN60" s="153" t="str">
        <f t="shared" si="2"/>
        <v>OK</v>
      </c>
      <c r="CO60" s="327">
        <f t="shared" si="3"/>
        <v>567.67999999999995</v>
      </c>
      <c r="CP60" s="328"/>
      <c r="CQ60" s="326"/>
      <c r="CR60" s="326" t="e">
        <v>#N/A</v>
      </c>
      <c r="CS60" s="328">
        <v>3660</v>
      </c>
      <c r="CT60" s="327">
        <v>1.5772580645161289</v>
      </c>
      <c r="CU60" s="327">
        <f>VLOOKUP(B60,Tabelle2!$AL$2:$AM$82,2,)</f>
        <v>1.5772580645161289</v>
      </c>
      <c r="CV60">
        <v>4</v>
      </c>
      <c r="CW60">
        <v>0.08</v>
      </c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N60" s="31"/>
      <c r="DO60" s="136" t="e">
        <v>#N/A</v>
      </c>
      <c r="DP60" s="136" t="e">
        <v>#N/A</v>
      </c>
      <c r="DQ60">
        <f t="shared" si="4"/>
        <v>3660</v>
      </c>
      <c r="DR60" s="147"/>
      <c r="DS60" s="147"/>
      <c r="DT60" s="147"/>
      <c r="DU60" s="147"/>
      <c r="DV60" s="147"/>
      <c r="DW60" s="147"/>
      <c r="DY60" s="48"/>
      <c r="DZ60" s="48"/>
      <c r="EA60" s="48"/>
      <c r="EC60" s="61">
        <v>70.428700685963719</v>
      </c>
      <c r="ED60" s="27">
        <v>66.870972855598538</v>
      </c>
      <c r="EE60" s="27">
        <v>2.2286499982719938</v>
      </c>
      <c r="EG60" s="39" t="s">
        <v>432</v>
      </c>
      <c r="EH60" s="63">
        <v>3660</v>
      </c>
      <c r="EI60" s="31">
        <v>3.3987257894736847E-2</v>
      </c>
      <c r="EJ60" s="31">
        <v>5.1554702689571019E-2</v>
      </c>
      <c r="EM60">
        <v>0</v>
      </c>
      <c r="EN60">
        <v>0</v>
      </c>
    </row>
    <row r="61" spans="1:144" ht="15">
      <c r="A61" s="39" t="s">
        <v>736</v>
      </c>
      <c r="B61" s="339">
        <v>4010</v>
      </c>
      <c r="C61" s="63">
        <v>4020</v>
      </c>
      <c r="D61" s="63" t="s">
        <v>435</v>
      </c>
      <c r="E61" s="94" t="s">
        <v>429</v>
      </c>
      <c r="F61" s="135" t="s">
        <v>427</v>
      </c>
      <c r="G61" s="61">
        <v>717.35506054500001</v>
      </c>
      <c r="H61" s="291">
        <v>6.3278982291524284E-5</v>
      </c>
      <c r="I61" s="291">
        <v>0.10238678478959044</v>
      </c>
      <c r="J61" s="291">
        <v>0.40616888931570144</v>
      </c>
      <c r="K61" s="291">
        <v>0.25108022855900297</v>
      </c>
      <c r="L61" s="291">
        <v>0.25362651540589543</v>
      </c>
      <c r="M61" s="291">
        <v>39.325037414169039</v>
      </c>
      <c r="N61" s="291">
        <v>15.908088418280149</v>
      </c>
      <c r="O61" s="300">
        <v>1.1619674906981488</v>
      </c>
      <c r="P61" s="292">
        <v>588.6800569583371</v>
      </c>
      <c r="Q61" s="291">
        <v>25.593108356491701</v>
      </c>
      <c r="R61" s="291">
        <v>3.3328407820034398</v>
      </c>
      <c r="S61" s="291">
        <v>0.31398869851014299</v>
      </c>
      <c r="T61" s="291">
        <v>42.026646729457788</v>
      </c>
      <c r="U61" s="306">
        <v>1965.1929795407621</v>
      </c>
      <c r="V61" s="136">
        <v>3.286772258103448</v>
      </c>
      <c r="W61" s="306">
        <v>27.166848428173882</v>
      </c>
      <c r="X61" s="136">
        <v>37.479999999999997</v>
      </c>
      <c r="Y61" s="306">
        <v>0.33064399366395653</v>
      </c>
      <c r="Z61" s="306">
        <v>19.550077589003394</v>
      </c>
      <c r="AA61" s="306">
        <v>14.668569900728253</v>
      </c>
      <c r="AB61" s="312">
        <v>1.776714312457119</v>
      </c>
      <c r="AC61" s="312">
        <v>26.442056267234612</v>
      </c>
      <c r="AD61" s="312">
        <v>6.0826701118762045</v>
      </c>
      <c r="AE61" s="312">
        <v>5.187159216335445</v>
      </c>
      <c r="AF61" s="312">
        <v>0.69056762099365432</v>
      </c>
      <c r="AG61" s="312">
        <v>0.15919558232448461</v>
      </c>
      <c r="AH61" s="19">
        <v>141.50914733757409</v>
      </c>
      <c r="AI61" s="19">
        <v>2.6737095365218666</v>
      </c>
      <c r="AJ61" s="19">
        <v>484.05911671467203</v>
      </c>
      <c r="AK61" s="19">
        <v>89.113086956231967</v>
      </c>
      <c r="AL61" s="19">
        <v>1134.8811524600001</v>
      </c>
      <c r="AM61" s="19">
        <v>18.917100000000001</v>
      </c>
      <c r="AN61" s="19" t="s">
        <v>11</v>
      </c>
      <c r="AO61" s="19" t="s">
        <v>12</v>
      </c>
      <c r="AP61" s="305">
        <v>31.8309446270313</v>
      </c>
      <c r="AQ61">
        <v>10.838542</v>
      </c>
      <c r="AR61" s="351">
        <v>1488.7241595723749</v>
      </c>
      <c r="AS61" s="346">
        <v>1353.38559961125</v>
      </c>
      <c r="AT61" s="249">
        <v>11.7663856247928</v>
      </c>
      <c r="AU61" s="312">
        <v>1850.3637819832857</v>
      </c>
      <c r="AV61" s="312">
        <v>1945.1765622103458</v>
      </c>
      <c r="AW61" s="312">
        <v>1121.186980773</v>
      </c>
      <c r="AX61" s="312">
        <v>1031.0067776096512</v>
      </c>
      <c r="AY61" s="333">
        <v>650.40141198400011</v>
      </c>
      <c r="AZ61">
        <v>729.84027062611949</v>
      </c>
      <c r="BA61">
        <v>644.90592331899825</v>
      </c>
      <c r="BB61" s="48">
        <v>967.87088737472936</v>
      </c>
      <c r="BC61" s="48">
        <v>784.72445380179488</v>
      </c>
      <c r="BD61" s="48">
        <v>34.396044158233671</v>
      </c>
      <c r="BE61" s="310">
        <v>1.0745608159045408</v>
      </c>
      <c r="BF61" s="310">
        <v>2.9304351849066297</v>
      </c>
      <c r="BG61" s="310">
        <v>2.3782796835249811</v>
      </c>
      <c r="BH61" s="310">
        <v>6.5146947638513213</v>
      </c>
      <c r="BI61" s="310">
        <v>27.407327982047732</v>
      </c>
      <c r="BJ61" s="305">
        <v>0.4955966628475646</v>
      </c>
      <c r="BK61" s="48">
        <v>8.0039399999999997E-2</v>
      </c>
      <c r="BL61" s="48">
        <v>8483.1818181818198</v>
      </c>
      <c r="BM61" s="48">
        <v>1</v>
      </c>
      <c r="BN61" s="48">
        <v>0</v>
      </c>
      <c r="BO61" s="48">
        <v>0.30781186124999921</v>
      </c>
      <c r="BP61" s="314">
        <v>29.721531947445431</v>
      </c>
      <c r="BQ61" s="314">
        <v>59.346633990651171</v>
      </c>
      <c r="BR61" s="316">
        <v>180.44320546690318</v>
      </c>
      <c r="BS61" s="318">
        <v>44905.469713958642</v>
      </c>
      <c r="BT61" s="188">
        <v>41265.389713958641</v>
      </c>
      <c r="BU61" s="188">
        <v>41265.389713958641</v>
      </c>
      <c r="BV61" s="48">
        <v>3640.0800000000017</v>
      </c>
      <c r="BW61" s="48">
        <v>50</v>
      </c>
      <c r="BX61" s="48">
        <v>50</v>
      </c>
      <c r="BY61" s="48">
        <v>43</v>
      </c>
      <c r="BZ61" s="48">
        <v>0</v>
      </c>
      <c r="CA61" s="71">
        <v>0</v>
      </c>
      <c r="CB61" s="321">
        <v>0.22678538712371049</v>
      </c>
      <c r="CC61" s="321">
        <v>0</v>
      </c>
      <c r="CD61" s="321">
        <v>0</v>
      </c>
      <c r="CE61" s="321">
        <v>58.358008333333331</v>
      </c>
      <c r="CF61" s="321">
        <v>2.8148784999999998</v>
      </c>
      <c r="CG61" s="42">
        <v>0</v>
      </c>
      <c r="CH61" s="42">
        <v>0</v>
      </c>
      <c r="CI61" s="42">
        <v>0</v>
      </c>
      <c r="CJ61" s="42">
        <v>57.6</v>
      </c>
      <c r="CK61" s="42">
        <v>9.85</v>
      </c>
      <c r="CL61" s="151" t="str">
        <f t="shared" si="0"/>
        <v>OK</v>
      </c>
      <c r="CM61" s="152" t="str">
        <f t="shared" si="1"/>
        <v>OK</v>
      </c>
      <c r="CN61" s="153" t="str">
        <f t="shared" si="2"/>
        <v>OK</v>
      </c>
      <c r="CO61" s="327">
        <f t="shared" si="3"/>
        <v>2426.7200000000012</v>
      </c>
      <c r="CP61" s="328"/>
      <c r="CQ61" s="326"/>
      <c r="CR61" s="326">
        <v>4991.9681712945821</v>
      </c>
      <c r="CS61" s="328">
        <v>4010</v>
      </c>
      <c r="CT61" s="327">
        <v>0.69397849462365579</v>
      </c>
      <c r="CU61" s="327">
        <f>VLOOKUP(B61,Tabelle2!$AL$2:$AM$82,2,)</f>
        <v>0.69397849462365579</v>
      </c>
      <c r="CV61">
        <v>7</v>
      </c>
      <c r="CW61">
        <v>0.08</v>
      </c>
      <c r="CY61" s="147">
        <f>VLOOKUP($B61,Tabelle2!$J$3:$W$38,3,)</f>
        <v>2.5</v>
      </c>
      <c r="CZ61" s="147">
        <f>VLOOKUP($B61,Tabelle2!$J$3:$W$38,4,)</f>
        <v>2.5</v>
      </c>
      <c r="DA61" s="147">
        <f>VLOOKUP($B61,Tabelle2!$J$3:$W$38,5,)</f>
        <v>4.9821428571428603E-3</v>
      </c>
      <c r="DB61" s="147">
        <f>VLOOKUP($B61,Tabelle2!$J$3:$W$38,6,)</f>
        <v>8.0000000000000002E-3</v>
      </c>
      <c r="DC61" s="147">
        <f>VLOOKUP($B61,Tabelle2!$J$3:$W$38,7,)</f>
        <v>2.5000000000000014E-3</v>
      </c>
      <c r="DD61" s="147">
        <f>VLOOKUP($B61,Tabelle2!$J$3:$W$38,8,)</f>
        <v>2.5000000000000001E-3</v>
      </c>
      <c r="DE61" s="147">
        <f>VLOOKUP($B61,Tabelle2!$J$3:$W$38,9,)</f>
        <v>3.7023809523809544E-3</v>
      </c>
      <c r="DF61" s="147">
        <f>VLOOKUP($B61,Tabelle2!$J$3:$W$38,10,)</f>
        <v>8.7000000000000029E-3</v>
      </c>
      <c r="DG61" s="147">
        <f>VLOOKUP($B61,Tabelle2!$J$3:$W$38,11,)</f>
        <v>0.67976190476190534</v>
      </c>
      <c r="DH61" s="147">
        <f>VLOOKUP($B61,Tabelle2!$J$3:$W$38,12,)</f>
        <v>0.8</v>
      </c>
      <c r="DI61" s="147">
        <f>VLOOKUP($B61,Tabelle2!$J$3:$W$38,13,)</f>
        <v>9.2261904761904816E-3</v>
      </c>
      <c r="DJ61" s="147">
        <f>VLOOKUP($B61,Tabelle2!$J$3:$W$38,14,)</f>
        <v>0.02</v>
      </c>
      <c r="DK61" s="147">
        <f t="shared" si="5"/>
        <v>0.69269047619047674</v>
      </c>
      <c r="DL61" s="147">
        <f t="shared" si="6"/>
        <v>0.8287000000000001</v>
      </c>
      <c r="DN61" s="31"/>
      <c r="DO61" s="146" t="e">
        <f>DS61</f>
        <v>#N/A</v>
      </c>
      <c r="DP61" s="136">
        <v>4991.9681712945821</v>
      </c>
      <c r="DQ61">
        <f t="shared" si="4"/>
        <v>4010</v>
      </c>
      <c r="DR61" s="147" t="e">
        <f>VLOOKUP(B61,Tabelle2!AC$2:AJ$73,3,)</f>
        <v>#N/A</v>
      </c>
      <c r="DS61" s="147" t="e">
        <f>VLOOKUP($B61,Tabelle2!$AC$2:$AJ$73,4,)</f>
        <v>#N/A</v>
      </c>
      <c r="DT61" s="147" t="e">
        <f>VLOOKUP($B61,Tabelle2!$AC$2:$AJ$73,5,)</f>
        <v>#N/A</v>
      </c>
      <c r="DU61" s="147" t="e">
        <f>VLOOKUP($B61,Tabelle2!$AC$2:$AJ$73,6,)</f>
        <v>#N/A</v>
      </c>
      <c r="DV61" s="147" t="e">
        <f>VLOOKUP($B61,Tabelle2!$AC$2:$AJ$73,7,)</f>
        <v>#N/A</v>
      </c>
      <c r="DW61" s="147" t="e">
        <f>VLOOKUP($B61,Tabelle2!$AC$2:$AJ$73,8,)</f>
        <v>#N/A</v>
      </c>
      <c r="DY61" s="48"/>
      <c r="DZ61" s="48" t="e">
        <f>DW61</f>
        <v>#N/A</v>
      </c>
      <c r="EA61" s="48">
        <v>18.804361836945816</v>
      </c>
      <c r="EC61" s="61">
        <v>1352.5068531600787</v>
      </c>
      <c r="ED61" s="27">
        <v>1169.8403814804187</v>
      </c>
      <c r="EE61" s="27">
        <v>32.465424605002909</v>
      </c>
      <c r="EG61" s="39" t="s">
        <v>736</v>
      </c>
      <c r="EH61" s="63">
        <v>4010</v>
      </c>
      <c r="EI61" s="31">
        <v>7.7006719298245612E-3</v>
      </c>
      <c r="EJ61" s="31">
        <v>2.0412528433557082E-2</v>
      </c>
      <c r="EM61">
        <v>0</v>
      </c>
      <c r="EN61">
        <v>0</v>
      </c>
    </row>
    <row r="62" spans="1:144" ht="15">
      <c r="A62" s="39" t="s">
        <v>736</v>
      </c>
      <c r="B62" s="63">
        <v>4020</v>
      </c>
      <c r="C62" s="63">
        <v>5010</v>
      </c>
      <c r="D62" s="63" t="s">
        <v>435</v>
      </c>
      <c r="E62" s="94" t="s">
        <v>429</v>
      </c>
      <c r="F62" s="135" t="s">
        <v>427</v>
      </c>
      <c r="G62" s="61">
        <v>720.50863375300003</v>
      </c>
      <c r="H62" s="291">
        <v>37.198075553829234</v>
      </c>
      <c r="I62" s="291">
        <v>56.550050549859272</v>
      </c>
      <c r="J62" s="291">
        <v>88.215690402465682</v>
      </c>
      <c r="K62" s="291">
        <v>121.08631849124525</v>
      </c>
      <c r="L62" s="291">
        <v>89.644468112637085</v>
      </c>
      <c r="M62" s="291">
        <v>43.740381201206795</v>
      </c>
      <c r="N62" s="291">
        <v>75.493419731468691</v>
      </c>
      <c r="O62" s="300">
        <v>2.0859351397738441</v>
      </c>
      <c r="P62" s="292">
        <v>194.81554501190217</v>
      </c>
      <c r="Q62" s="291">
        <v>0</v>
      </c>
      <c r="R62" s="291">
        <v>0</v>
      </c>
      <c r="S62" s="291">
        <v>2.16709161038167E-2</v>
      </c>
      <c r="T62" s="291">
        <v>11.657078642508111</v>
      </c>
      <c r="U62" s="306">
        <v>2080.2679234704042</v>
      </c>
      <c r="V62" s="136">
        <v>3.9310237643976977</v>
      </c>
      <c r="W62" s="306">
        <v>13.665529048633541</v>
      </c>
      <c r="X62" s="136">
        <v>88.428571428571431</v>
      </c>
      <c r="Y62" s="306">
        <v>2.27107278744539</v>
      </c>
      <c r="Z62" s="306">
        <v>0</v>
      </c>
      <c r="AA62" s="306">
        <v>0</v>
      </c>
      <c r="AB62" s="312">
        <v>32.594424728604608</v>
      </c>
      <c r="AC62" s="312">
        <v>158.50389743150708</v>
      </c>
      <c r="AD62" s="312">
        <v>224.03018120124409</v>
      </c>
      <c r="AE62" s="312">
        <v>21.306480949887501</v>
      </c>
      <c r="AF62" s="312">
        <v>0</v>
      </c>
      <c r="AG62" s="312">
        <v>0</v>
      </c>
      <c r="AH62" s="19">
        <v>273.29046526388561</v>
      </c>
      <c r="AI62" s="19">
        <v>433.27026354144112</v>
      </c>
      <c r="AJ62" s="19">
        <v>0</v>
      </c>
      <c r="AK62" s="19">
        <v>13.947904947673294</v>
      </c>
      <c r="AL62" s="19">
        <v>389.36418269199999</v>
      </c>
      <c r="AM62" s="19">
        <v>1.4605999999999999</v>
      </c>
      <c r="AN62" s="19" t="s">
        <v>11</v>
      </c>
      <c r="AO62" s="19" t="s">
        <v>12</v>
      </c>
      <c r="AP62" s="305">
        <v>24.085025010120699</v>
      </c>
      <c r="AQ62">
        <v>10.979167</v>
      </c>
      <c r="AR62" s="351">
        <v>7578.6205438886363</v>
      </c>
      <c r="AS62" s="346">
        <v>6889.6550398987602</v>
      </c>
      <c r="AT62" s="330">
        <v>93.174210893135495</v>
      </c>
      <c r="AU62" s="312">
        <v>942.89087997342835</v>
      </c>
      <c r="AV62" s="312">
        <v>938.52392083312975</v>
      </c>
      <c r="AW62" s="312">
        <v>617.82688219785723</v>
      </c>
      <c r="AX62" s="312">
        <v>566.19023785293825</v>
      </c>
      <c r="AY62" s="333">
        <v>733.51348731028577</v>
      </c>
      <c r="AZ62">
        <v>964.09459361576319</v>
      </c>
      <c r="BA62">
        <v>636.78381359636035</v>
      </c>
      <c r="BB62" s="48">
        <v>1072.0352592663232</v>
      </c>
      <c r="BC62" s="48">
        <v>663.96659079432663</v>
      </c>
      <c r="BD62" s="48">
        <v>34.588208367664571</v>
      </c>
      <c r="BE62" s="310">
        <v>0.6705799347971233</v>
      </c>
      <c r="BF62" s="310">
        <v>2.2968292336246523</v>
      </c>
      <c r="BG62" s="310">
        <v>4.9421154586644738</v>
      </c>
      <c r="BH62" s="310">
        <v>9.7057768812107543</v>
      </c>
      <c r="BI62" s="310">
        <v>17.938310267980736</v>
      </c>
      <c r="BJ62" s="305">
        <v>0.25493678015555854</v>
      </c>
      <c r="BK62" s="48">
        <v>0.39301400000000003</v>
      </c>
      <c r="BL62" s="48">
        <v>2022.3076923076901</v>
      </c>
      <c r="BM62" s="48">
        <v>1</v>
      </c>
      <c r="BN62" s="48">
        <v>0</v>
      </c>
      <c r="BO62" s="48">
        <v>16.278460333916321</v>
      </c>
      <c r="BP62" s="314">
        <v>54.15780393083832</v>
      </c>
      <c r="BQ62" s="314">
        <v>58.399085688777546</v>
      </c>
      <c r="BR62" s="316">
        <v>634.31037838365751</v>
      </c>
      <c r="BS62" s="318">
        <v>239955.44748552563</v>
      </c>
      <c r="BT62" s="188">
        <v>221743.92748552564</v>
      </c>
      <c r="BU62" s="188">
        <v>221743.92748552564</v>
      </c>
      <c r="BV62" s="48">
        <v>18211.519999999997</v>
      </c>
      <c r="BW62" s="48">
        <v>50</v>
      </c>
      <c r="BX62" s="48">
        <v>50</v>
      </c>
      <c r="BY62" s="48">
        <v>43</v>
      </c>
      <c r="BZ62" s="48">
        <v>0</v>
      </c>
      <c r="CA62" s="71">
        <v>0</v>
      </c>
      <c r="CB62" s="321">
        <v>0.37098237670175882</v>
      </c>
      <c r="CC62" s="321">
        <v>0</v>
      </c>
      <c r="CD62" s="321">
        <v>0</v>
      </c>
      <c r="CE62" s="321">
        <v>157.75726889166666</v>
      </c>
      <c r="CF62" s="321">
        <v>7.8238215416666659</v>
      </c>
      <c r="CG62" s="42">
        <v>0</v>
      </c>
      <c r="CH62" s="42">
        <v>0</v>
      </c>
      <c r="CI62" s="42">
        <v>0</v>
      </c>
      <c r="CJ62" s="42">
        <v>281.07</v>
      </c>
      <c r="CK62" s="42">
        <v>0</v>
      </c>
      <c r="CL62" s="151" t="str">
        <f t="shared" si="0"/>
        <v>OK</v>
      </c>
      <c r="CM62" s="152" t="str">
        <f t="shared" si="1"/>
        <v>OK</v>
      </c>
      <c r="CN62" s="153" t="str">
        <f t="shared" si="2"/>
        <v>OK</v>
      </c>
      <c r="CO62" s="327">
        <f t="shared" si="3"/>
        <v>12141.013333333327</v>
      </c>
      <c r="CP62" s="328"/>
      <c r="CQ62" s="326">
        <v>34.432063539766403</v>
      </c>
      <c r="CR62" s="326" t="e">
        <v>#N/A</v>
      </c>
      <c r="CS62" s="328">
        <v>4020</v>
      </c>
      <c r="CT62" s="327">
        <v>6.528503584229389</v>
      </c>
      <c r="CU62" s="327">
        <f>VLOOKUP(B62,Tabelle2!$AL$2:$AM$82,2,)</f>
        <v>6.528503584229389</v>
      </c>
      <c r="CV62">
        <v>5.5</v>
      </c>
      <c r="CW62">
        <v>0.08</v>
      </c>
      <c r="CY62" s="147">
        <f>VLOOKUP($B62,Tabelle2!$J$3:$W$38,3,)</f>
        <v>2.8888888888888888</v>
      </c>
      <c r="CZ62" s="147">
        <f>VLOOKUP($B62,Tabelle2!$J$3:$W$38,4,)</f>
        <v>3.1999999999999975</v>
      </c>
      <c r="DA62" s="147">
        <f>VLOOKUP($B62,Tabelle2!$J$3:$W$38,5,)</f>
        <v>1.8458333333333316E-2</v>
      </c>
      <c r="DB62" s="147">
        <f>VLOOKUP($B62,Tabelle2!$J$3:$W$38,6,)</f>
        <v>3.210000000000001E-2</v>
      </c>
      <c r="DC62" s="147">
        <f>VLOOKUP($B62,Tabelle2!$J$3:$W$38,7,)</f>
        <v>8.6547619047619064E-3</v>
      </c>
      <c r="DD62" s="147">
        <f>VLOOKUP($B62,Tabelle2!$J$3:$W$38,8,)</f>
        <v>1.6E-2</v>
      </c>
      <c r="DE62" s="147">
        <f>VLOOKUP($B62,Tabelle2!$J$3:$W$38,9,)</f>
        <v>6.3392857142857183E-3</v>
      </c>
      <c r="DF62" s="147">
        <f>VLOOKUP($B62,Tabelle2!$J$3:$W$38,10,)</f>
        <v>1.0999999999999999E-2</v>
      </c>
      <c r="DG62" s="147">
        <f>VLOOKUP($B62,Tabelle2!$J$3:$W$38,11,)</f>
        <v>1.7428571428571422</v>
      </c>
      <c r="DH62" s="147">
        <f>VLOOKUP($B62,Tabelle2!$J$3:$W$38,12,)</f>
        <v>2.4</v>
      </c>
      <c r="DI62" s="147">
        <f>VLOOKUP($B62,Tabelle2!$J$3:$W$38,13,)</f>
        <v>2.1964285714285724E-2</v>
      </c>
      <c r="DJ62" s="147">
        <f>VLOOKUP($B62,Tabelle2!$J$3:$W$38,14,)</f>
        <v>0.04</v>
      </c>
      <c r="DK62" s="147">
        <f t="shared" si="5"/>
        <v>1.7711607142857135</v>
      </c>
      <c r="DL62" s="147">
        <f t="shared" si="6"/>
        <v>2.4510000000000001</v>
      </c>
      <c r="DN62" s="31"/>
      <c r="DO62" s="146">
        <f>DS62</f>
        <v>42.2</v>
      </c>
      <c r="DP62" s="136" t="e">
        <v>#N/A</v>
      </c>
      <c r="DQ62">
        <f t="shared" si="4"/>
        <v>4020</v>
      </c>
      <c r="DR62" s="271">
        <v>94</v>
      </c>
      <c r="DS62" s="271">
        <v>42.2</v>
      </c>
      <c r="DT62" s="271">
        <v>110.9</v>
      </c>
      <c r="DU62" s="271">
        <v>32.9</v>
      </c>
      <c r="DV62" s="271">
        <v>8402.6</v>
      </c>
      <c r="DW62" s="271">
        <v>8546.5</v>
      </c>
      <c r="DY62" s="48"/>
      <c r="DZ62" s="48">
        <f>DW62</f>
        <v>8546.5</v>
      </c>
      <c r="EA62" s="48">
        <f>DR62</f>
        <v>94</v>
      </c>
      <c r="EC62" s="61">
        <v>5835.8003898644265</v>
      </c>
      <c r="ED62" s="27">
        <v>5351.2955629297621</v>
      </c>
      <c r="EE62" s="27">
        <v>165.11298851802815</v>
      </c>
      <c r="EG62" s="39" t="s">
        <v>736</v>
      </c>
      <c r="EH62" s="63">
        <v>4020</v>
      </c>
      <c r="EI62" s="31">
        <v>4.4348712018853098E-2</v>
      </c>
      <c r="EJ62" s="31">
        <v>2.9464136375973921E-2</v>
      </c>
      <c r="EM62">
        <v>0</v>
      </c>
      <c r="EN62">
        <v>0</v>
      </c>
    </row>
    <row r="63" spans="1:144" ht="15">
      <c r="A63" s="39" t="s">
        <v>737</v>
      </c>
      <c r="B63" s="63">
        <v>4080</v>
      </c>
      <c r="C63" s="63">
        <v>5020</v>
      </c>
      <c r="D63" s="63" t="s">
        <v>435</v>
      </c>
      <c r="E63" s="94" t="s">
        <v>429</v>
      </c>
      <c r="F63" s="135" t="s">
        <v>427</v>
      </c>
      <c r="G63" s="61">
        <v>646.67594022000003</v>
      </c>
      <c r="H63" s="291">
        <v>6.884240856656664</v>
      </c>
      <c r="I63" s="291">
        <v>8.2573768884811525</v>
      </c>
      <c r="J63" s="291">
        <v>9.1403175789904338</v>
      </c>
      <c r="K63" s="291">
        <v>15.746652312465903</v>
      </c>
      <c r="L63" s="291">
        <v>13.525457017790757</v>
      </c>
      <c r="M63" s="291">
        <v>165.8945671673111</v>
      </c>
      <c r="N63" s="291">
        <v>31.03055939044242</v>
      </c>
      <c r="O63" s="300">
        <v>1.3613571694094804</v>
      </c>
      <c r="P63" s="292">
        <v>379.70999281503396</v>
      </c>
      <c r="Q63" s="291">
        <v>1.4012614885295298</v>
      </c>
      <c r="R63" s="291">
        <v>0</v>
      </c>
      <c r="S63" s="291">
        <v>3.43430203417057E-4</v>
      </c>
      <c r="T63" s="291">
        <v>13.723814104685339</v>
      </c>
      <c r="U63" s="306">
        <v>3469.400935448597</v>
      </c>
      <c r="V63" s="136">
        <v>2.6856845921762904</v>
      </c>
      <c r="W63" s="306">
        <v>15.340326789135384</v>
      </c>
      <c r="X63" s="136">
        <v>94.5</v>
      </c>
      <c r="Y63" s="306">
        <v>2.9564365866957401</v>
      </c>
      <c r="Z63" s="306">
        <v>0</v>
      </c>
      <c r="AA63" s="306">
        <v>0</v>
      </c>
      <c r="AB63" s="312">
        <v>31.71154888911574</v>
      </c>
      <c r="AC63" s="312">
        <v>115.86192602140518</v>
      </c>
      <c r="AD63" s="312">
        <v>39.534263337527584</v>
      </c>
      <c r="AE63" s="312">
        <v>32.272406596504226</v>
      </c>
      <c r="AF63" s="312">
        <v>6.8466977143269214E-2</v>
      </c>
      <c r="AG63" s="312">
        <v>0</v>
      </c>
      <c r="AH63" s="19">
        <v>50.766994633384719</v>
      </c>
      <c r="AI63" s="19">
        <v>90.324560022119229</v>
      </c>
      <c r="AJ63" s="19">
        <v>235.06319959647769</v>
      </c>
      <c r="AK63" s="19">
        <v>270.52118596801847</v>
      </c>
      <c r="AL63" s="19">
        <v>612.06860158300003</v>
      </c>
      <c r="AM63" s="19">
        <v>9.6411999999999995</v>
      </c>
      <c r="AN63" s="19" t="s">
        <v>11</v>
      </c>
      <c r="AO63" s="19" t="s">
        <v>12</v>
      </c>
      <c r="AP63" s="305">
        <v>24.320168878068699</v>
      </c>
      <c r="AQ63">
        <v>9.6262139999999992</v>
      </c>
      <c r="AR63" s="351">
        <v>5836.9672384449141</v>
      </c>
      <c r="AS63" s="346">
        <v>5306.3338531317404</v>
      </c>
      <c r="AT63" s="249">
        <v>153.973606344432</v>
      </c>
      <c r="AU63" s="312">
        <v>1414.0543029884286</v>
      </c>
      <c r="AV63" s="312">
        <v>1322.2211154252</v>
      </c>
      <c r="AW63" s="312">
        <v>881.4507954694285</v>
      </c>
      <c r="AX63" s="312">
        <v>754.80959959559891</v>
      </c>
      <c r="AY63" s="333">
        <v>702.32264146600005</v>
      </c>
      <c r="AZ63">
        <v>871.34174516759549</v>
      </c>
      <c r="BA63">
        <v>679.17763069837133</v>
      </c>
      <c r="BB63" s="48">
        <v>1021.5816325964956</v>
      </c>
      <c r="BC63" s="48">
        <v>761.22008619473092</v>
      </c>
      <c r="BD63" s="48">
        <v>34.554092776274928</v>
      </c>
      <c r="BE63" s="310">
        <v>0.39413033253941804</v>
      </c>
      <c r="BF63" s="310">
        <v>0.97923345409772333</v>
      </c>
      <c r="BG63" s="310">
        <v>2.6134901687252388</v>
      </c>
      <c r="BH63" s="310">
        <v>5.5876216279378284</v>
      </c>
      <c r="BI63" s="310">
        <v>37.250226481261549</v>
      </c>
      <c r="BJ63" s="305">
        <v>0.84841978660404671</v>
      </c>
      <c r="BK63" s="48">
        <v>0.15120599999999998</v>
      </c>
      <c r="BL63" s="48">
        <v>3802.3333333333298</v>
      </c>
      <c r="BM63" s="48">
        <v>1</v>
      </c>
      <c r="BN63" s="48">
        <v>0</v>
      </c>
      <c r="BO63" s="48">
        <v>3.6927074292757176</v>
      </c>
      <c r="BP63" s="314">
        <v>69.040384979291332</v>
      </c>
      <c r="BQ63" s="314">
        <v>47.734104004734633</v>
      </c>
      <c r="BR63" s="316">
        <v>481.17052162077738</v>
      </c>
      <c r="BS63" s="318">
        <v>67903.226861960837</v>
      </c>
      <c r="BT63" s="188">
        <v>60166.526861960832</v>
      </c>
      <c r="BU63" s="188">
        <v>60166.526861960832</v>
      </c>
      <c r="BV63" s="48">
        <v>7736.7000000000016</v>
      </c>
      <c r="BW63" s="48">
        <v>50</v>
      </c>
      <c r="BX63" s="48">
        <v>48</v>
      </c>
      <c r="BY63" s="48">
        <v>43</v>
      </c>
      <c r="BZ63" s="48">
        <v>0</v>
      </c>
      <c r="CA63" s="71">
        <v>0</v>
      </c>
      <c r="CB63" s="321">
        <v>0.27302260437806525</v>
      </c>
      <c r="CC63" s="321">
        <v>0</v>
      </c>
      <c r="CD63" s="321">
        <v>0</v>
      </c>
      <c r="CE63" s="321">
        <v>66.419750766666667</v>
      </c>
      <c r="CF63" s="321">
        <v>3.6436220000000006</v>
      </c>
      <c r="CG63" s="42">
        <v>0</v>
      </c>
      <c r="CH63" s="42">
        <v>0</v>
      </c>
      <c r="CI63" s="42">
        <v>0</v>
      </c>
      <c r="CJ63" s="42">
        <v>0</v>
      </c>
      <c r="CK63" s="42">
        <v>0</v>
      </c>
      <c r="CL63" s="151" t="str">
        <f t="shared" si="0"/>
        <v>OK</v>
      </c>
      <c r="CM63" s="152" t="str">
        <f t="shared" si="1"/>
        <v>OK</v>
      </c>
      <c r="CN63" s="153" t="str">
        <f t="shared" si="2"/>
        <v>OK</v>
      </c>
      <c r="CO63" s="327">
        <f t="shared" si="3"/>
        <v>5157.8000000000029</v>
      </c>
      <c r="CP63" s="328"/>
      <c r="CQ63" s="326"/>
      <c r="CR63" s="326">
        <v>123468.5438302769</v>
      </c>
      <c r="CS63" s="328">
        <v>4080</v>
      </c>
      <c r="CT63" s="327">
        <v>7.0093145161290327</v>
      </c>
      <c r="CU63" s="327">
        <f>VLOOKUP(B63,Tabelle2!$AL$2:$AM$82,2,)</f>
        <v>7.0093145161290327</v>
      </c>
      <c r="CV63">
        <v>5.5</v>
      </c>
      <c r="CW63">
        <v>0.08</v>
      </c>
      <c r="CY63" s="147">
        <f>VLOOKUP($B63,Tabelle2!$J$3:$W$38,3,)</f>
        <v>7.5909090909090908</v>
      </c>
      <c r="CZ63" s="147">
        <f>VLOOKUP($B63,Tabelle2!$J$3:$W$38,4,)</f>
        <v>13</v>
      </c>
      <c r="DA63" s="147">
        <f>VLOOKUP($B63,Tabelle2!$J$3:$W$38,5,)</f>
        <v>1.5263440860215041E-2</v>
      </c>
      <c r="DB63" s="147">
        <f>VLOOKUP($B63,Tabelle2!$J$3:$W$38,6,)</f>
        <v>2.1000000000000001E-2</v>
      </c>
      <c r="DC63" s="147">
        <f>VLOOKUP($B63,Tabelle2!$J$3:$W$38,7,)</f>
        <v>4.1774193548387122E-3</v>
      </c>
      <c r="DD63" s="147">
        <f>VLOOKUP($B63,Tabelle2!$J$3:$W$38,8,)</f>
        <v>7.799999999999997E-3</v>
      </c>
      <c r="DE63" s="147">
        <f>VLOOKUP($B63,Tabelle2!$J$3:$W$38,9,)</f>
        <v>4.1129032258064545E-3</v>
      </c>
      <c r="DF63" s="147">
        <f>VLOOKUP($B63,Tabelle2!$J$3:$W$38,10,)</f>
        <v>6.0000000000000001E-3</v>
      </c>
      <c r="DG63" s="147">
        <f>VLOOKUP($B63,Tabelle2!$J$3:$W$38,11,)</f>
        <v>0.86989247311827966</v>
      </c>
      <c r="DH63" s="147">
        <f>VLOOKUP($B63,Tabelle2!$J$3:$W$38,12,)</f>
        <v>1.2</v>
      </c>
      <c r="DI63" s="147">
        <f>VLOOKUP($B63,Tabelle2!$J$3:$W$38,13,)</f>
        <v>1.8172043010752696E-2</v>
      </c>
      <c r="DJ63" s="147">
        <f>VLOOKUP($B63,Tabelle2!$J$3:$W$38,14,)</f>
        <v>0.03</v>
      </c>
      <c r="DK63" s="147">
        <f t="shared" si="5"/>
        <v>0.89217741935483885</v>
      </c>
      <c r="DL63" s="147">
        <f t="shared" si="6"/>
        <v>1.236</v>
      </c>
      <c r="DN63" s="31"/>
      <c r="DO63" s="146" t="e">
        <f>DS63</f>
        <v>#N/A</v>
      </c>
      <c r="DP63" s="136">
        <v>123468.5438302769</v>
      </c>
      <c r="DQ63">
        <f t="shared" si="4"/>
        <v>4080</v>
      </c>
      <c r="DR63" s="147" t="e">
        <f>VLOOKUP(B63,Tabelle2!AC$2:AJ$73,3,)</f>
        <v>#N/A</v>
      </c>
      <c r="DS63" s="147" t="e">
        <f>VLOOKUP($B63,Tabelle2!$AC$2:$AJ$73,4,)</f>
        <v>#N/A</v>
      </c>
      <c r="DT63" s="147" t="e">
        <f>VLOOKUP($B63,Tabelle2!$AC$2:$AJ$73,5,)</f>
        <v>#N/A</v>
      </c>
      <c r="DU63" s="147" t="e">
        <f>VLOOKUP($B63,Tabelle2!$AC$2:$AJ$73,6,)</f>
        <v>#N/A</v>
      </c>
      <c r="DV63" s="147" t="e">
        <f>VLOOKUP($B63,Tabelle2!$AC$2:$AJ$73,7,)</f>
        <v>#N/A</v>
      </c>
      <c r="DW63" s="147" t="e">
        <f>VLOOKUP($B63,Tabelle2!$AC$2:$AJ$73,8,)</f>
        <v>#N/A</v>
      </c>
      <c r="DY63" s="48"/>
      <c r="DZ63" s="48" t="e">
        <f>DW63</f>
        <v>#N/A</v>
      </c>
      <c r="EA63" s="48" t="e">
        <f>DR63</f>
        <v>#N/A</v>
      </c>
      <c r="EC63" s="61">
        <v>6035.7534535500054</v>
      </c>
      <c r="ED63" s="27">
        <v>5777.9160064149237</v>
      </c>
      <c r="EE63" s="27">
        <v>114.5344435703494</v>
      </c>
      <c r="EG63" s="39" t="s">
        <v>737</v>
      </c>
      <c r="EH63" s="63">
        <v>4080</v>
      </c>
      <c r="EI63" s="31">
        <v>1.2376729605263159E-2</v>
      </c>
      <c r="EJ63" s="31">
        <v>2.6567142669494545E-2</v>
      </c>
      <c r="EM63">
        <v>0</v>
      </c>
      <c r="EN63">
        <v>0</v>
      </c>
    </row>
    <row r="64" spans="1:144" ht="15">
      <c r="A64" s="39" t="s">
        <v>738</v>
      </c>
      <c r="B64" s="63">
        <v>4990</v>
      </c>
      <c r="C64" s="63">
        <v>5000</v>
      </c>
      <c r="D64" s="63" t="s">
        <v>435</v>
      </c>
      <c r="E64" s="94" t="s">
        <v>426</v>
      </c>
      <c r="F64" s="135" t="s">
        <v>427</v>
      </c>
      <c r="G64" s="61">
        <v>133.499309192</v>
      </c>
      <c r="H64" s="291">
        <v>0</v>
      </c>
      <c r="I64" s="291">
        <v>9.9286565976519234E-2</v>
      </c>
      <c r="J64" s="291">
        <v>0.73591988043799716</v>
      </c>
      <c r="K64" s="291">
        <v>5.2346858172921342</v>
      </c>
      <c r="L64" s="291">
        <v>17.341089540127133</v>
      </c>
      <c r="M64" s="291">
        <v>35.734784561879557</v>
      </c>
      <c r="N64" s="291">
        <v>6.502118828282522</v>
      </c>
      <c r="O64" s="300">
        <v>0</v>
      </c>
      <c r="P64" s="292">
        <v>64.315533920666809</v>
      </c>
      <c r="Q64" s="291">
        <v>0</v>
      </c>
      <c r="R64" s="291">
        <v>0</v>
      </c>
      <c r="S64" s="291">
        <v>0</v>
      </c>
      <c r="T64" s="291">
        <v>3.5358900773373398</v>
      </c>
      <c r="U64" s="306">
        <v>868.93237975522629</v>
      </c>
      <c r="V64" s="293">
        <v>3.3</v>
      </c>
      <c r="W64" s="306">
        <v>1.7204255492173925</v>
      </c>
      <c r="X64" s="136">
        <v>282.5</v>
      </c>
      <c r="Y64" s="306">
        <v>0.18239300649117998</v>
      </c>
      <c r="Z64" s="306">
        <v>0</v>
      </c>
      <c r="AA64" s="306">
        <v>0</v>
      </c>
      <c r="AB64" s="312">
        <v>36.873196052946582</v>
      </c>
      <c r="AC64" s="312">
        <v>17.2647404864646</v>
      </c>
      <c r="AD64" s="312">
        <v>4.7116916098677342</v>
      </c>
      <c r="AE64" s="312">
        <v>0</v>
      </c>
      <c r="AF64" s="312">
        <v>0.29613821643443072</v>
      </c>
      <c r="AG64" s="312">
        <v>0</v>
      </c>
      <c r="AH64" s="19">
        <v>14.226982869470831</v>
      </c>
      <c r="AI64" s="19">
        <v>0</v>
      </c>
      <c r="AJ64" s="19">
        <v>0.14862947233073642</v>
      </c>
      <c r="AK64" s="19">
        <v>119.12369685019844</v>
      </c>
      <c r="AL64" s="19">
        <v>509.16352201299998</v>
      </c>
      <c r="AM64" s="19">
        <v>4.8068999999999997</v>
      </c>
      <c r="AN64" s="19"/>
      <c r="AO64" s="19"/>
      <c r="AP64" s="343">
        <v>2.48078501</v>
      </c>
      <c r="AQ64">
        <v>11.069318000000001</v>
      </c>
      <c r="AR64" s="351">
        <v>158068.53494243132</v>
      </c>
      <c r="AS64" s="348">
        <v>143698.66812948301</v>
      </c>
      <c r="AT64" s="350">
        <v>4202.4479725110896</v>
      </c>
      <c r="AU64" s="312">
        <v>1016.4369757351427</v>
      </c>
      <c r="AV64" s="312">
        <v>1024.2220399110392</v>
      </c>
      <c r="AW64" s="312">
        <v>613.3489453084286</v>
      </c>
      <c r="AX64" s="312">
        <v>574.54977685846723</v>
      </c>
      <c r="AY64" s="333">
        <v>700.96802213585704</v>
      </c>
      <c r="AZ64">
        <v>1261.5051535666935</v>
      </c>
      <c r="BA64">
        <v>632.31659527224929</v>
      </c>
      <c r="BB64" s="48">
        <v>1579.9451123839094</v>
      </c>
      <c r="BC64" s="48">
        <v>757.35790457863368</v>
      </c>
      <c r="BD64" s="48">
        <v>34.904630514956978</v>
      </c>
      <c r="BE64" s="310">
        <v>0</v>
      </c>
      <c r="BF64" s="310">
        <v>1.5331035500981436</v>
      </c>
      <c r="BG64" s="310">
        <v>2.7408947573086748</v>
      </c>
      <c r="BH64" s="310">
        <v>5.0435127720551849</v>
      </c>
      <c r="BI64" s="310">
        <v>11.432113767675645</v>
      </c>
      <c r="BJ64" s="305">
        <v>0.27610255207537254</v>
      </c>
      <c r="BK64" s="48">
        <v>0.10986499999999999</v>
      </c>
      <c r="BL64" s="48">
        <v>2238.3333333333298</v>
      </c>
      <c r="BM64" s="48">
        <v>1</v>
      </c>
      <c r="BN64" s="48">
        <v>0</v>
      </c>
      <c r="BO64" s="48">
        <v>2.9644614836501058</v>
      </c>
      <c r="BP64" s="314">
        <v>57.655509212536778</v>
      </c>
      <c r="BQ64" s="314">
        <v>63.048762504384165</v>
      </c>
      <c r="BR64" s="316">
        <v>261.64969328383455</v>
      </c>
      <c r="BS64" s="318">
        <v>9654.7334196184711</v>
      </c>
      <c r="BT64" s="188">
        <v>9205.8934196184709</v>
      </c>
      <c r="BU64" s="188">
        <v>9205.8934196184709</v>
      </c>
      <c r="BV64" s="48">
        <v>448.84000000000015</v>
      </c>
      <c r="BW64" s="48">
        <v>50</v>
      </c>
      <c r="BX64" s="48">
        <v>70</v>
      </c>
      <c r="BY64" s="48">
        <v>43</v>
      </c>
      <c r="BZ64" s="48">
        <v>0</v>
      </c>
      <c r="CA64" s="71">
        <v>0</v>
      </c>
      <c r="CB64" s="321">
        <v>2.4406294499408086E-2</v>
      </c>
      <c r="CC64" s="321">
        <v>0</v>
      </c>
      <c r="CD64" s="321">
        <v>0</v>
      </c>
      <c r="CE64" s="321">
        <v>2.1813866555555554</v>
      </c>
      <c r="CF64" s="321">
        <v>1.0775980000000001</v>
      </c>
      <c r="CG64" s="42">
        <v>0</v>
      </c>
      <c r="CH64" s="42">
        <v>0</v>
      </c>
      <c r="CI64" s="42">
        <v>0</v>
      </c>
      <c r="CJ64" s="42">
        <v>0</v>
      </c>
      <c r="CK64" s="42">
        <v>0</v>
      </c>
      <c r="CL64" s="151" t="str">
        <f t="shared" si="0"/>
        <v>OK</v>
      </c>
      <c r="CM64" s="152" t="str">
        <f t="shared" si="1"/>
        <v>OK</v>
      </c>
      <c r="CN64" s="153" t="str">
        <f t="shared" si="2"/>
        <v>OK</v>
      </c>
      <c r="CO64" s="327">
        <f t="shared" si="3"/>
        <v>299.22666666666674</v>
      </c>
      <c r="CP64" s="328"/>
      <c r="CQ64" s="326">
        <v>2263.1153675376499</v>
      </c>
      <c r="CR64" s="326" t="e">
        <v>#N/A</v>
      </c>
      <c r="CS64" s="328">
        <v>4990</v>
      </c>
      <c r="CT64" s="327">
        <v>3.2809677419354841</v>
      </c>
      <c r="CU64" s="327">
        <f>VLOOKUP(B64,Tabelle2!$AL$2:$AM$82,2,)</f>
        <v>3.2809677419354841</v>
      </c>
      <c r="CV64">
        <v>5.5</v>
      </c>
      <c r="CW64">
        <v>0.1</v>
      </c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N64" s="31"/>
      <c r="DO64" s="136" t="e">
        <v>#N/A</v>
      </c>
      <c r="DP64" s="136" t="e">
        <v>#N/A</v>
      </c>
      <c r="DQ64">
        <f t="shared" si="4"/>
        <v>4990</v>
      </c>
      <c r="DR64" s="147"/>
      <c r="DS64" s="147"/>
      <c r="DT64" s="147"/>
      <c r="DU64" s="147"/>
      <c r="DV64" s="147"/>
      <c r="DW64" s="147"/>
      <c r="DY64" s="48"/>
      <c r="DZ64" s="48"/>
      <c r="EA64" s="48"/>
      <c r="EC64" s="61">
        <v>1980.7678556913243</v>
      </c>
      <c r="ED64" s="27">
        <v>1640.9326583094501</v>
      </c>
      <c r="EE64" s="27">
        <v>60.425140438275967</v>
      </c>
      <c r="EG64" s="39" t="s">
        <v>738</v>
      </c>
      <c r="EH64" s="63">
        <v>4990</v>
      </c>
      <c r="EI64" s="31">
        <v>4.2941199999999999E-2</v>
      </c>
      <c r="EJ64" s="31">
        <v>4.8357518313235155E-2</v>
      </c>
      <c r="EM64">
        <v>2</v>
      </c>
      <c r="EN64">
        <v>2</v>
      </c>
    </row>
    <row r="65" spans="1:144" ht="15">
      <c r="A65" s="39" t="s">
        <v>738</v>
      </c>
      <c r="B65" s="63">
        <v>5000</v>
      </c>
      <c r="C65" s="63">
        <v>5010</v>
      </c>
      <c r="D65" s="63" t="s">
        <v>435</v>
      </c>
      <c r="E65" s="94" t="s">
        <v>429</v>
      </c>
      <c r="F65" s="135" t="s">
        <v>427</v>
      </c>
      <c r="G65" s="61">
        <v>227.582904668</v>
      </c>
      <c r="H65" s="291">
        <v>1.7783596087613083</v>
      </c>
      <c r="I65" s="291">
        <v>1.1250418583243695</v>
      </c>
      <c r="J65" s="291">
        <v>2.0503424767519243</v>
      </c>
      <c r="K65" s="291">
        <v>11.359975316590971</v>
      </c>
      <c r="L65" s="291">
        <v>28.343258266122472</v>
      </c>
      <c r="M65" s="291">
        <v>52.192630078418098</v>
      </c>
      <c r="N65" s="291">
        <v>9.984451604825729</v>
      </c>
      <c r="O65" s="300">
        <v>0</v>
      </c>
      <c r="P65" s="292">
        <v>102.25923143089138</v>
      </c>
      <c r="Q65" s="291">
        <v>0</v>
      </c>
      <c r="R65" s="291">
        <v>0</v>
      </c>
      <c r="S65" s="291">
        <v>2.1763462793226198E-4</v>
      </c>
      <c r="T65" s="291">
        <v>18.489396392685801</v>
      </c>
      <c r="U65" s="306">
        <v>5614.258623394725</v>
      </c>
      <c r="V65" s="136">
        <v>2.5005679723036947</v>
      </c>
      <c r="W65" s="306">
        <v>14.710563639119162</v>
      </c>
      <c r="X65" s="136">
        <v>279.9591836734694</v>
      </c>
      <c r="Y65" s="306">
        <v>0.33220370301070101</v>
      </c>
      <c r="Z65" s="306">
        <v>0</v>
      </c>
      <c r="AA65" s="306">
        <v>0</v>
      </c>
      <c r="AB65" s="312">
        <v>80.847307099154676</v>
      </c>
      <c r="AC65" s="312">
        <v>4.9237892940539236</v>
      </c>
      <c r="AD65" s="312">
        <v>10.362636902966313</v>
      </c>
      <c r="AE65" s="312">
        <v>0.13100195975918427</v>
      </c>
      <c r="AF65" s="312">
        <v>0.58487234903505003</v>
      </c>
      <c r="AG65" s="312">
        <v>0</v>
      </c>
      <c r="AH65" s="19">
        <v>3.6047890716706474</v>
      </c>
      <c r="AI65" s="19">
        <v>26.059011787223799</v>
      </c>
      <c r="AJ65" s="19">
        <v>0</v>
      </c>
      <c r="AK65" s="19">
        <v>197.91910380910554</v>
      </c>
      <c r="AL65" s="19">
        <v>466.11145510799997</v>
      </c>
      <c r="AM65" s="19">
        <v>5.7004999999999999</v>
      </c>
      <c r="AN65" s="19"/>
      <c r="AO65" s="19"/>
      <c r="AP65" s="343">
        <v>3.7246486600000002</v>
      </c>
      <c r="AQ65" s="341">
        <v>10.134665634675999</v>
      </c>
      <c r="AR65" s="351"/>
      <c r="AS65" s="346"/>
      <c r="AT65" s="249"/>
      <c r="AU65" s="312">
        <v>943.58813456128553</v>
      </c>
      <c r="AV65" s="312">
        <v>946.31699361903634</v>
      </c>
      <c r="AW65" s="312">
        <v>574.92875513728563</v>
      </c>
      <c r="AX65" s="312">
        <v>532.0304180932369</v>
      </c>
      <c r="AY65" s="333">
        <v>710.33746866442846</v>
      </c>
      <c r="AZ65">
        <v>1001.8195715101742</v>
      </c>
      <c r="BA65">
        <v>609.31965958133958</v>
      </c>
      <c r="BB65" s="48">
        <v>1123.6306411753319</v>
      </c>
      <c r="BC65" s="48">
        <v>637.47941411893714</v>
      </c>
      <c r="BD65" s="48">
        <v>34.97757605155568</v>
      </c>
      <c r="BE65" s="310">
        <v>0.90488448382163733</v>
      </c>
      <c r="BF65" s="310">
        <v>1.6883293914674009</v>
      </c>
      <c r="BG65" s="310">
        <v>3.1556680279153801</v>
      </c>
      <c r="BH65" s="310">
        <v>5.5797350216132315</v>
      </c>
      <c r="BI65" s="310">
        <v>8.8421895399320807</v>
      </c>
      <c r="BJ65" s="305">
        <v>0.2393246102557621</v>
      </c>
      <c r="BK65" s="48">
        <v>0.141767</v>
      </c>
      <c r="BL65" s="48">
        <v>2521.5</v>
      </c>
      <c r="BM65" s="48">
        <v>1</v>
      </c>
      <c r="BN65" s="48">
        <v>0</v>
      </c>
      <c r="BO65" s="48">
        <v>5.0987260444620182</v>
      </c>
      <c r="BP65" s="314">
        <v>52.219880369078794</v>
      </c>
      <c r="BQ65" s="314">
        <v>54.720197170448294</v>
      </c>
      <c r="BR65" s="316">
        <v>378.02784537664292</v>
      </c>
      <c r="BS65" s="318">
        <v>30823.399705539483</v>
      </c>
      <c r="BT65" s="188">
        <v>29455.226372206151</v>
      </c>
      <c r="BU65" s="188">
        <v>29455.226372206151</v>
      </c>
      <c r="BV65" s="48">
        <v>1368.1733333333323</v>
      </c>
      <c r="BW65" s="48">
        <v>50</v>
      </c>
      <c r="BX65" s="48">
        <v>70</v>
      </c>
      <c r="BY65" s="48">
        <v>43</v>
      </c>
      <c r="BZ65" s="48">
        <v>0</v>
      </c>
      <c r="CA65" s="71">
        <v>0</v>
      </c>
      <c r="CB65" s="321">
        <v>1.9272803251310672E-2</v>
      </c>
      <c r="CC65" s="321">
        <v>0</v>
      </c>
      <c r="CD65" s="321">
        <v>0</v>
      </c>
      <c r="CE65" s="321">
        <v>1.4378592000000001</v>
      </c>
      <c r="CF65" s="321">
        <v>0.75375900000000007</v>
      </c>
      <c r="CG65" s="42">
        <v>0</v>
      </c>
      <c r="CH65" s="42">
        <v>0</v>
      </c>
      <c r="CI65" s="42">
        <v>0</v>
      </c>
      <c r="CJ65" s="42">
        <v>0</v>
      </c>
      <c r="CK65" s="42">
        <v>0</v>
      </c>
      <c r="CL65" s="151" t="str">
        <f t="shared" si="0"/>
        <v>OK</v>
      </c>
      <c r="CM65" s="152" t="str">
        <f t="shared" si="1"/>
        <v>OK</v>
      </c>
      <c r="CN65" s="153" t="str">
        <f t="shared" si="2"/>
        <v>OK</v>
      </c>
      <c r="CO65" s="327">
        <f t="shared" si="3"/>
        <v>912.11555555555481</v>
      </c>
      <c r="CP65" s="328"/>
      <c r="CQ65" s="326"/>
      <c r="CR65" s="326" t="e">
        <v>#N/A</v>
      </c>
      <c r="CS65" s="328">
        <v>5000</v>
      </c>
      <c r="CT65" s="327">
        <v>2.3811290322580643</v>
      </c>
      <c r="CU65" s="327">
        <f>VLOOKUP(B65,Tabelle2!$AL$2:$AM$82,2,)</f>
        <v>2.3811290322580643</v>
      </c>
      <c r="CV65">
        <v>5.5</v>
      </c>
      <c r="CW65">
        <v>0.1</v>
      </c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N65" s="31"/>
      <c r="DO65" s="136" t="e">
        <v>#N/A</v>
      </c>
      <c r="DP65" s="136" t="e">
        <v>#N/A</v>
      </c>
      <c r="DQ65">
        <f t="shared" si="4"/>
        <v>5000</v>
      </c>
      <c r="DR65" s="147"/>
      <c r="DS65" s="147"/>
      <c r="DT65" s="147"/>
      <c r="DU65" s="147"/>
      <c r="DV65" s="147"/>
      <c r="DW65" s="147"/>
      <c r="DY65" s="48"/>
      <c r="DZ65" s="48"/>
      <c r="EA65" s="48"/>
      <c r="EC65" s="61">
        <v>3908.8476176153476</v>
      </c>
      <c r="ED65" s="27">
        <v>3273.0450323649102</v>
      </c>
      <c r="EE65" s="27">
        <v>140.36854557390015</v>
      </c>
      <c r="EG65" s="39" t="s">
        <v>738</v>
      </c>
      <c r="EH65" s="63">
        <v>5000</v>
      </c>
      <c r="EI65" s="31">
        <v>3.9552247368421056E-2</v>
      </c>
      <c r="EJ65" s="31">
        <v>5.2488591110970179E-2</v>
      </c>
      <c r="EM65">
        <v>2</v>
      </c>
      <c r="EN65">
        <v>2</v>
      </c>
    </row>
    <row r="66" spans="1:144" ht="15">
      <c r="A66" s="39" t="s">
        <v>738</v>
      </c>
      <c r="B66" s="63">
        <v>5010</v>
      </c>
      <c r="C66" s="63">
        <v>5020</v>
      </c>
      <c r="D66" s="63" t="s">
        <v>435</v>
      </c>
      <c r="E66" s="94" t="s">
        <v>429</v>
      </c>
      <c r="F66" s="135" t="s">
        <v>427</v>
      </c>
      <c r="G66" s="61">
        <v>154.023055279</v>
      </c>
      <c r="H66" s="291">
        <v>4.3277124975684238</v>
      </c>
      <c r="I66" s="291">
        <v>5.5736589896778312</v>
      </c>
      <c r="J66" s="291">
        <v>7.2517989419872002</v>
      </c>
      <c r="K66" s="291">
        <v>9.6871447003002853</v>
      </c>
      <c r="L66" s="291">
        <v>17.402525277090337</v>
      </c>
      <c r="M66" s="291">
        <v>13.478747504526403</v>
      </c>
      <c r="N66" s="291">
        <v>30.10027032009905</v>
      </c>
      <c r="O66" s="300">
        <v>1.656449845083886</v>
      </c>
      <c r="P66" s="292">
        <v>55.56602196236539</v>
      </c>
      <c r="Q66" s="291">
        <v>0</v>
      </c>
      <c r="R66" s="291">
        <v>0</v>
      </c>
      <c r="S66" s="291">
        <v>3.6999427470841298E-2</v>
      </c>
      <c r="T66" s="291">
        <v>8.9417258128303487</v>
      </c>
      <c r="U66" s="306">
        <v>1609.4446959226912</v>
      </c>
      <c r="V66" s="136">
        <v>4.1303324879767223</v>
      </c>
      <c r="W66" s="306">
        <v>4.9299946607625378</v>
      </c>
      <c r="X66" s="136">
        <v>289.3</v>
      </c>
      <c r="Y66" s="306">
        <v>0.86793664230043799</v>
      </c>
      <c r="Z66" s="306">
        <v>0</v>
      </c>
      <c r="AA66" s="306">
        <v>0</v>
      </c>
      <c r="AB66" s="312">
        <v>16.609822779020671</v>
      </c>
      <c r="AC66" s="312">
        <v>4.2157351066253046</v>
      </c>
      <c r="AD66" s="312">
        <v>34.582280465638519</v>
      </c>
      <c r="AE66" s="312">
        <v>2.3137495598659918</v>
      </c>
      <c r="AF66" s="312">
        <v>0</v>
      </c>
      <c r="AG66" s="312">
        <v>0</v>
      </c>
      <c r="AH66" s="19">
        <v>73.717986845409754</v>
      </c>
      <c r="AI66" s="19">
        <v>36.379859694255103</v>
      </c>
      <c r="AJ66" s="19">
        <v>0</v>
      </c>
      <c r="AK66" s="19">
        <v>43.925208739335119</v>
      </c>
      <c r="AL66" s="19">
        <v>334.79802955700001</v>
      </c>
      <c r="AM66" s="19">
        <v>3.4424999999999999</v>
      </c>
      <c r="AN66" s="19"/>
      <c r="AO66" s="19"/>
      <c r="AP66" s="305">
        <v>3.3099532626302399</v>
      </c>
      <c r="AQ66">
        <v>11.657954999999999</v>
      </c>
      <c r="AR66" s="351">
        <v>175555.72339213479</v>
      </c>
      <c r="AS66" s="348">
        <v>159596.112174668</v>
      </c>
      <c r="AT66" s="350">
        <v>3823.9008285512</v>
      </c>
      <c r="AU66" s="312">
        <v>853.27259728985723</v>
      </c>
      <c r="AV66" s="312">
        <v>828.52397730355915</v>
      </c>
      <c r="AW66" s="312">
        <v>549.44257084371429</v>
      </c>
      <c r="AX66" s="312">
        <v>490.57634241666602</v>
      </c>
      <c r="AY66" s="333">
        <v>744.55982153057164</v>
      </c>
      <c r="AZ66">
        <v>887.8390439901832</v>
      </c>
      <c r="BA66">
        <v>608.29320709958904</v>
      </c>
      <c r="BB66" s="48">
        <v>1030.1869171144617</v>
      </c>
      <c r="BC66" s="48">
        <v>658.6310354300017</v>
      </c>
      <c r="BD66" s="48">
        <v>34.778750100538893</v>
      </c>
      <c r="BE66" s="310">
        <v>0.91525081834122091</v>
      </c>
      <c r="BF66" s="310">
        <v>2.0517514960869754</v>
      </c>
      <c r="BG66" s="310">
        <v>4.4403010391867275</v>
      </c>
      <c r="BH66" s="310">
        <v>7.436850752969284</v>
      </c>
      <c r="BI66" s="310">
        <v>11.638840052655231</v>
      </c>
      <c r="BJ66" s="305">
        <v>0.27971966551271271</v>
      </c>
      <c r="BK66" s="48">
        <v>0.176762</v>
      </c>
      <c r="BL66" s="48">
        <v>1716.4285714285702</v>
      </c>
      <c r="BM66" s="48">
        <v>1</v>
      </c>
      <c r="BN66" s="48">
        <v>0</v>
      </c>
      <c r="BO66" s="48">
        <v>1.4345665319349443</v>
      </c>
      <c r="BP66" s="314">
        <v>43.987900713860064</v>
      </c>
      <c r="BQ66" s="314">
        <v>55.31632791150092</v>
      </c>
      <c r="BR66" s="316">
        <v>583.71855956739887</v>
      </c>
      <c r="BS66" s="319">
        <v>158739.73311754974</v>
      </c>
      <c r="BT66" s="188">
        <v>153418.09978421641</v>
      </c>
      <c r="BU66" s="188">
        <v>153418.09978421641</v>
      </c>
      <c r="BV66" s="48">
        <v>5321.6333333333314</v>
      </c>
      <c r="BW66" s="48">
        <v>50</v>
      </c>
      <c r="BX66" s="48">
        <v>70</v>
      </c>
      <c r="BY66" s="48">
        <v>43</v>
      </c>
      <c r="BZ66" s="48">
        <v>0</v>
      </c>
      <c r="CA66" s="71">
        <v>0</v>
      </c>
      <c r="CB66" s="321">
        <v>1.9740657683811094</v>
      </c>
      <c r="CC66" s="321">
        <v>0</v>
      </c>
      <c r="CD66" s="321">
        <v>0</v>
      </c>
      <c r="CE66" s="321">
        <v>601.8589781666667</v>
      </c>
      <c r="CF66" s="321">
        <v>20.468573333333332</v>
      </c>
      <c r="CG66" s="42">
        <v>0</v>
      </c>
      <c r="CH66" s="42">
        <v>0</v>
      </c>
      <c r="CI66" s="42">
        <v>0</v>
      </c>
      <c r="CJ66" s="42">
        <v>1329.5</v>
      </c>
      <c r="CK66" s="42">
        <v>44.2</v>
      </c>
      <c r="CL66" s="151" t="str">
        <f t="shared" si="0"/>
        <v>OK</v>
      </c>
      <c r="CM66" s="152" t="str">
        <f t="shared" si="1"/>
        <v>OK</v>
      </c>
      <c r="CN66" s="153" t="str">
        <f t="shared" si="2"/>
        <v>OK</v>
      </c>
      <c r="CO66" s="327">
        <f t="shared" si="3"/>
        <v>3547.7555555555541</v>
      </c>
      <c r="CP66" s="328"/>
      <c r="CQ66" s="326">
        <v>2115.8386921944402</v>
      </c>
      <c r="CR66" s="326" t="e">
        <v>#N/A</v>
      </c>
      <c r="CS66" s="328">
        <v>5010</v>
      </c>
      <c r="CT66" s="327">
        <v>7.1280148883374697</v>
      </c>
      <c r="CU66" s="327">
        <f>VLOOKUP(B66,Tabelle2!$AL$2:$AM$82,2,)</f>
        <v>7.1280148883374697</v>
      </c>
      <c r="CV66">
        <v>5.5</v>
      </c>
      <c r="CW66">
        <v>0.1</v>
      </c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N66" s="31"/>
      <c r="DO66" s="136" t="e">
        <v>#N/A</v>
      </c>
      <c r="DP66" s="136" t="e">
        <v>#N/A</v>
      </c>
      <c r="DQ66">
        <f t="shared" si="4"/>
        <v>5010</v>
      </c>
      <c r="DR66" s="147"/>
      <c r="DS66" s="147"/>
      <c r="DT66" s="147"/>
      <c r="DU66" s="147"/>
      <c r="DV66" s="147"/>
      <c r="DW66" s="147"/>
      <c r="DY66" s="48"/>
      <c r="DZ66" s="48"/>
      <c r="EA66" s="48"/>
      <c r="EC66" s="61">
        <v>12362.280032058796</v>
      </c>
      <c r="ED66" s="27">
        <v>11121.469937261239</v>
      </c>
      <c r="EE66" s="27">
        <v>394.84400833463633</v>
      </c>
      <c r="EG66" s="39" t="s">
        <v>738</v>
      </c>
      <c r="EH66" s="63">
        <v>5010</v>
      </c>
      <c r="EI66" s="31">
        <v>5.4400787559808615E-2</v>
      </c>
      <c r="EJ66" s="31">
        <v>3.1713651640664794E-2</v>
      </c>
      <c r="EM66">
        <v>2</v>
      </c>
      <c r="EN66">
        <v>2</v>
      </c>
    </row>
    <row r="67" spans="1:144" ht="15">
      <c r="A67" s="39" t="s">
        <v>738</v>
      </c>
      <c r="B67" s="63">
        <v>5020</v>
      </c>
      <c r="C67" s="63"/>
      <c r="D67" s="63" t="s">
        <v>435</v>
      </c>
      <c r="E67" s="94" t="s">
        <v>429</v>
      </c>
      <c r="F67" s="135" t="s">
        <v>427</v>
      </c>
      <c r="G67" s="61">
        <v>390.66922503799998</v>
      </c>
      <c r="H67" s="291">
        <v>19.434481734097062</v>
      </c>
      <c r="I67" s="291">
        <v>10.717191737845768</v>
      </c>
      <c r="J67" s="291">
        <v>6.0579786625747891</v>
      </c>
      <c r="K67" s="291">
        <v>9.3263188288796499</v>
      </c>
      <c r="L67" s="291">
        <v>60.44828432719445</v>
      </c>
      <c r="M67" s="291">
        <v>72.512419624372384</v>
      </c>
      <c r="N67" s="291">
        <v>18.240754848802439</v>
      </c>
      <c r="O67" s="300">
        <v>4.973481203972448E-5</v>
      </c>
      <c r="P67" s="292">
        <v>176.82186622663392</v>
      </c>
      <c r="Q67" s="291">
        <v>5.5399762186554298E-5</v>
      </c>
      <c r="R67" s="291">
        <v>0</v>
      </c>
      <c r="S67" s="291">
        <v>1.9919703223560299E-2</v>
      </c>
      <c r="T67" s="291">
        <v>17.089904209801773</v>
      </c>
      <c r="U67" s="306">
        <v>4012.9420416675407</v>
      </c>
      <c r="V67" s="136">
        <v>3.5907466430888393</v>
      </c>
      <c r="W67" s="306">
        <v>6.0313061192387378</v>
      </c>
      <c r="X67" s="136">
        <v>282.28571428571428</v>
      </c>
      <c r="Y67" s="306">
        <v>0.97789448882887497</v>
      </c>
      <c r="Z67" s="306">
        <v>0</v>
      </c>
      <c r="AA67" s="306">
        <v>0</v>
      </c>
      <c r="AB67" s="312">
        <v>41.072950492734122</v>
      </c>
      <c r="AC67" s="312">
        <v>73.129119238888961</v>
      </c>
      <c r="AD67" s="312">
        <v>53.55494778218501</v>
      </c>
      <c r="AE67" s="312">
        <v>9.1217684003907724</v>
      </c>
      <c r="AF67" s="312">
        <v>1.617889000765236</v>
      </c>
      <c r="AG67" s="312">
        <v>0</v>
      </c>
      <c r="AH67" s="19">
        <v>60.113391024508481</v>
      </c>
      <c r="AI67" s="19">
        <v>82.303798267122829</v>
      </c>
      <c r="AJ67" s="19">
        <v>0</v>
      </c>
      <c r="AK67" s="19">
        <v>248.25203574636862</v>
      </c>
      <c r="AL67" s="19">
        <v>445.47368421099998</v>
      </c>
      <c r="AM67" s="19">
        <v>4.0030000000000001</v>
      </c>
      <c r="AN67" s="19"/>
      <c r="AO67" s="19"/>
      <c r="AP67" s="305">
        <v>5.7336586747770797</v>
      </c>
      <c r="AQ67" s="341">
        <v>10.196578947367</v>
      </c>
      <c r="AR67" s="351"/>
      <c r="AS67" s="346"/>
      <c r="AT67" s="249"/>
      <c r="AU67" s="312">
        <v>926.88945957157136</v>
      </c>
      <c r="AV67" s="312">
        <v>883.63243546241222</v>
      </c>
      <c r="AW67" s="312">
        <v>591.35455812028579</v>
      </c>
      <c r="AX67" s="312">
        <v>527.52684817990541</v>
      </c>
      <c r="AY67" s="333">
        <v>715.20504369371429</v>
      </c>
      <c r="AZ67">
        <v>795.08051749434946</v>
      </c>
      <c r="BA67">
        <v>610.42511774673699</v>
      </c>
      <c r="BB67" s="48">
        <v>891.01972023120334</v>
      </c>
      <c r="BC67" s="48">
        <v>646.6893929807668</v>
      </c>
      <c r="BD67" s="48">
        <v>34.767886814181132</v>
      </c>
      <c r="BE67" s="310">
        <v>0.82217520378352449</v>
      </c>
      <c r="BF67" s="310">
        <v>1.4715283314752288</v>
      </c>
      <c r="BG67" s="310">
        <v>2.8765289975445785</v>
      </c>
      <c r="BH67" s="310">
        <v>7.4802026681311515</v>
      </c>
      <c r="BI67" s="310">
        <v>10.663562987306454</v>
      </c>
      <c r="BJ67" s="305">
        <v>0.27228262285358379</v>
      </c>
      <c r="BK67" s="48">
        <v>0.16917699999999999</v>
      </c>
      <c r="BL67" s="48">
        <v>2847.5</v>
      </c>
      <c r="BM67" s="48">
        <v>1</v>
      </c>
      <c r="BN67" s="48">
        <v>0</v>
      </c>
      <c r="BO67" s="48">
        <v>0.74631357615578464</v>
      </c>
      <c r="BP67" s="314">
        <v>74.917426012509836</v>
      </c>
      <c r="BQ67" s="314">
        <v>56.47544917780187</v>
      </c>
      <c r="BR67" s="316">
        <v>637.72906403103525</v>
      </c>
      <c r="BS67" s="318">
        <v>28355.515548186588</v>
      </c>
      <c r="BT67" s="188">
        <v>27034.942214853254</v>
      </c>
      <c r="BU67" s="188">
        <v>27034.942214853254</v>
      </c>
      <c r="BV67" s="48">
        <v>1320.5733333333337</v>
      </c>
      <c r="BW67" s="48">
        <v>50</v>
      </c>
      <c r="BX67" s="48">
        <v>70</v>
      </c>
      <c r="BY67" s="48">
        <v>43</v>
      </c>
      <c r="BZ67" s="48">
        <v>0</v>
      </c>
      <c r="CA67" s="71">
        <v>0</v>
      </c>
      <c r="CB67" s="321">
        <v>8.6724035969474034E-2</v>
      </c>
      <c r="CC67" s="321">
        <v>0</v>
      </c>
      <c r="CD67" s="321">
        <v>0</v>
      </c>
      <c r="CE67" s="321">
        <v>19.492466363888894</v>
      </c>
      <c r="CF67" s="321">
        <v>2.1505147500000001</v>
      </c>
      <c r="CG67" s="42">
        <v>0</v>
      </c>
      <c r="CH67" s="42">
        <v>0</v>
      </c>
      <c r="CI67" s="42">
        <v>0</v>
      </c>
      <c r="CJ67" s="42">
        <v>0</v>
      </c>
      <c r="CK67" s="42">
        <v>0</v>
      </c>
      <c r="CL67" s="151" t="str">
        <f t="shared" si="0"/>
        <v>OK</v>
      </c>
      <c r="CM67" s="152" t="str">
        <f t="shared" si="1"/>
        <v>OK</v>
      </c>
      <c r="CN67" s="153" t="str">
        <f t="shared" si="2"/>
        <v>OK</v>
      </c>
      <c r="CO67" s="327">
        <f t="shared" si="3"/>
        <v>880.38222222222248</v>
      </c>
      <c r="CP67" s="328"/>
      <c r="CQ67" s="326"/>
      <c r="CR67" s="326" t="e">
        <v>#N/A</v>
      </c>
      <c r="CS67" s="328">
        <v>5020</v>
      </c>
      <c r="CT67" s="327">
        <v>5.4232123655913984</v>
      </c>
      <c r="CU67" s="327">
        <f>VLOOKUP(B67,Tabelle2!$AL$2:$AM$82,2,)</f>
        <v>5.4232123655913984</v>
      </c>
      <c r="CV67">
        <v>5.5</v>
      </c>
      <c r="CW67">
        <v>0.1</v>
      </c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N67" s="31"/>
      <c r="DO67" s="136" t="e">
        <v>#N/A</v>
      </c>
      <c r="DP67" s="136" t="e">
        <v>#N/A</v>
      </c>
      <c r="DQ67">
        <f t="shared" si="4"/>
        <v>5020</v>
      </c>
      <c r="DR67" s="147"/>
      <c r="DS67" s="147"/>
      <c r="DT67" s="147"/>
      <c r="DU67" s="147"/>
      <c r="DV67" s="147"/>
      <c r="DW67" s="147"/>
      <c r="DY67" s="48"/>
      <c r="DZ67" s="48"/>
      <c r="EA67" s="48"/>
      <c r="EC67" s="61">
        <v>19560.64226881968</v>
      </c>
      <c r="ED67" s="27">
        <v>17843.082216759321</v>
      </c>
      <c r="EE67" s="27">
        <v>541.71640504057279</v>
      </c>
      <c r="EG67" s="39" t="s">
        <v>738</v>
      </c>
      <c r="EH67" s="63">
        <v>5020</v>
      </c>
      <c r="EI67" s="31">
        <v>2.2720403070175439E-2</v>
      </c>
      <c r="EJ67" s="31">
        <v>3.4323825136069311E-2</v>
      </c>
      <c r="EM67">
        <v>2</v>
      </c>
      <c r="EN67">
        <v>2</v>
      </c>
    </row>
    <row r="68" spans="1:144" ht="15">
      <c r="A68" s="244" t="s">
        <v>714</v>
      </c>
      <c r="B68" s="63">
        <v>1390</v>
      </c>
      <c r="C68" s="63">
        <v>4050</v>
      </c>
      <c r="D68" s="63" t="s">
        <v>435</v>
      </c>
      <c r="E68" s="94" t="s">
        <v>429</v>
      </c>
      <c r="F68" s="135" t="s">
        <v>427</v>
      </c>
      <c r="G68" s="61">
        <v>134.82837281799999</v>
      </c>
      <c r="H68" s="291">
        <v>0</v>
      </c>
      <c r="I68" s="291">
        <v>3.1053724402824532E-2</v>
      </c>
      <c r="J68" s="291">
        <v>1.1931267023392179E-2</v>
      </c>
      <c r="K68" s="291">
        <v>1.1705216005064394E-3</v>
      </c>
      <c r="L68" s="291">
        <v>2.7513303027753993E-2</v>
      </c>
      <c r="M68" s="291">
        <v>21.410885657128084</v>
      </c>
      <c r="N68" s="291">
        <v>0.79459433326830853</v>
      </c>
      <c r="O68" s="300">
        <v>0</v>
      </c>
      <c r="P68" s="292">
        <v>110.68957247188079</v>
      </c>
      <c r="Q68" s="291">
        <v>0.35651500433089101</v>
      </c>
      <c r="R68" s="291">
        <v>0</v>
      </c>
      <c r="S68" s="291">
        <v>0</v>
      </c>
      <c r="T68" s="291">
        <v>1.5051365353374431</v>
      </c>
      <c r="U68" s="306">
        <v>123.6430171889254</v>
      </c>
      <c r="V68" s="136">
        <v>4.2857154492914669</v>
      </c>
      <c r="W68" s="306">
        <v>0</v>
      </c>
      <c r="X68" s="136">
        <v>0</v>
      </c>
      <c r="Y68" s="306">
        <v>0.97523774637385507</v>
      </c>
      <c r="Z68" s="306">
        <v>0</v>
      </c>
      <c r="AA68" s="306">
        <v>0</v>
      </c>
      <c r="AB68" s="312">
        <v>19.393542150430818</v>
      </c>
      <c r="AC68" s="312">
        <v>0</v>
      </c>
      <c r="AD68" s="312">
        <v>0.99601402742466072</v>
      </c>
      <c r="AE68" s="312">
        <v>0</v>
      </c>
      <c r="AF68" s="312">
        <v>0</v>
      </c>
      <c r="AG68" s="312">
        <v>1.0929982953270765</v>
      </c>
      <c r="AH68" s="19">
        <v>0.116201149213</v>
      </c>
      <c r="AI68" s="19">
        <v>0</v>
      </c>
      <c r="AJ68" s="19">
        <v>0</v>
      </c>
      <c r="AK68" s="19">
        <v>134.71217193999999</v>
      </c>
      <c r="AL68" s="19">
        <v>1782.5146198800001</v>
      </c>
      <c r="AM68" s="19">
        <v>23.532399999999999</v>
      </c>
      <c r="AN68" s="19" t="s">
        <v>11</v>
      </c>
      <c r="AO68" s="19" t="s">
        <v>15</v>
      </c>
      <c r="AP68" s="305">
        <v>5.2845489215161701</v>
      </c>
      <c r="AQ68" s="341">
        <v>6.1854561403599995</v>
      </c>
      <c r="AR68" s="351"/>
      <c r="AS68" s="346"/>
      <c r="AT68" s="249"/>
      <c r="AU68" s="312">
        <v>1276.5554530875713</v>
      </c>
      <c r="AV68" s="312">
        <v>1235.4097225690944</v>
      </c>
      <c r="AW68" s="312">
        <v>825.78375050385705</v>
      </c>
      <c r="AX68" s="312">
        <v>735.14439616855441</v>
      </c>
      <c r="AY68" s="333">
        <v>526.50347579828565</v>
      </c>
      <c r="AZ68">
        <v>566.57167135832321</v>
      </c>
      <c r="BA68">
        <v>504.73613209904465</v>
      </c>
      <c r="BB68" s="48">
        <v>836.30840551171946</v>
      </c>
      <c r="BC68" s="48">
        <v>695.23470609364745</v>
      </c>
      <c r="BD68" s="48">
        <v>34.541050710467999</v>
      </c>
      <c r="BE68" s="310">
        <v>0</v>
      </c>
      <c r="BF68" s="310">
        <v>6.4137679952104579E-2</v>
      </c>
      <c r="BG68" s="310">
        <v>0.3550864843330232</v>
      </c>
      <c r="BH68" s="310">
        <v>0.21978479339302534</v>
      </c>
      <c r="BI68" s="310">
        <v>11.407442117806047</v>
      </c>
      <c r="BJ68" s="305">
        <v>0.11997001090108383</v>
      </c>
      <c r="BK68" s="48">
        <v>5.8348399999999995E-2</v>
      </c>
      <c r="BL68" s="48">
        <v>1965</v>
      </c>
      <c r="BM68" s="48">
        <v>1</v>
      </c>
      <c r="BN68" s="48">
        <v>0</v>
      </c>
      <c r="BO68" s="48">
        <v>0.5811639477540993</v>
      </c>
      <c r="BP68" s="314">
        <v>18.13500829490123</v>
      </c>
      <c r="BQ68" s="314">
        <v>59.874618819914275</v>
      </c>
      <c r="BR68" s="316">
        <v>365.71038541042157</v>
      </c>
      <c r="BS68" s="318">
        <v>1442.6328845098219</v>
      </c>
      <c r="BT68" s="188">
        <v>1299.1328845098219</v>
      </c>
      <c r="BU68" s="188">
        <v>1299.1328845098219</v>
      </c>
      <c r="BV68" s="48">
        <v>143.5</v>
      </c>
      <c r="BW68" s="48">
        <v>50</v>
      </c>
      <c r="BX68" s="48">
        <v>48</v>
      </c>
      <c r="BY68" s="48">
        <v>43</v>
      </c>
      <c r="BZ68" s="48">
        <v>0</v>
      </c>
      <c r="CA68" s="71">
        <v>0</v>
      </c>
      <c r="CB68" s="291">
        <v>0</v>
      </c>
      <c r="CC68" s="291">
        <v>0</v>
      </c>
      <c r="CD68" s="291">
        <v>0</v>
      </c>
      <c r="CE68" s="291">
        <v>0</v>
      </c>
      <c r="CF68" s="291">
        <v>0</v>
      </c>
      <c r="CG68" s="42">
        <v>0</v>
      </c>
      <c r="CH68" s="42">
        <v>0</v>
      </c>
      <c r="CI68" s="42">
        <v>0</v>
      </c>
      <c r="CJ68" s="42">
        <v>0</v>
      </c>
      <c r="CK68" s="42">
        <v>0</v>
      </c>
      <c r="CL68" s="151" t="str">
        <f t="shared" si="0"/>
        <v>OK</v>
      </c>
      <c r="CM68" s="152" t="str">
        <f t="shared" si="1"/>
        <v>OK</v>
      </c>
      <c r="CN68" s="153" t="str">
        <f t="shared" si="2"/>
        <v>OK</v>
      </c>
      <c r="CO68" s="327">
        <f t="shared" si="3"/>
        <v>95.666666666666671</v>
      </c>
      <c r="CP68" s="328"/>
      <c r="CQ68" s="326"/>
      <c r="CR68" s="326" t="e">
        <v>#N/A</v>
      </c>
      <c r="CS68" s="328">
        <v>1390</v>
      </c>
      <c r="CT68" s="327">
        <v>0.79032258064516125</v>
      </c>
      <c r="CU68" s="327">
        <f>VLOOKUP(B68,Tabelle2!$AL$2:$AM$82,2,)</f>
        <v>0.79032258064516125</v>
      </c>
      <c r="CV68">
        <v>4</v>
      </c>
      <c r="CW68">
        <v>0.03</v>
      </c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N68" s="31"/>
      <c r="DO68" s="136" t="e">
        <v>#N/A</v>
      </c>
      <c r="DP68" s="136" t="e">
        <v>#N/A</v>
      </c>
      <c r="DQ68">
        <f t="shared" si="4"/>
        <v>1390</v>
      </c>
      <c r="DR68" s="147"/>
      <c r="DS68" s="147"/>
      <c r="DT68" s="147"/>
      <c r="DU68" s="147"/>
      <c r="DV68" s="147"/>
      <c r="DW68" s="147"/>
      <c r="DY68" s="48"/>
      <c r="DZ68" s="48"/>
      <c r="EA68" s="48"/>
      <c r="EC68" s="61">
        <v>62.730853266285607</v>
      </c>
      <c r="ED68" s="27">
        <v>58.076637851703509</v>
      </c>
      <c r="EE68" s="27">
        <v>2.5568817960337751</v>
      </c>
      <c r="EG68" s="244" t="s">
        <v>714</v>
      </c>
      <c r="EH68" s="63">
        <v>1390</v>
      </c>
      <c r="EI68" s="31" t="s">
        <v>927</v>
      </c>
      <c r="EJ68" s="31">
        <v>3.209166116148382E-2</v>
      </c>
      <c r="EM68">
        <v>2</v>
      </c>
      <c r="EN68">
        <v>2</v>
      </c>
    </row>
    <row r="69" spans="1:144" ht="15">
      <c r="A69" s="244" t="s">
        <v>715</v>
      </c>
      <c r="B69" s="63">
        <v>1400</v>
      </c>
      <c r="C69" s="63">
        <v>1410</v>
      </c>
      <c r="D69" s="63" t="s">
        <v>435</v>
      </c>
      <c r="E69" s="94" t="s">
        <v>429</v>
      </c>
      <c r="F69" s="135" t="s">
        <v>427</v>
      </c>
      <c r="G69" s="61">
        <v>128.58915523600001</v>
      </c>
      <c r="H69" s="291">
        <v>0</v>
      </c>
      <c r="I69" s="291">
        <v>3.8829167009581319E-5</v>
      </c>
      <c r="J69" s="291">
        <v>1.4421160339208952E-5</v>
      </c>
      <c r="K69" s="291">
        <v>1.1728232376477976E-4</v>
      </c>
      <c r="L69" s="291">
        <v>7.388382837738677E-4</v>
      </c>
      <c r="M69" s="291">
        <v>17.874924679096218</v>
      </c>
      <c r="N69" s="291">
        <v>0.40791458573999262</v>
      </c>
      <c r="O69" s="300">
        <v>0</v>
      </c>
      <c r="P69" s="292">
        <v>109.36003863551767</v>
      </c>
      <c r="Q69" s="291">
        <v>0.132860029275747</v>
      </c>
      <c r="R69" s="291">
        <v>0</v>
      </c>
      <c r="S69" s="291">
        <v>0</v>
      </c>
      <c r="T69" s="291">
        <v>0.81250793543547895</v>
      </c>
      <c r="U69" s="306">
        <v>152.29548938006295</v>
      </c>
      <c r="V69" s="136">
        <v>3.3437988393736138</v>
      </c>
      <c r="W69" s="306">
        <v>0</v>
      </c>
      <c r="X69" s="136">
        <v>0</v>
      </c>
      <c r="Y69" s="306">
        <v>0.30326245480458797</v>
      </c>
      <c r="Z69" s="306">
        <v>0</v>
      </c>
      <c r="AA69" s="306">
        <v>0</v>
      </c>
      <c r="AB69" s="312">
        <v>11.320035341799853</v>
      </c>
      <c r="AC69" s="312">
        <v>0</v>
      </c>
      <c r="AD69" s="312">
        <v>5.8958615895936131</v>
      </c>
      <c r="AE69" s="312">
        <v>0</v>
      </c>
      <c r="AF69" s="312">
        <v>7.1884402974418699E-2</v>
      </c>
      <c r="AG69" s="312">
        <v>0.58805271566322526</v>
      </c>
      <c r="AH69" s="19">
        <v>0</v>
      </c>
      <c r="AI69" s="19">
        <v>0</v>
      </c>
      <c r="AJ69" s="19">
        <v>0</v>
      </c>
      <c r="AK69" s="19">
        <v>128.58915523600001</v>
      </c>
      <c r="AL69" s="19">
        <v>1745.34177215</v>
      </c>
      <c r="AM69" s="19">
        <v>24.7163</v>
      </c>
      <c r="AN69" s="19" t="s">
        <v>11</v>
      </c>
      <c r="AO69" s="19" t="s">
        <v>15</v>
      </c>
      <c r="AP69" s="305">
        <v>4.2157194562012599</v>
      </c>
      <c r="AQ69" s="341">
        <v>6.2969746835499993</v>
      </c>
      <c r="AR69" s="351"/>
      <c r="AS69" s="346"/>
      <c r="AT69" s="249"/>
      <c r="AU69" s="312">
        <v>1306.8608113178573</v>
      </c>
      <c r="AV69" s="312">
        <v>1149.5524592785021</v>
      </c>
      <c r="AW69" s="312">
        <v>856.37000213271426</v>
      </c>
      <c r="AX69" s="312">
        <v>733.26430869968317</v>
      </c>
      <c r="AY69" s="333">
        <v>520.80913389371437</v>
      </c>
      <c r="AZ69">
        <v>471.22428036223937</v>
      </c>
      <c r="BA69">
        <v>435.63581571868514</v>
      </c>
      <c r="BB69" s="48">
        <v>689.10621298144565</v>
      </c>
      <c r="BC69" s="48">
        <v>604.33154620043683</v>
      </c>
      <c r="BD69" s="48">
        <v>34.539802672661423</v>
      </c>
      <c r="BE69" s="310">
        <v>0</v>
      </c>
      <c r="BF69" s="310">
        <v>0.92450902483394948</v>
      </c>
      <c r="BG69" s="310">
        <v>0.84360654463576557</v>
      </c>
      <c r="BH69" s="310">
        <v>0.37790729867325695</v>
      </c>
      <c r="BI69" s="310">
        <v>1.1019904067737685</v>
      </c>
      <c r="BJ69" s="305">
        <v>7.7697159968904236E-2</v>
      </c>
      <c r="BK69" s="48">
        <v>4.6180700000000005E-2</v>
      </c>
      <c r="BL69" s="48">
        <v>1794</v>
      </c>
      <c r="BM69" s="48">
        <v>1</v>
      </c>
      <c r="BN69" s="48">
        <v>0</v>
      </c>
      <c r="BO69" s="48">
        <v>0</v>
      </c>
      <c r="BP69" s="314">
        <v>34.383681079821216</v>
      </c>
      <c r="BQ69" s="314">
        <v>77.32060348350258</v>
      </c>
      <c r="BR69" s="316">
        <v>503.15333713132566</v>
      </c>
      <c r="BS69" s="318">
        <v>642.49914287292313</v>
      </c>
      <c r="BT69" s="188">
        <v>509.69914287292318</v>
      </c>
      <c r="BU69" s="188">
        <v>509.69914287292318</v>
      </c>
      <c r="BV69" s="48">
        <v>132.79999999999998</v>
      </c>
      <c r="BW69" s="48">
        <v>50</v>
      </c>
      <c r="BX69" s="48">
        <v>48</v>
      </c>
      <c r="BY69" s="48">
        <v>43</v>
      </c>
      <c r="BZ69" s="48">
        <v>0</v>
      </c>
      <c r="CA69" s="71">
        <v>0</v>
      </c>
      <c r="CB69" s="291">
        <v>0</v>
      </c>
      <c r="CC69" s="291">
        <v>0</v>
      </c>
      <c r="CD69" s="291">
        <v>0</v>
      </c>
      <c r="CE69" s="291">
        <v>0</v>
      </c>
      <c r="CF69" s="291">
        <v>0</v>
      </c>
      <c r="CG69" s="42">
        <v>0</v>
      </c>
      <c r="CH69" s="42">
        <v>0</v>
      </c>
      <c r="CI69" s="42">
        <v>0</v>
      </c>
      <c r="CJ69" s="42">
        <v>0</v>
      </c>
      <c r="CK69" s="42">
        <v>0</v>
      </c>
      <c r="CL69" s="151" t="str">
        <f t="shared" ref="CL69:CL88" si="11">IF(AND(SUM(H69:T69)&gt;0.99*G69,SUM(H69:T69)&lt;1.01*G69),"OK","FAILURE")</f>
        <v>OK</v>
      </c>
      <c r="CM69" s="152" t="str">
        <f t="shared" ref="CM69:CM88" si="12">IF(AND(SUM(AB69:AG69)&gt;0.99*SUM(H69:M69),SUM(AB69:AG69)&lt;1.01*SUM(H69:M69)),"OK","FAILURE")</f>
        <v>OK</v>
      </c>
      <c r="CN69" s="153" t="str">
        <f t="shared" ref="CN69:CN88" si="13">IF(AND(SUM(AH69:AK69)&gt;0.99*G69,SUM(AH69:AK69)&lt;1.01*G69),"OK","FAILURE")</f>
        <v>OK</v>
      </c>
      <c r="CO69" s="327">
        <f t="shared" ref="CO69:CO84" si="14">(BS69-BT69)/3*2</f>
        <v>88.533333333333303</v>
      </c>
      <c r="CP69" s="328"/>
      <c r="CQ69" s="326"/>
      <c r="CR69" s="326" t="e">
        <v>#N/A</v>
      </c>
      <c r="CS69" s="328">
        <v>1400</v>
      </c>
      <c r="CT69" s="327">
        <v>0</v>
      </c>
      <c r="CU69" s="327">
        <f>VLOOKUP(B69,Tabelle2!$AL$2:$AM$82,2,)</f>
        <v>0</v>
      </c>
      <c r="CV69">
        <v>4</v>
      </c>
      <c r="CW69">
        <v>0.03</v>
      </c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N69" s="31"/>
      <c r="DO69" s="136" t="e">
        <v>#N/A</v>
      </c>
      <c r="DP69" s="136" t="e">
        <v>#N/A</v>
      </c>
      <c r="DQ69">
        <f t="shared" ref="DQ69:DQ85" si="15">B69</f>
        <v>1400</v>
      </c>
      <c r="DR69" s="147"/>
      <c r="DS69" s="147"/>
      <c r="DT69" s="147"/>
      <c r="DU69" s="147"/>
      <c r="DV69" s="147"/>
      <c r="DW69" s="147"/>
      <c r="DY69" s="48"/>
      <c r="DZ69" s="48"/>
      <c r="EA69" s="48"/>
      <c r="EC69" s="61">
        <v>53.996757410608176</v>
      </c>
      <c r="ED69" s="27">
        <v>51.689661253113684</v>
      </c>
      <c r="EE69" s="27">
        <v>1.849912647992719</v>
      </c>
      <c r="EG69" s="244" t="s">
        <v>715</v>
      </c>
      <c r="EH69" s="63">
        <v>1400</v>
      </c>
      <c r="EI69" s="31" t="s">
        <v>927</v>
      </c>
      <c r="EJ69" s="31">
        <v>2.7465707015058419E-2</v>
      </c>
      <c r="EM69">
        <v>2</v>
      </c>
      <c r="EN69">
        <v>2</v>
      </c>
    </row>
    <row r="70" spans="1:144" ht="15">
      <c r="A70" s="244" t="s">
        <v>716</v>
      </c>
      <c r="B70" s="63">
        <v>1410</v>
      </c>
      <c r="C70" s="63">
        <v>4060</v>
      </c>
      <c r="D70" s="63" t="s">
        <v>435</v>
      </c>
      <c r="E70" s="94" t="s">
        <v>429</v>
      </c>
      <c r="F70" s="135" t="s">
        <v>427</v>
      </c>
      <c r="G70" s="61">
        <v>157.60621012799999</v>
      </c>
      <c r="H70" s="291">
        <v>0</v>
      </c>
      <c r="I70" s="291">
        <v>0</v>
      </c>
      <c r="J70" s="291">
        <v>3.5129811215382915E-5</v>
      </c>
      <c r="K70" s="291">
        <v>7.0695655787376808E-5</v>
      </c>
      <c r="L70" s="291">
        <v>4.5735074274822466E-4</v>
      </c>
      <c r="M70" s="291">
        <v>18.79957570259656</v>
      </c>
      <c r="N70" s="291">
        <v>1.1244809418350945</v>
      </c>
      <c r="O70" s="300">
        <v>0</v>
      </c>
      <c r="P70" s="292">
        <v>133.03847226250068</v>
      </c>
      <c r="Q70" s="291">
        <v>3.4528104206735</v>
      </c>
      <c r="R70" s="291">
        <v>0</v>
      </c>
      <c r="S70" s="291">
        <v>6.2255685600222993E-3</v>
      </c>
      <c r="T70" s="291">
        <v>1.1840820556243972</v>
      </c>
      <c r="U70" s="306">
        <v>204.32468247176467</v>
      </c>
      <c r="V70" s="136">
        <v>3.4447569922381933</v>
      </c>
      <c r="W70" s="306">
        <v>0</v>
      </c>
      <c r="X70" s="136">
        <v>0</v>
      </c>
      <c r="Y70" s="306">
        <v>0.48023317699293699</v>
      </c>
      <c r="Z70" s="306">
        <v>0</v>
      </c>
      <c r="AA70" s="306">
        <v>0</v>
      </c>
      <c r="AB70" s="312">
        <v>11.461189456941991</v>
      </c>
      <c r="AC70" s="312">
        <v>2.2618373061422097E-2</v>
      </c>
      <c r="AD70" s="312">
        <v>6.4440957531864198</v>
      </c>
      <c r="AE70" s="312">
        <v>0</v>
      </c>
      <c r="AF70" s="312">
        <v>0.71584580950099241</v>
      </c>
      <c r="AG70" s="312">
        <v>0.15638948611548903</v>
      </c>
      <c r="AH70" s="19">
        <v>0.38086412121270208</v>
      </c>
      <c r="AI70" s="19">
        <v>0</v>
      </c>
      <c r="AJ70" s="19">
        <v>0</v>
      </c>
      <c r="AK70" s="19">
        <v>157.2253460067873</v>
      </c>
      <c r="AL70" s="19">
        <v>1655.22613065</v>
      </c>
      <c r="AM70" s="19">
        <v>20.988499999999998</v>
      </c>
      <c r="AN70" s="19" t="s">
        <v>16</v>
      </c>
      <c r="AO70" s="19" t="s">
        <v>15</v>
      </c>
      <c r="AP70" s="305">
        <v>3.6158779087197499</v>
      </c>
      <c r="AQ70" s="341">
        <v>6.5673216080499994</v>
      </c>
      <c r="AR70" s="351"/>
      <c r="AS70" s="346"/>
      <c r="AT70" s="249"/>
      <c r="AU70" s="312">
        <v>1455.0830711232859</v>
      </c>
      <c r="AV70" s="312">
        <v>1253.8326300095994</v>
      </c>
      <c r="AW70" s="312">
        <v>944.81080878314276</v>
      </c>
      <c r="AX70" s="312">
        <v>797.3874897735468</v>
      </c>
      <c r="AY70" s="333">
        <v>539.30235273971425</v>
      </c>
      <c r="AZ70">
        <v>539.43053459576413</v>
      </c>
      <c r="BA70">
        <v>498.28885954151491</v>
      </c>
      <c r="BB70" s="48">
        <v>805.75545743387772</v>
      </c>
      <c r="BC70" s="48">
        <v>706.63700450230237</v>
      </c>
      <c r="BD70" s="48">
        <v>34.539802672661423</v>
      </c>
      <c r="BE70" s="310">
        <v>0</v>
      </c>
      <c r="BF70" s="310">
        <v>0</v>
      </c>
      <c r="BG70" s="310">
        <v>4.4766585769834256E-2</v>
      </c>
      <c r="BH70" s="310">
        <v>0.44089209974612781</v>
      </c>
      <c r="BI70" s="310">
        <v>0.55683479150403026</v>
      </c>
      <c r="BJ70" s="305">
        <v>8.3304530056407436E-2</v>
      </c>
      <c r="BK70" s="48">
        <v>4.6268200000000002E-2</v>
      </c>
      <c r="BL70" s="48">
        <v>1794</v>
      </c>
      <c r="BM70" s="48">
        <v>1</v>
      </c>
      <c r="BN70" s="48">
        <v>0</v>
      </c>
      <c r="BO70" s="48">
        <v>0.17199947887352496</v>
      </c>
      <c r="BP70" s="314">
        <v>37.874809307176967</v>
      </c>
      <c r="BQ70" s="314">
        <v>52.482291293260033</v>
      </c>
      <c r="BR70" s="316">
        <v>496.47502082851412</v>
      </c>
      <c r="BS70" s="318">
        <v>918.13348164077161</v>
      </c>
      <c r="BT70" s="188">
        <v>899.11348164077162</v>
      </c>
      <c r="BU70" s="188">
        <v>899.11348164077162</v>
      </c>
      <c r="BV70" s="48">
        <v>19.019999999999982</v>
      </c>
      <c r="BW70" s="48">
        <v>50</v>
      </c>
      <c r="BX70" s="48">
        <v>48</v>
      </c>
      <c r="BY70" s="48">
        <v>43</v>
      </c>
      <c r="BZ70" s="48">
        <v>0</v>
      </c>
      <c r="CA70" s="71">
        <v>0</v>
      </c>
      <c r="CB70" s="291">
        <v>0</v>
      </c>
      <c r="CC70" s="291">
        <v>0</v>
      </c>
      <c r="CD70" s="291">
        <v>0</v>
      </c>
      <c r="CE70" s="291">
        <v>0</v>
      </c>
      <c r="CF70" s="291">
        <v>0</v>
      </c>
      <c r="CG70" s="42">
        <v>0</v>
      </c>
      <c r="CH70" s="42">
        <v>0</v>
      </c>
      <c r="CI70" s="42">
        <v>0</v>
      </c>
      <c r="CJ70" s="42">
        <v>0</v>
      </c>
      <c r="CK70" s="42">
        <v>0</v>
      </c>
      <c r="CL70" s="151" t="str">
        <f t="shared" si="11"/>
        <v>OK</v>
      </c>
      <c r="CM70" s="152" t="str">
        <f t="shared" si="12"/>
        <v>OK</v>
      </c>
      <c r="CN70" s="153" t="str">
        <f t="shared" si="13"/>
        <v>OK</v>
      </c>
      <c r="CO70" s="327">
        <f t="shared" si="14"/>
        <v>12.679999999999987</v>
      </c>
      <c r="CP70" s="328"/>
      <c r="CQ70" s="326"/>
      <c r="CR70" s="326" t="e">
        <v>#N/A</v>
      </c>
      <c r="CS70" s="328">
        <v>1410</v>
      </c>
      <c r="CT70" s="327">
        <v>0</v>
      </c>
      <c r="CU70" s="327">
        <f>VLOOKUP(B70,Tabelle2!$AL$2:$AM$82,2,)</f>
        <v>0</v>
      </c>
      <c r="CV70">
        <v>4</v>
      </c>
      <c r="CW70">
        <v>0.03</v>
      </c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N70" s="31"/>
      <c r="DO70" s="136" t="e">
        <v>#N/A</v>
      </c>
      <c r="DP70" s="136" t="e">
        <v>#N/A</v>
      </c>
      <c r="DQ70">
        <f t="shared" si="15"/>
        <v>1410</v>
      </c>
      <c r="DR70" s="147"/>
      <c r="DS70" s="147"/>
      <c r="DT70" s="147"/>
      <c r="DU70" s="147"/>
      <c r="DV70" s="147"/>
      <c r="DW70" s="147"/>
      <c r="DY70" s="48"/>
      <c r="DZ70" s="48"/>
      <c r="EA70" s="48"/>
      <c r="EC70" s="61">
        <v>109.70999772554279</v>
      </c>
      <c r="ED70" s="27">
        <v>104.93853989847152</v>
      </c>
      <c r="EE70" s="27">
        <v>3.5754353677900608</v>
      </c>
      <c r="EG70" s="244" t="s">
        <v>716</v>
      </c>
      <c r="EH70" s="63">
        <v>1410</v>
      </c>
      <c r="EI70" s="31" t="s">
        <v>927</v>
      </c>
      <c r="EJ70" s="31">
        <v>2.575447108781426E-2</v>
      </c>
      <c r="EM70">
        <v>2</v>
      </c>
      <c r="EN70">
        <v>2</v>
      </c>
    </row>
    <row r="71" spans="1:144" ht="15">
      <c r="A71" s="244" t="s">
        <v>717</v>
      </c>
      <c r="B71" s="63">
        <v>1420</v>
      </c>
      <c r="C71" s="63">
        <v>4060</v>
      </c>
      <c r="D71" s="63" t="s">
        <v>435</v>
      </c>
      <c r="E71" s="94" t="s">
        <v>429</v>
      </c>
      <c r="F71" s="135" t="s">
        <v>427</v>
      </c>
      <c r="G71" s="61">
        <v>231.82725680600001</v>
      </c>
      <c r="H71" s="291">
        <v>9.3362252149941892E-3</v>
      </c>
      <c r="I71" s="291">
        <v>3.4026814576454949E-2</v>
      </c>
      <c r="J71" s="291">
        <v>8.4936616494515338E-2</v>
      </c>
      <c r="K71" s="291">
        <v>7.40800801370982E-2</v>
      </c>
      <c r="L71" s="291">
        <v>7.5773340638866968E-2</v>
      </c>
      <c r="M71" s="291">
        <v>48.015025026167265</v>
      </c>
      <c r="N71" s="291">
        <v>3.5582090639290889</v>
      </c>
      <c r="O71" s="300">
        <v>0</v>
      </c>
      <c r="P71" s="292">
        <v>164.82961541463166</v>
      </c>
      <c r="Q71" s="291">
        <v>13.543719366426799</v>
      </c>
      <c r="R71" s="291">
        <v>0</v>
      </c>
      <c r="S71" s="291">
        <v>0.29510941114880401</v>
      </c>
      <c r="T71" s="291">
        <v>1.307425446634459</v>
      </c>
      <c r="U71" s="306">
        <v>184.7069749272361</v>
      </c>
      <c r="V71" s="136">
        <v>2.6921098350053181</v>
      </c>
      <c r="W71" s="306">
        <v>0</v>
      </c>
      <c r="X71" s="136">
        <v>0</v>
      </c>
      <c r="Y71" s="306">
        <v>0.81017398283876596</v>
      </c>
      <c r="Z71" s="306">
        <v>0</v>
      </c>
      <c r="AA71" s="306">
        <v>0</v>
      </c>
      <c r="AB71" s="312">
        <v>4.4306499678968869</v>
      </c>
      <c r="AC71" s="312">
        <v>21.03526363979212</v>
      </c>
      <c r="AD71" s="312">
        <v>11.323424713606366</v>
      </c>
      <c r="AE71" s="312">
        <v>4.7121623962521593</v>
      </c>
      <c r="AF71" s="312">
        <v>4.5237362959380638</v>
      </c>
      <c r="AG71" s="312">
        <v>2.2679410897436014</v>
      </c>
      <c r="AH71" s="19">
        <v>69.42487182101921</v>
      </c>
      <c r="AI71" s="19">
        <v>0</v>
      </c>
      <c r="AJ71" s="19">
        <v>140.49215461682525</v>
      </c>
      <c r="AK71" s="19">
        <v>21.910230368155545</v>
      </c>
      <c r="AL71" s="19">
        <v>1306.0905923299999</v>
      </c>
      <c r="AM71" s="19">
        <v>15.704000000000001</v>
      </c>
      <c r="AN71" s="19" t="s">
        <v>11</v>
      </c>
      <c r="AO71" s="19" t="s">
        <v>15</v>
      </c>
      <c r="AP71" s="305">
        <v>11.4431978844206</v>
      </c>
      <c r="AQ71" s="341">
        <v>7.6147282230099993</v>
      </c>
      <c r="AR71" s="351"/>
      <c r="AS71" s="346"/>
      <c r="AT71" s="249"/>
      <c r="AU71" s="312">
        <v>1439.3032199592856</v>
      </c>
      <c r="AV71" s="312">
        <v>1428.5420281248478</v>
      </c>
      <c r="AW71" s="312">
        <v>905.26970939414275</v>
      </c>
      <c r="AX71" s="312">
        <v>849.17764366151869</v>
      </c>
      <c r="AY71" s="333">
        <v>592.84994809957152</v>
      </c>
      <c r="AZ71">
        <v>734.56633747147657</v>
      </c>
      <c r="BA71">
        <v>650.78781796339513</v>
      </c>
      <c r="BB71" s="48">
        <v>961.45257753523595</v>
      </c>
      <c r="BC71" s="48">
        <v>781.70804856280847</v>
      </c>
      <c r="BD71" s="48">
        <v>34.539802672661423</v>
      </c>
      <c r="BE71" s="310">
        <v>0.9073410975621895</v>
      </c>
      <c r="BF71" s="310">
        <v>1.3400322487825864</v>
      </c>
      <c r="BG71" s="310">
        <v>2.1120873086549032</v>
      </c>
      <c r="BH71" s="310">
        <v>3.9393884330336681</v>
      </c>
      <c r="BI71" s="310">
        <v>1.8427621281871955</v>
      </c>
      <c r="BJ71" s="305">
        <v>0.18399535617703874</v>
      </c>
      <c r="BK71" s="48">
        <v>7.3820700000000003E-2</v>
      </c>
      <c r="BL71" s="48">
        <v>1794</v>
      </c>
      <c r="BM71" s="48">
        <v>1</v>
      </c>
      <c r="BN71" s="48">
        <v>0</v>
      </c>
      <c r="BO71" s="48">
        <v>4.2216063067479848</v>
      </c>
      <c r="BP71" s="314">
        <v>54.508929406610598</v>
      </c>
      <c r="BQ71" s="314">
        <v>61.520629062577981</v>
      </c>
      <c r="BR71" s="316">
        <v>363.24194099833892</v>
      </c>
      <c r="BS71" s="318">
        <v>6775.4477766235314</v>
      </c>
      <c r="BT71" s="188">
        <v>6244.2477766235315</v>
      </c>
      <c r="BU71" s="188">
        <v>6244.2477766235315</v>
      </c>
      <c r="BV71" s="48">
        <v>531.20000000000005</v>
      </c>
      <c r="BW71" s="48">
        <v>50</v>
      </c>
      <c r="BX71" s="48">
        <v>48</v>
      </c>
      <c r="BY71" s="48">
        <v>43</v>
      </c>
      <c r="BZ71" s="48">
        <v>0</v>
      </c>
      <c r="CA71" s="71">
        <v>0</v>
      </c>
      <c r="CB71" s="291">
        <v>1.4264121427363436E-2</v>
      </c>
      <c r="CC71" s="291">
        <v>6.2333333333333334</v>
      </c>
      <c r="CD71" s="291">
        <v>0.28333333333333338</v>
      </c>
      <c r="CE71" s="291">
        <v>0</v>
      </c>
      <c r="CF71" s="291">
        <v>0</v>
      </c>
      <c r="CG71" s="42">
        <v>0</v>
      </c>
      <c r="CH71" s="42">
        <v>0</v>
      </c>
      <c r="CI71" s="42">
        <v>0</v>
      </c>
      <c r="CJ71" s="42">
        <v>0</v>
      </c>
      <c r="CK71" s="42">
        <v>0</v>
      </c>
      <c r="CL71" s="151" t="str">
        <f t="shared" si="11"/>
        <v>OK</v>
      </c>
      <c r="CM71" s="152" t="str">
        <f t="shared" si="12"/>
        <v>OK</v>
      </c>
      <c r="CN71" s="153" t="str">
        <f t="shared" si="13"/>
        <v>OK</v>
      </c>
      <c r="CO71" s="327">
        <f t="shared" si="14"/>
        <v>354.13333333333321</v>
      </c>
      <c r="CP71" s="328"/>
      <c r="CQ71" s="326"/>
      <c r="CR71" s="326" t="e">
        <v>#N/A</v>
      </c>
      <c r="CS71" s="328">
        <v>1420</v>
      </c>
      <c r="CT71" s="327">
        <v>1.0748387096774195</v>
      </c>
      <c r="CU71" s="327">
        <f>VLOOKUP(B71,Tabelle2!$AL$2:$AM$82,2,)</f>
        <v>1.0748387096774195</v>
      </c>
      <c r="CV71">
        <v>4</v>
      </c>
      <c r="CW71">
        <v>1.4999999999999999E-2</v>
      </c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N71" s="31"/>
      <c r="DO71" s="136" t="e">
        <v>#N/A</v>
      </c>
      <c r="DP71" s="136" t="e">
        <v>#N/A</v>
      </c>
      <c r="DQ71">
        <f t="shared" si="15"/>
        <v>1420</v>
      </c>
      <c r="DR71" s="147"/>
      <c r="DS71" s="147"/>
      <c r="DT71" s="147"/>
      <c r="DU71" s="147"/>
      <c r="DV71" s="147"/>
      <c r="DW71" s="147"/>
      <c r="DY71" s="48"/>
      <c r="DZ71" s="48"/>
      <c r="EA71" s="48"/>
      <c r="EC71" s="61">
        <v>270.07380303811658</v>
      </c>
      <c r="ED71" s="27">
        <v>257.79873047325987</v>
      </c>
      <c r="EE71" s="27">
        <v>5.9367376576549624</v>
      </c>
      <c r="EG71" s="244" t="s">
        <v>717</v>
      </c>
      <c r="EH71" s="63">
        <v>1420</v>
      </c>
      <c r="EI71" s="31">
        <v>2.5762631578947369E-3</v>
      </c>
      <c r="EJ71" s="31">
        <v>3.5142759411180335E-2</v>
      </c>
      <c r="EM71">
        <v>2</v>
      </c>
      <c r="EN71">
        <v>2</v>
      </c>
    </row>
    <row r="72" spans="1:144" ht="15">
      <c r="A72" s="244" t="s">
        <v>718</v>
      </c>
      <c r="B72" s="63">
        <v>1430</v>
      </c>
      <c r="C72" s="63">
        <v>4060</v>
      </c>
      <c r="D72" s="63" t="s">
        <v>435</v>
      </c>
      <c r="E72" s="94" t="s">
        <v>429</v>
      </c>
      <c r="F72" s="135" t="s">
        <v>427</v>
      </c>
      <c r="G72" s="61">
        <v>196.227323807</v>
      </c>
      <c r="H72" s="291">
        <v>9.2689162068581951E-2</v>
      </c>
      <c r="I72" s="291">
        <v>0.34190458528347273</v>
      </c>
      <c r="J72" s="291">
        <v>0.15652129892061317</v>
      </c>
      <c r="K72" s="291">
        <v>6.364060704287984E-2</v>
      </c>
      <c r="L72" s="291">
        <v>5.0043669403559587E-2</v>
      </c>
      <c r="M72" s="291">
        <v>32.4004728905592</v>
      </c>
      <c r="N72" s="291">
        <v>2.5662967730598165</v>
      </c>
      <c r="O72" s="300">
        <v>0</v>
      </c>
      <c r="P72" s="292">
        <v>155.7116272151323</v>
      </c>
      <c r="Q72" s="291">
        <v>3.7773693171664604</v>
      </c>
      <c r="R72" s="291">
        <v>0</v>
      </c>
      <c r="S72" s="291">
        <v>5.2564591643971597E-3</v>
      </c>
      <c r="T72" s="291">
        <v>1.061501829198725</v>
      </c>
      <c r="U72" s="306">
        <v>256.36702061965241</v>
      </c>
      <c r="V72" s="136">
        <v>3.4938275672091179</v>
      </c>
      <c r="W72" s="306">
        <v>0</v>
      </c>
      <c r="X72" s="136">
        <v>0</v>
      </c>
      <c r="Y72" s="306">
        <v>0.165799665234515</v>
      </c>
      <c r="Z72" s="306">
        <v>0</v>
      </c>
      <c r="AA72" s="306">
        <v>0</v>
      </c>
      <c r="AB72" s="312">
        <v>10.805033450157122</v>
      </c>
      <c r="AC72" s="312">
        <v>2.2583173770028164</v>
      </c>
      <c r="AD72" s="312">
        <v>16.937917325670348</v>
      </c>
      <c r="AE72" s="312">
        <v>0</v>
      </c>
      <c r="AF72" s="312">
        <v>2.6355085686544557</v>
      </c>
      <c r="AG72" s="312">
        <v>0.46849549179355993</v>
      </c>
      <c r="AH72" s="19">
        <v>8.3791060782062523</v>
      </c>
      <c r="AI72" s="19">
        <v>0</v>
      </c>
      <c r="AJ72" s="19">
        <v>0</v>
      </c>
      <c r="AK72" s="19">
        <v>187.84821772879374</v>
      </c>
      <c r="AL72" s="19">
        <v>1472.3651452300001</v>
      </c>
      <c r="AM72" s="19">
        <v>17.7317</v>
      </c>
      <c r="AN72" s="19" t="s">
        <v>11</v>
      </c>
      <c r="AO72" s="19" t="s">
        <v>15</v>
      </c>
      <c r="AP72" s="305">
        <v>2.6732958287508302</v>
      </c>
      <c r="AQ72" s="341">
        <v>6.8895833333333343</v>
      </c>
      <c r="AR72" s="351"/>
      <c r="AS72" s="347"/>
      <c r="AT72" s="349"/>
      <c r="AU72" s="312">
        <v>1511.4369325704286</v>
      </c>
      <c r="AV72" s="312">
        <v>1333.8460643693313</v>
      </c>
      <c r="AW72" s="312">
        <v>969.34943429257146</v>
      </c>
      <c r="AX72" s="312">
        <v>824.61613686683756</v>
      </c>
      <c r="AY72" s="333">
        <v>561.74492309642869</v>
      </c>
      <c r="AZ72">
        <v>562.75986437391384</v>
      </c>
      <c r="BA72">
        <v>519.77461605436565</v>
      </c>
      <c r="BB72" s="48">
        <v>844.17166900611642</v>
      </c>
      <c r="BC72" s="48">
        <v>740.33194816984155</v>
      </c>
      <c r="BD72" s="48">
        <v>34.539802672661423</v>
      </c>
      <c r="BE72" s="310">
        <v>0.64788553574286023</v>
      </c>
      <c r="BF72" s="310">
        <v>1.6464959045993772</v>
      </c>
      <c r="BG72" s="310">
        <v>3.0613910329668648</v>
      </c>
      <c r="BH72" s="310">
        <v>2.211751272761052</v>
      </c>
      <c r="BI72" s="310">
        <v>6.351206652074314</v>
      </c>
      <c r="BJ72" s="305">
        <v>0.14429218851548883</v>
      </c>
      <c r="BK72" s="48">
        <v>5.0996199999999998E-2</v>
      </c>
      <c r="BL72" s="48">
        <v>1794</v>
      </c>
      <c r="BM72" s="48">
        <v>1</v>
      </c>
      <c r="BN72" s="48">
        <v>0</v>
      </c>
      <c r="BO72" s="48">
        <v>3.5056887622489348</v>
      </c>
      <c r="BP72" s="314">
        <v>53.117531887951515</v>
      </c>
      <c r="BQ72" s="314">
        <v>56.769852517476338</v>
      </c>
      <c r="BR72" s="316">
        <v>404.19977375528202</v>
      </c>
      <c r="BS72" s="318">
        <v>3499.9229386789493</v>
      </c>
      <c r="BT72" s="188">
        <v>1946.4162720122827</v>
      </c>
      <c r="BU72" s="188">
        <v>1946.4162720122827</v>
      </c>
      <c r="BV72" s="48">
        <v>1553.5066666666667</v>
      </c>
      <c r="BW72" s="48">
        <v>50</v>
      </c>
      <c r="BX72" s="48">
        <v>48</v>
      </c>
      <c r="BY72" s="48">
        <v>43</v>
      </c>
      <c r="BZ72" s="48">
        <v>0</v>
      </c>
      <c r="CA72" s="71">
        <v>0</v>
      </c>
      <c r="CB72" s="291">
        <v>1.0485371215964824E-2</v>
      </c>
      <c r="CC72" s="291">
        <v>6.2</v>
      </c>
      <c r="CD72" s="291">
        <v>0.55000000000000004</v>
      </c>
      <c r="CE72" s="291">
        <v>0</v>
      </c>
      <c r="CF72" s="291">
        <v>0</v>
      </c>
      <c r="CG72" s="42">
        <v>0</v>
      </c>
      <c r="CH72" s="42">
        <v>0</v>
      </c>
      <c r="CI72" s="42">
        <v>0</v>
      </c>
      <c r="CJ72" s="42">
        <v>0</v>
      </c>
      <c r="CK72" s="42">
        <v>0</v>
      </c>
      <c r="CL72" s="151" t="str">
        <f t="shared" si="11"/>
        <v>OK</v>
      </c>
      <c r="CM72" s="152" t="str">
        <f t="shared" si="12"/>
        <v>OK</v>
      </c>
      <c r="CN72" s="153" t="str">
        <f t="shared" si="13"/>
        <v>OK</v>
      </c>
      <c r="CO72" s="327">
        <f t="shared" si="14"/>
        <v>1035.671111111111</v>
      </c>
      <c r="CP72" s="328"/>
      <c r="CQ72" s="326"/>
      <c r="CR72" s="326">
        <v>1360.9761735277243</v>
      </c>
      <c r="CS72" s="328">
        <v>1430</v>
      </c>
      <c r="CT72" s="327">
        <v>0.74892473118279568</v>
      </c>
      <c r="CU72" s="327">
        <f>VLOOKUP(B72,Tabelle2!$AL$2:$AM$82,2,)</f>
        <v>0.74892473118279568</v>
      </c>
      <c r="CV72">
        <v>4</v>
      </c>
      <c r="CW72">
        <v>0.03</v>
      </c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N72" s="31"/>
      <c r="DO72" s="136">
        <v>0.29836478862124138</v>
      </c>
      <c r="DP72" s="136">
        <v>1360.9761735277243</v>
      </c>
      <c r="DQ72">
        <f t="shared" si="15"/>
        <v>1430</v>
      </c>
      <c r="DR72" s="147"/>
      <c r="DS72" s="147"/>
      <c r="DT72" s="147"/>
      <c r="DU72" s="147"/>
      <c r="DV72" s="147"/>
      <c r="DW72" s="147"/>
      <c r="DY72" s="48"/>
      <c r="DZ72" s="48">
        <v>37.410645974896553</v>
      </c>
      <c r="EA72" s="48">
        <v>0.91291439332303459</v>
      </c>
      <c r="EC72" s="61">
        <v>86.305235597192961</v>
      </c>
      <c r="ED72" s="27">
        <v>80.607031577407312</v>
      </c>
      <c r="EE72" s="27">
        <v>1.830265316543032</v>
      </c>
      <c r="EG72" s="244" t="s">
        <v>718</v>
      </c>
      <c r="EH72" s="63">
        <v>1430</v>
      </c>
      <c r="EI72" s="31">
        <v>9.2128084210526314E-3</v>
      </c>
      <c r="EJ72" s="31">
        <v>2.6889285556292355E-2</v>
      </c>
      <c r="EM72">
        <v>2</v>
      </c>
      <c r="EN72">
        <v>2</v>
      </c>
    </row>
    <row r="73" spans="1:144" ht="15">
      <c r="A73" s="244" t="s">
        <v>719</v>
      </c>
      <c r="B73" s="63">
        <v>1440</v>
      </c>
      <c r="C73" s="63">
        <v>4060</v>
      </c>
      <c r="D73" s="63" t="s">
        <v>435</v>
      </c>
      <c r="E73" s="94" t="s">
        <v>429</v>
      </c>
      <c r="F73" s="135" t="s">
        <v>427</v>
      </c>
      <c r="G73" s="61">
        <v>168.19289652500001</v>
      </c>
      <c r="H73" s="291">
        <v>8.6539358844270456E-2</v>
      </c>
      <c r="I73" s="291">
        <v>0.12749792643203292</v>
      </c>
      <c r="J73" s="291">
        <v>0.15323050368533941</v>
      </c>
      <c r="K73" s="291">
        <v>0.11467276025607522</v>
      </c>
      <c r="L73" s="291">
        <v>0.21882739157270784</v>
      </c>
      <c r="M73" s="291">
        <v>20.453673377686606</v>
      </c>
      <c r="N73" s="291">
        <v>1.7042387028291239</v>
      </c>
      <c r="O73" s="300">
        <v>0</v>
      </c>
      <c r="P73" s="292">
        <v>143.72162890009983</v>
      </c>
      <c r="Q73" s="291">
        <v>0.76106110705896801</v>
      </c>
      <c r="R73" s="291">
        <v>0</v>
      </c>
      <c r="S73" s="291">
        <v>2.8621591319368599E-2</v>
      </c>
      <c r="T73" s="291">
        <v>0.82290490521569604</v>
      </c>
      <c r="U73" s="306">
        <v>171.31163816634086</v>
      </c>
      <c r="V73" s="136">
        <v>3.8206373372396509</v>
      </c>
      <c r="W73" s="306">
        <v>0</v>
      </c>
      <c r="X73" s="136">
        <v>0</v>
      </c>
      <c r="Y73" s="306">
        <v>0.16838526413368501</v>
      </c>
      <c r="Z73" s="306">
        <v>0</v>
      </c>
      <c r="AA73" s="306">
        <v>0</v>
      </c>
      <c r="AB73" s="312">
        <v>10.929251853504704</v>
      </c>
      <c r="AC73" s="312">
        <v>0.91815024312055071</v>
      </c>
      <c r="AD73" s="312">
        <v>7.8871634954591787</v>
      </c>
      <c r="AE73" s="312">
        <v>6.9783184264733983E-2</v>
      </c>
      <c r="AF73" s="312">
        <v>0.84714553562143913</v>
      </c>
      <c r="AG73" s="312">
        <v>0.50294700650642699</v>
      </c>
      <c r="AH73" s="19">
        <v>4.4558138741010351</v>
      </c>
      <c r="AI73" s="19">
        <v>0</v>
      </c>
      <c r="AJ73" s="19">
        <v>0</v>
      </c>
      <c r="AK73" s="19">
        <v>163.73708265089897</v>
      </c>
      <c r="AL73" s="19">
        <v>1434.0610328600001</v>
      </c>
      <c r="AM73" s="19">
        <v>16.4893</v>
      </c>
      <c r="AN73" s="19" t="s">
        <v>11</v>
      </c>
      <c r="AO73" s="19" t="s">
        <v>15</v>
      </c>
      <c r="AP73" s="305">
        <v>5.1171615004434203</v>
      </c>
      <c r="AQ73" s="341">
        <v>7.230816901419999</v>
      </c>
      <c r="AR73" s="351"/>
      <c r="AS73" s="346"/>
      <c r="AT73" s="249"/>
      <c r="AU73" s="312">
        <v>1528.6031289318573</v>
      </c>
      <c r="AV73" s="312">
        <v>1366.9452768127678</v>
      </c>
      <c r="AW73" s="312">
        <v>982.78611191757136</v>
      </c>
      <c r="AX73" s="312">
        <v>819.65685407703677</v>
      </c>
      <c r="AY73" s="333">
        <v>568.76741770542856</v>
      </c>
      <c r="AZ73">
        <v>562.75842088255763</v>
      </c>
      <c r="BA73">
        <v>519.77362485656363</v>
      </c>
      <c r="BB73" s="48">
        <v>844.16814207927882</v>
      </c>
      <c r="BC73" s="48">
        <v>740.32952634575952</v>
      </c>
      <c r="BD73" s="48">
        <v>34.539802672661423</v>
      </c>
      <c r="BE73" s="310">
        <v>0.75722962975140218</v>
      </c>
      <c r="BF73" s="310">
        <v>2.0545934532151811</v>
      </c>
      <c r="BG73" s="310">
        <v>1.937009674963927</v>
      </c>
      <c r="BH73" s="310">
        <v>5.3587308460571181</v>
      </c>
      <c r="BI73" s="310">
        <v>7.428257197606281</v>
      </c>
      <c r="BJ73" s="305">
        <v>0.16034390076272356</v>
      </c>
      <c r="BK73" s="48">
        <v>6.8253400000000006E-2</v>
      </c>
      <c r="BL73" s="48">
        <v>1794</v>
      </c>
      <c r="BM73" s="48">
        <v>1</v>
      </c>
      <c r="BN73" s="48">
        <v>0</v>
      </c>
      <c r="BO73" s="48">
        <v>1.57108804726214</v>
      </c>
      <c r="BP73" s="314">
        <v>59.30203793693935</v>
      </c>
      <c r="BQ73" s="314">
        <v>50.190344606569738</v>
      </c>
      <c r="BR73" s="316">
        <v>526.75468242453132</v>
      </c>
      <c r="BS73" s="318">
        <v>2534.0128548234338</v>
      </c>
      <c r="BT73" s="188">
        <v>2264.7861881567669</v>
      </c>
      <c r="BU73" s="188">
        <v>2264.7861881567669</v>
      </c>
      <c r="BV73" s="48">
        <v>269.22666666666674</v>
      </c>
      <c r="BW73" s="48">
        <v>50</v>
      </c>
      <c r="BX73" s="48">
        <v>48</v>
      </c>
      <c r="BY73" s="48">
        <v>43</v>
      </c>
      <c r="BZ73" s="48">
        <v>0</v>
      </c>
      <c r="CA73" s="71">
        <v>0</v>
      </c>
      <c r="CB73" s="291">
        <v>0</v>
      </c>
      <c r="CC73" s="291">
        <v>0</v>
      </c>
      <c r="CD73" s="291">
        <v>0</v>
      </c>
      <c r="CE73" s="291">
        <v>0</v>
      </c>
      <c r="CF73" s="291">
        <v>0</v>
      </c>
      <c r="CG73" s="42">
        <v>0</v>
      </c>
      <c r="CH73" s="42">
        <v>0</v>
      </c>
      <c r="CI73" s="42">
        <v>0</v>
      </c>
      <c r="CJ73" s="42">
        <v>0</v>
      </c>
      <c r="CK73" s="42">
        <v>0</v>
      </c>
      <c r="CL73" s="151" t="str">
        <f t="shared" si="11"/>
        <v>OK</v>
      </c>
      <c r="CM73" s="152" t="str">
        <f t="shared" si="12"/>
        <v>OK</v>
      </c>
      <c r="CN73" s="153" t="str">
        <f t="shared" si="13"/>
        <v>OK</v>
      </c>
      <c r="CO73" s="327">
        <f t="shared" si="14"/>
        <v>179.48444444444462</v>
      </c>
      <c r="CP73" s="328"/>
      <c r="CQ73" s="326"/>
      <c r="CR73" s="326" t="e">
        <v>#N/A</v>
      </c>
      <c r="CS73" s="328">
        <v>1440</v>
      </c>
      <c r="CT73" s="327">
        <v>1.0906451612903227</v>
      </c>
      <c r="CU73" s="327">
        <f>VLOOKUP(B73,Tabelle2!$AL$2:$AM$82,2,)</f>
        <v>1.0906451612903227</v>
      </c>
      <c r="CV73">
        <v>4</v>
      </c>
      <c r="CW73">
        <v>0.03</v>
      </c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N73" s="31"/>
      <c r="DO73" s="136" t="e">
        <v>#N/A</v>
      </c>
      <c r="DP73" s="136" t="e">
        <v>#N/A</v>
      </c>
      <c r="DQ73">
        <f t="shared" si="15"/>
        <v>1440</v>
      </c>
      <c r="DR73" s="147"/>
      <c r="DS73" s="147"/>
      <c r="DT73" s="147"/>
      <c r="DU73" s="147"/>
      <c r="DV73" s="147"/>
      <c r="DW73" s="147"/>
      <c r="DY73" s="48"/>
      <c r="DZ73" s="48"/>
      <c r="EA73" s="48"/>
      <c r="EC73" s="61">
        <v>93.683751934082878</v>
      </c>
      <c r="ED73" s="27">
        <v>90.154126650322254</v>
      </c>
      <c r="EE73" s="27">
        <v>2.3876628061983105</v>
      </c>
      <c r="EG73" s="244" t="s">
        <v>719</v>
      </c>
      <c r="EH73" s="63">
        <v>1440</v>
      </c>
      <c r="EI73" s="31">
        <v>1.4050505263157894E-2</v>
      </c>
      <c r="EJ73" s="31">
        <v>2.8252220049288301E-2</v>
      </c>
      <c r="EM73">
        <v>2</v>
      </c>
      <c r="EN73">
        <v>2</v>
      </c>
    </row>
    <row r="74" spans="1:144" ht="15">
      <c r="A74" s="244" t="s">
        <v>720</v>
      </c>
      <c r="B74" s="63">
        <v>1450</v>
      </c>
      <c r="C74" s="63">
        <v>1460</v>
      </c>
      <c r="D74" s="63" t="s">
        <v>435</v>
      </c>
      <c r="E74" s="94" t="s">
        <v>429</v>
      </c>
      <c r="F74" s="135" t="s">
        <v>427</v>
      </c>
      <c r="G74" s="61">
        <v>111.643536563</v>
      </c>
      <c r="H74" s="291">
        <v>3.0078389466549858E-3</v>
      </c>
      <c r="I74" s="291">
        <v>0.22448746268411471</v>
      </c>
      <c r="J74" s="291">
        <v>0.1169182630710698</v>
      </c>
      <c r="K74" s="291">
        <v>0.11071974375476457</v>
      </c>
      <c r="L74" s="291">
        <v>6.6939112649240198E-2</v>
      </c>
      <c r="M74" s="291">
        <v>10.827720136474753</v>
      </c>
      <c r="N74" s="291">
        <v>1.1328822803266578</v>
      </c>
      <c r="O74" s="300">
        <v>0.64552934266081308</v>
      </c>
      <c r="P74" s="292">
        <v>84.133602232038356</v>
      </c>
      <c r="Q74" s="291">
        <v>13.7278207501942</v>
      </c>
      <c r="R74" s="291">
        <v>0</v>
      </c>
      <c r="S74" s="291">
        <v>8.6006612979559999E-2</v>
      </c>
      <c r="T74" s="291">
        <v>0.56790278721981191</v>
      </c>
      <c r="U74" s="306">
        <v>162.896163690424</v>
      </c>
      <c r="V74" s="136">
        <v>2.5</v>
      </c>
      <c r="W74" s="306">
        <v>0</v>
      </c>
      <c r="X74" s="136">
        <v>0</v>
      </c>
      <c r="Y74" s="306">
        <v>0.16066237799375199</v>
      </c>
      <c r="Z74" s="306">
        <v>0</v>
      </c>
      <c r="AA74" s="306">
        <v>0</v>
      </c>
      <c r="AB74" s="312">
        <v>4.9581051941872873</v>
      </c>
      <c r="AC74" s="312">
        <v>0</v>
      </c>
      <c r="AD74" s="312">
        <v>5.9377418127970891</v>
      </c>
      <c r="AE74" s="312">
        <v>0</v>
      </c>
      <c r="AF74" s="312">
        <v>0.45394555059622155</v>
      </c>
      <c r="AG74" s="312">
        <v>0</v>
      </c>
      <c r="AH74" s="19">
        <v>1.9341820060307853</v>
      </c>
      <c r="AI74" s="19">
        <v>0</v>
      </c>
      <c r="AJ74" s="19">
        <v>18.50164674094253</v>
      </c>
      <c r="AK74" s="19">
        <v>91.207707816026698</v>
      </c>
      <c r="AL74" s="19">
        <v>1538.10135135</v>
      </c>
      <c r="AM74" s="19">
        <v>16.717400000000001</v>
      </c>
      <c r="AN74" s="19" t="s">
        <v>11</v>
      </c>
      <c r="AO74" s="19" t="s">
        <v>15</v>
      </c>
      <c r="AP74" s="305">
        <v>3.1563719445488299</v>
      </c>
      <c r="AQ74" s="341">
        <v>6.9186959459499997</v>
      </c>
      <c r="AR74" s="351"/>
      <c r="AS74" s="346"/>
      <c r="AT74" s="249"/>
      <c r="AU74" s="312">
        <v>1380.3098454537142</v>
      </c>
      <c r="AV74" s="312">
        <v>1214.9102205682329</v>
      </c>
      <c r="AW74" s="312">
        <v>926.84732669171422</v>
      </c>
      <c r="AX74" s="312">
        <v>763.062646111101</v>
      </c>
      <c r="AY74" s="333">
        <v>554.8123042398571</v>
      </c>
      <c r="AZ74">
        <v>562.75948208591592</v>
      </c>
      <c r="BA74">
        <v>519.77364723137828</v>
      </c>
      <c r="BB74" s="48">
        <v>844.17073495009072</v>
      </c>
      <c r="BC74" s="48">
        <v>740.32958101483257</v>
      </c>
      <c r="BD74" s="48">
        <v>34.539802672661423</v>
      </c>
      <c r="BE74" s="310">
        <v>0.49322963490171906</v>
      </c>
      <c r="BF74" s="310">
        <v>2.1570218061239075</v>
      </c>
      <c r="BG74" s="310">
        <v>3.6138721308755737</v>
      </c>
      <c r="BH74" s="310">
        <v>5.5456248677464517</v>
      </c>
      <c r="BI74" s="310">
        <v>2.9343110104960028</v>
      </c>
      <c r="BJ74" s="305">
        <v>0.17911931785824919</v>
      </c>
      <c r="BK74" s="48">
        <v>6.7006900000000008E-2</v>
      </c>
      <c r="BL74" s="48">
        <v>1794</v>
      </c>
      <c r="BM74" s="48">
        <v>1</v>
      </c>
      <c r="BN74" s="48">
        <v>0</v>
      </c>
      <c r="BO74" s="48">
        <v>2.8746811949080003E-2</v>
      </c>
      <c r="BP74" s="314">
        <v>43.06330015403001</v>
      </c>
      <c r="BQ74" s="314">
        <v>52.601887653594005</v>
      </c>
      <c r="BR74" s="316">
        <v>416.93494276025393</v>
      </c>
      <c r="BS74" s="318">
        <v>2013.2340452777182</v>
      </c>
      <c r="BT74" s="188">
        <v>1478.2140452777182</v>
      </c>
      <c r="BU74" s="188">
        <v>1478.2140452777182</v>
      </c>
      <c r="BV74" s="48">
        <v>535.02</v>
      </c>
      <c r="BW74" s="48">
        <v>50</v>
      </c>
      <c r="BX74" s="48">
        <v>48</v>
      </c>
      <c r="BY74" s="48">
        <v>43</v>
      </c>
      <c r="BZ74" s="48">
        <v>0</v>
      </c>
      <c r="CA74" s="71">
        <v>0</v>
      </c>
      <c r="CB74" s="291">
        <v>0</v>
      </c>
      <c r="CC74" s="291">
        <v>0</v>
      </c>
      <c r="CD74" s="291">
        <v>0</v>
      </c>
      <c r="CE74" s="291">
        <v>0</v>
      </c>
      <c r="CF74" s="291">
        <v>0</v>
      </c>
      <c r="CG74" s="42">
        <v>0</v>
      </c>
      <c r="CH74" s="42">
        <v>0</v>
      </c>
      <c r="CI74" s="42">
        <v>0</v>
      </c>
      <c r="CJ74" s="42">
        <v>0</v>
      </c>
      <c r="CK74" s="42">
        <v>0</v>
      </c>
      <c r="CL74" s="151" t="str">
        <f t="shared" si="11"/>
        <v>OK</v>
      </c>
      <c r="CM74" s="152" t="str">
        <f t="shared" si="12"/>
        <v>OK</v>
      </c>
      <c r="CN74" s="153" t="str">
        <f t="shared" si="13"/>
        <v>OK</v>
      </c>
      <c r="CO74" s="327">
        <f t="shared" si="14"/>
        <v>356.68</v>
      </c>
      <c r="CP74" s="328"/>
      <c r="CQ74" s="326"/>
      <c r="CR74" s="326" t="e">
        <v>#N/A</v>
      </c>
      <c r="CS74" s="328">
        <v>1450</v>
      </c>
      <c r="CT74" s="327">
        <v>0.69379032258064521</v>
      </c>
      <c r="CU74" s="327">
        <f>VLOOKUP(B74,Tabelle2!$AL$2:$AM$82,2,)</f>
        <v>0.69379032258064521</v>
      </c>
      <c r="CV74">
        <v>4</v>
      </c>
      <c r="CW74">
        <v>0.03</v>
      </c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N74" s="31"/>
      <c r="DO74" s="136" t="e">
        <v>#N/A</v>
      </c>
      <c r="DP74" s="136" t="e">
        <v>#N/A</v>
      </c>
      <c r="DQ74">
        <f t="shared" si="15"/>
        <v>1450</v>
      </c>
      <c r="DR74" s="147"/>
      <c r="DS74" s="147"/>
      <c r="DT74" s="147"/>
      <c r="DU74" s="147"/>
      <c r="DV74" s="147"/>
      <c r="DW74" s="147"/>
      <c r="DY74" s="48"/>
      <c r="DZ74" s="48"/>
      <c r="EA74" s="48"/>
      <c r="EC74" s="61">
        <v>54.844891767827335</v>
      </c>
      <c r="ED74" s="27">
        <v>53.406339740770839</v>
      </c>
      <c r="EE74" s="27">
        <v>1.1961554579286233</v>
      </c>
      <c r="EG74" s="244" t="s">
        <v>720</v>
      </c>
      <c r="EH74" s="63">
        <v>1450</v>
      </c>
      <c r="EI74" s="31">
        <v>9.4209000000000011E-3</v>
      </c>
      <c r="EJ74" s="31">
        <v>2.2429570658133231E-2</v>
      </c>
      <c r="EM74">
        <v>2</v>
      </c>
      <c r="EN74">
        <v>2</v>
      </c>
    </row>
    <row r="75" spans="1:144" ht="15">
      <c r="A75" s="244" t="s">
        <v>721</v>
      </c>
      <c r="B75" s="94">
        <v>1460</v>
      </c>
      <c r="C75" s="39">
        <v>4070</v>
      </c>
      <c r="D75" s="63" t="s">
        <v>435</v>
      </c>
      <c r="E75" s="94" t="s">
        <v>429</v>
      </c>
      <c r="F75" s="135" t="s">
        <v>427</v>
      </c>
      <c r="G75" s="61">
        <v>259.98821759800001</v>
      </c>
      <c r="H75" s="291">
        <v>3.8650092701771978E-2</v>
      </c>
      <c r="I75" s="291">
        <v>0.34535289193752822</v>
      </c>
      <c r="J75" s="291">
        <v>0.38366746382462774</v>
      </c>
      <c r="K75" s="291">
        <v>0.31949900727169767</v>
      </c>
      <c r="L75" s="291">
        <v>0.18745266045342468</v>
      </c>
      <c r="M75" s="291">
        <v>33.572221696394323</v>
      </c>
      <c r="N75" s="291">
        <v>6.7342923589342893</v>
      </c>
      <c r="O75" s="300">
        <v>0</v>
      </c>
      <c r="P75" s="292">
        <v>213.76279060061282</v>
      </c>
      <c r="Q75" s="291">
        <v>2.94524107659073</v>
      </c>
      <c r="R75" s="291">
        <v>0</v>
      </c>
      <c r="S75" s="291">
        <v>0.36752428241468099</v>
      </c>
      <c r="T75" s="291">
        <v>1.3315254668640961</v>
      </c>
      <c r="U75" s="306">
        <v>242.00048551191841</v>
      </c>
      <c r="V75" s="136">
        <v>3.6484898030260187</v>
      </c>
      <c r="W75" s="306">
        <v>0</v>
      </c>
      <c r="X75" s="136">
        <v>0</v>
      </c>
      <c r="Y75" s="306">
        <v>0.44858916314651603</v>
      </c>
      <c r="Z75" s="306">
        <v>0</v>
      </c>
      <c r="AA75" s="306">
        <v>0</v>
      </c>
      <c r="AB75" s="312">
        <v>19.578925632548341</v>
      </c>
      <c r="AC75" s="312">
        <v>0.12739232815135812</v>
      </c>
      <c r="AD75" s="312">
        <v>11.946422590841618</v>
      </c>
      <c r="AE75" s="312">
        <v>0</v>
      </c>
      <c r="AF75" s="312">
        <v>3.0426105676919906</v>
      </c>
      <c r="AG75" s="312">
        <v>0.15149269335006121</v>
      </c>
      <c r="AH75" s="19">
        <v>66.711392674424943</v>
      </c>
      <c r="AI75" s="19">
        <v>0</v>
      </c>
      <c r="AJ75" s="19">
        <v>10.055893936560205</v>
      </c>
      <c r="AK75" s="19">
        <v>183.22093098701484</v>
      </c>
      <c r="AL75" s="19">
        <v>1278.31626506</v>
      </c>
      <c r="AM75" s="19">
        <v>20.873699999999999</v>
      </c>
      <c r="AN75" s="19" t="s">
        <v>14</v>
      </c>
      <c r="AO75" s="19" t="s">
        <v>15</v>
      </c>
      <c r="AP75" s="305">
        <v>8.4248884290224204</v>
      </c>
      <c r="AQ75" s="341">
        <v>7.4894841269841264</v>
      </c>
      <c r="AR75" s="351"/>
      <c r="AS75" s="347"/>
      <c r="AT75" s="349"/>
      <c r="AU75" s="312">
        <v>1389.3833857104287</v>
      </c>
      <c r="AV75" s="312">
        <v>1260.0133749274403</v>
      </c>
      <c r="AW75" s="312">
        <v>913.60021767299997</v>
      </c>
      <c r="AX75" s="312">
        <v>769.46779568577711</v>
      </c>
      <c r="AY75" s="333">
        <v>624.76272392571423</v>
      </c>
      <c r="AZ75">
        <v>569.79223463390622</v>
      </c>
      <c r="BA75">
        <v>527.70686346292905</v>
      </c>
      <c r="BB75" s="48">
        <v>851.73148049429699</v>
      </c>
      <c r="BC75" s="48">
        <v>748.51764873266802</v>
      </c>
      <c r="BD75" s="48">
        <v>34.539802672661423</v>
      </c>
      <c r="BE75" s="310">
        <v>2.3866191751029224</v>
      </c>
      <c r="BF75" s="310">
        <v>2.3154129052866246</v>
      </c>
      <c r="BG75" s="310">
        <v>4.1461365183506791</v>
      </c>
      <c r="BH75" s="310">
        <v>4.2074573850092056</v>
      </c>
      <c r="BI75" s="310">
        <v>7.9389255186360428</v>
      </c>
      <c r="BJ75" s="305">
        <v>0.16166234155375805</v>
      </c>
      <c r="BK75" s="48">
        <v>7.9760800000000007E-2</v>
      </c>
      <c r="BL75" s="48">
        <v>1794</v>
      </c>
      <c r="BM75" s="48">
        <v>1</v>
      </c>
      <c r="BN75" s="48">
        <v>0</v>
      </c>
      <c r="BO75" s="48">
        <v>7.1827606175205689</v>
      </c>
      <c r="BP75" s="314">
        <v>68.377480856816888</v>
      </c>
      <c r="BQ75" s="314">
        <v>33.065754110389818</v>
      </c>
      <c r="BR75" s="316">
        <v>371.58788452833886</v>
      </c>
      <c r="BS75" s="318">
        <v>10537.860581078308</v>
      </c>
      <c r="BT75" s="188">
        <v>9296.2939144116408</v>
      </c>
      <c r="BU75" s="188">
        <v>9296.2939144116408</v>
      </c>
      <c r="BV75" s="48">
        <v>1241.5666666666668</v>
      </c>
      <c r="BW75" s="48">
        <v>50</v>
      </c>
      <c r="BX75" s="48">
        <v>48</v>
      </c>
      <c r="BY75" s="48">
        <v>43</v>
      </c>
      <c r="BZ75" s="48">
        <v>0</v>
      </c>
      <c r="CA75" s="71">
        <v>0</v>
      </c>
      <c r="CB75" s="291">
        <v>6.8498435650262118E-2</v>
      </c>
      <c r="CC75" s="291">
        <v>0</v>
      </c>
      <c r="CD75" s="291">
        <v>0</v>
      </c>
      <c r="CE75" s="291">
        <v>27.638053333333332</v>
      </c>
      <c r="CF75" s="291">
        <v>4.3166666666666673</v>
      </c>
      <c r="CG75" s="42">
        <v>0</v>
      </c>
      <c r="CH75" s="42">
        <v>0</v>
      </c>
      <c r="CI75" s="42">
        <v>0</v>
      </c>
      <c r="CJ75" s="42">
        <v>0</v>
      </c>
      <c r="CK75" s="42">
        <v>0</v>
      </c>
      <c r="CL75" s="151" t="str">
        <f t="shared" si="11"/>
        <v>OK</v>
      </c>
      <c r="CM75" s="152" t="str">
        <f t="shared" si="12"/>
        <v>OK</v>
      </c>
      <c r="CN75" s="153" t="str">
        <f t="shared" si="13"/>
        <v>OK</v>
      </c>
      <c r="CO75" s="327">
        <f t="shared" si="14"/>
        <v>827.71111111111168</v>
      </c>
      <c r="CP75" s="328"/>
      <c r="CQ75" s="326"/>
      <c r="CR75" s="326">
        <v>8060.2720334054784</v>
      </c>
      <c r="CS75" s="328">
        <v>1460</v>
      </c>
      <c r="CT75" s="327">
        <v>0.90294354838709678</v>
      </c>
      <c r="CU75" s="327">
        <f>VLOOKUP(B75,Tabelle2!$AL$2:$AM$82,2,)</f>
        <v>0.90294354838709678</v>
      </c>
      <c r="CV75">
        <v>4</v>
      </c>
      <c r="CW75">
        <v>0.03</v>
      </c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N75" s="31"/>
      <c r="DO75" s="136">
        <v>3.4878377897946806</v>
      </c>
      <c r="DP75" s="136">
        <v>8060.2720334054784</v>
      </c>
      <c r="DQ75">
        <f t="shared" si="15"/>
        <v>1460</v>
      </c>
      <c r="DR75" s="147"/>
      <c r="DS75" s="147"/>
      <c r="DT75" s="147"/>
      <c r="DU75" s="147"/>
      <c r="DV75" s="147"/>
      <c r="DW75" s="147"/>
      <c r="DY75" s="48"/>
      <c r="DZ75" s="48">
        <v>252.49444467101415</v>
      </c>
      <c r="EA75" s="48">
        <v>9.0218652112126119</v>
      </c>
      <c r="EC75" s="61">
        <v>267.69209246022132</v>
      </c>
      <c r="ED75" s="27">
        <v>252.86887123856079</v>
      </c>
      <c r="EE75" s="27">
        <v>9.5263548563840814</v>
      </c>
      <c r="EG75" s="244" t="s">
        <v>721</v>
      </c>
      <c r="EH75" s="94">
        <v>1460</v>
      </c>
      <c r="EI75" s="31">
        <v>1.9541135526315794E-2</v>
      </c>
      <c r="EJ75" s="31">
        <v>2.7900914103971292E-2</v>
      </c>
      <c r="EM75">
        <v>2</v>
      </c>
      <c r="EN75">
        <v>2</v>
      </c>
    </row>
    <row r="76" spans="1:144" ht="15">
      <c r="A76" s="244" t="s">
        <v>722</v>
      </c>
      <c r="B76" s="63">
        <v>1470</v>
      </c>
      <c r="C76" s="63">
        <v>4070</v>
      </c>
      <c r="D76" s="63" t="s">
        <v>435</v>
      </c>
      <c r="E76" s="94" t="s">
        <v>429</v>
      </c>
      <c r="F76" s="135" t="s">
        <v>427</v>
      </c>
      <c r="G76" s="61">
        <v>255.00777515999999</v>
      </c>
      <c r="H76" s="291">
        <v>0</v>
      </c>
      <c r="I76" s="291">
        <v>1.2434518004205114E-4</v>
      </c>
      <c r="J76" s="291">
        <v>1.128134770719945E-4</v>
      </c>
      <c r="K76" s="291">
        <v>7.3921367141366692E-5</v>
      </c>
      <c r="L76" s="291">
        <v>8.6150930567518763E-4</v>
      </c>
      <c r="M76" s="291">
        <v>10.01229552516314</v>
      </c>
      <c r="N76" s="291">
        <v>8.5185033547444426</v>
      </c>
      <c r="O76" s="300">
        <v>6.6554747467115343</v>
      </c>
      <c r="P76" s="292">
        <v>209.77040028725332</v>
      </c>
      <c r="Q76" s="291">
        <v>18.313436149076399</v>
      </c>
      <c r="R76" s="291">
        <v>0</v>
      </c>
      <c r="S76" s="291">
        <v>3.3104442027640196E-3</v>
      </c>
      <c r="T76" s="291">
        <v>1.7331820635184561</v>
      </c>
      <c r="U76" s="306">
        <v>367.49384388772808</v>
      </c>
      <c r="V76" s="136">
        <v>2.6697557427776304</v>
      </c>
      <c r="W76" s="306">
        <v>0</v>
      </c>
      <c r="X76" s="136">
        <v>0</v>
      </c>
      <c r="Y76" s="306">
        <v>0.75206326336376794</v>
      </c>
      <c r="Z76" s="306">
        <v>0</v>
      </c>
      <c r="AA76" s="306">
        <v>0</v>
      </c>
      <c r="AB76" s="312">
        <v>3.2267212262251315</v>
      </c>
      <c r="AC76" s="312">
        <v>2.0499501539111495</v>
      </c>
      <c r="AD76" s="312">
        <v>4.7367967343567896</v>
      </c>
      <c r="AE76" s="312">
        <v>0</v>
      </c>
      <c r="AF76" s="312">
        <v>0</v>
      </c>
      <c r="AG76" s="312">
        <v>0</v>
      </c>
      <c r="AH76" s="19">
        <v>67.607900514518718</v>
      </c>
      <c r="AI76" s="19">
        <v>0</v>
      </c>
      <c r="AJ76" s="19">
        <v>112.88528314746162</v>
      </c>
      <c r="AK76" s="19">
        <v>74.514591498019655</v>
      </c>
      <c r="AL76" s="19">
        <v>1267.2269736799999</v>
      </c>
      <c r="AM76" s="19">
        <v>19.4068</v>
      </c>
      <c r="AN76" s="19" t="s">
        <v>11</v>
      </c>
      <c r="AO76" s="19" t="s">
        <v>15</v>
      </c>
      <c r="AP76" s="305">
        <v>9.8404752907949007</v>
      </c>
      <c r="AQ76" s="341">
        <v>7.7313190789599995</v>
      </c>
      <c r="AR76" s="351"/>
      <c r="AS76" s="346"/>
      <c r="AT76" s="249"/>
      <c r="AU76" s="312">
        <v>1680.1467429657143</v>
      </c>
      <c r="AV76" s="312">
        <v>1501.7192973993099</v>
      </c>
      <c r="AW76" s="312">
        <v>1072.7730032038571</v>
      </c>
      <c r="AX76" s="312">
        <v>867.22464911939664</v>
      </c>
      <c r="AY76" s="333">
        <v>602.94205612671431</v>
      </c>
      <c r="AZ76">
        <v>739.2340342538273</v>
      </c>
      <c r="BA76">
        <v>721.6517245302108</v>
      </c>
      <c r="BB76" s="48">
        <v>1018.4107235826586</v>
      </c>
      <c r="BC76" s="48">
        <v>931.85132749377328</v>
      </c>
      <c r="BD76" s="48">
        <v>34.545282224094372</v>
      </c>
      <c r="BE76" s="310">
        <v>0</v>
      </c>
      <c r="BF76" s="310">
        <v>1.3130219238460967</v>
      </c>
      <c r="BG76" s="310">
        <v>0.50863912321752602</v>
      </c>
      <c r="BH76" s="310">
        <v>3.6116568239841467</v>
      </c>
      <c r="BI76" s="310">
        <v>7.4689858301128389</v>
      </c>
      <c r="BJ76" s="305">
        <v>0.13868695950854468</v>
      </c>
      <c r="BK76" s="48">
        <v>8.0287400000000009E-2</v>
      </c>
      <c r="BL76" s="48">
        <v>2248</v>
      </c>
      <c r="BM76" s="48">
        <v>1</v>
      </c>
      <c r="BN76" s="48">
        <v>0</v>
      </c>
      <c r="BO76" s="48">
        <v>0</v>
      </c>
      <c r="BP76" s="314">
        <v>26.410052286410888</v>
      </c>
      <c r="BQ76" s="314">
        <v>56.993559463677173</v>
      </c>
      <c r="BR76" s="316">
        <v>644.73760212822879</v>
      </c>
      <c r="BS76" s="318">
        <v>6350.6877269413317</v>
      </c>
      <c r="BT76" s="188">
        <v>6303.3477269413315</v>
      </c>
      <c r="BU76" s="188">
        <v>6303.3477269413315</v>
      </c>
      <c r="BV76" s="48">
        <v>47.340000000000146</v>
      </c>
      <c r="BW76" s="48">
        <v>50</v>
      </c>
      <c r="BX76" s="48">
        <v>48</v>
      </c>
      <c r="BY76" s="48">
        <v>43</v>
      </c>
      <c r="BZ76" s="48">
        <v>0</v>
      </c>
      <c r="CA76" s="71">
        <v>0</v>
      </c>
      <c r="CB76" s="291">
        <v>3.2259428378149838E-2</v>
      </c>
      <c r="CC76" s="291">
        <v>5.3166666666666673</v>
      </c>
      <c r="CD76" s="291">
        <v>0.66666666666666663</v>
      </c>
      <c r="CE76" s="291">
        <v>0</v>
      </c>
      <c r="CF76" s="291">
        <v>0</v>
      </c>
      <c r="CG76" s="42">
        <v>0</v>
      </c>
      <c r="CH76" s="42">
        <v>0</v>
      </c>
      <c r="CI76" s="42">
        <v>0</v>
      </c>
      <c r="CJ76" s="42">
        <v>0</v>
      </c>
      <c r="CK76" s="42">
        <v>0</v>
      </c>
      <c r="CL76" s="151" t="str">
        <f t="shared" si="11"/>
        <v>OK</v>
      </c>
      <c r="CM76" s="152" t="str">
        <f t="shared" si="12"/>
        <v>OK</v>
      </c>
      <c r="CN76" s="153" t="str">
        <f t="shared" si="13"/>
        <v>OK</v>
      </c>
      <c r="CO76" s="327">
        <f t="shared" si="14"/>
        <v>31.560000000000098</v>
      </c>
      <c r="CP76" s="328"/>
      <c r="CQ76" s="326"/>
      <c r="CR76" s="326" t="e">
        <v>#N/A</v>
      </c>
      <c r="CS76" s="328">
        <v>1470</v>
      </c>
      <c r="CT76" s="327">
        <v>0.74064516129032254</v>
      </c>
      <c r="CU76" s="327">
        <f>VLOOKUP(B76,Tabelle2!$AL$2:$AM$82,2,)</f>
        <v>0.74064516129032254</v>
      </c>
      <c r="CV76">
        <v>5.5</v>
      </c>
      <c r="CW76">
        <v>0.03</v>
      </c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N76" s="31"/>
      <c r="DO76" s="136" t="e">
        <v>#N/A</v>
      </c>
      <c r="DP76" s="136" t="e">
        <v>#N/A</v>
      </c>
      <c r="DQ76">
        <f t="shared" si="15"/>
        <v>1470</v>
      </c>
      <c r="DR76" s="147"/>
      <c r="DS76" s="147"/>
      <c r="DT76" s="147"/>
      <c r="DU76" s="147"/>
      <c r="DV76" s="147"/>
      <c r="DW76" s="147"/>
      <c r="DY76" s="48"/>
      <c r="DZ76" s="48"/>
      <c r="EA76" s="48"/>
      <c r="EC76" s="61">
        <v>236.29694538860997</v>
      </c>
      <c r="ED76" s="27">
        <v>230.67130010148077</v>
      </c>
      <c r="EE76" s="27">
        <v>2.4592341078675566</v>
      </c>
      <c r="EG76" s="244" t="s">
        <v>722</v>
      </c>
      <c r="EH76" s="63">
        <v>1470</v>
      </c>
      <c r="EI76" s="31">
        <v>1.0688364912280699E-2</v>
      </c>
      <c r="EJ76" s="31">
        <v>2.0724116182521752E-2</v>
      </c>
      <c r="EM76">
        <v>2</v>
      </c>
      <c r="EN76">
        <v>2</v>
      </c>
    </row>
    <row r="77" spans="1:144" ht="15">
      <c r="A77" s="244" t="s">
        <v>723</v>
      </c>
      <c r="B77" s="63">
        <v>1480</v>
      </c>
      <c r="C77" s="63">
        <v>1510</v>
      </c>
      <c r="D77" s="63" t="s">
        <v>435</v>
      </c>
      <c r="E77" s="94" t="s">
        <v>429</v>
      </c>
      <c r="F77" s="135" t="s">
        <v>427</v>
      </c>
      <c r="G77" s="61">
        <v>114.208372387</v>
      </c>
      <c r="H77" s="291">
        <v>0</v>
      </c>
      <c r="I77" s="291">
        <v>0</v>
      </c>
      <c r="J77" s="291">
        <v>7.1419724870550629E-3</v>
      </c>
      <c r="K77" s="291">
        <v>6.843420845679969E-3</v>
      </c>
      <c r="L77" s="291">
        <v>2.0761690795592477E-3</v>
      </c>
      <c r="M77" s="291">
        <v>8.8411396134947537</v>
      </c>
      <c r="N77" s="291">
        <v>0.75075892258213728</v>
      </c>
      <c r="O77" s="300">
        <v>0</v>
      </c>
      <c r="P77" s="292">
        <v>103.01571065576749</v>
      </c>
      <c r="Q77" s="291">
        <v>1.34506620822922</v>
      </c>
      <c r="R77" s="291">
        <v>0</v>
      </c>
      <c r="S77" s="291">
        <v>0</v>
      </c>
      <c r="T77" s="291">
        <v>0.23963542451409711</v>
      </c>
      <c r="U77" s="306">
        <v>86.698075249440237</v>
      </c>
      <c r="V77" s="136">
        <v>2.7059082061729005</v>
      </c>
      <c r="W77" s="306">
        <v>0</v>
      </c>
      <c r="X77" s="136">
        <v>0</v>
      </c>
      <c r="Y77" s="306">
        <v>5.0383912372411197E-3</v>
      </c>
      <c r="Z77" s="306">
        <v>0</v>
      </c>
      <c r="AA77" s="306">
        <v>0</v>
      </c>
      <c r="AB77" s="312">
        <v>2.3872192256594129</v>
      </c>
      <c r="AC77" s="312">
        <v>3.3182612169988652</v>
      </c>
      <c r="AD77" s="312">
        <v>1.855111099226326</v>
      </c>
      <c r="AE77" s="312">
        <v>0.87497175042636322</v>
      </c>
      <c r="AF77" s="312">
        <v>0.42163788359608123</v>
      </c>
      <c r="AG77" s="312">
        <v>0</v>
      </c>
      <c r="AH77" s="19">
        <v>0</v>
      </c>
      <c r="AI77" s="19">
        <v>0</v>
      </c>
      <c r="AJ77" s="19">
        <v>114.208371441</v>
      </c>
      <c r="AK77" s="19">
        <v>0</v>
      </c>
      <c r="AL77" s="19">
        <v>1212.08</v>
      </c>
      <c r="AM77" s="19">
        <v>12.128299999999999</v>
      </c>
      <c r="AN77" s="19" t="s">
        <v>11</v>
      </c>
      <c r="AO77" s="19" t="s">
        <v>12</v>
      </c>
      <c r="AP77" s="305">
        <v>2.91064352195446</v>
      </c>
      <c r="AQ77" s="341">
        <v>7.8967599999999996</v>
      </c>
      <c r="AR77" s="351"/>
      <c r="AS77" s="346"/>
      <c r="AT77" s="249"/>
      <c r="AU77" s="312">
        <v>1677.9690652837141</v>
      </c>
      <c r="AV77" s="312">
        <v>1510.9649123531594</v>
      </c>
      <c r="AW77" s="312">
        <v>1014.2134941861428</v>
      </c>
      <c r="AX77" s="312">
        <v>857.12106133212649</v>
      </c>
      <c r="AY77" s="333">
        <v>602.2498221495714</v>
      </c>
      <c r="AZ77">
        <v>739.77687818716731</v>
      </c>
      <c r="BA77">
        <v>740.35061607812065</v>
      </c>
      <c r="BB77" s="48">
        <v>1134.3840720236731</v>
      </c>
      <c r="BC77" s="48">
        <v>1060.3610136447119</v>
      </c>
      <c r="BD77" s="48">
        <v>34.545282224094372</v>
      </c>
      <c r="BE77" s="310">
        <v>0</v>
      </c>
      <c r="BF77" s="310">
        <v>0</v>
      </c>
      <c r="BG77" s="310">
        <v>0.13076982242352717</v>
      </c>
      <c r="BH77" s="310">
        <v>0.71691579373260439</v>
      </c>
      <c r="BI77" s="310">
        <v>1.3617970728905753</v>
      </c>
      <c r="BJ77" s="305">
        <v>0.17400246156119559</v>
      </c>
      <c r="BK77" s="48">
        <v>9.34416E-2</v>
      </c>
      <c r="BL77" s="48">
        <v>2248</v>
      </c>
      <c r="BM77" s="48">
        <v>1</v>
      </c>
      <c r="BN77" s="48">
        <v>0</v>
      </c>
      <c r="BO77" s="48">
        <v>0</v>
      </c>
      <c r="BP77" s="314">
        <v>20.89717130918757</v>
      </c>
      <c r="BQ77" s="314">
        <v>42.901958251687034</v>
      </c>
      <c r="BR77" s="316">
        <v>600.02181470344408</v>
      </c>
      <c r="BS77" s="318">
        <v>624.55722013136119</v>
      </c>
      <c r="BT77" s="188">
        <v>541.08388679802783</v>
      </c>
      <c r="BU77" s="188">
        <v>541.08388679802783</v>
      </c>
      <c r="BV77" s="48">
        <v>83.473333333333358</v>
      </c>
      <c r="BW77" s="48">
        <v>50</v>
      </c>
      <c r="BX77" s="48">
        <v>48</v>
      </c>
      <c r="BY77" s="48">
        <v>43</v>
      </c>
      <c r="BZ77" s="48">
        <v>0</v>
      </c>
      <c r="CA77" s="71">
        <v>0</v>
      </c>
      <c r="CB77" s="291">
        <v>0</v>
      </c>
      <c r="CC77" s="291">
        <v>0</v>
      </c>
      <c r="CD77" s="291">
        <v>0</v>
      </c>
      <c r="CE77" s="291">
        <v>0</v>
      </c>
      <c r="CF77" s="291">
        <v>0</v>
      </c>
      <c r="CG77" s="42">
        <v>0</v>
      </c>
      <c r="CH77" s="42">
        <v>0</v>
      </c>
      <c r="CI77" s="42">
        <v>0</v>
      </c>
      <c r="CJ77" s="42">
        <v>0</v>
      </c>
      <c r="CK77" s="42">
        <v>0</v>
      </c>
      <c r="CL77" s="151" t="str">
        <f t="shared" si="11"/>
        <v>OK</v>
      </c>
      <c r="CM77" s="152" t="str">
        <f t="shared" si="12"/>
        <v>OK</v>
      </c>
      <c r="CN77" s="153" t="str">
        <f t="shared" si="13"/>
        <v>OK</v>
      </c>
      <c r="CO77" s="327">
        <f t="shared" si="14"/>
        <v>55.648888888888905</v>
      </c>
      <c r="CP77" s="328"/>
      <c r="CQ77" s="326"/>
      <c r="CR77" s="326" t="e">
        <v>#N/A</v>
      </c>
      <c r="CS77" s="328">
        <v>1480</v>
      </c>
      <c r="CT77" s="327">
        <v>1.4293548387096775</v>
      </c>
      <c r="CU77" s="327">
        <f>VLOOKUP(B77,Tabelle2!$AL$2:$AM$82,2,)</f>
        <v>1.4293548387096775</v>
      </c>
      <c r="CV77">
        <v>5.5</v>
      </c>
      <c r="CW77">
        <v>0.03</v>
      </c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N77" s="31"/>
      <c r="DO77" s="136" t="e">
        <v>#N/A</v>
      </c>
      <c r="DP77" s="136" t="e">
        <v>#N/A</v>
      </c>
      <c r="DQ77">
        <f t="shared" si="15"/>
        <v>1480</v>
      </c>
      <c r="DR77" s="147"/>
      <c r="DS77" s="147"/>
      <c r="DT77" s="147"/>
      <c r="DU77" s="147"/>
      <c r="DV77" s="147"/>
      <c r="DW77" s="147"/>
      <c r="DY77" s="48"/>
      <c r="DZ77" s="48"/>
      <c r="EA77" s="48"/>
      <c r="EC77" s="61">
        <v>126.45459070714031</v>
      </c>
      <c r="ED77" s="27">
        <v>124.81076876528195</v>
      </c>
      <c r="EE77" s="27">
        <v>0.96940157467269905</v>
      </c>
      <c r="EG77" s="244" t="s">
        <v>723</v>
      </c>
      <c r="EH77" s="63">
        <v>1480</v>
      </c>
      <c r="EI77" s="31">
        <v>4.3553368421052627E-3</v>
      </c>
      <c r="EJ77" s="31">
        <v>2.1598125181985225E-2</v>
      </c>
      <c r="EM77">
        <v>2</v>
      </c>
      <c r="EN77">
        <v>2</v>
      </c>
    </row>
    <row r="78" spans="1:144" ht="15">
      <c r="A78" s="244" t="s">
        <v>724</v>
      </c>
      <c r="B78" s="63">
        <v>1490</v>
      </c>
      <c r="C78" s="63">
        <v>1500</v>
      </c>
      <c r="D78" s="63" t="s">
        <v>435</v>
      </c>
      <c r="E78" s="94" t="s">
        <v>429</v>
      </c>
      <c r="F78" s="135" t="s">
        <v>427</v>
      </c>
      <c r="G78" s="61">
        <v>106.197558699</v>
      </c>
      <c r="H78" s="291">
        <v>0</v>
      </c>
      <c r="I78" s="291">
        <v>0</v>
      </c>
      <c r="J78" s="291">
        <v>0</v>
      </c>
      <c r="K78" s="291">
        <v>5.9038056454959159E-4</v>
      </c>
      <c r="L78" s="291">
        <v>2.8721678130050944E-3</v>
      </c>
      <c r="M78" s="291">
        <v>3.3893472386472236</v>
      </c>
      <c r="N78" s="291">
        <v>0.22435347172992548</v>
      </c>
      <c r="O78" s="300">
        <v>0</v>
      </c>
      <c r="P78" s="292">
        <v>100.81110536086256</v>
      </c>
      <c r="Q78" s="291">
        <v>0.98842209148941895</v>
      </c>
      <c r="R78" s="291">
        <v>0</v>
      </c>
      <c r="S78" s="291">
        <v>4.3915551408373103E-2</v>
      </c>
      <c r="T78" s="291">
        <v>0.7369524364849438</v>
      </c>
      <c r="U78" s="306">
        <v>143.59290821455971</v>
      </c>
      <c r="V78" s="136">
        <v>5.0673091334486626</v>
      </c>
      <c r="W78" s="306">
        <v>0</v>
      </c>
      <c r="X78" s="136">
        <v>0</v>
      </c>
      <c r="Y78" s="306">
        <v>9.3227811908498E-3</v>
      </c>
      <c r="Z78" s="306">
        <v>0</v>
      </c>
      <c r="AA78" s="306">
        <v>0</v>
      </c>
      <c r="AB78" s="312">
        <v>0.26549944608984088</v>
      </c>
      <c r="AC78" s="312">
        <v>1.418252048567384</v>
      </c>
      <c r="AD78" s="312">
        <v>1.0680916750032048</v>
      </c>
      <c r="AE78" s="312">
        <v>0.59498775819552452</v>
      </c>
      <c r="AF78" s="312">
        <v>4.5978859168824472E-2</v>
      </c>
      <c r="AG78" s="312">
        <v>0</v>
      </c>
      <c r="AH78" s="19">
        <v>0</v>
      </c>
      <c r="AI78" s="19">
        <v>0</v>
      </c>
      <c r="AJ78" s="19">
        <v>106.197558699</v>
      </c>
      <c r="AK78" s="19">
        <v>0</v>
      </c>
      <c r="AL78" s="19">
        <v>1040.67832168</v>
      </c>
      <c r="AM78" s="19">
        <v>13.7845</v>
      </c>
      <c r="AN78" s="19" t="s">
        <v>14</v>
      </c>
      <c r="AO78" s="19" t="s">
        <v>12</v>
      </c>
      <c r="AP78" s="305">
        <v>4.5282511779965304</v>
      </c>
      <c r="AQ78" s="341">
        <v>8.4109650349600003</v>
      </c>
      <c r="AR78" s="351"/>
      <c r="AS78" s="346"/>
      <c r="AT78" s="249"/>
      <c r="AU78" s="312">
        <v>1786.441527854</v>
      </c>
      <c r="AV78" s="312">
        <v>1698.975100754069</v>
      </c>
      <c r="AW78" s="312">
        <v>1087.6015579281427</v>
      </c>
      <c r="AX78" s="312">
        <v>943.03960832461144</v>
      </c>
      <c r="AY78" s="333">
        <v>629.34127261642857</v>
      </c>
      <c r="AZ78">
        <v>760.43966018145352</v>
      </c>
      <c r="BA78">
        <v>714.25001279025969</v>
      </c>
      <c r="BB78" s="48">
        <v>1022.5149069509228</v>
      </c>
      <c r="BC78" s="48">
        <v>903.01182094644946</v>
      </c>
      <c r="BD78" s="48">
        <v>34.545282224094372</v>
      </c>
      <c r="BE78" s="310">
        <v>0</v>
      </c>
      <c r="BF78" s="310">
        <v>0</v>
      </c>
      <c r="BG78" s="310">
        <v>0</v>
      </c>
      <c r="BH78" s="310">
        <v>1.5385541194326466</v>
      </c>
      <c r="BI78" s="310">
        <v>2.9238402478332559</v>
      </c>
      <c r="BJ78" s="305">
        <v>0.1108259515334951</v>
      </c>
      <c r="BK78" s="48">
        <v>9.7007999999999997E-2</v>
      </c>
      <c r="BL78" s="48">
        <v>2248</v>
      </c>
      <c r="BM78" s="48">
        <v>1</v>
      </c>
      <c r="BN78" s="48">
        <v>0</v>
      </c>
      <c r="BO78" s="48">
        <v>0</v>
      </c>
      <c r="BP78" s="314">
        <v>14.508278529587017</v>
      </c>
      <c r="BQ78" s="314">
        <v>57.679511989930361</v>
      </c>
      <c r="BR78" s="316">
        <v>549.0073019942771</v>
      </c>
      <c r="BS78" s="318">
        <v>657.48871213900122</v>
      </c>
      <c r="BT78" s="188">
        <v>620.26204547233453</v>
      </c>
      <c r="BU78" s="188">
        <v>620.26204547233453</v>
      </c>
      <c r="BV78" s="48">
        <v>37.226666666666688</v>
      </c>
      <c r="BW78" s="48">
        <v>50</v>
      </c>
      <c r="BX78" s="48">
        <v>48</v>
      </c>
      <c r="BY78" s="48">
        <v>43</v>
      </c>
      <c r="BZ78" s="48">
        <v>0</v>
      </c>
      <c r="CA78" s="71">
        <v>0</v>
      </c>
      <c r="CB78" s="291">
        <v>0</v>
      </c>
      <c r="CC78" s="291">
        <v>0</v>
      </c>
      <c r="CD78" s="291">
        <v>0</v>
      </c>
      <c r="CE78" s="291">
        <v>0</v>
      </c>
      <c r="CF78" s="291">
        <v>0</v>
      </c>
      <c r="CG78" s="42">
        <v>0</v>
      </c>
      <c r="CH78" s="42">
        <v>0</v>
      </c>
      <c r="CI78" s="42">
        <v>0</v>
      </c>
      <c r="CJ78" s="42">
        <v>0</v>
      </c>
      <c r="CK78" s="42">
        <v>0</v>
      </c>
      <c r="CL78" s="151" t="str">
        <f t="shared" si="11"/>
        <v>OK</v>
      </c>
      <c r="CM78" s="152" t="str">
        <f t="shared" si="12"/>
        <v>OK</v>
      </c>
      <c r="CN78" s="153" t="str">
        <f t="shared" si="13"/>
        <v>OK</v>
      </c>
      <c r="CO78" s="327">
        <f t="shared" si="14"/>
        <v>24.817777777777792</v>
      </c>
      <c r="CP78" s="328"/>
      <c r="CQ78" s="326"/>
      <c r="CR78" s="326" t="e">
        <v>#N/A</v>
      </c>
      <c r="CS78" s="328">
        <v>1490</v>
      </c>
      <c r="CT78" s="327">
        <v>0</v>
      </c>
      <c r="CU78" s="327">
        <f>VLOOKUP(B78,Tabelle2!$AL$2:$AM$82,2,)</f>
        <v>0</v>
      </c>
      <c r="CV78">
        <v>5.5</v>
      </c>
      <c r="CW78">
        <v>0.03</v>
      </c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N78" s="31"/>
      <c r="DO78" s="136" t="e">
        <v>#N/A</v>
      </c>
      <c r="DP78" s="136" t="e">
        <v>#N/A</v>
      </c>
      <c r="DQ78">
        <f t="shared" si="15"/>
        <v>1490</v>
      </c>
      <c r="DR78" s="147"/>
      <c r="DS78" s="147"/>
      <c r="DT78" s="147"/>
      <c r="DU78" s="147"/>
      <c r="DV78" s="147"/>
      <c r="DW78" s="147"/>
      <c r="DY78" s="48"/>
      <c r="DZ78" s="48"/>
      <c r="EA78" s="48"/>
      <c r="EC78" s="61">
        <v>105.76254080469442</v>
      </c>
      <c r="ED78" s="27">
        <v>102.65349369953408</v>
      </c>
      <c r="EE78" s="27">
        <v>0.90505246140704432</v>
      </c>
      <c r="EG78" s="244" t="s">
        <v>724</v>
      </c>
      <c r="EH78" s="63">
        <v>1490</v>
      </c>
      <c r="EI78" s="31" t="s">
        <v>927</v>
      </c>
      <c r="EJ78" s="31">
        <v>2.02211604742106E-2</v>
      </c>
      <c r="EM78">
        <v>2</v>
      </c>
      <c r="EN78">
        <v>2</v>
      </c>
    </row>
    <row r="79" spans="1:144" ht="15">
      <c r="A79" s="244" t="s">
        <v>717</v>
      </c>
      <c r="B79" s="63">
        <v>1500</v>
      </c>
      <c r="C79" s="63">
        <v>1510</v>
      </c>
      <c r="D79" s="63" t="s">
        <v>435</v>
      </c>
      <c r="E79" s="94" t="s">
        <v>429</v>
      </c>
      <c r="F79" s="135" t="s">
        <v>427</v>
      </c>
      <c r="G79" s="61">
        <v>324.56349988800002</v>
      </c>
      <c r="H79" s="291">
        <v>0</v>
      </c>
      <c r="I79" s="291">
        <v>5.0577731105155767E-4</v>
      </c>
      <c r="J79" s="291">
        <v>5.0813524421078847E-4</v>
      </c>
      <c r="K79" s="291">
        <v>2.8489014767130324E-4</v>
      </c>
      <c r="L79" s="291">
        <v>8.3567351668708302E-3</v>
      </c>
      <c r="M79" s="291">
        <v>15.368592818537389</v>
      </c>
      <c r="N79" s="291">
        <v>2.2764348622260888</v>
      </c>
      <c r="O79" s="300">
        <v>0</v>
      </c>
      <c r="P79" s="292">
        <v>279.21450103406636</v>
      </c>
      <c r="Q79" s="291">
        <v>25.507055959816899</v>
      </c>
      <c r="R79" s="291">
        <v>0</v>
      </c>
      <c r="S79" s="291">
        <v>5.72116893459199E-2</v>
      </c>
      <c r="T79" s="291">
        <v>2.1300479861375039</v>
      </c>
      <c r="U79" s="306">
        <v>302.84683642674139</v>
      </c>
      <c r="V79" s="136">
        <v>6.741850875851525</v>
      </c>
      <c r="W79" s="306">
        <v>0</v>
      </c>
      <c r="X79" s="136">
        <v>0</v>
      </c>
      <c r="Y79" s="306">
        <v>8.8299776725013907E-2</v>
      </c>
      <c r="Z79" s="306">
        <v>0</v>
      </c>
      <c r="AA79" s="306">
        <v>0</v>
      </c>
      <c r="AB79" s="312">
        <v>0.78641735208517993</v>
      </c>
      <c r="AC79" s="312">
        <v>7.6781349076913736</v>
      </c>
      <c r="AD79" s="312">
        <v>4.335396010407341</v>
      </c>
      <c r="AE79" s="312">
        <v>2.3890880228605766</v>
      </c>
      <c r="AF79" s="312">
        <v>0.18921206336271917</v>
      </c>
      <c r="AG79" s="312">
        <v>0</v>
      </c>
      <c r="AH79" s="19">
        <v>0.45691935439232062</v>
      </c>
      <c r="AI79" s="19">
        <v>0</v>
      </c>
      <c r="AJ79" s="19">
        <v>324.10658053360771</v>
      </c>
      <c r="AK79" s="19">
        <v>0</v>
      </c>
      <c r="AL79" s="19">
        <v>1091.29516539</v>
      </c>
      <c r="AM79" s="19">
        <v>19.037299999999998</v>
      </c>
      <c r="AN79" s="19" t="s">
        <v>14</v>
      </c>
      <c r="AO79" s="19" t="s">
        <v>12</v>
      </c>
      <c r="AP79" s="305">
        <v>13.3067428142736</v>
      </c>
      <c r="AQ79" s="341">
        <v>8.2591145038299985</v>
      </c>
      <c r="AR79" s="351"/>
      <c r="AS79" s="346"/>
      <c r="AT79" s="249"/>
      <c r="AU79" s="312">
        <v>1816.1326867692856</v>
      </c>
      <c r="AV79" s="312">
        <v>1609.0382271865574</v>
      </c>
      <c r="AW79" s="312">
        <v>1149.18233607</v>
      </c>
      <c r="AX79" s="312">
        <v>926.57674714659754</v>
      </c>
      <c r="AY79" s="333">
        <v>646.458474956857</v>
      </c>
      <c r="AZ79">
        <v>734.94518172434937</v>
      </c>
      <c r="BA79">
        <v>719.31045274107032</v>
      </c>
      <c r="BB79" s="48">
        <v>1014.1266921966691</v>
      </c>
      <c r="BC79" s="48">
        <v>930.16853295731676</v>
      </c>
      <c r="BD79" s="48">
        <v>34.545282224094372</v>
      </c>
      <c r="BE79" s="310">
        <v>0</v>
      </c>
      <c r="BF79" s="310">
        <v>1.0920532397124798</v>
      </c>
      <c r="BG79" s="310">
        <v>1.7398508338902847</v>
      </c>
      <c r="BH79" s="310">
        <v>4.9994662202700821</v>
      </c>
      <c r="BI79" s="310">
        <v>31.740025073247541</v>
      </c>
      <c r="BJ79" s="305">
        <v>0.49250128564786766</v>
      </c>
      <c r="BK79" s="48">
        <v>8.6309700000000003E-2</v>
      </c>
      <c r="BL79" s="48">
        <v>2248</v>
      </c>
      <c r="BM79" s="48">
        <v>1</v>
      </c>
      <c r="BN79" s="48">
        <v>0</v>
      </c>
      <c r="BO79" s="48">
        <v>0</v>
      </c>
      <c r="BP79" s="314">
        <v>44.982744432531518</v>
      </c>
      <c r="BQ79" s="314">
        <v>58.411497396872107</v>
      </c>
      <c r="BR79" s="316">
        <v>389.00985994396541</v>
      </c>
      <c r="BS79" s="318">
        <v>2119.0726935786188</v>
      </c>
      <c r="BT79" s="188">
        <v>1770.7526935786188</v>
      </c>
      <c r="BU79" s="188">
        <v>1770.7526935786188</v>
      </c>
      <c r="BV79" s="48">
        <v>348.32</v>
      </c>
      <c r="BW79" s="48">
        <v>50</v>
      </c>
      <c r="BX79" s="48">
        <v>48</v>
      </c>
      <c r="BY79" s="48">
        <v>43</v>
      </c>
      <c r="BZ79" s="48">
        <v>0</v>
      </c>
      <c r="CA79" s="71">
        <v>0</v>
      </c>
      <c r="CB79" s="291">
        <v>0</v>
      </c>
      <c r="CC79" s="291">
        <v>0</v>
      </c>
      <c r="CD79" s="291">
        <v>0</v>
      </c>
      <c r="CE79" s="291">
        <v>0</v>
      </c>
      <c r="CF79" s="291">
        <v>0</v>
      </c>
      <c r="CG79" s="42">
        <v>0</v>
      </c>
      <c r="CH79" s="42">
        <v>0</v>
      </c>
      <c r="CI79" s="42">
        <v>0</v>
      </c>
      <c r="CJ79" s="42">
        <v>0</v>
      </c>
      <c r="CK79" s="42">
        <v>0</v>
      </c>
      <c r="CL79" s="151" t="str">
        <f t="shared" si="11"/>
        <v>OK</v>
      </c>
      <c r="CM79" s="152" t="str">
        <f t="shared" si="12"/>
        <v>OK</v>
      </c>
      <c r="CN79" s="153" t="str">
        <f t="shared" si="13"/>
        <v>OK</v>
      </c>
      <c r="CO79" s="327">
        <f t="shared" si="14"/>
        <v>232.21333333333328</v>
      </c>
      <c r="CP79" s="328"/>
      <c r="CQ79" s="326"/>
      <c r="CR79" s="326" t="e">
        <v>#N/A</v>
      </c>
      <c r="CS79" s="328">
        <v>1500</v>
      </c>
      <c r="CT79" s="327">
        <v>0.85580645161290325</v>
      </c>
      <c r="CU79" s="327">
        <f>VLOOKUP(B79,Tabelle2!$AL$2:$AM$82,2,)</f>
        <v>0.85580645161290325</v>
      </c>
      <c r="CV79">
        <v>5.5</v>
      </c>
      <c r="CW79">
        <v>0.03</v>
      </c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N79" s="31"/>
      <c r="DO79" s="136" t="e">
        <v>#N/A</v>
      </c>
      <c r="DP79" s="136" t="e">
        <v>#N/A</v>
      </c>
      <c r="DQ79">
        <f t="shared" si="15"/>
        <v>1500</v>
      </c>
      <c r="DR79" s="147"/>
      <c r="DS79" s="147"/>
      <c r="DT79" s="147"/>
      <c r="DU79" s="147"/>
      <c r="DV79" s="147"/>
      <c r="DW79" s="147"/>
      <c r="DY79" s="48"/>
      <c r="DZ79" s="48"/>
      <c r="EA79" s="48"/>
      <c r="EC79" s="61">
        <v>423.7698035075926</v>
      </c>
      <c r="ED79" s="27">
        <v>411.29055362637621</v>
      </c>
      <c r="EE79" s="27">
        <v>3.1335026046311283</v>
      </c>
      <c r="EG79" s="244" t="s">
        <v>717</v>
      </c>
      <c r="EH79" s="63">
        <v>1500</v>
      </c>
      <c r="EI79" s="31">
        <v>2.9776315789473685E-3</v>
      </c>
      <c r="EJ79" s="31">
        <v>2.0605041372280974E-2</v>
      </c>
      <c r="EM79">
        <v>2</v>
      </c>
      <c r="EN79">
        <v>2</v>
      </c>
    </row>
    <row r="80" spans="1:144" ht="15">
      <c r="A80" s="244" t="s">
        <v>717</v>
      </c>
      <c r="B80" s="63">
        <v>1510</v>
      </c>
      <c r="C80" s="63">
        <v>4070</v>
      </c>
      <c r="D80" s="63" t="s">
        <v>435</v>
      </c>
      <c r="E80" s="94" t="s">
        <v>429</v>
      </c>
      <c r="F80" s="135" t="s">
        <v>427</v>
      </c>
      <c r="G80" s="61">
        <v>321.72712290599998</v>
      </c>
      <c r="H80" s="291">
        <v>0</v>
      </c>
      <c r="I80" s="291">
        <v>0</v>
      </c>
      <c r="J80" s="291">
        <v>0</v>
      </c>
      <c r="K80" s="291">
        <v>4.9006354878442012E-3</v>
      </c>
      <c r="L80" s="291">
        <v>3.6950264661729994E-2</v>
      </c>
      <c r="M80" s="291">
        <v>22.474643088882306</v>
      </c>
      <c r="N80" s="291">
        <v>3.3231950636463217</v>
      </c>
      <c r="O80" s="300">
        <v>0</v>
      </c>
      <c r="P80" s="292">
        <v>284.26527212875391</v>
      </c>
      <c r="Q80" s="291">
        <v>9.6182853356193103</v>
      </c>
      <c r="R80" s="291">
        <v>0</v>
      </c>
      <c r="S80" s="291">
        <v>8.7958813880774603E-2</v>
      </c>
      <c r="T80" s="291">
        <v>1.915917575067811</v>
      </c>
      <c r="U80" s="306">
        <v>887.08244102203628</v>
      </c>
      <c r="V80" s="136">
        <v>1.5416094767388853</v>
      </c>
      <c r="W80" s="306">
        <v>11.46687909616128</v>
      </c>
      <c r="X80" s="136">
        <v>20</v>
      </c>
      <c r="Y80" s="306">
        <v>0.31904529541635102</v>
      </c>
      <c r="Z80" s="306">
        <v>0</v>
      </c>
      <c r="AA80" s="306">
        <v>0</v>
      </c>
      <c r="AB80" s="312">
        <v>1.8551199384366208</v>
      </c>
      <c r="AC80" s="312">
        <v>11.448450034520945</v>
      </c>
      <c r="AD80" s="312">
        <v>3.9772688889100141</v>
      </c>
      <c r="AE80" s="312">
        <v>4.2199869398692025</v>
      </c>
      <c r="AF80" s="312">
        <v>1.015668187295099</v>
      </c>
      <c r="AG80" s="312">
        <v>0</v>
      </c>
      <c r="AH80" s="19">
        <v>0</v>
      </c>
      <c r="AI80" s="19">
        <v>0</v>
      </c>
      <c r="AJ80" s="19">
        <v>321.72712290599998</v>
      </c>
      <c r="AK80" s="19">
        <v>0</v>
      </c>
      <c r="AL80" s="19">
        <v>1107.9725000000001</v>
      </c>
      <c r="AM80" s="19">
        <v>12.674899999999999</v>
      </c>
      <c r="AN80" s="19" t="s">
        <v>14</v>
      </c>
      <c r="AO80" s="19" t="s">
        <v>12</v>
      </c>
      <c r="AP80" s="305">
        <v>9.0472016785220593</v>
      </c>
      <c r="AQ80" s="341">
        <v>8.2090824999999992</v>
      </c>
      <c r="AR80" s="351"/>
      <c r="AS80" s="346"/>
      <c r="AT80" s="249"/>
      <c r="AU80" s="312">
        <v>1696.8090716548572</v>
      </c>
      <c r="AV80" s="312">
        <v>1555.2003359551325</v>
      </c>
      <c r="AW80" s="312">
        <v>1037.4407048284288</v>
      </c>
      <c r="AX80" s="312">
        <v>866.26435545588151</v>
      </c>
      <c r="AY80" s="333">
        <v>619.9564299417143</v>
      </c>
      <c r="AZ80">
        <v>760.34179247778388</v>
      </c>
      <c r="BA80">
        <v>705.37227449359239</v>
      </c>
      <c r="BB80" s="48">
        <v>1056.023066820816</v>
      </c>
      <c r="BC80" s="48">
        <v>925.43603913357776</v>
      </c>
      <c r="BD80" s="48">
        <v>34.545282224094372</v>
      </c>
      <c r="BE80" s="310">
        <v>0</v>
      </c>
      <c r="BF80" s="310">
        <v>0</v>
      </c>
      <c r="BG80" s="310">
        <v>0</v>
      </c>
      <c r="BH80" s="310">
        <v>2.8556018034873443</v>
      </c>
      <c r="BI80" s="310">
        <v>17.718131201615734</v>
      </c>
      <c r="BJ80" s="305">
        <v>0.25540511750551875</v>
      </c>
      <c r="BK80" s="48">
        <v>9.5533000000000007E-2</v>
      </c>
      <c r="BL80" s="48">
        <v>2248</v>
      </c>
      <c r="BM80" s="48">
        <v>1</v>
      </c>
      <c r="BN80" s="48">
        <v>0</v>
      </c>
      <c r="BO80" s="48">
        <v>0</v>
      </c>
      <c r="BP80" s="314">
        <v>26.96612468772074</v>
      </c>
      <c r="BQ80" s="314">
        <v>63.821358238936511</v>
      </c>
      <c r="BR80" s="316">
        <v>751.01545888830776</v>
      </c>
      <c r="BS80" s="318">
        <v>3940.7260890254529</v>
      </c>
      <c r="BT80" s="188">
        <v>3283.606089025453</v>
      </c>
      <c r="BU80" s="188">
        <v>3283.606089025453</v>
      </c>
      <c r="BV80" s="48">
        <v>657.11999999999989</v>
      </c>
      <c r="BW80" s="48">
        <v>50</v>
      </c>
      <c r="BX80" s="48">
        <v>48</v>
      </c>
      <c r="BY80" s="48">
        <v>43</v>
      </c>
      <c r="BZ80" s="48">
        <v>0</v>
      </c>
      <c r="CA80" s="71">
        <v>0</v>
      </c>
      <c r="CB80" s="291">
        <v>1.0136774902756638E-2</v>
      </c>
      <c r="CC80" s="291">
        <v>0</v>
      </c>
      <c r="CD80" s="291">
        <v>0</v>
      </c>
      <c r="CE80" s="291">
        <v>5.2816266666666669</v>
      </c>
      <c r="CF80" s="291">
        <v>0.9754666666666667</v>
      </c>
      <c r="CG80" s="42">
        <v>0</v>
      </c>
      <c r="CH80" s="42">
        <v>0</v>
      </c>
      <c r="CI80" s="42">
        <v>0</v>
      </c>
      <c r="CJ80" s="42">
        <v>0</v>
      </c>
      <c r="CK80" s="42">
        <v>0</v>
      </c>
      <c r="CL80" s="151" t="str">
        <f t="shared" si="11"/>
        <v>OK</v>
      </c>
      <c r="CM80" s="152" t="str">
        <f t="shared" si="12"/>
        <v>OK</v>
      </c>
      <c r="CN80" s="153" t="str">
        <f t="shared" si="13"/>
        <v>OK</v>
      </c>
      <c r="CO80" s="327">
        <f t="shared" si="14"/>
        <v>438.07999999999993</v>
      </c>
      <c r="CP80" s="328"/>
      <c r="CQ80" s="326"/>
      <c r="CR80" s="326" t="e">
        <v>#N/A</v>
      </c>
      <c r="CS80" s="328">
        <v>1510</v>
      </c>
      <c r="CT80" s="327">
        <v>1.2170967741935483</v>
      </c>
      <c r="CU80" s="327">
        <f>VLOOKUP(B80,Tabelle2!$AL$2:$AM$82,2,)</f>
        <v>1.2170967741935483</v>
      </c>
      <c r="CV80">
        <v>5.5</v>
      </c>
      <c r="CW80">
        <v>0.03</v>
      </c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N80" s="31"/>
      <c r="DO80" s="136" t="e">
        <v>#N/A</v>
      </c>
      <c r="DP80" s="136" t="e">
        <v>#N/A</v>
      </c>
      <c r="DQ80">
        <f t="shared" si="15"/>
        <v>1510</v>
      </c>
      <c r="DR80" s="147"/>
      <c r="DS80" s="147"/>
      <c r="DT80" s="147"/>
      <c r="DU80" s="147"/>
      <c r="DV80" s="147"/>
      <c r="DW80" s="147"/>
      <c r="DY80" s="48"/>
      <c r="DZ80" s="48"/>
      <c r="EA80" s="48"/>
      <c r="EC80" s="61">
        <v>882.60951627895383</v>
      </c>
      <c r="ED80" s="27">
        <v>860.42231943378192</v>
      </c>
      <c r="EE80" s="27">
        <v>7.5006550256755116</v>
      </c>
      <c r="EG80" s="244" t="s">
        <v>717</v>
      </c>
      <c r="EH80" s="63">
        <v>1510</v>
      </c>
      <c r="EI80" s="31">
        <v>4.111578947368421E-3</v>
      </c>
      <c r="EJ80" s="31">
        <v>2.0775772589078968E-2</v>
      </c>
      <c r="EM80">
        <v>2</v>
      </c>
      <c r="EN80">
        <v>2</v>
      </c>
    </row>
    <row r="81" spans="1:144" ht="15">
      <c r="A81" s="244" t="s">
        <v>736</v>
      </c>
      <c r="B81" s="63">
        <v>4000</v>
      </c>
      <c r="C81" s="63">
        <v>4010</v>
      </c>
      <c r="D81" s="63" t="s">
        <v>435</v>
      </c>
      <c r="E81" s="94" t="s">
        <v>429</v>
      </c>
      <c r="F81" s="135" t="s">
        <v>427</v>
      </c>
      <c r="G81" s="61">
        <v>317.43871244799999</v>
      </c>
      <c r="H81" s="291">
        <v>0</v>
      </c>
      <c r="I81" s="291">
        <v>1.0953803148200686E-3</v>
      </c>
      <c r="J81" s="291">
        <v>1.71957473742393E-2</v>
      </c>
      <c r="K81" s="291">
        <v>1.3831748417763792E-2</v>
      </c>
      <c r="L81" s="291">
        <v>5.2616872542633614E-3</v>
      </c>
      <c r="M81" s="291">
        <v>37.626591760404985</v>
      </c>
      <c r="N81" s="291">
        <v>4.1808001833732922</v>
      </c>
      <c r="O81" s="300">
        <v>0</v>
      </c>
      <c r="P81" s="292">
        <v>206.86971491732263</v>
      </c>
      <c r="Q81" s="291">
        <v>60.210776166321097</v>
      </c>
      <c r="R81" s="291">
        <v>0</v>
      </c>
      <c r="S81" s="291">
        <v>3.3199262529991995E-2</v>
      </c>
      <c r="T81" s="291">
        <v>8.480245594686961</v>
      </c>
      <c r="U81" s="306">
        <v>187.79380700004654</v>
      </c>
      <c r="V81" s="136">
        <v>5.5935833333838829</v>
      </c>
      <c r="W81" s="306">
        <v>0</v>
      </c>
      <c r="X81" s="136">
        <v>0</v>
      </c>
      <c r="Y81" s="306">
        <v>7.4298052857387908</v>
      </c>
      <c r="Z81" s="306">
        <v>0</v>
      </c>
      <c r="AA81" s="306">
        <v>0</v>
      </c>
      <c r="AB81" s="312">
        <v>3.4724473749058533</v>
      </c>
      <c r="AC81" s="312">
        <v>20.438062472789852</v>
      </c>
      <c r="AD81" s="312">
        <v>2.7654659152093073</v>
      </c>
      <c r="AE81" s="312">
        <v>6.5499757439887931</v>
      </c>
      <c r="AF81" s="312">
        <v>2.2312279854574015</v>
      </c>
      <c r="AG81" s="312">
        <v>2.2067968314148625</v>
      </c>
      <c r="AH81" s="19">
        <v>72.187042076089199</v>
      </c>
      <c r="AI81" s="19">
        <v>0</v>
      </c>
      <c r="AJ81" s="19">
        <v>227.23691644280319</v>
      </c>
      <c r="AK81" s="19">
        <v>18.014753929107592</v>
      </c>
      <c r="AL81" s="19">
        <v>1356.9282051299999</v>
      </c>
      <c r="AM81" s="19">
        <v>17.267399999999999</v>
      </c>
      <c r="AN81" s="19" t="s">
        <v>14</v>
      </c>
      <c r="AO81" s="19" t="s">
        <v>12</v>
      </c>
      <c r="AP81" s="305">
        <v>19.924093844269802</v>
      </c>
      <c r="AQ81">
        <v>8.3737860000000008</v>
      </c>
      <c r="AR81" s="351">
        <v>343.66703699150901</v>
      </c>
      <c r="AS81" s="346">
        <v>312.42457908319</v>
      </c>
      <c r="AT81" s="249">
        <v>8.4954436715171706</v>
      </c>
      <c r="AU81" s="312">
        <v>1766.301406799143</v>
      </c>
      <c r="AV81" s="312">
        <v>1871.3286090445886</v>
      </c>
      <c r="AW81" s="312">
        <v>1073.9170161729999</v>
      </c>
      <c r="AX81" s="312">
        <v>1004.782716617156</v>
      </c>
      <c r="AY81" s="333">
        <v>584.32034482271433</v>
      </c>
      <c r="AZ81">
        <v>741.92529857862451</v>
      </c>
      <c r="BA81">
        <v>657.89606300423065</v>
      </c>
      <c r="BB81" s="48">
        <v>960.22467469832839</v>
      </c>
      <c r="BC81" s="48">
        <v>780.86742774496997</v>
      </c>
      <c r="BD81" s="48">
        <v>34.396044158233671</v>
      </c>
      <c r="BE81" s="310">
        <v>0</v>
      </c>
      <c r="BF81" s="310">
        <v>2.4217711609997026</v>
      </c>
      <c r="BG81" s="310">
        <v>2.516301710680906</v>
      </c>
      <c r="BH81" s="310">
        <v>4.0502268595078634</v>
      </c>
      <c r="BI81" s="310">
        <v>13.210939921830358</v>
      </c>
      <c r="BJ81" s="305">
        <v>0.26500385641808605</v>
      </c>
      <c r="BK81" s="48">
        <v>6.06487E-2</v>
      </c>
      <c r="BL81" s="48">
        <v>2167</v>
      </c>
      <c r="BM81" s="48">
        <v>1</v>
      </c>
      <c r="BN81" s="48">
        <v>0</v>
      </c>
      <c r="BO81" s="48">
        <v>0.54653799611606579</v>
      </c>
      <c r="BP81" s="314">
        <v>43.806067670078853</v>
      </c>
      <c r="BQ81" s="314">
        <v>57.494298725241919</v>
      </c>
      <c r="BR81" s="316">
        <v>357.08929262953251</v>
      </c>
      <c r="BS81" s="318">
        <v>8141.7341953336236</v>
      </c>
      <c r="BT81" s="188">
        <v>7490.214195333624</v>
      </c>
      <c r="BU81" s="188">
        <v>7490.214195333624</v>
      </c>
      <c r="BV81" s="48">
        <v>651.51999999999975</v>
      </c>
      <c r="BW81" s="48">
        <v>50</v>
      </c>
      <c r="BX81" s="48">
        <v>50</v>
      </c>
      <c r="BY81" s="48">
        <v>43</v>
      </c>
      <c r="BZ81" s="48">
        <v>0</v>
      </c>
      <c r="CA81" s="71">
        <v>0</v>
      </c>
      <c r="CB81" s="291">
        <v>3.8480466768138002E-2</v>
      </c>
      <c r="CC81" s="291">
        <v>12.402042666666667</v>
      </c>
      <c r="CD81" s="291">
        <v>1.0529599999999999</v>
      </c>
      <c r="CE81" s="291">
        <v>0</v>
      </c>
      <c r="CF81" s="291">
        <v>0</v>
      </c>
      <c r="CG81" s="42">
        <v>0</v>
      </c>
      <c r="CH81" s="42">
        <v>0</v>
      </c>
      <c r="CI81" s="42">
        <v>0</v>
      </c>
      <c r="CJ81" s="42">
        <v>0</v>
      </c>
      <c r="CK81" s="42">
        <v>0</v>
      </c>
      <c r="CL81" s="151" t="str">
        <f t="shared" si="11"/>
        <v>OK</v>
      </c>
      <c r="CM81" s="152" t="str">
        <f t="shared" si="12"/>
        <v>OK</v>
      </c>
      <c r="CN81" s="153" t="str">
        <f t="shared" si="13"/>
        <v>OK</v>
      </c>
      <c r="CO81" s="327">
        <f t="shared" si="14"/>
        <v>434.34666666666635</v>
      </c>
      <c r="CP81" s="328"/>
      <c r="CQ81" s="326"/>
      <c r="CR81" s="326">
        <v>2678.4472099282762</v>
      </c>
      <c r="CS81" s="328">
        <v>4000</v>
      </c>
      <c r="CT81" s="327">
        <v>0.58483870967741935</v>
      </c>
      <c r="CU81" s="327">
        <f>VLOOKUP(B81,Tabelle2!$AL$2:$AM$82,2,)</f>
        <v>0.58483870967741935</v>
      </c>
      <c r="CV81">
        <v>4</v>
      </c>
      <c r="CW81">
        <v>1.4999999999999999E-2</v>
      </c>
      <c r="CY81" s="147">
        <f>VLOOKUP($B81,Tabelle2!$J$3:$W$38,3,)</f>
        <v>4.2272727272727275</v>
      </c>
      <c r="CZ81" s="147">
        <f>VLOOKUP($B81,Tabelle2!$J$3:$W$38,4,)</f>
        <v>5</v>
      </c>
      <c r="DA81" s="147">
        <f>VLOOKUP($B81,Tabelle2!$J$3:$W$38,5,)</f>
        <v>1.4673684210526301E-2</v>
      </c>
      <c r="DB81" s="147">
        <f>VLOOKUP($B81,Tabelle2!$J$3:$W$38,6,)</f>
        <v>2.5200000000000018E-2</v>
      </c>
      <c r="DC81" s="147">
        <f>VLOOKUP($B81,Tabelle2!$J$3:$W$38,7,)</f>
        <v>3.9368421052631605E-3</v>
      </c>
      <c r="DD81" s="147">
        <f>VLOOKUP($B81,Tabelle2!$J$3:$W$38,8,)</f>
        <v>8.0000000000000002E-3</v>
      </c>
      <c r="DE81" s="147">
        <f>VLOOKUP($B81,Tabelle2!$J$3:$W$38,9,)</f>
        <v>2.1736842105263172E-3</v>
      </c>
      <c r="DF81" s="147">
        <f>VLOOKUP($B81,Tabelle2!$J$3:$W$38,10,)</f>
        <v>4.0000000000000001E-3</v>
      </c>
      <c r="DG81" s="147">
        <f>VLOOKUP($B81,Tabelle2!$J$3:$W$38,11,)</f>
        <v>0.49157894736842095</v>
      </c>
      <c r="DH81" s="147">
        <f>VLOOKUP($B81,Tabelle2!$J$3:$W$38,12,)</f>
        <v>0.6</v>
      </c>
      <c r="DI81" s="147">
        <f>VLOOKUP($B81,Tabelle2!$J$3:$W$38,13,)</f>
        <v>1.2578947368421051E-2</v>
      </c>
      <c r="DJ81" s="147">
        <f>VLOOKUP($B81,Tabelle2!$J$3:$W$38,14,)</f>
        <v>0.02</v>
      </c>
      <c r="DK81" s="147">
        <f>DI81+DG81+DE81</f>
        <v>0.50633157894736835</v>
      </c>
      <c r="DL81" s="147">
        <f>DJ81+DH81+DF81</f>
        <v>0.624</v>
      </c>
      <c r="DN81" s="31"/>
      <c r="DO81" s="146" t="e">
        <f>DS81</f>
        <v>#N/A</v>
      </c>
      <c r="DP81" s="136">
        <v>2678.4472099282762</v>
      </c>
      <c r="DQ81">
        <f t="shared" si="15"/>
        <v>4000</v>
      </c>
      <c r="DR81" s="147" t="e">
        <f>VLOOKUP(B81,Tabelle2!AC$2:AJ$73,3,)</f>
        <v>#N/A</v>
      </c>
      <c r="DS81" s="147" t="e">
        <f>VLOOKUP($B81,Tabelle2!$AC$2:$AJ$73,4,)</f>
        <v>#N/A</v>
      </c>
      <c r="DT81" s="147" t="e">
        <f>VLOOKUP($B81,Tabelle2!$AC$2:$AJ$73,5,)</f>
        <v>#N/A</v>
      </c>
      <c r="DU81" s="147" t="e">
        <f>VLOOKUP($B81,Tabelle2!$AC$2:$AJ$73,6,)</f>
        <v>#N/A</v>
      </c>
      <c r="DV81" s="147" t="e">
        <f>VLOOKUP($B81,Tabelle2!$AC$2:$AJ$73,7,)</f>
        <v>#N/A</v>
      </c>
      <c r="DW81" s="147" t="e">
        <f>VLOOKUP($B81,Tabelle2!$AC$2:$AJ$73,8,)</f>
        <v>#N/A</v>
      </c>
      <c r="DY81" s="48"/>
      <c r="DZ81" s="48" t="e">
        <f>DW81</f>
        <v>#N/A</v>
      </c>
      <c r="EA81" s="48" t="e">
        <f>DR81</f>
        <v>#N/A</v>
      </c>
      <c r="EC81" s="61">
        <v>371.05359408541705</v>
      </c>
      <c r="ED81" s="27">
        <v>343.58918951240793</v>
      </c>
      <c r="EE81" s="27">
        <v>9.1414111905999036</v>
      </c>
      <c r="EG81" s="244" t="s">
        <v>736</v>
      </c>
      <c r="EH81" s="63">
        <v>4000</v>
      </c>
      <c r="EI81" s="31">
        <v>6.0407578947368427E-3</v>
      </c>
      <c r="EJ81" s="31">
        <v>3.0779934622814285E-2</v>
      </c>
      <c r="EM81">
        <v>2</v>
      </c>
      <c r="EN81">
        <v>2</v>
      </c>
    </row>
    <row r="82" spans="1:144" ht="15">
      <c r="A82" s="244" t="s">
        <v>737</v>
      </c>
      <c r="B82" s="63">
        <v>4050</v>
      </c>
      <c r="C82" s="63">
        <v>4060</v>
      </c>
      <c r="D82" s="63" t="s">
        <v>435</v>
      </c>
      <c r="E82" s="94" t="s">
        <v>429</v>
      </c>
      <c r="F82" s="135" t="s">
        <v>427</v>
      </c>
      <c r="G82" s="61">
        <v>527.62716845499995</v>
      </c>
      <c r="H82" s="291">
        <v>2.2888949742072594E-4</v>
      </c>
      <c r="I82" s="291">
        <v>1.7200486702534483E-3</v>
      </c>
      <c r="J82" s="291">
        <v>5.4615726817113588E-3</v>
      </c>
      <c r="K82" s="291">
        <v>7.0599240678688065E-3</v>
      </c>
      <c r="L82" s="291">
        <v>8.6965313188035187E-3</v>
      </c>
      <c r="M82" s="291">
        <v>133.93194190023962</v>
      </c>
      <c r="N82" s="291">
        <v>12.276818806545959</v>
      </c>
      <c r="O82" s="300">
        <v>0.3462870122827662</v>
      </c>
      <c r="P82" s="292">
        <v>350.52170144213767</v>
      </c>
      <c r="Q82" s="291">
        <v>27.307918115395101</v>
      </c>
      <c r="R82" s="291">
        <v>0.31341313147642103</v>
      </c>
      <c r="S82" s="291">
        <v>8.5692653639219008E-3</v>
      </c>
      <c r="T82" s="291">
        <v>2.897351815322458</v>
      </c>
      <c r="U82" s="306">
        <v>580.98151337483773</v>
      </c>
      <c r="V82" s="136">
        <v>4.0237246976750987</v>
      </c>
      <c r="W82" s="306">
        <v>0</v>
      </c>
      <c r="X82" s="136">
        <v>0</v>
      </c>
      <c r="Y82" s="306">
        <v>0.55964215106346793</v>
      </c>
      <c r="Z82" s="306">
        <v>0</v>
      </c>
      <c r="AA82" s="306">
        <v>0</v>
      </c>
      <c r="AB82" s="312">
        <v>86.950504818454533</v>
      </c>
      <c r="AC82" s="312">
        <v>1.9493155720853039</v>
      </c>
      <c r="AD82" s="312">
        <v>35.082245952922285</v>
      </c>
      <c r="AE82" s="312">
        <v>0</v>
      </c>
      <c r="AF82" s="312">
        <v>7.2870292008094353</v>
      </c>
      <c r="AG82" s="312">
        <v>2.6860133222041198</v>
      </c>
      <c r="AH82" s="19">
        <v>5.7894786492489771</v>
      </c>
      <c r="AI82" s="19">
        <v>0</v>
      </c>
      <c r="AJ82" s="19">
        <v>467.55611010709526</v>
      </c>
      <c r="AK82" s="19">
        <v>54.281579698655726</v>
      </c>
      <c r="AL82" s="19">
        <v>1470.8381113</v>
      </c>
      <c r="AM82" s="19">
        <v>18.7941</v>
      </c>
      <c r="AN82" s="19"/>
      <c r="AO82" s="19"/>
      <c r="AP82" s="305">
        <v>18.711668016538901</v>
      </c>
      <c r="AQ82" s="341">
        <v>6.4065476190476192</v>
      </c>
      <c r="AR82" s="351"/>
      <c r="AS82" s="347"/>
      <c r="AT82" s="349"/>
      <c r="AU82" s="312">
        <v>1442.6020772751428</v>
      </c>
      <c r="AV82" s="312">
        <v>1398.0996940157702</v>
      </c>
      <c r="AW82" s="312">
        <v>918.62496069714291</v>
      </c>
      <c r="AX82" s="312">
        <v>840.30560876697416</v>
      </c>
      <c r="AY82" s="333">
        <v>559.57304295057145</v>
      </c>
      <c r="AZ82">
        <v>675.69007770640997</v>
      </c>
      <c r="BA82">
        <v>586.23780194341839</v>
      </c>
      <c r="BB82" s="48">
        <v>1004.3451038781512</v>
      </c>
      <c r="BC82" s="48">
        <v>803.23460625834014</v>
      </c>
      <c r="BD82" s="48">
        <v>34.541050710467999</v>
      </c>
      <c r="BE82" s="310">
        <v>1.3029570140260487</v>
      </c>
      <c r="BF82" s="310">
        <v>1.2929850774799918</v>
      </c>
      <c r="BG82" s="310">
        <v>2.5089521891376467</v>
      </c>
      <c r="BH82" s="310">
        <v>3.8166543583329848</v>
      </c>
      <c r="BI82" s="310">
        <v>4.2888204055336479</v>
      </c>
      <c r="BJ82" s="305">
        <v>0.11412458928432517</v>
      </c>
      <c r="BK82" s="48">
        <v>7.0068099999999994E-2</v>
      </c>
      <c r="BL82" s="48">
        <v>1965</v>
      </c>
      <c r="BM82" s="48">
        <v>1</v>
      </c>
      <c r="BN82" s="48">
        <v>0</v>
      </c>
      <c r="BO82" s="48">
        <v>0.67095188151022989</v>
      </c>
      <c r="BP82" s="314">
        <v>33.800343534432045</v>
      </c>
      <c r="BQ82" s="314">
        <v>52.048839036865523</v>
      </c>
      <c r="BR82" s="316">
        <v>393.41375355652895</v>
      </c>
      <c r="BS82" s="318">
        <v>20538.633864784817</v>
      </c>
      <c r="BT82" s="188">
        <v>17146.300531451485</v>
      </c>
      <c r="BU82" s="188">
        <v>17146.300531451485</v>
      </c>
      <c r="BV82" s="48">
        <v>3392.333333333333</v>
      </c>
      <c r="BW82" s="48">
        <v>50</v>
      </c>
      <c r="BX82" s="48">
        <v>48</v>
      </c>
      <c r="BY82" s="48">
        <v>43</v>
      </c>
      <c r="BZ82" s="48">
        <v>0</v>
      </c>
      <c r="CA82" s="71">
        <v>0</v>
      </c>
      <c r="CB82" s="291">
        <v>0.11023380686622695</v>
      </c>
      <c r="CC82" s="291">
        <v>0</v>
      </c>
      <c r="CD82" s="291">
        <v>0</v>
      </c>
      <c r="CE82" s="291">
        <v>41.538333333333341</v>
      </c>
      <c r="CF82" s="291">
        <v>3.3533333333333335</v>
      </c>
      <c r="CG82" s="42">
        <v>0</v>
      </c>
      <c r="CH82" s="42">
        <v>0</v>
      </c>
      <c r="CI82" s="42">
        <v>0</v>
      </c>
      <c r="CJ82" s="42">
        <v>0</v>
      </c>
      <c r="CK82" s="42">
        <v>0</v>
      </c>
      <c r="CL82" s="151" t="str">
        <f t="shared" si="11"/>
        <v>OK</v>
      </c>
      <c r="CM82" s="152" t="str">
        <f t="shared" si="12"/>
        <v>OK</v>
      </c>
      <c r="CN82" s="153" t="str">
        <f t="shared" si="13"/>
        <v>OK</v>
      </c>
      <c r="CO82" s="327">
        <f t="shared" si="14"/>
        <v>2261.5555555555547</v>
      </c>
      <c r="CP82" s="328"/>
      <c r="CQ82" s="326"/>
      <c r="CR82" s="326">
        <v>20319.553946709748</v>
      </c>
      <c r="CS82" s="328">
        <v>4050</v>
      </c>
      <c r="CT82" s="327">
        <v>0.8030806451612903</v>
      </c>
      <c r="CU82" s="327">
        <f>VLOOKUP(B82,Tabelle2!$AL$2:$AM$82,2,)</f>
        <v>0.8030806451612903</v>
      </c>
      <c r="CV82">
        <v>4</v>
      </c>
      <c r="CW82">
        <v>0.03</v>
      </c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N82" s="31"/>
      <c r="DO82" s="136">
        <v>3.6463506698695562</v>
      </c>
      <c r="DP82" s="136">
        <v>20319.553946709748</v>
      </c>
      <c r="DQ82">
        <f t="shared" si="15"/>
        <v>4050</v>
      </c>
      <c r="DR82" s="147"/>
      <c r="DS82" s="147"/>
      <c r="DT82" s="147"/>
      <c r="DU82" s="147"/>
      <c r="DV82" s="147"/>
      <c r="DW82" s="147"/>
      <c r="DY82" s="48"/>
      <c r="DZ82" s="48">
        <v>316.31468335049965</v>
      </c>
      <c r="EA82" s="48">
        <v>11.926541746924139</v>
      </c>
      <c r="EC82" s="61">
        <v>721.05255388440855</v>
      </c>
      <c r="ED82" s="27">
        <v>696.74605832711495</v>
      </c>
      <c r="EE82" s="27">
        <v>14.646864184107157</v>
      </c>
      <c r="EG82" s="244" t="s">
        <v>737</v>
      </c>
      <c r="EH82" s="63">
        <v>4050</v>
      </c>
      <c r="EI82" s="31">
        <v>9.1800300000000022E-3</v>
      </c>
      <c r="EJ82" s="31">
        <v>3.3365385192856811E-2</v>
      </c>
      <c r="EM82">
        <v>2</v>
      </c>
      <c r="EN82">
        <v>2</v>
      </c>
    </row>
    <row r="83" spans="1:144" ht="15">
      <c r="A83" s="244" t="s">
        <v>737</v>
      </c>
      <c r="B83" s="63">
        <v>4060</v>
      </c>
      <c r="C83" s="63">
        <v>4070</v>
      </c>
      <c r="D83" s="63" t="s">
        <v>435</v>
      </c>
      <c r="E83" s="94" t="s">
        <v>429</v>
      </c>
      <c r="F83" s="135" t="s">
        <v>427</v>
      </c>
      <c r="G83" s="61">
        <v>608.94817049599999</v>
      </c>
      <c r="H83" s="291">
        <v>0.93526946429254221</v>
      </c>
      <c r="I83" s="291">
        <v>1.4408177892397014</v>
      </c>
      <c r="J83" s="291">
        <v>1.0787030674575184</v>
      </c>
      <c r="K83" s="291">
        <v>0.3816056380882058</v>
      </c>
      <c r="L83" s="291">
        <v>0.51469404533337737</v>
      </c>
      <c r="M83" s="291">
        <v>129.23835307146317</v>
      </c>
      <c r="N83" s="291">
        <v>14.658965250583069</v>
      </c>
      <c r="O83" s="300">
        <v>0.46294560604586887</v>
      </c>
      <c r="P83" s="292">
        <v>433.66902824746774</v>
      </c>
      <c r="Q83" s="291">
        <v>18.822330432952</v>
      </c>
      <c r="R83" s="291">
        <v>0</v>
      </c>
      <c r="S83" s="291">
        <v>2.2738037050557098</v>
      </c>
      <c r="T83" s="291">
        <v>5.47165417802118</v>
      </c>
      <c r="U83" s="306">
        <v>1705.5596058010178</v>
      </c>
      <c r="V83" s="136">
        <v>2.2036102241614097</v>
      </c>
      <c r="W83" s="306">
        <v>11.488311626852148</v>
      </c>
      <c r="X83" s="136">
        <v>39</v>
      </c>
      <c r="Y83" s="306">
        <v>1.2652214393141199</v>
      </c>
      <c r="Z83" s="306">
        <v>0</v>
      </c>
      <c r="AA83" s="306">
        <v>0</v>
      </c>
      <c r="AB83" s="312">
        <v>47.386700442260576</v>
      </c>
      <c r="AC83" s="312">
        <v>15.894315578869467</v>
      </c>
      <c r="AD83" s="312">
        <v>53.176420626538665</v>
      </c>
      <c r="AE83" s="312">
        <v>5.1382447070134027</v>
      </c>
      <c r="AF83" s="312">
        <v>7.1361394371692208</v>
      </c>
      <c r="AG83" s="312">
        <v>4.8576222840231722</v>
      </c>
      <c r="AH83" s="19">
        <v>75.831161298155834</v>
      </c>
      <c r="AI83" s="19">
        <v>0</v>
      </c>
      <c r="AJ83" s="19">
        <v>320.44442604332141</v>
      </c>
      <c r="AK83" s="19">
        <v>212.6725831545227</v>
      </c>
      <c r="AL83" s="19">
        <v>1302.39071038</v>
      </c>
      <c r="AM83" s="19">
        <v>18.2074</v>
      </c>
      <c r="AN83" s="19" t="s">
        <v>13</v>
      </c>
      <c r="AO83" s="19" t="s">
        <v>15</v>
      </c>
      <c r="AP83" s="305">
        <v>20.104414834707299</v>
      </c>
      <c r="AQ83" s="341">
        <v>7.6258278688600001</v>
      </c>
      <c r="AR83" s="351"/>
      <c r="AS83" s="346"/>
      <c r="AT83" s="249"/>
      <c r="AU83" s="312">
        <v>1321.7161099594286</v>
      </c>
      <c r="AV83" s="312">
        <v>1267.5487555864729</v>
      </c>
      <c r="AW83" s="312">
        <v>845.11558340671422</v>
      </c>
      <c r="AX83" s="312">
        <v>761.88829553963035</v>
      </c>
      <c r="AY83" s="333">
        <v>593.47690073642855</v>
      </c>
      <c r="AZ83">
        <v>614.80908488409523</v>
      </c>
      <c r="BA83">
        <v>553.44098313895438</v>
      </c>
      <c r="BB83" s="48">
        <v>890.23049790252469</v>
      </c>
      <c r="BC83" s="48">
        <v>750.01452234260364</v>
      </c>
      <c r="BD83" s="48">
        <v>34.539802672661423</v>
      </c>
      <c r="BE83" s="310">
        <v>1.3910550849729642</v>
      </c>
      <c r="BF83" s="310">
        <v>2.3839427935133854</v>
      </c>
      <c r="BG83" s="310">
        <v>2.8224726914997618</v>
      </c>
      <c r="BH83" s="310">
        <v>2.9825794136661012</v>
      </c>
      <c r="BI83" s="310">
        <v>7.4817433059512721</v>
      </c>
      <c r="BJ83" s="305">
        <v>0.16887789819299867</v>
      </c>
      <c r="BK83" s="48">
        <v>6.9975300000000004E-2</v>
      </c>
      <c r="BL83" s="48">
        <v>1794</v>
      </c>
      <c r="BM83" s="48">
        <v>1</v>
      </c>
      <c r="BN83" s="48">
        <v>0</v>
      </c>
      <c r="BO83" s="48">
        <v>13.018437038046129</v>
      </c>
      <c r="BP83" s="314">
        <v>52.575659524939795</v>
      </c>
      <c r="BQ83" s="314">
        <v>47.877953167969281</v>
      </c>
      <c r="BR83" s="316">
        <v>376.01993773542728</v>
      </c>
      <c r="BS83" s="318">
        <v>23394.030628030076</v>
      </c>
      <c r="BT83" s="188">
        <v>20876.80396136341</v>
      </c>
      <c r="BU83" s="188">
        <v>20876.80396136341</v>
      </c>
      <c r="BV83" s="48">
        <v>2517.2266666666665</v>
      </c>
      <c r="BW83" s="48">
        <v>50</v>
      </c>
      <c r="BX83" s="48">
        <v>48</v>
      </c>
      <c r="BY83" s="48">
        <v>43</v>
      </c>
      <c r="BZ83" s="48">
        <v>0</v>
      </c>
      <c r="CA83" s="71">
        <v>0</v>
      </c>
      <c r="CB83" s="291">
        <v>0.10705575004227971</v>
      </c>
      <c r="CC83" s="291">
        <v>0</v>
      </c>
      <c r="CD83" s="291">
        <v>0</v>
      </c>
      <c r="CE83" s="291">
        <v>45.952582506666658</v>
      </c>
      <c r="CF83" s="291">
        <v>6.3315072333333333</v>
      </c>
      <c r="CG83" s="42">
        <v>0</v>
      </c>
      <c r="CH83" s="42">
        <v>0</v>
      </c>
      <c r="CI83" s="42">
        <v>0</v>
      </c>
      <c r="CJ83" s="42">
        <v>0</v>
      </c>
      <c r="CK83" s="42">
        <v>0</v>
      </c>
      <c r="CL83" s="151" t="str">
        <f t="shared" si="11"/>
        <v>OK</v>
      </c>
      <c r="CM83" s="152" t="str">
        <f t="shared" si="12"/>
        <v>OK</v>
      </c>
      <c r="CN83" s="153" t="str">
        <f t="shared" si="13"/>
        <v>OK</v>
      </c>
      <c r="CO83" s="327">
        <f t="shared" si="14"/>
        <v>1678.1511111111104</v>
      </c>
      <c r="CP83" s="328"/>
      <c r="CQ83" s="326"/>
      <c r="CR83" s="326" t="e">
        <v>#N/A</v>
      </c>
      <c r="CS83" s="328">
        <v>4060</v>
      </c>
      <c r="CT83" s="327">
        <v>0.81078629032258065</v>
      </c>
      <c r="CU83" s="327">
        <f>VLOOKUP(B83,Tabelle2!$AL$2:$AM$82,2,)</f>
        <v>0.81078629032258065</v>
      </c>
      <c r="CV83">
        <v>5.5</v>
      </c>
      <c r="CW83">
        <v>0.03</v>
      </c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N83" s="31"/>
      <c r="DO83" s="136" t="e">
        <v>#N/A</v>
      </c>
      <c r="DP83" s="136" t="e">
        <v>#N/A</v>
      </c>
      <c r="DQ83">
        <f t="shared" si="15"/>
        <v>4060</v>
      </c>
      <c r="DR83" s="147"/>
      <c r="DS83" s="147"/>
      <c r="DT83" s="147"/>
      <c r="DU83" s="147"/>
      <c r="DV83" s="147"/>
      <c r="DW83" s="147"/>
      <c r="DY83" s="48"/>
      <c r="DZ83" s="48"/>
      <c r="EA83" s="48"/>
      <c r="EC83" s="61">
        <v>1848.1967540944042</v>
      </c>
      <c r="ED83" s="27">
        <v>1762.0945812729465</v>
      </c>
      <c r="EE83" s="27">
        <v>49.745140826689088</v>
      </c>
      <c r="EG83" s="244" t="s">
        <v>737</v>
      </c>
      <c r="EH83" s="63">
        <v>4060</v>
      </c>
      <c r="EI83" s="31">
        <v>7.7451052631578952E-3</v>
      </c>
      <c r="EJ83" s="31">
        <v>3.9601410076386588E-2</v>
      </c>
      <c r="EM83">
        <v>2</v>
      </c>
      <c r="EN83">
        <v>2</v>
      </c>
    </row>
    <row r="84" spans="1:144" ht="15">
      <c r="A84" s="244" t="s">
        <v>737</v>
      </c>
      <c r="B84" s="63">
        <v>4070</v>
      </c>
      <c r="C84" s="63">
        <v>4080</v>
      </c>
      <c r="D84" s="63" t="s">
        <v>435</v>
      </c>
      <c r="E84" s="94" t="s">
        <v>429</v>
      </c>
      <c r="F84" s="135" t="s">
        <v>427</v>
      </c>
      <c r="G84" s="61">
        <v>710.80972870100004</v>
      </c>
      <c r="H84" s="291">
        <v>6.3412219146637888E-2</v>
      </c>
      <c r="I84" s="291">
        <v>0.36122236124949286</v>
      </c>
      <c r="J84" s="291">
        <v>0.59007748541488103</v>
      </c>
      <c r="K84" s="291">
        <v>0.18580962847721852</v>
      </c>
      <c r="L84" s="291">
        <v>9.0323763541813776E-2</v>
      </c>
      <c r="M84" s="291">
        <v>64.377951314704688</v>
      </c>
      <c r="N84" s="291">
        <v>8.50820829311753</v>
      </c>
      <c r="O84" s="300">
        <v>0</v>
      </c>
      <c r="P84" s="292">
        <v>595.85025906542467</v>
      </c>
      <c r="Q84" s="291">
        <v>32.999633398556398</v>
      </c>
      <c r="R84" s="291">
        <v>0</v>
      </c>
      <c r="S84" s="291">
        <v>1.0912465429829401</v>
      </c>
      <c r="T84" s="291">
        <v>6.6915846283837404</v>
      </c>
      <c r="U84" s="306">
        <v>2125.0790166267257</v>
      </c>
      <c r="V84" s="136">
        <v>2.425876588575842</v>
      </c>
      <c r="W84" s="306">
        <v>15.355762570492292</v>
      </c>
      <c r="X84" s="136">
        <v>41.857142857142854</v>
      </c>
      <c r="Y84" s="306">
        <v>0.89365684548173097</v>
      </c>
      <c r="Z84" s="306">
        <v>0</v>
      </c>
      <c r="AA84" s="306">
        <v>0</v>
      </c>
      <c r="AB84" s="312">
        <v>12.892186284739648</v>
      </c>
      <c r="AC84" s="312">
        <v>19.344476995928137</v>
      </c>
      <c r="AD84" s="312">
        <v>25.826054058495256</v>
      </c>
      <c r="AE84" s="312">
        <v>5.8568436979427592</v>
      </c>
      <c r="AF84" s="312">
        <v>0.85940307650870695</v>
      </c>
      <c r="AG84" s="312">
        <v>0.88983265892021646</v>
      </c>
      <c r="AH84" s="19">
        <v>208.06172470754558</v>
      </c>
      <c r="AI84" s="19">
        <v>0</v>
      </c>
      <c r="AJ84" s="19">
        <v>348.56589116397646</v>
      </c>
      <c r="AK84" s="19">
        <v>154.182112829478</v>
      </c>
      <c r="AL84" s="19">
        <v>1057.23803681</v>
      </c>
      <c r="AM84" s="19">
        <v>18.8993</v>
      </c>
      <c r="AN84" s="19" t="s">
        <v>11</v>
      </c>
      <c r="AO84" s="19" t="s">
        <v>15</v>
      </c>
      <c r="AP84" s="305">
        <v>14.1417914487664</v>
      </c>
      <c r="AQ84" s="341">
        <v>8.1553174603174607</v>
      </c>
      <c r="AR84" s="351"/>
      <c r="AS84" s="347"/>
      <c r="AT84" s="349"/>
      <c r="AU84" s="312">
        <v>1580.2636110480003</v>
      </c>
      <c r="AV84" s="312">
        <v>1456.3243246799257</v>
      </c>
      <c r="AW84" s="312">
        <v>1012.8162341817143</v>
      </c>
      <c r="AX84" s="312">
        <v>860.95458981175614</v>
      </c>
      <c r="AY84" s="333">
        <v>642.74392882657139</v>
      </c>
      <c r="AZ84">
        <v>708.81233856797178</v>
      </c>
      <c r="BA84">
        <v>684.80169095468545</v>
      </c>
      <c r="BB84" s="48">
        <v>988.68140235256249</v>
      </c>
      <c r="BC84" s="48">
        <v>897.03953735408061</v>
      </c>
      <c r="BD84" s="48">
        <v>34.545282224094372</v>
      </c>
      <c r="BE84" s="310">
        <v>1.3866217839067179</v>
      </c>
      <c r="BF84" s="310">
        <v>0.80987367885587647</v>
      </c>
      <c r="BG84" s="310">
        <v>2.0507330644392439</v>
      </c>
      <c r="BH84" s="310">
        <v>3.4599818056004743</v>
      </c>
      <c r="BI84" s="310">
        <v>6.4723564934865614</v>
      </c>
      <c r="BJ84" s="305">
        <v>0.31525439669588939</v>
      </c>
      <c r="BK84" s="48">
        <v>8.81942E-2</v>
      </c>
      <c r="BL84" s="48">
        <v>7507.5</v>
      </c>
      <c r="BM84" s="48">
        <v>1</v>
      </c>
      <c r="BN84" s="48">
        <v>0</v>
      </c>
      <c r="BO84" s="48">
        <v>1.9062997610709891</v>
      </c>
      <c r="BP84" s="314">
        <v>55.257418761077737</v>
      </c>
      <c r="BQ84" s="314">
        <v>75.393283344674643</v>
      </c>
      <c r="BR84" s="316">
        <v>374.41753006650782</v>
      </c>
      <c r="BS84" s="318">
        <v>13070.709732681962</v>
      </c>
      <c r="BT84" s="188">
        <v>11179.449732681962</v>
      </c>
      <c r="BU84" s="188">
        <v>11179.449732681962</v>
      </c>
      <c r="BV84" s="48">
        <v>1891.2599999999995</v>
      </c>
      <c r="BW84" s="48">
        <v>50</v>
      </c>
      <c r="BX84" s="48">
        <v>48</v>
      </c>
      <c r="BY84" s="48">
        <v>43</v>
      </c>
      <c r="BZ84" s="48">
        <v>0</v>
      </c>
      <c r="CA84" s="71">
        <v>0</v>
      </c>
      <c r="CB84" s="291">
        <v>2.0389396245560628E-2</v>
      </c>
      <c r="CC84" s="291">
        <v>0</v>
      </c>
      <c r="CD84" s="291">
        <v>0</v>
      </c>
      <c r="CE84" s="291">
        <v>6.4</v>
      </c>
      <c r="CF84" s="291">
        <v>0.71666666666666667</v>
      </c>
      <c r="CG84" s="42">
        <v>0</v>
      </c>
      <c r="CH84" s="42">
        <v>0</v>
      </c>
      <c r="CI84" s="42">
        <v>0</v>
      </c>
      <c r="CJ84" s="42">
        <v>0</v>
      </c>
      <c r="CK84" s="42">
        <v>0</v>
      </c>
      <c r="CL84" s="151" t="str">
        <f t="shared" si="11"/>
        <v>OK</v>
      </c>
      <c r="CM84" s="152" t="str">
        <f t="shared" si="12"/>
        <v>OK</v>
      </c>
      <c r="CN84" s="153" t="str">
        <f t="shared" si="13"/>
        <v>OK</v>
      </c>
      <c r="CO84" s="327">
        <f t="shared" si="14"/>
        <v>1260.8400000000001</v>
      </c>
      <c r="CP84" s="328"/>
      <c r="CQ84" s="326"/>
      <c r="CR84" s="326">
        <v>87765.33514046896</v>
      </c>
      <c r="CS84" s="328">
        <v>4070</v>
      </c>
      <c r="CT84" s="327">
        <v>1.0436363636363635</v>
      </c>
      <c r="CU84" s="327">
        <f>VLOOKUP(B84,Tabelle2!$AL$2:$AM$82,2,)</f>
        <v>1.0436363636363635</v>
      </c>
      <c r="CV84">
        <v>5.5</v>
      </c>
      <c r="CW84">
        <v>0.05</v>
      </c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N84" s="31"/>
      <c r="DO84" s="136">
        <v>37.725842055681582</v>
      </c>
      <c r="DP84" s="136">
        <v>87765.33514046896</v>
      </c>
      <c r="DQ84">
        <f t="shared" si="15"/>
        <v>4070</v>
      </c>
      <c r="DR84" s="147"/>
      <c r="DS84" s="147"/>
      <c r="DT84" s="147"/>
      <c r="DU84" s="147"/>
      <c r="DV84" s="147"/>
      <c r="DW84" s="147"/>
      <c r="DY84" s="48"/>
      <c r="DZ84" s="48">
        <v>3223.5897882597374</v>
      </c>
      <c r="EA84" s="48">
        <v>92.424657367202371</v>
      </c>
      <c r="EC84" s="61">
        <v>3957.5169796968157</v>
      </c>
      <c r="ED84" s="27">
        <v>3798.4404121953667</v>
      </c>
      <c r="EE84" s="27">
        <v>77.285068192610424</v>
      </c>
      <c r="EG84" s="244" t="s">
        <v>737</v>
      </c>
      <c r="EH84" s="63">
        <v>4070</v>
      </c>
      <c r="EI84" s="31">
        <v>2.0216640935672513E-2</v>
      </c>
      <c r="EJ84" s="31">
        <v>2.4490855151262817E-2</v>
      </c>
      <c r="EM84">
        <v>2</v>
      </c>
      <c r="EN84">
        <v>2</v>
      </c>
    </row>
    <row r="85" spans="1:144">
      <c r="A85" s="287" t="s">
        <v>935</v>
      </c>
      <c r="B85" s="288">
        <v>61141</v>
      </c>
      <c r="C85" s="288">
        <v>1100</v>
      </c>
      <c r="D85" s="288" t="s">
        <v>938</v>
      </c>
      <c r="E85" s="288" t="s">
        <v>426</v>
      </c>
      <c r="F85" s="288" t="s">
        <v>427</v>
      </c>
      <c r="G85" s="61">
        <f t="shared" ref="G85:U85" si="16">2/3*G102</f>
        <v>131.97466666666665</v>
      </c>
      <c r="H85" s="19">
        <f t="shared" si="16"/>
        <v>4.6866003787878786E-2</v>
      </c>
      <c r="I85" s="19">
        <f t="shared" si="16"/>
        <v>0.18076887175324674</v>
      </c>
      <c r="J85" s="19">
        <f t="shared" si="16"/>
        <v>0.70299005681818172</v>
      </c>
      <c r="K85" s="19">
        <f t="shared" si="16"/>
        <v>3.0195096726190469</v>
      </c>
      <c r="L85" s="19">
        <f t="shared" si="16"/>
        <v>9.2861638933982675</v>
      </c>
      <c r="M85" s="19">
        <f t="shared" si="16"/>
        <v>60.530791463744578</v>
      </c>
      <c r="N85" s="19">
        <f t="shared" si="16"/>
        <v>1.5733586985930734</v>
      </c>
      <c r="O85" s="19">
        <f t="shared" si="16"/>
        <v>0</v>
      </c>
      <c r="P85" s="19">
        <f t="shared" si="16"/>
        <v>56.634218005952377</v>
      </c>
      <c r="Q85" s="19">
        <f t="shared" si="16"/>
        <v>0</v>
      </c>
      <c r="R85" s="19">
        <f t="shared" si="16"/>
        <v>0</v>
      </c>
      <c r="S85" s="19">
        <f t="shared" si="16"/>
        <v>0</v>
      </c>
      <c r="T85" s="19">
        <f t="shared" si="16"/>
        <v>0</v>
      </c>
      <c r="U85" s="19">
        <f t="shared" si="16"/>
        <v>64.417757333333327</v>
      </c>
      <c r="V85" s="19">
        <f>V102</f>
        <v>4.2835930280521248</v>
      </c>
      <c r="W85" s="19">
        <f>2/3*W102</f>
        <v>0</v>
      </c>
      <c r="X85" s="19">
        <f>X102</f>
        <v>11.810222970500925</v>
      </c>
      <c r="Y85" s="19">
        <f t="shared" ref="Y85:AK85" si="17">2/3*Y102</f>
        <v>0</v>
      </c>
      <c r="Z85" s="19">
        <f t="shared" si="17"/>
        <v>0</v>
      </c>
      <c r="AA85" s="19">
        <f t="shared" si="17"/>
        <v>0</v>
      </c>
      <c r="AB85" s="312">
        <v>0</v>
      </c>
      <c r="AC85" s="312">
        <v>73.767089962121204</v>
      </c>
      <c r="AD85" s="312">
        <v>0</v>
      </c>
      <c r="AE85" s="312">
        <v>0</v>
      </c>
      <c r="AF85" s="312">
        <v>0</v>
      </c>
      <c r="AG85" s="312">
        <v>0</v>
      </c>
      <c r="AH85" s="19">
        <f t="shared" si="17"/>
        <v>0</v>
      </c>
      <c r="AI85" s="19">
        <f t="shared" si="17"/>
        <v>0</v>
      </c>
      <c r="AJ85" s="19">
        <f t="shared" si="17"/>
        <v>131.97466666666665</v>
      </c>
      <c r="AK85" s="19">
        <f t="shared" si="17"/>
        <v>0</v>
      </c>
      <c r="AL85" s="19">
        <f>AL102</f>
        <v>776.42679999999996</v>
      </c>
      <c r="AM85" s="19">
        <f>AM102</f>
        <v>2.411117</v>
      </c>
      <c r="AN85" s="19"/>
      <c r="AO85" s="19"/>
      <c r="AP85" s="313">
        <f>2/3*AP102</f>
        <v>2.5747195238153671</v>
      </c>
      <c r="AQ85" s="341">
        <v>9.1229166666666668</v>
      </c>
      <c r="AR85" s="136"/>
      <c r="AS85" s="346"/>
      <c r="AT85" s="249"/>
      <c r="AU85" s="294">
        <v>985.51845000000003</v>
      </c>
      <c r="AV85" s="294">
        <v>903.92200333333335</v>
      </c>
      <c r="AW85" s="294">
        <v>563.29062499999998</v>
      </c>
      <c r="AX85" s="294">
        <v>509.58259666666675</v>
      </c>
      <c r="AY85" s="294">
        <v>476.79</v>
      </c>
      <c r="AZ85" s="48">
        <f>AZ19</f>
        <v>966.87579400279833</v>
      </c>
      <c r="BA85" s="48">
        <f>BA19</f>
        <v>620.60942362709875</v>
      </c>
      <c r="BB85" s="48">
        <f>BB19</f>
        <v>1162.0996302878632</v>
      </c>
      <c r="BC85" s="48">
        <f>BC19</f>
        <v>696.84475694355115</v>
      </c>
      <c r="BD85" s="48">
        <f>BD102</f>
        <v>25.427682484250894</v>
      </c>
      <c r="BE85" s="48">
        <f t="shared" ref="BE85:BL85" si="18">BE19</f>
        <v>5.7599502569882104E-2</v>
      </c>
      <c r="BF85" s="48">
        <f t="shared" si="18"/>
        <v>0.55357412846073706</v>
      </c>
      <c r="BG85" s="48">
        <f t="shared" si="18"/>
        <v>0.86469389387953532</v>
      </c>
      <c r="BH85" s="48">
        <f t="shared" si="18"/>
        <v>1.5686486871071759</v>
      </c>
      <c r="BI85" s="48">
        <f t="shared" si="18"/>
        <v>3.1413820301182667</v>
      </c>
      <c r="BJ85" s="48">
        <f t="shared" si="18"/>
        <v>9.8987116846591158E-2</v>
      </c>
      <c r="BK85" s="48">
        <f t="shared" si="18"/>
        <v>8.8963500000000001E-2</v>
      </c>
      <c r="BL85" s="48">
        <f t="shared" si="18"/>
        <v>3643.8888888888896</v>
      </c>
      <c r="BM85" s="48">
        <f>BM102</f>
        <v>0.13466157507643997</v>
      </c>
      <c r="BN85" s="48">
        <f>2/3*BN102</f>
        <v>0</v>
      </c>
      <c r="BO85" s="48">
        <f>2/3*BO102</f>
        <v>24.433578139793557</v>
      </c>
      <c r="BP85" s="48">
        <f>BP19</f>
        <v>49.065772912429452</v>
      </c>
      <c r="BQ85" s="48">
        <f>BQ19</f>
        <v>47.359329462149084</v>
      </c>
      <c r="BR85" s="311">
        <v>284.73828253523362</v>
      </c>
      <c r="BS85" s="317">
        <f>2/3*BS102</f>
        <v>9875.3333333333321</v>
      </c>
      <c r="BT85" s="48">
        <f>2/3*BT102</f>
        <v>8913.7439933973765</v>
      </c>
      <c r="BU85" s="48">
        <f>2/3*BU102</f>
        <v>8836.2685191805176</v>
      </c>
      <c r="BV85" s="48">
        <f>2/3*BV102</f>
        <v>641.05955995730449</v>
      </c>
      <c r="BW85" s="48">
        <f t="shared" ref="BW85:CK85" si="19">BW102</f>
        <v>50</v>
      </c>
      <c r="BX85" s="48">
        <f t="shared" si="19"/>
        <v>97.540999999999997</v>
      </c>
      <c r="BY85" s="48">
        <v>43</v>
      </c>
      <c r="BZ85" s="48">
        <v>0</v>
      </c>
      <c r="CA85" s="71">
        <f t="shared" si="19"/>
        <v>0</v>
      </c>
      <c r="CB85" s="42">
        <f t="shared" si="19"/>
        <v>1.9134100710299341E-2</v>
      </c>
      <c r="CC85" s="43">
        <f t="shared" si="19"/>
        <v>0</v>
      </c>
      <c r="CD85" s="42">
        <f t="shared" si="19"/>
        <v>0</v>
      </c>
      <c r="CE85" s="42">
        <f t="shared" si="19"/>
        <v>7.4260000000000002</v>
      </c>
      <c r="CF85" s="42">
        <f t="shared" si="19"/>
        <v>1.444</v>
      </c>
      <c r="CG85" s="42">
        <f t="shared" si="19"/>
        <v>0</v>
      </c>
      <c r="CH85" s="42">
        <f t="shared" si="19"/>
        <v>0</v>
      </c>
      <c r="CI85" s="42">
        <f t="shared" si="19"/>
        <v>0</v>
      </c>
      <c r="CJ85" s="42">
        <f t="shared" si="19"/>
        <v>0</v>
      </c>
      <c r="CK85" s="42">
        <f t="shared" si="19"/>
        <v>0</v>
      </c>
      <c r="CL85" s="151" t="str">
        <f t="shared" si="11"/>
        <v>OK</v>
      </c>
      <c r="CM85" s="152" t="str">
        <f t="shared" si="12"/>
        <v>OK</v>
      </c>
      <c r="CN85" s="153" t="str">
        <f t="shared" si="13"/>
        <v>OK</v>
      </c>
      <c r="DQ85">
        <f t="shared" si="15"/>
        <v>61141</v>
      </c>
    </row>
    <row r="86" spans="1:144">
      <c r="A86" s="287" t="s">
        <v>936</v>
      </c>
      <c r="B86" s="288">
        <v>61142</v>
      </c>
      <c r="C86" s="288">
        <v>1140</v>
      </c>
      <c r="D86" s="288" t="s">
        <v>938</v>
      </c>
      <c r="E86" s="288" t="s">
        <v>426</v>
      </c>
      <c r="F86" s="288" t="s">
        <v>427</v>
      </c>
      <c r="G86" s="61">
        <f t="shared" ref="G86:U86" si="20">1/3*G102</f>
        <v>65.987333333333325</v>
      </c>
      <c r="H86" s="19">
        <f t="shared" si="20"/>
        <v>2.3433001893939393E-2</v>
      </c>
      <c r="I86" s="19">
        <f t="shared" si="20"/>
        <v>9.038443587662337E-2</v>
      </c>
      <c r="J86" s="19">
        <f t="shared" si="20"/>
        <v>0.35149502840909086</v>
      </c>
      <c r="K86" s="19">
        <f t="shared" si="20"/>
        <v>1.5097548363095235</v>
      </c>
      <c r="L86" s="19">
        <f t="shared" si="20"/>
        <v>4.6430819466991338</v>
      </c>
      <c r="M86" s="19">
        <f t="shared" si="20"/>
        <v>30.265395731872289</v>
      </c>
      <c r="N86" s="19">
        <f t="shared" si="20"/>
        <v>0.78667934929653671</v>
      </c>
      <c r="O86" s="19">
        <f t="shared" si="20"/>
        <v>0</v>
      </c>
      <c r="P86" s="19">
        <f t="shared" si="20"/>
        <v>28.317109002976188</v>
      </c>
      <c r="Q86" s="19">
        <f t="shared" si="20"/>
        <v>0</v>
      </c>
      <c r="R86" s="19">
        <f t="shared" si="20"/>
        <v>0</v>
      </c>
      <c r="S86" s="19">
        <f t="shared" si="20"/>
        <v>0</v>
      </c>
      <c r="T86" s="19">
        <f t="shared" si="20"/>
        <v>0</v>
      </c>
      <c r="U86" s="19">
        <f t="shared" si="20"/>
        <v>32.208878666666664</v>
      </c>
      <c r="V86" s="19">
        <f>V102</f>
        <v>4.2835930280521248</v>
      </c>
      <c r="W86" s="19">
        <f>1/3*W102</f>
        <v>0</v>
      </c>
      <c r="X86" s="19">
        <f>X102</f>
        <v>11.810222970500925</v>
      </c>
      <c r="Y86" s="19">
        <f t="shared" ref="Y86:AK86" si="21">1/3*Y102</f>
        <v>0</v>
      </c>
      <c r="Z86" s="19">
        <f t="shared" si="21"/>
        <v>0</v>
      </c>
      <c r="AA86" s="19">
        <f t="shared" si="21"/>
        <v>0</v>
      </c>
      <c r="AB86" s="312">
        <v>0</v>
      </c>
      <c r="AC86" s="312">
        <v>36.883544981060602</v>
      </c>
      <c r="AD86" s="312">
        <v>0</v>
      </c>
      <c r="AE86" s="312">
        <v>0</v>
      </c>
      <c r="AF86" s="312">
        <v>0</v>
      </c>
      <c r="AG86" s="312">
        <v>0</v>
      </c>
      <c r="AH86" s="19">
        <f t="shared" si="21"/>
        <v>0</v>
      </c>
      <c r="AI86" s="19">
        <f t="shared" si="21"/>
        <v>0</v>
      </c>
      <c r="AJ86" s="19">
        <f t="shared" si="21"/>
        <v>65.987333333333325</v>
      </c>
      <c r="AK86" s="19">
        <f t="shared" si="21"/>
        <v>0</v>
      </c>
      <c r="AL86" s="19">
        <f>AL102</f>
        <v>776.42679999999996</v>
      </c>
      <c r="AM86" s="19">
        <f>AM102</f>
        <v>2.411117</v>
      </c>
      <c r="AN86" s="19"/>
      <c r="AO86" s="19"/>
      <c r="AP86" s="313">
        <f>1/3*AP102</f>
        <v>1.2873597619076835</v>
      </c>
      <c r="AQ86" s="341">
        <v>9.2448241758249985</v>
      </c>
      <c r="AR86" s="136"/>
      <c r="AS86" s="346"/>
      <c r="AT86" s="249"/>
      <c r="AU86" s="294">
        <v>985.51845000000003</v>
      </c>
      <c r="AV86" s="294">
        <v>903.92200333333335</v>
      </c>
      <c r="AW86" s="294">
        <v>563.29062499999998</v>
      </c>
      <c r="AX86" s="294">
        <v>509.58259666666675</v>
      </c>
      <c r="AY86" s="294">
        <v>476.79</v>
      </c>
      <c r="AZ86" s="48">
        <f>AZ22</f>
        <v>885.70095477086238</v>
      </c>
      <c r="BA86" s="48">
        <f>BA22</f>
        <v>681.40412187502068</v>
      </c>
      <c r="BB86" s="48">
        <f>BB22</f>
        <v>1367.3833666217324</v>
      </c>
      <c r="BC86" s="48">
        <f>BC22</f>
        <v>949.63801870567386</v>
      </c>
      <c r="BD86" s="48">
        <f>BD102</f>
        <v>25.427682484250894</v>
      </c>
      <c r="BE86" s="48">
        <f t="shared" ref="BE86:BL86" si="22">BE22</f>
        <v>0</v>
      </c>
      <c r="BF86" s="48">
        <f t="shared" si="22"/>
        <v>1.1009040770621219</v>
      </c>
      <c r="BG86" s="48">
        <f t="shared" si="22"/>
        <v>1.8523480455661538</v>
      </c>
      <c r="BH86" s="48">
        <f t="shared" si="22"/>
        <v>1.9012884321878605</v>
      </c>
      <c r="BI86" s="48">
        <f t="shared" si="22"/>
        <v>3.3432921408849112</v>
      </c>
      <c r="BJ86" s="48">
        <f t="shared" si="22"/>
        <v>0.1210694707776729</v>
      </c>
      <c r="BK86" s="48">
        <f t="shared" si="22"/>
        <v>9.8268900000000006E-2</v>
      </c>
      <c r="BL86" s="48">
        <f t="shared" si="22"/>
        <v>2157.5</v>
      </c>
      <c r="BM86" s="48">
        <f>BM102</f>
        <v>0.13466157507643997</v>
      </c>
      <c r="BN86" s="48">
        <f>1/3*BN102</f>
        <v>0</v>
      </c>
      <c r="BO86" s="48">
        <f>1/3*BO102</f>
        <v>12.216789069896778</v>
      </c>
      <c r="BP86" s="48">
        <f>BP22</f>
        <v>42.625393406582035</v>
      </c>
      <c r="BQ86" s="48">
        <f>BQ22</f>
        <v>40.242237720858284</v>
      </c>
      <c r="BR86" s="311">
        <v>243.08403574933226</v>
      </c>
      <c r="BS86" s="317">
        <f>1/3*BS102</f>
        <v>4937.6666666666661</v>
      </c>
      <c r="BT86" s="48">
        <f>1/3*BT102</f>
        <v>4456.8719966986882</v>
      </c>
      <c r="BU86" s="48">
        <f>1/3*BU102</f>
        <v>4418.1342595902588</v>
      </c>
      <c r="BV86" s="48">
        <f>1/3*BV102</f>
        <v>320.52977997865224</v>
      </c>
      <c r="BW86" s="48">
        <f t="shared" ref="BW86:CA87" si="23">BW102</f>
        <v>50</v>
      </c>
      <c r="BX86" s="48">
        <f t="shared" si="23"/>
        <v>97.540999999999997</v>
      </c>
      <c r="BY86" s="48">
        <v>43</v>
      </c>
      <c r="BZ86" s="48">
        <v>0</v>
      </c>
      <c r="CA86" s="71">
        <f t="shared" si="23"/>
        <v>0</v>
      </c>
      <c r="CB86" s="42">
        <f>0</f>
        <v>0</v>
      </c>
      <c r="CC86" s="43">
        <f>0</f>
        <v>0</v>
      </c>
      <c r="CD86" s="42">
        <f>0</f>
        <v>0</v>
      </c>
      <c r="CE86" s="42">
        <f>0</f>
        <v>0</v>
      </c>
      <c r="CF86" s="42">
        <f>0</f>
        <v>0</v>
      </c>
      <c r="CG86" s="42">
        <f>0</f>
        <v>0</v>
      </c>
      <c r="CH86" s="42">
        <f>0</f>
        <v>0</v>
      </c>
      <c r="CI86" s="42">
        <f>0</f>
        <v>0</v>
      </c>
      <c r="CJ86" s="42">
        <f>0</f>
        <v>0</v>
      </c>
      <c r="CK86" s="42">
        <f>0</f>
        <v>0</v>
      </c>
      <c r="CL86" s="151" t="str">
        <f t="shared" si="11"/>
        <v>OK</v>
      </c>
      <c r="CM86" s="152" t="str">
        <f t="shared" si="12"/>
        <v>OK</v>
      </c>
      <c r="CN86" s="153" t="str">
        <f t="shared" si="13"/>
        <v>OK</v>
      </c>
    </row>
    <row r="87" spans="1:144" s="36" customFormat="1">
      <c r="A87" s="287" t="s">
        <v>937</v>
      </c>
      <c r="B87" s="288">
        <v>61151</v>
      </c>
      <c r="C87" s="288">
        <v>1130</v>
      </c>
      <c r="D87" s="288" t="s">
        <v>941</v>
      </c>
      <c r="E87" s="288" t="s">
        <v>429</v>
      </c>
      <c r="F87" s="288" t="s">
        <v>427</v>
      </c>
      <c r="G87" s="61">
        <f t="shared" ref="G87:U87" si="24">0.5*G103</f>
        <v>26.457000000000001</v>
      </c>
      <c r="H87" s="19">
        <f t="shared" si="24"/>
        <v>1.0044419134396356E-2</v>
      </c>
      <c r="I87" s="19">
        <f t="shared" si="24"/>
        <v>7.0310933940774492E-2</v>
      </c>
      <c r="J87" s="19">
        <f t="shared" si="24"/>
        <v>0.17577733485193622</v>
      </c>
      <c r="K87" s="19">
        <f t="shared" si="24"/>
        <v>0.57755410022779041</v>
      </c>
      <c r="L87" s="19">
        <f t="shared" si="24"/>
        <v>2.2399054669703875</v>
      </c>
      <c r="M87" s="19">
        <f t="shared" si="24"/>
        <v>5.9312294988610486</v>
      </c>
      <c r="N87" s="19">
        <f t="shared" si="24"/>
        <v>0</v>
      </c>
      <c r="O87" s="19">
        <f t="shared" si="24"/>
        <v>0</v>
      </c>
      <c r="P87" s="19">
        <f t="shared" si="24"/>
        <v>17.412000569476085</v>
      </c>
      <c r="Q87" s="19">
        <f t="shared" si="24"/>
        <v>0</v>
      </c>
      <c r="R87" s="19">
        <f t="shared" si="24"/>
        <v>0</v>
      </c>
      <c r="S87" s="19">
        <f t="shared" si="24"/>
        <v>4.0177676537585423E-2</v>
      </c>
      <c r="T87" s="19">
        <f t="shared" si="24"/>
        <v>0</v>
      </c>
      <c r="U87" s="19">
        <f t="shared" si="24"/>
        <v>4.0449979999999996</v>
      </c>
      <c r="V87" s="19">
        <f>V103</f>
        <v>2.0893951485237379</v>
      </c>
      <c r="W87" s="19">
        <f>0.5*W103</f>
        <v>0</v>
      </c>
      <c r="X87" s="19">
        <f>X103</f>
        <v>5.1477866966088257</v>
      </c>
      <c r="Y87" s="19">
        <f t="shared" ref="Y87:AK87" si="25">0.5*Y103</f>
        <v>0</v>
      </c>
      <c r="Z87" s="19">
        <f t="shared" si="25"/>
        <v>0</v>
      </c>
      <c r="AA87" s="19">
        <f t="shared" si="25"/>
        <v>0</v>
      </c>
      <c r="AB87" s="312">
        <v>0</v>
      </c>
      <c r="AC87" s="312">
        <v>9.0048217539863344</v>
      </c>
      <c r="AD87" s="312">
        <v>0</v>
      </c>
      <c r="AE87" s="312">
        <v>0</v>
      </c>
      <c r="AF87" s="312">
        <v>0</v>
      </c>
      <c r="AG87" s="312">
        <v>0</v>
      </c>
      <c r="AH87" s="19">
        <f t="shared" si="25"/>
        <v>0</v>
      </c>
      <c r="AI87" s="19">
        <f t="shared" si="25"/>
        <v>0</v>
      </c>
      <c r="AJ87" s="19">
        <f t="shared" si="25"/>
        <v>26.457000000000001</v>
      </c>
      <c r="AK87" s="19">
        <f t="shared" si="25"/>
        <v>0</v>
      </c>
      <c r="AL87" s="19">
        <f>AL103</f>
        <v>878.48379999999997</v>
      </c>
      <c r="AM87" s="19">
        <f>AM103</f>
        <v>2.164444</v>
      </c>
      <c r="AN87" s="19"/>
      <c r="AO87" s="19"/>
      <c r="AP87" s="313">
        <f>0.5*AP103</f>
        <v>0.28200135084805245</v>
      </c>
      <c r="AQ87" s="341">
        <v>9.7967777777769989</v>
      </c>
      <c r="AS87" s="346"/>
      <c r="AT87" s="249"/>
      <c r="AU87" s="294">
        <v>907.55095000000006</v>
      </c>
      <c r="AV87" s="294">
        <v>824.87221999999997</v>
      </c>
      <c r="AW87" s="294">
        <v>543.68520000000001</v>
      </c>
      <c r="AX87" s="294">
        <v>482.15369666666663</v>
      </c>
      <c r="AY87" s="294">
        <v>476.08</v>
      </c>
      <c r="AZ87" s="48">
        <f>AZ21</f>
        <v>872.02094319775119</v>
      </c>
      <c r="BA87" s="48">
        <f>BA21</f>
        <v>595.97489895420699</v>
      </c>
      <c r="BB87" s="48">
        <f>BB21</f>
        <v>1083.3458410182141</v>
      </c>
      <c r="BC87" s="48">
        <f>BC21</f>
        <v>683.81450041155892</v>
      </c>
      <c r="BD87" s="48">
        <f>BD103</f>
        <v>25.459793420045909</v>
      </c>
      <c r="BE87" s="48">
        <f t="shared" ref="BE87:BL87" si="26">BE21</f>
        <v>0</v>
      </c>
      <c r="BF87" s="48">
        <f t="shared" si="26"/>
        <v>0.5246028483384535</v>
      </c>
      <c r="BG87" s="48">
        <f t="shared" si="26"/>
        <v>0.9411071296416732</v>
      </c>
      <c r="BH87" s="48">
        <f t="shared" si="26"/>
        <v>1.8785108682887965</v>
      </c>
      <c r="BI87" s="48">
        <f t="shared" si="26"/>
        <v>3.4210366923424886</v>
      </c>
      <c r="BJ87" s="48">
        <f t="shared" si="26"/>
        <v>0.10645431302349652</v>
      </c>
      <c r="BK87" s="48">
        <f t="shared" si="26"/>
        <v>0.10012399999999999</v>
      </c>
      <c r="BL87" s="48">
        <f t="shared" si="26"/>
        <v>2101.875</v>
      </c>
      <c r="BM87" s="48">
        <f>BM103</f>
        <v>0.11534691933028919</v>
      </c>
      <c r="BN87" s="48">
        <f>0.5*BN103</f>
        <v>0</v>
      </c>
      <c r="BO87" s="48">
        <f>0.5*BO103</f>
        <v>0</v>
      </c>
      <c r="BP87" s="48">
        <f>BP21</f>
        <v>50.813718820002741</v>
      </c>
      <c r="BQ87" s="48">
        <f>BQ21</f>
        <v>48.477739342828855</v>
      </c>
      <c r="BR87" s="311">
        <v>316.35246986604807</v>
      </c>
      <c r="BS87" s="317">
        <f>0.5*BS103</f>
        <v>722</v>
      </c>
      <c r="BT87" s="48">
        <f>0.5*BT103</f>
        <v>541.86121060796927</v>
      </c>
      <c r="BU87" s="48">
        <f>0.5*BU103</f>
        <v>453.24583836377059</v>
      </c>
      <c r="BV87" s="48">
        <f>0.5*BV103</f>
        <v>120.09252626135381</v>
      </c>
      <c r="BW87" s="48">
        <f t="shared" si="23"/>
        <v>50</v>
      </c>
      <c r="BX87" s="48">
        <f t="shared" si="23"/>
        <v>97.540999999999997</v>
      </c>
      <c r="BY87" s="48">
        <v>43</v>
      </c>
      <c r="BZ87" s="48">
        <v>0</v>
      </c>
      <c r="CA87" s="71">
        <f t="shared" si="23"/>
        <v>0</v>
      </c>
      <c r="CB87" s="42">
        <f t="shared" ref="CB87:CK87" si="27">CB103</f>
        <v>0</v>
      </c>
      <c r="CC87" s="43">
        <f t="shared" si="27"/>
        <v>0</v>
      </c>
      <c r="CD87" s="42">
        <f t="shared" si="27"/>
        <v>0</v>
      </c>
      <c r="CE87" s="42">
        <f t="shared" si="27"/>
        <v>0</v>
      </c>
      <c r="CF87" s="42">
        <f t="shared" si="27"/>
        <v>0</v>
      </c>
      <c r="CG87" s="42">
        <f t="shared" si="27"/>
        <v>0</v>
      </c>
      <c r="CH87" s="42">
        <f t="shared" si="27"/>
        <v>0</v>
      </c>
      <c r="CI87" s="42">
        <f t="shared" si="27"/>
        <v>0</v>
      </c>
      <c r="CJ87" s="42">
        <f t="shared" si="27"/>
        <v>0</v>
      </c>
      <c r="CK87" s="42">
        <f t="shared" si="27"/>
        <v>0</v>
      </c>
      <c r="CL87" s="151" t="str">
        <f t="shared" si="11"/>
        <v>OK</v>
      </c>
      <c r="CM87" s="152" t="str">
        <f t="shared" si="12"/>
        <v>OK</v>
      </c>
      <c r="CN87" s="153" t="str">
        <f t="shared" si="13"/>
        <v>OK</v>
      </c>
      <c r="CO87" s="247"/>
      <c r="CP87" s="84"/>
      <c r="CS87" s="84"/>
      <c r="CT87" s="247"/>
      <c r="CU87" s="84"/>
    </row>
    <row r="88" spans="1:144" s="36" customFormat="1">
      <c r="A88" s="287" t="s">
        <v>939</v>
      </c>
      <c r="B88" s="288">
        <v>61152</v>
      </c>
      <c r="C88" s="288">
        <v>1120</v>
      </c>
      <c r="D88" s="288" t="s">
        <v>941</v>
      </c>
      <c r="E88" s="288" t="s">
        <v>429</v>
      </c>
      <c r="F88" s="288" t="s">
        <v>427</v>
      </c>
      <c r="G88" s="61">
        <f t="shared" ref="G88:U88" si="28">0.5*G103</f>
        <v>26.457000000000001</v>
      </c>
      <c r="H88" s="19">
        <f t="shared" si="28"/>
        <v>1.0044419134396356E-2</v>
      </c>
      <c r="I88" s="19">
        <f t="shared" si="28"/>
        <v>7.0310933940774492E-2</v>
      </c>
      <c r="J88" s="19">
        <f t="shared" si="28"/>
        <v>0.17577733485193622</v>
      </c>
      <c r="K88" s="19">
        <f t="shared" si="28"/>
        <v>0.57755410022779041</v>
      </c>
      <c r="L88" s="19">
        <f t="shared" si="28"/>
        <v>2.2399054669703875</v>
      </c>
      <c r="M88" s="19">
        <f t="shared" si="28"/>
        <v>5.9312294988610486</v>
      </c>
      <c r="N88" s="19">
        <f t="shared" si="28"/>
        <v>0</v>
      </c>
      <c r="O88" s="19">
        <f t="shared" si="28"/>
        <v>0</v>
      </c>
      <c r="P88" s="19">
        <f t="shared" si="28"/>
        <v>17.412000569476085</v>
      </c>
      <c r="Q88" s="19">
        <f t="shared" si="28"/>
        <v>0</v>
      </c>
      <c r="R88" s="19">
        <f t="shared" si="28"/>
        <v>0</v>
      </c>
      <c r="S88" s="19">
        <f t="shared" si="28"/>
        <v>4.0177676537585423E-2</v>
      </c>
      <c r="T88" s="19">
        <f t="shared" si="28"/>
        <v>0</v>
      </c>
      <c r="U88" s="19">
        <f t="shared" si="28"/>
        <v>4.0449979999999996</v>
      </c>
      <c r="V88" s="19">
        <f>V103</f>
        <v>2.0893951485237379</v>
      </c>
      <c r="W88" s="19">
        <f>0.5*W103</f>
        <v>0</v>
      </c>
      <c r="X88" s="19">
        <f>X103</f>
        <v>5.1477866966088257</v>
      </c>
      <c r="Y88" s="19">
        <f t="shared" ref="Y88:AK88" si="29">0.5*Y103</f>
        <v>0</v>
      </c>
      <c r="Z88" s="19">
        <f t="shared" si="29"/>
        <v>0</v>
      </c>
      <c r="AA88" s="19">
        <f t="shared" si="29"/>
        <v>0</v>
      </c>
      <c r="AB88" s="312">
        <v>0</v>
      </c>
      <c r="AC88" s="312">
        <v>9.0048217539863344</v>
      </c>
      <c r="AD88" s="312">
        <v>0</v>
      </c>
      <c r="AE88" s="312">
        <v>0</v>
      </c>
      <c r="AF88" s="312">
        <v>0</v>
      </c>
      <c r="AG88" s="312">
        <v>0</v>
      </c>
      <c r="AH88" s="19">
        <f t="shared" si="29"/>
        <v>0</v>
      </c>
      <c r="AI88" s="19">
        <f t="shared" si="29"/>
        <v>0</v>
      </c>
      <c r="AJ88" s="19">
        <f t="shared" si="29"/>
        <v>26.457000000000001</v>
      </c>
      <c r="AK88" s="19">
        <f t="shared" si="29"/>
        <v>0</v>
      </c>
      <c r="AL88" s="19">
        <f>AL103</f>
        <v>878.48379999999997</v>
      </c>
      <c r="AM88" s="19">
        <f>AM103</f>
        <v>2.164444</v>
      </c>
      <c r="AN88" s="19"/>
      <c r="AO88" s="19"/>
      <c r="AP88" s="313">
        <f>0.5*AP103</f>
        <v>0.28200135084805245</v>
      </c>
      <c r="AQ88" s="341">
        <v>9.321574468084</v>
      </c>
      <c r="AS88" s="346"/>
      <c r="AT88" s="249"/>
      <c r="AU88" s="294">
        <v>907.55095000000006</v>
      </c>
      <c r="AV88" s="294">
        <v>824.87221999999997</v>
      </c>
      <c r="AW88" s="294">
        <v>543.68520000000001</v>
      </c>
      <c r="AX88" s="294">
        <v>482.15369666666663</v>
      </c>
      <c r="AY88" s="294">
        <v>476.08</v>
      </c>
      <c r="AZ88" s="48">
        <f>AZ20</f>
        <v>762.22667962738501</v>
      </c>
      <c r="BA88" s="48">
        <f>BA20</f>
        <v>583.69759182230541</v>
      </c>
      <c r="BB88" s="48">
        <f>BB20</f>
        <v>1072.6277791296375</v>
      </c>
      <c r="BC88" s="48">
        <f>BC20</f>
        <v>737.11379628655629</v>
      </c>
      <c r="BD88" s="48">
        <f>BD103</f>
        <v>25.459793420045909</v>
      </c>
      <c r="BE88" s="48">
        <f t="shared" ref="BE88:BL88" si="30">BE20</f>
        <v>0</v>
      </c>
      <c r="BF88" s="48">
        <f t="shared" si="30"/>
        <v>0.539067406085873</v>
      </c>
      <c r="BG88" s="48">
        <f t="shared" si="30"/>
        <v>0.72800120293736492</v>
      </c>
      <c r="BH88" s="48">
        <f t="shared" si="30"/>
        <v>1.1139361948492181</v>
      </c>
      <c r="BI88" s="48">
        <f t="shared" si="30"/>
        <v>2.8899584775311595</v>
      </c>
      <c r="BJ88" s="48">
        <f t="shared" si="30"/>
        <v>0.10859558005906568</v>
      </c>
      <c r="BK88" s="48">
        <f t="shared" si="30"/>
        <v>9.3595100000000001E-2</v>
      </c>
      <c r="BL88" s="48">
        <f t="shared" si="30"/>
        <v>2585</v>
      </c>
      <c r="BM88" s="48">
        <f>BM103</f>
        <v>0.11534691933028919</v>
      </c>
      <c r="BN88" s="48">
        <f>0.5*BN103</f>
        <v>0</v>
      </c>
      <c r="BO88" s="48">
        <f>0.5*BO103</f>
        <v>0</v>
      </c>
      <c r="BP88" s="48">
        <f>BP20</f>
        <v>47.266834051440263</v>
      </c>
      <c r="BQ88" s="48">
        <f>BQ20</f>
        <v>44.50741107218731</v>
      </c>
      <c r="BR88" s="311">
        <v>258.92148443658357</v>
      </c>
      <c r="BS88" s="317">
        <f>0.5*BS103</f>
        <v>722</v>
      </c>
      <c r="BT88" s="48">
        <f>0.5*BT103</f>
        <v>541.86121060796927</v>
      </c>
      <c r="BU88" s="48">
        <f>0.5*BU103</f>
        <v>453.24583836377059</v>
      </c>
      <c r="BV88" s="48">
        <f>0.5*BV103</f>
        <v>120.09252626135381</v>
      </c>
      <c r="BW88" s="48">
        <f>BW103</f>
        <v>50</v>
      </c>
      <c r="BX88" s="48">
        <f>BX103</f>
        <v>97.540999999999997</v>
      </c>
      <c r="BY88" s="48">
        <v>43</v>
      </c>
      <c r="BZ88" s="48">
        <v>0</v>
      </c>
      <c r="CA88" s="71">
        <f>CA103</f>
        <v>0</v>
      </c>
      <c r="CB88" s="42">
        <v>0</v>
      </c>
      <c r="CC88" s="43">
        <f t="shared" ref="CC88:CK88" si="31">CC96</f>
        <v>0</v>
      </c>
      <c r="CD88" s="42">
        <f t="shared" si="31"/>
        <v>0</v>
      </c>
      <c r="CE88" s="42">
        <f t="shared" si="31"/>
        <v>0</v>
      </c>
      <c r="CF88" s="42">
        <f t="shared" si="31"/>
        <v>0</v>
      </c>
      <c r="CG88" s="42">
        <f t="shared" si="31"/>
        <v>0</v>
      </c>
      <c r="CH88" s="42">
        <f t="shared" si="31"/>
        <v>0</v>
      </c>
      <c r="CI88" s="42">
        <f t="shared" si="31"/>
        <v>0</v>
      </c>
      <c r="CJ88" s="42">
        <f t="shared" si="31"/>
        <v>0</v>
      </c>
      <c r="CK88" s="42">
        <f t="shared" si="31"/>
        <v>0</v>
      </c>
      <c r="CL88" s="151" t="str">
        <f t="shared" si="11"/>
        <v>OK</v>
      </c>
      <c r="CM88" s="152" t="str">
        <f t="shared" si="12"/>
        <v>OK</v>
      </c>
      <c r="CN88" s="153" t="str">
        <f t="shared" si="13"/>
        <v>OK</v>
      </c>
      <c r="CO88" s="247"/>
      <c r="CP88" s="84"/>
      <c r="CS88" s="84"/>
      <c r="CT88" s="247"/>
      <c r="CU88" s="84"/>
    </row>
    <row r="89" spans="1:144" s="36" customFormat="1">
      <c r="A89" s="137"/>
      <c r="B89" s="137"/>
      <c r="C89" s="137"/>
      <c r="D89" s="137"/>
      <c r="E89" s="137"/>
      <c r="F89" s="137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246"/>
      <c r="AQ89" s="246"/>
      <c r="AR89" s="246"/>
      <c r="AS89" s="246"/>
      <c r="AT89" s="246"/>
      <c r="AU89" s="246"/>
      <c r="AV89" s="246"/>
      <c r="AW89" s="246"/>
      <c r="AX89" s="246"/>
      <c r="AY89" s="246"/>
      <c r="AZ89" s="246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46"/>
      <c r="CB89" s="84"/>
      <c r="CC89" s="84"/>
      <c r="CD89" s="84"/>
      <c r="CE89" s="84"/>
      <c r="CF89" s="84"/>
      <c r="CG89" s="84"/>
      <c r="CH89" s="84"/>
      <c r="CI89" s="84"/>
      <c r="CJ89" s="84"/>
      <c r="CK89" s="84"/>
      <c r="CM89" s="84"/>
      <c r="CO89" s="247"/>
      <c r="CP89" s="84"/>
      <c r="CS89" s="84"/>
      <c r="CT89" s="247"/>
      <c r="CU89" s="84"/>
    </row>
    <row r="90" spans="1:144" s="36" customFormat="1">
      <c r="A90" s="137"/>
      <c r="B90" s="137"/>
      <c r="C90" s="137"/>
      <c r="D90" s="137"/>
      <c r="E90" s="137"/>
      <c r="F90" s="137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246"/>
      <c r="AQ90" s="246"/>
      <c r="AR90" s="246"/>
      <c r="AS90" s="246"/>
      <c r="AT90" s="246"/>
      <c r="AU90" s="246"/>
      <c r="AV90" s="246"/>
      <c r="AW90" s="246"/>
      <c r="AX90" s="246"/>
      <c r="AY90" s="246"/>
      <c r="AZ90" s="246"/>
      <c r="BA90" s="246"/>
      <c r="BB90" s="246"/>
      <c r="BC90" s="246"/>
      <c r="BD90" s="246"/>
      <c r="BE90" s="246"/>
      <c r="BF90" s="246"/>
      <c r="BG90" s="246"/>
      <c r="BH90" s="246"/>
      <c r="BI90" s="246"/>
      <c r="BJ90" s="246"/>
      <c r="BK90" s="246"/>
      <c r="BL90" s="246"/>
      <c r="BM90" s="246"/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46"/>
      <c r="CB90" s="84"/>
      <c r="CC90" s="84"/>
      <c r="CD90" s="84"/>
      <c r="CE90" s="84"/>
      <c r="CF90" s="84"/>
      <c r="CG90" s="84"/>
      <c r="CH90" s="84"/>
      <c r="CI90" s="84"/>
      <c r="CJ90" s="84"/>
      <c r="CK90" s="84"/>
      <c r="CM90" s="84"/>
      <c r="CO90" s="247"/>
      <c r="CP90" s="84"/>
      <c r="CS90" s="84"/>
      <c r="CT90" s="247"/>
      <c r="CU90" s="84"/>
    </row>
    <row r="91" spans="1:144" s="36" customFormat="1">
      <c r="A91" s="137"/>
      <c r="B91" s="137"/>
      <c r="C91" s="137"/>
      <c r="D91" s="137"/>
      <c r="E91" s="137"/>
      <c r="F91" s="137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246"/>
      <c r="AQ91" s="246"/>
      <c r="AR91" s="246"/>
      <c r="AS91" s="246"/>
      <c r="AT91" s="246"/>
      <c r="AU91" s="246"/>
      <c r="AV91" s="246"/>
      <c r="AW91" s="246"/>
      <c r="AX91" s="246"/>
      <c r="AY91" s="246"/>
      <c r="AZ91" s="246"/>
      <c r="BA91" s="246"/>
      <c r="BB91" s="246"/>
      <c r="BC91" s="246"/>
      <c r="BD91" s="246"/>
      <c r="BE91" s="246"/>
      <c r="BF91" s="246"/>
      <c r="BG91" s="246"/>
      <c r="BH91" s="246"/>
      <c r="BI91" s="246"/>
      <c r="BJ91" s="246"/>
      <c r="BK91" s="246"/>
      <c r="BL91" s="246"/>
      <c r="BM91" s="246"/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46"/>
      <c r="CB91" s="84"/>
      <c r="CC91" s="84"/>
      <c r="CD91" s="84"/>
      <c r="CE91" s="84"/>
      <c r="CF91" s="84"/>
      <c r="CG91" s="84"/>
      <c r="CH91" s="84"/>
      <c r="CI91" s="84"/>
      <c r="CJ91" s="84"/>
      <c r="CK91" s="84"/>
      <c r="CM91" s="84"/>
      <c r="CO91" s="247"/>
      <c r="CP91" s="84"/>
      <c r="CS91" s="84"/>
      <c r="CT91" s="247"/>
      <c r="CU91" s="84"/>
    </row>
    <row r="96" spans="1:144" s="36" customFormat="1">
      <c r="A96" s="137"/>
      <c r="B96" s="137"/>
      <c r="C96" s="137"/>
      <c r="D96" s="137"/>
      <c r="E96" s="137"/>
      <c r="F96" s="137"/>
      <c r="G96" s="84"/>
      <c r="H96" s="84"/>
      <c r="I96" s="84"/>
      <c r="J96" s="84"/>
      <c r="K96" s="84"/>
      <c r="L96" s="84"/>
      <c r="M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246"/>
      <c r="AQ96" s="246"/>
      <c r="AR96" s="246"/>
      <c r="AS96" s="246"/>
      <c r="AT96" s="246"/>
      <c r="AU96" s="246"/>
      <c r="AV96" s="246"/>
      <c r="AW96" s="246"/>
      <c r="AX96" s="246"/>
      <c r="AY96" s="246"/>
      <c r="AZ96" s="246"/>
      <c r="BA96" s="246"/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/>
      <c r="BP96" s="246"/>
      <c r="BQ96" s="246"/>
      <c r="BR96" s="246"/>
      <c r="BS96" s="246"/>
      <c r="BT96" s="246"/>
      <c r="BU96" s="246"/>
      <c r="BV96" s="246"/>
      <c r="BW96" s="246"/>
      <c r="BX96" s="246"/>
      <c r="BY96" s="246"/>
      <c r="BZ96" s="246"/>
      <c r="CA96" s="246"/>
      <c r="CB96" s="84"/>
      <c r="CC96" s="84"/>
      <c r="CD96" s="84"/>
      <c r="CE96" s="84"/>
      <c r="CF96" s="84"/>
      <c r="CG96" s="84"/>
      <c r="CH96" s="84"/>
      <c r="CI96" s="84"/>
      <c r="CJ96" s="84"/>
      <c r="CK96" s="84"/>
      <c r="CM96" s="84"/>
      <c r="CO96" s="247"/>
      <c r="CP96" s="84"/>
      <c r="CS96" s="84"/>
      <c r="CT96" s="247"/>
      <c r="CU96" s="84"/>
    </row>
    <row r="97" spans="1:99" s="36" customFormat="1">
      <c r="A97" s="137"/>
      <c r="B97" s="137"/>
      <c r="C97" s="137"/>
      <c r="D97" s="137"/>
      <c r="E97" s="137"/>
      <c r="F97" s="137"/>
      <c r="G97" s="84"/>
      <c r="H97" s="84"/>
      <c r="I97" s="84"/>
      <c r="J97" s="84"/>
      <c r="K97" s="84"/>
      <c r="L97" s="84"/>
      <c r="M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246"/>
      <c r="AQ97" s="246"/>
      <c r="AR97" s="246"/>
      <c r="AS97" s="246"/>
      <c r="AT97" s="246"/>
      <c r="AU97" s="246"/>
      <c r="AV97" s="246"/>
      <c r="AW97" s="246"/>
      <c r="AX97" s="246"/>
      <c r="AY97" s="246"/>
      <c r="AZ97" s="246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246"/>
      <c r="BV97" s="246"/>
      <c r="BW97" s="246"/>
      <c r="BX97" s="246"/>
      <c r="BY97" s="246"/>
      <c r="BZ97" s="246"/>
      <c r="CA97" s="246"/>
      <c r="CB97" s="84"/>
      <c r="CC97" s="84"/>
      <c r="CD97" s="84"/>
      <c r="CE97" s="84"/>
      <c r="CF97" s="84"/>
      <c r="CG97" s="84"/>
      <c r="CH97" s="84"/>
      <c r="CI97" s="84"/>
      <c r="CJ97" s="84"/>
      <c r="CK97" s="84"/>
      <c r="CM97" s="84"/>
      <c r="CO97" s="247"/>
      <c r="CP97" s="84"/>
      <c r="CS97" s="84"/>
      <c r="CT97" s="247"/>
      <c r="CU97" s="84"/>
    </row>
    <row r="98" spans="1:99" s="36" customFormat="1">
      <c r="A98" s="137"/>
      <c r="B98" s="137"/>
      <c r="C98" s="137"/>
      <c r="D98" s="137"/>
      <c r="E98" s="137"/>
      <c r="F98" s="137"/>
      <c r="G98" s="84"/>
      <c r="H98" s="84"/>
      <c r="I98" s="84"/>
      <c r="J98" s="84"/>
      <c r="K98" s="84"/>
      <c r="L98" s="84"/>
      <c r="M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246"/>
      <c r="AQ98" s="246"/>
      <c r="AR98" s="246"/>
      <c r="AS98" s="246"/>
      <c r="AT98" s="246"/>
      <c r="AU98" s="246"/>
      <c r="AV98" s="246"/>
      <c r="AW98" s="246"/>
      <c r="AX98" s="246"/>
      <c r="AY98" s="246"/>
      <c r="AZ98" s="246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246"/>
      <c r="BV98" s="246"/>
      <c r="BW98" s="246"/>
      <c r="BX98" s="246"/>
      <c r="BY98" s="246"/>
      <c r="BZ98" s="246"/>
      <c r="CA98" s="246"/>
      <c r="CB98" s="84"/>
      <c r="CC98" s="84"/>
      <c r="CD98" s="84"/>
      <c r="CE98" s="84"/>
      <c r="CF98" s="84"/>
      <c r="CG98" s="84"/>
      <c r="CH98" s="84"/>
      <c r="CI98" s="84"/>
      <c r="CJ98" s="84"/>
      <c r="CK98" s="84"/>
      <c r="CM98" s="84"/>
      <c r="CO98" s="247"/>
      <c r="CP98" s="84"/>
      <c r="CS98" s="84"/>
      <c r="CT98" s="247"/>
      <c r="CU98" s="84"/>
    </row>
    <row r="99" spans="1:99" s="36" customFormat="1">
      <c r="A99" s="137"/>
      <c r="B99" s="137"/>
      <c r="C99" s="137"/>
      <c r="D99" s="137"/>
      <c r="E99" s="137"/>
      <c r="F99" s="137"/>
      <c r="G99" s="84"/>
      <c r="H99" s="84"/>
      <c r="I99" s="84"/>
      <c r="J99" s="84"/>
      <c r="K99" s="84"/>
      <c r="L99" s="84"/>
      <c r="M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246"/>
      <c r="AQ99" s="246"/>
      <c r="AR99" s="246"/>
      <c r="AS99" s="246"/>
      <c r="AT99" s="246"/>
      <c r="AU99" s="246"/>
      <c r="AV99" s="246"/>
      <c r="AW99" s="246"/>
      <c r="AX99" s="246"/>
      <c r="AY99" s="246"/>
      <c r="AZ99" s="246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84"/>
      <c r="CC99" s="84"/>
      <c r="CD99" s="84"/>
      <c r="CE99" s="84"/>
      <c r="CF99" s="84"/>
      <c r="CG99" s="84"/>
      <c r="CH99" s="84"/>
      <c r="CI99" s="84"/>
      <c r="CJ99" s="84"/>
      <c r="CK99" s="84"/>
      <c r="CM99" s="84"/>
      <c r="CO99" s="247"/>
      <c r="CP99" s="84"/>
      <c r="CS99" s="84"/>
      <c r="CT99" s="247"/>
      <c r="CU99" s="84"/>
    </row>
    <row r="100" spans="1:99" s="36" customFormat="1">
      <c r="A100" s="137" t="s">
        <v>233</v>
      </c>
      <c r="B100" s="137" t="s">
        <v>393</v>
      </c>
      <c r="C100" s="137" t="s">
        <v>167</v>
      </c>
      <c r="D100" s="137" t="s">
        <v>434</v>
      </c>
      <c r="E100" s="137" t="s">
        <v>424</v>
      </c>
      <c r="F100" s="137" t="s">
        <v>425</v>
      </c>
      <c r="G100" s="84" t="s">
        <v>409</v>
      </c>
      <c r="H100" s="84" t="s">
        <v>482</v>
      </c>
      <c r="I100" s="84" t="s">
        <v>488</v>
      </c>
      <c r="J100" s="84" t="s">
        <v>345</v>
      </c>
      <c r="K100" s="84" t="s">
        <v>489</v>
      </c>
      <c r="L100" s="84" t="s">
        <v>481</v>
      </c>
      <c r="M100" s="84" t="s">
        <v>195</v>
      </c>
      <c r="N100" s="84" t="s">
        <v>193</v>
      </c>
      <c r="O100" s="84" t="s">
        <v>194</v>
      </c>
      <c r="P100" s="84" t="s">
        <v>196</v>
      </c>
      <c r="Q100" s="84" t="s">
        <v>197</v>
      </c>
      <c r="R100" s="84" t="s">
        <v>86</v>
      </c>
      <c r="S100" s="84" t="s">
        <v>198</v>
      </c>
      <c r="T100" s="84" t="s">
        <v>438</v>
      </c>
      <c r="U100" s="84" t="s">
        <v>341</v>
      </c>
      <c r="V100" s="84" t="s">
        <v>343</v>
      </c>
      <c r="W100" s="84" t="s">
        <v>342</v>
      </c>
      <c r="X100" s="84" t="s">
        <v>344</v>
      </c>
      <c r="Y100" s="84" t="s">
        <v>52</v>
      </c>
      <c r="Z100" s="84" t="s">
        <v>53</v>
      </c>
      <c r="AA100" s="84" t="s">
        <v>337</v>
      </c>
      <c r="AB100" s="84" t="s">
        <v>259</v>
      </c>
      <c r="AC100" s="84" t="s">
        <v>260</v>
      </c>
      <c r="AD100" s="84" t="s">
        <v>262</v>
      </c>
      <c r="AE100" s="84" t="s">
        <v>261</v>
      </c>
      <c r="AF100" s="84" t="s">
        <v>263</v>
      </c>
      <c r="AG100" s="84" t="s">
        <v>264</v>
      </c>
      <c r="AH100" s="84" t="s">
        <v>373</v>
      </c>
      <c r="AI100" s="84" t="s">
        <v>448</v>
      </c>
      <c r="AJ100" s="84" t="s">
        <v>374</v>
      </c>
      <c r="AK100" s="84" t="s">
        <v>375</v>
      </c>
      <c r="AL100" s="84" t="s">
        <v>483</v>
      </c>
      <c r="AM100" s="84" t="s">
        <v>484</v>
      </c>
      <c r="AN100" s="84" t="s">
        <v>17</v>
      </c>
      <c r="AO100" s="246" t="s">
        <v>492</v>
      </c>
      <c r="AP100" s="246" t="s">
        <v>223</v>
      </c>
      <c r="AQ100" s="246" t="s">
        <v>477</v>
      </c>
      <c r="AR100" s="246" t="s">
        <v>381</v>
      </c>
      <c r="AS100" s="246" t="s">
        <v>382</v>
      </c>
      <c r="AT100" s="246" t="s">
        <v>383</v>
      </c>
      <c r="AU100" s="246" t="s">
        <v>423</v>
      </c>
      <c r="AV100" s="246" t="s">
        <v>4</v>
      </c>
      <c r="AW100" s="246" t="s">
        <v>241</v>
      </c>
      <c r="AX100" s="246" t="s">
        <v>242</v>
      </c>
      <c r="AY100" s="246" t="s">
        <v>243</v>
      </c>
      <c r="AZ100" s="246" t="s">
        <v>402</v>
      </c>
      <c r="BA100" s="246" t="s">
        <v>403</v>
      </c>
      <c r="BB100" s="246" t="s">
        <v>404</v>
      </c>
      <c r="BC100" s="246" t="s">
        <v>405</v>
      </c>
      <c r="BD100" s="246" t="s">
        <v>406</v>
      </c>
      <c r="BE100" s="246" t="s">
        <v>137</v>
      </c>
      <c r="BF100" s="246" t="s">
        <v>138</v>
      </c>
      <c r="BG100" s="246" t="s">
        <v>139</v>
      </c>
      <c r="BH100" s="246" t="s">
        <v>140</v>
      </c>
      <c r="BI100" s="246" t="s">
        <v>141</v>
      </c>
      <c r="BJ100" s="246" t="s">
        <v>142</v>
      </c>
      <c r="BK100" s="246" t="s">
        <v>143</v>
      </c>
      <c r="BL100" s="246" t="s">
        <v>444</v>
      </c>
      <c r="BM100" s="246" t="s">
        <v>115</v>
      </c>
      <c r="BN100" s="246" t="s">
        <v>122</v>
      </c>
      <c r="BO100" s="84" t="s">
        <v>192</v>
      </c>
      <c r="BP100" s="246" t="s">
        <v>407</v>
      </c>
      <c r="BQ100" s="246" t="s">
        <v>443</v>
      </c>
      <c r="BR100" s="246" t="s">
        <v>485</v>
      </c>
      <c r="BS100" s="246" t="s">
        <v>450</v>
      </c>
      <c r="BT100" s="246" t="s">
        <v>181</v>
      </c>
      <c r="BU100" s="246" t="s">
        <v>433</v>
      </c>
      <c r="BV100" s="246" t="s">
        <v>120</v>
      </c>
      <c r="BW100" s="36" t="s">
        <v>812</v>
      </c>
      <c r="BX100" s="246" t="s">
        <v>210</v>
      </c>
      <c r="BY100" s="246" t="s">
        <v>353</v>
      </c>
      <c r="BZ100" s="246" t="s">
        <v>146</v>
      </c>
      <c r="CA100" s="84" t="s">
        <v>147</v>
      </c>
      <c r="CB100" s="84" t="s">
        <v>105</v>
      </c>
      <c r="CC100" s="84" t="s">
        <v>101</v>
      </c>
      <c r="CD100" s="84" t="s">
        <v>102</v>
      </c>
      <c r="CE100" s="84" t="s">
        <v>103</v>
      </c>
      <c r="CF100" s="84" t="s">
        <v>104</v>
      </c>
      <c r="CG100" s="84" t="s">
        <v>100</v>
      </c>
      <c r="CH100" s="84" t="s">
        <v>96</v>
      </c>
      <c r="CI100" s="84" t="s">
        <v>97</v>
      </c>
      <c r="CJ100" s="84" t="s">
        <v>98</v>
      </c>
      <c r="CK100" s="36" t="s">
        <v>99</v>
      </c>
      <c r="CL100" s="84"/>
      <c r="CN100" s="247"/>
      <c r="CO100" s="84"/>
      <c r="CR100" s="84"/>
      <c r="CS100" s="247"/>
      <c r="CT100" s="84"/>
    </row>
    <row r="101" spans="1:99" s="36" customFormat="1">
      <c r="A101" s="137"/>
      <c r="B101" s="137"/>
      <c r="C101" s="137"/>
      <c r="D101" s="137"/>
      <c r="E101" s="137"/>
      <c r="F101" s="137"/>
      <c r="G101" s="84" t="s">
        <v>408</v>
      </c>
      <c r="H101" s="84" t="s">
        <v>408</v>
      </c>
      <c r="I101" s="84" t="s">
        <v>408</v>
      </c>
      <c r="J101" s="84" t="s">
        <v>408</v>
      </c>
      <c r="K101" s="84" t="s">
        <v>408</v>
      </c>
      <c r="L101" s="84" t="s">
        <v>408</v>
      </c>
      <c r="M101" s="84" t="s">
        <v>408</v>
      </c>
      <c r="N101" s="84" t="s">
        <v>408</v>
      </c>
      <c r="O101" s="84" t="s">
        <v>408</v>
      </c>
      <c r="P101" s="84" t="s">
        <v>408</v>
      </c>
      <c r="Q101" s="84" t="s">
        <v>408</v>
      </c>
      <c r="R101" s="84" t="s">
        <v>408</v>
      </c>
      <c r="S101" s="84" t="s">
        <v>408</v>
      </c>
      <c r="T101" s="84" t="s">
        <v>408</v>
      </c>
      <c r="U101" s="84" t="s">
        <v>400</v>
      </c>
      <c r="V101" s="84" t="s">
        <v>413</v>
      </c>
      <c r="W101" s="84" t="s">
        <v>400</v>
      </c>
      <c r="X101" s="84" t="s">
        <v>413</v>
      </c>
      <c r="Y101" s="84" t="s">
        <v>408</v>
      </c>
      <c r="Z101" s="84" t="s">
        <v>408</v>
      </c>
      <c r="AA101" s="84" t="s">
        <v>408</v>
      </c>
      <c r="AB101" s="84" t="s">
        <v>408</v>
      </c>
      <c r="AC101" s="84" t="s">
        <v>408</v>
      </c>
      <c r="AD101" s="84" t="s">
        <v>408</v>
      </c>
      <c r="AE101" s="84" t="s">
        <v>408</v>
      </c>
      <c r="AF101" s="84" t="s">
        <v>408</v>
      </c>
      <c r="AG101" s="84" t="s">
        <v>408</v>
      </c>
      <c r="AH101" s="84" t="s">
        <v>408</v>
      </c>
      <c r="AI101" s="84" t="s">
        <v>408</v>
      </c>
      <c r="AJ101" s="84" t="s">
        <v>408</v>
      </c>
      <c r="AK101" s="84" t="s">
        <v>408</v>
      </c>
      <c r="AL101" s="84" t="s">
        <v>413</v>
      </c>
      <c r="AM101" s="84" t="s">
        <v>410</v>
      </c>
      <c r="AN101" s="84" t="s">
        <v>229</v>
      </c>
      <c r="AO101" s="246" t="s">
        <v>229</v>
      </c>
      <c r="AP101" s="246" t="s">
        <v>411</v>
      </c>
      <c r="AQ101" s="246" t="s">
        <v>478</v>
      </c>
      <c r="AR101" s="246" t="s">
        <v>397</v>
      </c>
      <c r="AS101" s="246" t="s">
        <v>397</v>
      </c>
      <c r="AT101" s="246" t="s">
        <v>397</v>
      </c>
      <c r="AU101" s="246" t="s">
        <v>412</v>
      </c>
      <c r="AV101" s="246" t="s">
        <v>412</v>
      </c>
      <c r="AW101" s="246" t="s">
        <v>412</v>
      </c>
      <c r="AX101" s="246" t="s">
        <v>412</v>
      </c>
      <c r="AY101" s="246" t="s">
        <v>412</v>
      </c>
      <c r="AZ101" s="246" t="s">
        <v>447</v>
      </c>
      <c r="BA101" s="246" t="s">
        <v>447</v>
      </c>
      <c r="BB101" s="246" t="s">
        <v>447</v>
      </c>
      <c r="BC101" s="246" t="s">
        <v>447</v>
      </c>
      <c r="BD101" s="246" t="s">
        <v>447</v>
      </c>
      <c r="BE101" s="246" t="s">
        <v>396</v>
      </c>
      <c r="BF101" s="246" t="s">
        <v>396</v>
      </c>
      <c r="BG101" s="246" t="s">
        <v>396</v>
      </c>
      <c r="BH101" s="246" t="s">
        <v>396</v>
      </c>
      <c r="BI101" s="246" t="s">
        <v>396</v>
      </c>
      <c r="BJ101" s="246" t="s">
        <v>396</v>
      </c>
      <c r="BK101" s="246" t="s">
        <v>396</v>
      </c>
      <c r="BL101" s="246" t="s">
        <v>414</v>
      </c>
      <c r="BM101" s="246" t="s">
        <v>229</v>
      </c>
      <c r="BN101" s="246" t="s">
        <v>804</v>
      </c>
      <c r="BO101" s="84" t="s">
        <v>408</v>
      </c>
      <c r="BP101" s="246" t="s">
        <v>415</v>
      </c>
      <c r="BQ101" s="246" t="s">
        <v>415</v>
      </c>
      <c r="BR101" s="246" t="s">
        <v>144</v>
      </c>
      <c r="BS101" s="246" t="s">
        <v>451</v>
      </c>
      <c r="BT101" s="246" t="s">
        <v>451</v>
      </c>
      <c r="BU101" s="246" t="s">
        <v>451</v>
      </c>
      <c r="BV101" s="246" t="s">
        <v>451</v>
      </c>
      <c r="BW101" s="36" t="s">
        <v>410</v>
      </c>
      <c r="BX101" s="246" t="s">
        <v>410</v>
      </c>
      <c r="BY101" s="246" t="s">
        <v>410</v>
      </c>
      <c r="BZ101" s="246" t="s">
        <v>410</v>
      </c>
      <c r="CA101" s="84" t="s">
        <v>410</v>
      </c>
      <c r="CB101" s="84" t="s">
        <v>411</v>
      </c>
      <c r="CC101" s="84" t="s">
        <v>397</v>
      </c>
      <c r="CD101" s="84" t="s">
        <v>397</v>
      </c>
      <c r="CE101" s="84" t="s">
        <v>397</v>
      </c>
      <c r="CF101" s="84" t="s">
        <v>397</v>
      </c>
      <c r="CG101" s="84" t="s">
        <v>411</v>
      </c>
      <c r="CH101" s="84" t="s">
        <v>397</v>
      </c>
      <c r="CI101" s="84" t="s">
        <v>397</v>
      </c>
      <c r="CJ101" s="84" t="s">
        <v>397</v>
      </c>
      <c r="CK101" s="36" t="s">
        <v>397</v>
      </c>
      <c r="CL101" s="84"/>
      <c r="CN101" s="247"/>
      <c r="CO101" s="84"/>
      <c r="CR101" s="84"/>
      <c r="CS101" s="247"/>
      <c r="CT101" s="84"/>
    </row>
    <row r="102" spans="1:99" s="36" customFormat="1">
      <c r="A102" s="137"/>
      <c r="B102" s="137">
        <v>6114</v>
      </c>
      <c r="C102" s="137">
        <v>5000</v>
      </c>
      <c r="D102" s="137" t="s">
        <v>940</v>
      </c>
      <c r="E102" s="137" t="s">
        <v>426</v>
      </c>
      <c r="F102" s="137" t="s">
        <v>427</v>
      </c>
      <c r="G102" s="84">
        <v>197.96199999999999</v>
      </c>
      <c r="H102" s="84">
        <v>7.0299005681818183E-2</v>
      </c>
      <c r="I102" s="84">
        <v>0.27115330762987011</v>
      </c>
      <c r="J102" s="84">
        <v>1.0544850852272727</v>
      </c>
      <c r="K102" s="84">
        <v>4.5292645089285708</v>
      </c>
      <c r="L102" s="84">
        <v>13.929245840097401</v>
      </c>
      <c r="M102" s="84">
        <v>90.796187195616866</v>
      </c>
      <c r="N102" s="84">
        <v>2.3600380478896104</v>
      </c>
      <c r="O102" s="84">
        <v>0</v>
      </c>
      <c r="P102" s="84">
        <v>84.951327008928573</v>
      </c>
      <c r="Q102" s="84">
        <v>0</v>
      </c>
      <c r="R102" s="84">
        <v>0</v>
      </c>
      <c r="S102" s="84">
        <v>0</v>
      </c>
      <c r="T102" s="84">
        <v>0</v>
      </c>
      <c r="U102" s="84">
        <v>96.626636000000005</v>
      </c>
      <c r="V102" s="84">
        <v>4.2835930280521248</v>
      </c>
      <c r="W102" s="84">
        <v>0</v>
      </c>
      <c r="X102" s="84">
        <v>11.810222970500925</v>
      </c>
      <c r="Y102" s="84">
        <v>0</v>
      </c>
      <c r="Z102" s="84">
        <v>0</v>
      </c>
      <c r="AA102" s="84">
        <v>0</v>
      </c>
      <c r="AB102" s="84">
        <v>0</v>
      </c>
      <c r="AC102" s="84">
        <v>110.6506349431818</v>
      </c>
      <c r="AD102" s="84">
        <v>0</v>
      </c>
      <c r="AE102" s="84">
        <v>0</v>
      </c>
      <c r="AF102" s="84">
        <v>0</v>
      </c>
      <c r="AG102" s="84">
        <v>0</v>
      </c>
      <c r="AH102" s="84">
        <v>0</v>
      </c>
      <c r="AI102" s="84">
        <v>0</v>
      </c>
      <c r="AJ102" s="84">
        <v>197.96199999999999</v>
      </c>
      <c r="AK102" s="84">
        <v>0</v>
      </c>
      <c r="AL102" s="84">
        <v>776.42679999999996</v>
      </c>
      <c r="AM102" s="84">
        <v>2.411117</v>
      </c>
      <c r="AN102" s="84"/>
      <c r="AO102" s="246"/>
      <c r="AP102" s="246">
        <v>3.8620792857230506</v>
      </c>
      <c r="AQ102" s="246">
        <v>10.00490330385637</v>
      </c>
      <c r="AR102" s="246"/>
      <c r="AS102" s="246"/>
      <c r="AT102" s="246"/>
      <c r="AU102" s="246">
        <v>985.51845000000003</v>
      </c>
      <c r="AV102" s="246">
        <v>903.92200333333335</v>
      </c>
      <c r="AW102" s="246">
        <v>563.29062499999998</v>
      </c>
      <c r="AX102" s="246">
        <v>509.58259666666675</v>
      </c>
      <c r="AY102" s="246">
        <v>476.79</v>
      </c>
      <c r="AZ102" s="246">
        <v>1198.25</v>
      </c>
      <c r="BA102" s="246">
        <v>610</v>
      </c>
      <c r="BB102" s="246">
        <v>1519.8782000000001</v>
      </c>
      <c r="BC102" s="246">
        <v>942.48019999999997</v>
      </c>
      <c r="BD102" s="246">
        <v>25.427682484250894</v>
      </c>
      <c r="BE102" s="246">
        <v>1.08</v>
      </c>
      <c r="BF102" s="246">
        <v>1.7290000000000001</v>
      </c>
      <c r="BG102" s="246">
        <v>4.6070000000000002</v>
      </c>
      <c r="BH102" s="246">
        <v>12.443</v>
      </c>
      <c r="BI102" s="246">
        <v>27.446000000000002</v>
      </c>
      <c r="BJ102" s="246">
        <v>0.17599999999999999</v>
      </c>
      <c r="BK102" s="246">
        <v>0.13200000000000001</v>
      </c>
      <c r="BL102" s="246">
        <v>2384</v>
      </c>
      <c r="BM102" s="246">
        <v>0.13466157507643997</v>
      </c>
      <c r="BN102" s="246">
        <v>0</v>
      </c>
      <c r="BO102" s="84">
        <v>36.650367209690337</v>
      </c>
      <c r="BP102" s="246">
        <v>87.871515460110658</v>
      </c>
      <c r="BQ102" s="246">
        <v>82.391459187782047</v>
      </c>
      <c r="BR102" s="246">
        <v>964.96731964628384</v>
      </c>
      <c r="BS102" s="246">
        <v>14813</v>
      </c>
      <c r="BT102" s="246">
        <v>13370.615990096065</v>
      </c>
      <c r="BU102" s="246">
        <v>13254.402778770776</v>
      </c>
      <c r="BV102" s="246">
        <f>2/3*(BS102-BT102)</f>
        <v>961.58933993595679</v>
      </c>
      <c r="BW102" s="36">
        <v>50</v>
      </c>
      <c r="BX102" s="246">
        <v>97.540999999999997</v>
      </c>
      <c r="BY102" s="246">
        <v>125.65877832617738</v>
      </c>
      <c r="BZ102" s="246">
        <v>25</v>
      </c>
      <c r="CA102" s="84">
        <v>0</v>
      </c>
      <c r="CB102" s="84">
        <v>1.9134100710299341E-2</v>
      </c>
      <c r="CC102" s="84">
        <v>0</v>
      </c>
      <c r="CD102" s="84">
        <v>0</v>
      </c>
      <c r="CE102" s="84">
        <v>7.4260000000000002</v>
      </c>
      <c r="CF102" s="84">
        <v>1.444</v>
      </c>
      <c r="CG102" s="84">
        <v>0</v>
      </c>
      <c r="CH102" s="84">
        <v>0</v>
      </c>
      <c r="CI102" s="84">
        <v>0</v>
      </c>
      <c r="CJ102" s="84">
        <v>0</v>
      </c>
      <c r="CK102" s="36">
        <v>0</v>
      </c>
      <c r="CL102" s="84"/>
      <c r="CN102" s="247"/>
      <c r="CO102" s="84"/>
      <c r="CR102" s="84"/>
      <c r="CS102" s="247"/>
      <c r="CT102" s="84"/>
    </row>
    <row r="103" spans="1:99" s="36" customFormat="1">
      <c r="A103" s="137"/>
      <c r="B103" s="137">
        <v>6115</v>
      </c>
      <c r="C103" s="137">
        <v>1130</v>
      </c>
      <c r="D103" s="137" t="s">
        <v>941</v>
      </c>
      <c r="E103" s="137" t="s">
        <v>429</v>
      </c>
      <c r="F103" s="137" t="s">
        <v>427</v>
      </c>
      <c r="G103" s="84">
        <v>52.914000000000001</v>
      </c>
      <c r="H103" s="84">
        <v>2.0088838268792712E-2</v>
      </c>
      <c r="I103" s="84">
        <v>0.14062186788154898</v>
      </c>
      <c r="J103" s="84">
        <v>0.35155466970387245</v>
      </c>
      <c r="K103" s="84">
        <v>1.1551082004555808</v>
      </c>
      <c r="L103" s="84">
        <v>4.479810933940775</v>
      </c>
      <c r="M103" s="84">
        <v>11.862458997722097</v>
      </c>
      <c r="N103" s="84">
        <v>0</v>
      </c>
      <c r="O103" s="84">
        <v>0</v>
      </c>
      <c r="P103" s="84">
        <v>34.82400113895217</v>
      </c>
      <c r="Q103" s="84">
        <v>0</v>
      </c>
      <c r="R103" s="84">
        <v>0</v>
      </c>
      <c r="S103" s="84">
        <v>8.0355353075170846E-2</v>
      </c>
      <c r="T103" s="84">
        <v>0</v>
      </c>
      <c r="U103" s="84">
        <v>8.0899959999999993</v>
      </c>
      <c r="V103" s="84">
        <v>2.0893951485237379</v>
      </c>
      <c r="W103" s="84">
        <v>0</v>
      </c>
      <c r="X103" s="84">
        <v>5.1477866966088257</v>
      </c>
      <c r="Y103" s="84">
        <v>0</v>
      </c>
      <c r="Z103" s="84">
        <v>0</v>
      </c>
      <c r="AA103" s="84">
        <v>0</v>
      </c>
      <c r="AB103" s="84">
        <v>0</v>
      </c>
      <c r="AC103" s="84">
        <v>18.009643507972669</v>
      </c>
      <c r="AD103" s="84">
        <v>0</v>
      </c>
      <c r="AE103" s="84">
        <v>0</v>
      </c>
      <c r="AF103" s="84">
        <v>0</v>
      </c>
      <c r="AG103" s="84">
        <v>0</v>
      </c>
      <c r="AH103" s="84">
        <v>0</v>
      </c>
      <c r="AI103" s="84">
        <v>0</v>
      </c>
      <c r="AJ103" s="84">
        <v>52.914000000000001</v>
      </c>
      <c r="AK103" s="84">
        <v>0</v>
      </c>
      <c r="AL103" s="84">
        <v>878.48379999999997</v>
      </c>
      <c r="AM103" s="84">
        <v>2.164444</v>
      </c>
      <c r="AN103" s="84"/>
      <c r="AO103" s="246"/>
      <c r="AP103" s="246">
        <v>0.56400270169610489</v>
      </c>
      <c r="AQ103" s="246">
        <v>10.083670881394063</v>
      </c>
      <c r="AR103" s="246"/>
      <c r="AS103" s="246"/>
      <c r="AT103" s="246"/>
      <c r="AU103" s="246">
        <v>907.55095000000006</v>
      </c>
      <c r="AV103" s="246">
        <v>824.87221999999997</v>
      </c>
      <c r="AW103" s="246">
        <v>543.68520000000001</v>
      </c>
      <c r="AX103" s="246">
        <v>482.15369666666663</v>
      </c>
      <c r="AY103" s="246">
        <v>476.08</v>
      </c>
      <c r="AZ103" s="246">
        <v>891</v>
      </c>
      <c r="BA103" s="246">
        <v>592.5</v>
      </c>
      <c r="BB103" s="246">
        <v>1123</v>
      </c>
      <c r="BC103" s="246">
        <v>736.57529999999997</v>
      </c>
      <c r="BD103" s="246">
        <v>25.459793420045909</v>
      </c>
      <c r="BE103" s="246">
        <v>1.08</v>
      </c>
      <c r="BF103" s="246">
        <v>2.601</v>
      </c>
      <c r="BG103" s="246">
        <v>6.5030000000000001</v>
      </c>
      <c r="BH103" s="246">
        <v>14.371</v>
      </c>
      <c r="BI103" s="246">
        <v>34.707000000000001</v>
      </c>
      <c r="BJ103" s="246">
        <v>0.215</v>
      </c>
      <c r="BK103" s="246">
        <v>0.13300000000000001</v>
      </c>
      <c r="BL103" s="246">
        <v>2300</v>
      </c>
      <c r="BM103" s="246">
        <v>0.11534691933028919</v>
      </c>
      <c r="BN103" s="246">
        <v>0</v>
      </c>
      <c r="BO103" s="84">
        <v>0</v>
      </c>
      <c r="BP103" s="246">
        <v>42.577960246120867</v>
      </c>
      <c r="BQ103" s="246">
        <v>47.97113098183555</v>
      </c>
      <c r="BR103" s="246">
        <v>835.41904216945886</v>
      </c>
      <c r="BS103" s="246">
        <v>1444</v>
      </c>
      <c r="BT103" s="246">
        <v>1083.7224212159385</v>
      </c>
      <c r="BU103" s="246">
        <v>906.49167672754118</v>
      </c>
      <c r="BV103" s="246">
        <f>2/3*(BS103-BT103)</f>
        <v>240.18505252270762</v>
      </c>
      <c r="BW103" s="36">
        <v>50</v>
      </c>
      <c r="BX103" s="246">
        <v>97.540999999999997</v>
      </c>
      <c r="BY103" s="246">
        <v>5</v>
      </c>
      <c r="BZ103" s="246">
        <v>25</v>
      </c>
      <c r="CA103" s="84">
        <v>0</v>
      </c>
      <c r="CB103" s="84">
        <v>0</v>
      </c>
      <c r="CC103" s="84">
        <v>0</v>
      </c>
      <c r="CD103" s="84">
        <v>0</v>
      </c>
      <c r="CE103" s="84">
        <v>0</v>
      </c>
      <c r="CF103" s="84">
        <v>0</v>
      </c>
      <c r="CG103" s="84">
        <v>0</v>
      </c>
      <c r="CH103" s="84">
        <v>0</v>
      </c>
      <c r="CI103" s="84">
        <v>0</v>
      </c>
      <c r="CJ103" s="84">
        <v>0</v>
      </c>
      <c r="CK103" s="36">
        <v>0</v>
      </c>
      <c r="CL103" s="84"/>
      <c r="CN103" s="247"/>
      <c r="CO103" s="84"/>
      <c r="CR103" s="84"/>
      <c r="CS103" s="247"/>
      <c r="CT103" s="84"/>
    </row>
    <row r="104" spans="1:99" s="36" customFormat="1">
      <c r="A104" s="137"/>
      <c r="B104" s="137"/>
      <c r="C104" s="137"/>
      <c r="D104" s="137"/>
      <c r="E104" s="137"/>
      <c r="F104" s="137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246"/>
      <c r="AQ104" s="246"/>
      <c r="AR104" s="246"/>
      <c r="AS104" s="246"/>
      <c r="AT104" s="246"/>
      <c r="AU104" s="246"/>
      <c r="AV104" s="246"/>
      <c r="AW104" s="246"/>
      <c r="AX104" s="246"/>
      <c r="AY104" s="246"/>
      <c r="AZ104" s="246"/>
      <c r="BA104" s="246"/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/>
      <c r="BP104" s="246"/>
      <c r="BQ104" s="246"/>
      <c r="BR104" s="246"/>
      <c r="BS104" s="246"/>
      <c r="BT104" s="246"/>
      <c r="BU104" s="246"/>
      <c r="BV104" s="246"/>
      <c r="BW104" s="246"/>
      <c r="BX104" s="246"/>
      <c r="BY104" s="246"/>
      <c r="BZ104" s="246"/>
      <c r="CA104" s="246"/>
      <c r="CB104" s="84"/>
      <c r="CC104" s="84"/>
      <c r="CD104" s="84"/>
      <c r="CE104" s="84"/>
      <c r="CF104" s="84"/>
      <c r="CG104" s="84"/>
      <c r="CH104" s="84"/>
      <c r="CI104" s="84"/>
      <c r="CJ104" s="84"/>
      <c r="CK104" s="84"/>
      <c r="CM104" s="84"/>
      <c r="CO104" s="247"/>
      <c r="CP104" s="84"/>
      <c r="CS104" s="84"/>
      <c r="CT104" s="247"/>
      <c r="CU104" s="84"/>
    </row>
    <row r="105" spans="1:99" s="36" customFormat="1">
      <c r="A105" s="137"/>
      <c r="B105" s="137"/>
      <c r="C105" s="137"/>
      <c r="D105" s="137"/>
      <c r="E105" s="137"/>
      <c r="F105" s="137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246"/>
      <c r="AQ105" s="246"/>
      <c r="AR105" s="246"/>
      <c r="AS105" s="246"/>
      <c r="AT105" s="246"/>
      <c r="AU105" s="246"/>
      <c r="AV105" s="246"/>
      <c r="AW105" s="246"/>
      <c r="AX105" s="246"/>
      <c r="AY105" s="246"/>
      <c r="AZ105" s="246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246"/>
      <c r="BV105" s="246"/>
      <c r="BW105" s="246"/>
      <c r="BX105" s="246"/>
      <c r="BY105" s="246"/>
      <c r="BZ105" s="246"/>
      <c r="CA105" s="246"/>
      <c r="CB105" s="84"/>
      <c r="CC105" s="84"/>
      <c r="CD105" s="84"/>
      <c r="CE105" s="84"/>
      <c r="CF105" s="84"/>
      <c r="CG105" s="84"/>
      <c r="CH105" s="84"/>
      <c r="CI105" s="84"/>
      <c r="CJ105" s="84"/>
      <c r="CK105" s="84"/>
      <c r="CM105" s="84"/>
      <c r="CO105" s="247"/>
      <c r="CP105" s="84"/>
      <c r="CS105" s="84"/>
      <c r="CT105" s="247"/>
      <c r="CU105" s="84"/>
    </row>
    <row r="106" spans="1:99" s="36" customFormat="1">
      <c r="A106" s="137"/>
      <c r="B106" s="137"/>
      <c r="C106" s="137"/>
      <c r="D106" s="137"/>
      <c r="E106" s="137"/>
      <c r="F106" s="137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246"/>
      <c r="AQ106" s="246"/>
      <c r="AR106" s="246"/>
      <c r="AS106" s="246"/>
      <c r="AT106" s="246"/>
      <c r="AU106" s="246"/>
      <c r="AV106" s="246"/>
      <c r="AW106" s="246"/>
      <c r="AX106" s="246"/>
      <c r="AY106" s="246"/>
      <c r="AZ106" s="246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246"/>
      <c r="BV106" s="246"/>
      <c r="BW106" s="246"/>
      <c r="BX106" s="246"/>
      <c r="BY106" s="246"/>
      <c r="BZ106" s="246"/>
      <c r="CA106" s="246"/>
      <c r="CB106" s="84"/>
      <c r="CC106" s="84"/>
      <c r="CD106" s="84"/>
      <c r="CE106" s="84"/>
      <c r="CF106" s="84"/>
      <c r="CG106" s="84"/>
      <c r="CH106" s="84"/>
      <c r="CI106" s="84"/>
      <c r="CJ106" s="84"/>
      <c r="CK106" s="84"/>
      <c r="CM106" s="84"/>
      <c r="CO106" s="247"/>
      <c r="CP106" s="84"/>
      <c r="CS106" s="84"/>
      <c r="CT106" s="247"/>
      <c r="CU106" s="84"/>
    </row>
    <row r="107" spans="1:99" s="36" customFormat="1">
      <c r="A107" s="137"/>
      <c r="B107" s="137"/>
      <c r="C107" s="137"/>
      <c r="D107" s="137"/>
      <c r="E107" s="137"/>
      <c r="F107" s="137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246"/>
      <c r="AQ107" s="246"/>
      <c r="AR107" s="246"/>
      <c r="AS107" s="246"/>
      <c r="AT107" s="246"/>
      <c r="AU107" s="246"/>
      <c r="AV107" s="246"/>
      <c r="AW107" s="246"/>
      <c r="AX107" s="246"/>
      <c r="AY107" s="246"/>
      <c r="AZ107" s="246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246"/>
      <c r="BV107" s="246"/>
      <c r="BW107" s="246"/>
      <c r="BX107" s="246"/>
      <c r="BY107" s="246"/>
      <c r="BZ107" s="246"/>
      <c r="CA107" s="246"/>
      <c r="CB107" s="84"/>
      <c r="CC107" s="84"/>
      <c r="CD107" s="84"/>
      <c r="CE107" s="84"/>
      <c r="CF107" s="84"/>
      <c r="CG107" s="84"/>
      <c r="CH107" s="84"/>
      <c r="CI107" s="84"/>
      <c r="CJ107" s="84"/>
      <c r="CK107" s="84"/>
      <c r="CM107" s="84"/>
      <c r="CO107" s="247"/>
      <c r="CP107" s="84"/>
      <c r="CS107" s="84"/>
      <c r="CT107" s="247"/>
      <c r="CU107" s="84"/>
    </row>
    <row r="108" spans="1:99" s="36" customFormat="1">
      <c r="A108" s="137"/>
      <c r="B108" s="137"/>
      <c r="C108" s="137"/>
      <c r="D108" s="137"/>
      <c r="E108" s="137"/>
      <c r="F108" s="137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246"/>
      <c r="AQ108" s="246"/>
      <c r="AR108" s="246"/>
      <c r="AS108" s="246"/>
      <c r="AT108" s="246"/>
      <c r="AU108" s="246"/>
      <c r="AV108" s="246"/>
      <c r="AW108" s="246"/>
      <c r="AX108" s="246"/>
      <c r="AY108" s="246"/>
      <c r="AZ108" s="246"/>
      <c r="BA108" s="246"/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/>
      <c r="BP108" s="246"/>
      <c r="BQ108" s="246"/>
      <c r="BR108" s="246"/>
      <c r="BS108" s="246"/>
      <c r="BT108" s="246"/>
      <c r="BU108" s="246"/>
      <c r="BV108" s="246"/>
      <c r="BW108" s="246"/>
      <c r="BX108" s="246"/>
      <c r="BY108" s="246"/>
      <c r="BZ108" s="246"/>
      <c r="CA108" s="246"/>
      <c r="CB108" s="84"/>
      <c r="CC108" s="84"/>
      <c r="CD108" s="84"/>
      <c r="CE108" s="84"/>
      <c r="CF108" s="84"/>
      <c r="CG108" s="84"/>
      <c r="CH108" s="84"/>
      <c r="CI108" s="84"/>
      <c r="CJ108" s="84"/>
      <c r="CK108" s="84"/>
      <c r="CM108" s="84"/>
      <c r="CO108" s="247"/>
      <c r="CP108" s="84"/>
      <c r="CS108" s="84"/>
      <c r="CT108" s="247"/>
      <c r="CU108" s="84"/>
    </row>
    <row r="109" spans="1:99" s="36" customFormat="1">
      <c r="A109" s="137"/>
      <c r="B109" s="137"/>
      <c r="C109" s="137"/>
      <c r="D109" s="137"/>
      <c r="E109" s="137"/>
      <c r="F109" s="137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246"/>
      <c r="AQ109" s="246"/>
      <c r="AR109" s="246"/>
      <c r="AS109" s="246"/>
      <c r="AT109" s="246"/>
      <c r="AU109" s="246"/>
      <c r="AV109" s="246"/>
      <c r="AW109" s="246"/>
      <c r="AX109" s="246"/>
      <c r="AY109" s="246"/>
      <c r="AZ109" s="246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246"/>
      <c r="BV109" s="246"/>
      <c r="BW109" s="246"/>
      <c r="BX109" s="246"/>
      <c r="BY109" s="246"/>
      <c r="BZ109" s="246"/>
      <c r="CA109" s="246"/>
      <c r="CB109" s="84"/>
      <c r="CC109" s="84"/>
      <c r="CD109" s="84"/>
      <c r="CE109" s="84"/>
      <c r="CF109" s="84"/>
      <c r="CG109" s="84"/>
      <c r="CH109" s="84"/>
      <c r="CI109" s="84"/>
      <c r="CJ109" s="84"/>
      <c r="CK109" s="84"/>
      <c r="CM109" s="84"/>
      <c r="CO109" s="247"/>
      <c r="CP109" s="84"/>
      <c r="CS109" s="84"/>
      <c r="CT109" s="247"/>
      <c r="CU109" s="84"/>
    </row>
    <row r="110" spans="1:99" s="36" customFormat="1">
      <c r="A110" s="137"/>
      <c r="B110" s="137"/>
      <c r="C110" s="137"/>
      <c r="D110" s="137"/>
      <c r="E110" s="137"/>
      <c r="F110" s="137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246"/>
      <c r="AQ110" s="246"/>
      <c r="AR110" s="246"/>
      <c r="AS110" s="246"/>
      <c r="AT110" s="246"/>
      <c r="AU110" s="246"/>
      <c r="AV110" s="246"/>
      <c r="AW110" s="246"/>
      <c r="AX110" s="246"/>
      <c r="AY110" s="246"/>
      <c r="AZ110" s="246"/>
      <c r="BA110" s="246"/>
      <c r="BB110" s="246"/>
      <c r="BC110" s="246"/>
      <c r="BD110" s="246"/>
      <c r="BE110" s="246"/>
      <c r="BF110" s="246"/>
      <c r="BG110" s="246"/>
      <c r="BH110" s="246"/>
      <c r="BI110" s="246"/>
      <c r="BJ110" s="246"/>
      <c r="BK110" s="246"/>
      <c r="BL110" s="246"/>
      <c r="BM110" s="246"/>
      <c r="BN110" s="246"/>
      <c r="BO110" s="246"/>
      <c r="BP110" s="246"/>
      <c r="BQ110" s="246"/>
      <c r="BR110" s="246"/>
      <c r="BS110" s="246"/>
      <c r="BT110" s="246"/>
      <c r="BU110" s="246"/>
      <c r="BV110" s="246"/>
      <c r="BW110" s="246"/>
      <c r="BX110" s="246"/>
      <c r="BY110" s="246"/>
      <c r="BZ110" s="246"/>
      <c r="CA110" s="246"/>
      <c r="CB110" s="84"/>
      <c r="CC110" s="84"/>
      <c r="CD110" s="84"/>
      <c r="CE110" s="84"/>
      <c r="CF110" s="84"/>
      <c r="CG110" s="84"/>
      <c r="CH110" s="84"/>
      <c r="CI110" s="84"/>
      <c r="CJ110" s="84"/>
      <c r="CK110" s="84"/>
      <c r="CM110" s="84"/>
      <c r="CO110" s="247"/>
      <c r="CP110" s="84"/>
      <c r="CS110" s="84"/>
      <c r="CT110" s="247"/>
      <c r="CU110" s="84"/>
    </row>
    <row r="111" spans="1:99" s="36" customFormat="1">
      <c r="A111" s="137"/>
      <c r="B111" s="137"/>
      <c r="C111" s="137"/>
      <c r="D111" s="137"/>
      <c r="E111" s="137"/>
      <c r="F111" s="137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246"/>
      <c r="AQ111" s="246"/>
      <c r="AR111" s="246"/>
      <c r="AS111" s="246"/>
      <c r="AT111" s="246"/>
      <c r="AU111" s="246"/>
      <c r="AV111" s="246"/>
      <c r="AW111" s="246"/>
      <c r="AX111" s="246"/>
      <c r="AY111" s="246"/>
      <c r="AZ111" s="246"/>
      <c r="BA111" s="246"/>
      <c r="BB111" s="246"/>
      <c r="BC111" s="246"/>
      <c r="BD111" s="246"/>
      <c r="BE111" s="246"/>
      <c r="BF111" s="246"/>
      <c r="BG111" s="246"/>
      <c r="BH111" s="246"/>
      <c r="BI111" s="246"/>
      <c r="BJ111" s="246"/>
      <c r="BK111" s="246"/>
      <c r="BL111" s="246"/>
      <c r="BM111" s="246"/>
      <c r="BN111" s="246"/>
      <c r="BO111" s="246"/>
      <c r="BP111" s="246"/>
      <c r="BQ111" s="246"/>
      <c r="BR111" s="246"/>
      <c r="BS111" s="246"/>
      <c r="BT111" s="246"/>
      <c r="BU111" s="246"/>
      <c r="BV111" s="246"/>
      <c r="BW111" s="246"/>
      <c r="BX111" s="246"/>
      <c r="BY111" s="246"/>
      <c r="BZ111" s="246"/>
      <c r="CA111" s="246"/>
      <c r="CB111" s="84"/>
      <c r="CC111" s="84"/>
      <c r="CD111" s="84"/>
      <c r="CE111" s="84"/>
      <c r="CF111" s="84"/>
      <c r="CG111" s="84"/>
      <c r="CH111" s="84"/>
      <c r="CI111" s="84"/>
      <c r="CJ111" s="84"/>
      <c r="CK111" s="84"/>
      <c r="CM111" s="84"/>
      <c r="CO111" s="247"/>
      <c r="CP111" s="84"/>
      <c r="CS111" s="84"/>
      <c r="CT111" s="247"/>
      <c r="CU111" s="84"/>
    </row>
    <row r="112" spans="1:99" s="36" customFormat="1">
      <c r="A112" s="137"/>
      <c r="B112" s="137"/>
      <c r="C112" s="137"/>
      <c r="D112" s="137"/>
      <c r="E112" s="137"/>
      <c r="F112" s="137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246"/>
      <c r="AQ112" s="246"/>
      <c r="AR112" s="246"/>
      <c r="AS112" s="246"/>
      <c r="AT112" s="246"/>
      <c r="AU112" s="246"/>
      <c r="AV112" s="246"/>
      <c r="AW112" s="246"/>
      <c r="AX112" s="246"/>
      <c r="AY112" s="246"/>
      <c r="AZ112" s="246"/>
      <c r="BA112" s="246"/>
      <c r="BB112" s="246"/>
      <c r="BC112" s="246"/>
      <c r="BD112" s="246"/>
      <c r="BE112" s="246"/>
      <c r="BF112" s="246"/>
      <c r="BG112" s="246"/>
      <c r="BH112" s="246"/>
      <c r="BI112" s="246"/>
      <c r="BJ112" s="246"/>
      <c r="BK112" s="246"/>
      <c r="BL112" s="246"/>
      <c r="BM112" s="246"/>
      <c r="BN112" s="246"/>
      <c r="BO112" s="246"/>
      <c r="BP112" s="246"/>
      <c r="BQ112" s="246"/>
      <c r="BR112" s="246"/>
      <c r="BS112" s="246"/>
      <c r="BT112" s="246"/>
      <c r="BU112" s="246"/>
      <c r="BV112" s="246"/>
      <c r="BW112" s="246"/>
      <c r="BX112" s="246"/>
      <c r="BY112" s="246"/>
      <c r="BZ112" s="246"/>
      <c r="CA112" s="246"/>
      <c r="CB112" s="84"/>
      <c r="CC112" s="84"/>
      <c r="CD112" s="84"/>
      <c r="CE112" s="84"/>
      <c r="CF112" s="84"/>
      <c r="CG112" s="84"/>
      <c r="CH112" s="84"/>
      <c r="CI112" s="84"/>
      <c r="CJ112" s="84"/>
      <c r="CK112" s="84"/>
      <c r="CM112" s="84"/>
      <c r="CO112" s="247"/>
      <c r="CP112" s="84"/>
      <c r="CS112" s="84"/>
      <c r="CT112" s="247"/>
      <c r="CU112" s="84"/>
    </row>
    <row r="113" spans="1:99" s="36" customFormat="1">
      <c r="A113" s="137"/>
      <c r="B113" s="137"/>
      <c r="C113" s="137"/>
      <c r="D113" s="137"/>
      <c r="E113" s="137"/>
      <c r="F113" s="137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246"/>
      <c r="AQ113" s="246"/>
      <c r="AR113" s="246"/>
      <c r="AS113" s="246"/>
      <c r="AT113" s="246"/>
      <c r="AU113" s="246"/>
      <c r="AV113" s="246"/>
      <c r="AW113" s="246"/>
      <c r="AX113" s="246"/>
      <c r="AY113" s="246"/>
      <c r="AZ113" s="246"/>
      <c r="BA113" s="246"/>
      <c r="BB113" s="246"/>
      <c r="BC113" s="246"/>
      <c r="BD113" s="246"/>
      <c r="BE113" s="246"/>
      <c r="BF113" s="246"/>
      <c r="BG113" s="246"/>
      <c r="BH113" s="246"/>
      <c r="BI113" s="246"/>
      <c r="BJ113" s="246"/>
      <c r="BK113" s="246"/>
      <c r="BL113" s="246"/>
      <c r="BM113" s="246"/>
      <c r="BN113" s="246"/>
      <c r="BO113" s="246"/>
      <c r="BP113" s="246"/>
      <c r="BQ113" s="246"/>
      <c r="BR113" s="246"/>
      <c r="BS113" s="246"/>
      <c r="BT113" s="246"/>
      <c r="BU113" s="246"/>
      <c r="BV113" s="246"/>
      <c r="BW113" s="246"/>
      <c r="BX113" s="246"/>
      <c r="BY113" s="246"/>
      <c r="BZ113" s="246"/>
      <c r="CA113" s="246"/>
      <c r="CB113" s="84"/>
      <c r="CC113" s="84"/>
      <c r="CD113" s="84"/>
      <c r="CE113" s="84"/>
      <c r="CF113" s="84"/>
      <c r="CG113" s="84"/>
      <c r="CH113" s="84"/>
      <c r="CI113" s="84"/>
      <c r="CJ113" s="84"/>
      <c r="CK113" s="84"/>
      <c r="CM113" s="84"/>
      <c r="CO113" s="247"/>
      <c r="CP113" s="84"/>
      <c r="CS113" s="84"/>
      <c r="CT113" s="247"/>
      <c r="CU113" s="84"/>
    </row>
    <row r="114" spans="1:99" s="36" customFormat="1">
      <c r="A114" s="137"/>
      <c r="B114" s="137"/>
      <c r="C114" s="137"/>
      <c r="D114" s="137"/>
      <c r="E114" s="137"/>
      <c r="F114" s="137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246"/>
      <c r="AQ114" s="246"/>
      <c r="AR114" s="246"/>
      <c r="AS114" s="246"/>
      <c r="AT114" s="246"/>
      <c r="AU114" s="246"/>
      <c r="AV114" s="246"/>
      <c r="AW114" s="246"/>
      <c r="AX114" s="246"/>
      <c r="AY114" s="246"/>
      <c r="AZ114" s="246"/>
      <c r="BA114" s="246"/>
      <c r="BB114" s="246"/>
      <c r="BC114" s="246"/>
      <c r="BD114" s="246"/>
      <c r="BE114" s="246"/>
      <c r="BF114" s="246"/>
      <c r="BG114" s="246"/>
      <c r="BH114" s="246"/>
      <c r="BI114" s="246"/>
      <c r="BJ114" s="246"/>
      <c r="BK114" s="246"/>
      <c r="BL114" s="246"/>
      <c r="BM114" s="246"/>
      <c r="BN114" s="246"/>
      <c r="BO114" s="246"/>
      <c r="BP114" s="246"/>
      <c r="BQ114" s="246"/>
      <c r="BR114" s="246"/>
      <c r="BS114" s="246"/>
      <c r="BT114" s="246"/>
      <c r="BU114" s="246"/>
      <c r="BV114" s="246"/>
      <c r="BW114" s="246"/>
      <c r="BX114" s="246"/>
      <c r="BY114" s="246"/>
      <c r="BZ114" s="246"/>
      <c r="CA114" s="246"/>
      <c r="CB114" s="84"/>
      <c r="CC114" s="84"/>
      <c r="CD114" s="84"/>
      <c r="CE114" s="84"/>
      <c r="CF114" s="84"/>
      <c r="CG114" s="84"/>
      <c r="CH114" s="84"/>
      <c r="CI114" s="84"/>
      <c r="CJ114" s="84"/>
      <c r="CK114" s="84"/>
      <c r="CM114" s="84"/>
      <c r="CO114" s="247"/>
      <c r="CP114" s="84"/>
      <c r="CS114" s="84"/>
      <c r="CT114" s="247"/>
      <c r="CU114" s="84"/>
    </row>
    <row r="115" spans="1:99" s="36" customFormat="1">
      <c r="A115" s="137"/>
      <c r="B115" s="137"/>
      <c r="C115" s="137"/>
      <c r="D115" s="137"/>
      <c r="E115" s="137"/>
      <c r="F115" s="137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246"/>
      <c r="AQ115" s="246"/>
      <c r="AR115" s="246"/>
      <c r="AS115" s="246"/>
      <c r="AT115" s="246"/>
      <c r="AU115" s="246"/>
      <c r="AV115" s="246"/>
      <c r="AW115" s="246"/>
      <c r="AX115" s="246"/>
      <c r="AY115" s="246"/>
      <c r="AZ115" s="246"/>
      <c r="BA115" s="246"/>
      <c r="BB115" s="246"/>
      <c r="BC115" s="246"/>
      <c r="BD115" s="246"/>
      <c r="BE115" s="246"/>
      <c r="BF115" s="246"/>
      <c r="BG115" s="246"/>
      <c r="BH115" s="246"/>
      <c r="BI115" s="246"/>
      <c r="BJ115" s="246"/>
      <c r="BK115" s="246"/>
      <c r="BL115" s="246"/>
      <c r="BM115" s="246"/>
      <c r="BN115" s="246"/>
      <c r="BO115" s="246"/>
      <c r="BP115" s="246"/>
      <c r="BQ115" s="246"/>
      <c r="BR115" s="246"/>
      <c r="BS115" s="246"/>
      <c r="BT115" s="246"/>
      <c r="BU115" s="246"/>
      <c r="BV115" s="246"/>
      <c r="BW115" s="246"/>
      <c r="BX115" s="246"/>
      <c r="BY115" s="246"/>
      <c r="BZ115" s="246"/>
      <c r="CA115" s="246"/>
      <c r="CB115" s="84"/>
      <c r="CC115" s="84"/>
      <c r="CD115" s="84"/>
      <c r="CE115" s="84"/>
      <c r="CF115" s="84"/>
      <c r="CG115" s="84"/>
      <c r="CH115" s="84"/>
      <c r="CI115" s="84"/>
      <c r="CJ115" s="84"/>
      <c r="CK115" s="84"/>
      <c r="CM115" s="84"/>
      <c r="CO115" s="247"/>
      <c r="CP115" s="84"/>
      <c r="CS115" s="84"/>
      <c r="CT115" s="247"/>
      <c r="CU115" s="84"/>
    </row>
    <row r="116" spans="1:99" s="36" customFormat="1">
      <c r="A116" s="137"/>
      <c r="B116" s="137"/>
      <c r="C116" s="137"/>
      <c r="D116" s="137"/>
      <c r="E116" s="137"/>
      <c r="F116" s="137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246"/>
      <c r="AQ116" s="246"/>
      <c r="AR116" s="246"/>
      <c r="AS116" s="246"/>
      <c r="AT116" s="246"/>
      <c r="AU116" s="246"/>
      <c r="AV116" s="246"/>
      <c r="AW116" s="246"/>
      <c r="AX116" s="246"/>
      <c r="AY116" s="246"/>
      <c r="AZ116" s="246"/>
      <c r="BA116" s="246"/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/>
      <c r="BP116" s="246"/>
      <c r="BQ116" s="246"/>
      <c r="BR116" s="246"/>
      <c r="BS116" s="246"/>
      <c r="BT116" s="246"/>
      <c r="BU116" s="246"/>
      <c r="BV116" s="246"/>
      <c r="BW116" s="246"/>
      <c r="BX116" s="246"/>
      <c r="BY116" s="246"/>
      <c r="BZ116" s="246"/>
      <c r="CA116" s="246"/>
      <c r="CB116" s="84"/>
      <c r="CC116" s="84"/>
      <c r="CD116" s="84"/>
      <c r="CE116" s="84"/>
      <c r="CF116" s="84"/>
      <c r="CG116" s="84"/>
      <c r="CH116" s="84"/>
      <c r="CI116" s="84"/>
      <c r="CJ116" s="84"/>
      <c r="CK116" s="84"/>
      <c r="CM116" s="84"/>
      <c r="CO116" s="247"/>
      <c r="CP116" s="84"/>
      <c r="CS116" s="84"/>
      <c r="CT116" s="247"/>
      <c r="CU116" s="84"/>
    </row>
    <row r="117" spans="1:99" s="36" customFormat="1">
      <c r="A117" s="137"/>
      <c r="B117" s="137"/>
      <c r="C117" s="137"/>
      <c r="D117" s="137"/>
      <c r="E117" s="137"/>
      <c r="F117" s="137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246"/>
      <c r="AQ117" s="246"/>
      <c r="AR117" s="246"/>
      <c r="AS117" s="246"/>
      <c r="AT117" s="246"/>
      <c r="AU117" s="246"/>
      <c r="AV117" s="246"/>
      <c r="AW117" s="246"/>
      <c r="AX117" s="246"/>
      <c r="AY117" s="246"/>
      <c r="AZ117" s="246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246"/>
      <c r="BV117" s="246"/>
      <c r="BW117" s="246"/>
      <c r="BX117" s="246"/>
      <c r="BY117" s="246"/>
      <c r="BZ117" s="246"/>
      <c r="CA117" s="246"/>
      <c r="CB117" s="84"/>
      <c r="CC117" s="84"/>
      <c r="CD117" s="84"/>
      <c r="CE117" s="84"/>
      <c r="CF117" s="84"/>
      <c r="CG117" s="84"/>
      <c r="CH117" s="84"/>
      <c r="CI117" s="84"/>
      <c r="CJ117" s="84"/>
      <c r="CK117" s="84"/>
      <c r="CM117" s="84"/>
      <c r="CO117" s="247"/>
      <c r="CP117" s="84"/>
      <c r="CS117" s="84"/>
      <c r="CT117" s="247"/>
      <c r="CU117" s="84"/>
    </row>
    <row r="118" spans="1:99" s="36" customFormat="1">
      <c r="A118" s="137"/>
      <c r="B118" s="137"/>
      <c r="C118" s="137"/>
      <c r="D118" s="137"/>
      <c r="E118" s="137"/>
      <c r="F118" s="137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246"/>
      <c r="AQ118" s="246"/>
      <c r="AR118" s="246"/>
      <c r="AS118" s="246"/>
      <c r="AT118" s="246"/>
      <c r="AU118" s="246"/>
      <c r="AV118" s="246"/>
      <c r="AW118" s="246"/>
      <c r="AX118" s="246"/>
      <c r="AY118" s="246"/>
      <c r="AZ118" s="246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246"/>
      <c r="BV118" s="246"/>
      <c r="BW118" s="246"/>
      <c r="BX118" s="246"/>
      <c r="BY118" s="246"/>
      <c r="BZ118" s="246"/>
      <c r="CA118" s="246"/>
      <c r="CB118" s="84"/>
      <c r="CC118" s="84"/>
      <c r="CD118" s="84"/>
      <c r="CE118" s="84"/>
      <c r="CF118" s="84"/>
      <c r="CG118" s="84"/>
      <c r="CH118" s="84"/>
      <c r="CI118" s="84"/>
      <c r="CJ118" s="84"/>
      <c r="CK118" s="84"/>
      <c r="CM118" s="84"/>
      <c r="CO118" s="247"/>
      <c r="CP118" s="84"/>
      <c r="CS118" s="84"/>
      <c r="CT118" s="247"/>
      <c r="CU118" s="84"/>
    </row>
    <row r="119" spans="1:99" s="36" customFormat="1">
      <c r="A119" s="137"/>
      <c r="B119" s="137"/>
      <c r="C119" s="137"/>
      <c r="D119" s="137"/>
      <c r="E119" s="137"/>
      <c r="F119" s="137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246"/>
      <c r="AQ119" s="246"/>
      <c r="AR119" s="246"/>
      <c r="AS119" s="246"/>
      <c r="AT119" s="246"/>
      <c r="AU119" s="246"/>
      <c r="AV119" s="246"/>
      <c r="AW119" s="246"/>
      <c r="AX119" s="246"/>
      <c r="AY119" s="246"/>
      <c r="AZ119" s="246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246"/>
      <c r="BV119" s="246"/>
      <c r="BW119" s="246"/>
      <c r="BX119" s="246"/>
      <c r="BY119" s="246"/>
      <c r="BZ119" s="246"/>
      <c r="CA119" s="246"/>
      <c r="CB119" s="84"/>
      <c r="CC119" s="84"/>
      <c r="CD119" s="84"/>
      <c r="CE119" s="84"/>
      <c r="CF119" s="84"/>
      <c r="CG119" s="84"/>
      <c r="CH119" s="84"/>
      <c r="CI119" s="84"/>
      <c r="CJ119" s="84"/>
      <c r="CK119" s="84"/>
      <c r="CM119" s="84"/>
      <c r="CO119" s="247"/>
      <c r="CP119" s="84"/>
      <c r="CS119" s="84"/>
      <c r="CT119" s="247"/>
      <c r="CU119" s="84"/>
    </row>
    <row r="120" spans="1:99" s="36" customFormat="1">
      <c r="A120" s="137"/>
      <c r="B120" s="137"/>
      <c r="C120" s="137"/>
      <c r="D120" s="137"/>
      <c r="E120" s="137"/>
      <c r="F120" s="137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246"/>
      <c r="AQ120" s="246"/>
      <c r="AR120" s="246"/>
      <c r="AS120" s="246"/>
      <c r="AT120" s="246"/>
      <c r="AU120" s="246"/>
      <c r="AV120" s="246"/>
      <c r="AW120" s="246"/>
      <c r="AX120" s="246"/>
      <c r="AY120" s="246"/>
      <c r="AZ120" s="246"/>
      <c r="BA120" s="246"/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/>
      <c r="BP120" s="246"/>
      <c r="BQ120" s="246"/>
      <c r="BR120" s="246"/>
      <c r="BS120" s="246"/>
      <c r="BT120" s="246"/>
      <c r="BU120" s="246"/>
      <c r="BV120" s="246"/>
      <c r="BW120" s="246"/>
      <c r="BX120" s="246"/>
      <c r="BY120" s="246"/>
      <c r="BZ120" s="246"/>
      <c r="CA120" s="246"/>
      <c r="CB120" s="84"/>
      <c r="CC120" s="84"/>
      <c r="CD120" s="84"/>
      <c r="CE120" s="84"/>
      <c r="CF120" s="84"/>
      <c r="CG120" s="84"/>
      <c r="CH120" s="84"/>
      <c r="CI120" s="84"/>
      <c r="CJ120" s="84"/>
      <c r="CK120" s="84"/>
      <c r="CM120" s="84"/>
      <c r="CO120" s="247"/>
      <c r="CP120" s="84"/>
      <c r="CS120" s="84"/>
      <c r="CT120" s="247"/>
      <c r="CU120" s="84"/>
    </row>
    <row r="121" spans="1:99" s="36" customFormat="1">
      <c r="A121" s="137"/>
      <c r="B121" s="137"/>
      <c r="C121" s="137"/>
      <c r="D121" s="137"/>
      <c r="E121" s="137"/>
      <c r="F121" s="137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246"/>
      <c r="AQ121" s="246"/>
      <c r="AR121" s="246"/>
      <c r="AS121" s="246"/>
      <c r="AT121" s="246"/>
      <c r="AU121" s="246"/>
      <c r="AV121" s="246"/>
      <c r="AW121" s="246"/>
      <c r="AX121" s="246"/>
      <c r="AY121" s="246"/>
      <c r="AZ121" s="246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246"/>
      <c r="BV121" s="246"/>
      <c r="BW121" s="246"/>
      <c r="BX121" s="246"/>
      <c r="BY121" s="246"/>
      <c r="BZ121" s="246"/>
      <c r="CA121" s="246"/>
      <c r="CB121" s="84"/>
      <c r="CC121" s="84"/>
      <c r="CD121" s="84"/>
      <c r="CE121" s="84"/>
      <c r="CF121" s="84"/>
      <c r="CG121" s="84"/>
      <c r="CH121" s="84"/>
      <c r="CI121" s="84"/>
      <c r="CJ121" s="84"/>
      <c r="CK121" s="84"/>
      <c r="CM121" s="84"/>
      <c r="CO121" s="247"/>
      <c r="CP121" s="84"/>
      <c r="CS121" s="84"/>
      <c r="CT121" s="247"/>
      <c r="CU121" s="84"/>
    </row>
    <row r="122" spans="1:99" s="36" customFormat="1">
      <c r="A122" s="137"/>
      <c r="B122" s="137"/>
      <c r="C122" s="137"/>
      <c r="D122" s="137"/>
      <c r="E122" s="137"/>
      <c r="F122" s="137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246"/>
      <c r="AQ122" s="246"/>
      <c r="AR122" s="246"/>
      <c r="AS122" s="246"/>
      <c r="AT122" s="246"/>
      <c r="AU122" s="246"/>
      <c r="AV122" s="246"/>
      <c r="AW122" s="246"/>
      <c r="AX122" s="246"/>
      <c r="AY122" s="246"/>
      <c r="AZ122" s="246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46"/>
      <c r="CB122" s="84"/>
      <c r="CC122" s="84"/>
      <c r="CD122" s="84"/>
      <c r="CE122" s="84"/>
      <c r="CF122" s="84"/>
      <c r="CG122" s="84"/>
      <c r="CH122" s="84"/>
      <c r="CI122" s="84"/>
      <c r="CJ122" s="84"/>
      <c r="CK122" s="84"/>
      <c r="CM122" s="84"/>
      <c r="CO122" s="247"/>
      <c r="CP122" s="84"/>
      <c r="CS122" s="84"/>
      <c r="CT122" s="247"/>
      <c r="CU122" s="84"/>
    </row>
    <row r="123" spans="1:99" s="36" customFormat="1">
      <c r="A123" s="137"/>
      <c r="B123" s="137"/>
      <c r="C123" s="137"/>
      <c r="D123" s="137"/>
      <c r="E123" s="137"/>
      <c r="F123" s="137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46"/>
      <c r="CB123" s="84"/>
      <c r="CC123" s="84"/>
      <c r="CD123" s="84"/>
      <c r="CE123" s="84"/>
      <c r="CF123" s="84"/>
      <c r="CG123" s="84"/>
      <c r="CH123" s="84"/>
      <c r="CI123" s="84"/>
      <c r="CJ123" s="84"/>
      <c r="CK123" s="84"/>
      <c r="CM123" s="84"/>
      <c r="CO123" s="247"/>
      <c r="CP123" s="84"/>
      <c r="CS123" s="84"/>
      <c r="CT123" s="247"/>
      <c r="CU123" s="84"/>
    </row>
    <row r="124" spans="1:99" s="36" customFormat="1">
      <c r="A124" s="137"/>
      <c r="B124" s="137"/>
      <c r="C124" s="137"/>
      <c r="D124" s="137"/>
      <c r="E124" s="137"/>
      <c r="F124" s="137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246"/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46"/>
      <c r="CB124" s="84"/>
      <c r="CC124" s="84"/>
      <c r="CD124" s="84"/>
      <c r="CE124" s="84"/>
      <c r="CF124" s="84"/>
      <c r="CG124" s="84"/>
      <c r="CH124" s="84"/>
      <c r="CI124" s="84"/>
      <c r="CJ124" s="84"/>
      <c r="CK124" s="84"/>
      <c r="CM124" s="84"/>
      <c r="CO124" s="247"/>
      <c r="CP124" s="84"/>
      <c r="CS124" s="84"/>
      <c r="CT124" s="247"/>
      <c r="CU124" s="84"/>
    </row>
    <row r="125" spans="1:99" s="36" customFormat="1">
      <c r="A125" s="137"/>
      <c r="B125" s="137"/>
      <c r="C125" s="137"/>
      <c r="D125" s="137"/>
      <c r="E125" s="137"/>
      <c r="F125" s="137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246"/>
      <c r="AQ125" s="246"/>
      <c r="AR125" s="246"/>
      <c r="AS125" s="246"/>
      <c r="AT125" s="246"/>
      <c r="AU125" s="246"/>
      <c r="AV125" s="246"/>
      <c r="AW125" s="246"/>
      <c r="AX125" s="246"/>
      <c r="AY125" s="246"/>
      <c r="AZ125" s="246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246"/>
      <c r="BV125" s="246"/>
      <c r="BW125" s="246"/>
      <c r="BX125" s="246"/>
      <c r="BY125" s="246"/>
      <c r="BZ125" s="246"/>
      <c r="CA125" s="246"/>
      <c r="CB125" s="84"/>
      <c r="CC125" s="84"/>
      <c r="CD125" s="84"/>
      <c r="CE125" s="84"/>
      <c r="CF125" s="84"/>
      <c r="CG125" s="84"/>
      <c r="CH125" s="84"/>
      <c r="CI125" s="84"/>
      <c r="CJ125" s="84"/>
      <c r="CK125" s="84"/>
      <c r="CM125" s="84"/>
      <c r="CO125" s="247"/>
      <c r="CP125" s="84"/>
      <c r="CS125" s="84"/>
      <c r="CT125" s="247"/>
      <c r="CU125" s="84"/>
    </row>
    <row r="126" spans="1:99" s="36" customFormat="1">
      <c r="A126" s="137"/>
      <c r="B126" s="137"/>
      <c r="C126" s="137"/>
      <c r="D126" s="137"/>
      <c r="E126" s="137"/>
      <c r="F126" s="137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246"/>
      <c r="BV126" s="246"/>
      <c r="BW126" s="246"/>
      <c r="BX126" s="246"/>
      <c r="BY126" s="246"/>
      <c r="BZ126" s="246"/>
      <c r="CA126" s="246"/>
      <c r="CB126" s="84"/>
      <c r="CC126" s="84"/>
      <c r="CD126" s="84"/>
      <c r="CE126" s="84"/>
      <c r="CF126" s="84"/>
      <c r="CG126" s="84"/>
      <c r="CH126" s="84"/>
      <c r="CI126" s="84"/>
      <c r="CJ126" s="84"/>
      <c r="CK126" s="84"/>
      <c r="CM126" s="84"/>
      <c r="CO126" s="247"/>
      <c r="CP126" s="84"/>
      <c r="CS126" s="84"/>
      <c r="CT126" s="247"/>
      <c r="CU126" s="84"/>
    </row>
    <row r="127" spans="1:99" s="36" customFormat="1">
      <c r="A127" s="137"/>
      <c r="B127" s="137"/>
      <c r="C127" s="137"/>
      <c r="D127" s="137"/>
      <c r="E127" s="137"/>
      <c r="F127" s="137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246"/>
      <c r="AQ127" s="246"/>
      <c r="AR127" s="246"/>
      <c r="AS127" s="246"/>
      <c r="AT127" s="246"/>
      <c r="AU127" s="246"/>
      <c r="AV127" s="246"/>
      <c r="AW127" s="246"/>
      <c r="AX127" s="246"/>
      <c r="AY127" s="246"/>
      <c r="AZ127" s="246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246"/>
      <c r="BV127" s="246"/>
      <c r="BW127" s="246"/>
      <c r="BX127" s="246"/>
      <c r="BY127" s="246"/>
      <c r="BZ127" s="246"/>
      <c r="CA127" s="246"/>
      <c r="CB127" s="84"/>
      <c r="CC127" s="84"/>
      <c r="CD127" s="84"/>
      <c r="CE127" s="84"/>
      <c r="CF127" s="84"/>
      <c r="CG127" s="84"/>
      <c r="CH127" s="84"/>
      <c r="CI127" s="84"/>
      <c r="CJ127" s="84"/>
      <c r="CK127" s="84"/>
      <c r="CM127" s="84"/>
      <c r="CO127" s="247"/>
      <c r="CP127" s="84"/>
      <c r="CS127" s="84"/>
      <c r="CT127" s="247"/>
      <c r="CU127" s="84"/>
    </row>
    <row r="128" spans="1:99" s="36" customFormat="1">
      <c r="A128" s="137"/>
      <c r="B128" s="137"/>
      <c r="C128" s="137"/>
      <c r="D128" s="137"/>
      <c r="E128" s="137"/>
      <c r="F128" s="137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246"/>
      <c r="AQ128" s="246"/>
      <c r="AR128" s="246"/>
      <c r="AS128" s="246"/>
      <c r="AT128" s="246"/>
      <c r="AU128" s="246"/>
      <c r="AV128" s="246"/>
      <c r="AW128" s="246"/>
      <c r="AX128" s="246"/>
      <c r="AY128" s="246"/>
      <c r="AZ128" s="246"/>
      <c r="BA128" s="246"/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/>
      <c r="BP128" s="246"/>
      <c r="BQ128" s="246"/>
      <c r="BR128" s="246"/>
      <c r="BS128" s="246"/>
      <c r="BT128" s="246"/>
      <c r="BU128" s="246"/>
      <c r="BV128" s="246"/>
      <c r="BW128" s="246"/>
      <c r="BX128" s="246"/>
      <c r="BY128" s="246"/>
      <c r="BZ128" s="246"/>
      <c r="CA128" s="246"/>
      <c r="CB128" s="84"/>
      <c r="CC128" s="84"/>
      <c r="CD128" s="84"/>
      <c r="CE128" s="84"/>
      <c r="CF128" s="84"/>
      <c r="CG128" s="84"/>
      <c r="CH128" s="84"/>
      <c r="CI128" s="84"/>
      <c r="CJ128" s="84"/>
      <c r="CK128" s="84"/>
      <c r="CM128" s="84"/>
      <c r="CO128" s="247"/>
      <c r="CP128" s="84"/>
      <c r="CS128" s="84"/>
      <c r="CT128" s="247"/>
      <c r="CU128" s="84"/>
    </row>
    <row r="129" spans="1:99" s="36" customFormat="1">
      <c r="A129" s="137"/>
      <c r="B129" s="137"/>
      <c r="C129" s="137"/>
      <c r="D129" s="137"/>
      <c r="E129" s="137"/>
      <c r="F129" s="137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246"/>
      <c r="AQ129" s="246"/>
      <c r="AR129" s="246"/>
      <c r="AS129" s="246"/>
      <c r="AT129" s="246"/>
      <c r="AU129" s="246"/>
      <c r="AV129" s="246"/>
      <c r="AW129" s="246"/>
      <c r="AX129" s="246"/>
      <c r="AY129" s="246"/>
      <c r="AZ129" s="246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246"/>
      <c r="BV129" s="246"/>
      <c r="BW129" s="246"/>
      <c r="BX129" s="246"/>
      <c r="BY129" s="246"/>
      <c r="BZ129" s="246"/>
      <c r="CA129" s="246"/>
      <c r="CB129" s="84"/>
      <c r="CC129" s="84"/>
      <c r="CD129" s="84"/>
      <c r="CE129" s="84"/>
      <c r="CF129" s="84"/>
      <c r="CG129" s="84"/>
      <c r="CH129" s="84"/>
      <c r="CI129" s="84"/>
      <c r="CJ129" s="84"/>
      <c r="CK129" s="84"/>
      <c r="CM129" s="84"/>
      <c r="CO129" s="247"/>
      <c r="CP129" s="84"/>
      <c r="CS129" s="84"/>
      <c r="CT129" s="247"/>
      <c r="CU129" s="84"/>
    </row>
    <row r="130" spans="1:99" s="36" customFormat="1">
      <c r="A130" s="137"/>
      <c r="B130" s="137"/>
      <c r="C130" s="137"/>
      <c r="D130" s="137"/>
      <c r="E130" s="137"/>
      <c r="F130" s="137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246"/>
      <c r="AQ130" s="246"/>
      <c r="AR130" s="246"/>
      <c r="AS130" s="246"/>
      <c r="AT130" s="246"/>
      <c r="AU130" s="246"/>
      <c r="AV130" s="246"/>
      <c r="AW130" s="246"/>
      <c r="AX130" s="246"/>
      <c r="AY130" s="246"/>
      <c r="AZ130" s="246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246"/>
      <c r="BV130" s="246"/>
      <c r="BW130" s="246"/>
      <c r="BX130" s="246"/>
      <c r="BY130" s="246"/>
      <c r="BZ130" s="246"/>
      <c r="CA130" s="246"/>
      <c r="CB130" s="84"/>
      <c r="CC130" s="84"/>
      <c r="CD130" s="84"/>
      <c r="CE130" s="84"/>
      <c r="CF130" s="84"/>
      <c r="CG130" s="84"/>
      <c r="CH130" s="84"/>
      <c r="CI130" s="84"/>
      <c r="CJ130" s="84"/>
      <c r="CK130" s="84"/>
      <c r="CM130" s="84"/>
      <c r="CO130" s="247"/>
      <c r="CP130" s="84"/>
      <c r="CS130" s="84"/>
      <c r="CT130" s="247"/>
      <c r="CU130" s="84"/>
    </row>
    <row r="131" spans="1:99" s="36" customFormat="1">
      <c r="A131" s="137"/>
      <c r="B131" s="137"/>
      <c r="C131" s="137"/>
      <c r="D131" s="137"/>
      <c r="E131" s="137"/>
      <c r="F131" s="137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246"/>
      <c r="AQ131" s="246"/>
      <c r="AR131" s="246"/>
      <c r="AS131" s="246"/>
      <c r="AT131" s="246"/>
      <c r="AU131" s="246"/>
      <c r="AV131" s="246"/>
      <c r="AW131" s="246"/>
      <c r="AX131" s="246"/>
      <c r="AY131" s="246"/>
      <c r="AZ131" s="246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246"/>
      <c r="BV131" s="246"/>
      <c r="BW131" s="246"/>
      <c r="BX131" s="246"/>
      <c r="BY131" s="246"/>
      <c r="BZ131" s="246"/>
      <c r="CA131" s="246"/>
      <c r="CB131" s="84"/>
      <c r="CC131" s="84"/>
      <c r="CD131" s="84"/>
      <c r="CE131" s="84"/>
      <c r="CF131" s="84"/>
      <c r="CG131" s="84"/>
      <c r="CH131" s="84"/>
      <c r="CI131" s="84"/>
      <c r="CJ131" s="84"/>
      <c r="CK131" s="84"/>
      <c r="CM131" s="84"/>
      <c r="CO131" s="247"/>
      <c r="CP131" s="84"/>
      <c r="CS131" s="84"/>
      <c r="CT131" s="247"/>
      <c r="CU131" s="84"/>
    </row>
    <row r="132" spans="1:99" s="36" customFormat="1">
      <c r="A132" s="137"/>
      <c r="B132" s="137"/>
      <c r="C132" s="137"/>
      <c r="D132" s="137"/>
      <c r="E132" s="137"/>
      <c r="F132" s="137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246"/>
      <c r="AQ132" s="246"/>
      <c r="AR132" s="246"/>
      <c r="AS132" s="246"/>
      <c r="AT132" s="246"/>
      <c r="AU132" s="246"/>
      <c r="AV132" s="246"/>
      <c r="AW132" s="246"/>
      <c r="AX132" s="246"/>
      <c r="AY132" s="246"/>
      <c r="AZ132" s="246"/>
      <c r="BA132" s="246"/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/>
      <c r="BP132" s="246"/>
      <c r="BQ132" s="246"/>
      <c r="BR132" s="246"/>
      <c r="BS132" s="246"/>
      <c r="BT132" s="246"/>
      <c r="BU132" s="246"/>
      <c r="BV132" s="246"/>
      <c r="BW132" s="246"/>
      <c r="BX132" s="246"/>
      <c r="BY132" s="246"/>
      <c r="BZ132" s="246"/>
      <c r="CA132" s="246"/>
      <c r="CB132" s="84"/>
      <c r="CC132" s="84"/>
      <c r="CD132" s="84"/>
      <c r="CE132" s="84"/>
      <c r="CF132" s="84"/>
      <c r="CG132" s="84"/>
      <c r="CH132" s="84"/>
      <c r="CI132" s="84"/>
      <c r="CJ132" s="84"/>
      <c r="CK132" s="84"/>
      <c r="CM132" s="84"/>
      <c r="CO132" s="247"/>
      <c r="CP132" s="84"/>
      <c r="CS132" s="84"/>
      <c r="CT132" s="247"/>
      <c r="CU132" s="84"/>
    </row>
    <row r="133" spans="1:99" s="36" customFormat="1">
      <c r="A133" s="137"/>
      <c r="B133" s="137"/>
      <c r="C133" s="137"/>
      <c r="D133" s="137"/>
      <c r="E133" s="137"/>
      <c r="F133" s="137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246"/>
      <c r="AQ133" s="246"/>
      <c r="AR133" s="246"/>
      <c r="AS133" s="246"/>
      <c r="AT133" s="246"/>
      <c r="AU133" s="246"/>
      <c r="AV133" s="246"/>
      <c r="AW133" s="246"/>
      <c r="AX133" s="246"/>
      <c r="AY133" s="246"/>
      <c r="AZ133" s="246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246"/>
      <c r="BV133" s="246"/>
      <c r="BW133" s="246"/>
      <c r="BX133" s="246"/>
      <c r="BY133" s="246"/>
      <c r="BZ133" s="246"/>
      <c r="CA133" s="246"/>
      <c r="CB133" s="84"/>
      <c r="CC133" s="84"/>
      <c r="CD133" s="84"/>
      <c r="CE133" s="84"/>
      <c r="CF133" s="84"/>
      <c r="CG133" s="84"/>
      <c r="CH133" s="84"/>
      <c r="CI133" s="84"/>
      <c r="CJ133" s="84"/>
      <c r="CK133" s="84"/>
      <c r="CM133" s="84"/>
      <c r="CO133" s="247"/>
      <c r="CP133" s="84"/>
      <c r="CS133" s="84"/>
      <c r="CT133" s="247"/>
      <c r="CU133" s="84"/>
    </row>
    <row r="134" spans="1:99" s="36" customFormat="1">
      <c r="A134" s="137"/>
      <c r="B134" s="137"/>
      <c r="C134" s="137"/>
      <c r="D134" s="137"/>
      <c r="E134" s="137"/>
      <c r="F134" s="137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246"/>
      <c r="AQ134" s="246"/>
      <c r="AR134" s="246"/>
      <c r="AS134" s="246"/>
      <c r="AT134" s="246"/>
      <c r="AU134" s="246"/>
      <c r="AV134" s="246"/>
      <c r="AW134" s="246"/>
      <c r="AX134" s="246"/>
      <c r="AY134" s="246"/>
      <c r="AZ134" s="246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246"/>
      <c r="BV134" s="246"/>
      <c r="BW134" s="246"/>
      <c r="BX134" s="246"/>
      <c r="BY134" s="246"/>
      <c r="BZ134" s="246"/>
      <c r="CA134" s="246"/>
      <c r="CB134" s="84"/>
      <c r="CC134" s="84"/>
      <c r="CD134" s="84"/>
      <c r="CE134" s="84"/>
      <c r="CF134" s="84"/>
      <c r="CG134" s="84"/>
      <c r="CH134" s="84"/>
      <c r="CI134" s="84"/>
      <c r="CJ134" s="84"/>
      <c r="CK134" s="84"/>
      <c r="CM134" s="84"/>
      <c r="CO134" s="247"/>
      <c r="CP134" s="84"/>
      <c r="CS134" s="84"/>
      <c r="CT134" s="247"/>
      <c r="CU134" s="84"/>
    </row>
    <row r="135" spans="1:99" s="36" customFormat="1">
      <c r="A135" s="137"/>
      <c r="B135" s="137"/>
      <c r="C135" s="137"/>
      <c r="D135" s="137"/>
      <c r="E135" s="137"/>
      <c r="F135" s="137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246"/>
      <c r="AQ135" s="246"/>
      <c r="AR135" s="246"/>
      <c r="AS135" s="246"/>
      <c r="AT135" s="246"/>
      <c r="AU135" s="246"/>
      <c r="AV135" s="246"/>
      <c r="AW135" s="246"/>
      <c r="AX135" s="246"/>
      <c r="AY135" s="246"/>
      <c r="AZ135" s="246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246"/>
      <c r="BV135" s="246"/>
      <c r="BW135" s="246"/>
      <c r="BX135" s="246"/>
      <c r="BY135" s="246"/>
      <c r="BZ135" s="246"/>
      <c r="CA135" s="246"/>
      <c r="CB135" s="84"/>
      <c r="CC135" s="84"/>
      <c r="CD135" s="84"/>
      <c r="CE135" s="84"/>
      <c r="CF135" s="84"/>
      <c r="CG135" s="84"/>
      <c r="CH135" s="84"/>
      <c r="CI135" s="84"/>
      <c r="CJ135" s="84"/>
      <c r="CK135" s="84"/>
      <c r="CM135" s="84"/>
      <c r="CO135" s="247"/>
      <c r="CP135" s="84"/>
      <c r="CS135" s="84"/>
      <c r="CT135" s="247"/>
      <c r="CU135" s="84"/>
    </row>
    <row r="136" spans="1:99" s="36" customFormat="1">
      <c r="A136" s="137"/>
      <c r="B136" s="137"/>
      <c r="C136" s="137"/>
      <c r="D136" s="137"/>
      <c r="E136" s="137"/>
      <c r="F136" s="137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246"/>
      <c r="AQ136" s="246"/>
      <c r="AR136" s="246"/>
      <c r="AS136" s="246"/>
      <c r="AT136" s="246"/>
      <c r="AU136" s="246"/>
      <c r="AV136" s="246"/>
      <c r="AW136" s="246"/>
      <c r="AX136" s="246"/>
      <c r="AY136" s="246"/>
      <c r="AZ136" s="246"/>
      <c r="BA136" s="246"/>
      <c r="BB136" s="246"/>
      <c r="BC136" s="246"/>
      <c r="BD136" s="246"/>
      <c r="BE136" s="246"/>
      <c r="BF136" s="246"/>
      <c r="BG136" s="246"/>
      <c r="BH136" s="246"/>
      <c r="BI136" s="246"/>
      <c r="BJ136" s="246"/>
      <c r="BK136" s="246"/>
      <c r="BL136" s="246"/>
      <c r="BM136" s="246"/>
      <c r="BN136" s="246"/>
      <c r="BO136" s="246"/>
      <c r="BP136" s="246"/>
      <c r="BQ136" s="246"/>
      <c r="BR136" s="246"/>
      <c r="BS136" s="246"/>
      <c r="BT136" s="246"/>
      <c r="BU136" s="246"/>
      <c r="BV136" s="246"/>
      <c r="BW136" s="246"/>
      <c r="BX136" s="246"/>
      <c r="BY136" s="246"/>
      <c r="BZ136" s="246"/>
      <c r="CA136" s="246"/>
      <c r="CB136" s="84"/>
      <c r="CC136" s="84"/>
      <c r="CD136" s="84"/>
      <c r="CE136" s="84"/>
      <c r="CF136" s="84"/>
      <c r="CG136" s="84"/>
      <c r="CH136" s="84"/>
      <c r="CI136" s="84"/>
      <c r="CJ136" s="84"/>
      <c r="CK136" s="84"/>
      <c r="CM136" s="84"/>
      <c r="CO136" s="247"/>
      <c r="CP136" s="84"/>
      <c r="CS136" s="84"/>
      <c r="CT136" s="247"/>
      <c r="CU136" s="84"/>
    </row>
    <row r="137" spans="1:99" s="36" customFormat="1">
      <c r="A137" s="137"/>
      <c r="B137" s="137"/>
      <c r="C137" s="137"/>
      <c r="D137" s="137"/>
      <c r="E137" s="137"/>
      <c r="F137" s="137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246"/>
      <c r="AQ137" s="246"/>
      <c r="AR137" s="246"/>
      <c r="AS137" s="246"/>
      <c r="AT137" s="246"/>
      <c r="AU137" s="246"/>
      <c r="AV137" s="246"/>
      <c r="AW137" s="246"/>
      <c r="AX137" s="246"/>
      <c r="AY137" s="246"/>
      <c r="AZ137" s="246"/>
      <c r="BA137" s="246"/>
      <c r="BB137" s="246"/>
      <c r="BC137" s="246"/>
      <c r="BD137" s="246"/>
      <c r="BE137" s="246"/>
      <c r="BF137" s="246"/>
      <c r="BG137" s="246"/>
      <c r="BH137" s="246"/>
      <c r="BI137" s="246"/>
      <c r="BJ137" s="246"/>
      <c r="BK137" s="246"/>
      <c r="BL137" s="246"/>
      <c r="BM137" s="246"/>
      <c r="BN137" s="246"/>
      <c r="BO137" s="246"/>
      <c r="BP137" s="246"/>
      <c r="BQ137" s="246"/>
      <c r="BR137" s="246"/>
      <c r="BS137" s="246"/>
      <c r="BT137" s="246"/>
      <c r="BU137" s="246"/>
      <c r="BV137" s="246"/>
      <c r="BW137" s="246"/>
      <c r="BX137" s="246"/>
      <c r="BY137" s="246"/>
      <c r="BZ137" s="246"/>
      <c r="CA137" s="246"/>
      <c r="CB137" s="84"/>
      <c r="CC137" s="84"/>
      <c r="CD137" s="84"/>
      <c r="CE137" s="84"/>
      <c r="CF137" s="84"/>
      <c r="CG137" s="84"/>
      <c r="CH137" s="84"/>
      <c r="CI137" s="84"/>
      <c r="CJ137" s="84"/>
      <c r="CK137" s="84"/>
      <c r="CM137" s="84"/>
      <c r="CO137" s="247"/>
      <c r="CP137" s="84"/>
      <c r="CS137" s="84"/>
      <c r="CT137" s="247"/>
      <c r="CU137" s="84"/>
    </row>
    <row r="138" spans="1:99" s="36" customFormat="1">
      <c r="A138" s="137"/>
      <c r="B138" s="137"/>
      <c r="C138" s="137"/>
      <c r="D138" s="137"/>
      <c r="E138" s="137"/>
      <c r="F138" s="137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246"/>
      <c r="AQ138" s="246"/>
      <c r="AR138" s="246"/>
      <c r="AS138" s="246"/>
      <c r="AT138" s="246"/>
      <c r="AU138" s="246"/>
      <c r="AV138" s="246"/>
      <c r="AW138" s="246"/>
      <c r="AX138" s="246"/>
      <c r="AY138" s="246"/>
      <c r="AZ138" s="246"/>
      <c r="BA138" s="246"/>
      <c r="BB138" s="246"/>
      <c r="BC138" s="246"/>
      <c r="BD138" s="246"/>
      <c r="BE138" s="246"/>
      <c r="BF138" s="246"/>
      <c r="BG138" s="246"/>
      <c r="BH138" s="246"/>
      <c r="BI138" s="246"/>
      <c r="BJ138" s="246"/>
      <c r="BK138" s="246"/>
      <c r="BL138" s="246"/>
      <c r="BM138" s="246"/>
      <c r="BN138" s="246"/>
      <c r="BO138" s="246"/>
      <c r="BP138" s="246"/>
      <c r="BQ138" s="246"/>
      <c r="BR138" s="246"/>
      <c r="BS138" s="246"/>
      <c r="BT138" s="246"/>
      <c r="BU138" s="246"/>
      <c r="BV138" s="246"/>
      <c r="BW138" s="246"/>
      <c r="BX138" s="246"/>
      <c r="BY138" s="246"/>
      <c r="BZ138" s="246"/>
      <c r="CA138" s="246"/>
      <c r="CB138" s="84"/>
      <c r="CC138" s="84"/>
      <c r="CD138" s="84"/>
      <c r="CE138" s="84"/>
      <c r="CF138" s="84"/>
      <c r="CG138" s="84"/>
      <c r="CH138" s="84"/>
      <c r="CI138" s="84"/>
      <c r="CJ138" s="84"/>
      <c r="CK138" s="84"/>
      <c r="CM138" s="84"/>
      <c r="CO138" s="247"/>
      <c r="CP138" s="84"/>
      <c r="CS138" s="84"/>
      <c r="CT138" s="247"/>
      <c r="CU138" s="84"/>
    </row>
    <row r="139" spans="1:99" s="36" customFormat="1">
      <c r="A139" s="137"/>
      <c r="B139" s="137"/>
      <c r="C139" s="137"/>
      <c r="D139" s="137"/>
      <c r="E139" s="137"/>
      <c r="F139" s="137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246"/>
      <c r="AQ139" s="246"/>
      <c r="AR139" s="246"/>
      <c r="AS139" s="246"/>
      <c r="AT139" s="246"/>
      <c r="AU139" s="246"/>
      <c r="AV139" s="246"/>
      <c r="AW139" s="246"/>
      <c r="AX139" s="246"/>
      <c r="AY139" s="246"/>
      <c r="AZ139" s="246"/>
      <c r="BA139" s="246"/>
      <c r="BB139" s="246"/>
      <c r="BC139" s="246"/>
      <c r="BD139" s="246"/>
      <c r="BE139" s="246"/>
      <c r="BF139" s="246"/>
      <c r="BG139" s="246"/>
      <c r="BH139" s="246"/>
      <c r="BI139" s="246"/>
      <c r="BJ139" s="246"/>
      <c r="BK139" s="246"/>
      <c r="BL139" s="246"/>
      <c r="BM139" s="246"/>
      <c r="BN139" s="246"/>
      <c r="BO139" s="246"/>
      <c r="BP139" s="246"/>
      <c r="BQ139" s="246"/>
      <c r="BR139" s="246"/>
      <c r="BS139" s="246"/>
      <c r="BT139" s="246"/>
      <c r="BU139" s="246"/>
      <c r="BV139" s="246"/>
      <c r="BW139" s="246"/>
      <c r="BX139" s="246"/>
      <c r="BY139" s="246"/>
      <c r="BZ139" s="246"/>
      <c r="CA139" s="246"/>
      <c r="CB139" s="84"/>
      <c r="CC139" s="84"/>
      <c r="CD139" s="84"/>
      <c r="CE139" s="84"/>
      <c r="CF139" s="84"/>
      <c r="CG139" s="84"/>
      <c r="CH139" s="84"/>
      <c r="CI139" s="84"/>
      <c r="CJ139" s="84"/>
      <c r="CK139" s="84"/>
      <c r="CM139" s="84"/>
      <c r="CO139" s="247"/>
      <c r="CP139" s="84"/>
      <c r="CS139" s="84"/>
      <c r="CT139" s="247"/>
      <c r="CU139" s="84"/>
    </row>
    <row r="140" spans="1:99" s="36" customFormat="1">
      <c r="A140" s="137"/>
      <c r="B140" s="137"/>
      <c r="C140" s="137"/>
      <c r="D140" s="137"/>
      <c r="E140" s="137"/>
      <c r="F140" s="137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246"/>
      <c r="AQ140" s="246"/>
      <c r="AR140" s="246"/>
      <c r="AS140" s="246"/>
      <c r="AT140" s="246"/>
      <c r="AU140" s="246"/>
      <c r="AV140" s="246"/>
      <c r="AW140" s="246"/>
      <c r="AX140" s="246"/>
      <c r="AY140" s="246"/>
      <c r="AZ140" s="246"/>
      <c r="BA140" s="246"/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/>
      <c r="BP140" s="246"/>
      <c r="BQ140" s="246"/>
      <c r="BR140" s="246"/>
      <c r="BS140" s="246"/>
      <c r="BT140" s="246"/>
      <c r="BU140" s="246"/>
      <c r="BV140" s="246"/>
      <c r="BW140" s="246"/>
      <c r="BX140" s="246"/>
      <c r="BY140" s="246"/>
      <c r="BZ140" s="246"/>
      <c r="CA140" s="246"/>
      <c r="CB140" s="84"/>
      <c r="CC140" s="84"/>
      <c r="CD140" s="84"/>
      <c r="CE140" s="84"/>
      <c r="CF140" s="84"/>
      <c r="CG140" s="84"/>
      <c r="CH140" s="84"/>
      <c r="CI140" s="84"/>
      <c r="CJ140" s="84"/>
      <c r="CK140" s="84"/>
      <c r="CM140" s="84"/>
      <c r="CO140" s="247"/>
      <c r="CP140" s="84"/>
      <c r="CS140" s="84"/>
      <c r="CT140" s="247"/>
      <c r="CU140" s="84"/>
    </row>
    <row r="141" spans="1:99" s="36" customFormat="1">
      <c r="A141" s="137"/>
      <c r="B141" s="137"/>
      <c r="C141" s="137"/>
      <c r="D141" s="137"/>
      <c r="E141" s="137"/>
      <c r="F141" s="137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246"/>
      <c r="AQ141" s="246"/>
      <c r="AR141" s="246"/>
      <c r="AS141" s="246"/>
      <c r="AT141" s="246"/>
      <c r="AU141" s="246"/>
      <c r="AV141" s="246"/>
      <c r="AW141" s="246"/>
      <c r="AX141" s="246"/>
      <c r="AY141" s="246"/>
      <c r="AZ141" s="246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246"/>
      <c r="BV141" s="246"/>
      <c r="BW141" s="246"/>
      <c r="BX141" s="246"/>
      <c r="BY141" s="246"/>
      <c r="BZ141" s="246"/>
      <c r="CA141" s="246"/>
      <c r="CB141" s="84"/>
      <c r="CC141" s="84"/>
      <c r="CD141" s="84"/>
      <c r="CE141" s="84"/>
      <c r="CF141" s="84"/>
      <c r="CG141" s="84"/>
      <c r="CH141" s="84"/>
      <c r="CI141" s="84"/>
      <c r="CJ141" s="84"/>
      <c r="CK141" s="84"/>
      <c r="CM141" s="84"/>
      <c r="CO141" s="247"/>
      <c r="CP141" s="84"/>
      <c r="CS141" s="84"/>
      <c r="CT141" s="247"/>
      <c r="CU141" s="84"/>
    </row>
    <row r="142" spans="1:99" s="36" customFormat="1">
      <c r="A142" s="137"/>
      <c r="B142" s="137"/>
      <c r="C142" s="137"/>
      <c r="D142" s="137"/>
      <c r="E142" s="137"/>
      <c r="F142" s="137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246"/>
      <c r="AQ142" s="246"/>
      <c r="AR142" s="246"/>
      <c r="AS142" s="246"/>
      <c r="AT142" s="246"/>
      <c r="AU142" s="246"/>
      <c r="AV142" s="246"/>
      <c r="AW142" s="246"/>
      <c r="AX142" s="246"/>
      <c r="AY142" s="246"/>
      <c r="AZ142" s="246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246"/>
      <c r="BV142" s="246"/>
      <c r="BW142" s="246"/>
      <c r="BX142" s="246"/>
      <c r="BY142" s="246"/>
      <c r="BZ142" s="246"/>
      <c r="CA142" s="246"/>
      <c r="CB142" s="84"/>
      <c r="CC142" s="84"/>
      <c r="CD142" s="84"/>
      <c r="CE142" s="84"/>
      <c r="CF142" s="84"/>
      <c r="CG142" s="84"/>
      <c r="CH142" s="84"/>
      <c r="CI142" s="84"/>
      <c r="CJ142" s="84"/>
      <c r="CK142" s="84"/>
      <c r="CM142" s="84"/>
      <c r="CO142" s="247"/>
      <c r="CP142" s="84"/>
      <c r="CS142" s="84"/>
      <c r="CT142" s="247"/>
      <c r="CU142" s="84"/>
    </row>
    <row r="143" spans="1:99" s="36" customFormat="1">
      <c r="A143" s="137"/>
      <c r="B143" s="137"/>
      <c r="C143" s="137"/>
      <c r="D143" s="137"/>
      <c r="E143" s="137"/>
      <c r="F143" s="137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246"/>
      <c r="AQ143" s="246"/>
      <c r="AR143" s="246"/>
      <c r="AS143" s="246"/>
      <c r="AT143" s="246"/>
      <c r="AU143" s="246"/>
      <c r="AV143" s="246"/>
      <c r="AW143" s="246"/>
      <c r="AX143" s="246"/>
      <c r="AY143" s="246"/>
      <c r="AZ143" s="246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246"/>
      <c r="BV143" s="246"/>
      <c r="BW143" s="246"/>
      <c r="BX143" s="246"/>
      <c r="BY143" s="246"/>
      <c r="BZ143" s="246"/>
      <c r="CA143" s="246"/>
      <c r="CB143" s="84"/>
      <c r="CC143" s="84"/>
      <c r="CD143" s="84"/>
      <c r="CE143" s="84"/>
      <c r="CF143" s="84"/>
      <c r="CG143" s="84"/>
      <c r="CH143" s="84"/>
      <c r="CI143" s="84"/>
      <c r="CJ143" s="84"/>
      <c r="CK143" s="84"/>
      <c r="CM143" s="84"/>
      <c r="CO143" s="247"/>
      <c r="CP143" s="84"/>
      <c r="CS143" s="84"/>
      <c r="CT143" s="247"/>
      <c r="CU143" s="84"/>
    </row>
    <row r="144" spans="1:99" s="36" customFormat="1">
      <c r="A144" s="137"/>
      <c r="B144" s="137"/>
      <c r="C144" s="137"/>
      <c r="D144" s="137"/>
      <c r="E144" s="137"/>
      <c r="F144" s="137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246"/>
      <c r="AQ144" s="246"/>
      <c r="AR144" s="246"/>
      <c r="AS144" s="246"/>
      <c r="AT144" s="246"/>
      <c r="AU144" s="246"/>
      <c r="AV144" s="246"/>
      <c r="AW144" s="246"/>
      <c r="AX144" s="246"/>
      <c r="AY144" s="246"/>
      <c r="AZ144" s="246"/>
      <c r="BA144" s="246"/>
      <c r="BB144" s="246"/>
      <c r="BC144" s="246"/>
      <c r="BD144" s="246"/>
      <c r="BE144" s="246"/>
      <c r="BF144" s="246"/>
      <c r="BG144" s="246"/>
      <c r="BH144" s="246"/>
      <c r="BI144" s="246"/>
      <c r="BJ144" s="246"/>
      <c r="BK144" s="246"/>
      <c r="BL144" s="246"/>
      <c r="BM144" s="246"/>
      <c r="BN144" s="246"/>
      <c r="BO144" s="246"/>
      <c r="BP144" s="246"/>
      <c r="BQ144" s="246"/>
      <c r="BR144" s="246"/>
      <c r="BS144" s="246"/>
      <c r="BT144" s="246"/>
      <c r="BU144" s="246"/>
      <c r="BV144" s="246"/>
      <c r="BW144" s="246"/>
      <c r="BX144" s="246"/>
      <c r="BY144" s="246"/>
      <c r="BZ144" s="246"/>
      <c r="CA144" s="246"/>
      <c r="CB144" s="84"/>
      <c r="CC144" s="84"/>
      <c r="CD144" s="84"/>
      <c r="CE144" s="84"/>
      <c r="CF144" s="84"/>
      <c r="CG144" s="84"/>
      <c r="CH144" s="84"/>
      <c r="CI144" s="84"/>
      <c r="CJ144" s="84"/>
      <c r="CK144" s="84"/>
      <c r="CM144" s="84"/>
      <c r="CO144" s="247"/>
      <c r="CP144" s="84"/>
      <c r="CS144" s="84"/>
      <c r="CT144" s="247"/>
      <c r="CU144" s="84"/>
    </row>
    <row r="145" spans="1:99" s="36" customFormat="1">
      <c r="A145" s="137"/>
      <c r="B145" s="137"/>
      <c r="C145" s="137"/>
      <c r="D145" s="137"/>
      <c r="E145" s="137"/>
      <c r="F145" s="137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246"/>
      <c r="AQ145" s="246"/>
      <c r="AR145" s="246"/>
      <c r="AS145" s="246"/>
      <c r="AT145" s="246"/>
      <c r="AU145" s="246"/>
      <c r="AV145" s="246"/>
      <c r="AW145" s="246"/>
      <c r="AX145" s="246"/>
      <c r="AY145" s="246"/>
      <c r="AZ145" s="246"/>
      <c r="BA145" s="246"/>
      <c r="BB145" s="246"/>
      <c r="BC145" s="246"/>
      <c r="BD145" s="246"/>
      <c r="BE145" s="246"/>
      <c r="BF145" s="246"/>
      <c r="BG145" s="246"/>
      <c r="BH145" s="246"/>
      <c r="BI145" s="246"/>
      <c r="BJ145" s="246"/>
      <c r="BK145" s="246"/>
      <c r="BL145" s="246"/>
      <c r="BM145" s="246"/>
      <c r="BN145" s="246"/>
      <c r="BO145" s="246"/>
      <c r="BP145" s="246"/>
      <c r="BQ145" s="246"/>
      <c r="BR145" s="246"/>
      <c r="BS145" s="246"/>
      <c r="BT145" s="246"/>
      <c r="BU145" s="246"/>
      <c r="BV145" s="246"/>
      <c r="BW145" s="246"/>
      <c r="BX145" s="246"/>
      <c r="BY145" s="246"/>
      <c r="BZ145" s="246"/>
      <c r="CA145" s="246"/>
      <c r="CB145" s="84"/>
      <c r="CC145" s="84"/>
      <c r="CD145" s="84"/>
      <c r="CE145" s="84"/>
      <c r="CF145" s="84"/>
      <c r="CG145" s="84"/>
      <c r="CH145" s="84"/>
      <c r="CI145" s="84"/>
      <c r="CJ145" s="84"/>
      <c r="CK145" s="84"/>
      <c r="CM145" s="84"/>
      <c r="CO145" s="247"/>
      <c r="CP145" s="84"/>
      <c r="CS145" s="84"/>
      <c r="CT145" s="247"/>
      <c r="CU145" s="84"/>
    </row>
    <row r="146" spans="1:99" s="36" customFormat="1">
      <c r="A146" s="137"/>
      <c r="B146" s="137"/>
      <c r="C146" s="137"/>
      <c r="D146" s="137"/>
      <c r="E146" s="137"/>
      <c r="F146" s="137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246"/>
      <c r="AQ146" s="246"/>
      <c r="AR146" s="246"/>
      <c r="AS146" s="246"/>
      <c r="AT146" s="246"/>
      <c r="AU146" s="246"/>
      <c r="AV146" s="246"/>
      <c r="AW146" s="246"/>
      <c r="AX146" s="246"/>
      <c r="AY146" s="246"/>
      <c r="AZ146" s="246"/>
      <c r="BA146" s="246"/>
      <c r="BB146" s="246"/>
      <c r="BC146" s="246"/>
      <c r="BD146" s="246"/>
      <c r="BE146" s="246"/>
      <c r="BF146" s="246"/>
      <c r="BG146" s="246"/>
      <c r="BH146" s="246"/>
      <c r="BI146" s="246"/>
      <c r="BJ146" s="246"/>
      <c r="BK146" s="246"/>
      <c r="BL146" s="246"/>
      <c r="BM146" s="246"/>
      <c r="BN146" s="246"/>
      <c r="BO146" s="246"/>
      <c r="BP146" s="246"/>
      <c r="BQ146" s="246"/>
      <c r="BR146" s="246"/>
      <c r="BS146" s="246"/>
      <c r="BT146" s="246"/>
      <c r="BU146" s="246"/>
      <c r="BV146" s="246"/>
      <c r="BW146" s="246"/>
      <c r="BX146" s="246"/>
      <c r="BY146" s="246"/>
      <c r="BZ146" s="246"/>
      <c r="CA146" s="246"/>
      <c r="CB146" s="84"/>
      <c r="CC146" s="84"/>
      <c r="CD146" s="84"/>
      <c r="CE146" s="84"/>
      <c r="CF146" s="84"/>
      <c r="CG146" s="84"/>
      <c r="CH146" s="84"/>
      <c r="CI146" s="84"/>
      <c r="CJ146" s="84"/>
      <c r="CK146" s="84"/>
      <c r="CM146" s="84"/>
      <c r="CO146" s="247"/>
      <c r="CP146" s="84"/>
      <c r="CS146" s="84"/>
      <c r="CT146" s="247"/>
      <c r="CU146" s="84"/>
    </row>
    <row r="147" spans="1:99" s="36" customFormat="1">
      <c r="A147" s="137"/>
      <c r="B147" s="137"/>
      <c r="C147" s="137"/>
      <c r="D147" s="137"/>
      <c r="E147" s="137"/>
      <c r="F147" s="137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246"/>
      <c r="AQ147" s="246"/>
      <c r="AR147" s="246"/>
      <c r="AS147" s="246"/>
      <c r="AT147" s="246"/>
      <c r="AU147" s="246"/>
      <c r="AV147" s="246"/>
      <c r="AW147" s="246"/>
      <c r="AX147" s="246"/>
      <c r="AY147" s="246"/>
      <c r="AZ147" s="246"/>
      <c r="BA147" s="246"/>
      <c r="BB147" s="246"/>
      <c r="BC147" s="246"/>
      <c r="BD147" s="246"/>
      <c r="BE147" s="246"/>
      <c r="BF147" s="246"/>
      <c r="BG147" s="246"/>
      <c r="BH147" s="246"/>
      <c r="BI147" s="246"/>
      <c r="BJ147" s="246"/>
      <c r="BK147" s="246"/>
      <c r="BL147" s="246"/>
      <c r="BM147" s="246"/>
      <c r="BN147" s="246"/>
      <c r="BO147" s="246"/>
      <c r="BP147" s="246"/>
      <c r="BQ147" s="246"/>
      <c r="BR147" s="246"/>
      <c r="BS147" s="246"/>
      <c r="BT147" s="246"/>
      <c r="BU147" s="246"/>
      <c r="BV147" s="246"/>
      <c r="BW147" s="246"/>
      <c r="BX147" s="246"/>
      <c r="BY147" s="246"/>
      <c r="BZ147" s="246"/>
      <c r="CA147" s="246"/>
      <c r="CB147" s="84"/>
      <c r="CC147" s="84"/>
      <c r="CD147" s="84"/>
      <c r="CE147" s="84"/>
      <c r="CF147" s="84"/>
      <c r="CG147" s="84"/>
      <c r="CH147" s="84"/>
      <c r="CI147" s="84"/>
      <c r="CJ147" s="84"/>
      <c r="CK147" s="84"/>
      <c r="CM147" s="84"/>
      <c r="CO147" s="247"/>
      <c r="CP147" s="84"/>
      <c r="CS147" s="84"/>
      <c r="CT147" s="247"/>
      <c r="CU147" s="84"/>
    </row>
    <row r="148" spans="1:99" s="36" customFormat="1">
      <c r="A148" s="137"/>
      <c r="B148" s="137"/>
      <c r="C148" s="137"/>
      <c r="D148" s="137"/>
      <c r="E148" s="137"/>
      <c r="F148" s="137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246"/>
      <c r="AQ148" s="246"/>
      <c r="AR148" s="246"/>
      <c r="AS148" s="246"/>
      <c r="AT148" s="246"/>
      <c r="AU148" s="246"/>
      <c r="AV148" s="246"/>
      <c r="AW148" s="246"/>
      <c r="AX148" s="246"/>
      <c r="AY148" s="246"/>
      <c r="AZ148" s="246"/>
      <c r="BA148" s="246"/>
      <c r="BB148" s="246"/>
      <c r="BC148" s="246"/>
      <c r="BD148" s="246"/>
      <c r="BE148" s="246"/>
      <c r="BF148" s="246"/>
      <c r="BG148" s="246"/>
      <c r="BH148" s="246"/>
      <c r="BI148" s="246"/>
      <c r="BJ148" s="246"/>
      <c r="BK148" s="246"/>
      <c r="BL148" s="246"/>
      <c r="BM148" s="246"/>
      <c r="BN148" s="246"/>
      <c r="BO148" s="246"/>
      <c r="BP148" s="246"/>
      <c r="BQ148" s="246"/>
      <c r="BR148" s="246"/>
      <c r="BS148" s="246"/>
      <c r="BT148" s="246"/>
      <c r="BU148" s="246"/>
      <c r="BV148" s="246"/>
      <c r="BW148" s="246"/>
      <c r="BX148" s="246"/>
      <c r="BY148" s="246"/>
      <c r="BZ148" s="246"/>
      <c r="CA148" s="246"/>
      <c r="CB148" s="84"/>
      <c r="CC148" s="84"/>
      <c r="CD148" s="84"/>
      <c r="CE148" s="84"/>
      <c r="CF148" s="84"/>
      <c r="CG148" s="84"/>
      <c r="CH148" s="84"/>
      <c r="CI148" s="84"/>
      <c r="CJ148" s="84"/>
      <c r="CK148" s="84"/>
      <c r="CM148" s="84"/>
      <c r="CO148" s="247"/>
      <c r="CP148" s="84"/>
      <c r="CS148" s="84"/>
      <c r="CT148" s="247"/>
      <c r="CU148" s="84"/>
    </row>
    <row r="149" spans="1:99" s="36" customFormat="1">
      <c r="A149" s="137"/>
      <c r="B149" s="137"/>
      <c r="C149" s="137"/>
      <c r="D149" s="137"/>
      <c r="E149" s="137"/>
      <c r="F149" s="137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246"/>
      <c r="AQ149" s="246"/>
      <c r="AR149" s="246"/>
      <c r="AS149" s="246"/>
      <c r="AT149" s="246"/>
      <c r="AU149" s="246"/>
      <c r="AV149" s="246"/>
      <c r="AW149" s="246"/>
      <c r="AX149" s="246"/>
      <c r="AY149" s="246"/>
      <c r="AZ149" s="246"/>
      <c r="BA149" s="246"/>
      <c r="BB149" s="246"/>
      <c r="BC149" s="246"/>
      <c r="BD149" s="246"/>
      <c r="BE149" s="246"/>
      <c r="BF149" s="246"/>
      <c r="BG149" s="246"/>
      <c r="BH149" s="246"/>
      <c r="BI149" s="246"/>
      <c r="BJ149" s="246"/>
      <c r="BK149" s="246"/>
      <c r="BL149" s="246"/>
      <c r="BM149" s="246"/>
      <c r="BN149" s="246"/>
      <c r="BO149" s="246"/>
      <c r="BP149" s="246"/>
      <c r="BQ149" s="246"/>
      <c r="BR149" s="246"/>
      <c r="BS149" s="246"/>
      <c r="BT149" s="246"/>
      <c r="BU149" s="246"/>
      <c r="BV149" s="246"/>
      <c r="BW149" s="246"/>
      <c r="BX149" s="246"/>
      <c r="BY149" s="246"/>
      <c r="BZ149" s="246"/>
      <c r="CA149" s="246"/>
      <c r="CB149" s="84"/>
      <c r="CC149" s="84"/>
      <c r="CD149" s="84"/>
      <c r="CE149" s="84"/>
      <c r="CF149" s="84"/>
      <c r="CG149" s="84"/>
      <c r="CH149" s="84"/>
      <c r="CI149" s="84"/>
      <c r="CJ149" s="84"/>
      <c r="CK149" s="84"/>
      <c r="CM149" s="84"/>
      <c r="CO149" s="247"/>
      <c r="CP149" s="84"/>
      <c r="CS149" s="84"/>
      <c r="CT149" s="247"/>
      <c r="CU149" s="84"/>
    </row>
    <row r="150" spans="1:99" s="36" customFormat="1">
      <c r="A150" s="137"/>
      <c r="B150" s="137"/>
      <c r="C150" s="137"/>
      <c r="D150" s="137"/>
      <c r="E150" s="137"/>
      <c r="F150" s="137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246"/>
      <c r="AQ150" s="246"/>
      <c r="AR150" s="246"/>
      <c r="AS150" s="246"/>
      <c r="AT150" s="246"/>
      <c r="AU150" s="246"/>
      <c r="AV150" s="246"/>
      <c r="AW150" s="246"/>
      <c r="AX150" s="246"/>
      <c r="AY150" s="246"/>
      <c r="AZ150" s="246"/>
      <c r="BA150" s="246"/>
      <c r="BB150" s="246"/>
      <c r="BC150" s="246"/>
      <c r="BD150" s="246"/>
      <c r="BE150" s="246"/>
      <c r="BF150" s="246"/>
      <c r="BG150" s="246"/>
      <c r="BH150" s="246"/>
      <c r="BI150" s="246"/>
      <c r="BJ150" s="246"/>
      <c r="BK150" s="246"/>
      <c r="BL150" s="246"/>
      <c r="BM150" s="246"/>
      <c r="BN150" s="246"/>
      <c r="BO150" s="246"/>
      <c r="BP150" s="246"/>
      <c r="BQ150" s="246"/>
      <c r="BR150" s="246"/>
      <c r="BS150" s="246"/>
      <c r="BT150" s="246"/>
      <c r="BU150" s="246"/>
      <c r="BV150" s="246"/>
      <c r="BW150" s="246"/>
      <c r="BX150" s="246"/>
      <c r="BY150" s="246"/>
      <c r="BZ150" s="246"/>
      <c r="CA150" s="246"/>
      <c r="CB150" s="84"/>
      <c r="CC150" s="84"/>
      <c r="CD150" s="84"/>
      <c r="CE150" s="84"/>
      <c r="CF150" s="84"/>
      <c r="CG150" s="84"/>
      <c r="CH150" s="84"/>
      <c r="CI150" s="84"/>
      <c r="CJ150" s="84"/>
      <c r="CK150" s="84"/>
      <c r="CM150" s="84"/>
      <c r="CO150" s="247"/>
      <c r="CP150" s="84"/>
      <c r="CS150" s="84"/>
      <c r="CT150" s="247"/>
      <c r="CU150" s="84"/>
    </row>
    <row r="151" spans="1:99" s="36" customFormat="1">
      <c r="A151" s="245"/>
      <c r="B151" s="137"/>
      <c r="C151" s="137"/>
      <c r="D151" s="137"/>
      <c r="E151" s="137"/>
      <c r="F151" s="137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/>
      <c r="AP151" s="246"/>
      <c r="AQ151" s="246"/>
      <c r="AR151" s="246"/>
      <c r="AS151" s="246"/>
      <c r="AT151" s="246"/>
      <c r="AU151" s="246"/>
      <c r="AV151" s="246"/>
      <c r="AW151" s="246"/>
      <c r="AX151" s="246"/>
      <c r="AY151" s="246"/>
      <c r="AZ151" s="246"/>
      <c r="BA151" s="246"/>
      <c r="BB151" s="246"/>
      <c r="BC151" s="246"/>
      <c r="BD151" s="246"/>
      <c r="BE151" s="246"/>
      <c r="BF151" s="246"/>
      <c r="BG151" s="246"/>
      <c r="BH151" s="246"/>
      <c r="BI151" s="246"/>
      <c r="BJ151" s="246"/>
      <c r="BK151" s="246"/>
      <c r="BL151" s="246"/>
      <c r="BM151" s="246"/>
      <c r="BN151" s="246"/>
      <c r="BO151" s="246"/>
      <c r="BP151" s="246"/>
      <c r="BQ151" s="246"/>
      <c r="BR151" s="246"/>
      <c r="BS151" s="246"/>
      <c r="BT151" s="246"/>
      <c r="BU151" s="246"/>
      <c r="BV151" s="246"/>
      <c r="BW151" s="246"/>
      <c r="BX151" s="246"/>
      <c r="BY151" s="246"/>
      <c r="BZ151" s="246"/>
      <c r="CA151" s="246"/>
      <c r="CB151" s="84"/>
      <c r="CC151" s="84"/>
      <c r="CD151" s="84"/>
      <c r="CE151" s="84"/>
      <c r="CF151" s="84"/>
      <c r="CG151" s="84"/>
      <c r="CH151" s="84"/>
      <c r="CI151" s="84"/>
      <c r="CJ151" s="84"/>
      <c r="CK151" s="84"/>
      <c r="CM151" s="84"/>
      <c r="CO151" s="247"/>
      <c r="CP151" s="84"/>
      <c r="CS151" s="84"/>
      <c r="CT151" s="247"/>
      <c r="CU151" s="84"/>
    </row>
    <row r="152" spans="1:99" s="36" customFormat="1">
      <c r="A152" s="245"/>
      <c r="B152" s="137"/>
      <c r="C152" s="137"/>
      <c r="D152" s="137"/>
      <c r="E152" s="137"/>
      <c r="F152" s="137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246"/>
      <c r="AQ152" s="246"/>
      <c r="AR152" s="246"/>
      <c r="AS152" s="246"/>
      <c r="AT152" s="246"/>
      <c r="AU152" s="246"/>
      <c r="AV152" s="246"/>
      <c r="AW152" s="246"/>
      <c r="AX152" s="246"/>
      <c r="AY152" s="246"/>
      <c r="AZ152" s="246"/>
      <c r="BA152" s="246"/>
      <c r="BB152" s="246"/>
      <c r="BC152" s="246"/>
      <c r="BD152" s="246"/>
      <c r="BE152" s="246"/>
      <c r="BF152" s="246"/>
      <c r="BG152" s="246"/>
      <c r="BH152" s="246"/>
      <c r="BI152" s="246"/>
      <c r="BJ152" s="246"/>
      <c r="BK152" s="246"/>
      <c r="BL152" s="246"/>
      <c r="BM152" s="246"/>
      <c r="BN152" s="246"/>
      <c r="BO152" s="246"/>
      <c r="BP152" s="246"/>
      <c r="BQ152" s="246"/>
      <c r="BR152" s="246"/>
      <c r="BS152" s="246"/>
      <c r="BT152" s="246"/>
      <c r="BU152" s="246"/>
      <c r="BV152" s="246"/>
      <c r="BW152" s="246"/>
      <c r="BX152" s="246"/>
      <c r="BY152" s="246"/>
      <c r="BZ152" s="246"/>
      <c r="CA152" s="246"/>
      <c r="CB152" s="84"/>
      <c r="CC152" s="84"/>
      <c r="CD152" s="84"/>
      <c r="CE152" s="84"/>
      <c r="CF152" s="84"/>
      <c r="CG152" s="84"/>
      <c r="CH152" s="84"/>
      <c r="CI152" s="84"/>
      <c r="CJ152" s="84"/>
      <c r="CK152" s="84"/>
      <c r="CM152" s="84"/>
      <c r="CO152" s="247"/>
      <c r="CP152" s="84"/>
      <c r="CS152" s="84"/>
      <c r="CT152" s="247"/>
      <c r="CU152" s="84"/>
    </row>
    <row r="153" spans="1:99" s="36" customFormat="1">
      <c r="A153" s="245"/>
      <c r="B153" s="137"/>
      <c r="C153" s="137"/>
      <c r="D153" s="137"/>
      <c r="E153" s="137"/>
      <c r="F153" s="137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246"/>
      <c r="AQ153" s="246"/>
      <c r="AR153" s="246"/>
      <c r="AS153" s="246"/>
      <c r="AT153" s="246"/>
      <c r="AU153" s="246"/>
      <c r="AV153" s="246"/>
      <c r="AW153" s="246"/>
      <c r="AX153" s="246"/>
      <c r="AY153" s="246"/>
      <c r="AZ153" s="246"/>
      <c r="BA153" s="246"/>
      <c r="BB153" s="246"/>
      <c r="BC153" s="246"/>
      <c r="BD153" s="246"/>
      <c r="BE153" s="246"/>
      <c r="BF153" s="246"/>
      <c r="BG153" s="246"/>
      <c r="BH153" s="246"/>
      <c r="BI153" s="246"/>
      <c r="BJ153" s="246"/>
      <c r="BK153" s="246"/>
      <c r="BL153" s="246"/>
      <c r="BM153" s="246"/>
      <c r="BN153" s="246"/>
      <c r="BO153" s="246"/>
      <c r="BP153" s="246"/>
      <c r="BQ153" s="246"/>
      <c r="BR153" s="246"/>
      <c r="BS153" s="246"/>
      <c r="BT153" s="246"/>
      <c r="BU153" s="246"/>
      <c r="BV153" s="246"/>
      <c r="BW153" s="246"/>
      <c r="BX153" s="246"/>
      <c r="BY153" s="246"/>
      <c r="BZ153" s="246"/>
      <c r="CA153" s="246"/>
      <c r="CB153" s="84"/>
      <c r="CC153" s="84"/>
      <c r="CD153" s="84"/>
      <c r="CE153" s="84"/>
      <c r="CF153" s="84"/>
      <c r="CG153" s="84"/>
      <c r="CH153" s="84"/>
      <c r="CI153" s="84"/>
      <c r="CJ153" s="84"/>
      <c r="CK153" s="84"/>
      <c r="CM153" s="84"/>
      <c r="CO153" s="247"/>
      <c r="CP153" s="84"/>
      <c r="CS153" s="84"/>
      <c r="CT153" s="247"/>
      <c r="CU153" s="84"/>
    </row>
    <row r="154" spans="1:99" s="36" customFormat="1">
      <c r="A154" s="245"/>
      <c r="B154" s="137"/>
      <c r="C154" s="137"/>
      <c r="D154" s="137"/>
      <c r="E154" s="137"/>
      <c r="F154" s="137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246"/>
      <c r="AQ154" s="246"/>
      <c r="AR154" s="246"/>
      <c r="AS154" s="246"/>
      <c r="AT154" s="246"/>
      <c r="AU154" s="246"/>
      <c r="AV154" s="246"/>
      <c r="AW154" s="246"/>
      <c r="AX154" s="246"/>
      <c r="AY154" s="246"/>
      <c r="AZ154" s="246"/>
      <c r="BA154" s="246"/>
      <c r="BB154" s="246"/>
      <c r="BC154" s="246"/>
      <c r="BD154" s="246"/>
      <c r="BE154" s="246"/>
      <c r="BF154" s="246"/>
      <c r="BG154" s="246"/>
      <c r="BH154" s="246"/>
      <c r="BI154" s="246"/>
      <c r="BJ154" s="246"/>
      <c r="BK154" s="246"/>
      <c r="BL154" s="246"/>
      <c r="BM154" s="246"/>
      <c r="BN154" s="246"/>
      <c r="BO154" s="246"/>
      <c r="BP154" s="246"/>
      <c r="BQ154" s="246"/>
      <c r="BR154" s="246"/>
      <c r="BS154" s="246"/>
      <c r="BT154" s="246"/>
      <c r="BU154" s="246"/>
      <c r="BV154" s="246"/>
      <c r="BW154" s="246"/>
      <c r="BX154" s="246"/>
      <c r="BY154" s="246"/>
      <c r="BZ154" s="246"/>
      <c r="CA154" s="246"/>
      <c r="CB154" s="84"/>
      <c r="CC154" s="84"/>
      <c r="CD154" s="84"/>
      <c r="CE154" s="84"/>
      <c r="CF154" s="84"/>
      <c r="CG154" s="84"/>
      <c r="CH154" s="84"/>
      <c r="CI154" s="84"/>
      <c r="CJ154" s="84"/>
      <c r="CK154" s="84"/>
      <c r="CM154" s="84"/>
      <c r="CO154" s="247"/>
      <c r="CP154" s="84"/>
      <c r="CS154" s="84"/>
      <c r="CT154" s="247"/>
      <c r="CU154" s="84"/>
    </row>
    <row r="155" spans="1:99" s="36" customFormat="1">
      <c r="A155" s="245"/>
      <c r="B155" s="137"/>
      <c r="C155" s="137"/>
      <c r="D155" s="137"/>
      <c r="E155" s="137"/>
      <c r="F155" s="137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246"/>
      <c r="AQ155" s="246"/>
      <c r="AR155" s="246"/>
      <c r="AS155" s="246"/>
      <c r="AT155" s="246"/>
      <c r="AU155" s="246"/>
      <c r="AV155" s="246"/>
      <c r="AW155" s="246"/>
      <c r="AX155" s="246"/>
      <c r="AY155" s="246"/>
      <c r="AZ155" s="246"/>
      <c r="BA155" s="246"/>
      <c r="BB155" s="246"/>
      <c r="BC155" s="246"/>
      <c r="BD155" s="246"/>
      <c r="BE155" s="246"/>
      <c r="BF155" s="246"/>
      <c r="BG155" s="246"/>
      <c r="BH155" s="246"/>
      <c r="BI155" s="246"/>
      <c r="BJ155" s="246"/>
      <c r="BK155" s="246"/>
      <c r="BL155" s="246"/>
      <c r="BM155" s="246"/>
      <c r="BN155" s="246"/>
      <c r="BO155" s="246"/>
      <c r="BP155" s="246"/>
      <c r="BQ155" s="246"/>
      <c r="BR155" s="246"/>
      <c r="BS155" s="246"/>
      <c r="BT155" s="246"/>
      <c r="BU155" s="246"/>
      <c r="BV155" s="246"/>
      <c r="BW155" s="246"/>
      <c r="BX155" s="246"/>
      <c r="BY155" s="246"/>
      <c r="BZ155" s="246"/>
      <c r="CA155" s="246"/>
      <c r="CB155" s="84"/>
      <c r="CC155" s="84"/>
      <c r="CD155" s="84"/>
      <c r="CE155" s="84"/>
      <c r="CF155" s="84"/>
      <c r="CG155" s="84"/>
      <c r="CH155" s="84"/>
      <c r="CI155" s="84"/>
      <c r="CJ155" s="84"/>
      <c r="CK155" s="84"/>
      <c r="CM155" s="84"/>
      <c r="CO155" s="247"/>
      <c r="CP155" s="84"/>
      <c r="CS155" s="84"/>
      <c r="CT155" s="247"/>
      <c r="CU155" s="84"/>
    </row>
    <row r="156" spans="1:99" s="36" customFormat="1">
      <c r="A156" s="245"/>
      <c r="B156" s="137"/>
      <c r="C156" s="137"/>
      <c r="D156" s="137"/>
      <c r="E156" s="137"/>
      <c r="F156" s="137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  <c r="AL156" s="84"/>
      <c r="AM156" s="84"/>
      <c r="AN156" s="84"/>
      <c r="AO156" s="84"/>
      <c r="AP156" s="246"/>
      <c r="AQ156" s="246"/>
      <c r="AR156" s="246"/>
      <c r="AS156" s="246"/>
      <c r="AT156" s="246"/>
      <c r="AU156" s="246"/>
      <c r="AV156" s="246"/>
      <c r="AW156" s="246"/>
      <c r="AX156" s="246"/>
      <c r="AY156" s="246"/>
      <c r="AZ156" s="246"/>
      <c r="BA156" s="246"/>
      <c r="BB156" s="246"/>
      <c r="BC156" s="246"/>
      <c r="BD156" s="246"/>
      <c r="BE156" s="246"/>
      <c r="BF156" s="246"/>
      <c r="BG156" s="246"/>
      <c r="BH156" s="246"/>
      <c r="BI156" s="246"/>
      <c r="BJ156" s="246"/>
      <c r="BK156" s="246"/>
      <c r="BL156" s="246"/>
      <c r="BM156" s="246"/>
      <c r="BN156" s="246"/>
      <c r="BO156" s="246"/>
      <c r="BP156" s="246"/>
      <c r="BQ156" s="246"/>
      <c r="BR156" s="246"/>
      <c r="BS156" s="246"/>
      <c r="BT156" s="246"/>
      <c r="BU156" s="246"/>
      <c r="BV156" s="246"/>
      <c r="BW156" s="246"/>
      <c r="BX156" s="246"/>
      <c r="BY156" s="246"/>
      <c r="BZ156" s="246"/>
      <c r="CA156" s="246"/>
      <c r="CB156" s="84"/>
      <c r="CC156" s="84"/>
      <c r="CD156" s="84"/>
      <c r="CE156" s="84"/>
      <c r="CF156" s="84"/>
      <c r="CG156" s="84"/>
      <c r="CH156" s="84"/>
      <c r="CI156" s="84"/>
      <c r="CJ156" s="84"/>
      <c r="CK156" s="84"/>
      <c r="CM156" s="84"/>
      <c r="CO156" s="247"/>
      <c r="CP156" s="84"/>
      <c r="CS156" s="84"/>
      <c r="CT156" s="247"/>
      <c r="CU156" s="84"/>
    </row>
    <row r="157" spans="1:99" s="36" customFormat="1">
      <c r="A157" s="245"/>
      <c r="B157" s="137"/>
      <c r="C157" s="137"/>
      <c r="D157" s="137"/>
      <c r="E157" s="137"/>
      <c r="F157" s="137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246"/>
      <c r="AQ157" s="246"/>
      <c r="AR157" s="246"/>
      <c r="AS157" s="246"/>
      <c r="AT157" s="246"/>
      <c r="AU157" s="246"/>
      <c r="AV157" s="246"/>
      <c r="AW157" s="246"/>
      <c r="AX157" s="246"/>
      <c r="AY157" s="246"/>
      <c r="AZ157" s="246"/>
      <c r="BA157" s="246"/>
      <c r="BB157" s="246"/>
      <c r="BC157" s="246"/>
      <c r="BD157" s="246"/>
      <c r="BE157" s="246"/>
      <c r="BF157" s="246"/>
      <c r="BG157" s="246"/>
      <c r="BH157" s="246"/>
      <c r="BI157" s="246"/>
      <c r="BJ157" s="246"/>
      <c r="BK157" s="246"/>
      <c r="BL157" s="246"/>
      <c r="BM157" s="246"/>
      <c r="BN157" s="246"/>
      <c r="BO157" s="246"/>
      <c r="BP157" s="246"/>
      <c r="BQ157" s="246"/>
      <c r="BR157" s="246"/>
      <c r="BS157" s="246"/>
      <c r="BT157" s="246"/>
      <c r="BU157" s="246"/>
      <c r="BV157" s="246"/>
      <c r="BW157" s="246"/>
      <c r="BX157" s="246"/>
      <c r="BY157" s="246"/>
      <c r="BZ157" s="246"/>
      <c r="CA157" s="246"/>
      <c r="CB157" s="84"/>
      <c r="CC157" s="84"/>
      <c r="CD157" s="84"/>
      <c r="CE157" s="84"/>
      <c r="CF157" s="84"/>
      <c r="CG157" s="84"/>
      <c r="CH157" s="84"/>
      <c r="CI157" s="84"/>
      <c r="CJ157" s="84"/>
      <c r="CK157" s="84"/>
      <c r="CM157" s="84"/>
      <c r="CO157" s="247"/>
      <c r="CP157" s="84"/>
      <c r="CS157" s="84"/>
      <c r="CT157" s="247"/>
      <c r="CU157" s="84"/>
    </row>
    <row r="158" spans="1:99" s="36" customFormat="1">
      <c r="A158" s="245"/>
      <c r="B158" s="137"/>
      <c r="C158" s="137"/>
      <c r="D158" s="137"/>
      <c r="E158" s="137"/>
      <c r="F158" s="137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246"/>
      <c r="AQ158" s="246"/>
      <c r="AR158" s="246"/>
      <c r="AS158" s="246"/>
      <c r="AT158" s="246"/>
      <c r="AU158" s="246"/>
      <c r="AV158" s="246"/>
      <c r="AW158" s="246"/>
      <c r="AX158" s="246"/>
      <c r="AY158" s="246"/>
      <c r="AZ158" s="246"/>
      <c r="BA158" s="246"/>
      <c r="BB158" s="246"/>
      <c r="BC158" s="246"/>
      <c r="BD158" s="246"/>
      <c r="BE158" s="246"/>
      <c r="BF158" s="246"/>
      <c r="BG158" s="246"/>
      <c r="BH158" s="246"/>
      <c r="BI158" s="246"/>
      <c r="BJ158" s="246"/>
      <c r="BK158" s="246"/>
      <c r="BL158" s="246"/>
      <c r="BM158" s="246"/>
      <c r="BN158" s="246"/>
      <c r="BO158" s="246"/>
      <c r="BP158" s="246"/>
      <c r="BQ158" s="246"/>
      <c r="BR158" s="246"/>
      <c r="BS158" s="246"/>
      <c r="BT158" s="246"/>
      <c r="BU158" s="246"/>
      <c r="BV158" s="246"/>
      <c r="BW158" s="246"/>
      <c r="BX158" s="246"/>
      <c r="BY158" s="246"/>
      <c r="BZ158" s="246"/>
      <c r="CA158" s="246"/>
      <c r="CB158" s="84"/>
      <c r="CC158" s="84"/>
      <c r="CD158" s="84"/>
      <c r="CE158" s="84"/>
      <c r="CF158" s="84"/>
      <c r="CG158" s="84"/>
      <c r="CH158" s="84"/>
      <c r="CI158" s="84"/>
      <c r="CJ158" s="84"/>
      <c r="CK158" s="84"/>
      <c r="CM158" s="84"/>
      <c r="CO158" s="247"/>
      <c r="CP158" s="84"/>
      <c r="CS158" s="84"/>
      <c r="CT158" s="247"/>
      <c r="CU158" s="84"/>
    </row>
    <row r="159" spans="1:99" s="36" customFormat="1">
      <c r="A159" s="245"/>
      <c r="B159" s="137"/>
      <c r="C159" s="137"/>
      <c r="D159" s="137"/>
      <c r="E159" s="137"/>
      <c r="F159" s="137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  <c r="AL159" s="84"/>
      <c r="AM159" s="84"/>
      <c r="AN159" s="84"/>
      <c r="AO159" s="84"/>
      <c r="AP159" s="246"/>
      <c r="AQ159" s="246"/>
      <c r="AR159" s="246"/>
      <c r="AS159" s="246"/>
      <c r="AT159" s="246"/>
      <c r="AU159" s="246"/>
      <c r="AV159" s="246"/>
      <c r="AW159" s="246"/>
      <c r="AX159" s="246"/>
      <c r="AY159" s="246"/>
      <c r="AZ159" s="246"/>
      <c r="BA159" s="246"/>
      <c r="BB159" s="246"/>
      <c r="BC159" s="246"/>
      <c r="BD159" s="246"/>
      <c r="BE159" s="246"/>
      <c r="BF159" s="246"/>
      <c r="BG159" s="246"/>
      <c r="BH159" s="246"/>
      <c r="BI159" s="246"/>
      <c r="BJ159" s="246"/>
      <c r="BK159" s="246"/>
      <c r="BL159" s="246"/>
      <c r="BM159" s="246"/>
      <c r="BN159" s="246"/>
      <c r="BO159" s="246"/>
      <c r="BP159" s="246"/>
      <c r="BQ159" s="246"/>
      <c r="BR159" s="246"/>
      <c r="BS159" s="246"/>
      <c r="BT159" s="246"/>
      <c r="BU159" s="246"/>
      <c r="BV159" s="246"/>
      <c r="BW159" s="246"/>
      <c r="BX159" s="246"/>
      <c r="BY159" s="246"/>
      <c r="BZ159" s="246"/>
      <c r="CA159" s="246"/>
      <c r="CB159" s="84"/>
      <c r="CC159" s="84"/>
      <c r="CD159" s="84"/>
      <c r="CE159" s="84"/>
      <c r="CF159" s="84"/>
      <c r="CG159" s="84"/>
      <c r="CH159" s="84"/>
      <c r="CI159" s="84"/>
      <c r="CJ159" s="84"/>
      <c r="CK159" s="84"/>
      <c r="CM159" s="84"/>
      <c r="CO159" s="247"/>
      <c r="CP159" s="84"/>
      <c r="CS159" s="84"/>
      <c r="CT159" s="247"/>
      <c r="CU159" s="84"/>
    </row>
    <row r="160" spans="1:99" s="36" customFormat="1">
      <c r="A160" s="245"/>
      <c r="B160" s="137"/>
      <c r="C160" s="137"/>
      <c r="D160" s="137"/>
      <c r="E160" s="137"/>
      <c r="F160" s="137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246"/>
      <c r="AQ160" s="246"/>
      <c r="AR160" s="246"/>
      <c r="AS160" s="246"/>
      <c r="AT160" s="246"/>
      <c r="AU160" s="246"/>
      <c r="AV160" s="246"/>
      <c r="AW160" s="246"/>
      <c r="AX160" s="246"/>
      <c r="AY160" s="246"/>
      <c r="AZ160" s="246"/>
      <c r="BA160" s="246"/>
      <c r="BB160" s="246"/>
      <c r="BC160" s="246"/>
      <c r="BD160" s="246"/>
      <c r="BE160" s="246"/>
      <c r="BF160" s="246"/>
      <c r="BG160" s="246"/>
      <c r="BH160" s="246"/>
      <c r="BI160" s="246"/>
      <c r="BJ160" s="246"/>
      <c r="BK160" s="246"/>
      <c r="BL160" s="246"/>
      <c r="BM160" s="246"/>
      <c r="BN160" s="246"/>
      <c r="BO160" s="246"/>
      <c r="BP160" s="246"/>
      <c r="BQ160" s="246"/>
      <c r="BR160" s="246"/>
      <c r="BS160" s="246"/>
      <c r="BT160" s="246"/>
      <c r="BU160" s="246"/>
      <c r="BV160" s="246"/>
      <c r="BW160" s="246"/>
      <c r="BX160" s="246"/>
      <c r="BY160" s="246"/>
      <c r="BZ160" s="246"/>
      <c r="CA160" s="246"/>
      <c r="CB160" s="84"/>
      <c r="CC160" s="84"/>
      <c r="CD160" s="84"/>
      <c r="CE160" s="84"/>
      <c r="CF160" s="84"/>
      <c r="CG160" s="84"/>
      <c r="CH160" s="84"/>
      <c r="CI160" s="84"/>
      <c r="CJ160" s="84"/>
      <c r="CK160" s="84"/>
      <c r="CM160" s="84"/>
      <c r="CO160" s="247"/>
      <c r="CP160" s="84"/>
      <c r="CS160" s="84"/>
      <c r="CT160" s="247"/>
      <c r="CU160" s="84"/>
    </row>
    <row r="161" spans="1:99" s="36" customFormat="1">
      <c r="A161" s="245"/>
      <c r="B161" s="137"/>
      <c r="C161" s="137"/>
      <c r="D161" s="137"/>
      <c r="E161" s="137"/>
      <c r="F161" s="137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246"/>
      <c r="AQ161" s="246"/>
      <c r="AR161" s="246"/>
      <c r="AS161" s="246"/>
      <c r="AT161" s="246"/>
      <c r="AU161" s="246"/>
      <c r="AV161" s="246"/>
      <c r="AW161" s="246"/>
      <c r="AX161" s="246"/>
      <c r="AY161" s="246"/>
      <c r="AZ161" s="246"/>
      <c r="BA161" s="246"/>
      <c r="BB161" s="246"/>
      <c r="BC161" s="246"/>
      <c r="BD161" s="246"/>
      <c r="BE161" s="246"/>
      <c r="BF161" s="246"/>
      <c r="BG161" s="246"/>
      <c r="BH161" s="246"/>
      <c r="BI161" s="246"/>
      <c r="BJ161" s="246"/>
      <c r="BK161" s="246"/>
      <c r="BL161" s="246"/>
      <c r="BM161" s="246"/>
      <c r="BN161" s="246"/>
      <c r="BO161" s="246"/>
      <c r="BP161" s="246"/>
      <c r="BQ161" s="246"/>
      <c r="BR161" s="246"/>
      <c r="BS161" s="246"/>
      <c r="BT161" s="246"/>
      <c r="BU161" s="246"/>
      <c r="BV161" s="246"/>
      <c r="BW161" s="246"/>
      <c r="BX161" s="246"/>
      <c r="BY161" s="246"/>
      <c r="BZ161" s="246"/>
      <c r="CA161" s="246"/>
      <c r="CB161" s="84"/>
      <c r="CC161" s="84"/>
      <c r="CD161" s="84"/>
      <c r="CE161" s="84"/>
      <c r="CF161" s="84"/>
      <c r="CG161" s="84"/>
      <c r="CH161" s="84"/>
      <c r="CI161" s="84"/>
      <c r="CJ161" s="84"/>
      <c r="CK161" s="84"/>
      <c r="CM161" s="84"/>
      <c r="CO161" s="247"/>
      <c r="CP161" s="84"/>
      <c r="CS161" s="84"/>
      <c r="CT161" s="247"/>
      <c r="CU161" s="84"/>
    </row>
    <row r="162" spans="1:99" s="36" customFormat="1">
      <c r="A162" s="245"/>
      <c r="B162" s="137"/>
      <c r="C162" s="137"/>
      <c r="D162" s="137"/>
      <c r="E162" s="137"/>
      <c r="F162" s="137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246"/>
      <c r="AQ162" s="246"/>
      <c r="AR162" s="246"/>
      <c r="AS162" s="246"/>
      <c r="AT162" s="246"/>
      <c r="AU162" s="246"/>
      <c r="AV162" s="246"/>
      <c r="AW162" s="246"/>
      <c r="AX162" s="246"/>
      <c r="AY162" s="246"/>
      <c r="AZ162" s="246"/>
      <c r="BA162" s="246"/>
      <c r="BB162" s="246"/>
      <c r="BC162" s="246"/>
      <c r="BD162" s="246"/>
      <c r="BE162" s="246"/>
      <c r="BF162" s="246"/>
      <c r="BG162" s="246"/>
      <c r="BH162" s="246"/>
      <c r="BI162" s="246"/>
      <c r="BJ162" s="246"/>
      <c r="BK162" s="246"/>
      <c r="BL162" s="246"/>
      <c r="BM162" s="246"/>
      <c r="BN162" s="246"/>
      <c r="BO162" s="246"/>
      <c r="BP162" s="246"/>
      <c r="BQ162" s="246"/>
      <c r="BR162" s="246"/>
      <c r="BS162" s="246"/>
      <c r="BT162" s="246"/>
      <c r="BU162" s="246"/>
      <c r="BV162" s="246"/>
      <c r="BW162" s="246"/>
      <c r="BX162" s="246"/>
      <c r="BY162" s="246"/>
      <c r="BZ162" s="246"/>
      <c r="CA162" s="246"/>
      <c r="CB162" s="84"/>
      <c r="CC162" s="84"/>
      <c r="CD162" s="84"/>
      <c r="CE162" s="84"/>
      <c r="CF162" s="84"/>
      <c r="CG162" s="84"/>
      <c r="CH162" s="84"/>
      <c r="CI162" s="84"/>
      <c r="CJ162" s="84"/>
      <c r="CK162" s="84"/>
      <c r="CM162" s="84"/>
      <c r="CO162" s="247"/>
      <c r="CP162" s="84"/>
      <c r="CS162" s="84"/>
      <c r="CT162" s="247"/>
      <c r="CU162" s="84"/>
    </row>
    <row r="163" spans="1:99" s="36" customFormat="1">
      <c r="A163" s="245"/>
      <c r="B163" s="137"/>
      <c r="C163" s="137"/>
      <c r="D163" s="137"/>
      <c r="E163" s="137"/>
      <c r="F163" s="137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246"/>
      <c r="AQ163" s="246"/>
      <c r="AR163" s="246"/>
      <c r="AS163" s="246"/>
      <c r="AT163" s="246"/>
      <c r="AU163" s="246"/>
      <c r="AV163" s="246"/>
      <c r="AW163" s="246"/>
      <c r="AX163" s="246"/>
      <c r="AY163" s="246"/>
      <c r="AZ163" s="246"/>
      <c r="BA163" s="246"/>
      <c r="BB163" s="246"/>
      <c r="BC163" s="246"/>
      <c r="BD163" s="246"/>
      <c r="BE163" s="246"/>
      <c r="BF163" s="246"/>
      <c r="BG163" s="246"/>
      <c r="BH163" s="246"/>
      <c r="BI163" s="246"/>
      <c r="BJ163" s="246"/>
      <c r="BK163" s="246"/>
      <c r="BL163" s="246"/>
      <c r="BM163" s="246"/>
      <c r="BN163" s="246"/>
      <c r="BO163" s="246"/>
      <c r="BP163" s="246"/>
      <c r="BQ163" s="246"/>
      <c r="BR163" s="246"/>
      <c r="BS163" s="246"/>
      <c r="BT163" s="246"/>
      <c r="BU163" s="246"/>
      <c r="BV163" s="246"/>
      <c r="BW163" s="246"/>
      <c r="BX163" s="246"/>
      <c r="BY163" s="246"/>
      <c r="BZ163" s="246"/>
      <c r="CA163" s="246"/>
      <c r="CB163" s="84"/>
      <c r="CC163" s="84"/>
      <c r="CD163" s="84"/>
      <c r="CE163" s="84"/>
      <c r="CF163" s="84"/>
      <c r="CG163" s="84"/>
      <c r="CH163" s="84"/>
      <c r="CI163" s="84"/>
      <c r="CJ163" s="84"/>
      <c r="CK163" s="84"/>
      <c r="CM163" s="84"/>
      <c r="CO163" s="247"/>
      <c r="CP163" s="84"/>
      <c r="CS163" s="84"/>
      <c r="CT163" s="247"/>
      <c r="CU163" s="84"/>
    </row>
    <row r="164" spans="1:99" s="36" customFormat="1">
      <c r="A164" s="245"/>
      <c r="B164" s="137"/>
      <c r="C164" s="137"/>
      <c r="D164" s="137"/>
      <c r="E164" s="137"/>
      <c r="F164" s="137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246"/>
      <c r="AQ164" s="246"/>
      <c r="AR164" s="246"/>
      <c r="AS164" s="246"/>
      <c r="AT164" s="246"/>
      <c r="AU164" s="246"/>
      <c r="AV164" s="246"/>
      <c r="AW164" s="246"/>
      <c r="AX164" s="246"/>
      <c r="AY164" s="246"/>
      <c r="AZ164" s="246"/>
      <c r="BA164" s="246"/>
      <c r="BB164" s="246"/>
      <c r="BC164" s="246"/>
      <c r="BD164" s="246"/>
      <c r="BE164" s="246"/>
      <c r="BF164" s="246"/>
      <c r="BG164" s="246"/>
      <c r="BH164" s="246"/>
      <c r="BI164" s="246"/>
      <c r="BJ164" s="246"/>
      <c r="BK164" s="246"/>
      <c r="BL164" s="246"/>
      <c r="BM164" s="246"/>
      <c r="BN164" s="246"/>
      <c r="BO164" s="246"/>
      <c r="BP164" s="246"/>
      <c r="BQ164" s="246"/>
      <c r="BR164" s="246"/>
      <c r="BS164" s="246"/>
      <c r="BT164" s="246"/>
      <c r="BU164" s="246"/>
      <c r="BV164" s="246"/>
      <c r="BW164" s="246"/>
      <c r="BX164" s="246"/>
      <c r="BY164" s="246"/>
      <c r="BZ164" s="246"/>
      <c r="CA164" s="246"/>
      <c r="CB164" s="84"/>
      <c r="CC164" s="84"/>
      <c r="CD164" s="84"/>
      <c r="CE164" s="84"/>
      <c r="CF164" s="84"/>
      <c r="CG164" s="84"/>
      <c r="CH164" s="84"/>
      <c r="CI164" s="84"/>
      <c r="CJ164" s="84"/>
      <c r="CK164" s="84"/>
      <c r="CM164" s="84"/>
      <c r="CO164" s="247"/>
      <c r="CP164" s="84"/>
      <c r="CS164" s="84"/>
      <c r="CT164" s="247"/>
      <c r="CU164" s="84"/>
    </row>
    <row r="165" spans="1:99" s="36" customFormat="1">
      <c r="A165" s="245"/>
      <c r="B165" s="137"/>
      <c r="C165" s="137"/>
      <c r="D165" s="137"/>
      <c r="E165" s="137"/>
      <c r="F165" s="137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246"/>
      <c r="AQ165" s="246"/>
      <c r="AR165" s="246"/>
      <c r="AS165" s="246"/>
      <c r="AT165" s="246"/>
      <c r="AU165" s="246"/>
      <c r="AV165" s="246"/>
      <c r="AW165" s="246"/>
      <c r="AX165" s="246"/>
      <c r="AY165" s="246"/>
      <c r="AZ165" s="246"/>
      <c r="BA165" s="246"/>
      <c r="BB165" s="246"/>
      <c r="BC165" s="246"/>
      <c r="BD165" s="246"/>
      <c r="BE165" s="246"/>
      <c r="BF165" s="246"/>
      <c r="BG165" s="246"/>
      <c r="BH165" s="246"/>
      <c r="BI165" s="246"/>
      <c r="BJ165" s="246"/>
      <c r="BK165" s="246"/>
      <c r="BL165" s="246"/>
      <c r="BM165" s="246"/>
      <c r="BN165" s="246"/>
      <c r="BO165" s="246"/>
      <c r="BP165" s="246"/>
      <c r="BQ165" s="246"/>
      <c r="BR165" s="246"/>
      <c r="BS165" s="246"/>
      <c r="BT165" s="246"/>
      <c r="BU165" s="246"/>
      <c r="BV165" s="246"/>
      <c r="BW165" s="246"/>
      <c r="BX165" s="246"/>
      <c r="BY165" s="246"/>
      <c r="BZ165" s="246"/>
      <c r="CA165" s="246"/>
      <c r="CB165" s="84"/>
      <c r="CC165" s="84"/>
      <c r="CD165" s="84"/>
      <c r="CE165" s="84"/>
      <c r="CF165" s="84"/>
      <c r="CG165" s="84"/>
      <c r="CH165" s="84"/>
      <c r="CI165" s="84"/>
      <c r="CJ165" s="84"/>
      <c r="CK165" s="84"/>
      <c r="CM165" s="84"/>
      <c r="CO165" s="247"/>
      <c r="CP165" s="84"/>
      <c r="CS165" s="84"/>
      <c r="CT165" s="247"/>
      <c r="CU165" s="84"/>
    </row>
    <row r="166" spans="1:99" s="36" customFormat="1">
      <c r="A166" s="245"/>
      <c r="B166" s="137"/>
      <c r="C166" s="137"/>
      <c r="D166" s="137"/>
      <c r="E166" s="137"/>
      <c r="F166" s="137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246"/>
      <c r="AQ166" s="246"/>
      <c r="AR166" s="246"/>
      <c r="AS166" s="246"/>
      <c r="AT166" s="246"/>
      <c r="AU166" s="246"/>
      <c r="AV166" s="246"/>
      <c r="AW166" s="246"/>
      <c r="AX166" s="246"/>
      <c r="AY166" s="246"/>
      <c r="AZ166" s="246"/>
      <c r="BA166" s="246"/>
      <c r="BB166" s="246"/>
      <c r="BC166" s="246"/>
      <c r="BD166" s="246"/>
      <c r="BE166" s="246"/>
      <c r="BF166" s="246"/>
      <c r="BG166" s="246"/>
      <c r="BH166" s="246"/>
      <c r="BI166" s="246"/>
      <c r="BJ166" s="246"/>
      <c r="BK166" s="246"/>
      <c r="BL166" s="246"/>
      <c r="BM166" s="246"/>
      <c r="BN166" s="246"/>
      <c r="BO166" s="246"/>
      <c r="BP166" s="246"/>
      <c r="BQ166" s="246"/>
      <c r="BR166" s="246"/>
      <c r="BS166" s="246"/>
      <c r="BT166" s="246"/>
      <c r="BU166" s="246"/>
      <c r="BV166" s="246"/>
      <c r="BW166" s="246"/>
      <c r="BX166" s="246"/>
      <c r="BY166" s="246"/>
      <c r="BZ166" s="246"/>
      <c r="CA166" s="246"/>
      <c r="CB166" s="84"/>
      <c r="CC166" s="84"/>
      <c r="CD166" s="84"/>
      <c r="CE166" s="84"/>
      <c r="CF166" s="84"/>
      <c r="CG166" s="84"/>
      <c r="CH166" s="84"/>
      <c r="CI166" s="84"/>
      <c r="CJ166" s="84"/>
      <c r="CK166" s="84"/>
      <c r="CM166" s="84"/>
      <c r="CO166" s="247"/>
      <c r="CP166" s="84"/>
      <c r="CS166" s="84"/>
      <c r="CT166" s="247"/>
      <c r="CU166" s="84"/>
    </row>
    <row r="167" spans="1:99" s="36" customFormat="1">
      <c r="A167" s="245"/>
      <c r="B167" s="137"/>
      <c r="C167" s="137"/>
      <c r="D167" s="137"/>
      <c r="E167" s="137"/>
      <c r="F167" s="137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246"/>
      <c r="AQ167" s="246"/>
      <c r="AR167" s="246"/>
      <c r="AS167" s="246"/>
      <c r="AT167" s="246"/>
      <c r="AU167" s="246"/>
      <c r="AV167" s="246"/>
      <c r="AW167" s="246"/>
      <c r="AX167" s="246"/>
      <c r="AY167" s="246"/>
      <c r="AZ167" s="246"/>
      <c r="BA167" s="246"/>
      <c r="BB167" s="246"/>
      <c r="BC167" s="246"/>
      <c r="BD167" s="246"/>
      <c r="BE167" s="246"/>
      <c r="BF167" s="246"/>
      <c r="BG167" s="246"/>
      <c r="BH167" s="246"/>
      <c r="BI167" s="246"/>
      <c r="BJ167" s="246"/>
      <c r="BK167" s="246"/>
      <c r="BL167" s="246"/>
      <c r="BM167" s="246"/>
      <c r="BN167" s="246"/>
      <c r="BO167" s="246"/>
      <c r="BP167" s="246"/>
      <c r="BQ167" s="246"/>
      <c r="BR167" s="246"/>
      <c r="BS167" s="246"/>
      <c r="BT167" s="246"/>
      <c r="BU167" s="246"/>
      <c r="BV167" s="246"/>
      <c r="BW167" s="246"/>
      <c r="BX167" s="246"/>
      <c r="BY167" s="246"/>
      <c r="BZ167" s="246"/>
      <c r="CA167" s="246"/>
      <c r="CB167" s="84"/>
      <c r="CC167" s="84"/>
      <c r="CD167" s="84"/>
      <c r="CE167" s="84"/>
      <c r="CF167" s="84"/>
      <c r="CG167" s="84"/>
      <c r="CH167" s="84"/>
      <c r="CI167" s="84"/>
      <c r="CJ167" s="84"/>
      <c r="CK167" s="84"/>
      <c r="CM167" s="84"/>
      <c r="CO167" s="247"/>
      <c r="CP167" s="84"/>
      <c r="CS167" s="84"/>
      <c r="CT167" s="247"/>
      <c r="CU167" s="84"/>
    </row>
  </sheetData>
  <autoFilter ref="CY1:CY167" xr:uid="{00000000-0009-0000-0000-000001000000}"/>
  <mergeCells count="8">
    <mergeCell ref="DN1:DP1"/>
    <mergeCell ref="DK2:DL2"/>
    <mergeCell ref="CY2:CZ2"/>
    <mergeCell ref="DA2:DB2"/>
    <mergeCell ref="DC2:DD2"/>
    <mergeCell ref="DE2:DF2"/>
    <mergeCell ref="DG2:DH2"/>
    <mergeCell ref="DI2:DJ2"/>
  </mergeCells>
  <phoneticPr fontId="2" type="noConversion"/>
  <pageMargins left="0.78740157499999996" right="0.78740157499999996" top="0.984251969" bottom="0.984251969" header="0.5" footer="0.5"/>
  <pageSetup paperSize="9" orientation="portrait" horizontalDpi="4294967292" verticalDpi="4294967292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10"/>
  </sheetPr>
  <dimension ref="A1:FM2267"/>
  <sheetViews>
    <sheetView zoomScale="120" zoomScaleNormal="120" workbookViewId="0">
      <pane xSplit="3" ySplit="3" topLeftCell="BF4" activePane="bottomRight" state="frozen"/>
      <selection pane="topRight" activeCell="D1" sqref="D1"/>
      <selection pane="bottomLeft" activeCell="A4" sqref="A4"/>
      <selection pane="bottomRight" activeCell="CW2" sqref="CW2"/>
    </sheetView>
  </sheetViews>
  <sheetFormatPr baseColWidth="10" defaultRowHeight="13"/>
  <cols>
    <col min="1" max="116" width="16.5" customWidth="1"/>
    <col min="117" max="123" width="8.83203125" customWidth="1"/>
    <col min="124" max="135" width="11" customWidth="1"/>
    <col min="136" max="137" width="11" style="136" customWidth="1"/>
    <col min="138" max="141" width="11" style="194" customWidth="1"/>
    <col min="142" max="144" width="11" customWidth="1"/>
    <col min="163" max="163" width="13.6640625" bestFit="1" customWidth="1"/>
  </cols>
  <sheetData>
    <row r="1" spans="1:169" ht="16">
      <c r="A1" s="37" t="str">
        <f>Basicinfo!A1</f>
        <v>Catchments</v>
      </c>
      <c r="B1" s="3"/>
      <c r="C1" s="3"/>
      <c r="D1" s="59" t="s">
        <v>437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58"/>
      <c r="W1" s="10"/>
      <c r="X1" s="10"/>
      <c r="Y1" s="10"/>
      <c r="Z1" s="10"/>
      <c r="AA1" s="10"/>
      <c r="AB1" s="54" t="s">
        <v>227</v>
      </c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59" t="s">
        <v>228</v>
      </c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54" t="s">
        <v>235</v>
      </c>
      <c r="BD1" s="45"/>
      <c r="BE1" s="45"/>
      <c r="BF1" s="45"/>
      <c r="BG1" s="45"/>
      <c r="BH1" s="45"/>
      <c r="BI1" s="45"/>
      <c r="BJ1" s="45"/>
      <c r="BK1" s="45"/>
      <c r="BL1" s="75" t="s">
        <v>33</v>
      </c>
      <c r="BM1" s="171"/>
      <c r="BN1" s="49"/>
      <c r="BO1" s="49"/>
      <c r="BP1" s="49"/>
      <c r="BQ1" s="49"/>
      <c r="BR1" s="49"/>
      <c r="BS1" s="49"/>
      <c r="BT1" s="49"/>
      <c r="BU1" s="8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54" t="s">
        <v>279</v>
      </c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</row>
    <row r="2" spans="1:169" s="103" customFormat="1" ht="98">
      <c r="A2" s="104" t="str">
        <f>Basicinfo!A2</f>
        <v>Name</v>
      </c>
      <c r="B2" s="105" t="str">
        <f>Basicinfo!B2</f>
        <v>ID</v>
      </c>
      <c r="C2" s="113" t="str">
        <f>Basicinfo!C2</f>
        <v>Downstream ID</v>
      </c>
      <c r="D2" s="106" t="s">
        <v>480</v>
      </c>
      <c r="E2" s="107" t="s">
        <v>166</v>
      </c>
      <c r="F2" s="107" t="s">
        <v>255</v>
      </c>
      <c r="G2" s="403" t="s">
        <v>244</v>
      </c>
      <c r="H2" s="107" t="s">
        <v>352</v>
      </c>
      <c r="I2" s="204" t="s">
        <v>653</v>
      </c>
      <c r="J2" s="107" t="s">
        <v>226</v>
      </c>
      <c r="K2" s="107" t="s">
        <v>55</v>
      </c>
      <c r="L2" s="162" t="s">
        <v>811</v>
      </c>
      <c r="M2" s="162" t="s">
        <v>807</v>
      </c>
      <c r="N2" s="162" t="s">
        <v>810</v>
      </c>
      <c r="O2" s="162" t="s">
        <v>808</v>
      </c>
      <c r="P2" s="162" t="s">
        <v>809</v>
      </c>
      <c r="Q2" s="107" t="s">
        <v>84</v>
      </c>
      <c r="R2" s="107" t="s">
        <v>351</v>
      </c>
      <c r="S2" s="107" t="s">
        <v>182</v>
      </c>
      <c r="T2" s="107" t="s">
        <v>184</v>
      </c>
      <c r="U2" s="107" t="s">
        <v>183</v>
      </c>
      <c r="V2" s="107" t="s">
        <v>6</v>
      </c>
      <c r="W2" s="107" t="s">
        <v>252</v>
      </c>
      <c r="X2" s="107" t="s">
        <v>376</v>
      </c>
      <c r="Y2" s="107" t="s">
        <v>3</v>
      </c>
      <c r="Z2" s="107" t="s">
        <v>377</v>
      </c>
      <c r="AA2" s="108" t="s">
        <v>378</v>
      </c>
      <c r="AB2" s="109" t="s">
        <v>336</v>
      </c>
      <c r="AC2" s="110" t="s">
        <v>355</v>
      </c>
      <c r="AD2" s="110" t="s">
        <v>356</v>
      </c>
      <c r="AE2" s="110" t="s">
        <v>238</v>
      </c>
      <c r="AF2" s="110" t="s">
        <v>217</v>
      </c>
      <c r="AG2" s="110" t="s">
        <v>219</v>
      </c>
      <c r="AH2" s="110" t="s">
        <v>218</v>
      </c>
      <c r="AI2" s="110" t="s">
        <v>185</v>
      </c>
      <c r="AJ2" s="110" t="s">
        <v>117</v>
      </c>
      <c r="AK2" s="110" t="s">
        <v>112</v>
      </c>
      <c r="AL2" s="255" t="s">
        <v>813</v>
      </c>
      <c r="AM2" s="255" t="s">
        <v>944</v>
      </c>
      <c r="AN2" s="110" t="s">
        <v>57</v>
      </c>
      <c r="AO2" s="255" t="s">
        <v>943</v>
      </c>
      <c r="AP2" s="255" t="s">
        <v>945</v>
      </c>
      <c r="AQ2" s="255" t="s">
        <v>814</v>
      </c>
      <c r="AR2" s="106" t="s">
        <v>256</v>
      </c>
      <c r="AS2" s="107" t="s">
        <v>116</v>
      </c>
      <c r="AT2" s="107" t="s">
        <v>379</v>
      </c>
      <c r="AU2" s="107" t="s">
        <v>257</v>
      </c>
      <c r="AV2" s="107" t="s">
        <v>250</v>
      </c>
      <c r="AW2" s="107" t="s">
        <v>249</v>
      </c>
      <c r="AX2" s="107" t="s">
        <v>258</v>
      </c>
      <c r="AY2" s="107" t="s">
        <v>247</v>
      </c>
      <c r="AZ2" s="107" t="s">
        <v>246</v>
      </c>
      <c r="BA2" s="162" t="s">
        <v>815</v>
      </c>
      <c r="BB2" s="256" t="s">
        <v>816</v>
      </c>
      <c r="BC2" s="408" t="s">
        <v>327</v>
      </c>
      <c r="BD2" s="403" t="s">
        <v>328</v>
      </c>
      <c r="BE2" s="405" t="s">
        <v>325</v>
      </c>
      <c r="BF2" s="413" t="s">
        <v>28</v>
      </c>
      <c r="BG2" s="401" t="s">
        <v>27</v>
      </c>
      <c r="BH2" s="401" t="s">
        <v>22</v>
      </c>
      <c r="BI2" s="406" t="s">
        <v>326</v>
      </c>
      <c r="BJ2" s="399" t="s">
        <v>277</v>
      </c>
      <c r="BK2" s="416" t="s">
        <v>276</v>
      </c>
      <c r="BL2" s="106" t="s">
        <v>490</v>
      </c>
      <c r="BM2" s="108" t="s">
        <v>491</v>
      </c>
      <c r="BN2" s="108" t="s">
        <v>35</v>
      </c>
      <c r="BO2" s="107" t="s">
        <v>34</v>
      </c>
      <c r="BP2" s="107" t="s">
        <v>37</v>
      </c>
      <c r="BQ2" s="114" t="s">
        <v>40</v>
      </c>
      <c r="BR2" s="114" t="s">
        <v>41</v>
      </c>
      <c r="BS2" s="114" t="s">
        <v>42</v>
      </c>
      <c r="BT2" s="114" t="s">
        <v>43</v>
      </c>
      <c r="BU2" s="114" t="s">
        <v>253</v>
      </c>
      <c r="BV2" s="107" t="s">
        <v>230</v>
      </c>
      <c r="BW2" s="107" t="s">
        <v>231</v>
      </c>
      <c r="BX2" s="107" t="s">
        <v>232</v>
      </c>
      <c r="BY2" s="107" t="s">
        <v>29</v>
      </c>
      <c r="BZ2" s="107" t="s">
        <v>1</v>
      </c>
      <c r="CA2" s="107" t="s">
        <v>254</v>
      </c>
      <c r="CB2" s="107" t="s">
        <v>38</v>
      </c>
      <c r="CC2" s="107" t="s">
        <v>39</v>
      </c>
      <c r="CD2" s="107" t="s">
        <v>44</v>
      </c>
      <c r="CE2" s="107" t="s">
        <v>45</v>
      </c>
      <c r="CF2" s="107" t="s">
        <v>0</v>
      </c>
      <c r="CG2" s="107" t="s">
        <v>265</v>
      </c>
      <c r="CH2" s="107" t="s">
        <v>266</v>
      </c>
      <c r="CI2" s="107" t="s">
        <v>270</v>
      </c>
      <c r="CJ2" s="107" t="s">
        <v>272</v>
      </c>
      <c r="CK2" s="204" t="s">
        <v>554</v>
      </c>
      <c r="CL2" s="204" t="s">
        <v>269</v>
      </c>
      <c r="CM2" s="204" t="s">
        <v>555</v>
      </c>
      <c r="CN2" s="107" t="s">
        <v>30</v>
      </c>
      <c r="CO2" s="98" t="s">
        <v>31</v>
      </c>
      <c r="CP2" s="98" t="s">
        <v>32</v>
      </c>
      <c r="CQ2" s="107" t="s">
        <v>268</v>
      </c>
      <c r="CR2" s="107" t="s">
        <v>267</v>
      </c>
      <c r="CS2" s="403" t="s">
        <v>54</v>
      </c>
      <c r="CT2" s="403" t="s">
        <v>819</v>
      </c>
      <c r="CU2" s="405" t="s">
        <v>18</v>
      </c>
      <c r="CV2" s="107" t="s">
        <v>274</v>
      </c>
      <c r="CW2" s="399" t="s">
        <v>275</v>
      </c>
      <c r="CX2" s="107" t="s">
        <v>23</v>
      </c>
      <c r="CY2" s="109" t="s">
        <v>152</v>
      </c>
      <c r="CZ2" s="111" t="s">
        <v>153</v>
      </c>
      <c r="DA2" s="110" t="s">
        <v>129</v>
      </c>
      <c r="DB2" s="110" t="s">
        <v>123</v>
      </c>
      <c r="DC2" s="110" t="s">
        <v>58</v>
      </c>
      <c r="DD2" s="110" t="s">
        <v>59</v>
      </c>
      <c r="DE2" s="110" t="s">
        <v>154</v>
      </c>
      <c r="DF2" s="111" t="s">
        <v>155</v>
      </c>
      <c r="DG2" s="258" t="s">
        <v>820</v>
      </c>
      <c r="DH2" s="258" t="s">
        <v>821</v>
      </c>
      <c r="DI2" s="258" t="s">
        <v>822</v>
      </c>
      <c r="DJ2" s="258" t="s">
        <v>823</v>
      </c>
      <c r="DK2" s="258" t="s">
        <v>824</v>
      </c>
      <c r="DL2" s="258" t="s">
        <v>825</v>
      </c>
      <c r="DT2" s="103" t="s">
        <v>508</v>
      </c>
      <c r="DU2" s="103" t="s">
        <v>507</v>
      </c>
      <c r="DV2" s="103" t="s">
        <v>518</v>
      </c>
      <c r="DW2" s="103" t="s">
        <v>509</v>
      </c>
      <c r="DX2" s="103" t="s">
        <v>519</v>
      </c>
      <c r="DY2" s="103" t="s">
        <v>520</v>
      </c>
      <c r="DZ2" s="103" t="s">
        <v>510</v>
      </c>
      <c r="EA2" s="103" t="s">
        <v>539</v>
      </c>
      <c r="EB2" s="103" t="s">
        <v>521</v>
      </c>
      <c r="EC2" s="103" t="s">
        <v>511</v>
      </c>
      <c r="ED2" s="103" t="s">
        <v>522</v>
      </c>
      <c r="EE2" s="103" t="s">
        <v>523</v>
      </c>
      <c r="EF2" s="156" t="s">
        <v>512</v>
      </c>
      <c r="EG2" s="156" t="s">
        <v>513</v>
      </c>
      <c r="EH2" s="195" t="s">
        <v>514</v>
      </c>
      <c r="EI2" s="195" t="s">
        <v>515</v>
      </c>
      <c r="EJ2" s="195" t="s">
        <v>516</v>
      </c>
      <c r="EK2" s="195" t="s">
        <v>517</v>
      </c>
      <c r="EL2" s="103" t="s">
        <v>526</v>
      </c>
      <c r="EM2" s="103" t="s">
        <v>527</v>
      </c>
      <c r="EN2" s="103" t="s">
        <v>528</v>
      </c>
      <c r="EO2" s="103" t="s">
        <v>529</v>
      </c>
      <c r="EP2" s="103" t="s">
        <v>530</v>
      </c>
      <c r="EQ2" s="103" t="s">
        <v>531</v>
      </c>
      <c r="ER2" s="103" t="s">
        <v>532</v>
      </c>
      <c r="ES2" s="103" t="s">
        <v>533</v>
      </c>
      <c r="ET2" s="103" t="s">
        <v>534</v>
      </c>
      <c r="EU2" s="103" t="s">
        <v>556</v>
      </c>
      <c r="EV2" s="103" t="s">
        <v>556</v>
      </c>
      <c r="EW2" s="103" t="s">
        <v>540</v>
      </c>
      <c r="EX2" s="103" t="s">
        <v>541</v>
      </c>
      <c r="EY2" s="195" t="s">
        <v>535</v>
      </c>
      <c r="EZ2" s="195" t="s">
        <v>536</v>
      </c>
      <c r="FA2" s="195" t="s">
        <v>537</v>
      </c>
      <c r="FB2" s="195" t="s">
        <v>538</v>
      </c>
      <c r="FC2" s="103" t="s">
        <v>542</v>
      </c>
      <c r="FD2" s="103" t="s">
        <v>543</v>
      </c>
      <c r="FE2" s="103" t="s">
        <v>544</v>
      </c>
      <c r="FF2" s="103" t="s">
        <v>545</v>
      </c>
      <c r="FG2" s="103" t="s">
        <v>546</v>
      </c>
      <c r="FH2" s="103" t="s">
        <v>547</v>
      </c>
      <c r="FJ2" s="103" t="s">
        <v>557</v>
      </c>
      <c r="FK2" s="103" t="s">
        <v>558</v>
      </c>
      <c r="FL2" s="103" t="s">
        <v>559</v>
      </c>
      <c r="FM2" s="103" t="s">
        <v>559</v>
      </c>
    </row>
    <row r="3" spans="1:169" ht="15.75" customHeight="1">
      <c r="A3" s="38"/>
      <c r="B3" s="79"/>
      <c r="C3" s="51"/>
      <c r="D3" s="60" t="s">
        <v>449</v>
      </c>
      <c r="E3" s="41" t="s">
        <v>449</v>
      </c>
      <c r="F3" s="41" t="s">
        <v>408</v>
      </c>
      <c r="G3" s="400" t="s">
        <v>408</v>
      </c>
      <c r="H3" s="41" t="s">
        <v>316</v>
      </c>
      <c r="I3" s="41" t="s">
        <v>451</v>
      </c>
      <c r="J3" s="41" t="s">
        <v>451</v>
      </c>
      <c r="K3" s="41" t="s">
        <v>451</v>
      </c>
      <c r="L3" s="41" t="s">
        <v>451</v>
      </c>
      <c r="M3" s="41" t="s">
        <v>451</v>
      </c>
      <c r="N3" s="41" t="s">
        <v>451</v>
      </c>
      <c r="O3" s="41" t="s">
        <v>451</v>
      </c>
      <c r="P3" s="41" t="s">
        <v>451</v>
      </c>
      <c r="Q3" s="41" t="s">
        <v>408</v>
      </c>
      <c r="R3" s="41" t="s">
        <v>408</v>
      </c>
      <c r="S3" s="41" t="s">
        <v>408</v>
      </c>
      <c r="T3" s="41" t="s">
        <v>408</v>
      </c>
      <c r="U3" s="41" t="s">
        <v>408</v>
      </c>
      <c r="V3" s="41" t="s">
        <v>408</v>
      </c>
      <c r="W3" s="41" t="s">
        <v>408</v>
      </c>
      <c r="X3" s="41" t="s">
        <v>408</v>
      </c>
      <c r="Y3" s="41" t="s">
        <v>408</v>
      </c>
      <c r="Z3" s="41" t="s">
        <v>408</v>
      </c>
      <c r="AA3" s="52" t="s">
        <v>408</v>
      </c>
      <c r="AB3" s="55" t="s">
        <v>229</v>
      </c>
      <c r="AC3" s="44" t="s">
        <v>411</v>
      </c>
      <c r="AD3" s="44" t="s">
        <v>411</v>
      </c>
      <c r="AE3" s="44" t="s">
        <v>411</v>
      </c>
      <c r="AF3" s="44" t="s">
        <v>411</v>
      </c>
      <c r="AG3" s="44" t="s">
        <v>410</v>
      </c>
      <c r="AH3" s="44" t="s">
        <v>410</v>
      </c>
      <c r="AI3" s="44" t="s">
        <v>229</v>
      </c>
      <c r="AJ3" s="44" t="s">
        <v>411</v>
      </c>
      <c r="AK3" s="44" t="s">
        <v>411</v>
      </c>
      <c r="AL3" s="44" t="s">
        <v>411</v>
      </c>
      <c r="AM3" s="44" t="s">
        <v>411</v>
      </c>
      <c r="AN3" s="44" t="s">
        <v>411</v>
      </c>
      <c r="AO3" s="44" t="s">
        <v>411</v>
      </c>
      <c r="AP3" s="44" t="s">
        <v>411</v>
      </c>
      <c r="AQ3" s="44" t="s">
        <v>411</v>
      </c>
      <c r="AR3" s="60" t="s">
        <v>411</v>
      </c>
      <c r="AS3" s="41" t="s">
        <v>273</v>
      </c>
      <c r="AT3" s="41" t="s">
        <v>412</v>
      </c>
      <c r="AU3" s="41" t="s">
        <v>411</v>
      </c>
      <c r="AV3" s="41" t="s">
        <v>412</v>
      </c>
      <c r="AW3" s="41" t="s">
        <v>411</v>
      </c>
      <c r="AX3" s="41" t="s">
        <v>412</v>
      </c>
      <c r="AY3" s="41" t="s">
        <v>412</v>
      </c>
      <c r="AZ3" s="41" t="s">
        <v>411</v>
      </c>
      <c r="BA3" s="41" t="s">
        <v>411</v>
      </c>
      <c r="BB3" s="52" t="s">
        <v>412</v>
      </c>
      <c r="BC3" s="382" t="s">
        <v>396</v>
      </c>
      <c r="BD3" s="400" t="s">
        <v>229</v>
      </c>
      <c r="BE3" s="368" t="s">
        <v>397</v>
      </c>
      <c r="BF3" s="402" t="s">
        <v>397</v>
      </c>
      <c r="BG3" s="402" t="s">
        <v>397</v>
      </c>
      <c r="BH3" s="402" t="s">
        <v>397</v>
      </c>
      <c r="BI3" s="407" t="s">
        <v>397</v>
      </c>
      <c r="BJ3" s="400" t="s">
        <v>410</v>
      </c>
      <c r="BK3" s="388" t="s">
        <v>397</v>
      </c>
      <c r="BL3" s="60" t="s">
        <v>447</v>
      </c>
      <c r="BM3" s="52" t="s">
        <v>447</v>
      </c>
      <c r="BN3" s="52" t="s">
        <v>229</v>
      </c>
      <c r="BO3" s="41" t="s">
        <v>447</v>
      </c>
      <c r="BP3" s="41" t="s">
        <v>447</v>
      </c>
      <c r="BQ3" s="50" t="s">
        <v>416</v>
      </c>
      <c r="BR3" s="50" t="s">
        <v>416</v>
      </c>
      <c r="BS3" s="50" t="s">
        <v>416</v>
      </c>
      <c r="BT3" s="50" t="s">
        <v>416</v>
      </c>
      <c r="BU3" s="50" t="s">
        <v>416</v>
      </c>
      <c r="BV3" s="41" t="s">
        <v>229</v>
      </c>
      <c r="BW3" s="41" t="s">
        <v>416</v>
      </c>
      <c r="BX3" s="41" t="s">
        <v>416</v>
      </c>
      <c r="BY3" s="41" t="s">
        <v>416</v>
      </c>
      <c r="BZ3" s="41" t="s">
        <v>416</v>
      </c>
      <c r="CA3" s="41" t="s">
        <v>416</v>
      </c>
      <c r="CB3" s="41" t="s">
        <v>415</v>
      </c>
      <c r="CC3" s="41" t="s">
        <v>415</v>
      </c>
      <c r="CD3" s="41" t="s">
        <v>415</v>
      </c>
      <c r="CE3" s="41" t="s">
        <v>271</v>
      </c>
      <c r="CF3" s="41" t="s">
        <v>271</v>
      </c>
      <c r="CG3" s="41" t="s">
        <v>416</v>
      </c>
      <c r="CH3" s="41" t="s">
        <v>416</v>
      </c>
      <c r="CI3" s="41" t="s">
        <v>398</v>
      </c>
      <c r="CJ3" s="41" t="s">
        <v>415</v>
      </c>
      <c r="CK3" s="41" t="s">
        <v>416</v>
      </c>
      <c r="CL3" s="205" t="s">
        <v>416</v>
      </c>
      <c r="CM3" s="41" t="s">
        <v>416</v>
      </c>
      <c r="CN3" s="41" t="s">
        <v>416</v>
      </c>
      <c r="CO3" s="41" t="s">
        <v>416</v>
      </c>
      <c r="CP3" s="41" t="s">
        <v>416</v>
      </c>
      <c r="CQ3" s="41" t="s">
        <v>416</v>
      </c>
      <c r="CR3" s="41" t="s">
        <v>416</v>
      </c>
      <c r="CS3" s="404" t="s">
        <v>410</v>
      </c>
      <c r="CT3" s="404" t="s">
        <v>414</v>
      </c>
      <c r="CU3" s="368" t="s">
        <v>414</v>
      </c>
      <c r="CV3" s="41" t="s">
        <v>229</v>
      </c>
      <c r="CW3" s="400" t="s">
        <v>229</v>
      </c>
      <c r="CX3" s="41" t="s">
        <v>414</v>
      </c>
      <c r="CY3" s="55" t="s">
        <v>416</v>
      </c>
      <c r="CZ3" s="65" t="s">
        <v>416</v>
      </c>
      <c r="DA3" s="65" t="s">
        <v>416</v>
      </c>
      <c r="DB3" s="65" t="s">
        <v>416</v>
      </c>
      <c r="DC3" s="65" t="s">
        <v>416</v>
      </c>
      <c r="DD3" s="65" t="s">
        <v>416</v>
      </c>
      <c r="DE3" s="44" t="s">
        <v>410</v>
      </c>
      <c r="DF3" s="65" t="s">
        <v>410</v>
      </c>
      <c r="DG3" s="65" t="s">
        <v>79</v>
      </c>
      <c r="DH3" s="65" t="s">
        <v>79</v>
      </c>
      <c r="DI3" s="65" t="s">
        <v>79</v>
      </c>
      <c r="DJ3" s="65" t="s">
        <v>79</v>
      </c>
      <c r="DK3" s="65" t="s">
        <v>79</v>
      </c>
      <c r="DL3" s="65" t="s">
        <v>79</v>
      </c>
      <c r="DT3" s="187" t="s">
        <v>79</v>
      </c>
      <c r="DU3" s="187" t="s">
        <v>79</v>
      </c>
      <c r="DV3" s="187" t="s">
        <v>79</v>
      </c>
      <c r="DW3" s="187" t="s">
        <v>79</v>
      </c>
      <c r="DX3" s="187" t="s">
        <v>79</v>
      </c>
      <c r="DY3" s="187" t="s">
        <v>79</v>
      </c>
      <c r="DZ3" s="187" t="s">
        <v>79</v>
      </c>
      <c r="EA3" s="187" t="s">
        <v>79</v>
      </c>
      <c r="EB3" s="187" t="s">
        <v>79</v>
      </c>
      <c r="EC3" s="187" t="s">
        <v>79</v>
      </c>
      <c r="ED3" s="187" t="s">
        <v>79</v>
      </c>
      <c r="EE3" s="187" t="s">
        <v>79</v>
      </c>
      <c r="EF3" s="187" t="s">
        <v>79</v>
      </c>
      <c r="EG3" s="187" t="s">
        <v>79</v>
      </c>
      <c r="EH3" s="196" t="s">
        <v>79</v>
      </c>
      <c r="EI3" s="196" t="s">
        <v>79</v>
      </c>
      <c r="EJ3" s="196" t="s">
        <v>79</v>
      </c>
      <c r="EK3" s="196" t="s">
        <v>79</v>
      </c>
      <c r="EL3" s="187" t="s">
        <v>416</v>
      </c>
      <c r="EM3" s="187" t="s">
        <v>416</v>
      </c>
      <c r="EN3" s="187" t="s">
        <v>416</v>
      </c>
      <c r="EO3" s="187" t="s">
        <v>416</v>
      </c>
      <c r="EP3" s="187" t="s">
        <v>79</v>
      </c>
      <c r="EQ3" s="187" t="s">
        <v>79</v>
      </c>
      <c r="ER3" s="187" t="s">
        <v>79</v>
      </c>
      <c r="ES3" s="187" t="s">
        <v>79</v>
      </c>
      <c r="ET3" s="187" t="s">
        <v>79</v>
      </c>
      <c r="EU3" s="187" t="s">
        <v>79</v>
      </c>
      <c r="EV3" s="187" t="s">
        <v>79</v>
      </c>
      <c r="EW3" s="187" t="s">
        <v>79</v>
      </c>
      <c r="EX3" s="187" t="s">
        <v>79</v>
      </c>
      <c r="EY3" s="196" t="s">
        <v>79</v>
      </c>
      <c r="EZ3" s="196" t="s">
        <v>79</v>
      </c>
      <c r="FA3" s="196" t="s">
        <v>79</v>
      </c>
      <c r="FB3" s="196" t="s">
        <v>79</v>
      </c>
      <c r="FC3" s="196" t="s">
        <v>79</v>
      </c>
      <c r="FD3" s="196" t="s">
        <v>79</v>
      </c>
      <c r="FE3" s="196" t="s">
        <v>79</v>
      </c>
      <c r="FF3" s="196" t="s">
        <v>79</v>
      </c>
      <c r="FG3" s="196" t="s">
        <v>79</v>
      </c>
      <c r="FH3" s="196" t="s">
        <v>79</v>
      </c>
      <c r="FJ3" s="196" t="s">
        <v>79</v>
      </c>
      <c r="FK3" s="196" t="s">
        <v>79</v>
      </c>
      <c r="FL3" s="196" t="s">
        <v>416</v>
      </c>
      <c r="FM3" s="196" t="s">
        <v>79</v>
      </c>
    </row>
    <row r="4" spans="1:169">
      <c r="A4" s="39" t="str">
        <f>Basicinfo!A4</f>
        <v>Moosb./Mühlheimerache</v>
      </c>
      <c r="B4" s="63">
        <f>Basicinfo!B4</f>
        <v>580</v>
      </c>
      <c r="C4" s="63">
        <f>Basicinfo!C4</f>
        <v>0</v>
      </c>
      <c r="D4" s="61">
        <f>Basicinfo!U4*Basicinfo!V4/1000+Basicinfo!Y4</f>
        <v>1.6356021365867179</v>
      </c>
      <c r="E4" s="19">
        <f>Basicinfo!W4*Basicinfo!X4/1000+Basicinfo!Z4</f>
        <v>0</v>
      </c>
      <c r="F4" s="19">
        <f t="shared" ref="F4:F57" si="0">D4+E4</f>
        <v>1.6356021365867179</v>
      </c>
      <c r="G4" s="19">
        <f>SUM(Basicinfo!H4:L4)</f>
        <v>20.018258683405577</v>
      </c>
      <c r="H4" s="19">
        <f>IF(Basicinfo!N4&lt;Parameters!$C$68,Parameters!$C$69,Basicinfo!BS4/(Basicinfo!N4*100))</f>
        <v>23.519244014692607</v>
      </c>
      <c r="I4" s="19">
        <f>IF(Basicinfo!N4=0,0,Basicinfo!BU4*(1-Basicinfo!BX4/100))</f>
        <v>11137.661368904701</v>
      </c>
      <c r="J4" s="19">
        <f>IF(Basicinfo!N4=0,0,Basicinfo!BU4*Basicinfo!BX4/100)</f>
        <v>2784.4153422261752</v>
      </c>
      <c r="K4" s="19">
        <f>IF(Basicinfo!N4=0,0,Basicinfo!BT4-Basicinfo!BU4)</f>
        <v>0</v>
      </c>
      <c r="L4" s="27">
        <f>Basicinfo!BV4*Basicinfo!BW4/100</f>
        <v>1417.0866666666666</v>
      </c>
      <c r="M4" s="27">
        <f>Basicinfo!BV4-Intermediate!L4</f>
        <v>1417.0866666666666</v>
      </c>
      <c r="N4" s="73">
        <f>Basicinfo!BS4-SUM(I4:K4)-Basicinfo!BV4</f>
        <v>0</v>
      </c>
      <c r="O4" s="19">
        <f>IF(Basicinfo!AH4+Basicinfo!AI4+Basicinfo!AJ4+Basicinfo!AK4=0,0,N4*(Basicinfo!AH4+Basicinfo!AI4)/SUM(Basicinfo!AH4:AK4))</f>
        <v>0</v>
      </c>
      <c r="P4" s="73">
        <f>N4-O4</f>
        <v>0</v>
      </c>
      <c r="Q4" s="19">
        <f>IF(Basicinfo!BS4=0,Basicinfo!N4,IF(H4&gt;Parameters!$C$70,Parameters!$C$64*(Parameters!$C$65*Parameters!$C$70)^(Parameters!$C$66-Parameters!$C$67*LOG(Parameters!$C$65*Parameters!$C$70,10))/100*Basicinfo!N4,Parameters!$C$64*(Parameters!$C$65*H4)^(Parameters!$C$66-Parameters!$C$67*LOG(Parameters!$C$65*H4,10))/100*Basicinfo!N4))</f>
        <v>2.28189951261459</v>
      </c>
      <c r="R4" s="19">
        <f>IF(Basicinfo!BS4=0,Q4*(1-Basicinfo!BX4/100),IF(H4&lt;Parameters!$C$75,Q4*Basicinfo!BU4/Basicinfo!BS4*(1-Basicinfo!BX4/100)*(-Parameters!$C$74+Parameters!$C$73*LN(H4*100)),Q4*Basicinfo!BU4/Basicinfo!BS4*(1-Basicinfo!BX4/100)))</f>
        <v>0.91364957276683945</v>
      </c>
      <c r="S4" s="19">
        <f>IF(Basicinfo!BS4=0,Q4*Basicinfo!BX4/100,Q4*Basicinfo!BU4/Basicinfo!BS4*Basicinfo!BX4/100)</f>
        <v>0.379187228376411</v>
      </c>
      <c r="T4" s="19">
        <f>IF(Basicinfo!BS4=0,0,IF(H4&lt;Parameters!$C$75,Q4*K4/Basicinfo!BS4*(-Parameters!$C$74+Parameters!$C$73*LN(H4*100)),Q4*K4/Basicinfo!BS4))</f>
        <v>0</v>
      </c>
      <c r="U4" s="19">
        <f>Q4-R4-S4-T4</f>
        <v>0.98906271147133951</v>
      </c>
      <c r="V4" s="19">
        <f>IF(Basicinfo!AL4&gt;Parameters!$C$14,Basicinfo!Q4,0)</f>
        <v>0</v>
      </c>
      <c r="W4" s="19">
        <f>IF(Basicinfo!AL4&gt;Parameters!$C$14,0,Basicinfo!Q4)</f>
        <v>0</v>
      </c>
      <c r="X4" s="19">
        <f>G4+Basicinfo!M4</f>
        <v>69.705390141407236</v>
      </c>
      <c r="Y4" s="19">
        <f>IF(Basicinfo!G4-F4-Q4-V4-Basicinfo!O4-Basicinfo!R4-Basicinfo!S4&lt;0,0,Basicinfo!G4-F4-Q4-V4-Basicinfo!O4-Basicinfo!R4-Basicinfo!S4)</f>
        <v>121.33165430779185</v>
      </c>
      <c r="Z4" s="19">
        <f>Basicinfo!G4-F4-Basicinfo!BO4-Q4-Basicinfo!O4</f>
        <v>116.83678233280516</v>
      </c>
      <c r="AA4" s="53">
        <f>IF(Z4+Basicinfo!BO4-X4&gt;0,Z4+Basicinfo!BO4-X4,0)</f>
        <v>52.978662875391464</v>
      </c>
      <c r="AB4" s="56">
        <f>IF(Basicinfo!N4=0,0,Parameters!$C$71+Parameters!$C$72*Q4/Basicinfo!N4)</f>
        <v>0.39021731284644406</v>
      </c>
      <c r="AC4" s="43">
        <f>Basicinfo!AU4*AB4*R4/1000/86.4/0.365</f>
        <v>1.1981439384347283E-2</v>
      </c>
      <c r="AD4" s="43">
        <f>Basicinfo!AU4*AB4*S4/1000/86.4/0.365</f>
        <v>4.9725944470725763E-3</v>
      </c>
      <c r="AE4" s="43">
        <f>Basicinfo!AU4*AB4*T4/1000/86.4/0.365</f>
        <v>0</v>
      </c>
      <c r="AF4" s="43">
        <f>Basicinfo!AU4*AB4*U4/1000/86.4/0.365</f>
        <v>1.2970393986969227E-2</v>
      </c>
      <c r="AG4" s="43">
        <f>((Parameters!$C$80+Parameters!$C$81*Parameters!$C$89)/(Parameters!$C$82+Parameters!$C$89)/(Parameters!$C$90/100*Parameters!$C$91+(Parameters!$C$83+Parameters!$C$84*Parameters!$C$89)/(Parameters!$C$85+Parameters!$C$89)))-Parameters!$C$86+(Basicinfo!AU4-Parameters!$C$88)/Parameters!$C$87</f>
        <v>77.884001445855077</v>
      </c>
      <c r="AH4" s="43">
        <f>((Parameters!$C$80+Parameters!$C$81*Parameters!$C$89)/(Parameters!$C$82+Parameters!$C$89)/(Basicinfo!BY4/100*Parameters!$C$91+(Parameters!$C$83+Parameters!$C$84*Parameters!$C$89)/(Parameters!$C$85+Parameters!$C$89)))-Parameters!$C$86+(Basicinfo!AU4-Parameters!$C$88)/Parameters!$C$87</f>
        <v>60.081119579239513</v>
      </c>
      <c r="AI4" s="43">
        <f>Basicinfo!AU4^Parameters!$C$79*Parameters!$C$78*AH4/AG4</f>
        <v>33.848898300419826</v>
      </c>
      <c r="AJ4" s="43">
        <f>(J4*Parameters!$C$92/1000+Parameters!$C$94/100*S4*100*Parameters!$C$93/1000*86400*Parameters!$C$95/24)/86400</f>
        <v>4.2021533993880419E-3</v>
      </c>
      <c r="AK4" s="43">
        <f t="shared" ref="AK4:AK57" si="1">(AD4+AJ4*AI4/365)*AH4/100</f>
        <v>3.2217228568012309E-3</v>
      </c>
      <c r="AL4" s="43">
        <f>(K4*Parameters!$C$92/1000+Parameters!$C$94/100*T4*100*Parameters!$C$93/1000*86400*Parameters!$C$95/24)/86400</f>
        <v>0</v>
      </c>
      <c r="AM4" s="43">
        <f>(Intermediate!N4+Basicinfo!BV4-Intermediate!L4)*Parameters!$C$92/1000/86400</f>
        <v>2.132190586419753E-3</v>
      </c>
      <c r="AN4" s="43">
        <f t="shared" ref="AN4:AN57" si="2">AC4+AD4*AH4/100+AE4</f>
        <v>1.4969029800283582E-2</v>
      </c>
      <c r="AO4" s="43">
        <f>AK4+AE4+AL4</f>
        <v>3.2217228568012309E-3</v>
      </c>
      <c r="AP4" s="43">
        <f>AF4+AM4</f>
        <v>1.5102584573388981E-2</v>
      </c>
      <c r="AQ4" s="43">
        <f t="shared" ref="AQ4:AQ35" si="3">AC4+AO4+AP4</f>
        <v>3.0305746814537494E-2</v>
      </c>
      <c r="AR4" s="61">
        <f>(Basicinfo!AU4-Basicinfo!AY4)*F4/1000/86.4/0.365</f>
        <v>1.7621692515189268E-2</v>
      </c>
      <c r="AS4" s="19">
        <f>IF(Basicinfo!AP4-Basicinfo!CB4-Basicinfo!CG4&lt;0,0,(Basicinfo!AP4-Basicinfo!CB4-Basicinfo!CG4)/Basicinfo!G4*1000)</f>
        <v>11.469025173132199</v>
      </c>
      <c r="AT4" s="19">
        <f>Parameters!$C$3*((AS4*86.4*0.365)^Parameters!$C$4)</f>
        <v>65.667198849957373</v>
      </c>
      <c r="AU4" s="19">
        <f>IF(AT4/86.4/0.365*(Basicinfo!G4/1000)-AN4&lt;0,0,AT4/86.4/0.365*(Basicinfo!G4/1000)-AN4)</f>
        <v>0.24865252857636438</v>
      </c>
      <c r="AV4" s="19">
        <f>IF(Basicinfo!AU4&gt;Parameters!$C$13,Parameters!$C$11*(Basicinfo!AU4-Parameters!$C$13)^Parameters!$C$12,0)</f>
        <v>112.42345662542546</v>
      </c>
      <c r="AW4" s="19">
        <f>IF(AV4*V4/1000/86.4/0.365&gt;Basicinfo!AP4*Parameters!$C$15,Basicinfo!AP4*Parameters!$C$15,AV4*V4/1000/86.4/0.365)</f>
        <v>0</v>
      </c>
      <c r="AX4" s="19">
        <f>Basicinfo!AU4-Basicinfo!AW4</f>
        <v>355.3328912957146</v>
      </c>
      <c r="AY4" s="19">
        <f>Parameters!$C$56*AX4+Parameters!$C$57*Basicinfo!AW4</f>
        <v>248.11449802431446</v>
      </c>
      <c r="AZ4" s="19">
        <f>AY4*Basicinfo!BO4/1000/86.4/0.365</f>
        <v>4.6004332526996032E-2</v>
      </c>
      <c r="BA4" s="19">
        <f>IF(Basicinfo!AP4-AQ4-AR4-AU4-AW4-AZ4-Basicinfo!CB4-Basicinfo!CG4&lt;0,0,Basicinfo!AP4-AQ4-AR4-AU4-AW4-AZ4-Basicinfo!CB4-Basicinfo!CG4)</f>
        <v>1.1094121169889388</v>
      </c>
      <c r="BB4" s="53">
        <f t="shared" ref="BB4:BB35" si="4">IF(Z4=0,0,BA4*86.4*0.365/Z4*1000)</f>
        <v>299.44697057563332</v>
      </c>
      <c r="BC4" s="56">
        <f>IF(G4=0,0,((Basicinfo!H4*Basicinfo!BE4+Basicinfo!I4*Basicinfo!BF4+Basicinfo!J4*Basicinfo!BG4+Basicinfo!K4*Basicinfo!BH4+Basicinfo!L4*Basicinfo!BI4)*(1-Basicinfo!BN4/G4*Parameters!$C$26/100)/G4)*Basicinfo!BM4)</f>
        <v>2.7171793012428274</v>
      </c>
      <c r="BD4" s="43">
        <f>IF(Basicinfo!AW4*Parameters!$C$39-Parameters!$C$40&lt;0,0.001,(Basicinfo!AW4*Parameters!$C$39-Parameters!$C$40)/(Basicinfo!AX4*Parameters!$C$39-Parameters!$C$40))</f>
        <v>1.0133902941581832</v>
      </c>
      <c r="BE4" s="43">
        <f>(BC4*G4*100+Basicinfo!BJ4*Basicinfo!M4*100)*Parameters!$C$29*BD4</f>
        <v>5821.6406893289368</v>
      </c>
      <c r="BF4" s="43">
        <f>(Basicinfo!BK4*Basicinfo!P4*100)*BD4*Parameters!$C$29</f>
        <v>439.46721411119461</v>
      </c>
      <c r="BG4" s="43">
        <f>Parameters!$C$27*(V4+W4)*100</f>
        <v>0</v>
      </c>
      <c r="BH4" s="43">
        <f>Parameters!$C$28*Basicinfo!R4*100</f>
        <v>0</v>
      </c>
      <c r="BI4" s="43">
        <f>BF4+BG4+BH4</f>
        <v>439.46721411119461</v>
      </c>
      <c r="BJ4" s="43">
        <f>IF(Basicinfo!AM4&lt;Parameters!$C$33,0,Parameters!$C$30*(((Basicinfo!AM4-Parameters!$C$33)^Parameters!$C$31)*(((G4-Basicinfo!BN4)/Basicinfo!G4*100+Parameters!$C$34))^Parameters!$C$32))</f>
        <v>1.4912108709508316</v>
      </c>
      <c r="BK4" s="58">
        <f>BE4*BJ4/100+BI4</f>
        <v>526.28015293816463</v>
      </c>
      <c r="BL4" s="61">
        <f>Basicinfo!AZ4+Basicinfo!BA4</f>
        <v>2143.9150515359156</v>
      </c>
      <c r="BM4" s="19">
        <f>Basicinfo!BB4+Basicinfo!BC4</f>
        <v>2444.2415670037872</v>
      </c>
      <c r="BN4" s="172">
        <f>IF(Basicinfo!AO4=0,0,IF(Basicinfo!AO4="NA",1,IF(OR(Basicinfo!AO4="SA",Basicinfo!AN4="S"),3,IF(Basicinfo!AN4="N",1,IF(Basicinfo!AO4="ZA",2,0)))))</f>
        <v>0</v>
      </c>
      <c r="BO4" s="27">
        <f>IF($BN4=1,(BL4)*(1+Parameters!$C$21*Parameters!$C$22-Parameters!$C$22*Basicinfo!$AL4),IF($BN4=2,(BL4)*(1+Parameters!$C$21*Parameters!$C$23-Parameters!$C$23*Basicinfo!$AL4),IF($BN4=3,(BL4)*(1+Parameters!$C$21*Parameters!$C$24-Parameters!$C$24*Basicinfo!$AL4),BL4)))</f>
        <v>2143.9150515359156</v>
      </c>
      <c r="BP4" s="27">
        <f>IF($BN4=1,(BM4)*(1+Parameters!$C$21*Parameters!$C$22-Parameters!$C$22*Basicinfo!$AL4),IF($BN4=2,(BM4)*(1+Parameters!$C$21*Parameters!$C$23-Parameters!$C$23*Basicinfo!$AL4),IF($BN4=3,(BM4)*(1+Parameters!$C$21*Parameters!$C$24-Parameters!$C$24*Basicinfo!$AL4),BM4)))</f>
        <v>2444.2415670037872</v>
      </c>
      <c r="BQ4" s="27">
        <f>IF(Basicinfo!AU4=0,0,IF(G4+Basicinfo!M4=0,0,(Parameters!$C$16+BO4/Basicinfo!AU4)*G4+(Parameters!$C$17+BO4/Basicinfo!AU4)*Basicinfo!M4)/(G4+Basicinfo!M4))</f>
        <v>2.1090725898466101</v>
      </c>
      <c r="BR4" s="27">
        <f>IF(Basicinfo!AU4=0,0,IF(G4+Basicinfo!M4=0,0,(Parameters!$C$16+BP4/Basicinfo!AU4)*G4+(Parameters!$C$17+BP4/Basicinfo!AU4)*Basicinfo!M4)/(G4+Basicinfo!M4))</f>
        <v>2.3924493722123894</v>
      </c>
      <c r="BS4" s="27">
        <f>IF(Basicinfo!AU4=0,0,BO4/Basicinfo!AU4)</f>
        <v>2.0229174504400493</v>
      </c>
      <c r="BT4" s="27">
        <f>IF(Basicinfo!AU4=0,0,BP4/Basicinfo!AU4)</f>
        <v>2.3062942328058282</v>
      </c>
      <c r="BU4" s="27">
        <f>IF(SUM(G4,Basicinfo!M4,Basicinfo!P4,W4)=0,0,(BQ4*(G4+Basicinfo!M4)+BS4*(Basicinfo!P4+W4))/SUM(G4,Basicinfo!M4,Basicinfo!P4,W4))</f>
        <v>2.0744714517226743</v>
      </c>
      <c r="BV4" s="19">
        <f>IF(Basicinfo!BR4/Parameters!$C$10&gt;1,1,Basicinfo!BR4/Parameters!$C$10)</f>
        <v>0.31110892280499264</v>
      </c>
      <c r="BW4" s="19">
        <f>Parameters!$C$5+Parameters!$C$6*EXP(BV4*Parameters!$C$8*Parameters!$C$7)</f>
        <v>3.5047403812198952E-2</v>
      </c>
      <c r="BX4" s="19">
        <f>Parameters!$C$5+Parameters!$C$6*EXP(BV4*Parameters!$C$9*Parameters!$C$7)</f>
        <v>3.5029267679582594E-2</v>
      </c>
      <c r="BY4" s="19">
        <f>IF(Basicinfo!AH4+Basicinfo!AI4+Basicinfo!AJ4+Basicinfo!AK4=0,0,(Parameters!$C$18*(Basicinfo!AH4+Basicinfo!AI4)+Parameters!$C$19*Basicinfo!AJ4+Parameters!$C$20*Basicinfo!AK4)/(Basicinfo!AH4+Basicinfo!AI4+Basicinfo!AJ4+Basicinfo!AK4))</f>
        <v>3.5000000000000003E-2</v>
      </c>
      <c r="BZ4" s="19">
        <f>IF(Basicinfo!AJ4+Basicinfo!AK4=0,Parameters!$C$18,(Parameters!$C$19*Basicinfo!AJ4+Parameters!$C$20*Basicinfo!AK4)/(Basicinfo!AJ4+Basicinfo!AK4))</f>
        <v>3.5000000000000003E-2</v>
      </c>
      <c r="CA4" s="19">
        <f>IF(SUM(G4,Basicinfo!M4,Basicinfo!P4,W4)=0,0,(BW4*G4+BX4*Basicinfo!M4+BY4*Basicinfo!P4+BZ4*W4)/(SUM(G4,Basicinfo!M4,Basicinfo!P4,W4)))</f>
        <v>3.502062999422819E-2</v>
      </c>
      <c r="CB4" s="19">
        <f>IF(Y4=0,Basicinfo!BP4,Basicinfo!BP4-(AU4*X4/Y4*Intermediate!BQ4*86400*365/1000000)*1000/(X4*100))</f>
        <v>53.572743398194724</v>
      </c>
      <c r="CC4" s="19">
        <f>IF(Y4=0,Basicinfo!BQ4,Basicinfo!BQ4-(AU4*Basicinfo!AV4/Basicinfo!AU4*X4/Y4*Intermediate!BR4*86400*365/1000000)*1000/(X4*100))</f>
        <v>53.881314918691963</v>
      </c>
      <c r="CD4" s="19">
        <f>IF(OR(Y4=0,AA4=0),BP4/100,BP4/100-(AU4*Basicinfo!AV4/Basicinfo!AU4*(Basicinfo!P4+W4)/Y4*Intermediate!BT4*86400*365/1000000+AW4*Basicinfo!AV4/Basicinfo!AU4*Intermediate!BT4*86400*365/1000000)*1000/(AA4*100))</f>
        <v>23.041023677850283</v>
      </c>
      <c r="CE4" s="19">
        <f t="shared" ref="CE4:CE35" si="5">(Z4-AA4)*100*CC4</f>
        <v>344075.94446003583</v>
      </c>
      <c r="CF4" s="19">
        <f t="shared" ref="CF4:CF35" si="6">CD4*AA4*100</f>
        <v>122068.26257327425</v>
      </c>
      <c r="CG4" s="19">
        <f>IF(AY4=0,0,((CB4^Parameters!$C$58))/AY4*100)</f>
        <v>11.883658461417989</v>
      </c>
      <c r="CH4" s="19">
        <f>IF(SUM(Basicinfo!AB4:AG4)=0,0,(Parameters!$C$59*Basicinfo!AB4+Parameters!$C$60*SUM(Basicinfo!AC4:AE4)+Parameters!$C$61*Basicinfo!AF4+Parameters!$C$62*Basicinfo!AG4)/SUM(Basicinfo!AB4:AG4))</f>
        <v>0.42303644249495337</v>
      </c>
      <c r="CI4" s="19">
        <f t="shared" ref="CI4:CI16" si="7">IF(BB4=0,0,ROUND(3000/BB4,0))</f>
        <v>10</v>
      </c>
      <c r="CJ4" s="19">
        <f t="shared" ref="CJ4:CJ35" si="8">IF(Z4=0,0,(CE4+CF4)/(Z4*100))</f>
        <v>39.897042500324595</v>
      </c>
      <c r="CK4" s="19">
        <f t="shared" ref="CK4:CK56" si="9">IF(BB4=0,0,CJ4*100/BB4)</f>
        <v>13.323575263970666</v>
      </c>
      <c r="CL4" s="19">
        <f>IF($BB4=0,0,$CJ4^Parameters!$C$58*100/$BB4)</f>
        <v>7.664426681210176</v>
      </c>
      <c r="CM4" s="19">
        <f>IF(CK4=0,0,(1/(1+Parameters!$C$116*BB4^Parameters!$C$120)*Basicinfo!AH4/Basicinfo!G4+1/(1+Parameters!$C$117*BB4^Parameters!$C$121)*Basicinfo!AI4/Basicinfo!G4)*(CK4)^Parameters!$C$124+(1/(1+Parameters!$C$118*BB4^Parameters!$C$122)*Basicinfo!AJ4/Basicinfo!G4+1/(1+Parameters!$C$119*BB4^Parameters!$C$123)*Basicinfo!AK4/Basicinfo!G4)*(CK4)^Parameters!$C$125)</f>
        <v>3.003477827925078</v>
      </c>
      <c r="CN4" s="19">
        <f>IF(SUM(Basicinfo!AB4:AG4)=0,0,(Parameters!$C$128*Basicinfo!AB4+Parameters!$C$129*(SUM(Basicinfo!AC4:AE4))+Parameters!$C$130*Basicinfo!AF4+Parameters!$C$131*Basicinfo!AG4)/SUM(Basicinfo!AB4:AG4))</f>
        <v>0.12797747263199089</v>
      </c>
      <c r="CO4" s="19">
        <f>IF(Basicinfo!AH4+Basicinfo!AI4+Basicinfo!AJ4+Basicinfo!AK4=0,0,(Parameters!$C$132*(Basicinfo!AH4+Basicinfo!AI4)+Parameters!$C$133*Basicinfo!AJ4+Parameters!$C$134*Basicinfo!AK4)/(Basicinfo!AH4+Basicinfo!AI4+Basicinfo!AJ4+Basicinfo!AK4))</f>
        <v>5.0000000000000001E-4</v>
      </c>
      <c r="CP4" s="19">
        <f>IF(Basicinfo!AJ4+Basicinfo!AK4=0,0,(Parameters!$C$133*Basicinfo!AJ4+Parameters!$C$134*Basicinfo!AK4)/(Basicinfo!AJ4+Basicinfo!AK4))</f>
        <v>0</v>
      </c>
      <c r="CQ4" s="19">
        <f>IF(Z4=0,0,(CN4*(Z4-AA4)+CO4*Basicinfo!P4+CP4*(Basicinfo!Q4+Basicinfo!R4))/Z4)</f>
        <v>7.0147366359350705E-2</v>
      </c>
      <c r="CR4" s="289">
        <f>Basicinfo!EI4</f>
        <v>3.0369449122807014E-2</v>
      </c>
      <c r="CS4" s="19">
        <f>IF(SUM(Basicinfo!AB4:AG4)=0,0,(Basicinfo!AB4*Parameters!$C$43+(Basicinfo!AC4+Basicinfo!AD4)*Parameters!$C$44+Basicinfo!AE4*Parameters!$C$45+(Basicinfo!AF4+Basicinfo!AG4)*Parameters!$C$46)/SUM(Basicinfo!AB4:AG4))</f>
        <v>20.226773885527628</v>
      </c>
      <c r="CT4" s="19">
        <f>(Parameters!$C$41*CS4+Parameters!$C$42)</f>
        <v>481.31309363238177</v>
      </c>
      <c r="CU4" s="19">
        <f>CT4+Basicinfo!BR4/(Parameters!$C$47*Parameters!$C$49*Parameters!$C$48*10000/1000000)</f>
        <v>590.88604757627854</v>
      </c>
      <c r="CV4" s="19">
        <f>IF(BK4/Basicinfo!G4&lt;Parameters!$C$35,Parameters!$C$35,Parameters!$C$37*(BK4/Basicinfo!G4)^Parameters!$C$38)</f>
        <v>3.9208389580664247</v>
      </c>
      <c r="CW4" s="19">
        <f>IF(BK4/Basicinfo!G4&lt;Parameters!$C$35,Parameters!$C$36,Parameters!$C$36*(BK4/Basicinfo!G4)^Parameters!$C$38)</f>
        <v>9.2139715514560976</v>
      </c>
      <c r="CX4" s="27">
        <f>IF(Basicinfo!AJ4+Basicinfo!AK4=0,0,(Parameters!$C$53*Basicinfo!AJ4+Parameters!$C$54*Basicinfo!AK4)/(Basicinfo!AJ4+Basicinfo!AK4))</f>
        <v>0</v>
      </c>
      <c r="CY4" s="56">
        <f>IF(Basicinfo!AU4*AB4=0,0,((Basicinfo!AZ4+Basicinfo!BA4)/Basicinfo!AU4+Parameters!$C$76/(Basicinfo!AU4*AB4)*100))</f>
        <v>2.9901347260652407</v>
      </c>
      <c r="CZ4" s="43">
        <f>IF(Basicinfo!AU4*AB4=0,0,(Parameters!$C$77)/(Basicinfo!AU4*AB4)*100)</f>
        <v>0.60451079726574453</v>
      </c>
      <c r="DA4" s="43">
        <f>IF(AD4+AJ4=0,0,((J4*Parameters!$C$96+Parameters!$C$94/100*S4*100*Parameters!$C$93/1000*86400*Parameters!$C$95/24*Parameters!$C$98)*AI4+AD4*CY4*86400*365)/((AD4+AJ4*AI4/365)*86400*365))</f>
        <v>9.4613739338005445</v>
      </c>
      <c r="DB4" s="43">
        <f>IF(AD4+AJ4=0,0,((J4*Parameters!$C$97+Parameters!$C$94/100*S4*100*Parameters!$C$93/1000*86400*Parameters!$C$95/24*Parameters!$C$99)*AI4+AD4*CZ4*86400*365)/((AD4+AJ4*AI4/365)*86400*365))</f>
        <v>1.6486597610695366</v>
      </c>
      <c r="DC4" s="42">
        <f>IF(AE4+AL4=0,0,((K4*Parameters!$C$96+Parameters!$C$94/100*T4*100*Parameters!$C$93/1000*86400*Parameters!$C$95/24*Parameters!$C$98)*365+AE4*CY4*86400*365)/((AE4+AL4)*86400*365))</f>
        <v>0</v>
      </c>
      <c r="DD4" s="42">
        <f>IF(AE4+AL4=0,0,((K4*Parameters!$C$97+Parameters!$C$94/100*T4*100*Parameters!$C$93/1000*86400*Parameters!$C$95/24*Parameters!$C$99)*365+AE4*CZ4*86400*365)/((AE4+AL4)*86400*365))</f>
        <v>0</v>
      </c>
      <c r="DE4" s="42">
        <f>IF(Basicinfo!AH4+Basicinfo!AI4+Basicinfo!AJ4+Basicinfo!AK4=0,0,((Basicinfo!AH4+Basicinfo!AI4)*Parameters!$C$107+(Basicinfo!AJ4+Basicinfo!AK4)*Parameters!$C$106)/(Basicinfo!AH4+Basicinfo!AI4+Basicinfo!AJ4+Basicinfo!AK4))</f>
        <v>90</v>
      </c>
      <c r="DF4" s="42">
        <f>IF(Basicinfo!AH4+Basicinfo!AI4+Basicinfo!AJ4+Basicinfo!AK4=0,0,((Basicinfo!AH4+Basicinfo!AI4)*Parameters!$C$109+(Basicinfo!AJ4+Basicinfo!AK4)*Parameters!$C$108)/(Basicinfo!AH4+Basicinfo!AI4+Basicinfo!AJ4+Basicinfo!AK4))</f>
        <v>90</v>
      </c>
      <c r="DG4" s="42">
        <f>Intermediate!AC4*Intermediate!CY4*(1-Parameters!$C$102/100*Basicinfo!BZ4/100)*(1-Parameters!$C$104/100*Basicinfo!CA4/100)*86400*365/1000000</f>
        <v>1.1298124563455201</v>
      </c>
      <c r="DH4" s="42">
        <f>Intermediate!AC4*Intermediate!CZ4*(1-Parameters!$C$103/100*Basicinfo!BZ4/100)*(1-Parameters!$C$105/100*Basicinfo!CA4/100)*86400*365/1000000</f>
        <v>0.22841239319170989</v>
      </c>
      <c r="DI4" s="42">
        <f>(Intermediate!AK4*Intermediate!DA4+(Intermediate!AE4+Intermediate!AL4)*Intermediate!DC4)*86400*365/1000000</f>
        <v>0.96127797605469423</v>
      </c>
      <c r="DJ4" s="42">
        <f>(Intermediate!AK4*Intermediate!DB4+(Intermediate!AE4+Intermediate!AL4)*Intermediate!DD4)*86400*365/1000000</f>
        <v>0.16750424720684648</v>
      </c>
      <c r="DK4" s="42">
        <f>((Basicinfo!AZ4+Basicinfo!BA4)*Intermediate!AB4+Parameters!$C$76*100)/1000*Intermediate!U4*(1-Intermediate!DE4/100)+(1-Parameters!$C$110/100)*M4*Parameters!$C$100*(1-DE4/100)*365/1000000+(1-Parameters!$C$112/100)*P4*Parameters!$C$96*365/1000000+(1-Parameters!$C$112/100)*O4*Parameters!$C$96*(1-DE4/100)*365/1000000</f>
        <v>0.54126845284592717</v>
      </c>
      <c r="DL4" s="42">
        <f>Parameters!$C$77*100/1000*Intermediate!U4*(1-Intermediate!DF4/100)+(1-Parameters!$C$111/100)*M4*Parameters!$C$101*(1-DF4/100)*365/1000000+(1-Parameters!$C$113/100)*P4*Parameters!$C$97*365/1000000+(1-Parameters!$C$113/100)*O4*Parameters!$C$97*(1-DF4/100)*365/1000000</f>
        <v>8.0684541810668531E-2</v>
      </c>
      <c r="DM4" s="31"/>
      <c r="DN4" s="31"/>
      <c r="DO4" s="31"/>
      <c r="DP4" s="31"/>
      <c r="DQ4" s="31"/>
      <c r="DR4" s="31"/>
      <c r="DS4" s="31"/>
      <c r="DT4" s="188">
        <f>BO4*(Basicinfo!$P4+Basicinfo!$Q4)/1000</f>
        <v>100.30023295443618</v>
      </c>
      <c r="DU4" s="188">
        <f>DT4*Basicinfo!$AZ4/(Basicinfo!$AZ4+Basicinfo!$BA4)</f>
        <v>68.86730548941874</v>
      </c>
      <c r="DV4" s="188">
        <f>DT4*Basicinfo!$BC4/(Basicinfo!$BB4+Basicinfo!$BC4)</f>
        <v>29.442564870202009</v>
      </c>
      <c r="DW4" s="188">
        <f>BP4*(Basicinfo!$P4+Basicinfo!$Q4)/1000</f>
        <v>114.35061216243764</v>
      </c>
      <c r="DX4" s="188">
        <f>DW4*Basicinfo!$BB4/(Basicinfo!$BB4+Basicinfo!$BC4)</f>
        <v>80.78363811493648</v>
      </c>
      <c r="DY4" s="188">
        <f>DW4*Basicinfo!$BC4/(Basicinfo!$BB4+Basicinfo!$BC4)</f>
        <v>33.566974047501169</v>
      </c>
      <c r="DZ4" s="188">
        <f t="shared" ref="DZ4:DZ35" si="10">BO4*X4/1000</f>
        <v>149.44243509734619</v>
      </c>
      <c r="EA4" s="188">
        <f>DZ4*Basicinfo!$AZ4/(Basicinfo!$AZ4+Basicinfo!$BA4)</f>
        <v>102.608912539683</v>
      </c>
      <c r="EB4" s="188">
        <f>DZ4*Basicinfo!$BC4/(Basicinfo!$BB4+Basicinfo!$BC4)</f>
        <v>43.867979765444424</v>
      </c>
      <c r="EC4" s="188">
        <f t="shared" ref="EC4:EC35" si="11">BP4*X4/1000</f>
        <v>170.37681202784356</v>
      </c>
      <c r="ED4" s="188">
        <f>EC4*Basicinfo!$AZ4/(Basicinfo!$AZ4+Basicinfo!$BA4)</f>
        <v>116.98269900893405</v>
      </c>
      <c r="EE4" s="188">
        <f>EC4*Basicinfo!$BC4/(Basicinfo!$BB4+Basicinfo!$BC4)</f>
        <v>50.013147454869696</v>
      </c>
      <c r="EF4" s="190">
        <f>(Basicinfo!BP4-BL4/100)*Intermediate!X4/10</f>
        <v>233.48976781276133</v>
      </c>
      <c r="EG4" s="191">
        <f>(Basicinfo!BQ4-BM4/100)*Intermediate!X4/10</f>
        <v>216.68020626408148</v>
      </c>
      <c r="EH4" s="197">
        <f>IF(AU4=0,0,$BS4*((Basicinfo!$P4+Basicinfo!$Q4)*Intermediate!$AT4*1000+$AW4*3600*24*365)/1000000*Basicinfo!AZ4/(Basicinfo!$AZ4+Basicinfo!$BA4))</f>
        <v>4.2670936030538691</v>
      </c>
      <c r="EI4" s="197">
        <f>IF(AU4=0,0,$BS4*((Basicinfo!$P4+Basicinfo!$Q4)*Intermediate!$AT4*1000+$AW4*3600*24*365)/1000000*Basicinfo!BA4/(Basicinfo!$AZ4+Basicinfo!$BA4))</f>
        <v>1.947618579789512</v>
      </c>
      <c r="EJ4" s="198">
        <f>IF(AU4=0,0,$BS4*($AT4*$X4*1000)/1000000*Basicinfo!AZ4/(Basicinfo!$AZ4+Basicinfo!$BA4))</f>
        <v>6.3577604961133325</v>
      </c>
      <c r="EK4" s="198">
        <f>IF(AU4=0,0,$BS4*($AT4*$X4*1000)/1000000*Basicinfo!BA4/(Basicinfo!$AZ4+Basicinfo!$BA4))</f>
        <v>2.9018563031334073</v>
      </c>
      <c r="EL4" s="147">
        <f>Parameters!$C$150/Basicinfo!$AV4*100</f>
        <v>8.8622584715858335E-2</v>
      </c>
      <c r="EM4" s="147">
        <f>Parameters!$C$151/Basicinfo!$AV4*100</f>
        <v>0.17724516943171667</v>
      </c>
      <c r="EN4" s="147">
        <f>(Parameters!$C$150+Parameters!$C$151)/Intermediate!$BB4*100</f>
        <v>1.0018468359299264</v>
      </c>
      <c r="EO4" s="193">
        <f>IF(EN4=0,0,(1/(1+Parameters!$C$116*$BB4^Parameters!$C$120)*Basicinfo!$AH4/Basicinfo!$G4+1/(1+Parameters!$C$117*$BB4^Parameters!$C$121)*Basicinfo!$AI4/Basicinfo!$G4)*(EN4)^Parameters!$C$124+(1/(1+Parameters!$C$118*$BB4^Parameters!$C$122)*Basicinfo!$AJ4/Basicinfo!AW4+1/(1+Parameters!$C$119*$BB4^Parameters!$C$123)*Basicinfo!$AK4/Basicinfo!$G4)*(EN4)^Parameters!$C$125)</f>
        <v>0.57809713495454418</v>
      </c>
      <c r="EP4" s="199">
        <f>EL4*($AT4*Basicinfo!$P4*1000+$AW4*3600*24*365)/1000000</f>
        <v>0.27226215127508324</v>
      </c>
      <c r="EQ4" s="199">
        <f>EM4*($AT4*Basicinfo!$P4*1000+$AW4*3600*24*365)/1000000</f>
        <v>0.54452430255016648</v>
      </c>
      <c r="ER4" s="199">
        <f t="shared" ref="ER4:ER35" si="12">EL4*($AT4*$X4*1000)/1000000</f>
        <v>0.4056572719015894</v>
      </c>
      <c r="ES4" s="199">
        <f t="shared" ref="ES4:ES35" si="13">EM4*($AT4*$X4*1000)/1000000</f>
        <v>0.8113145438031788</v>
      </c>
      <c r="ET4" s="181">
        <f t="shared" ref="ET4:ET58" si="14">EO4*BA4/1000000*365*24*3600</f>
        <v>20.22554946571492</v>
      </c>
      <c r="EU4" s="147">
        <f>Intermediate!F4*(Parameters!$C$150)/1000*100</f>
        <v>0.16356021365867179</v>
      </c>
      <c r="EV4" s="147">
        <f>Intermediate!F4*(Parameters!$C$151)/1000*100</f>
        <v>0.32712042731734359</v>
      </c>
      <c r="EW4" s="181">
        <f>'Local emissions'!$S4*Basicinfo!AZ4/(Basicinfo!$AZ4+Basicinfo!$BA4)-Intermediate!EU4</f>
        <v>2.2441066287803952</v>
      </c>
      <c r="EX4" s="147">
        <f>'Local emissions'!$S4*Basicinfo!BA4/(Basicinfo!$AZ4+Basicinfo!$BA4)-Intermediate!EV4</f>
        <v>0.77180476919615693</v>
      </c>
      <c r="EY4" s="188">
        <f t="shared" ref="EY4:EY58" si="15">EH4-EP4</f>
        <v>3.994831451778786</v>
      </c>
      <c r="EZ4" s="188">
        <f t="shared" ref="EZ4:EZ58" si="16">EI4-EQ4</f>
        <v>1.4030942772393455</v>
      </c>
      <c r="FA4" s="188">
        <f t="shared" ref="FA4:FA58" si="17">EJ4-ER4</f>
        <v>5.9521032242117435</v>
      </c>
      <c r="FB4" s="181">
        <f t="shared" ref="FB4:FB58" si="18">IF(EK4-ES4&lt;0,0,EK4-ES4)</f>
        <v>2.0905417593302285</v>
      </c>
      <c r="FC4" s="181">
        <f>'Local emissions'!Y4-Intermediate!ET4</f>
        <v>86.880247330774822</v>
      </c>
      <c r="FD4" s="188">
        <f t="shared" ref="FD4:FD58" si="19">FC4*DX4/($DW4+$EC4+$EG4)</f>
        <v>13.997598028864266</v>
      </c>
      <c r="FE4" s="188">
        <f t="shared" ref="FE4:FE58" si="20">FC4*DY4/($DW4+$EC4+$EG4)</f>
        <v>5.8162397822903467</v>
      </c>
      <c r="FF4" s="181">
        <f t="shared" ref="FF4:FF58" si="21">FC4*ED4/2/(DW4+EC4+EG4)</f>
        <v>10.134953285521291</v>
      </c>
      <c r="FG4" s="201">
        <f t="shared" ref="FG4:FG58" si="22">FC4*EE4/2/(DW4+EC4+EG4)</f>
        <v>4.3329562184086861</v>
      </c>
      <c r="FH4" s="181">
        <f t="shared" ref="FH4:FH58" si="23">FC4-FD4-FE4-FF4-FG4</f>
        <v>52.598500015690234</v>
      </c>
      <c r="FJ4" s="147">
        <f>AVERAGE(Parameters!$C$132:$C$134)*'Local emissions'!J4*3600*24*365/1000000</f>
        <v>1.749321026068159E-2</v>
      </c>
      <c r="FK4" s="147">
        <f>'Local emissions'!AJ4+CT4*BJ4/100*Intermediate!X4*100/1000000</f>
        <v>0.2477905455000769</v>
      </c>
      <c r="FL4" s="31">
        <f>(Parameters!$C$18*(Basicinfo!AH4+Basicinfo!AI4)+Parameters!$C$19*Basicinfo!AJ4+Parameters!$C$20*Basicinfo!AK4)/Basicinfo!G4</f>
        <v>3.500000000000001E-2</v>
      </c>
      <c r="FM4" s="181">
        <f t="shared" ref="FM4:FM18" si="24">FL4*(AU4+AW4)*3600*24*365/1000000</f>
        <v>0.27445271494144807</v>
      </c>
    </row>
    <row r="5" spans="1:169">
      <c r="A5" s="39" t="str">
        <f>Basicinfo!A5</f>
        <v>Enknach</v>
      </c>
      <c r="B5" s="63">
        <f>Basicinfo!B5</f>
        <v>600</v>
      </c>
      <c r="C5" s="63">
        <f>Basicinfo!C5</f>
        <v>610</v>
      </c>
      <c r="D5" s="61">
        <f>Basicinfo!U5*Basicinfo!V5/1000+Basicinfo!Y5</f>
        <v>0.42857272170716393</v>
      </c>
      <c r="E5" s="19">
        <f>Basicinfo!W5*Basicinfo!X5/1000+Basicinfo!Z5</f>
        <v>0</v>
      </c>
      <c r="F5" s="19">
        <f t="shared" si="0"/>
        <v>0.42857272170716393</v>
      </c>
      <c r="G5" s="19">
        <f>SUM(Basicinfo!H5:L5)</f>
        <v>39.897913110140458</v>
      </c>
      <c r="H5" s="19">
        <f>IF(Basicinfo!N5&lt;Parameters!$C$68,Parameters!$C$69,Basicinfo!BS5/(Basicinfo!N5*100))</f>
        <v>14.013656029998975</v>
      </c>
      <c r="I5" s="19">
        <f>IF(Basicinfo!N5=0,0,Basicinfo!BU5*(1-Basicinfo!BX5/100))</f>
        <v>3305.7466423244118</v>
      </c>
      <c r="J5" s="19">
        <f>IF(Basicinfo!N5=0,0,Basicinfo!BU5*Basicinfo!BX5/100)</f>
        <v>3176.1095190960036</v>
      </c>
      <c r="K5" s="19">
        <f>IF(Basicinfo!N5=0,0,Basicinfo!BT5-Basicinfo!BU5)</f>
        <v>0</v>
      </c>
      <c r="L5" s="27">
        <f>Basicinfo!BV5*Basicinfo!BW5/100</f>
        <v>634.75</v>
      </c>
      <c r="M5" s="27">
        <f>Basicinfo!BV5-Intermediate!L5</f>
        <v>634.75</v>
      </c>
      <c r="N5" s="73">
        <f>Basicinfo!BS5-SUM(I5:K5)-Basicinfo!BV5</f>
        <v>0</v>
      </c>
      <c r="O5" s="19">
        <f>IF(Basicinfo!AH5+Basicinfo!AI5+Basicinfo!AJ5+Basicinfo!AK5=0,0,N5*(Basicinfo!AH5+Basicinfo!AI5)/SUM(Basicinfo!AH5:AK5))</f>
        <v>0</v>
      </c>
      <c r="P5" s="73">
        <f t="shared" ref="P5:P68" si="25">N5-O5</f>
        <v>0</v>
      </c>
      <c r="Q5" s="19">
        <f>IF(Basicinfo!BS5=0,Basicinfo!N5,IF(H5&gt;Parameters!$C$70,Parameters!$C$64*(Parameters!$C$65*Parameters!$C$70)^(Parameters!$C$66-Parameters!$C$67*LOG(Parameters!$C$65*Parameters!$C$70,10))/100*Basicinfo!N5,Parameters!$C$64*(Parameters!$C$65*H5)^(Parameters!$C$66-Parameters!$C$67*LOG(Parameters!$C$65*H5,10))/100*Basicinfo!N5))</f>
        <v>1.3637928052135486</v>
      </c>
      <c r="R5" s="19">
        <f>IF(Basicinfo!BS5=0,Q5*(1-Basicinfo!BX5/100),IF(H5&lt;Parameters!$C$75,Q5*Basicinfo!BU5/Basicinfo!BS5*(1-Basicinfo!BX5/100)*(-Parameters!$C$74+Parameters!$C$73*LN(H5*100)),Q5*Basicinfo!BU5/Basicinfo!BS5*(1-Basicinfo!BX5/100)))</f>
        <v>0.31270884656615794</v>
      </c>
      <c r="S5" s="19">
        <f>IF(Basicinfo!BS5=0,Q5*Basicinfo!BX5/100,Q5*Basicinfo!BU5/Basicinfo!BS5*Basicinfo!BX5/100)</f>
        <v>0.55881257685876329</v>
      </c>
      <c r="T5" s="19">
        <f>IF(Basicinfo!BS5=0,0,IF(H5&lt;Parameters!$C$75,Q5*K5/Basicinfo!BS5*(-Parameters!$C$74+Parameters!$C$73*LN(H5*100)),Q5*K5/Basicinfo!BS5))</f>
        <v>0</v>
      </c>
      <c r="U5" s="19">
        <f t="shared" ref="U5:U68" si="26">Q5-R5-S5-T5</f>
        <v>0.49227138178862728</v>
      </c>
      <c r="V5" s="19">
        <f>IF(Basicinfo!AL5&gt;Parameters!$C$14,Basicinfo!Q5,0)</f>
        <v>0</v>
      </c>
      <c r="W5" s="19">
        <f>IF(Basicinfo!AL5&gt;Parameters!$C$14,0,Basicinfo!Q5)</f>
        <v>0</v>
      </c>
      <c r="X5" s="19">
        <f>G5+Basicinfo!M5</f>
        <v>78.510130162823657</v>
      </c>
      <c r="Y5" s="19">
        <f>IF(Basicinfo!G5-F5-Q5-V5-Basicinfo!O5-Basicinfo!R5-Basicinfo!S5&lt;0,0,Basicinfo!G5-F5-Q5-V5-Basicinfo!O5-Basicinfo!R5-Basicinfo!S5)</f>
        <v>118.24771071700513</v>
      </c>
      <c r="Z5" s="19">
        <f>Basicinfo!G5-F5-Basicinfo!BO5-Q5-Basicinfo!O5</f>
        <v>116.33883065744297</v>
      </c>
      <c r="AA5" s="53">
        <f>IF(Z5+Basicinfo!BO5-X5&gt;0,Z5+Basicinfo!BO5-X5,0)</f>
        <v>39.741666342255627</v>
      </c>
      <c r="AB5" s="56">
        <f>IF(Basicinfo!N5=0,0,Parameters!$C$71+Parameters!$C$72*Q5/Basicinfo!N5)</f>
        <v>0.33491980181066688</v>
      </c>
      <c r="AC5" s="43">
        <f>Basicinfo!AU5*AB5*R5/1000/86.4/0.365</f>
        <v>3.4625526883686063E-3</v>
      </c>
      <c r="AD5" s="43">
        <f>Basicinfo!AU5*AB5*S5/1000/86.4/0.365</f>
        <v>6.1876023385450977E-3</v>
      </c>
      <c r="AE5" s="43">
        <f>Basicinfo!AU5*AB5*T5/1000/86.4/0.365</f>
        <v>0</v>
      </c>
      <c r="AF5" s="43">
        <f>Basicinfo!AU5*AB5*U5/1000/86.4/0.365</f>
        <v>5.4508070850452445E-3</v>
      </c>
      <c r="AG5" s="43">
        <f>((Parameters!$C$80+Parameters!$C$81*Parameters!$C$89)/(Parameters!$C$82+Parameters!$C$89)/(Parameters!$C$90/100*Parameters!$C$91+(Parameters!$C$83+Parameters!$C$84*Parameters!$C$89)/(Parameters!$C$85+Parameters!$C$89)))-Parameters!$C$86+(Basicinfo!AU5-Parameters!$C$88)/Parameters!$C$87</f>
        <v>77.453923169044359</v>
      </c>
      <c r="AH5" s="43">
        <f>((Parameters!$C$80+Parameters!$C$81*Parameters!$C$89)/(Parameters!$C$82+Parameters!$C$89)/(Basicinfo!BY5/100*Parameters!$C$91+(Parameters!$C$83+Parameters!$C$84*Parameters!$C$89)/(Parameters!$C$85+Parameters!$C$89)))-Parameters!$C$86+(Basicinfo!AU5-Parameters!$C$88)/Parameters!$C$87</f>
        <v>59.651041302428794</v>
      </c>
      <c r="AI5" s="43">
        <f>Basicinfo!AU5^Parameters!$C$79*Parameters!$C$78*AH5/AG5</f>
        <v>32.438507639895228</v>
      </c>
      <c r="AJ5" s="43">
        <f>(J5*Parameters!$C$92/1000+Parameters!$C$94/100*S5*100*Parameters!$C$93/1000*86400*Parameters!$C$95/24)/86400</f>
        <v>4.7974955752758536E-3</v>
      </c>
      <c r="AK5" s="43">
        <f t="shared" si="1"/>
        <v>3.9453009965841213E-3</v>
      </c>
      <c r="AL5" s="43">
        <f>(K5*Parameters!$C$92/1000+Parameters!$C$94/100*T5*100*Parameters!$C$93/1000*86400*Parameters!$C$95/24)/86400</f>
        <v>0</v>
      </c>
      <c r="AM5" s="43">
        <f>(Intermediate!N5+Basicinfo!BV5-Intermediate!L5)*Parameters!$C$92/1000/86400</f>
        <v>9.550636574074074E-4</v>
      </c>
      <c r="AN5" s="43">
        <f t="shared" si="2"/>
        <v>7.1535219149641924E-3</v>
      </c>
      <c r="AO5" s="43">
        <f t="shared" ref="AO5:AO68" si="27">AK5+AE5+AL5</f>
        <v>3.9453009965841213E-3</v>
      </c>
      <c r="AP5" s="43">
        <f t="shared" ref="AP5:AP68" si="28">AF5+AM5</f>
        <v>6.4058707424526516E-3</v>
      </c>
      <c r="AQ5" s="43">
        <f t="shared" si="3"/>
        <v>1.3813724427405378E-2</v>
      </c>
      <c r="AR5" s="61">
        <f>(Basicinfo!AU5-Basicinfo!AY5)*F5/1000/86.4/0.365</f>
        <v>4.4839097520814313E-3</v>
      </c>
      <c r="AS5" s="19">
        <f>IF(Basicinfo!AP5-Basicinfo!CB5-Basicinfo!CG5&lt;0,0,(Basicinfo!AP5-Basicinfo!CB5-Basicinfo!CG5)/Basicinfo!G5*1000)</f>
        <v>3.6691534847328939</v>
      </c>
      <c r="AT5" s="19">
        <f>Parameters!$C$3*((AS5*86.4*0.365)^Parameters!$C$4)</f>
        <v>15.87004119249378</v>
      </c>
      <c r="AU5" s="19">
        <f>IF(AT5/86.4/0.365*(Basicinfo!G5/1000)-AN5&lt;0,0,AT5/86.4/0.365*(Basicinfo!G5/1000)-AN5)</f>
        <v>5.3256986594873386E-2</v>
      </c>
      <c r="AV5" s="19">
        <f>IF(Basicinfo!AU5&gt;Parameters!$C$13,Parameters!$C$11*(Basicinfo!AU5-Parameters!$C$13)^Parameters!$C$12,0)</f>
        <v>107.8960423710062</v>
      </c>
      <c r="AW5" s="19">
        <f>IF(AV5*V5/1000/86.4/0.365&gt;Basicinfo!AP5*Parameters!$C$15,Basicinfo!AP5*Parameters!$C$15,AV5*V5/1000/86.4/0.365)</f>
        <v>0</v>
      </c>
      <c r="AX5" s="19">
        <f>Basicinfo!AU5-Basicinfo!AW5</f>
        <v>362.7659819375715</v>
      </c>
      <c r="AY5" s="19">
        <f>Parameters!$C$56*AX5+Parameters!$C$57*Basicinfo!AW5</f>
        <v>249.36742117381431</v>
      </c>
      <c r="AZ5" s="19">
        <f>AY5*Basicinfo!BO5/1000/86.4/0.365</f>
        <v>1.512656520226561E-2</v>
      </c>
      <c r="BA5" s="19">
        <f>IF(Basicinfo!AP5-AQ5-AR5-AU5-AW5-AZ5-Basicinfo!CB5-Basicinfo!CG5&lt;0,0,Basicinfo!AP5-AQ5-AR5-AU5-AW5-AZ5-Basicinfo!CB5-Basicinfo!CG5)</f>
        <v>0.35377926946492722</v>
      </c>
      <c r="BB5" s="53">
        <f t="shared" si="4"/>
        <v>95.899047453011093</v>
      </c>
      <c r="BC5" s="56">
        <f>IF(G5=0,0,((Basicinfo!H5*Basicinfo!BE5+Basicinfo!I5*Basicinfo!BF5+Basicinfo!J5*Basicinfo!BG5+Basicinfo!K5*Basicinfo!BH5+Basicinfo!L5*Basicinfo!BI5)*(1-Basicinfo!BN5/G5*Parameters!$C$26/100)/G5)*Basicinfo!BM5)</f>
        <v>5.1405180064972633</v>
      </c>
      <c r="BD5" s="43">
        <f>IF(Basicinfo!AW5*Parameters!$C$39-Parameters!$C$40&lt;0,0.001,(Basicinfo!AW5*Parameters!$C$39-Parameters!$C$40)/(Basicinfo!AX5*Parameters!$C$39-Parameters!$C$40))</f>
        <v>1.0173329812596246</v>
      </c>
      <c r="BE5" s="43">
        <f>(BC5*G5*100+Basicinfo!BJ5*Basicinfo!M5*100)*Parameters!$C$29*BD5</f>
        <v>21458.716488453749</v>
      </c>
      <c r="BF5" s="43">
        <f>(Basicinfo!BK5*Basicinfo!P5*100)*BD5*Parameters!$C$29</f>
        <v>520.90279646122349</v>
      </c>
      <c r="BG5" s="43">
        <f>Parameters!$C$27*(V5+W5)*100</f>
        <v>0</v>
      </c>
      <c r="BH5" s="43">
        <f>Parameters!$C$28*Basicinfo!R5*100</f>
        <v>0</v>
      </c>
      <c r="BI5" s="43">
        <f t="shared" ref="BI5:BI57" si="29">BF5+BG5+BH5</f>
        <v>520.90279646122349</v>
      </c>
      <c r="BJ5" s="43">
        <f>IF(Basicinfo!AM5&lt;Parameters!$C$33,0,Parameters!$C$30*(((Basicinfo!AM5-Parameters!$C$33)^Parameters!$C$31)*(((G5-Basicinfo!BN5)/Basicinfo!G5*100+Parameters!$C$34))^Parameters!$C$32))</f>
        <v>2.7995409211921234</v>
      </c>
      <c r="BK5" s="58">
        <f t="shared" ref="BK5:BK58" si="30">BE5*BJ5/100+BI5</f>
        <v>1121.6483457180875</v>
      </c>
      <c r="BL5" s="61">
        <f>Basicinfo!AZ5+Basicinfo!BA5</f>
        <v>2051.6595833186166</v>
      </c>
      <c r="BM5" s="19">
        <f>Basicinfo!BB5+Basicinfo!BC5</f>
        <v>2251.6925102144282</v>
      </c>
      <c r="BN5" s="172">
        <f>IF(Basicinfo!AO5=0,0,IF(Basicinfo!AO5="NA",1,IF(OR(Basicinfo!AO5="SA",Basicinfo!AN5="S"),3,IF(Basicinfo!AN5="N",1,IF(Basicinfo!AO5="ZA",2,0)))))</f>
        <v>0</v>
      </c>
      <c r="BO5" s="27">
        <f>IF($BN5=1,(BL5)*(1+Parameters!$C$21*Parameters!$C$22-Parameters!$C$22*Basicinfo!$AL5),IF($BN5=2,(BL5)*(1+Parameters!$C$21*Parameters!$C$23-Parameters!$C$23*Basicinfo!$AL5),IF($BN5=3,(BL5)*(1+Parameters!$C$21*Parameters!$C$24-Parameters!$C$24*Basicinfo!$AL5),BL5)))</f>
        <v>2051.6595833186166</v>
      </c>
      <c r="BP5" s="27">
        <f>IF($BN5=1,(BM5)*(1+Parameters!$C$21*Parameters!$C$22-Parameters!$C$22*Basicinfo!$AL5),IF($BN5=2,(BM5)*(1+Parameters!$C$21*Parameters!$C$23-Parameters!$C$23*Basicinfo!$AL5),IF($BN5=3,(BM5)*(1+Parameters!$C$21*Parameters!$C$24-Parameters!$C$24*Basicinfo!$AL5),BM5)))</f>
        <v>2251.6925102144282</v>
      </c>
      <c r="BQ5" s="27">
        <f>IF(Basicinfo!AU5=0,0,IF(G5+Basicinfo!M5=0,0,(Parameters!$C$16+BO5/Basicinfo!AU5)*G5+(Parameters!$C$17+BO5/Basicinfo!AU5)*Basicinfo!M5)/(G5+Basicinfo!M5))</f>
        <v>2.1202670412778208</v>
      </c>
      <c r="BR5" s="27">
        <f>IF(Basicinfo!AU5=0,0,IF(G5+Basicinfo!M5=0,0,(Parameters!$C$16+BP5/Basicinfo!AU5)*G5+(Parameters!$C$17+BP5/Basicinfo!AU5)*Basicinfo!M5)/(G5+Basicinfo!M5))</f>
        <v>2.3121248523582079</v>
      </c>
      <c r="BS5" s="27">
        <f>IF(Basicinfo!AU5=0,0,BO5/Basicinfo!AU5)</f>
        <v>1.9678106142126939</v>
      </c>
      <c r="BT5" s="27">
        <f>IF(Basicinfo!AU5=0,0,BP5/Basicinfo!AU5)</f>
        <v>2.1596684252930816</v>
      </c>
      <c r="BU5" s="27">
        <f>IF(SUM(G5,Basicinfo!M5,Basicinfo!P5,W5)=0,0,(BQ5*(G5+Basicinfo!M5)+BS5*(Basicinfo!P5+W5))/SUM(G5,Basicinfo!M5,Basicinfo!P5,W5))</f>
        <v>2.0727312951096506</v>
      </c>
      <c r="BV5" s="19">
        <f>IF(Basicinfo!BR5/Parameters!$C$10&gt;1,1,Basicinfo!BR5/Parameters!$C$10)</f>
        <v>0.40010454509548504</v>
      </c>
      <c r="BW5" s="19">
        <f>Parameters!$C$5+Parameters!$C$6*EXP(BV5*Parameters!$C$8*Parameters!$C$7)</f>
        <v>3.5164053334046715E-2</v>
      </c>
      <c r="BX5" s="19">
        <f>Parameters!$C$5+Parameters!$C$6*EXP(BV5*Parameters!$C$9*Parameters!$C$7)</f>
        <v>3.508823727895987E-2</v>
      </c>
      <c r="BY5" s="19">
        <f>IF(Basicinfo!AH5+Basicinfo!AI5+Basicinfo!AJ5+Basicinfo!AK5=0,0,(Parameters!$C$18*(Basicinfo!AH5+Basicinfo!AI5)+Parameters!$C$19*Basicinfo!AJ5+Parameters!$C$20*Basicinfo!AK5)/(Basicinfo!AH5+Basicinfo!AI5+Basicinfo!AJ5+Basicinfo!AK5))</f>
        <v>3.5000000000000003E-2</v>
      </c>
      <c r="BZ5" s="19">
        <f>IF(Basicinfo!AJ5+Basicinfo!AK5=0,Parameters!$C$18,(Parameters!$C$19*Basicinfo!AJ5+Parameters!$C$20*Basicinfo!AK5)/(Basicinfo!AJ5+Basicinfo!AK5))</f>
        <v>3.5000000000000003E-2</v>
      </c>
      <c r="CA5" s="19">
        <f>IF(SUM(G5,Basicinfo!M5,Basicinfo!P5,W5)=0,0,(BW5*G5+BX5*Basicinfo!M5+BY5*Basicinfo!P5+BZ5*W5)/(SUM(G5,Basicinfo!M5,Basicinfo!P5,W5)))</f>
        <v>3.508724056623462E-2</v>
      </c>
      <c r="CB5" s="19">
        <f>IF(Y5=0,Basicinfo!BP5,Basicinfo!BP5-(AU5*X5/Y5*Intermediate!BQ5*86400*365/1000000)*1000/(X5*100))</f>
        <v>59.039767050249893</v>
      </c>
      <c r="CC5" s="19">
        <f>IF(Y5=0,Basicinfo!BQ5,Basicinfo!BQ5-(AU5*Basicinfo!AV5/Basicinfo!AU5*X5/Y5*Intermediate!BR5*86400*365/1000000)*1000/(X5*100))</f>
        <v>62.445790882997969</v>
      </c>
      <c r="CD5" s="19">
        <f>IF(OR(Y5=0,AA5=0),BP5/100,BP5/100-(AU5*Basicinfo!AV5/Basicinfo!AU5*(Basicinfo!P5+W5)/Y5*Intermediate!BT5*86400*365/1000000+AW5*Basicinfo!AV5/Basicinfo!AU5*Intermediate!BT5*86400*365/1000000)*1000/(AA5*100))</f>
        <v>22.227214111619322</v>
      </c>
      <c r="CE5" s="19">
        <f t="shared" si="5"/>
        <v>478317.05050568236</v>
      </c>
      <c r="CF5" s="19">
        <f t="shared" si="6"/>
        <v>88334.65269418509</v>
      </c>
      <c r="CG5" s="19">
        <f>IF(AY5=0,0,((CB5^Parameters!$C$58))/AY5*100)</f>
        <v>12.842016568459591</v>
      </c>
      <c r="CH5" s="19">
        <f>IF(SUM(Basicinfo!AB5:AG5)=0,0,(Parameters!$C$59*Basicinfo!AB5+Parameters!$C$60*SUM(Basicinfo!AC5:AE5)+Parameters!$C$61*Basicinfo!AF5+Parameters!$C$62*Basicinfo!AG5)/SUM(Basicinfo!AB5:AG5))</f>
        <v>8.0100457641543693E-2</v>
      </c>
      <c r="CI5" s="19">
        <f t="shared" si="7"/>
        <v>31</v>
      </c>
      <c r="CJ5" s="19">
        <f t="shared" si="8"/>
        <v>48.707013814532857</v>
      </c>
      <c r="CK5" s="19">
        <f t="shared" si="9"/>
        <v>50.7898828071243</v>
      </c>
      <c r="CL5" s="19">
        <f>IF($BB5=0,0,$CJ5^Parameters!$C$58*100/$BB5)</f>
        <v>28.355576742632291</v>
      </c>
      <c r="CM5" s="19">
        <f>IF(CK5=0,0,(1/(1+Parameters!$C$116*BB5^Parameters!$C$120)*Basicinfo!AH5/Basicinfo!G5+1/(1+Parameters!$C$117*BB5^Parameters!$C$121)*Basicinfo!AI5/Basicinfo!G5)*(CK5)^Parameters!$C$124+(1/(1+Parameters!$C$118*BB5^Parameters!$C$122)*Basicinfo!AJ5/Basicinfo!G5+1/(1+Parameters!$C$119*BB5^Parameters!$C$123)*Basicinfo!AK5/Basicinfo!G5)*(CK5)^Parameters!$C$125)</f>
        <v>1.2262141826381463</v>
      </c>
      <c r="CN5" s="19">
        <f>IF(SUM(Basicinfo!AB5:AG5)=0,0,(Parameters!$C$128*Basicinfo!AB5+Parameters!$C$129*(SUM(Basicinfo!AC5:AE5))+Parameters!$C$130*Basicinfo!AF5+Parameters!$C$131*Basicinfo!AG5)/SUM(Basicinfo!AB5:AG5))</f>
        <v>1.9303066557030631E-2</v>
      </c>
      <c r="CO5" s="19">
        <f>IF(Basicinfo!AH5+Basicinfo!AI5+Basicinfo!AJ5+Basicinfo!AK5=0,0,(Parameters!$C$132*(Basicinfo!AH5+Basicinfo!AI5)+Parameters!$C$133*Basicinfo!AJ5+Parameters!$C$134*Basicinfo!AK5)/(Basicinfo!AH5+Basicinfo!AI5+Basicinfo!AJ5+Basicinfo!AK5))</f>
        <v>5.0000000000000001E-4</v>
      </c>
      <c r="CP5" s="19">
        <f>IF(Basicinfo!AJ5+Basicinfo!AK5=0,0,(Parameters!$C$133*Basicinfo!AJ5+Parameters!$C$134*Basicinfo!AK5)/(Basicinfo!AJ5+Basicinfo!AK5))</f>
        <v>0</v>
      </c>
      <c r="CQ5" s="19">
        <f>IF(Z5=0,0,(CN5*(Z5-AA5)+CO5*Basicinfo!P5+CP5*(Basicinfo!Q5+Basicinfo!R5))/Z5)</f>
        <v>1.2861958430278559E-2</v>
      </c>
      <c r="CR5" s="289">
        <f>Basicinfo!EI5</f>
        <v>1.8990404210526318E-2</v>
      </c>
      <c r="CS5" s="19">
        <f>IF(SUM(Basicinfo!AB5:AG5)=0,0,(Basicinfo!AB5*Parameters!$C$43+(Basicinfo!AC5+Basicinfo!AD5)*Parameters!$C$44+Basicinfo!AE5*Parameters!$C$45+(Basicinfo!AF5+Basicinfo!AG5)*Parameters!$C$46)/SUM(Basicinfo!AB5:AG5))</f>
        <v>21.571101429871657</v>
      </c>
      <c r="CT5" s="19">
        <f>(Parameters!$C$41*CS5+Parameters!$C$42)</f>
        <v>495.02523458469091</v>
      </c>
      <c r="CU5" s="19">
        <f>CT5+Basicinfo!BR5/(Parameters!$C$47*Parameters!$C$49*Parameters!$C$48*10000/1000000)</f>
        <v>635.94255864347804</v>
      </c>
      <c r="CV5" s="19">
        <f>IF(BK5/Basicinfo!G5&lt;Parameters!$C$35,Parameters!$C$35,Parameters!$C$37*(BK5/Basicinfo!G5)^Parameters!$C$38)</f>
        <v>2.679552528963447</v>
      </c>
      <c r="CW5" s="19">
        <f>IF(BK5/Basicinfo!G5&lt;Parameters!$C$35,Parameters!$C$36,Parameters!$C$36*(BK5/Basicinfo!G5)^Parameters!$C$38)</f>
        <v>6.2969484430641005</v>
      </c>
      <c r="CX5" s="27">
        <f>IF(Basicinfo!AJ5+Basicinfo!AK5=0,0,(Parameters!$C$53*Basicinfo!AJ5+Parameters!$C$54*Basicinfo!AK5)/(Basicinfo!AJ5+Basicinfo!AK5))</f>
        <v>0</v>
      </c>
      <c r="CY5" s="56">
        <f>IF(Basicinfo!AU5*AB5=0,0,((Basicinfo!AZ5+Basicinfo!BA5)/Basicinfo!AU5+Parameters!$C$76/(Basicinfo!AU5*AB5)*100))</f>
        <v>3.1133160685447407</v>
      </c>
      <c r="CZ5" s="43">
        <f>IF(Basicinfo!AU5*AB5=0,0,(Parameters!$C$77)/(Basicinfo!AU5*AB5)*100)</f>
        <v>0.71594090895752915</v>
      </c>
      <c r="DA5" s="43">
        <f>IF(AD5+AJ5=0,0,((J5*Parameters!$C$96+Parameters!$C$94/100*S5*100*Parameters!$C$93/1000*86400*Parameters!$C$95/24*Parameters!$C$98)*AI5+AD5*CY5*86400*365)/((AD5+AJ5*AI5/365)*86400*365))</f>
        <v>8.8405814963177178</v>
      </c>
      <c r="DB5" s="43">
        <f>IF(AD5+AJ5=0,0,((J5*Parameters!$C$97+Parameters!$C$94/100*S5*100*Parameters!$C$93/1000*86400*Parameters!$C$95/24*Parameters!$C$99)*AI5+AD5*CZ5*86400*365)/((AD5+AJ5*AI5/365)*86400*365))</f>
        <v>1.634149144682713</v>
      </c>
      <c r="DC5" s="42">
        <f>IF(AE5+AL5=0,0,((K5*Parameters!$C$96+Parameters!$C$94/100*T5*100*Parameters!$C$93/1000*86400*Parameters!$C$95/24*Parameters!$C$98)*365+AE5*CY5*86400*365)/((AE5+AL5)*86400*365))</f>
        <v>0</v>
      </c>
      <c r="DD5" s="42">
        <f>IF(AE5+AL5=0,0,((K5*Parameters!$C$97+Parameters!$C$94/100*T5*100*Parameters!$C$93/1000*86400*Parameters!$C$95/24*Parameters!$C$99)*365+AE5*CZ5*86400*365)/((AE5+AL5)*86400*365))</f>
        <v>0</v>
      </c>
      <c r="DE5" s="42">
        <f>IF(Basicinfo!AH5+Basicinfo!AI5+Basicinfo!AJ5+Basicinfo!AK5=0,0,((Basicinfo!AH5+Basicinfo!AI5)*Parameters!$C$107+(Basicinfo!AJ5+Basicinfo!AK5)*Parameters!$C$106)/(Basicinfo!AH5+Basicinfo!AI5+Basicinfo!AJ5+Basicinfo!AK5))</f>
        <v>90</v>
      </c>
      <c r="DF5" s="42">
        <f>IF(Basicinfo!AH5+Basicinfo!AI5+Basicinfo!AJ5+Basicinfo!AK5=0,0,((Basicinfo!AH5+Basicinfo!AI5)*Parameters!$C$109+(Basicinfo!AJ5+Basicinfo!AK5)*Parameters!$C$108)/(Basicinfo!AH5+Basicinfo!AI5+Basicinfo!AJ5+Basicinfo!AK5))</f>
        <v>90</v>
      </c>
      <c r="DG5" s="42">
        <f>Intermediate!AC5*Intermediate!CY5*(1-Parameters!$C$102/100*Basicinfo!BZ5/100)*(1-Parameters!$C$104/100*Basicinfo!CA5/100)*86400*365/1000000</f>
        <v>0.33995873982396801</v>
      </c>
      <c r="DH5" s="42">
        <f>Intermediate!AC5*Intermediate!CZ5*(1-Parameters!$C$103/100*Basicinfo!BZ5/100)*(1-Parameters!$C$105/100*Basicinfo!CA5/100)*86400*365/1000000</f>
        <v>7.8177211641539485E-2</v>
      </c>
      <c r="DI5" s="42">
        <f>(Intermediate!AK5*Intermediate!DA5+(Intermediate!AE5+Intermediate!AL5)*Intermediate!DC5)*86400*365/1000000</f>
        <v>1.099936417295432</v>
      </c>
      <c r="DJ5" s="42">
        <f>(Intermediate!AK5*Intermediate!DB5+(Intermediate!AE5+Intermediate!AL5)*Intermediate!DD5)*86400*365/1000000</f>
        <v>0.20331922241510664</v>
      </c>
      <c r="DK5" s="42">
        <f>((Basicinfo!AZ5+Basicinfo!BA5)*Intermediate!AB5+Parameters!$C$76*100)/1000*Intermediate!U5*(1-Intermediate!DE5/100)+(1-Parameters!$C$110/100)*M5*Parameters!$C$100*(1-DE5/100)*365/1000000+(1-Parameters!$C$112/100)*P5*Parameters!$C$96*365/1000000+(1-Parameters!$C$112/100)*O5*Parameters!$C$96*(1-DE5/100)*365/1000000</f>
        <v>0.24118069845291176</v>
      </c>
      <c r="DL5" s="42">
        <f>Parameters!$C$77*100/1000*Intermediate!U5*(1-Intermediate!DF5/100)+(1-Parameters!$C$111/100)*M5*Parameters!$C$101*(1-DF5/100)*365/1000000+(1-Parameters!$C$113/100)*P5*Parameters!$C$97*365/1000000+(1-Parameters!$C$113/100)*O5*Parameters!$C$97*(1-DF5/100)*365/1000000</f>
        <v>3.7371817507880274E-2</v>
      </c>
      <c r="DM5" s="31"/>
      <c r="DN5" s="31"/>
      <c r="DO5" s="31"/>
      <c r="DP5" s="31"/>
      <c r="DQ5" s="31"/>
      <c r="DR5" s="31"/>
      <c r="DS5" s="31"/>
      <c r="DT5" s="188">
        <f>BO5*(Basicinfo!$P5+Basicinfo!$Q5)/1000</f>
        <v>72.977707359233264</v>
      </c>
      <c r="DU5" s="188">
        <f>DT5*Basicinfo!$AZ5/(Basicinfo!$AZ5+Basicinfo!$BA5)</f>
        <v>49.215214862369628</v>
      </c>
      <c r="DV5" s="188">
        <f>DT5*Basicinfo!$BC5/(Basicinfo!$BB5+Basicinfo!$BC5)</f>
        <v>22.216591139557163</v>
      </c>
      <c r="DW5" s="188">
        <f>BP5*(Basicinfo!$P5+Basicinfo!$Q5)/1000</f>
        <v>80.092895726691808</v>
      </c>
      <c r="DX5" s="188">
        <f>DW5*Basicinfo!$BB5/(Basicinfo!$BB5+Basicinfo!$BC5)</f>
        <v>55.710228992807828</v>
      </c>
      <c r="DY5" s="188">
        <f>DW5*Basicinfo!$BC5/(Basicinfo!$BB5+Basicinfo!$BC5)</f>
        <v>24.38266673388398</v>
      </c>
      <c r="DZ5" s="188">
        <f t="shared" si="10"/>
        <v>161.07606093614913</v>
      </c>
      <c r="EA5" s="188">
        <f>DZ5*Basicinfo!$AZ5/(Basicinfo!$AZ5+Basicinfo!$BA5)</f>
        <v>108.62759649510605</v>
      </c>
      <c r="EB5" s="188">
        <f>DZ5*Basicinfo!$BC5/(Basicinfo!$BB5+Basicinfo!$BC5)</f>
        <v>49.036358056212009</v>
      </c>
      <c r="EC5" s="188">
        <f t="shared" si="11"/>
        <v>176.78067206358992</v>
      </c>
      <c r="ED5" s="188">
        <f>EC5*Basicinfo!$AZ5/(Basicinfo!$AZ5+Basicinfo!$BA5)</f>
        <v>119.21858159090147</v>
      </c>
      <c r="EE5" s="188">
        <f>EC5*Basicinfo!$BC5/(Basicinfo!$BB5+Basicinfo!$BC5)</f>
        <v>53.817310172268691</v>
      </c>
      <c r="EF5" s="190">
        <f>(Basicinfo!BP5-BL5/100)*Intermediate!X5/10</f>
        <v>304.81024115069823</v>
      </c>
      <c r="EG5" s="191">
        <f>(Basicinfo!BQ5-BM5/100)*Intermediate!X5/10</f>
        <v>316.20271599765221</v>
      </c>
      <c r="EH5" s="197">
        <f>IF(AU5=0,0,$BS5*((Basicinfo!$P5+Basicinfo!$Q5)*Intermediate!$AT5*1000+$AW5*3600*24*365)/1000000*Basicinfo!AZ5/(Basicinfo!$AZ5+Basicinfo!$BA5))</f>
        <v>0.7491269740557579</v>
      </c>
      <c r="EI5" s="197">
        <f>IF(AU5=0,0,$BS5*((Basicinfo!$P5+Basicinfo!$Q5)*Intermediate!$AT5*1000+$AW5*3600*24*365)/1000000*Basicinfo!BA5/(Basicinfo!$AZ5+Basicinfo!$BA5))</f>
        <v>0.36169961159326369</v>
      </c>
      <c r="EJ5" s="198">
        <f>IF(AU5=0,0,$BS5*($AT5*$X5*1000)/1000000*Basicinfo!AZ5/(Basicinfo!$AZ5+Basicinfo!$BA5))</f>
        <v>1.6534696209067927</v>
      </c>
      <c r="EK5" s="198">
        <f>IF(AU5=0,0,$BS5*($AT5*$X5*1000)/1000000*Basicinfo!BA5/(Basicinfo!$AZ5+Basicinfo!$BA5))</f>
        <v>0.79834172360042943</v>
      </c>
      <c r="EL5" s="147">
        <f>Parameters!$C$150/Basicinfo!$AV5*100</f>
        <v>9.089278234848179E-2</v>
      </c>
      <c r="EM5" s="147">
        <f>Parameters!$C$151/Basicinfo!$AV5*100</f>
        <v>0.18178556469696358</v>
      </c>
      <c r="EN5" s="147">
        <f>(Parameters!$C$150+Parameters!$C$151)/Intermediate!$BB5*100</f>
        <v>3.1282896751085554</v>
      </c>
      <c r="EO5" s="193">
        <f>IF(EN5=0,0,(1/(1+Parameters!$C$116*$BB5^Parameters!$C$120)*Basicinfo!$AH5/Basicinfo!$G5+1/(1+Parameters!$C$117*$BB5^Parameters!$C$121)*Basicinfo!$AI5/Basicinfo!$G5)*(EN5)^Parameters!$C$124+(1/(1+Parameters!$C$118*$BB5^Parameters!$C$122)*Basicinfo!$AJ5/Basicinfo!AW5+1/(1+Parameters!$C$119*$BB5^Parameters!$C$123)*Basicinfo!$AK5/Basicinfo!$G5)*(EN5)^Parameters!$C$125)</f>
        <v>0.20785735157938201</v>
      </c>
      <c r="EP5" s="199">
        <f>EL5*($AT5*Basicinfo!$P5*1000+$AW5*3600*24*365)/1000000</f>
        <v>5.1308859880654457E-2</v>
      </c>
      <c r="EQ5" s="199">
        <f>EM5*($AT5*Basicinfo!$P5*1000+$AW5*3600*24*365)/1000000</f>
        <v>0.10261771976130891</v>
      </c>
      <c r="ER5" s="199">
        <f t="shared" si="12"/>
        <v>0.11324868017596032</v>
      </c>
      <c r="ES5" s="199">
        <f t="shared" si="13"/>
        <v>0.22649736035192064</v>
      </c>
      <c r="ET5" s="181">
        <f t="shared" si="14"/>
        <v>2.3190193752238599</v>
      </c>
      <c r="EU5" s="147">
        <f>Intermediate!F5*(Parameters!$C$150)/1000*100</f>
        <v>4.2857272170716394E-2</v>
      </c>
      <c r="EV5" s="147">
        <f>Intermediate!F5*(Parameters!$C$151)/1000*100</f>
        <v>8.5714544341432788E-2</v>
      </c>
      <c r="EW5" s="181">
        <f>'Local emissions'!$S5*Basicinfo!AZ5/(Basicinfo!$AZ5+Basicinfo!$BA5)-Intermediate!EU5</f>
        <v>0.55012129742105786</v>
      </c>
      <c r="EX5" s="147">
        <f>'Local emissions'!$S5*Basicinfo!BA5/(Basicinfo!$AZ5+Basicinfo!$BA5)-Intermediate!EV5</f>
        <v>0.20059221770623842</v>
      </c>
      <c r="EY5" s="188">
        <f t="shared" si="15"/>
        <v>0.69781811417510342</v>
      </c>
      <c r="EZ5" s="188">
        <f t="shared" si="16"/>
        <v>0.25908189183195479</v>
      </c>
      <c r="FA5" s="188">
        <f t="shared" si="17"/>
        <v>1.5402209407308325</v>
      </c>
      <c r="FB5" s="181">
        <f t="shared" si="18"/>
        <v>0.57184436324850885</v>
      </c>
      <c r="FC5" s="181">
        <f>'Local emissions'!Y5-Intermediate!ET5</f>
        <v>11.363545339226423</v>
      </c>
      <c r="FD5" s="188">
        <f t="shared" si="19"/>
        <v>1.1046796577132882</v>
      </c>
      <c r="FE5" s="188">
        <f t="shared" si="20"/>
        <v>0.48348456699399744</v>
      </c>
      <c r="FF5" s="181">
        <f t="shared" si="21"/>
        <v>1.181994261071005</v>
      </c>
      <c r="FG5" s="201">
        <f t="shared" si="22"/>
        <v>0.53357245926799834</v>
      </c>
      <c r="FH5" s="181">
        <f t="shared" si="23"/>
        <v>8.059814394180135</v>
      </c>
      <c r="FJ5" s="147">
        <f>AVERAGE(Parameters!$C$132:$C$134)*'Local emissions'!J5*3600*24*365/1000000</f>
        <v>5.5783915209229725E-3</v>
      </c>
      <c r="FK5" s="147">
        <f>'Local emissions'!AJ5+CT5*BJ5/100*Intermediate!X5*100/1000000</f>
        <v>0.34320900422439521</v>
      </c>
      <c r="FL5" s="31">
        <f>(Parameters!$C$18*(Basicinfo!AH5+Basicinfo!AI5)+Parameters!$C$19*Basicinfo!AJ5+Parameters!$C$20*Basicinfo!AK5)/Basicinfo!G5</f>
        <v>3.5000000000000003E-2</v>
      </c>
      <c r="FM5" s="181">
        <f t="shared" si="24"/>
        <v>5.878293152395745E-2</v>
      </c>
    </row>
    <row r="6" spans="1:169">
      <c r="A6" s="39" t="str">
        <f>Basicinfo!A6</f>
        <v>Enknach</v>
      </c>
      <c r="B6" s="63">
        <f>Basicinfo!B6</f>
        <v>610</v>
      </c>
      <c r="C6" s="63">
        <f>Basicinfo!C6</f>
        <v>1050</v>
      </c>
      <c r="D6" s="61">
        <f>Basicinfo!U6*Basicinfo!V6/1000+Basicinfo!Y6</f>
        <v>8.7640098435826652E-2</v>
      </c>
      <c r="E6" s="19">
        <f>Basicinfo!W6*Basicinfo!X6/1000+Basicinfo!Z6</f>
        <v>1.166729512367516E-2</v>
      </c>
      <c r="F6" s="19">
        <f t="shared" si="0"/>
        <v>9.9307393559501814E-2</v>
      </c>
      <c r="G6" s="19">
        <f>SUM(Basicinfo!H6:L6)</f>
        <v>5.1497123064641892</v>
      </c>
      <c r="H6" s="19">
        <f>IF(Basicinfo!N6&lt;Parameters!$C$68,Parameters!$C$69,Basicinfo!BS6/(Basicinfo!N6*100))</f>
        <v>23.756976920960543</v>
      </c>
      <c r="I6" s="19">
        <f>IF(Basicinfo!N6=0,0,Basicinfo!BU6*(1-Basicinfo!BX6/100))</f>
        <v>3153.6422568817748</v>
      </c>
      <c r="J6" s="19">
        <f>IF(Basicinfo!N6=0,0,Basicinfo!BU6*Basicinfo!BX6/100)</f>
        <v>3029.9700115138617</v>
      </c>
      <c r="K6" s="19">
        <f>IF(Basicinfo!N6=0,0,Basicinfo!BT6-Basicinfo!BU6)</f>
        <v>0</v>
      </c>
      <c r="L6" s="27">
        <f>Basicinfo!BV6*Basicinfo!BW6/100</f>
        <v>617.75</v>
      </c>
      <c r="M6" s="27">
        <f>Basicinfo!BV6-Intermediate!L6</f>
        <v>617.75</v>
      </c>
      <c r="N6" s="73">
        <f>Basicinfo!BS6-SUM(I6:K6)-Basicinfo!BV6</f>
        <v>0</v>
      </c>
      <c r="O6" s="19">
        <f>IF(Basicinfo!AH6+Basicinfo!AI6+Basicinfo!AJ6+Basicinfo!AK6=0,0,N6*(Basicinfo!AH6+Basicinfo!AI6)/SUM(Basicinfo!AH6:AK6))</f>
        <v>0</v>
      </c>
      <c r="P6" s="73">
        <f t="shared" si="25"/>
        <v>0</v>
      </c>
      <c r="Q6" s="19">
        <f>IF(Basicinfo!BS6=0,Basicinfo!N6,IF(H6&gt;Parameters!$C$70,Parameters!$C$64*(Parameters!$C$65*Parameters!$C$70)^(Parameters!$C$66-Parameters!$C$67*LOG(Parameters!$C$65*Parameters!$C$70,10))/100*Basicinfo!N6,Parameters!$C$64*(Parameters!$C$65*H6)^(Parameters!$C$66-Parameters!$C$67*LOG(Parameters!$C$65*H6,10))/100*Basicinfo!N6))</f>
        <v>1.0052442160024011</v>
      </c>
      <c r="R6" s="19">
        <f>IF(Basicinfo!BS6=0,Q6*(1-Basicinfo!BX6/100),IF(H6&lt;Parameters!$C$75,Q6*Basicinfo!BU6/Basicinfo!BS6*(1-Basicinfo!BX6/100)*(-Parameters!$C$74+Parameters!$C$73*LN(H6*100)),Q6*Basicinfo!BU6/Basicinfo!BS6*(1-Basicinfo!BX6/100)))</f>
        <v>0.25793095193888066</v>
      </c>
      <c r="S6" s="19">
        <f>IF(Basicinfo!BS6=0,Q6*Basicinfo!BX6/100,Q6*Basicinfo!BU6/Basicinfo!BS6*Basicinfo!BX6/100)</f>
        <v>0.41054235581660742</v>
      </c>
      <c r="T6" s="19">
        <f>IF(Basicinfo!BS6=0,0,IF(H6&lt;Parameters!$C$75,Q6*K6/Basicinfo!BS6*(-Parameters!$C$74+Parameters!$C$73*LN(H6*100)),Q6*K6/Basicinfo!BS6))</f>
        <v>0</v>
      </c>
      <c r="U6" s="19">
        <f t="shared" si="26"/>
        <v>0.33677090824691308</v>
      </c>
      <c r="V6" s="19">
        <f>IF(Basicinfo!AL6&gt;Parameters!$C$14,Basicinfo!Q6,0)</f>
        <v>0</v>
      </c>
      <c r="W6" s="19">
        <f>IF(Basicinfo!AL6&gt;Parameters!$C$14,0,Basicinfo!Q6)</f>
        <v>0</v>
      </c>
      <c r="X6" s="19">
        <f>G6+Basicinfo!M6</f>
        <v>7.2686537881525499</v>
      </c>
      <c r="Y6" s="19">
        <f>IF(Basicinfo!G6-F6-Q6-V6-Basicinfo!O6-Basicinfo!R6-Basicinfo!S6&lt;0,0,Basicinfo!G6-F6-Q6-V6-Basicinfo!O6-Basicinfo!R6-Basicinfo!S6)</f>
        <v>18.760564468001427</v>
      </c>
      <c r="Z6" s="19">
        <f>Basicinfo!G6-F6-Basicinfo!BO6-Q6-Basicinfo!O6</f>
        <v>18.762700470838098</v>
      </c>
      <c r="AA6" s="53">
        <f>IF(Z6+Basicinfo!BO6-X6&gt;0,Z6+Basicinfo!BO6-X6,0)</f>
        <v>11.494046682685548</v>
      </c>
      <c r="AB6" s="56">
        <f>IF(Basicinfo!N6=0,0,Parameters!$C$71+Parameters!$C$72*Q6/Basicinfo!N6)</f>
        <v>0.39141935155669011</v>
      </c>
      <c r="AC6" s="43">
        <f>Basicinfo!AU6*AB6*R6/1000/86.4/0.365</f>
        <v>2.8542994955791513E-3</v>
      </c>
      <c r="AD6" s="43">
        <f>Basicinfo!AU6*AB6*S6/1000/86.4/0.365</f>
        <v>4.543118343543707E-3</v>
      </c>
      <c r="AE6" s="43">
        <f>Basicinfo!AU6*AB6*T6/1000/86.4/0.365</f>
        <v>0</v>
      </c>
      <c r="AF6" s="43">
        <f>Basicinfo!AU6*AB6*U6/1000/86.4/0.365</f>
        <v>3.7267533280095572E-3</v>
      </c>
      <c r="AG6" s="43">
        <f>((Parameters!$C$80+Parameters!$C$81*Parameters!$C$89)/(Parameters!$C$82+Parameters!$C$89)/(Parameters!$C$90/100*Parameters!$C$91+(Parameters!$C$83+Parameters!$C$84*Parameters!$C$89)/(Parameters!$C$85+Parameters!$C$89)))-Parameters!$C$86+(Basicinfo!AU6-Parameters!$C$88)/Parameters!$C$87</f>
        <v>73.678169959790793</v>
      </c>
      <c r="AH6" s="43">
        <f>((Parameters!$C$80+Parameters!$C$81*Parameters!$C$89)/(Parameters!$C$82+Parameters!$C$89)/(Basicinfo!BY6/100*Parameters!$C$91+(Parameters!$C$83+Parameters!$C$84*Parameters!$C$89)/(Parameters!$C$85+Parameters!$C$89)))-Parameters!$C$86+(Basicinfo!AU6-Parameters!$C$88)/Parameters!$C$87</f>
        <v>55.875288093175222</v>
      </c>
      <c r="AI6" s="43">
        <f>Basicinfo!AU6^Parameters!$C$79*Parameters!$C$78*AH6/AG6</f>
        <v>21.600468718076797</v>
      </c>
      <c r="AJ6" s="43">
        <f>(J6*Parameters!$C$92/1000+Parameters!$C$94/100*S6*100*Parameters!$C$93/1000*86400*Parameters!$C$95/24)/86400</f>
        <v>4.5726674014068729E-3</v>
      </c>
      <c r="AK6" s="43">
        <f t="shared" si="1"/>
        <v>2.6896832162569069E-3</v>
      </c>
      <c r="AL6" s="43">
        <f>(K6*Parameters!$C$92/1000+Parameters!$C$94/100*T6*100*Parameters!$C$93/1000*86400*Parameters!$C$95/24)/86400</f>
        <v>0</v>
      </c>
      <c r="AM6" s="43">
        <f>(Intermediate!N6+Basicinfo!BV6-Intermediate!L6)*Parameters!$C$92/1000/86400</f>
        <v>9.2948495370370374E-4</v>
      </c>
      <c r="AN6" s="43">
        <f t="shared" si="2"/>
        <v>5.3927799584480868E-3</v>
      </c>
      <c r="AO6" s="43">
        <f t="shared" si="27"/>
        <v>2.6896832162569069E-3</v>
      </c>
      <c r="AP6" s="43">
        <f t="shared" si="28"/>
        <v>4.6562382817132613E-3</v>
      </c>
      <c r="AQ6" s="43">
        <f t="shared" si="3"/>
        <v>1.0200220993549319E-2</v>
      </c>
      <c r="AR6" s="61">
        <f>(Basicinfo!AU6-Basicinfo!AY6)*F6/1000/86.4/0.365</f>
        <v>5.1480633922249561E-4</v>
      </c>
      <c r="AS6" s="19">
        <f>IF(Basicinfo!AP6-Basicinfo!CB6-Basicinfo!CG6&lt;0,0,(Basicinfo!AP6-Basicinfo!CB6-Basicinfo!CG6)/Basicinfo!G6*1000)</f>
        <v>18.87788641917065</v>
      </c>
      <c r="AT6" s="19">
        <f>Parameters!$C$3*((AS6*86.4*0.365)^Parameters!$C$4)</f>
        <v>122.19065837840748</v>
      </c>
      <c r="AU6" s="19">
        <f>IF(AT6/86.4/0.365*(Basicinfo!G6/1000)-AN6&lt;0,0,AT6/86.4/0.365*(Basicinfo!G6/1000)-AN6)</f>
        <v>7.1585676785395833E-2</v>
      </c>
      <c r="AV6" s="19">
        <f>IF(Basicinfo!AU6&gt;Parameters!$C$13,Parameters!$C$11*(Basicinfo!AU6-Parameters!$C$13)^Parameters!$C$12,0)</f>
        <v>60.136869641032675</v>
      </c>
      <c r="AW6" s="19">
        <f>IF(AV6*V6/1000/86.4/0.365&gt;Basicinfo!AP6*Parameters!$C$15,Basicinfo!AP6*Parameters!$C$15,AV6*V6/1000/86.4/0.365)</f>
        <v>0</v>
      </c>
      <c r="AX6" s="19">
        <f>Basicinfo!AU6-Basicinfo!AW6</f>
        <v>309.7713207788571</v>
      </c>
      <c r="AY6" s="19">
        <f>Parameters!$C$56*AX6+Parameters!$C$57*Basicinfo!AW6</f>
        <v>213.06654387331426</v>
      </c>
      <c r="AZ6" s="19">
        <f>AY6*Basicinfo!BO6/1000/86.4/0.365</f>
        <v>0</v>
      </c>
      <c r="BA6" s="19">
        <f>IF(Basicinfo!AP6-AQ6-AR6-AU6-AW6-AZ6-Basicinfo!CB6-Basicinfo!CG6&lt;0,0,Basicinfo!AP6-AQ6-AR6-AU6-AW6-AZ6-Basicinfo!CB6-Basicinfo!CG6)</f>
        <v>0.29275102411665532</v>
      </c>
      <c r="BB6" s="53">
        <f t="shared" si="4"/>
        <v>492.05050791553015</v>
      </c>
      <c r="BC6" s="56">
        <f>IF(G6=0,0,((Basicinfo!H6*Basicinfo!BE6+Basicinfo!I6*Basicinfo!BF6+Basicinfo!J6*Basicinfo!BG6+Basicinfo!K6*Basicinfo!BH6+Basicinfo!L6*Basicinfo!BI6)*(1-Basicinfo!BN6/G6*Parameters!$C$26/100)/G6)*Basicinfo!BM6)</f>
        <v>2.2097153237058467</v>
      </c>
      <c r="BD6" s="43">
        <f>IF(Basicinfo!AW6*Parameters!$C$39-Parameters!$C$40&lt;0,0.001,(Basicinfo!AW6*Parameters!$C$39-Parameters!$C$40)/(Basicinfo!AX6*Parameters!$C$39-Parameters!$C$40))</f>
        <v>1.0516072282411346</v>
      </c>
      <c r="BE6" s="43">
        <f>(BC6*G6*100+Basicinfo!BJ6*Basicinfo!M6*100)*Parameters!$C$29*BD6</f>
        <v>1216.7177071520766</v>
      </c>
      <c r="BF6" s="43">
        <f>(Basicinfo!BK6*Basicinfo!P6*100)*BD6*Parameters!$C$29</f>
        <v>97.335958768247693</v>
      </c>
      <c r="BG6" s="43">
        <f>Parameters!$C$27*(V6+W6)*100</f>
        <v>0</v>
      </c>
      <c r="BH6" s="43">
        <f>Parameters!$C$28*Basicinfo!R6*100</f>
        <v>0</v>
      </c>
      <c r="BI6" s="43">
        <f t="shared" si="29"/>
        <v>97.335958768247693</v>
      </c>
      <c r="BJ6" s="43">
        <f>IF(Basicinfo!AM6&lt;Parameters!$C$33,0,Parameters!$C$30*(((Basicinfo!AM6-Parameters!$C$33)^Parameters!$C$31)*(((G6-Basicinfo!BN6)/Basicinfo!G6*100+Parameters!$C$34))^Parameters!$C$32))</f>
        <v>1.8554547260763836</v>
      </c>
      <c r="BK6" s="58">
        <f t="shared" si="30"/>
        <v>119.91160496860911</v>
      </c>
      <c r="BL6" s="61">
        <f>Basicinfo!AZ6+Basicinfo!BA6</f>
        <v>2096.5262260347408</v>
      </c>
      <c r="BM6" s="19">
        <f>Basicinfo!BB6+Basicinfo!BC6</f>
        <v>2308.9793379588646</v>
      </c>
      <c r="BN6" s="172">
        <f>IF(Basicinfo!AO6=0,0,IF(Basicinfo!AO6="NA",1,IF(OR(Basicinfo!AO6="SA",Basicinfo!AN6="S"),3,IF(Basicinfo!AN6="N",1,IF(Basicinfo!AO6="ZA",2,0)))))</f>
        <v>0</v>
      </c>
      <c r="BO6" s="27">
        <f>IF($BN6=1,(BL6)*(1+Parameters!$C$21*Parameters!$C$22-Parameters!$C$22*Basicinfo!$AL6),IF($BN6=2,(BL6)*(1+Parameters!$C$21*Parameters!$C$23-Parameters!$C$23*Basicinfo!$AL6),IF($BN6=3,(BL6)*(1+Parameters!$C$21*Parameters!$C$24-Parameters!$C$24*Basicinfo!$AL6),BL6)))</f>
        <v>2096.5262260347408</v>
      </c>
      <c r="BP6" s="27">
        <f>IF($BN6=1,(BM6)*(1+Parameters!$C$21*Parameters!$C$22-Parameters!$C$22*Basicinfo!$AL6),IF($BN6=2,(BM6)*(1+Parameters!$C$21*Parameters!$C$23-Parameters!$C$23*Basicinfo!$AL6),IF($BN6=3,(BM6)*(1+Parameters!$C$21*Parameters!$C$24-Parameters!$C$24*Basicinfo!$AL6),BM6)))</f>
        <v>2308.9793379588646</v>
      </c>
      <c r="BQ6" s="27">
        <f>IF(Basicinfo!AU6=0,0,IF(G6+Basicinfo!M6=0,0,(Parameters!$C$16+BO6/Basicinfo!AU6)*G6+(Parameters!$C$17+BO6/Basicinfo!AU6)*Basicinfo!M6)/(G6+Basicinfo!M6))</f>
        <v>2.5640171893885659</v>
      </c>
      <c r="BR6" s="27">
        <f>IF(Basicinfo!AU6=0,0,IF(G6+Basicinfo!M6=0,0,(Parameters!$C$16+BP6/Basicinfo!AU6)*G6+(Parameters!$C$17+BP6/Basicinfo!AU6)*Basicinfo!M6)/(G6+Basicinfo!M6))</f>
        <v>2.8023054807838914</v>
      </c>
      <c r="BS6" s="27">
        <f>IF(Basicinfo!AU6=0,0,BO6/Basicinfo!AU6)</f>
        <v>2.3514725095941631</v>
      </c>
      <c r="BT6" s="27">
        <f>IF(Basicinfo!AU6=0,0,BP6/Basicinfo!AU6)</f>
        <v>2.5897608009894886</v>
      </c>
      <c r="BU6" s="27">
        <f>IF(SUM(G6,Basicinfo!M6,Basicinfo!P6,W6)=0,0,(BQ6*(G6+Basicinfo!M6)+BS6*(Basicinfo!P6+W6))/SUM(G6,Basicinfo!M6,Basicinfo!P6,W6))</f>
        <v>2.444299762122061</v>
      </c>
      <c r="BV6" s="19">
        <f>IF(Basicinfo!BR6/Parameters!$C$10&gt;1,1,Basicinfo!BR6/Parameters!$C$10)</f>
        <v>0.51224655224947546</v>
      </c>
      <c r="BW6" s="19">
        <f>Parameters!$C$5+Parameters!$C$6*EXP(BV6*Parameters!$C$8*Parameters!$C$7)</f>
        <v>3.5784128243099747E-2</v>
      </c>
      <c r="BX6" s="19">
        <f>Parameters!$C$5+Parameters!$C$6*EXP(BV6*Parameters!$C$9*Parameters!$C$7)</f>
        <v>3.5354458199965265E-2</v>
      </c>
      <c r="BY6" s="19">
        <f>IF(Basicinfo!AH6+Basicinfo!AI6+Basicinfo!AJ6+Basicinfo!AK6=0,0,(Parameters!$C$18*(Basicinfo!AH6+Basicinfo!AI6)+Parameters!$C$19*Basicinfo!AJ6+Parameters!$C$20*Basicinfo!AK6)/(Basicinfo!AH6+Basicinfo!AI6+Basicinfo!AJ6+Basicinfo!AK6))</f>
        <v>3.5000000000000003E-2</v>
      </c>
      <c r="BZ6" s="19">
        <f>IF(Basicinfo!AJ6+Basicinfo!AK6=0,Parameters!$C$18,(Parameters!$C$19*Basicinfo!AJ6+Parameters!$C$20*Basicinfo!AK6)/(Basicinfo!AJ6+Basicinfo!AK6))</f>
        <v>3.5000000000000003E-2</v>
      </c>
      <c r="CA6" s="19">
        <f>IF(SUM(G6,Basicinfo!M6,Basicinfo!P6,W6)=0,0,(BW6*G6+BX6*Basicinfo!M6+BY6*Basicinfo!P6+BZ6*W6)/(SUM(G6,Basicinfo!M6,Basicinfo!P6,W6)))</f>
        <v>3.5287757188535523E-2</v>
      </c>
      <c r="CB6" s="19">
        <f>IF(Y6=0,Basicinfo!BP6,Basicinfo!BP6-(AU6*X6/Y6*Intermediate!BQ6*86400*365/1000000)*1000/(X6*100))</f>
        <v>56.413184340959063</v>
      </c>
      <c r="CC6" s="19">
        <f>IF(Y6=0,Basicinfo!BQ6,Basicinfo!BQ6-(AU6*Basicinfo!AV6/Basicinfo!AU6*X6/Y6*Intermediate!BR6*86400*365/1000000)*1000/(X6*100))</f>
        <v>58.168601416191585</v>
      </c>
      <c r="CD6" s="19">
        <f>IF(OR(Y6=0,AA6=0),BP6/100,BP6/100-(AU6*Basicinfo!AV6/Basicinfo!AU6*(Basicinfo!P6+W6)/Y6*Intermediate!BT6*86400*365/1000000+AW6*Basicinfo!AV6/Basicinfo!AU6*Intermediate!BT6*86400*365/1000000)*1000/(AA6*100))</f>
        <v>20.538507345744868</v>
      </c>
      <c r="CE6" s="19">
        <f t="shared" si="5"/>
        <v>42280.742503533671</v>
      </c>
      <c r="CF6" s="19">
        <f t="shared" si="6"/>
        <v>23607.056222467156</v>
      </c>
      <c r="CG6" s="19">
        <f>IF(AY6=0,0,((CB6^Parameters!$C$58))/AY6*100)</f>
        <v>14.459665999105143</v>
      </c>
      <c r="CH6" s="19">
        <f>IF(SUM(Basicinfo!AB6:AG6)=0,0,(Parameters!$C$59*Basicinfo!AB6+Parameters!$C$60*SUM(Basicinfo!AC6:AE6)+Parameters!$C$61*Basicinfo!AF6+Parameters!$C$62*Basicinfo!AG6)/SUM(Basicinfo!AB6:AG6))</f>
        <v>0.19556472976126019</v>
      </c>
      <c r="CI6" s="19">
        <f t="shared" si="7"/>
        <v>6</v>
      </c>
      <c r="CJ6" s="19">
        <f t="shared" si="8"/>
        <v>35.116372948769737</v>
      </c>
      <c r="CK6" s="19">
        <f t="shared" si="9"/>
        <v>7.1367415303630031</v>
      </c>
      <c r="CL6" s="19">
        <f>IF($BB6=0,0,$CJ6^Parameters!$C$58*100/$BB6)</f>
        <v>4.1847885658443831</v>
      </c>
      <c r="CM6" s="19">
        <f>IF(CK6=0,0,(1/(1+Parameters!$C$116*BB6^Parameters!$C$120)*Basicinfo!AH6/Basicinfo!G6+1/(1+Parameters!$C$117*BB6^Parameters!$C$121)*Basicinfo!AI6/Basicinfo!G6)*(CK6)^Parameters!$C$124+(1/(1+Parameters!$C$118*BB6^Parameters!$C$122)*Basicinfo!AJ6/Basicinfo!G6+1/(1+Parameters!$C$119*BB6^Parameters!$C$123)*Basicinfo!AK6/Basicinfo!G6)*(CK6)^Parameters!$C$125)</f>
        <v>2.5647086069731144</v>
      </c>
      <c r="CN6" s="19">
        <f>IF(SUM(Basicinfo!AB6:AG6)=0,0,(Parameters!$C$128*Basicinfo!AB6+Parameters!$C$129*(SUM(Basicinfo!AC6:AE6))+Parameters!$C$130*Basicinfo!AF6+Parameters!$C$131*Basicinfo!AG6)/SUM(Basicinfo!AB6:AG6))</f>
        <v>2.9366389965894305E-2</v>
      </c>
      <c r="CO6" s="19">
        <f>IF(Basicinfo!AH6+Basicinfo!AI6+Basicinfo!AJ6+Basicinfo!AK6=0,0,(Parameters!$C$132*(Basicinfo!AH6+Basicinfo!AI6)+Parameters!$C$133*Basicinfo!AJ6+Parameters!$C$134*Basicinfo!AK6)/(Basicinfo!AH6+Basicinfo!AI6+Basicinfo!AJ6+Basicinfo!AK6))</f>
        <v>5.0000000000000001E-4</v>
      </c>
      <c r="CP6" s="19">
        <f>IF(Basicinfo!AJ6+Basicinfo!AK6=0,0,(Parameters!$C$133*Basicinfo!AJ6+Parameters!$C$134*Basicinfo!AK6)/(Basicinfo!AJ6+Basicinfo!AK6))</f>
        <v>0</v>
      </c>
      <c r="CQ6" s="19">
        <f>IF(Z6=0,0,(CN6*(Z6-AA6)+CO6*Basicinfo!P6+CP6*(Basicinfo!Q6+Basicinfo!R6))/Z6)</f>
        <v>1.1626324248313055E-2</v>
      </c>
      <c r="CR6" s="289">
        <f>Basicinfo!EI6</f>
        <v>1.5731031578947369E-2</v>
      </c>
      <c r="CS6" s="19">
        <f>IF(SUM(Basicinfo!AB6:AG6)=0,0,(Basicinfo!AB6*Parameters!$C$43+(Basicinfo!AC6+Basicinfo!AD6)*Parameters!$C$44+Basicinfo!AE6*Parameters!$C$45+(Basicinfo!AF6+Basicinfo!AG6)*Parameters!$C$46)/SUM(Basicinfo!AB6:AG6))</f>
        <v>5.1948661713969946</v>
      </c>
      <c r="CT6" s="19">
        <f>(Parameters!$C$41*CS6+Parameters!$C$42)</f>
        <v>327.98763494824937</v>
      </c>
      <c r="CU6" s="19">
        <f>CT6+Basicinfo!BR6/(Parameters!$C$47*Parameters!$C$49*Parameters!$C$48*10000/1000000)</f>
        <v>508.40151498580047</v>
      </c>
      <c r="CV6" s="19">
        <f>IF(BK6/Basicinfo!G6&lt;Parameters!$C$35,Parameters!$C$35,Parameters!$C$37*(BK6/Basicinfo!G6)^Parameters!$C$38)</f>
        <v>3.2905207850274234</v>
      </c>
      <c r="CW6" s="19">
        <f>IF(BK6/Basicinfo!G6&lt;Parameters!$C$35,Parameters!$C$36,Parameters!$C$36*(BK6/Basicinfo!G6)^Parameters!$C$38)</f>
        <v>7.7327238448144451</v>
      </c>
      <c r="CX6" s="27">
        <f>IF(Basicinfo!AJ6+Basicinfo!AK6=0,0,(Parameters!$C$53*Basicinfo!AJ6+Parameters!$C$54*Basicinfo!AK6)/(Basicinfo!AJ6+Basicinfo!AK6))</f>
        <v>0</v>
      </c>
      <c r="CY6" s="56">
        <f>IF(Basicinfo!AU6*AB6=0,0,((Basicinfo!AZ6+Basicinfo!BA6)/Basicinfo!AU6+Parameters!$C$76/(Basicinfo!AU6*AB6)*100))</f>
        <v>3.4976643293137322</v>
      </c>
      <c r="CZ6" s="43">
        <f>IF(Basicinfo!AU6*AB6=0,0,(Parameters!$C$77)/(Basicinfo!AU6*AB6)*100)</f>
        <v>0.7163698873247305</v>
      </c>
      <c r="DA6" s="43">
        <f>IF(AD6+AJ6=0,0,((J6*Parameters!$C$96+Parameters!$C$94/100*S6*100*Parameters!$C$93/1000*86400*Parameters!$C$95/24*Parameters!$C$98)*AI6+AD6*CY6*86400*365)/((AD6+AJ6*AI6/365)*86400*365))</f>
        <v>8.4749998288424848</v>
      </c>
      <c r="DB6" s="43">
        <f>IF(AD6+AJ6=0,0,((J6*Parameters!$C$97+Parameters!$C$94/100*S6*100*Parameters!$C$93/1000*86400*Parameters!$C$95/24*Parameters!$C$99)*AI6+AD6*CZ6*86400*365)/((AD6+AJ6*AI6/365)*86400*365))</f>
        <v>1.517789410597439</v>
      </c>
      <c r="DC6" s="42">
        <f>IF(AE6+AL6=0,0,((K6*Parameters!$C$96+Parameters!$C$94/100*T6*100*Parameters!$C$93/1000*86400*Parameters!$C$95/24*Parameters!$C$98)*365+AE6*CY6*86400*365)/((AE6+AL6)*86400*365))</f>
        <v>0</v>
      </c>
      <c r="DD6" s="42">
        <f>IF(AE6+AL6=0,0,((K6*Parameters!$C$97+Parameters!$C$94/100*T6*100*Parameters!$C$93/1000*86400*Parameters!$C$95/24*Parameters!$C$99)*365+AE6*CZ6*86400*365)/((AE6+AL6)*86400*365))</f>
        <v>0</v>
      </c>
      <c r="DE6" s="42">
        <f>IF(Basicinfo!AH6+Basicinfo!AI6+Basicinfo!AJ6+Basicinfo!AK6=0,0,((Basicinfo!AH6+Basicinfo!AI6)*Parameters!$C$107+(Basicinfo!AJ6+Basicinfo!AK6)*Parameters!$C$106)/(Basicinfo!AH6+Basicinfo!AI6+Basicinfo!AJ6+Basicinfo!AK6))</f>
        <v>90</v>
      </c>
      <c r="DF6" s="42">
        <f>IF(Basicinfo!AH6+Basicinfo!AI6+Basicinfo!AJ6+Basicinfo!AK6=0,0,((Basicinfo!AH6+Basicinfo!AI6)*Parameters!$C$109+(Basicinfo!AJ6+Basicinfo!AK6)*Parameters!$C$108)/(Basicinfo!AH6+Basicinfo!AI6+Basicinfo!AJ6+Basicinfo!AK6))</f>
        <v>90</v>
      </c>
      <c r="DG6" s="42">
        <f>Intermediate!AC6*Intermediate!CY6*(1-Parameters!$C$102/100*Basicinfo!BZ6/100)*(1-Parameters!$C$104/100*Basicinfo!CA6/100)*86400*365/1000000</f>
        <v>0.31483591995737048</v>
      </c>
      <c r="DH6" s="42">
        <f>Intermediate!AC6*Intermediate!CZ6*(1-Parameters!$C$103/100*Basicinfo!BZ6/100)*(1-Parameters!$C$105/100*Basicinfo!CA6/100)*86400*365/1000000</f>
        <v>6.4482737984720151E-2</v>
      </c>
      <c r="DI6" s="42">
        <f>(Intermediate!AK6*Intermediate!DA6+(Intermediate!AE6+Intermediate!AL6)*Intermediate!DC6)*86400*365/1000000</f>
        <v>0.71886516345136753</v>
      </c>
      <c r="DJ6" s="42">
        <f>(Intermediate!AK6*Intermediate!DB6+(Intermediate!AE6+Intermediate!AL6)*Intermediate!DD6)*86400*365/1000000</f>
        <v>0.12874170557746231</v>
      </c>
      <c r="DK6" s="42">
        <f>((Basicinfo!AZ6+Basicinfo!BA6)*Intermediate!AB6+Parameters!$C$76*100)/1000*Intermediate!U6*(1-Intermediate!DE6/100)+(1-Parameters!$C$110/100)*M6*Parameters!$C$100*(1-DE6/100)*365/1000000+(1-Parameters!$C$112/100)*P6*Parameters!$C$96*365/1000000+(1-Parameters!$C$112/100)*O6*Parameters!$C$96*(1-DE6/100)*365/1000000</f>
        <v>0.22374474962136662</v>
      </c>
      <c r="DL6" s="42">
        <f>Parameters!$C$77*100/1000*Intermediate!U6*(1-Intermediate!DF6/100)+(1-Parameters!$C$111/100)*M6*Parameters!$C$101*(1-DF6/100)*365/1000000+(1-Parameters!$C$113/100)*P6*Parameters!$C$97*365/1000000+(1-Parameters!$C$113/100)*O6*Parameters!$C$97*(1-DF6/100)*365/1000000</f>
        <v>3.2813009000769014E-2</v>
      </c>
      <c r="DM6" s="31"/>
      <c r="DN6" s="31"/>
      <c r="DO6" s="31"/>
      <c r="DP6" s="31"/>
      <c r="DQ6" s="31"/>
      <c r="DR6" s="31"/>
      <c r="DS6" s="31"/>
      <c r="DT6" s="188">
        <f>BO6*(Basicinfo!$P6+Basicinfo!$Q6)/1000</f>
        <v>19.653330692085326</v>
      </c>
      <c r="DU6" s="188">
        <f>DT6*Basicinfo!$AZ6/(Basicinfo!$AZ6+Basicinfo!$BA6)</f>
        <v>13.479221921914863</v>
      </c>
      <c r="DV6" s="188">
        <f>DT6*Basicinfo!$BC6/(Basicinfo!$BB6+Basicinfo!$BC6)</f>
        <v>5.7592257494405459</v>
      </c>
      <c r="DW6" s="188">
        <f>BP6*(Basicinfo!$P6+Basicinfo!$Q6)/1000</f>
        <v>21.644916207857563</v>
      </c>
      <c r="DX6" s="188">
        <f>DW6*Basicinfo!$BB6/(Basicinfo!$BB6+Basicinfo!$BC6)</f>
        <v>15.302074848200503</v>
      </c>
      <c r="DY6" s="188">
        <f>DW6*Basicinfo!$BC6/(Basicinfo!$BB6+Basicinfo!$BC6)</f>
        <v>6.3428413596570588</v>
      </c>
      <c r="DZ6" s="188">
        <f t="shared" si="10"/>
        <v>15.238923294828588</v>
      </c>
      <c r="EA6" s="188">
        <f>DZ6*Basicinfo!$AZ6/(Basicinfo!$AZ6+Basicinfo!$BA6)</f>
        <v>10.451603962719338</v>
      </c>
      <c r="EB6" s="188">
        <f>DZ6*Basicinfo!$BC6/(Basicinfo!$BB6+Basicinfo!$BC6)</f>
        <v>4.465624723277573</v>
      </c>
      <c r="EC6" s="188">
        <f t="shared" si="11"/>
        <v>16.783171411620668</v>
      </c>
      <c r="ED6" s="188">
        <f>EC6*Basicinfo!$AZ6/(Basicinfo!$AZ6+Basicinfo!$BA6)</f>
        <v>11.510725360250298</v>
      </c>
      <c r="EE6" s="188">
        <f>EC6*Basicinfo!$BC6/(Basicinfo!$BB6+Basicinfo!$BC6)</f>
        <v>4.9181522697323645</v>
      </c>
      <c r="EF6" s="190">
        <f>(Basicinfo!BP6-BL6/100)*Intermediate!X6/10</f>
        <v>28.008518634720474</v>
      </c>
      <c r="EG6" s="191">
        <f>(Basicinfo!BQ6-BM6/100)*Intermediate!X6/10</f>
        <v>27.957972986448425</v>
      </c>
      <c r="EH6" s="197">
        <f>IF(AU6=0,0,$BS6*((Basicinfo!$P6+Basicinfo!$Q6)*Intermediate!$AT6*1000+$AW6*3600*24*365)/1000000*Basicinfo!AZ6/(Basicinfo!$AZ6+Basicinfo!$BA6))</f>
        <v>1.8473212875922784</v>
      </c>
      <c r="EI6" s="197">
        <f>IF(AU6=0,0,$BS6*((Basicinfo!$P6+Basicinfo!$Q6)*Intermediate!$AT6*1000+$AW6*3600*24*365)/1000000*Basicinfo!BA6/(Basicinfo!$AZ6+Basicinfo!$BA6))</f>
        <v>0.84615882349281757</v>
      </c>
      <c r="EJ6" s="198">
        <f>IF(AU6=0,0,$BS6*($AT6*$X6*1000)/1000000*Basicinfo!AZ6/(Basicinfo!$AZ6+Basicinfo!$BA6))</f>
        <v>1.4323876112184688</v>
      </c>
      <c r="EK6" s="198">
        <f>IF(AU6=0,0,$BS6*($AT6*$X6*1000)/1000000*Basicinfo!BA6/(Basicinfo!$AZ6+Basicinfo!$BA6))</f>
        <v>0.65609995620957351</v>
      </c>
      <c r="EL6" s="147">
        <f>Parameters!$C$150/Basicinfo!$AV6*100</f>
        <v>0.11173515975324223</v>
      </c>
      <c r="EM6" s="147">
        <f>Parameters!$C$151/Basicinfo!$AV6*100</f>
        <v>0.22347031950648447</v>
      </c>
      <c r="EN6" s="147">
        <f>(Parameters!$C$150+Parameters!$C$151)/Intermediate!$BB6*100</f>
        <v>0.60969350742241424</v>
      </c>
      <c r="EO6" s="193">
        <f>IF(EN6=0,0,(1/(1+Parameters!$C$116*$BB6^Parameters!$C$120)*Basicinfo!$AH6/Basicinfo!$G6+1/(1+Parameters!$C$117*$BB6^Parameters!$C$121)*Basicinfo!$AI6/Basicinfo!$G6)*(EN6)^Parameters!$C$124+(1/(1+Parameters!$C$118*$BB6^Parameters!$C$122)*Basicinfo!$AJ6/Basicinfo!AW6+1/(1+Parameters!$C$119*$BB6^Parameters!$C$123)*Basicinfo!$AK6/Basicinfo!$G6)*(EN6)^Parameters!$C$125)</f>
        <v>0.53544108878653829</v>
      </c>
      <c r="EP6" s="199">
        <f>EL6*($AT6*Basicinfo!$P6*1000+$AW6*3600*24*365)/1000000</f>
        <v>0.12798636993473317</v>
      </c>
      <c r="EQ6" s="199">
        <f>EM6*($AT6*Basicinfo!$P6*1000+$AW6*3600*24*365)/1000000</f>
        <v>0.25597273986946634</v>
      </c>
      <c r="ER6" s="199">
        <f t="shared" si="12"/>
        <v>9.9238877357536018E-2</v>
      </c>
      <c r="ES6" s="199">
        <f t="shared" si="13"/>
        <v>0.19847775471507204</v>
      </c>
      <c r="ET6" s="181">
        <f t="shared" si="14"/>
        <v>4.9432972369119463</v>
      </c>
      <c r="EU6" s="147">
        <f>Intermediate!F6*(Parameters!$C$150)/1000*100</f>
        <v>9.9307393559501817E-3</v>
      </c>
      <c r="EV6" s="147">
        <f>Intermediate!F6*(Parameters!$C$151)/1000*100</f>
        <v>1.9861478711900363E-2</v>
      </c>
      <c r="EW6" s="181">
        <f>'Local emissions'!$S6*Basicinfo!AZ6/(Basicinfo!$AZ6+Basicinfo!$BA6)-Intermediate!EU6</f>
        <v>0.13286345311825529</v>
      </c>
      <c r="EX6" s="147">
        <f>'Local emissions'!$S6*Basicinfo!BA6/(Basicinfo!$AZ6+Basicinfo!$BA6)-Intermediate!EV6</f>
        <v>4.55448838505432E-2</v>
      </c>
      <c r="EY6" s="188">
        <f t="shared" si="15"/>
        <v>1.7193349176575452</v>
      </c>
      <c r="EZ6" s="188">
        <f t="shared" si="16"/>
        <v>0.59018608362335123</v>
      </c>
      <c r="FA6" s="188">
        <f t="shared" si="17"/>
        <v>1.3331487338609327</v>
      </c>
      <c r="FB6" s="181">
        <f t="shared" si="18"/>
        <v>0.4576222014945015</v>
      </c>
      <c r="FC6" s="181">
        <f>'Local emissions'!Y6-Intermediate!ET6</f>
        <v>18.739851172500263</v>
      </c>
      <c r="FD6" s="188">
        <f t="shared" si="19"/>
        <v>4.3195605021355403</v>
      </c>
      <c r="FE6" s="188">
        <f t="shared" si="20"/>
        <v>1.790494902180426</v>
      </c>
      <c r="FF6" s="181">
        <f t="shared" si="21"/>
        <v>1.6246579339831881</v>
      </c>
      <c r="FG6" s="201">
        <f t="shared" si="22"/>
        <v>0.69416260535160257</v>
      </c>
      <c r="FH6" s="181">
        <f t="shared" si="23"/>
        <v>10.310975228849506</v>
      </c>
      <c r="FJ6" s="147">
        <f>AVERAGE(Parameters!$C$132:$C$134)*'Local emissions'!J6*3600*24*365/1000000</f>
        <v>4.6160981482714211E-3</v>
      </c>
      <c r="FK6" s="147">
        <f>'Local emissions'!AJ6+CT6*BJ6/100*Intermediate!X6*100/1000000</f>
        <v>4.8224638514175598E-2</v>
      </c>
      <c r="FL6" s="31">
        <f>(Parameters!$C$18*(Basicinfo!AH6+Basicinfo!AI6)+Parameters!$C$19*Basicinfo!AJ6+Parameters!$C$20*Basicinfo!AK6)/Basicinfo!G6</f>
        <v>3.5000000000000003E-2</v>
      </c>
      <c r="FM6" s="181">
        <f t="shared" si="24"/>
        <v>7.9013406608648529E-2</v>
      </c>
    </row>
    <row r="7" spans="1:169">
      <c r="A7" s="39" t="str">
        <f>Basicinfo!A7</f>
        <v>Schwemmbach</v>
      </c>
      <c r="B7" s="63">
        <f>Basicinfo!B7</f>
        <v>620</v>
      </c>
      <c r="C7" s="63">
        <f>Basicinfo!C7</f>
        <v>630</v>
      </c>
      <c r="D7" s="61">
        <f>Basicinfo!U7*Basicinfo!V7/1000+Basicinfo!Y7</f>
        <v>0.74220030351046595</v>
      </c>
      <c r="E7" s="19">
        <f>Basicinfo!W7*Basicinfo!X7/1000+Basicinfo!Z7</f>
        <v>0</v>
      </c>
      <c r="F7" s="19">
        <f t="shared" si="0"/>
        <v>0.74220030351046595</v>
      </c>
      <c r="G7" s="19">
        <f>SUM(Basicinfo!H7:L7)</f>
        <v>14.541160183701379</v>
      </c>
      <c r="H7" s="19">
        <f>IF(Basicinfo!N7&lt;Parameters!$C$68,Parameters!$C$69,Basicinfo!BS7/(Basicinfo!N7*100))</f>
        <v>19.978109626558432</v>
      </c>
      <c r="I7" s="19">
        <f>IF(Basicinfo!N7=0,0,Basicinfo!BU7*(1-Basicinfo!BX7/100))</f>
        <v>8518.0074626095065</v>
      </c>
      <c r="J7" s="19">
        <f>IF(Basicinfo!N7=0,0,Basicinfo!BU7*Basicinfo!BX7/100)</f>
        <v>8183.9679542718795</v>
      </c>
      <c r="K7" s="19">
        <f>IF(Basicinfo!N7=0,0,Basicinfo!BT7-Basicinfo!BU7)</f>
        <v>0</v>
      </c>
      <c r="L7" s="27">
        <f>Basicinfo!BV7*Basicinfo!BW7/100</f>
        <v>1640.1666666666665</v>
      </c>
      <c r="M7" s="27">
        <f>Basicinfo!BV7-Intermediate!L7</f>
        <v>1640.1666666666665</v>
      </c>
      <c r="N7" s="73">
        <f>Basicinfo!BS7-SUM(I7:K7)-Basicinfo!BV7</f>
        <v>0</v>
      </c>
      <c r="O7" s="19">
        <f>IF(Basicinfo!AH7+Basicinfo!AI7+Basicinfo!AJ7+Basicinfo!AK7=0,0,N7*(Basicinfo!AH7+Basicinfo!AI7)/SUM(Basicinfo!AH7:AK7))</f>
        <v>0</v>
      </c>
      <c r="P7" s="73">
        <f t="shared" si="25"/>
        <v>0</v>
      </c>
      <c r="Q7" s="19">
        <f>IF(Basicinfo!BS7=0,Basicinfo!N7,IF(H7&gt;Parameters!$C$70,Parameters!$C$64*(Parameters!$C$65*Parameters!$C$70)^(Parameters!$C$66-Parameters!$C$67*LOG(Parameters!$C$65*Parameters!$C$70,10))/100*Basicinfo!N7,Parameters!$C$64*(Parameters!$C$65*H7)^(Parameters!$C$66-Parameters!$C$67*LOG(Parameters!$C$65*H7,10))/100*Basicinfo!N7))</f>
        <v>2.952929884624282</v>
      </c>
      <c r="R7" s="19">
        <f>IF(Basicinfo!BS7=0,Q7*(1-Basicinfo!BX7/100),IF(H7&lt;Parameters!$C$75,Q7*Basicinfo!BU7/Basicinfo!BS7*(1-Basicinfo!BX7/100)*(-Parameters!$C$74+Parameters!$C$73*LN(H7*100)),Q7*Basicinfo!BU7/Basicinfo!BS7*(1-Basicinfo!BX7/100)))</f>
        <v>0.73257231166340397</v>
      </c>
      <c r="S7" s="19">
        <f>IF(Basicinfo!BS7=0,Q7*Basicinfo!BX7/100,Q7*Basicinfo!BU7/Basicinfo!BS7*Basicinfo!BX7/100)</f>
        <v>1.2094039707357238</v>
      </c>
      <c r="T7" s="19">
        <f>IF(Basicinfo!BS7=0,0,IF(H7&lt;Parameters!$C$75,Q7*K7/Basicinfo!BS7*(-Parameters!$C$74+Parameters!$C$73*LN(H7*100)),Q7*K7/Basicinfo!BS7))</f>
        <v>0</v>
      </c>
      <c r="U7" s="19">
        <f t="shared" si="26"/>
        <v>1.010953602225154</v>
      </c>
      <c r="V7" s="19">
        <f>IF(Basicinfo!AL7&gt;Parameters!$C$14,Basicinfo!Q7,0)</f>
        <v>0</v>
      </c>
      <c r="W7" s="19">
        <f>IF(Basicinfo!AL7&gt;Parameters!$C$14,0,Basicinfo!Q7)</f>
        <v>0</v>
      </c>
      <c r="X7" s="19">
        <f>G7+Basicinfo!M7</f>
        <v>74.830722042876786</v>
      </c>
      <c r="Y7" s="19">
        <f>IF(Basicinfo!G7-F7-Q7-V7-Basicinfo!O7-Basicinfo!R7-Basicinfo!S7&lt;0,0,Basicinfo!G7-F7-Q7-V7-Basicinfo!O7-Basicinfo!R7-Basicinfo!S7)</f>
        <v>218.02497951934407</v>
      </c>
      <c r="Z7" s="19">
        <f>Basicinfo!G7-F7-Basicinfo!BO7-Q7-Basicinfo!O7</f>
        <v>216.94882960104047</v>
      </c>
      <c r="AA7" s="53">
        <f>IF(Z7+Basicinfo!BO7-X7&gt;0,Z7+Basicinfo!BO7-X7,0)</f>
        <v>143.19742863298848</v>
      </c>
      <c r="AB7" s="56">
        <f>IF(Basicinfo!N7=0,0,Parameters!$C$71+Parameters!$C$72*Q7/Basicinfo!N7)</f>
        <v>0.37142320123768424</v>
      </c>
      <c r="AC7" s="43">
        <f>Basicinfo!AU7*AB7*R7/1000/86.4/0.365</f>
        <v>1.1688453610969504E-2</v>
      </c>
      <c r="AD7" s="43">
        <f>Basicinfo!AU7*AB7*S7/1000/86.4/0.365</f>
        <v>1.9296473513678119E-2</v>
      </c>
      <c r="AE7" s="43">
        <f>Basicinfo!AU7*AB7*T7/1000/86.4/0.365</f>
        <v>0</v>
      </c>
      <c r="AF7" s="43">
        <f>Basicinfo!AU7*AB7*U7/1000/86.4/0.365</f>
        <v>1.6130126807031936E-2</v>
      </c>
      <c r="AG7" s="43">
        <f>((Parameters!$C$80+Parameters!$C$81*Parameters!$C$89)/(Parameters!$C$82+Parameters!$C$89)/(Parameters!$C$90/100*Parameters!$C$91+(Parameters!$C$83+Parameters!$C$84*Parameters!$C$89)/(Parameters!$C$85+Parameters!$C$89)))-Parameters!$C$86+(Basicinfo!AU7-Parameters!$C$88)/Parameters!$C$87</f>
        <v>85.256244432058651</v>
      </c>
      <c r="AH7" s="43">
        <f>((Parameters!$C$80+Parameters!$C$81*Parameters!$C$89)/(Parameters!$C$82+Parameters!$C$89)/(Basicinfo!BY7/100*Parameters!$C$91+(Parameters!$C$83+Parameters!$C$84*Parameters!$C$89)/(Parameters!$C$85+Parameters!$C$89)))-Parameters!$C$86+(Basicinfo!AU7-Parameters!$C$88)/Parameters!$C$87</f>
        <v>67.453362565443072</v>
      </c>
      <c r="AI7" s="43">
        <f>Basicinfo!AU7^Parameters!$C$79*Parameters!$C$78*AH7/AG7</f>
        <v>64.131144654271154</v>
      </c>
      <c r="AJ7" s="43">
        <f>(J7*Parameters!$C$92/1000+Parameters!$C$94/100*S7*100*Parameters!$C$93/1000*86400*Parameters!$C$95/24)/86400</f>
        <v>1.2354154137628047E-2</v>
      </c>
      <c r="AK7" s="43">
        <f t="shared" si="1"/>
        <v>1.4480294431166243E-2</v>
      </c>
      <c r="AL7" s="43">
        <f>(K7*Parameters!$C$92/1000+Parameters!$C$94/100*T7*100*Parameters!$C$93/1000*86400*Parameters!$C$95/24)/86400</f>
        <v>0</v>
      </c>
      <c r="AM7" s="43">
        <f>(Intermediate!N7+Basicinfo!BV7-Intermediate!L7)*Parameters!$C$92/1000/86400</f>
        <v>2.467843364197531E-3</v>
      </c>
      <c r="AN7" s="43">
        <f t="shared" si="2"/>
        <v>2.4704573852495498E-2</v>
      </c>
      <c r="AO7" s="43">
        <f t="shared" si="27"/>
        <v>1.4480294431166243E-2</v>
      </c>
      <c r="AP7" s="43">
        <f t="shared" si="28"/>
        <v>1.8597970171229466E-2</v>
      </c>
      <c r="AQ7" s="43">
        <f t="shared" si="3"/>
        <v>4.4766718213365211E-2</v>
      </c>
      <c r="AR7" s="61">
        <f>(Basicinfo!AU7-Basicinfo!AY7)*F7/1000/86.4/0.365</f>
        <v>1.5485519328247094E-2</v>
      </c>
      <c r="AS7" s="19">
        <f>IF(Basicinfo!AP7-Basicinfo!CB7-Basicinfo!CG7&lt;0,0,(Basicinfo!AP7-Basicinfo!CB7-Basicinfo!CG7)/Basicinfo!G7*1000)</f>
        <v>6.2330666372610963</v>
      </c>
      <c r="AT7" s="19">
        <f>Parameters!$C$3*((AS7*86.4*0.365)^Parameters!$C$4)</f>
        <v>30.714990654256408</v>
      </c>
      <c r="AU7" s="19">
        <f>IF(AT7/86.4/0.365*(Basicinfo!G7/1000)-AN7&lt;0,0,AT7/86.4/0.365*(Basicinfo!G7/1000)-AN7)</f>
        <v>0.19124635523073724</v>
      </c>
      <c r="AV7" s="19">
        <f>IF(Basicinfo!AU7&gt;Parameters!$C$13,Parameters!$C$11*(Basicinfo!AU7-Parameters!$C$13)^Parameters!$C$12,0)</f>
        <v>177.21332056554908</v>
      </c>
      <c r="AW7" s="19">
        <f>IF(AV7*V7/1000/86.4/0.365&gt;Basicinfo!AP7*Parameters!$C$15,Basicinfo!AP7*Parameters!$C$15,AV7*V7/1000/86.4/0.365)</f>
        <v>0</v>
      </c>
      <c r="AX7" s="19">
        <f>Basicinfo!AU7-Basicinfo!AW7</f>
        <v>515.41744780099987</v>
      </c>
      <c r="AY7" s="19">
        <f>Parameters!$C$56*AX7+Parameters!$C$57*Basicinfo!AW7</f>
        <v>341.63729257124282</v>
      </c>
      <c r="AZ7" s="19">
        <f>AY7*Basicinfo!BO7/1000/86.4/0.365</f>
        <v>1.1692552315393031E-2</v>
      </c>
      <c r="BA7" s="19">
        <f>IF(Basicinfo!AP7-AQ7-AR7-AU7-AW7-AZ7-Basicinfo!CB7-Basicinfo!CG7&lt;0,0,Basicinfo!AP7-AQ7-AR7-AU7-AW7-AZ7-Basicinfo!CB7-Basicinfo!CG7)</f>
        <v>1.1188248395697273</v>
      </c>
      <c r="BB7" s="53">
        <f t="shared" si="4"/>
        <v>162.63401930102739</v>
      </c>
      <c r="BC7" s="56">
        <f>IF(G7=0,0,((Basicinfo!H7*Basicinfo!BE7+Basicinfo!I7*Basicinfo!BF7+Basicinfo!J7*Basicinfo!BG7+Basicinfo!K7*Basicinfo!BH7+Basicinfo!L7*Basicinfo!BI7)*(1-Basicinfo!BN7/G7*Parameters!$C$26/100)/G7)*Basicinfo!BM7)</f>
        <v>3.762106289462805</v>
      </c>
      <c r="BD7" s="43">
        <f>IF(Basicinfo!AW7*Parameters!$C$39-Parameters!$C$40&lt;0,0.001,(Basicinfo!AW7*Parameters!$C$39-Parameters!$C$40)/(Basicinfo!AX7*Parameters!$C$39-Parameters!$C$40))</f>
        <v>1.0999682632360324</v>
      </c>
      <c r="BE7" s="43">
        <f>(BC7*G7*100+Basicinfo!BJ7*Basicinfo!M7*100)*Parameters!$C$29*BD7</f>
        <v>7315.3423437756519</v>
      </c>
      <c r="BF7" s="43">
        <f>(Basicinfo!BK7*Basicinfo!P7*100)*BD7*Parameters!$C$29</f>
        <v>1580.636958037519</v>
      </c>
      <c r="BG7" s="43">
        <f>Parameters!$C$27*(V7+W7)*100</f>
        <v>0</v>
      </c>
      <c r="BH7" s="43">
        <f>Parameters!$C$28*Basicinfo!R7*100</f>
        <v>0</v>
      </c>
      <c r="BI7" s="43">
        <f t="shared" si="29"/>
        <v>1580.636958037519</v>
      </c>
      <c r="BJ7" s="43">
        <f>IF(Basicinfo!AM7&lt;Parameters!$C$33,0,Parameters!$C$30*(((Basicinfo!AM7-Parameters!$C$33)^Parameters!$C$31)*(((G7-Basicinfo!BN7)/Basicinfo!G7*100+Parameters!$C$34))^Parameters!$C$32))</f>
        <v>1.231777257716814</v>
      </c>
      <c r="BK7" s="58">
        <f t="shared" si="30"/>
        <v>1670.7456813522756</v>
      </c>
      <c r="BL7" s="61">
        <f>Basicinfo!AZ7+Basicinfo!BA7</f>
        <v>1852.3981137049382</v>
      </c>
      <c r="BM7" s="19">
        <f>Basicinfo!BB7+Basicinfo!BC7</f>
        <v>1989.8225424752704</v>
      </c>
      <c r="BN7" s="172">
        <f>IF(Basicinfo!AO7=0,0,IF(Basicinfo!AO7="NA",1,IF(OR(Basicinfo!AO7="SA",Basicinfo!AN7="S"),3,IF(Basicinfo!AN7="N",1,IF(Basicinfo!AO7="ZA",2,0)))))</f>
        <v>0</v>
      </c>
      <c r="BO7" s="27">
        <f>IF($BN7=1,(BL7)*(1+Parameters!$C$21*Parameters!$C$22-Parameters!$C$22*Basicinfo!$AL7),IF($BN7=2,(BL7)*(1+Parameters!$C$21*Parameters!$C$23-Parameters!$C$23*Basicinfo!$AL7),IF($BN7=3,(BL7)*(1+Parameters!$C$21*Parameters!$C$24-Parameters!$C$24*Basicinfo!$AL7),BL7)))</f>
        <v>1852.3981137049382</v>
      </c>
      <c r="BP7" s="27">
        <f>IF($BN7=1,(BM7)*(1+Parameters!$C$21*Parameters!$C$22-Parameters!$C$22*Basicinfo!$AL7),IF($BN7=2,(BM7)*(1+Parameters!$C$21*Parameters!$C$23-Parameters!$C$23*Basicinfo!$AL7),IF($BN7=3,(BM7)*(1+Parameters!$C$21*Parameters!$C$24-Parameters!$C$24*Basicinfo!$AL7),BM7)))</f>
        <v>1989.8225424752704</v>
      </c>
      <c r="BQ7" s="27">
        <f>IF(Basicinfo!AU7=0,0,IF(G7+Basicinfo!M7=0,0,(Parameters!$C$16+BO7/Basicinfo!AU7)*G7+(Parameters!$C$17+BO7/Basicinfo!AU7)*Basicinfo!M7)/(G7+Basicinfo!M7))</f>
        <v>1.4256792748277258</v>
      </c>
      <c r="BR7" s="27">
        <f>IF(Basicinfo!AU7=0,0,IF(G7+Basicinfo!M7=0,0,(Parameters!$C$16+BP7/Basicinfo!AU7)*G7+(Parameters!$C$17+BP7/Basicinfo!AU7)*Basicinfo!M7)/(G7+Basicinfo!M7))</f>
        <v>1.5271217423836887</v>
      </c>
      <c r="BS7" s="27">
        <f>IF(Basicinfo!AU7=0,0,BO7/Basicinfo!AU7)</f>
        <v>1.3673830572312839</v>
      </c>
      <c r="BT7" s="27">
        <f>IF(Basicinfo!AU7=0,0,BP7/Basicinfo!AU7)</f>
        <v>1.4688255247872466</v>
      </c>
      <c r="BU7" s="27">
        <f>IF(SUM(G7,Basicinfo!M7,Basicinfo!P7,W7)=0,0,(BQ7*(G7+Basicinfo!M7)+BS7*(Basicinfo!P7+W7))/SUM(G7,Basicinfo!M7,Basicinfo!P7,W7))</f>
        <v>1.3880600633105236</v>
      </c>
      <c r="BV7" s="19">
        <f>IF(Basicinfo!BR7/Parameters!$C$10&gt;1,1,Basicinfo!BR7/Parameters!$C$10)</f>
        <v>0.26504401661686255</v>
      </c>
      <c r="BW7" s="19">
        <f>Parameters!$C$5+Parameters!$C$6*EXP(BV7*Parameters!$C$8*Parameters!$C$7)</f>
        <v>3.5024930631054732E-2</v>
      </c>
      <c r="BX7" s="19">
        <f>Parameters!$C$5+Parameters!$C$6*EXP(BV7*Parameters!$C$9*Parameters!$C$7)</f>
        <v>3.501653168734771E-2</v>
      </c>
      <c r="BY7" s="19">
        <f>IF(Basicinfo!AH7+Basicinfo!AI7+Basicinfo!AJ7+Basicinfo!AK7=0,0,(Parameters!$C$18*(Basicinfo!AH7+Basicinfo!AI7)+Parameters!$C$19*Basicinfo!AJ7+Parameters!$C$20*Basicinfo!AK7)/(Basicinfo!AH7+Basicinfo!AI7+Basicinfo!AJ7+Basicinfo!AK7))</f>
        <v>3.4613517013959781E-2</v>
      </c>
      <c r="BZ7" s="19">
        <f>IF(Basicinfo!AJ7+Basicinfo!AK7=0,Parameters!$C$18,(Parameters!$C$19*Basicinfo!AJ7+Parameters!$C$20*Basicinfo!AK7)/(Basicinfo!AJ7+Basicinfo!AK7))</f>
        <v>2.5000000000000001E-2</v>
      </c>
      <c r="CA7" s="19">
        <f>IF(SUM(G7,Basicinfo!M7,Basicinfo!P7,W7)=0,0,(BW7*G7+BX7*Basicinfo!M7+BY7*Basicinfo!P7+BZ7*W7)/(SUM(G7,Basicinfo!M7,Basicinfo!P7,W7)))</f>
        <v>3.4757040623335414E-2</v>
      </c>
      <c r="CB7" s="19">
        <f>IF(Y7=0,Basicinfo!BP7,Basicinfo!BP7-(AU7*X7/Y7*Intermediate!BQ7*86400*365/1000000)*1000/(X7*100))</f>
        <v>53.389203530169475</v>
      </c>
      <c r="CC7" s="19">
        <f>IF(Y7=0,Basicinfo!BQ7,Basicinfo!BQ7-(AU7*Basicinfo!AV7/Basicinfo!AU7*X7/Y7*Intermediate!BR7*86400*365/1000000)*1000/(X7*100))</f>
        <v>53.871087835209501</v>
      </c>
      <c r="CD7" s="19">
        <f>IF(OR(Y7=0,AA7=0),BP7/100,BP7/100-(AU7*Basicinfo!AV7/Basicinfo!AU7*(Basicinfo!P7+W7)/Y7*Intermediate!BT7*86400*365/1000000+AW7*Basicinfo!AV7/Basicinfo!AU7*Intermediate!BT7*86400*365/1000000)*1000/(AA7*100))</f>
        <v>19.524967553956337</v>
      </c>
      <c r="CE7" s="19">
        <f t="shared" si="5"/>
        <v>397306.81995196838</v>
      </c>
      <c r="CF7" s="19">
        <f t="shared" si="6"/>
        <v>279592.51478690782</v>
      </c>
      <c r="CG7" s="19">
        <f>IF(AY7=0,0,((CB7^Parameters!$C$58))/AY7*100)</f>
        <v>8.6053820089865347</v>
      </c>
      <c r="CH7" s="19">
        <f>IF(SUM(Basicinfo!AB7:AG7)=0,0,(Parameters!$C$59*Basicinfo!AB7+Parameters!$C$60*SUM(Basicinfo!AC7:AE7)+Parameters!$C$61*Basicinfo!AF7+Parameters!$C$62*Basicinfo!AG7)/SUM(Basicinfo!AB7:AG7))</f>
        <v>0.10098081174832438</v>
      </c>
      <c r="CI7" s="19">
        <f t="shared" si="7"/>
        <v>18</v>
      </c>
      <c r="CJ7" s="19">
        <f t="shared" si="8"/>
        <v>31.200875154923157</v>
      </c>
      <c r="CK7" s="19">
        <f t="shared" si="9"/>
        <v>19.184716266018061</v>
      </c>
      <c r="CL7" s="19">
        <f>IF($BB7=0,0,$CJ7^Parameters!$C$58*100/$BB7)</f>
        <v>11.450655904380046</v>
      </c>
      <c r="CM7" s="19">
        <f>IF(CK7=0,0,(1/(1+Parameters!$C$116*BB7^Parameters!$C$120)*Basicinfo!AH7/Basicinfo!G7+1/(1+Parameters!$C$117*BB7^Parameters!$C$121)*Basicinfo!AI7/Basicinfo!G7)*(CK7)^Parameters!$C$124+(1/(1+Parameters!$C$118*BB7^Parameters!$C$122)*Basicinfo!AJ7/Basicinfo!G7+1/(1+Parameters!$C$119*BB7^Parameters!$C$123)*Basicinfo!AK7/Basicinfo!G7)*(CK7)^Parameters!$C$125)</f>
        <v>1.7902024751585996</v>
      </c>
      <c r="CN7" s="19">
        <f>IF(SUM(Basicinfo!AB7:AG7)=0,0,(Parameters!$C$128*Basicinfo!AB7+Parameters!$C$129*(SUM(Basicinfo!AC7:AE7))+Parameters!$C$130*Basicinfo!AF7+Parameters!$C$131*Basicinfo!AG7)/SUM(Basicinfo!AB7:AG7))</f>
        <v>2.4650407282679417E-2</v>
      </c>
      <c r="CO7" s="19">
        <f>IF(Basicinfo!AH7+Basicinfo!AI7+Basicinfo!AJ7+Basicinfo!AK7=0,0,(Parameters!$C$132*(Basicinfo!AH7+Basicinfo!AI7)+Parameters!$C$133*Basicinfo!AJ7+Parameters!$C$134*Basicinfo!AK7)/(Basicinfo!AH7+Basicinfo!AI7+Basicinfo!AJ7+Basicinfo!AK7))</f>
        <v>5.0000000000000001E-4</v>
      </c>
      <c r="CP7" s="19">
        <f>IF(Basicinfo!AJ7+Basicinfo!AK7=0,0,(Parameters!$C$133*Basicinfo!AJ7+Parameters!$C$134*Basicinfo!AK7)/(Basicinfo!AJ7+Basicinfo!AK7))</f>
        <v>5.0000000000000001E-4</v>
      </c>
      <c r="CQ7" s="19">
        <f>IF(Z7=0,0,(CN7*(Z7-AA7)+CO7*Basicinfo!P7+CP7*(Basicinfo!Q7+Basicinfo!R7))/Z7)</f>
        <v>8.6936381161790838E-3</v>
      </c>
      <c r="CR7" s="289">
        <f>Basicinfo!EI7</f>
        <v>1.4726631578947371E-2</v>
      </c>
      <c r="CS7" s="19">
        <f>IF(SUM(Basicinfo!AB7:AG7)=0,0,(Basicinfo!AB7*Parameters!$C$43+(Basicinfo!AC7+Basicinfo!AD7)*Parameters!$C$44+Basicinfo!AE7*Parameters!$C$45+(Basicinfo!AF7+Basicinfo!AG7)*Parameters!$C$46)/SUM(Basicinfo!AB7:AG7))</f>
        <v>19.549943216303074</v>
      </c>
      <c r="CT7" s="19">
        <f>(Parameters!$C$41*CS7+Parameters!$C$42)</f>
        <v>474.40942080629134</v>
      </c>
      <c r="CU7" s="19">
        <f>CT7+Basicinfo!BR7/(Parameters!$C$47*Parameters!$C$49*Parameters!$C$48*10000/1000000)</f>
        <v>567.75825684745041</v>
      </c>
      <c r="CV7" s="19">
        <f>IF(BK7/Basicinfo!G7&lt;Parameters!$C$35,Parameters!$C$35,Parameters!$C$37*(BK7/Basicinfo!G7)^Parameters!$C$38)</f>
        <v>2.9646135475274273</v>
      </c>
      <c r="CW7" s="19">
        <f>IF(BK7/Basicinfo!G7&lt;Parameters!$C$35,Parameters!$C$36,Parameters!$C$36*(BK7/Basicinfo!G7)^Parameters!$C$38)</f>
        <v>6.9668418366894542</v>
      </c>
      <c r="CX7" s="27">
        <f>IF(Basicinfo!AJ7+Basicinfo!AK7=0,0,(Parameters!$C$53*Basicinfo!AJ7+Parameters!$C$54*Basicinfo!AK7)/(Basicinfo!AJ7+Basicinfo!AK7))</f>
        <v>750</v>
      </c>
      <c r="CY7" s="56">
        <f>IF(Basicinfo!AU7*AB7=0,0,((Basicinfo!AZ7+Basicinfo!BA7)/Basicinfo!AU7+Parameters!$C$76/(Basicinfo!AU7*AB7)*100))</f>
        <v>2.1623458945431842</v>
      </c>
      <c r="CZ7" s="43">
        <f>IF(Basicinfo!AU7*AB7=0,0,(Parameters!$C$77)/(Basicinfo!AU7*AB7)*100)</f>
        <v>0.49685177331993757</v>
      </c>
      <c r="DA7" s="43">
        <f>IF(AD7+AJ7=0,0,((J7*Parameters!$C$96+Parameters!$C$94/100*S7*100*Parameters!$C$93/1000*86400*Parameters!$C$95/24*Parameters!$C$98)*AI7+AD7*CY7*86400*365)/((AD7+AJ7*AI7/365)*86400*365))</f>
        <v>11.247590409361056</v>
      </c>
      <c r="DB7" s="43">
        <f>IF(AD7+AJ7=0,0,((J7*Parameters!$C$97+Parameters!$C$94/100*S7*100*Parameters!$C$93/1000*86400*Parameters!$C$95/24*Parameters!$C$99)*AI7+AD7*CZ7*86400*365)/((AD7+AJ7*AI7/365)*86400*365))</f>
        <v>1.9601582475656805</v>
      </c>
      <c r="DC7" s="42">
        <f>IF(AE7+AL7=0,0,((K7*Parameters!$C$96+Parameters!$C$94/100*T7*100*Parameters!$C$93/1000*86400*Parameters!$C$95/24*Parameters!$C$98)*365+AE7*CY7*86400*365)/((AE7+AL7)*86400*365))</f>
        <v>0</v>
      </c>
      <c r="DD7" s="42">
        <f>IF(AE7+AL7=0,0,((K7*Parameters!$C$97+Parameters!$C$94/100*T7*100*Parameters!$C$93/1000*86400*Parameters!$C$95/24*Parameters!$C$99)*365+AE7*CZ7*86400*365)/((AE7+AL7)*86400*365))</f>
        <v>0</v>
      </c>
      <c r="DE7" s="42">
        <f>IF(Basicinfo!AH7+Basicinfo!AI7+Basicinfo!AJ7+Basicinfo!AK7=0,0,((Basicinfo!AH7+Basicinfo!AI7)*Parameters!$C$107+(Basicinfo!AJ7+Basicinfo!AK7)*Parameters!$C$106)/(Basicinfo!AH7+Basicinfo!AI7+Basicinfo!AJ7+Basicinfo!AK7))</f>
        <v>88.454068055839087</v>
      </c>
      <c r="DF7" s="42">
        <f>IF(Basicinfo!AH7+Basicinfo!AI7+Basicinfo!AJ7+Basicinfo!AK7=0,0,((Basicinfo!AH7+Basicinfo!AI7)*Parameters!$C$109+(Basicinfo!AJ7+Basicinfo!AK7)*Parameters!$C$108)/(Basicinfo!AH7+Basicinfo!AI7+Basicinfo!AJ7+Basicinfo!AK7))</f>
        <v>88.454068055839087</v>
      </c>
      <c r="DG7" s="42">
        <f>Intermediate!AC7*Intermediate!CY7*(1-Parameters!$C$102/100*Basicinfo!BZ7/100)*(1-Parameters!$C$104/100*Basicinfo!CA7/100)*86400*365/1000000</f>
        <v>0.79705599116446091</v>
      </c>
      <c r="DH7" s="42">
        <f>Intermediate!AC7*Intermediate!CZ7*(1-Parameters!$C$103/100*Basicinfo!BZ7/100)*(1-Parameters!$C$105/100*Basicinfo!CA7/100)*86400*365/1000000</f>
        <v>0.18314307791585102</v>
      </c>
      <c r="DI7" s="42">
        <f>(Intermediate!AK7*Intermediate!DA7+(Intermediate!AE7+Intermediate!AL7)*Intermediate!DC7)*86400*365/1000000</f>
        <v>5.1362185173620301</v>
      </c>
      <c r="DJ7" s="42">
        <f>(Intermediate!AK7*Intermediate!DB7+(Intermediate!AE7+Intermediate!AL7)*Intermediate!DD7)*86400*365/1000000</f>
        <v>0.89510737159557341</v>
      </c>
      <c r="DK7" s="42">
        <f>((Basicinfo!AZ7+Basicinfo!BA7)*Intermediate!AB7+Parameters!$C$76*100)/1000*Intermediate!U7*(1-Intermediate!DE7/100)+(1-Parameters!$C$110/100)*M7*Parameters!$C$100*(1-DE7/100)*365/1000000+(1-Parameters!$C$112/100)*P7*Parameters!$C$96*365/1000000+(1-Parameters!$C$112/100)*O7*Parameters!$C$96*(1-DE7/100)*365/1000000</f>
        <v>0.68687836364199994</v>
      </c>
      <c r="DL7" s="42">
        <f>Parameters!$C$77*100/1000*Intermediate!U7*(1-Intermediate!DF7/100)+(1-Parameters!$C$111/100)*M7*Parameters!$C$101*(1-DF7/100)*365/1000000+(1-Parameters!$C$113/100)*P7*Parameters!$C$97*365/1000000+(1-Parameters!$C$113/100)*O7*Parameters!$C$97*(1-DF7/100)*365/1000000</f>
        <v>0.10396050170345697</v>
      </c>
      <c r="DM7" s="31"/>
      <c r="DN7" s="31"/>
      <c r="DO7" s="31"/>
      <c r="DP7" s="31"/>
      <c r="DQ7" s="31"/>
      <c r="DR7" s="31"/>
      <c r="DS7" s="31"/>
      <c r="DT7" s="188">
        <f>BO7*(Basicinfo!$P7+Basicinfo!$Q7)/1000</f>
        <v>252.19489956805577</v>
      </c>
      <c r="DU7" s="188">
        <f>DT7*Basicinfo!$AZ7/(Basicinfo!$AZ7+Basicinfo!$BA7)</f>
        <v>155.54394786840379</v>
      </c>
      <c r="DV7" s="188">
        <f>DT7*Basicinfo!$BC7/(Basicinfo!$BB7+Basicinfo!$BC7)</f>
        <v>91.732147436677579</v>
      </c>
      <c r="DW7" s="188">
        <f>BP7*(Basicinfo!$P7+Basicinfo!$Q7)/1000</f>
        <v>270.9045601726076</v>
      </c>
      <c r="DX7" s="188">
        <f>DW7*Basicinfo!$BB7/(Basicinfo!$BB7+Basicinfo!$BC7)</f>
        <v>172.36705169172777</v>
      </c>
      <c r="DY7" s="188">
        <f>DW7*Basicinfo!$BC7/(Basicinfo!$BB7+Basicinfo!$BC7)</f>
        <v>98.537508480879836</v>
      </c>
      <c r="DZ7" s="188">
        <f t="shared" si="10"/>
        <v>138.61628835940348</v>
      </c>
      <c r="EA7" s="188">
        <f>DZ7*Basicinfo!$AZ7/(Basicinfo!$AZ7+Basicinfo!$BA7)</f>
        <v>85.493103814609</v>
      </c>
      <c r="EB7" s="188">
        <f>DZ7*Basicinfo!$BC7/(Basicinfo!$BB7+Basicinfo!$BC7)</f>
        <v>50.419615236819922</v>
      </c>
      <c r="EC7" s="188">
        <f t="shared" si="11"/>
        <v>148.89985759061736</v>
      </c>
      <c r="ED7" s="188">
        <f>EC7*Basicinfo!$AZ7/(Basicinfo!$AZ7+Basicinfo!$BA7)</f>
        <v>91.835607010116362</v>
      </c>
      <c r="EE7" s="188">
        <f>EC7*Basicinfo!$BC7/(Basicinfo!$BB7+Basicinfo!$BC7)</f>
        <v>54.160110744495441</v>
      </c>
      <c r="EF7" s="190">
        <f>(Basicinfo!BP7-BL7/100)*Intermediate!X7/10</f>
        <v>263.8501538185767</v>
      </c>
      <c r="EG7" s="191">
        <f>(Basicinfo!BQ7-BM7/100)*Intermediate!X7/10</f>
        <v>257.27578028733893</v>
      </c>
      <c r="EH7" s="197">
        <f>IF(AU7=0,0,$BS7*((Basicinfo!$P7+Basicinfo!$Q7)*Intermediate!$AT7*1000+$AW7*3600*24*365)/1000000*Basicinfo!AZ7/(Basicinfo!$AZ7+Basicinfo!$BA7))</f>
        <v>3.5266257111287755</v>
      </c>
      <c r="EI7" s="197">
        <f>IF(AU7=0,0,$BS7*((Basicinfo!$P7+Basicinfo!$Q7)*Intermediate!$AT7*1000+$AW7*3600*24*365)/1000000*Basicinfo!BA7/(Basicinfo!$AZ7+Basicinfo!$BA7))</f>
        <v>2.1913532216466045</v>
      </c>
      <c r="EJ7" s="198">
        <f>IF(AU7=0,0,$BS7*($AT7*$X7*1000)/1000000*Basicinfo!AZ7/(Basicinfo!$AZ7+Basicinfo!$BA7))</f>
        <v>1.9383729304073229</v>
      </c>
      <c r="EK7" s="198">
        <f>IF(AU7=0,0,$BS7*($AT7*$X7*1000)/1000000*Basicinfo!BA7/(Basicinfo!$AZ7+Basicinfo!$BA7))</f>
        <v>1.2044543747289524</v>
      </c>
      <c r="EL7" s="147">
        <f>Parameters!$C$150/Basicinfo!$AV7*100</f>
        <v>7.6397187402833383E-2</v>
      </c>
      <c r="EM7" s="147">
        <f>Parameters!$C$151/Basicinfo!$AV7*100</f>
        <v>0.15279437480566677</v>
      </c>
      <c r="EN7" s="147">
        <f>(Parameters!$C$150+Parameters!$C$151)/Intermediate!$BB7*100</f>
        <v>1.8446325147060103</v>
      </c>
      <c r="EO7" s="193">
        <f>IF(EN7=0,0,(1/(1+Parameters!$C$116*$BB7^Parameters!$C$120)*Basicinfo!$AH7/Basicinfo!$G7+1/(1+Parameters!$C$117*$BB7^Parameters!$C$121)*Basicinfo!$AI7/Basicinfo!$G7)*(EN7)^Parameters!$C$124+(1/(1+Parameters!$C$118*$BB7^Parameters!$C$122)*Basicinfo!$AJ7/Basicinfo!AW7+1/(1+Parameters!$C$119*$BB7^Parameters!$C$123)*Basicinfo!$AK7/Basicinfo!$G7)*(EN7)^Parameters!$C$125)</f>
        <v>0.3915993716015847</v>
      </c>
      <c r="EP7" s="199">
        <f>EL7*($AT7*Basicinfo!$P7*1000+$AW7*3600*24*365)/1000000</f>
        <v>0.31946973877035961</v>
      </c>
      <c r="EQ7" s="199">
        <f>EM7*($AT7*Basicinfo!$P7*1000+$AW7*3600*24*365)/1000000</f>
        <v>0.63893947754071923</v>
      </c>
      <c r="ER7" s="199">
        <f t="shared" si="12"/>
        <v>0.17559319997090322</v>
      </c>
      <c r="ES7" s="199">
        <f t="shared" si="13"/>
        <v>0.35118639994180645</v>
      </c>
      <c r="ET7" s="181">
        <f t="shared" si="14"/>
        <v>13.816902499141975</v>
      </c>
      <c r="EU7" s="147">
        <f>Intermediate!F7*(Parameters!$C$150)/1000*100</f>
        <v>7.4220030351046587E-2</v>
      </c>
      <c r="EV7" s="147">
        <f>Intermediate!F7*(Parameters!$C$151)/1000*100</f>
        <v>0.14844006070209317</v>
      </c>
      <c r="EW7" s="181">
        <f>'Local emissions'!$S7*Basicinfo!AZ7/(Basicinfo!$AZ7+Basicinfo!$BA7)-Intermediate!EU7</f>
        <v>0.77373393650894218</v>
      </c>
      <c r="EX7" s="147">
        <f>'Local emissions'!$S7*Basicinfo!BA7/(Basicinfo!$AZ7+Basicinfo!$BA7)-Intermediate!EV7</f>
        <v>0.3784564146519378</v>
      </c>
      <c r="EY7" s="188">
        <f t="shared" si="15"/>
        <v>3.2071559723584158</v>
      </c>
      <c r="EZ7" s="188">
        <f t="shared" si="16"/>
        <v>1.5524137441058854</v>
      </c>
      <c r="FA7" s="188">
        <f t="shared" si="17"/>
        <v>1.7627797304364197</v>
      </c>
      <c r="FB7" s="181">
        <f t="shared" si="18"/>
        <v>0.853267974787146</v>
      </c>
      <c r="FC7" s="181">
        <f>'Local emissions'!Y7-Intermediate!ET7</f>
        <v>49.349855826006262</v>
      </c>
      <c r="FD7" s="188">
        <f t="shared" si="19"/>
        <v>12.563192919585708</v>
      </c>
      <c r="FE7" s="188">
        <f t="shared" si="20"/>
        <v>7.1820322776920698</v>
      </c>
      <c r="FF7" s="181">
        <f t="shared" si="21"/>
        <v>3.3467778105840869</v>
      </c>
      <c r="FG7" s="201">
        <f t="shared" si="22"/>
        <v>1.9737644554196372</v>
      </c>
      <c r="FH7" s="181">
        <f t="shared" si="23"/>
        <v>24.284088362724759</v>
      </c>
      <c r="FJ7" s="147">
        <f>AVERAGE(Parameters!$C$132:$C$134)*'Local emissions'!J7*3600*24*365/1000000</f>
        <v>1.7641630070335458E-2</v>
      </c>
      <c r="FK7" s="147">
        <f>'Local emissions'!AJ7+CT7*BJ7/100*Intermediate!X7*100/1000000</f>
        <v>0.75501521586438969</v>
      </c>
      <c r="FL7" s="31">
        <f>(Parameters!$C$18*(Basicinfo!AH7+Basicinfo!AI7)+Parameters!$C$19*Basicinfo!AJ7+Parameters!$C$20*Basicinfo!AK7)/Basicinfo!G7</f>
        <v>3.4613517013959781E-2</v>
      </c>
      <c r="FM7" s="181">
        <f t="shared" si="24"/>
        <v>0.20875914209800592</v>
      </c>
    </row>
    <row r="8" spans="1:169">
      <c r="A8" s="39" t="str">
        <f>Basicinfo!A8</f>
        <v>Mattig</v>
      </c>
      <c r="B8" s="63">
        <f>Basicinfo!B8</f>
        <v>630</v>
      </c>
      <c r="C8" s="63">
        <f>Basicinfo!C8</f>
        <v>1050</v>
      </c>
      <c r="D8" s="61">
        <f>Basicinfo!U8*Basicinfo!V8/1000+Basicinfo!Y8</f>
        <v>11.260736208950009</v>
      </c>
      <c r="E8" s="19">
        <f>Basicinfo!W8*Basicinfo!X8/1000+Basicinfo!Z8</f>
        <v>0</v>
      </c>
      <c r="F8" s="19">
        <f t="shared" si="0"/>
        <v>11.260736208950009</v>
      </c>
      <c r="G8" s="19">
        <f>SUM(Basicinfo!H8:L8)</f>
        <v>45.888757661480156</v>
      </c>
      <c r="H8" s="19">
        <f>IF(Basicinfo!N8&lt;Parameters!$C$68,Parameters!$C$69,Basicinfo!BS8/(Basicinfo!N8*100))</f>
        <v>22.074126359815924</v>
      </c>
      <c r="I8" s="19">
        <f>IF(Basicinfo!N8=0,0,Basicinfo!BU8*(1-Basicinfo!BX8/100))</f>
        <v>14024.647936927615</v>
      </c>
      <c r="J8" s="19">
        <f>IF(Basicinfo!N8=0,0,Basicinfo!BU8*Basicinfo!BX8/100)</f>
        <v>13474.661743322611</v>
      </c>
      <c r="K8" s="19">
        <f>IF(Basicinfo!N8=0,0,Basicinfo!BT8-Basicinfo!BU8)</f>
        <v>0</v>
      </c>
      <c r="L8" s="27">
        <f>Basicinfo!BV8*Basicinfo!BW8/100</f>
        <v>2678.25</v>
      </c>
      <c r="M8" s="27">
        <f>Basicinfo!BV8-Intermediate!L8</f>
        <v>2678.25</v>
      </c>
      <c r="N8" s="73">
        <f>Basicinfo!BS8-SUM(I8:K8)-Basicinfo!BV8</f>
        <v>0</v>
      </c>
      <c r="O8" s="19">
        <f>IF(Basicinfo!AH8+Basicinfo!AI8+Basicinfo!AJ8+Basicinfo!AK8=0,0,N8*(Basicinfo!AH8+Basicinfo!AI8)/SUM(Basicinfo!AH8:AK8))</f>
        <v>0</v>
      </c>
      <c r="P8" s="73">
        <f t="shared" si="25"/>
        <v>0</v>
      </c>
      <c r="Q8" s="19">
        <f>IF(Basicinfo!BS8=0,Basicinfo!N8,IF(H8&gt;Parameters!$C$70,Parameters!$C$64*(Parameters!$C$65*Parameters!$C$70)^(Parameters!$C$66-Parameters!$C$67*LOG(Parameters!$C$65*Parameters!$C$70,10))/100*Basicinfo!N8,Parameters!$C$64*(Parameters!$C$65*H8)^(Parameters!$C$66-Parameters!$C$67*LOG(Parameters!$C$65*H8,10))/100*Basicinfo!N8))</f>
        <v>4.619225300517412</v>
      </c>
      <c r="R8" s="19">
        <f>IF(Basicinfo!BS8=0,Q8*(1-Basicinfo!BX8/100),IF(H8&lt;Parameters!$C$75,Q8*Basicinfo!BU8/Basicinfo!BS8*(1-Basicinfo!BX8/100)*(-Parameters!$C$74+Parameters!$C$73*LN(H8*100)),Q8*Basicinfo!BU8/Basicinfo!BS8*(1-Basicinfo!BX8/100)))</f>
        <v>1.1720931049080339</v>
      </c>
      <c r="S8" s="19">
        <f>IF(Basicinfo!BS8=0,Q8*Basicinfo!BX8/100,Q8*Basicinfo!BU8/Basicinfo!BS8*Basicinfo!BX8/100)</f>
        <v>1.8944137748059851</v>
      </c>
      <c r="T8" s="19">
        <f>IF(Basicinfo!BS8=0,0,IF(H8&lt;Parameters!$C$75,Q8*K8/Basicinfo!BS8*(-Parameters!$C$74+Parameters!$C$73*LN(H8*100)),Q8*K8/Basicinfo!BS8))</f>
        <v>0</v>
      </c>
      <c r="U8" s="19">
        <f t="shared" si="26"/>
        <v>1.5527184208033933</v>
      </c>
      <c r="V8" s="19">
        <f>IF(Basicinfo!AL8&gt;Parameters!$C$14,Basicinfo!Q8,0)</f>
        <v>0</v>
      </c>
      <c r="W8" s="19">
        <f>IF(Basicinfo!AL8&gt;Parameters!$C$14,0,Basicinfo!Q8)</f>
        <v>0</v>
      </c>
      <c r="X8" s="19">
        <f>G8+Basicinfo!M8</f>
        <v>129.86733052492121</v>
      </c>
      <c r="Y8" s="19">
        <f>IF(Basicinfo!G8-F8-Q8-V8-Basicinfo!O8-Basicinfo!R8-Basicinfo!S8&lt;0,0,Basicinfo!G8-F8-Q8-V8-Basicinfo!O8-Basicinfo!R8-Basicinfo!S8)</f>
        <v>212.66439210452606</v>
      </c>
      <c r="Z8" s="19">
        <f>Basicinfo!G8-F8-Basicinfo!BO8-Q8-Basicinfo!O8</f>
        <v>210.24851679336646</v>
      </c>
      <c r="AA8" s="53">
        <f>IF(Z8+Basicinfo!BO8-X8&gt;0,Z8+Basicinfo!BO8-X8,0)</f>
        <v>82.905714720611343</v>
      </c>
      <c r="AB8" s="56">
        <f>IF(Basicinfo!N8=0,0,Parameters!$C$71+Parameters!$C$72*Q8/Basicinfo!N8)</f>
        <v>0.38275646824807641</v>
      </c>
      <c r="AC8" s="43">
        <f>Basicinfo!AU8*AB8*R8/1000/86.4/0.365</f>
        <v>1.6340300372592743E-2</v>
      </c>
      <c r="AD8" s="43">
        <f>Basicinfo!AU8*AB8*S8/1000/86.4/0.365</f>
        <v>2.6410265516181766E-2</v>
      </c>
      <c r="AE8" s="43">
        <f>Basicinfo!AU8*AB8*T8/1000/86.4/0.365</f>
        <v>0</v>
      </c>
      <c r="AF8" s="43">
        <f>Basicinfo!AU8*AB8*U8/1000/86.4/0.365</f>
        <v>2.1646646741408881E-2</v>
      </c>
      <c r="AG8" s="43">
        <f>((Parameters!$C$80+Parameters!$C$81*Parameters!$C$89)/(Parameters!$C$82+Parameters!$C$89)/(Parameters!$C$90/100*Parameters!$C$91+(Parameters!$C$83+Parameters!$C$84*Parameters!$C$89)/(Parameters!$C$85+Parameters!$C$89)))-Parameters!$C$86+(Basicinfo!AU8-Parameters!$C$88)/Parameters!$C$87</f>
        <v>80.104537583722944</v>
      </c>
      <c r="AH8" s="43">
        <f>((Parameters!$C$80+Parameters!$C$81*Parameters!$C$89)/(Parameters!$C$82+Parameters!$C$89)/(Basicinfo!BY8/100*Parameters!$C$91+(Parameters!$C$83+Parameters!$C$84*Parameters!$C$89)/(Parameters!$C$85+Parameters!$C$89)))-Parameters!$C$86+(Basicinfo!AU8-Parameters!$C$88)/Parameters!$C$87</f>
        <v>62.301655717107366</v>
      </c>
      <c r="AI8" s="43">
        <f>Basicinfo!AU8^Parameters!$C$79*Parameters!$C$78*AH8/AG8</f>
        <v>41.732912892539368</v>
      </c>
      <c r="AJ8" s="43">
        <f>(J8*Parameters!$C$92/1000+Parameters!$C$94/100*S8*100*Parameters!$C$93/1000*86400*Parameters!$C$95/24)/86400</f>
        <v>2.0337522434066908E-2</v>
      </c>
      <c r="AK8" s="43">
        <f t="shared" si="1"/>
        <v>1.790274940083933E-2</v>
      </c>
      <c r="AL8" s="43">
        <f>(K8*Parameters!$C$92/1000+Parameters!$C$94/100*T8*100*Parameters!$C$93/1000*86400*Parameters!$C$95/24)/86400</f>
        <v>0</v>
      </c>
      <c r="AM8" s="43">
        <f>(Intermediate!N8+Basicinfo!BV8-Intermediate!L8)*Parameters!$C$92/1000/86400</f>
        <v>4.0297743055555555E-3</v>
      </c>
      <c r="AN8" s="43">
        <f t="shared" si="2"/>
        <v>3.2794333068458234E-2</v>
      </c>
      <c r="AO8" s="43">
        <f t="shared" si="27"/>
        <v>1.790274940083933E-2</v>
      </c>
      <c r="AP8" s="43">
        <f t="shared" si="28"/>
        <v>2.5676421046964437E-2</v>
      </c>
      <c r="AQ8" s="43">
        <f t="shared" si="3"/>
        <v>5.991947082039651E-2</v>
      </c>
      <c r="AR8" s="61">
        <f>(Basicinfo!AU8-Basicinfo!AY8)*F8/1000/86.4/0.365</f>
        <v>0.1559747165373864</v>
      </c>
      <c r="AS8" s="19">
        <f>IF(Basicinfo!AP8-Basicinfo!CB8-Basicinfo!CG8&lt;0,0,(Basicinfo!AP8-Basicinfo!CB8-Basicinfo!CG8)/Basicinfo!G8*1000)</f>
        <v>19.660686321276945</v>
      </c>
      <c r="AT8" s="19">
        <f>Parameters!$C$3*((AS8*86.4*0.365)^Parameters!$C$4)</f>
        <v>128.53630759867218</v>
      </c>
      <c r="AU8" s="19">
        <f>IF(AT8/86.4/0.365*(Basicinfo!G8/1000)-AN8&lt;0,0,AT8/86.4/0.365*(Basicinfo!G8/1000)-AN8)</f>
        <v>0.89916321416714384</v>
      </c>
      <c r="AV8" s="19">
        <f>IF(Basicinfo!AU8&gt;Parameters!$C$13,Parameters!$C$11*(Basicinfo!AU8-Parameters!$C$13)^Parameters!$C$12,0)</f>
        <v>134.116582312297</v>
      </c>
      <c r="AW8" s="19">
        <f>IF(AV8*V8/1000/86.4/0.365&gt;Basicinfo!AP8*Parameters!$C$15,Basicinfo!AP8*Parameters!$C$15,AV8*V8/1000/86.4/0.365)</f>
        <v>0</v>
      </c>
      <c r="AX8" s="19">
        <f>Basicinfo!AU8-Basicinfo!AW8</f>
        <v>407.89293969328583</v>
      </c>
      <c r="AY8" s="19">
        <f>Parameters!$C$56*AX8+Parameters!$C$57*Basicinfo!AW8</f>
        <v>278.02066193481437</v>
      </c>
      <c r="AZ8" s="19">
        <f>AY8*Basicinfo!BO8/1000/86.4/0.365</f>
        <v>2.2256185671755899E-2</v>
      </c>
      <c r="BA8" s="19">
        <f>IF(Basicinfo!AP8-AQ8-AR8-AU8-AW8-AZ8-Basicinfo!CB8-Basicinfo!CG8&lt;0,0,Basicinfo!AP8-AQ8-AR8-AU8-AW8-AZ8-Basicinfo!CB8-Basicinfo!CG8)</f>
        <v>3.3581614550301904</v>
      </c>
      <c r="BB8" s="53">
        <f t="shared" si="4"/>
        <v>503.7038132826126</v>
      </c>
      <c r="BC8" s="56">
        <f>IF(G8=0,0,((Basicinfo!H8*Basicinfo!BE8+Basicinfo!I8*Basicinfo!BF8+Basicinfo!J8*Basicinfo!BG8+Basicinfo!K8*Basicinfo!BH8+Basicinfo!L8*Basicinfo!BI8)*(1-Basicinfo!BN8/G8*Parameters!$C$26/100)/G8)*Basicinfo!BM8)</f>
        <v>3.36694505556585</v>
      </c>
      <c r="BD8" s="43">
        <f>IF(Basicinfo!AW8*Parameters!$C$39-Parameters!$C$40&lt;0,0.001,(Basicinfo!AW8*Parameters!$C$39-Parameters!$C$40)/(Basicinfo!AX8*Parameters!$C$39-Parameters!$C$40))</f>
        <v>1.052309049907076</v>
      </c>
      <c r="BE8" s="43">
        <f>(BC8*G8*100+Basicinfo!BJ8*Basicinfo!M8*100)*Parameters!$C$29*BD8</f>
        <v>17635.670039741046</v>
      </c>
      <c r="BF8" s="43">
        <f>(Basicinfo!BK8*Basicinfo!P8*100)*BD8*Parameters!$C$29</f>
        <v>894.19029666544486</v>
      </c>
      <c r="BG8" s="43">
        <f>Parameters!$C$27*(V8+W8)*100</f>
        <v>0</v>
      </c>
      <c r="BH8" s="43">
        <f>Parameters!$C$28*Basicinfo!R8*100</f>
        <v>0</v>
      </c>
      <c r="BI8" s="43">
        <f t="shared" si="29"/>
        <v>894.19029666544486</v>
      </c>
      <c r="BJ8" s="43">
        <f>IF(Basicinfo!AM8&lt;Parameters!$C$33,0,Parameters!$C$30*(((Basicinfo!AM8-Parameters!$C$33)^Parameters!$C$31)*(((G8-Basicinfo!BN8)/Basicinfo!G8*100+Parameters!$C$34))^Parameters!$C$32))</f>
        <v>2.1062968635713708</v>
      </c>
      <c r="BK8" s="58">
        <f t="shared" si="30"/>
        <v>1265.6498615823064</v>
      </c>
      <c r="BL8" s="61">
        <f>Basicinfo!AZ8+Basicinfo!BA8</f>
        <v>1963.2153165757718</v>
      </c>
      <c r="BM8" s="19">
        <f>Basicinfo!BB8+Basicinfo!BC8</f>
        <v>2157.0183680286418</v>
      </c>
      <c r="BN8" s="172">
        <f>IF(Basicinfo!AO8=0,0,IF(Basicinfo!AO8="NA",1,IF(OR(Basicinfo!AO8="SA",Basicinfo!AN8="S"),3,IF(Basicinfo!AN8="N",1,IF(Basicinfo!AO8="ZA",2,0)))))</f>
        <v>0</v>
      </c>
      <c r="BO8" s="27">
        <f>IF($BN8=1,(BL8)*(1+Parameters!$C$21*Parameters!$C$22-Parameters!$C$22*Basicinfo!$AL8),IF($BN8=2,(BL8)*(1+Parameters!$C$21*Parameters!$C$23-Parameters!$C$23*Basicinfo!$AL8),IF($BN8=3,(BL8)*(1+Parameters!$C$21*Parameters!$C$24-Parameters!$C$24*Basicinfo!$AL8),BL8)))</f>
        <v>1963.2153165757718</v>
      </c>
      <c r="BP8" s="27">
        <f>IF($BN8=1,(BM8)*(1+Parameters!$C$21*Parameters!$C$22-Parameters!$C$22*Basicinfo!$AL8),IF($BN8=2,(BM8)*(1+Parameters!$C$21*Parameters!$C$23-Parameters!$C$23*Basicinfo!$AL8),IF($BN8=3,(BM8)*(1+Parameters!$C$21*Parameters!$C$24-Parameters!$C$24*Basicinfo!$AL8),BM8)))</f>
        <v>2157.0183680286418</v>
      </c>
      <c r="BQ8" s="27">
        <f>IF(Basicinfo!AU8=0,0,IF(G8+Basicinfo!M8=0,0,(Parameters!$C$16+BO8/Basicinfo!AU8)*G8+(Parameters!$C$17+BO8/Basicinfo!AU8)*Basicinfo!M8)/(G8+Basicinfo!M8))</f>
        <v>1.8151779895535798</v>
      </c>
      <c r="BR8" s="27">
        <f>IF(Basicinfo!AU8=0,0,IF(G8+Basicinfo!M8=0,0,(Parameters!$C$16+BP8/Basicinfo!AU8)*G8+(Parameters!$C$17+BP8/Basicinfo!AU8)*Basicinfo!M8)/(G8+Basicinfo!M8))</f>
        <v>1.9839026714388688</v>
      </c>
      <c r="BS8" s="27">
        <f>IF(Basicinfo!AU8=0,0,BO8/Basicinfo!AU8)</f>
        <v>1.7091726744154336</v>
      </c>
      <c r="BT8" s="27">
        <f>IF(Basicinfo!AU8=0,0,BP8/Basicinfo!AU8)</f>
        <v>1.8778973563007224</v>
      </c>
      <c r="BU8" s="27">
        <f>IF(SUM(G8,Basicinfo!M8,Basicinfo!P8,W8)=0,0,(BQ8*(G8+Basicinfo!M8)+BS8*(Basicinfo!P8+W8))/SUM(G8,Basicinfo!M8,Basicinfo!P8,W8))</f>
        <v>1.7771898398035357</v>
      </c>
      <c r="BV8" s="19">
        <f>IF(Basicinfo!BR8/Parameters!$C$10&gt;1,1,Basicinfo!BR8/Parameters!$C$10)</f>
        <v>0.35727387000129063</v>
      </c>
      <c r="BW8" s="19">
        <f>Parameters!$C$5+Parameters!$C$6*EXP(BV8*Parameters!$C$8*Parameters!$C$7)</f>
        <v>3.5090260836767757E-2</v>
      </c>
      <c r="BX8" s="19">
        <f>Parameters!$C$5+Parameters!$C$6*EXP(BV8*Parameters!$C$9*Parameters!$C$7)</f>
        <v>3.5051879782469868E-2</v>
      </c>
      <c r="BY8" s="19">
        <f>IF(Basicinfo!AH8+Basicinfo!AI8+Basicinfo!AJ8+Basicinfo!AK8=0,0,(Parameters!$C$18*(Basicinfo!AH8+Basicinfo!AI8)+Parameters!$C$19*Basicinfo!AJ8+Parameters!$C$20*Basicinfo!AK8)/(Basicinfo!AH8+Basicinfo!AI8+Basicinfo!AJ8+Basicinfo!AK8))</f>
        <v>3.4558760736074751E-2</v>
      </c>
      <c r="BZ8" s="19">
        <f>IF(Basicinfo!AJ8+Basicinfo!AK8=0,Parameters!$C$18,(Parameters!$C$19*Basicinfo!AJ8+Parameters!$C$20*Basicinfo!AK8)/(Basicinfo!AJ8+Basicinfo!AK8))</f>
        <v>2.5000000000000001E-2</v>
      </c>
      <c r="CA8" s="19">
        <f>IF(SUM(G8,Basicinfo!M8,Basicinfo!P8,W8)=0,0,(BW8*G8+BX8*Basicinfo!M8+BY8*Basicinfo!P8+BZ8*W8)/(SUM(G8,Basicinfo!M8,Basicinfo!P8,W8)))</f>
        <v>3.4883867147244667E-2</v>
      </c>
      <c r="CB8" s="19">
        <f>IF(Y8=0,Basicinfo!BP8,Basicinfo!BP8-(AU8*X8/Y8*Intermediate!BQ8*86400*365/1000000)*1000/(X8*100))</f>
        <v>52.440851255717178</v>
      </c>
      <c r="CC8" s="19">
        <f>IF(Y8=0,Basicinfo!BQ8,Basicinfo!BQ8-(AU8*Basicinfo!AV8/Basicinfo!AU8*X8/Y8*Intermediate!BR8*86400*365/1000000)*1000/(X8*100))</f>
        <v>57.51480133550271</v>
      </c>
      <c r="CD8" s="19">
        <f>IF(OR(Y8=0,AA8=0),BP8/100,BP8/100-(AU8*Basicinfo!AV8/Basicinfo!AU8*(Basicinfo!P8+W8)/Y8*Intermediate!BT8*86400*365/1000000+AW8*Basicinfo!AV8/Basicinfo!AU8*Intermediate!BT8*86400*365/1000000)*1000/(AA8*100))</f>
        <v>19.350913964019924</v>
      </c>
      <c r="CE8" s="19">
        <f t="shared" si="5"/>
        <v>732409.59627207532</v>
      </c>
      <c r="CF8" s="19">
        <f t="shared" si="6"/>
        <v>160430.13526841303</v>
      </c>
      <c r="CG8" s="19">
        <f>IF(AY8=0,0,((CB8^Parameters!$C$58))/AY8*100)</f>
        <v>10.414590540174403</v>
      </c>
      <c r="CH8" s="19">
        <f>IF(SUM(Basicinfo!AB8:AG8)=0,0,(Parameters!$C$59*Basicinfo!AB8+Parameters!$C$60*SUM(Basicinfo!AC8:AE8)+Parameters!$C$61*Basicinfo!AF8+Parameters!$C$62*Basicinfo!AG8)/SUM(Basicinfo!AB8:AG8))</f>
        <v>0.10403682162021485</v>
      </c>
      <c r="CI8" s="19">
        <f t="shared" si="7"/>
        <v>6</v>
      </c>
      <c r="CJ8" s="19">
        <f t="shared" si="8"/>
        <v>42.465922954309193</v>
      </c>
      <c r="CK8" s="19">
        <f t="shared" si="9"/>
        <v>8.4307328700890487</v>
      </c>
      <c r="CL8" s="19">
        <f>IF($BB8=0,0,$CJ8^Parameters!$C$58*100/$BB8)</f>
        <v>4.8046222003287857</v>
      </c>
      <c r="CM8" s="19">
        <f>IF(CK8=0,0,(1/(1+Parameters!$C$116*BB8^Parameters!$C$120)*Basicinfo!AH8/Basicinfo!G8+1/(1+Parameters!$C$117*BB8^Parameters!$C$121)*Basicinfo!AI8/Basicinfo!G8)*(CK8)^Parameters!$C$124+(1/(1+Parameters!$C$118*BB8^Parameters!$C$122)*Basicinfo!AJ8/Basicinfo!G8+1/(1+Parameters!$C$119*BB8^Parameters!$C$123)*Basicinfo!AK8/Basicinfo!G8)*(CK8)^Parameters!$C$125)</f>
        <v>2.909676469588574</v>
      </c>
      <c r="CN8" s="19">
        <f>IF(SUM(Basicinfo!AB8:AG8)=0,0,(Parameters!$C$128*Basicinfo!AB8+Parameters!$C$129*(SUM(Basicinfo!AC8:AE8))+Parameters!$C$130*Basicinfo!AF8+Parameters!$C$131*Basicinfo!AG8)/SUM(Basicinfo!AB8:AG8))</f>
        <v>3.4973699137341378E-2</v>
      </c>
      <c r="CO8" s="19">
        <f>IF(Basicinfo!AH8+Basicinfo!AI8+Basicinfo!AJ8+Basicinfo!AK8=0,0,(Parameters!$C$132*(Basicinfo!AH8+Basicinfo!AI8)+Parameters!$C$133*Basicinfo!AJ8+Parameters!$C$134*Basicinfo!AK8)/(Basicinfo!AH8+Basicinfo!AI8+Basicinfo!AJ8+Basicinfo!AK8))</f>
        <v>5.0000000000000001E-4</v>
      </c>
      <c r="CP8" s="19">
        <f>IF(Basicinfo!AJ8+Basicinfo!AK8=0,0,(Parameters!$C$133*Basicinfo!AJ8+Parameters!$C$134*Basicinfo!AK8)/(Basicinfo!AJ8+Basicinfo!AK8))</f>
        <v>5.0000000000000001E-4</v>
      </c>
      <c r="CQ8" s="19">
        <f>IF(Z8=0,0,(CN8*(Z8-AA8)+CO8*Basicinfo!P8+CP8*(Basicinfo!Q8+Basicinfo!R8))/Z8)</f>
        <v>2.1355274723880307E-2</v>
      </c>
      <c r="CR8" s="289">
        <f>Basicinfo!EI8</f>
        <v>2.4476735263157894E-2</v>
      </c>
      <c r="CS8" s="19">
        <f>IF(SUM(Basicinfo!AB8:AG8)=0,0,(Basicinfo!AB8*Parameters!$C$43+(Basicinfo!AC8+Basicinfo!AD8)*Parameters!$C$44+Basicinfo!AE8*Parameters!$C$45+(Basicinfo!AF8+Basicinfo!AG8)*Parameters!$C$46)/SUM(Basicinfo!AB8:AG8))</f>
        <v>19.541747515460699</v>
      </c>
      <c r="CT8" s="19">
        <f>(Parameters!$C$41*CS8+Parameters!$C$42)</f>
        <v>474.32582465769912</v>
      </c>
      <c r="CU8" s="19">
        <f>CT8+Basicinfo!BR8/(Parameters!$C$47*Parameters!$C$49*Parameters!$C$48*10000/1000000)</f>
        <v>600.158131073248</v>
      </c>
      <c r="CV8" s="19">
        <f>IF(BK8/Basicinfo!G8&lt;Parameters!$C$35,Parameters!$C$35,Parameters!$C$37*(BK8/Basicinfo!G8)^Parameters!$C$38)</f>
        <v>3.4271286923502311</v>
      </c>
      <c r="CW8" s="19">
        <f>IF(BK8/Basicinfo!G8&lt;Parameters!$C$35,Parameters!$C$36,Parameters!$C$36*(BK8/Basicinfo!G8)^Parameters!$C$38)</f>
        <v>8.0537524270230438</v>
      </c>
      <c r="CX8" s="27">
        <f>IF(Basicinfo!AJ8+Basicinfo!AK8=0,0,(Parameters!$C$53*Basicinfo!AJ8+Parameters!$C$54*Basicinfo!AK8)/(Basicinfo!AJ8+Basicinfo!AK8))</f>
        <v>750</v>
      </c>
      <c r="CY8" s="56">
        <f>IF(Basicinfo!AU8*AB8=0,0,((Basicinfo!AZ8+Basicinfo!BA8)/Basicinfo!AU8+Parameters!$C$76/(Basicinfo!AU8*AB8)*100))</f>
        <v>2.6189926335289808</v>
      </c>
      <c r="CZ8" s="43">
        <f>IF(Basicinfo!AU8*AB8=0,0,(Parameters!$C$77)/(Basicinfo!AU8*AB8)*100)</f>
        <v>0.5686374744459668</v>
      </c>
      <c r="DA8" s="43">
        <f>IF(AD8+AJ8=0,0,((J8*Parameters!$C$96+Parameters!$C$94/100*S8*100*Parameters!$C$93/1000*86400*Parameters!$C$95/24*Parameters!$C$98)*AI8+AD8*CY8*86400*365)/((AD8+AJ8*AI8/365)*86400*365))</f>
        <v>9.8540430869509485</v>
      </c>
      <c r="DB8" s="43">
        <f>IF(AD8+AJ8=0,0,((J8*Parameters!$C$97+Parameters!$C$94/100*S8*100*Parameters!$C$93/1000*86400*Parameters!$C$95/24*Parameters!$C$99)*AI8+AD8*CZ8*86400*365)/((AD8+AJ8*AI8/365)*86400*365))</f>
        <v>1.7340865031396011</v>
      </c>
      <c r="DC8" s="42">
        <f>IF(AE8+AL8=0,0,((K8*Parameters!$C$96+Parameters!$C$94/100*T8*100*Parameters!$C$93/1000*86400*Parameters!$C$95/24*Parameters!$C$98)*365+AE8*CY8*86400*365)/((AE8+AL8)*86400*365))</f>
        <v>0</v>
      </c>
      <c r="DD8" s="42">
        <f>IF(AE8+AL8=0,0,((K8*Parameters!$C$97+Parameters!$C$94/100*T8*100*Parameters!$C$93/1000*86400*Parameters!$C$95/24*Parameters!$C$99)*365+AE8*CZ8*86400*365)/((AE8+AL8)*86400*365))</f>
        <v>0</v>
      </c>
      <c r="DE8" s="42">
        <f>IF(Basicinfo!AH8+Basicinfo!AI8+Basicinfo!AJ8+Basicinfo!AK8=0,0,((Basicinfo!AH8+Basicinfo!AI8)*Parameters!$C$107+(Basicinfo!AJ8+Basicinfo!AK8)*Parameters!$C$106)/(Basicinfo!AH8+Basicinfo!AI8+Basicinfo!AJ8+Basicinfo!AK8))</f>
        <v>88.235042944298996</v>
      </c>
      <c r="DF8" s="42">
        <f>IF(Basicinfo!AH8+Basicinfo!AI8+Basicinfo!AJ8+Basicinfo!AK8=0,0,((Basicinfo!AH8+Basicinfo!AI8)*Parameters!$C$109+(Basicinfo!AJ8+Basicinfo!AK8)*Parameters!$C$108)/(Basicinfo!AH8+Basicinfo!AI8+Basicinfo!AJ8+Basicinfo!AK8))</f>
        <v>88.235042944298996</v>
      </c>
      <c r="DG8" s="42">
        <f>Intermediate!AC8*Intermediate!CY8*(1-Parameters!$C$102/100*Basicinfo!BZ8/100)*(1-Parameters!$C$104/100*Basicinfo!CA8/100)*86400*365/1000000</f>
        <v>1.3495871031693416</v>
      </c>
      <c r="DH8" s="42">
        <f>Intermediate!AC8*Intermediate!CZ8*(1-Parameters!$C$103/100*Basicinfo!BZ8/100)*(1-Parameters!$C$105/100*Basicinfo!CA8/100)*86400*365/1000000</f>
        <v>0.29302327622700836</v>
      </c>
      <c r="DI8" s="42">
        <f>(Intermediate!AK8*Intermediate!DA8+(Intermediate!AE8+Intermediate!AL8)*Intermediate!DC8)*86400*365/1000000</f>
        <v>5.5634065357817617</v>
      </c>
      <c r="DJ8" s="42">
        <f>(Intermediate!AK8*Intermediate!DB8+(Intermediate!AE8+Intermediate!AL8)*Intermediate!DD8)*86400*365/1000000</f>
        <v>0.97903247428999407</v>
      </c>
      <c r="DK8" s="42">
        <f>((Basicinfo!AZ8+Basicinfo!BA8)*Intermediate!AB8+Parameters!$C$76*100)/1000*Intermediate!U8*(1-Intermediate!DE8/100)+(1-Parameters!$C$110/100)*M8*Parameters!$C$100*(1-DE8/100)*365/1000000+(1-Parameters!$C$112/100)*P8*Parameters!$C$96*365/1000000+(1-Parameters!$C$112/100)*O8*Parameters!$C$96*(1-DE8/100)*365/1000000</f>
        <v>1.1419182514753323</v>
      </c>
      <c r="DL8" s="42">
        <f>Parameters!$C$77*100/1000*Intermediate!U8*(1-Intermediate!DF8/100)+(1-Parameters!$C$111/100)*M8*Parameters!$C$101*(1-DF8/100)*365/1000000+(1-Parameters!$C$113/100)*P8*Parameters!$C$97*365/1000000+(1-Parameters!$C$113/100)*O8*Parameters!$C$97*(1-DF8/100)*365/1000000</f>
        <v>0.17009398650053154</v>
      </c>
      <c r="DM8" s="31"/>
      <c r="DN8" s="31"/>
      <c r="DO8" s="31"/>
      <c r="DP8" s="31"/>
      <c r="DQ8" s="31"/>
      <c r="DR8" s="31"/>
      <c r="DS8" s="31"/>
      <c r="DT8" s="188">
        <f>BO8*(Basicinfo!$P8+Basicinfo!$Q8)/1000</f>
        <v>142.39589176942806</v>
      </c>
      <c r="DU8" s="188">
        <f>DT8*Basicinfo!$AZ8/(Basicinfo!$AZ8+Basicinfo!$BA8)</f>
        <v>91.23933730084326</v>
      </c>
      <c r="DV8" s="188">
        <f>DT8*Basicinfo!$BC8/(Basicinfo!$BB8+Basicinfo!$BC8)</f>
        <v>48.302250646207291</v>
      </c>
      <c r="DW8" s="188">
        <f>BP8*(Basicinfo!$P8+Basicinfo!$Q8)/1000</f>
        <v>156.45281059349364</v>
      </c>
      <c r="DX8" s="188">
        <f>DW8*Basicinfo!$BB8/(Basicinfo!$BB8+Basicinfo!$BC8)</f>
        <v>103.38229867291732</v>
      </c>
      <c r="DY8" s="188">
        <f>DW8*Basicinfo!$BC8/(Basicinfo!$BB8+Basicinfo!$BC8)</f>
        <v>53.070511920576308</v>
      </c>
      <c r="DZ8" s="188">
        <f t="shared" si="10"/>
        <v>254.9575324093336</v>
      </c>
      <c r="EA8" s="188">
        <f>DZ8*Basicinfo!$AZ8/(Basicinfo!$AZ8+Basicinfo!$BA8)</f>
        <v>163.36255216233826</v>
      </c>
      <c r="EB8" s="188">
        <f>DZ8*Basicinfo!$BC8/(Basicinfo!$BB8+Basicinfo!$BC8)</f>
        <v>86.484395592781752</v>
      </c>
      <c r="EC8" s="188">
        <f t="shared" si="11"/>
        <v>280.12621734910181</v>
      </c>
      <c r="ED8" s="188">
        <f>EC8*Basicinfo!$AZ8/(Basicinfo!$AZ8+Basicinfo!$BA8)</f>
        <v>179.48924027182761</v>
      </c>
      <c r="EE8" s="188">
        <f>EC8*Basicinfo!$BC8/(Basicinfo!$BB8+Basicinfo!$BC8)</f>
        <v>95.021889991599181</v>
      </c>
      <c r="EF8" s="190">
        <f>(Basicinfo!BP8-BL8/100)*Intermediate!X8/10</f>
        <v>457.50962103858501</v>
      </c>
      <c r="EG8" s="191">
        <f>(Basicinfo!BQ8-BM8/100)*Intermediate!X8/10</f>
        <v>501.60589549433035</v>
      </c>
      <c r="EH8" s="197">
        <f>IF(AU8=0,0,$BS8*((Basicinfo!$P8+Basicinfo!$Q8)*Intermediate!$AT8*1000+$AW8*3600*24*365)/1000000*Basicinfo!AZ8/(Basicinfo!$AZ8+Basicinfo!$BA8))</f>
        <v>10.210004873550016</v>
      </c>
      <c r="EI8" s="197">
        <f>IF(AU8=0,0,$BS8*((Basicinfo!$P8+Basicinfo!$Q8)*Intermediate!$AT8*1000+$AW8*3600*24*365)/1000000*Basicinfo!BA8/(Basicinfo!$AZ8+Basicinfo!$BA8))</f>
        <v>5.7245995629721698</v>
      </c>
      <c r="EJ8" s="198">
        <f>IF(AU8=0,0,$BS8*($AT8*$X8*1000)/1000000*Basicinfo!AZ8/(Basicinfo!$AZ8+Basicinfo!$BA8))</f>
        <v>18.280847966194369</v>
      </c>
      <c r="EK8" s="198">
        <f>IF(AU8=0,0,$BS8*($AT8*$X8*1000)/1000000*Basicinfo!BA8/(Basicinfo!$AZ8+Basicinfo!$BA8))</f>
        <v>10.249802578365465</v>
      </c>
      <c r="EL8" s="147">
        <f>Parameters!$C$150/Basicinfo!$AV8*100</f>
        <v>8.5936010539668969E-2</v>
      </c>
      <c r="EM8" s="147">
        <f>Parameters!$C$151/Basicinfo!$AV8*100</f>
        <v>0.17187202107933794</v>
      </c>
      <c r="EN8" s="147">
        <f>(Parameters!$C$150+Parameters!$C$151)/Intermediate!$BB8*100</f>
        <v>0.59558810572609122</v>
      </c>
      <c r="EO8" s="193">
        <f>IF(EN8=0,0,(1/(1+Parameters!$C$116*$BB8^Parameters!$C$120)*Basicinfo!$AH8/Basicinfo!$G8+1/(1+Parameters!$C$117*$BB8^Parameters!$C$121)*Basicinfo!$AI8/Basicinfo!$G8)*(EN8)^Parameters!$C$124+(1/(1+Parameters!$C$118*$BB8^Parameters!$C$122)*Basicinfo!$AJ8/Basicinfo!AW8+1/(1+Parameters!$C$119*$BB8^Parameters!$C$123)*Basicinfo!$AK8/Basicinfo!$G8)*(EN8)^Parameters!$C$125)</f>
        <v>0.53277920516454225</v>
      </c>
      <c r="EP8" s="199">
        <f>EL8*($AT8*Basicinfo!$P8*1000+$AW8*3600*24*365)/1000000</f>
        <v>0.80118080244336332</v>
      </c>
      <c r="EQ8" s="199">
        <f>EM8*($AT8*Basicinfo!$P8*1000+$AW8*3600*24*365)/1000000</f>
        <v>1.6023616048867266</v>
      </c>
      <c r="ER8" s="199">
        <f t="shared" si="12"/>
        <v>1.4345012195678046</v>
      </c>
      <c r="ES8" s="199">
        <f t="shared" si="13"/>
        <v>2.8690024391356093</v>
      </c>
      <c r="ET8" s="181">
        <f t="shared" si="14"/>
        <v>56.422905320263112</v>
      </c>
      <c r="EU8" s="147">
        <f>Intermediate!F8*(Parameters!$C$150)/1000*100</f>
        <v>1.1260736208950008</v>
      </c>
      <c r="EV8" s="147">
        <f>Intermediate!F8*(Parameters!$C$151)/1000*100</f>
        <v>2.2521472417900017</v>
      </c>
      <c r="EW8" s="181">
        <f>'Local emissions'!$S8*Basicinfo!AZ8/(Basicinfo!$AZ8+Basicinfo!$BA8)-Intermediate!EU8</f>
        <v>13.039017775727766</v>
      </c>
      <c r="EX8" s="147">
        <f>'Local emissions'!$S8*Basicinfo!BA8/(Basicinfo!$AZ8+Basicinfo!$BA8)-Intermediate!EV8</f>
        <v>5.6900111629172763</v>
      </c>
      <c r="EY8" s="188">
        <f t="shared" si="15"/>
        <v>9.4088240711066522</v>
      </c>
      <c r="EZ8" s="188">
        <f t="shared" si="16"/>
        <v>4.1222379580854431</v>
      </c>
      <c r="FA8" s="188">
        <f t="shared" si="17"/>
        <v>16.846346746626566</v>
      </c>
      <c r="FB8" s="181">
        <f t="shared" si="18"/>
        <v>7.380800139229855</v>
      </c>
      <c r="FC8" s="181">
        <f>'Local emissions'!Y8-Intermediate!ET8</f>
        <v>251.99414762178282</v>
      </c>
      <c r="FD8" s="188">
        <f t="shared" si="19"/>
        <v>27.768229463574219</v>
      </c>
      <c r="FE8" s="188">
        <f t="shared" si="20"/>
        <v>14.254608106774153</v>
      </c>
      <c r="FF8" s="181">
        <f t="shared" si="21"/>
        <v>24.105182773501159</v>
      </c>
      <c r="FG8" s="201">
        <f t="shared" si="22"/>
        <v>12.761322195481684</v>
      </c>
      <c r="FH8" s="181">
        <f t="shared" si="23"/>
        <v>173.10480508245161</v>
      </c>
      <c r="FJ8" s="147">
        <f>AVERAGE(Parameters!$C$132:$C$134)*'Local emissions'!J8*3600*24*365/1000000</f>
        <v>5.2951489822916031E-2</v>
      </c>
      <c r="FK8" s="147">
        <f>'Local emissions'!AJ8+CT8*BJ8/100*Intermediate!X8*100/1000000</f>
        <v>0.53213231685710394</v>
      </c>
      <c r="FL8" s="31">
        <f>(Parameters!$C$18*(Basicinfo!AH8+Basicinfo!AI8)+Parameters!$C$19*Basicinfo!AJ8+Parameters!$C$20*Basicinfo!AK8)/Basicinfo!G8</f>
        <v>3.4558760736074751E-2</v>
      </c>
      <c r="FM8" s="181">
        <f t="shared" si="24"/>
        <v>0.97994860379381021</v>
      </c>
    </row>
    <row r="9" spans="1:169">
      <c r="A9" s="39" t="str">
        <f>Basicinfo!A9</f>
        <v>Moosbach</v>
      </c>
      <c r="B9" s="63">
        <f>Basicinfo!B9</f>
        <v>640</v>
      </c>
      <c r="C9" s="63">
        <f>Basicinfo!C9</f>
        <v>650</v>
      </c>
      <c r="D9" s="61">
        <f>Basicinfo!U9*Basicinfo!V9/1000+Basicinfo!Y9</f>
        <v>0.20358581850260699</v>
      </c>
      <c r="E9" s="19">
        <f>Basicinfo!W9*Basicinfo!X9/1000+Basicinfo!Z9</f>
        <v>0</v>
      </c>
      <c r="F9" s="19">
        <f t="shared" si="0"/>
        <v>0.20358581850260699</v>
      </c>
      <c r="G9" s="19">
        <f>SUM(Basicinfo!H9:L9)</f>
        <v>7.7295192338956458</v>
      </c>
      <c r="H9" s="19">
        <f>IF(Basicinfo!N9&lt;Parameters!$C$68,Parameters!$C$69,Basicinfo!BS9/(Basicinfo!N9*100))</f>
        <v>12.263288121973691</v>
      </c>
      <c r="I9" s="19">
        <f>IF(Basicinfo!N9=0,0,Basicinfo!BU9*(1-Basicinfo!BX9/100))</f>
        <v>1310.1880521477294</v>
      </c>
      <c r="J9" s="19">
        <f>IF(Basicinfo!N9=0,0,Basicinfo!BU9*Basicinfo!BX9/100)</f>
        <v>616.55908336363746</v>
      </c>
      <c r="K9" s="19">
        <f>IF(Basicinfo!N9=0,0,Basicinfo!BT9-Basicinfo!BU9)</f>
        <v>0</v>
      </c>
      <c r="L9" s="27">
        <f>Basicinfo!BV9*Basicinfo!BW9/100</f>
        <v>249.34333333333333</v>
      </c>
      <c r="M9" s="27">
        <f>Basicinfo!BV9-Intermediate!L9</f>
        <v>249.34333333333328</v>
      </c>
      <c r="N9" s="73">
        <f>Basicinfo!BS9-SUM(I9:K9)-Basicinfo!BV9</f>
        <v>0</v>
      </c>
      <c r="O9" s="19">
        <f>IF(Basicinfo!AH9+Basicinfo!AI9+Basicinfo!AJ9+Basicinfo!AK9=0,0,N9*(Basicinfo!AH9+Basicinfo!AI9)/SUM(Basicinfo!AH9:AK9))</f>
        <v>0</v>
      </c>
      <c r="P9" s="73">
        <f t="shared" si="25"/>
        <v>0</v>
      </c>
      <c r="Q9" s="19">
        <f>IF(Basicinfo!BS9=0,Basicinfo!N9,IF(H9&gt;Parameters!$C$70,Parameters!$C$64*(Parameters!$C$65*Parameters!$C$70)^(Parameters!$C$66-Parameters!$C$67*LOG(Parameters!$C$65*Parameters!$C$70,10))/100*Basicinfo!N9,Parameters!$C$64*(Parameters!$C$65*H9)^(Parameters!$C$66-Parameters!$C$67*LOG(Parameters!$C$65*H9,10))/100*Basicinfo!N9))</f>
        <v>0.45518327944505949</v>
      </c>
      <c r="R9" s="19">
        <f>IF(Basicinfo!BS9=0,Q9*(1-Basicinfo!BX9/100),IF(H9&lt;Parameters!$C$75,Q9*Basicinfo!BU9/Basicinfo!BS9*(1-Basicinfo!BX9/100)*(-Parameters!$C$74+Parameters!$C$73*LN(H9*100)),Q9*Basicinfo!BU9/Basicinfo!BS9*(1-Basicinfo!BX9/100)))</f>
        <v>0.12809888150911233</v>
      </c>
      <c r="S9" s="19">
        <f>IF(Basicinfo!BS9=0,Q9*Basicinfo!BX9/100,Q9*Basicinfo!BU9/Basicinfo!BS9*Basicinfo!BX9/100)</f>
        <v>0.11571018152920919</v>
      </c>
      <c r="T9" s="19">
        <f>IF(Basicinfo!BS9=0,0,IF(H9&lt;Parameters!$C$75,Q9*K9/Basicinfo!BS9*(-Parameters!$C$74+Parameters!$C$73*LN(H9*100)),Q9*K9/Basicinfo!BS9))</f>
        <v>0</v>
      </c>
      <c r="U9" s="19">
        <f t="shared" si="26"/>
        <v>0.21137421640673792</v>
      </c>
      <c r="V9" s="19">
        <f>IF(Basicinfo!AL9&gt;Parameters!$C$14,Basicinfo!Q9,0)</f>
        <v>0</v>
      </c>
      <c r="W9" s="19">
        <f>IF(Basicinfo!AL9&gt;Parameters!$C$14,0,Basicinfo!Q9)</f>
        <v>0</v>
      </c>
      <c r="X9" s="19">
        <f>G9+Basicinfo!M9</f>
        <v>17.068697197863607</v>
      </c>
      <c r="Y9" s="19">
        <f>IF(Basicinfo!G9-F9-Q9-V9-Basicinfo!O9-Basicinfo!R9-Basicinfo!S9&lt;0,0,Basicinfo!G9-F9-Q9-V9-Basicinfo!O9-Basicinfo!R9-Basicinfo!S9)</f>
        <v>42.659481463632268</v>
      </c>
      <c r="Z9" s="19">
        <f>Basicinfo!G9-F9-Basicinfo!BO9-Q9-Basicinfo!O9</f>
        <v>41.95190703887129</v>
      </c>
      <c r="AA9" s="53">
        <f>IF(Z9+Basicinfo!BO9-X9&gt;0,Z9+Basicinfo!BO9-X9,0)</f>
        <v>25.596262852888721</v>
      </c>
      <c r="AB9" s="56">
        <f>IF(Basicinfo!N9=0,0,Parameters!$C$71+Parameters!$C$72*Q9/Basicinfo!N9)</f>
        <v>0.32260964922420171</v>
      </c>
      <c r="AC9" s="43">
        <f>Basicinfo!AU9*AB9*R9/1000/86.4/0.365</f>
        <v>1.5726883043776284E-3</v>
      </c>
      <c r="AD9" s="43">
        <f>Basicinfo!AU9*AB9*S9/1000/86.4/0.365</f>
        <v>1.4205904614042603E-3</v>
      </c>
      <c r="AE9" s="43">
        <f>Basicinfo!AU9*AB9*T9/1000/86.4/0.365</f>
        <v>0</v>
      </c>
      <c r="AF9" s="43">
        <f>Basicinfo!AU9*AB9*U9/1000/86.4/0.365</f>
        <v>2.5950715109578485E-3</v>
      </c>
      <c r="AG9" s="43">
        <f>((Parameters!$C$80+Parameters!$C$81*Parameters!$C$89)/(Parameters!$C$82+Parameters!$C$89)/(Parameters!$C$90/100*Parameters!$C$91+(Parameters!$C$83+Parameters!$C$84*Parameters!$C$89)/(Parameters!$C$85+Parameters!$C$89)))-Parameters!$C$86+(Basicinfo!AU9-Parameters!$C$88)/Parameters!$C$87</f>
        <v>81.391797330155072</v>
      </c>
      <c r="AH9" s="43">
        <f>((Parameters!$C$80+Parameters!$C$81*Parameters!$C$89)/(Parameters!$C$82+Parameters!$C$89)/(Basicinfo!BY9/100*Parameters!$C$91+(Parameters!$C$83+Parameters!$C$84*Parameters!$C$89)/(Parameters!$C$85+Parameters!$C$89)))-Parameters!$C$86+(Basicinfo!AU9-Parameters!$C$88)/Parameters!$C$87</f>
        <v>63.588915463539507</v>
      </c>
      <c r="AI9" s="43">
        <f>Basicinfo!AU9^Parameters!$C$79*Parameters!$C$78*AH9/AG9</f>
        <v>46.778733395260986</v>
      </c>
      <c r="AJ9" s="43">
        <f>(J9*Parameters!$C$92/1000+Parameters!$C$94/100*S9*100*Parameters!$C$93/1000*86400*Parameters!$C$95/24)/86400</f>
        <v>9.3155007129718729E-4</v>
      </c>
      <c r="AK9" s="43">
        <f t="shared" si="1"/>
        <v>9.7925579784956425E-4</v>
      </c>
      <c r="AL9" s="43">
        <f>(K9*Parameters!$C$92/1000+Parameters!$C$94/100*T9*100*Parameters!$C$93/1000*86400*Parameters!$C$95/24)/86400</f>
        <v>0</v>
      </c>
      <c r="AM9" s="43">
        <f>(Intermediate!N9+Basicinfo!BV9-Intermediate!L9)*Parameters!$C$92/1000/86400</f>
        <v>3.7516936728395055E-4</v>
      </c>
      <c r="AN9" s="43">
        <f t="shared" si="2"/>
        <v>2.4760263719630893E-3</v>
      </c>
      <c r="AO9" s="43">
        <f t="shared" si="27"/>
        <v>9.7925579784956425E-4</v>
      </c>
      <c r="AP9" s="43">
        <f t="shared" si="28"/>
        <v>2.970240878241799E-3</v>
      </c>
      <c r="AQ9" s="43">
        <f t="shared" si="3"/>
        <v>5.5221849804689919E-3</v>
      </c>
      <c r="AR9" s="61">
        <f>(Basicinfo!AU9-Basicinfo!AY9)*F9/1000/86.4/0.365</f>
        <v>3.2022573021895707E-3</v>
      </c>
      <c r="AS9" s="19">
        <f>IF(Basicinfo!AP9-Basicinfo!CB9-Basicinfo!CG9&lt;0,0,(Basicinfo!AP9-Basicinfo!CB9-Basicinfo!CG9)/Basicinfo!G9*1000)</f>
        <v>11.958700317504515</v>
      </c>
      <c r="AT9" s="19">
        <f>Parameters!$C$3*((AS9*86.4*0.365)^Parameters!$C$4)</f>
        <v>69.17903870039359</v>
      </c>
      <c r="AU9" s="19">
        <f>IF(AT9/86.4/0.365*(Basicinfo!G9/1000)-AN9&lt;0,0,AT9/86.4/0.365*(Basicinfo!G9/1000)-AN9)</f>
        <v>9.2561198876111708E-2</v>
      </c>
      <c r="AV9" s="19">
        <f>IF(Basicinfo!AU9&gt;Parameters!$C$13,Parameters!$C$11*(Basicinfo!AU9-Parameters!$C$13)^Parameters!$C$12,0)</f>
        <v>145.67249770312395</v>
      </c>
      <c r="AW9" s="19">
        <f>IF(AV9*V9/1000/86.4/0.365&gt;Basicinfo!AP9*Parameters!$C$15,Basicinfo!AP9*Parameters!$C$15,AV9*V9/1000/86.4/0.365)</f>
        <v>0</v>
      </c>
      <c r="AX9" s="19">
        <f>Basicinfo!AU9-Basicinfo!AW9</f>
        <v>432.15379625771413</v>
      </c>
      <c r="AY9" s="19">
        <f>Parameters!$C$56*AX9+Parameters!$C$57*Basicinfo!AW9</f>
        <v>292.87404354631423</v>
      </c>
      <c r="AZ9" s="19">
        <f>AY9*Basicinfo!BO9/1000/86.4/0.365</f>
        <v>6.6221054938000465E-3</v>
      </c>
      <c r="BA9" s="19">
        <f>IF(Basicinfo!AP9-AQ9-AR9-AU9-AW9-AZ9-Basicinfo!CB9-Basicinfo!CG9&lt;0,0,Basicinfo!AP9-AQ9-AR9-AU9-AW9-AZ9-Basicinfo!CB9-Basicinfo!CG9)</f>
        <v>0.41018774687346793</v>
      </c>
      <c r="BB9" s="53">
        <f t="shared" si="4"/>
        <v>308.34547696284466</v>
      </c>
      <c r="BC9" s="56">
        <f>IF(G9=0,0,((Basicinfo!H9*Basicinfo!BE9+Basicinfo!I9*Basicinfo!BF9+Basicinfo!J9*Basicinfo!BG9+Basicinfo!K9*Basicinfo!BH9+Basicinfo!L9*Basicinfo!BI9)*(1-Basicinfo!BN9/G9*Parameters!$C$26/100)/G9)*Basicinfo!BM9)</f>
        <v>5.4937677499171427</v>
      </c>
      <c r="BD9" s="43">
        <f>IF(Basicinfo!AW9*Parameters!$C$39-Parameters!$C$40&lt;0,0.001,(Basicinfo!AW9*Parameters!$C$39-Parameters!$C$40)/(Basicinfo!AX9*Parameters!$C$39-Parameters!$C$40))</f>
        <v>1.1332259206804811</v>
      </c>
      <c r="BE9" s="43">
        <f>(BC9*G9*100+Basicinfo!BJ9*Basicinfo!M9*100)*Parameters!$C$29*BD9</f>
        <v>4991.2160407582569</v>
      </c>
      <c r="BF9" s="43">
        <f>(Basicinfo!BK9*Basicinfo!P9*100)*BD9*Parameters!$C$29</f>
        <v>308.78200192354274</v>
      </c>
      <c r="BG9" s="43">
        <f>Parameters!$C$27*(V9+W9)*100</f>
        <v>0</v>
      </c>
      <c r="BH9" s="43">
        <f>Parameters!$C$28*Basicinfo!R9*100</f>
        <v>0</v>
      </c>
      <c r="BI9" s="43">
        <f t="shared" si="29"/>
        <v>308.78200192354274</v>
      </c>
      <c r="BJ9" s="43">
        <f>IF(Basicinfo!AM9&lt;Parameters!$C$33,0,Parameters!$C$30*(((Basicinfo!AM9-Parameters!$C$33)^Parameters!$C$31)*(((G9-Basicinfo!BN9)/Basicinfo!G9*100+Parameters!$C$34))^Parameters!$C$32))</f>
        <v>1.7943028233540472</v>
      </c>
      <c r="BK9" s="58">
        <f t="shared" si="30"/>
        <v>398.33953226256824</v>
      </c>
      <c r="BL9" s="61">
        <f>Basicinfo!AZ9+Basicinfo!BA9</f>
        <v>1932.2317365321983</v>
      </c>
      <c r="BM9" s="19">
        <f>Basicinfo!BB9+Basicinfo!BC9</f>
        <v>2095.238176498704</v>
      </c>
      <c r="BN9" s="172">
        <f>IF(Basicinfo!AO9=0,0,IF(Basicinfo!AO9="NA",1,IF(OR(Basicinfo!AO9="SA",Basicinfo!AN9="S"),3,IF(Basicinfo!AN9="N",1,IF(Basicinfo!AO9="ZA",2,0)))))</f>
        <v>0</v>
      </c>
      <c r="BO9" s="27">
        <f>IF($BN9=1,(BL9)*(1+Parameters!$C$21*Parameters!$C$22-Parameters!$C$22*Basicinfo!$AL9),IF($BN9=2,(BL9)*(1+Parameters!$C$21*Parameters!$C$23-Parameters!$C$23*Basicinfo!$AL9),IF($BN9=3,(BL9)*(1+Parameters!$C$21*Parameters!$C$24-Parameters!$C$24*Basicinfo!$AL9),BL9)))</f>
        <v>1932.2317365321983</v>
      </c>
      <c r="BP9" s="27">
        <f>IF($BN9=1,(BM9)*(1+Parameters!$C$21*Parameters!$C$22-Parameters!$C$22*Basicinfo!$AL9),IF($BN9=2,(BM9)*(1+Parameters!$C$21*Parameters!$C$23-Parameters!$C$23*Basicinfo!$AL9),IF($BN9=3,(BM9)*(1+Parameters!$C$21*Parameters!$C$24-Parameters!$C$24*Basicinfo!$AL9),BM9)))</f>
        <v>2095.238176498704</v>
      </c>
      <c r="BQ9" s="27">
        <f>IF(Basicinfo!AU9=0,0,IF(G9+Basicinfo!M9=0,0,(Parameters!$C$16+BO9/Basicinfo!AU9)*G9+(Parameters!$C$17+BO9/Basicinfo!AU9)*Basicinfo!M9)/(G9+Basicinfo!M9))</f>
        <v>1.7458793586541754</v>
      </c>
      <c r="BR9" s="27">
        <f>IF(Basicinfo!AU9=0,0,IF(G9+Basicinfo!M9=0,0,(Parameters!$C$16+BP9/Basicinfo!AU9)*G9+(Parameters!$C$17+BP9/Basicinfo!AU9)*Basicinfo!M9)/(G9+Basicinfo!M9))</f>
        <v>1.8817038818927214</v>
      </c>
      <c r="BS9" s="27">
        <f>IF(Basicinfo!AU9=0,0,BO9/Basicinfo!AU9)</f>
        <v>1.6100250668304892</v>
      </c>
      <c r="BT9" s="27">
        <f>IF(Basicinfo!AU9=0,0,BP9/Basicinfo!AU9)</f>
        <v>1.7458495900690352</v>
      </c>
      <c r="BU9" s="27">
        <f>IF(SUM(G9,Basicinfo!M9,Basicinfo!P9,W9)=0,0,(BQ9*(G9+Basicinfo!M9)+BS9*(Basicinfo!P9+W9))/SUM(G9,Basicinfo!M9,Basicinfo!P9,W9))</f>
        <v>1.6663943554427643</v>
      </c>
      <c r="BV9" s="19">
        <f>IF(Basicinfo!BR9/Parameters!$C$10&gt;1,1,Basicinfo!BR9/Parameters!$C$10)</f>
        <v>0.36186446310816323</v>
      </c>
      <c r="BW9" s="19">
        <f>Parameters!$C$5+Parameters!$C$6*EXP(BV9*Parameters!$C$8*Parameters!$C$7)</f>
        <v>3.5096230123123108E-2</v>
      </c>
      <c r="BX9" s="19">
        <f>Parameters!$C$5+Parameters!$C$6*EXP(BV9*Parameters!$C$9*Parameters!$C$7)</f>
        <v>3.5054918623728476E-2</v>
      </c>
      <c r="BY9" s="19">
        <f>IF(Basicinfo!AH9+Basicinfo!AI9+Basicinfo!AJ9+Basicinfo!AK9=0,0,(Parameters!$C$18*(Basicinfo!AH9+Basicinfo!AI9)+Parameters!$C$19*Basicinfo!AJ9+Parameters!$C$20*Basicinfo!AK9)/(Basicinfo!AH9+Basicinfo!AI9+Basicinfo!AJ9+Basicinfo!AK9))</f>
        <v>3.5000000000000003E-2</v>
      </c>
      <c r="BZ9" s="19">
        <f>IF(Basicinfo!AJ9+Basicinfo!AK9=0,Parameters!$C$18,(Parameters!$C$19*Basicinfo!AJ9+Parameters!$C$20*Basicinfo!AK9)/(Basicinfo!AJ9+Basicinfo!AK9))</f>
        <v>3.5000000000000003E-2</v>
      </c>
      <c r="CA9" s="19">
        <f>IF(SUM(G9,Basicinfo!M9,Basicinfo!P9,W9)=0,0,(BW9*G9+BX9*Basicinfo!M9+BY9*Basicinfo!P9+BZ9*W9)/(SUM(G9,Basicinfo!M9,Basicinfo!P9,W9)))</f>
        <v>3.5030549421129216E-2</v>
      </c>
      <c r="CB9" s="19">
        <f>IF(Y9=0,Basicinfo!BP9,Basicinfo!BP9-(AU9*X9/Y9*Intermediate!BQ9*86400*365/1000000)*1000/(X9*100))</f>
        <v>54.080600822050634</v>
      </c>
      <c r="CC9" s="19">
        <f>IF(Y9=0,Basicinfo!BQ9,Basicinfo!BQ9-(AU9*Basicinfo!AV9/Basicinfo!AU9*X9/Y9*Intermediate!BR9*86400*365/1000000)*1000/(X9*100))</f>
        <v>54.710007619929591</v>
      </c>
      <c r="CD9" s="19">
        <f>IF(OR(Y9=0,AA9=0),BP9/100,BP9/100-(AU9*Basicinfo!AV9/Basicinfo!AU9*(Basicinfo!P9+W9)/Y9*Intermediate!BT9*86400*365/1000000+AW9*Basicinfo!AV9/Basicinfo!AU9*Intermediate!BT9*86400*365/1000000)*1000/(AA9*100))</f>
        <v>19.880500957480116</v>
      </c>
      <c r="CE9" s="19">
        <f t="shared" si="5"/>
        <v>89481.741804396341</v>
      </c>
      <c r="CF9" s="19">
        <f t="shared" si="6"/>
        <v>50886.6528154767</v>
      </c>
      <c r="CG9" s="19">
        <f>IF(AY9=0,0,((CB9^Parameters!$C$58))/AY9*100)</f>
        <v>10.148559408540619</v>
      </c>
      <c r="CH9" s="19">
        <f>IF(SUM(Basicinfo!AB9:AG9)=0,0,(Parameters!$C$59*Basicinfo!AB9+Parameters!$C$60*SUM(Basicinfo!AC9:AE9)+Parameters!$C$61*Basicinfo!AF9+Parameters!$C$62*Basicinfo!AG9)/SUM(Basicinfo!AB9:AG9))</f>
        <v>0.11440932513270524</v>
      </c>
      <c r="CI9" s="19">
        <f t="shared" si="7"/>
        <v>10</v>
      </c>
      <c r="CJ9" s="19">
        <f t="shared" si="8"/>
        <v>33.459359663867531</v>
      </c>
      <c r="CK9" s="19">
        <f t="shared" si="9"/>
        <v>10.851256841331697</v>
      </c>
      <c r="CL9" s="19">
        <f>IF($BB9=0,0,$CJ9^Parameters!$C$58*100/$BB9)</f>
        <v>6.4091789735957923</v>
      </c>
      <c r="CM9" s="19">
        <f>IF(CK9=0,0,(1/(1+Parameters!$C$116*BB9^Parameters!$C$120)*Basicinfo!AH9/Basicinfo!G9+1/(1+Parameters!$C$117*BB9^Parameters!$C$121)*Basicinfo!AI9/Basicinfo!G9)*(CK9)^Parameters!$C$124+(1/(1+Parameters!$C$118*BB9^Parameters!$C$122)*Basicinfo!AJ9/Basicinfo!G9+1/(1+Parameters!$C$119*BB9^Parameters!$C$123)*Basicinfo!AK9/Basicinfo!G9)*(CK9)^Parameters!$C$125)</f>
        <v>2.3935321051919973</v>
      </c>
      <c r="CN9" s="19">
        <f>IF(SUM(Basicinfo!AB9:AG9)=0,0,(Parameters!$C$128*Basicinfo!AB9+Parameters!$C$129*(SUM(Basicinfo!AC9:AE9))+Parameters!$C$130*Basicinfo!AF9+Parameters!$C$131*Basicinfo!AG9)/SUM(Basicinfo!AB9:AG9))</f>
        <v>3.4679161626563766E-2</v>
      </c>
      <c r="CO9" s="19">
        <f>IF(Basicinfo!AH9+Basicinfo!AI9+Basicinfo!AJ9+Basicinfo!AK9=0,0,(Parameters!$C$132*(Basicinfo!AH9+Basicinfo!AI9)+Parameters!$C$133*Basicinfo!AJ9+Parameters!$C$134*Basicinfo!AK9)/(Basicinfo!AH9+Basicinfo!AI9+Basicinfo!AJ9+Basicinfo!AK9))</f>
        <v>5.0000000000000001E-4</v>
      </c>
      <c r="CP9" s="19">
        <f>IF(Basicinfo!AJ9+Basicinfo!AK9=0,0,(Parameters!$C$133*Basicinfo!AJ9+Parameters!$C$134*Basicinfo!AK9)/(Basicinfo!AJ9+Basicinfo!AK9))</f>
        <v>0</v>
      </c>
      <c r="CQ9" s="19">
        <f>IF(Z9=0,0,(CN9*(Z9-AA9)+CO9*Basicinfo!P9+CP9*(Basicinfo!Q9+Basicinfo!R9))/Z9)</f>
        <v>1.3807098475689523E-2</v>
      </c>
      <c r="CR9" s="289">
        <f>Basicinfo!EI9</f>
        <v>1.2095873684210523E-2</v>
      </c>
      <c r="CS9" s="19">
        <f>IF(SUM(Basicinfo!AB9:AG9)=0,0,(Basicinfo!AB9*Parameters!$C$43+(Basicinfo!AC9+Basicinfo!AD9)*Parameters!$C$44+Basicinfo!AE9*Parameters!$C$45+(Basicinfo!AF9+Basicinfo!AG9)*Parameters!$C$46)/SUM(Basicinfo!AB9:AG9))</f>
        <v>17.836138471433049</v>
      </c>
      <c r="CT9" s="19">
        <f>(Parameters!$C$41*CS9+Parameters!$C$42)</f>
        <v>456.92861240861708</v>
      </c>
      <c r="CU9" s="19">
        <f>CT9+Basicinfo!BR9/(Parameters!$C$47*Parameters!$C$49*Parameters!$C$48*10000/1000000)</f>
        <v>584.37773149073746</v>
      </c>
      <c r="CV9" s="19">
        <f>IF(BK9/Basicinfo!G9&lt;Parameters!$C$35,Parameters!$C$35,Parameters!$C$37*(BK9/Basicinfo!G9)^Parameters!$C$38)</f>
        <v>2.699893800347386</v>
      </c>
      <c r="CW9" s="19">
        <f>IF(BK9/Basicinfo!G9&lt;Parameters!$C$35,Parameters!$C$36,Parameters!$C$36*(BK9/Basicinfo!G9)^Parameters!$C$38)</f>
        <v>6.344750430816358</v>
      </c>
      <c r="CX9" s="27">
        <f>IF(Basicinfo!AJ9+Basicinfo!AK9=0,0,(Parameters!$C$53*Basicinfo!AJ9+Parameters!$C$54*Basicinfo!AK9)/(Basicinfo!AJ9+Basicinfo!AK9))</f>
        <v>0</v>
      </c>
      <c r="CY9" s="56">
        <f>IF(Basicinfo!AU9*AB9=0,0,((Basicinfo!AZ9+Basicinfo!BA9)/Basicinfo!AU9+Parameters!$C$76/(Basicinfo!AU9*AB9)*100))</f>
        <v>2.6431576652481623</v>
      </c>
      <c r="CZ9" s="43">
        <f>IF(Basicinfo!AU9*AB9=0,0,(Parameters!$C$77)/(Basicinfo!AU9*AB9)*100)</f>
        <v>0.64570787401104579</v>
      </c>
      <c r="DA9" s="43">
        <f>IF(AD9+AJ9=0,0,((J9*Parameters!$C$96+Parameters!$C$94/100*S9*100*Parameters!$C$93/1000*86400*Parameters!$C$95/24*Parameters!$C$98)*AI9+AD9*CY9*86400*365)/((AD9+AJ9*AI9/365)*86400*365))</f>
        <v>9.5654975229088972</v>
      </c>
      <c r="DB9" s="43">
        <f>IF(AD9+AJ9=0,0,((J9*Parameters!$C$97+Parameters!$C$94/100*S9*100*Parameters!$C$93/1000*86400*Parameters!$C$95/24*Parameters!$C$99)*AI9+AD9*CZ9*86400*365)/((AD9+AJ9*AI9/365)*86400*365))</f>
        <v>1.7551136321735432</v>
      </c>
      <c r="DC9" s="42">
        <f>IF(AE9+AL9=0,0,((K9*Parameters!$C$96+Parameters!$C$94/100*T9*100*Parameters!$C$93/1000*86400*Parameters!$C$95/24*Parameters!$C$98)*365+AE9*CY9*86400*365)/((AE9+AL9)*86400*365))</f>
        <v>0</v>
      </c>
      <c r="DD9" s="42">
        <f>IF(AE9+AL9=0,0,((K9*Parameters!$C$97+Parameters!$C$94/100*T9*100*Parameters!$C$93/1000*86400*Parameters!$C$95/24*Parameters!$C$99)*365+AE9*CZ9*86400*365)/((AE9+AL9)*86400*365))</f>
        <v>0</v>
      </c>
      <c r="DE9" s="42">
        <f>IF(Basicinfo!AH9+Basicinfo!AI9+Basicinfo!AJ9+Basicinfo!AK9=0,0,((Basicinfo!AH9+Basicinfo!AI9)*Parameters!$C$107+(Basicinfo!AJ9+Basicinfo!AK9)*Parameters!$C$106)/(Basicinfo!AH9+Basicinfo!AI9+Basicinfo!AJ9+Basicinfo!AK9))</f>
        <v>90</v>
      </c>
      <c r="DF9" s="42">
        <f>IF(Basicinfo!AH9+Basicinfo!AI9+Basicinfo!AJ9+Basicinfo!AK9=0,0,((Basicinfo!AH9+Basicinfo!AI9)*Parameters!$C$109+(Basicinfo!AJ9+Basicinfo!AK9)*Parameters!$C$108)/(Basicinfo!AH9+Basicinfo!AI9+Basicinfo!AJ9+Basicinfo!AK9))</f>
        <v>90</v>
      </c>
      <c r="DG9" s="42">
        <f>Intermediate!AC9*Intermediate!CY9*(1-Parameters!$C$102/100*Basicinfo!BZ9/100)*(1-Parameters!$C$104/100*Basicinfo!CA9/100)*86400*365/1000000</f>
        <v>0.13109083619628212</v>
      </c>
      <c r="DH9" s="42">
        <f>Intermediate!AC9*Intermediate!CZ9*(1-Parameters!$C$103/100*Basicinfo!BZ9/100)*(1-Parameters!$C$105/100*Basicinfo!CA9/100)*86400*365/1000000</f>
        <v>3.2024720377278083E-2</v>
      </c>
      <c r="DI9" s="42">
        <f>(Intermediate!AK9*Intermediate!DA9+(Intermediate!AE9+Intermediate!AL9)*Intermediate!DC9)*86400*365/1000000</f>
        <v>0.29539988510237219</v>
      </c>
      <c r="DJ9" s="42">
        <f>(Intermediate!AK9*Intermediate!DB9+(Intermediate!AE9+Intermediate!AL9)*Intermediate!DD9)*86400*365/1000000</f>
        <v>5.4201087193215487E-2</v>
      </c>
      <c r="DK9" s="42">
        <f>((Basicinfo!AZ9+Basicinfo!BA9)*Intermediate!AB9+Parameters!$C$76*100)/1000*Intermediate!U9*(1-Intermediate!DE9/100)+(1-Parameters!$C$110/100)*M9*Parameters!$C$100*(1-DE9/100)*365/1000000+(1-Parameters!$C$112/100)*P9*Parameters!$C$96*365/1000000+(1-Parameters!$C$112/100)*O9*Parameters!$C$96*(1-DE9/100)*365/1000000</f>
        <v>9.5349476500936184E-2</v>
      </c>
      <c r="DL9" s="42">
        <f>Parameters!$C$77*100/1000*Intermediate!U9*(1-Intermediate!DF9/100)+(1-Parameters!$C$111/100)*M9*Parameters!$C$101*(1-DF9/100)*365/1000000+(1-Parameters!$C$113/100)*P9*Parameters!$C$97*365/1000000+(1-Parameters!$C$113/100)*O9*Parameters!$C$97*(1-DF9/100)*365/1000000</f>
        <v>1.5130434762898397E-2</v>
      </c>
      <c r="DM9" s="31"/>
      <c r="DN9" s="31"/>
      <c r="DO9" s="31"/>
      <c r="DP9" s="31"/>
      <c r="DQ9" s="31"/>
      <c r="DR9" s="31"/>
      <c r="DS9" s="31"/>
      <c r="DT9" s="188">
        <f>BO9*(Basicinfo!$P9+Basicinfo!$Q9)/1000</f>
        <v>46.505276103687073</v>
      </c>
      <c r="DU9" s="188">
        <f>DT9*Basicinfo!$AZ9/(Basicinfo!$AZ9+Basicinfo!$BA9)</f>
        <v>29.822712972773733</v>
      </c>
      <c r="DV9" s="188">
        <f>DT9*Basicinfo!$BC9/(Basicinfo!$BB9+Basicinfo!$BC9)</f>
        <v>15.732764025447187</v>
      </c>
      <c r="DW9" s="188">
        <f>BP9*(Basicinfo!$P9+Basicinfo!$Q9)/1000</f>
        <v>50.428542321706324</v>
      </c>
      <c r="DX9" s="188">
        <f>DW9*Basicinfo!$BB9/(Basicinfo!$BB9+Basicinfo!$BC9)</f>
        <v>33.368534878125516</v>
      </c>
      <c r="DY9" s="188">
        <f>DW9*Basicinfo!$BC9/(Basicinfo!$BB9+Basicinfo!$BC9)</f>
        <v>17.060007443580812</v>
      </c>
      <c r="DZ9" s="188">
        <f t="shared" si="10"/>
        <v>32.980678426970265</v>
      </c>
      <c r="EA9" s="188">
        <f>DZ9*Basicinfo!$AZ9/(Basicinfo!$AZ9+Basicinfo!$BA9)</f>
        <v>21.149714371804457</v>
      </c>
      <c r="EB9" s="188">
        <f>DZ9*Basicinfo!$BC9/(Basicinfo!$BB9+Basicinfo!$BC9)</f>
        <v>11.157384162902364</v>
      </c>
      <c r="EC9" s="188">
        <f t="shared" si="11"/>
        <v>35.76298599206028</v>
      </c>
      <c r="ED9" s="188">
        <f>EC9*Basicinfo!$AZ9/(Basicinfo!$AZ9+Basicinfo!$BA9)</f>
        <v>22.933941170730566</v>
      </c>
      <c r="EE9" s="188">
        <f>EC9*Basicinfo!$BC9/(Basicinfo!$BB9+Basicinfo!$BC9)</f>
        <v>12.098640554331622</v>
      </c>
      <c r="EF9" s="190">
        <f>(Basicinfo!BP9-BL9/100)*Intermediate!X9/10</f>
        <v>61.366943165024473</v>
      </c>
      <c r="EG9" s="191">
        <f>(Basicinfo!BQ9-BM9/100)*Intermediate!X9/10</f>
        <v>59.716997049444686</v>
      </c>
      <c r="EH9" s="197">
        <f>IF(AU9=0,0,$BS9*((Basicinfo!$P9+Basicinfo!$Q9)*Intermediate!$AT9*1000+$AW9*3600*24*365)/1000000*Basicinfo!AZ9/(Basicinfo!$AZ9+Basicinfo!$BA9))</f>
        <v>1.7190760832264065</v>
      </c>
      <c r="EI9" s="197">
        <f>IF(AU9=0,0,$BS9*((Basicinfo!$P9+Basicinfo!$Q9)*Intermediate!$AT9*1000+$AW9*3600*24*365)/1000000*Basicinfo!BA9/(Basicinfo!$AZ9+Basicinfo!$BA9))</f>
        <v>0.96163602927237124</v>
      </c>
      <c r="EJ9" s="198">
        <f>IF(AU9=0,0,$BS9*($AT9*$X9*1000)/1000000*Basicinfo!AZ9/(Basicinfo!$AZ9+Basicinfo!$BA9))</f>
        <v>1.2191368430106071</v>
      </c>
      <c r="EK9" s="198">
        <f>IF(AU9=0,0,$BS9*($AT9*$X9*1000)/1000000*Basicinfo!BA9/(Basicinfo!$AZ9+Basicinfo!$BA9))</f>
        <v>0.68197441887042465</v>
      </c>
      <c r="EL9" s="147">
        <f>Parameters!$C$150/Basicinfo!$AV9*100</f>
        <v>8.7321305041258804E-2</v>
      </c>
      <c r="EM9" s="147">
        <f>Parameters!$C$151/Basicinfo!$AV9*100</f>
        <v>0.17464261008251761</v>
      </c>
      <c r="EN9" s="147">
        <f>(Parameters!$C$150+Parameters!$C$151)/Intermediate!$BB9*100</f>
        <v>0.97293465419033764</v>
      </c>
      <c r="EO9" s="193">
        <f>IF(EN9=0,0,(1/(1+Parameters!$C$116*$BB9^Parameters!$C$120)*Basicinfo!$AH9/Basicinfo!$G9+1/(1+Parameters!$C$117*$BB9^Parameters!$C$121)*Basicinfo!$AI9/Basicinfo!$G9)*(EN9)^Parameters!$C$124+(1/(1+Parameters!$C$118*$BB9^Parameters!$C$122)*Basicinfo!$AJ9/Basicinfo!AW9+1/(1+Parameters!$C$119*$BB9^Parameters!$C$123)*Basicinfo!$AK9/Basicinfo!$G9)*(EN9)^Parameters!$C$125)</f>
        <v>0.51532378310355653</v>
      </c>
      <c r="EP9" s="199">
        <f>EL9*($AT9*Basicinfo!$P9*1000+$AW9*3600*24*365)/1000000</f>
        <v>0.14539107801850668</v>
      </c>
      <c r="EQ9" s="199">
        <f>EM9*($AT9*Basicinfo!$P9*1000+$AW9*3600*24*365)/1000000</f>
        <v>0.29078215603701335</v>
      </c>
      <c r="ER9" s="199">
        <f t="shared" si="12"/>
        <v>0.10310865329748563</v>
      </c>
      <c r="ES9" s="199">
        <f t="shared" si="13"/>
        <v>0.20621730659497126</v>
      </c>
      <c r="ET9" s="181">
        <f t="shared" si="14"/>
        <v>6.6660639593531812</v>
      </c>
      <c r="EU9" s="147">
        <f>Intermediate!F9*(Parameters!$C$150)/1000*100</f>
        <v>2.0358581850260699E-2</v>
      </c>
      <c r="EV9" s="147">
        <f>Intermediate!F9*(Parameters!$C$151)/1000*100</f>
        <v>4.0717163700521398E-2</v>
      </c>
      <c r="EW9" s="181">
        <f>'Local emissions'!$S9*Basicinfo!AZ9/(Basicinfo!$AZ9+Basicinfo!$BA9)-Intermediate!EU9</f>
        <v>0.23190331380391324</v>
      </c>
      <c r="EX9" s="147">
        <f>'Local emissions'!$S9*Basicinfo!BA9/(Basicinfo!$AZ9+Basicinfo!$BA9)-Intermediate!EV9</f>
        <v>0.10039592026392591</v>
      </c>
      <c r="EY9" s="188">
        <f t="shared" si="15"/>
        <v>1.5736850052078999</v>
      </c>
      <c r="EZ9" s="188">
        <f t="shared" si="16"/>
        <v>0.67085387323535794</v>
      </c>
      <c r="FA9" s="188">
        <f t="shared" si="17"/>
        <v>1.1160281897131215</v>
      </c>
      <c r="FB9" s="181">
        <f t="shared" si="18"/>
        <v>0.47575711227545336</v>
      </c>
      <c r="FC9" s="181">
        <f>'Local emissions'!Y9-Intermediate!ET9</f>
        <v>24.304349790814076</v>
      </c>
      <c r="FD9" s="188">
        <f t="shared" si="19"/>
        <v>5.5582807218845618</v>
      </c>
      <c r="FE9" s="188">
        <f t="shared" si="20"/>
        <v>2.8417283178658135</v>
      </c>
      <c r="FF9" s="181">
        <f t="shared" si="21"/>
        <v>1.9100821110619168</v>
      </c>
      <c r="FG9" s="201">
        <f t="shared" si="22"/>
        <v>1.0076504827042296</v>
      </c>
      <c r="FH9" s="181">
        <f t="shared" si="23"/>
        <v>12.986608157297555</v>
      </c>
      <c r="FJ9" s="147">
        <f>AVERAGE(Parameters!$C$132:$C$134)*'Local emissions'!J9*3600*24*365/1000000</f>
        <v>6.4678403927008422E-3</v>
      </c>
      <c r="FK9" s="147">
        <f>'Local emissions'!AJ9+CT9*BJ9/100*Intermediate!X9*100/1000000</f>
        <v>0.15294598460874695</v>
      </c>
      <c r="FL9" s="31">
        <f>(Parameters!$C$18*(Basicinfo!AH9+Basicinfo!AI9)+Parameters!$C$19*Basicinfo!AJ9+Parameters!$C$20*Basicinfo!AK9)/Basicinfo!G9</f>
        <v>3.5000000000000003E-2</v>
      </c>
      <c r="FM9" s="181">
        <f t="shared" si="24"/>
        <v>0.10216534887149709</v>
      </c>
    </row>
    <row r="10" spans="1:169">
      <c r="A10" s="39" t="str">
        <f>Basicinfo!A10</f>
        <v>Mühlheimer Ache</v>
      </c>
      <c r="B10" s="63">
        <f>Basicinfo!B10</f>
        <v>650</v>
      </c>
      <c r="C10" s="63">
        <f>Basicinfo!C10</f>
        <v>1050</v>
      </c>
      <c r="D10" s="61">
        <f>Basicinfo!U10*Basicinfo!V10/1000+Basicinfo!Y10</f>
        <v>1.8185173713660778</v>
      </c>
      <c r="E10" s="19">
        <f>Basicinfo!W10*Basicinfo!X10/1000+Basicinfo!Z10</f>
        <v>0</v>
      </c>
      <c r="F10" s="19">
        <f t="shared" si="0"/>
        <v>1.8185173713660778</v>
      </c>
      <c r="G10" s="19">
        <f>SUM(Basicinfo!H10:L10)</f>
        <v>99.81717449337701</v>
      </c>
      <c r="H10" s="19">
        <f>IF(Basicinfo!N10&lt;Parameters!$C$68,Parameters!$C$69,Basicinfo!BS10/(Basicinfo!N10*100))</f>
        <v>13.926826785264588</v>
      </c>
      <c r="I10" s="19">
        <f>IF(Basicinfo!N10=0,0,Basicinfo!BU10*(1-Basicinfo!BX10/100))</f>
        <v>10727.843108001642</v>
      </c>
      <c r="J10" s="19">
        <f>IF(Basicinfo!N10=0,0,Basicinfo!BU10*Basicinfo!BX10/100)</f>
        <v>5048.3967567066557</v>
      </c>
      <c r="K10" s="19">
        <f>IF(Basicinfo!N10=0,0,Basicinfo!BT10-Basicinfo!BU10)</f>
        <v>0</v>
      </c>
      <c r="L10" s="27">
        <f>Basicinfo!BV10*Basicinfo!BW10/100</f>
        <v>2056.6433333333334</v>
      </c>
      <c r="M10" s="27">
        <f>Basicinfo!BV10-Intermediate!L10</f>
        <v>2056.6433333333334</v>
      </c>
      <c r="N10" s="73">
        <f>Basicinfo!BS10-SUM(I10:K10)-Basicinfo!BV10</f>
        <v>0</v>
      </c>
      <c r="O10" s="19">
        <f>IF(Basicinfo!AH10+Basicinfo!AI10+Basicinfo!AJ10+Basicinfo!AK10=0,0,N10*(Basicinfo!AH10+Basicinfo!AI10)/SUM(Basicinfo!AH10:AK10))</f>
        <v>0</v>
      </c>
      <c r="P10" s="73">
        <f t="shared" si="25"/>
        <v>0</v>
      </c>
      <c r="Q10" s="19">
        <f>IF(Basicinfo!BS10=0,Basicinfo!N10,IF(H10&gt;Parameters!$C$70,Parameters!$C$64*(Parameters!$C$65*Parameters!$C$70)^(Parameters!$C$66-Parameters!$C$67*LOG(Parameters!$C$65*Parameters!$C$70,10))/100*Basicinfo!N10,Parameters!$C$64*(Parameters!$C$65*H10)^(Parameters!$C$66-Parameters!$C$67*LOG(Parameters!$C$65*H10,10))/100*Basicinfo!N10))</f>
        <v>3.5099953838416065</v>
      </c>
      <c r="R10" s="19">
        <f>IF(Basicinfo!BS10=0,Q10*(1-Basicinfo!BX10/100),IF(H10&lt;Parameters!$C$75,Q10*Basicinfo!BU10/Basicinfo!BS10*(1-Basicinfo!BX10/100)*(-Parameters!$C$74+Parameters!$C$73*LN(H10*100)),Q10*Basicinfo!BU10/Basicinfo!BS10*(1-Basicinfo!BX10/100)))</f>
        <v>1.016404070722154</v>
      </c>
      <c r="S10" s="19">
        <f>IF(Basicinfo!BS10=0,Q10*Basicinfo!BX10/100,Q10*Basicinfo!BU10/Basicinfo!BS10*Basicinfo!BX10/100)</f>
        <v>0.89091358127047005</v>
      </c>
      <c r="T10" s="19">
        <f>IF(Basicinfo!BS10=0,0,IF(H10&lt;Parameters!$C$75,Q10*K10/Basicinfo!BS10*(-Parameters!$C$74+Parameters!$C$73*LN(H10*100)),Q10*K10/Basicinfo!BS10))</f>
        <v>0</v>
      </c>
      <c r="U10" s="19">
        <f t="shared" si="26"/>
        <v>1.6026777318489824</v>
      </c>
      <c r="V10" s="19">
        <f>IF(Basicinfo!AL10&gt;Parameters!$C$14,Basicinfo!Q10,0)</f>
        <v>0</v>
      </c>
      <c r="W10" s="19">
        <f>IF(Basicinfo!AL10&gt;Parameters!$C$14,0,Basicinfo!Q10)</f>
        <v>0</v>
      </c>
      <c r="X10" s="19">
        <f>G10+Basicinfo!M10</f>
        <v>167.19631798231893</v>
      </c>
      <c r="Y10" s="19">
        <f>IF(Basicinfo!G10-F10-Q10-V10-Basicinfo!O10-Basicinfo!R10-Basicinfo!S10&lt;0,0,Basicinfo!G10-F10-Q10-V10-Basicinfo!O10-Basicinfo!R10-Basicinfo!S10)</f>
        <v>264.9240443071721</v>
      </c>
      <c r="Z10" s="19">
        <f>Basicinfo!G10-F10-Basicinfo!BO10-Q10-Basicinfo!O10</f>
        <v>246.97715052115458</v>
      </c>
      <c r="AA10" s="53">
        <f>IF(Z10+Basicinfo!BO10-X10&gt;0,Z10+Basicinfo!BO10-X10,0)</f>
        <v>97.730320083473373</v>
      </c>
      <c r="AB10" s="56">
        <f>IF(Basicinfo!N10=0,0,Parameters!$C$71+Parameters!$C$72*Q10/Basicinfo!N10)</f>
        <v>0.33432979406546881</v>
      </c>
      <c r="AC10" s="43">
        <f>Basicinfo!AU10*AB10*R10/1000/86.4/0.365</f>
        <v>1.1779446927277549E-2</v>
      </c>
      <c r="AD10" s="43">
        <f>Basicinfo!AU10*AB10*S10/1000/86.4/0.365</f>
        <v>1.0325095648141165E-2</v>
      </c>
      <c r="AE10" s="43">
        <f>Basicinfo!AU10*AB10*T10/1000/86.4/0.365</f>
        <v>0</v>
      </c>
      <c r="AF10" s="43">
        <f>Basicinfo!AU10*AB10*U10/1000/86.4/0.365</f>
        <v>1.8573968589511238E-2</v>
      </c>
      <c r="AG10" s="43">
        <f>((Parameters!$C$80+Parameters!$C$81*Parameters!$C$89)/(Parameters!$C$82+Parameters!$C$89)/(Parameters!$C$90/100*Parameters!$C$91+(Parameters!$C$83+Parameters!$C$84*Parameters!$C$89)/(Parameters!$C$85+Parameters!$C$89)))-Parameters!$C$86+(Basicinfo!AU10-Parameters!$C$88)/Parameters!$C$87</f>
        <v>78.718062400751506</v>
      </c>
      <c r="AH10" s="43">
        <f>((Parameters!$C$80+Parameters!$C$81*Parameters!$C$89)/(Parameters!$C$82+Parameters!$C$89)/(Basicinfo!BY10/100*Parameters!$C$91+(Parameters!$C$83+Parameters!$C$84*Parameters!$C$89)/(Parameters!$C$85+Parameters!$C$89)))-Parameters!$C$86+(Basicinfo!AU10-Parameters!$C$88)/Parameters!$C$87</f>
        <v>60.915180534135935</v>
      </c>
      <c r="AI10" s="43">
        <f>Basicinfo!AU10^Parameters!$C$79*Parameters!$C$78*AH10/AG10</f>
        <v>36.690823682880506</v>
      </c>
      <c r="AJ10" s="43">
        <f>(J10*Parameters!$C$92/1000+Parameters!$C$94/100*S10*100*Parameters!$C$93/1000*86400*Parameters!$C$95/24)/86400</f>
        <v>7.6256644616426398E-3</v>
      </c>
      <c r="AK10" s="43">
        <f t="shared" si="1"/>
        <v>6.7564979070850661E-3</v>
      </c>
      <c r="AL10" s="43">
        <f>(K10*Parameters!$C$92/1000+Parameters!$C$94/100*T10*100*Parameters!$C$93/1000*86400*Parameters!$C$95/24)/86400</f>
        <v>0</v>
      </c>
      <c r="AM10" s="43">
        <f>(Intermediate!N10+Basicinfo!BV10-Intermediate!L10)*Parameters!$C$92/1000/86400</f>
        <v>3.0944864969135806E-3</v>
      </c>
      <c r="AN10" s="43">
        <f t="shared" si="2"/>
        <v>1.8068997581664952E-2</v>
      </c>
      <c r="AO10" s="43">
        <f t="shared" si="27"/>
        <v>6.7564979070850661E-3</v>
      </c>
      <c r="AP10" s="43">
        <f t="shared" si="28"/>
        <v>2.1668455086424818E-2</v>
      </c>
      <c r="AQ10" s="43">
        <f t="shared" si="3"/>
        <v>4.0204399920787434E-2</v>
      </c>
      <c r="AR10" s="61">
        <f>(Basicinfo!AU10-Basicinfo!AY10)*F10/1000/86.4/0.365</f>
        <v>2.1986701126343319E-2</v>
      </c>
      <c r="AS10" s="19">
        <f>IF(Basicinfo!AP10-Basicinfo!CB10-Basicinfo!CG10&lt;0,0,(Basicinfo!AP10-Basicinfo!CB10-Basicinfo!CG10)/Basicinfo!G10*1000)</f>
        <v>14.904298276404768</v>
      </c>
      <c r="AT10" s="19">
        <f>Parameters!$C$3*((AS10*86.4*0.365)^Parameters!$C$4)</f>
        <v>91.019828692951791</v>
      </c>
      <c r="AU10" s="19">
        <f>IF(AT10/86.4/0.365*(Basicinfo!G10/1000)-AN10&lt;0,0,AT10/86.4/0.365*(Basicinfo!G10/1000)-AN10)</f>
        <v>0.76194677902650565</v>
      </c>
      <c r="AV10" s="19">
        <f>IF(Basicinfo!AU10&gt;Parameters!$C$13,Parameters!$C$11*(Basicinfo!AU10-Parameters!$C$13)^Parameters!$C$12,0)</f>
        <v>120.87511770709229</v>
      </c>
      <c r="AW10" s="19">
        <f>IF(AV10*V10/1000/86.4/0.365&gt;Basicinfo!AP10*Parameters!$C$15,Basicinfo!AP10*Parameters!$C$15,AV10*V10/1000/86.4/0.365)</f>
        <v>0</v>
      </c>
      <c r="AX10" s="19">
        <f>Basicinfo!AU10-Basicinfo!AW10</f>
        <v>392.91181073071425</v>
      </c>
      <c r="AY10" s="19">
        <f>Parameters!$C$56*AX10+Parameters!$C$57*Basicinfo!AW10</f>
        <v>266.4823096179</v>
      </c>
      <c r="AZ10" s="19">
        <f>AY10*Basicinfo!BO10/1000/86.4/0.365</f>
        <v>0.15167493966745266</v>
      </c>
      <c r="BA10" s="19">
        <f>IF(Basicinfo!AP10-AQ10-AR10-AU10-AW10-AZ10-Basicinfo!CB10-Basicinfo!CG10&lt;0,0,Basicinfo!AP10-AQ10-AR10-AU10-AW10-AZ10-Basicinfo!CB10-Basicinfo!CG10)</f>
        <v>3.0521505588298519</v>
      </c>
      <c r="BB10" s="53">
        <f t="shared" si="4"/>
        <v>389.7227732207308</v>
      </c>
      <c r="BC10" s="56">
        <f>IF(G10=0,0,((Basicinfo!H10*Basicinfo!BE10+Basicinfo!I10*Basicinfo!BF10+Basicinfo!J10*Basicinfo!BG10+Basicinfo!K10*Basicinfo!BH10+Basicinfo!L10*Basicinfo!BI10)*(1-Basicinfo!BN10/G10*Parameters!$C$26/100)/G10)*Basicinfo!BM10)</f>
        <v>8.874286960006625</v>
      </c>
      <c r="BD10" s="43">
        <f>IF(Basicinfo!AW10*Parameters!$C$39-Parameters!$C$40&lt;0,0.001,(Basicinfo!AW10*Parameters!$C$39-Parameters!$C$40)/(Basicinfo!AX10*Parameters!$C$39-Parameters!$C$40))</f>
        <v>1.1065323037255841</v>
      </c>
      <c r="BE10" s="43">
        <f>(BC10*G10*100+Basicinfo!BJ10*Basicinfo!M10*100)*Parameters!$C$29*BD10</f>
        <v>99775.602440501942</v>
      </c>
      <c r="BF10" s="43">
        <f>(Basicinfo!BK10*Basicinfo!P10*100)*BD10*Parameters!$C$29</f>
        <v>1328.0466468372651</v>
      </c>
      <c r="BG10" s="43">
        <f>Parameters!$C$27*(V10+W10)*100</f>
        <v>0</v>
      </c>
      <c r="BH10" s="43">
        <f>Parameters!$C$28*Basicinfo!R10*100</f>
        <v>0</v>
      </c>
      <c r="BI10" s="43">
        <f t="shared" si="29"/>
        <v>1328.0466468372651</v>
      </c>
      <c r="BJ10" s="43">
        <f>IF(Basicinfo!AM10&lt;Parameters!$C$33,0,Parameters!$C$30*(((Basicinfo!AM10-Parameters!$C$33)^Parameters!$C$31)*(((G10-Basicinfo!BN10)/Basicinfo!G10*100+Parameters!$C$34))^Parameters!$C$32))</f>
        <v>3.540654447825629</v>
      </c>
      <c r="BK10" s="58">
        <f t="shared" si="30"/>
        <v>4860.7559524917142</v>
      </c>
      <c r="BL10" s="61">
        <f>Basicinfo!AZ10+Basicinfo!BA10</f>
        <v>1936.383306601173</v>
      </c>
      <c r="BM10" s="19">
        <f>Basicinfo!BB10+Basicinfo!BC10</f>
        <v>2100.6132217516056</v>
      </c>
      <c r="BN10" s="172">
        <f>IF(Basicinfo!AO10=0,0,IF(Basicinfo!AO10="NA",1,IF(OR(Basicinfo!AO10="SA",Basicinfo!AN10="S"),3,IF(Basicinfo!AN10="N",1,IF(Basicinfo!AO10="ZA",2,0)))))</f>
        <v>0</v>
      </c>
      <c r="BO10" s="27">
        <f>IF($BN10=1,(BL10)*(1+Parameters!$C$21*Parameters!$C$22-Parameters!$C$22*Basicinfo!$AL10),IF($BN10=2,(BL10)*(1+Parameters!$C$21*Parameters!$C$23-Parameters!$C$23*Basicinfo!$AL10),IF($BN10=3,(BL10)*(1+Parameters!$C$21*Parameters!$C$24-Parameters!$C$24*Basicinfo!$AL10),BL10)))</f>
        <v>1936.383306601173</v>
      </c>
      <c r="BP10" s="27">
        <f>IF($BN10=1,(BM10)*(1+Parameters!$C$21*Parameters!$C$22-Parameters!$C$22*Basicinfo!$AL10),IF($BN10=2,(BM10)*(1+Parameters!$C$21*Parameters!$C$23-Parameters!$C$23*Basicinfo!$AL10),IF($BN10=3,(BM10)*(1+Parameters!$C$21*Parameters!$C$24-Parameters!$C$24*Basicinfo!$AL10),BM10)))</f>
        <v>2100.6132217516056</v>
      </c>
      <c r="BQ10" s="27">
        <f>IF(Basicinfo!AU10=0,0,IF(G10+Basicinfo!M10=0,0,(Parameters!$C$16+BO10/Basicinfo!AU10)*G10+(Parameters!$C$17+BO10/Basicinfo!AU10)*Basicinfo!M10)/(G10+Basicinfo!M10))</f>
        <v>1.9504391753811239</v>
      </c>
      <c r="BR10" s="27">
        <f>IF(Basicinfo!AU10=0,0,IF(G10+Basicinfo!M10=0,0,(Parameters!$C$16+BP10/Basicinfo!AU10)*G10+(Parameters!$C$17+BP10/Basicinfo!AU10)*Basicinfo!M10)/(G10+Basicinfo!M10))</f>
        <v>2.100671102532877</v>
      </c>
      <c r="BS10" s="27">
        <f>IF(Basicinfo!AU10=0,0,BO10/Basicinfo!AU10)</f>
        <v>1.7713374301430511</v>
      </c>
      <c r="BT10" s="27">
        <f>IF(Basicinfo!AU10=0,0,BP10/Basicinfo!AU10)</f>
        <v>1.9215693572948043</v>
      </c>
      <c r="BU10" s="27">
        <f>IF(SUM(G10,Basicinfo!M10,Basicinfo!P10,W10)=0,0,(BQ10*(G10+Basicinfo!M10)+BS10*(Basicinfo!P10+W10))/SUM(G10,Basicinfo!M10,Basicinfo!P10,W10))</f>
        <v>1.8891609481203837</v>
      </c>
      <c r="BV10" s="19">
        <f>IF(Basicinfo!BR10/Parameters!$C$10&gt;1,1,Basicinfo!BR10/Parameters!$C$10)</f>
        <v>0.412196326609788</v>
      </c>
      <c r="BW10" s="19">
        <f>Parameters!$C$5+Parameters!$C$6*EXP(BV10*Parameters!$C$8*Parameters!$C$7)</f>
        <v>3.5194196772194618E-2</v>
      </c>
      <c r="BX10" s="19">
        <f>Parameters!$C$5+Parameters!$C$6*EXP(BV10*Parameters!$C$9*Parameters!$C$7)</f>
        <v>3.5102510745623719E-2</v>
      </c>
      <c r="BY10" s="19">
        <f>IF(Basicinfo!AH10+Basicinfo!AI10+Basicinfo!AJ10+Basicinfo!AK10=0,0,(Parameters!$C$18*(Basicinfo!AH10+Basicinfo!AI10)+Parameters!$C$19*Basicinfo!AJ10+Parameters!$C$20*Basicinfo!AK10)/(Basicinfo!AH10+Basicinfo!AI10+Basicinfo!AJ10+Basicinfo!AK10))</f>
        <v>3.5000000000000003E-2</v>
      </c>
      <c r="BZ10" s="19">
        <f>IF(Basicinfo!AJ10+Basicinfo!AK10=0,Parameters!$C$18,(Parameters!$C$19*Basicinfo!AJ10+Parameters!$C$20*Basicinfo!AK10)/(Basicinfo!AJ10+Basicinfo!AK10))</f>
        <v>3.5000000000000003E-2</v>
      </c>
      <c r="CA10" s="19">
        <f>IF(SUM(G10,Basicinfo!M10,Basicinfo!P10,W10)=0,0,(BW10*G10+BX10*Basicinfo!M10+BY10*Basicinfo!P10+BZ10*W10)/(SUM(G10,Basicinfo!M10,Basicinfo!P10,W10)))</f>
        <v>3.5103446749272557E-2</v>
      </c>
      <c r="CB10" s="19">
        <f>IF(Y10=0,Basicinfo!BP10,Basicinfo!BP10-(AU10*X10/Y10*Intermediate!BQ10*86400*365/1000000)*1000/(X10*100))</f>
        <v>55.268682897426096</v>
      </c>
      <c r="CC10" s="19">
        <f>IF(Y10=0,Basicinfo!BQ10,Basicinfo!BQ10-(AU10*Basicinfo!AV10/Basicinfo!AU10*X10/Y10*Intermediate!BR10*86400*365/1000000)*1000/(X10*100))</f>
        <v>55.856177662487973</v>
      </c>
      <c r="CD10" s="19">
        <f>IF(OR(Y10=0,AA10=0),BP10/100,BP10/100-(AU10*Basicinfo!AV10/Basicinfo!AU10*(Basicinfo!P10+W10)/Y10*Intermediate!BT10*86400*365/1000000+AW10*Basicinfo!AV10/Basicinfo!AU10*Intermediate!BT10*86400*365/1000000)*1000/(AA10*100))</f>
        <v>19.480484871457982</v>
      </c>
      <c r="CE10" s="19">
        <f t="shared" si="5"/>
        <v>833635.74764903402</v>
      </c>
      <c r="CF10" s="19">
        <f t="shared" si="6"/>
        <v>190383.40218688492</v>
      </c>
      <c r="CG10" s="19">
        <f>IF(AY10=0,0,((CB10^Parameters!$C$58))/AY10*100)</f>
        <v>11.361583485964408</v>
      </c>
      <c r="CH10" s="19">
        <f>IF(SUM(Basicinfo!AB10:AG10)=0,0,(Parameters!$C$59*Basicinfo!AB10+Parameters!$C$60*SUM(Basicinfo!AC10:AE10)+Parameters!$C$61*Basicinfo!AF10+Parameters!$C$62*Basicinfo!AG10)/SUM(Basicinfo!AB10:AG10))</f>
        <v>0.10226328414732089</v>
      </c>
      <c r="CI10" s="19">
        <f t="shared" si="7"/>
        <v>8</v>
      </c>
      <c r="CJ10" s="19">
        <f t="shared" si="8"/>
        <v>41.462100752037287</v>
      </c>
      <c r="CK10" s="19">
        <f t="shared" si="9"/>
        <v>10.638870397382199</v>
      </c>
      <c r="CL10" s="19">
        <f>IF($BB10=0,0,$CJ10^Parameters!$C$58*100/$BB10)</f>
        <v>6.0848212248061113</v>
      </c>
      <c r="CM10" s="19">
        <f>IF(CK10=0,0,(1/(1+Parameters!$C$116*BB10^Parameters!$C$120)*Basicinfo!AH10/Basicinfo!G10+1/(1+Parameters!$C$117*BB10^Parameters!$C$121)*Basicinfo!AI10/Basicinfo!G10)*(CK10)^Parameters!$C$124+(1/(1+Parameters!$C$118*BB10^Parameters!$C$122)*Basicinfo!AJ10/Basicinfo!G10+1/(1+Parameters!$C$119*BB10^Parameters!$C$123)*Basicinfo!AK10/Basicinfo!G10)*(CK10)^Parameters!$C$125)</f>
        <v>2.867066877425053</v>
      </c>
      <c r="CN10" s="19">
        <f>IF(SUM(Basicinfo!AB10:AG10)=0,0,(Parameters!$C$128*Basicinfo!AB10+Parameters!$C$129*(SUM(Basicinfo!AC10:AE10))+Parameters!$C$130*Basicinfo!AF10+Parameters!$C$131*Basicinfo!AG10)/SUM(Basicinfo!AB10:AG10))</f>
        <v>1.6875470280663336E-2</v>
      </c>
      <c r="CO10" s="19">
        <f>IF(Basicinfo!AH10+Basicinfo!AI10+Basicinfo!AJ10+Basicinfo!AK10=0,0,(Parameters!$C$132*(Basicinfo!AH10+Basicinfo!AI10)+Parameters!$C$133*Basicinfo!AJ10+Parameters!$C$134*Basicinfo!AK10)/(Basicinfo!AH10+Basicinfo!AI10+Basicinfo!AJ10+Basicinfo!AK10))</f>
        <v>5.0000000000000001E-4</v>
      </c>
      <c r="CP10" s="19">
        <f>IF(Basicinfo!AJ10+Basicinfo!AK10=0,0,(Parameters!$C$133*Basicinfo!AJ10+Parameters!$C$134*Basicinfo!AK10)/(Basicinfo!AJ10+Basicinfo!AK10))</f>
        <v>0</v>
      </c>
      <c r="CQ10" s="19">
        <f>IF(Z10=0,0,(CN10*(Z10-AA10)+CO10*Basicinfo!P10+CP10*(Basicinfo!Q10+Basicinfo!R10))/Z10)</f>
        <v>1.0373787949709692E-2</v>
      </c>
      <c r="CR10" s="289">
        <f>Basicinfo!EI10</f>
        <v>5.0690547368421053E-2</v>
      </c>
      <c r="CS10" s="19">
        <f>IF(SUM(Basicinfo!AB10:AG10)=0,0,(Basicinfo!AB10*Parameters!$C$43+(Basicinfo!AC10+Basicinfo!AD10)*Parameters!$C$44+Basicinfo!AE10*Parameters!$C$45+(Basicinfo!AF10+Basicinfo!AG10)*Parameters!$C$46)/SUM(Basicinfo!AB10:AG10))</f>
        <v>18.379788136894454</v>
      </c>
      <c r="CT10" s="19">
        <f>(Parameters!$C$41*CS10+Parameters!$C$42)</f>
        <v>462.47383899632342</v>
      </c>
      <c r="CU10" s="19">
        <f>CT10+Basicinfo!BR10/(Parameters!$C$47*Parameters!$C$49*Parameters!$C$48*10000/1000000)</f>
        <v>607.64990371423619</v>
      </c>
      <c r="CV10" s="19">
        <f>IF(BK10/Basicinfo!G10&lt;Parameters!$C$35,Parameters!$C$35,Parameters!$C$37*(BK10/Basicinfo!G10)^Parameters!$C$38)</f>
        <v>1.9696434655106012</v>
      </c>
      <c r="CW10" s="19">
        <f>IF(BK10/Basicinfo!G10&lt;Parameters!$C$35,Parameters!$C$36,Parameters!$C$36*(BK10/Basicinfo!G10)^Parameters!$C$38)</f>
        <v>4.6286621439499136</v>
      </c>
      <c r="CX10" s="27">
        <f>IF(Basicinfo!AJ10+Basicinfo!AK10=0,0,(Parameters!$C$53*Basicinfo!AJ10+Parameters!$C$54*Basicinfo!AK10)/(Basicinfo!AJ10+Basicinfo!AK10))</f>
        <v>0</v>
      </c>
      <c r="CY10" s="56">
        <f>IF(Basicinfo!AU10*AB10=0,0,((Basicinfo!AZ10+Basicinfo!BA10)/Basicinfo!AU10+Parameters!$C$76/(Basicinfo!AU10*AB10)*100))</f>
        <v>2.8657847960687448</v>
      </c>
      <c r="CZ10" s="43">
        <f>IF(Basicinfo!AU10*AB10=0,0,(Parameters!$C$77)/(Basicinfo!AU10*AB10)*100)</f>
        <v>0.68402960370355859</v>
      </c>
      <c r="DA10" s="43">
        <f>IF(AD10+AJ10=0,0,((J10*Parameters!$C$96+Parameters!$C$94/100*S10*100*Parameters!$C$93/1000*86400*Parameters!$C$95/24*Parameters!$C$98)*AI10+AD10*CY10*86400*365)/((AD10+AJ10*AI10/365)*86400*365))</f>
        <v>9.0228845788206211</v>
      </c>
      <c r="DB10" s="43">
        <f>IF(AD10+AJ10=0,0,((J10*Parameters!$C$97+Parameters!$C$94/100*S10*100*Parameters!$C$93/1000*86400*Parameters!$C$95/24*Parameters!$C$99)*AI10+AD10*CZ10*86400*365)/((AD10+AJ10*AI10/365)*86400*365))</f>
        <v>1.6706126004726929</v>
      </c>
      <c r="DC10" s="42">
        <f>IF(AE10+AL10=0,0,((K10*Parameters!$C$96+Parameters!$C$94/100*T10*100*Parameters!$C$93/1000*86400*Parameters!$C$95/24*Parameters!$C$98)*365+AE10*CY10*86400*365)/((AE10+AL10)*86400*365))</f>
        <v>0</v>
      </c>
      <c r="DD10" s="42">
        <f>IF(AE10+AL10=0,0,((K10*Parameters!$C$97+Parameters!$C$94/100*T10*100*Parameters!$C$93/1000*86400*Parameters!$C$95/24*Parameters!$C$99)*365+AE10*CZ10*86400*365)/((AE10+AL10)*86400*365))</f>
        <v>0</v>
      </c>
      <c r="DE10" s="42">
        <f>IF(Basicinfo!AH10+Basicinfo!AI10+Basicinfo!AJ10+Basicinfo!AK10=0,0,((Basicinfo!AH10+Basicinfo!AI10)*Parameters!$C$107+(Basicinfo!AJ10+Basicinfo!AK10)*Parameters!$C$106)/(Basicinfo!AH10+Basicinfo!AI10+Basicinfo!AJ10+Basicinfo!AK10))</f>
        <v>90</v>
      </c>
      <c r="DF10" s="42">
        <f>IF(Basicinfo!AH10+Basicinfo!AI10+Basicinfo!AJ10+Basicinfo!AK10=0,0,((Basicinfo!AH10+Basicinfo!AI10)*Parameters!$C$109+(Basicinfo!AJ10+Basicinfo!AK10)*Parameters!$C$108)/(Basicinfo!AH10+Basicinfo!AI10+Basicinfo!AJ10+Basicinfo!AK10))</f>
        <v>90</v>
      </c>
      <c r="DG10" s="42">
        <f>Intermediate!AC10*Intermediate!CY10*(1-Parameters!$C$102/100*Basicinfo!BZ10/100)*(1-Parameters!$C$104/100*Basicinfo!CA10/100)*86400*365/1000000</f>
        <v>1.0645721021309273</v>
      </c>
      <c r="DH10" s="42">
        <f>Intermediate!AC10*Intermediate!CZ10*(1-Parameters!$C$103/100*Basicinfo!BZ10/100)*(1-Parameters!$C$105/100*Basicinfo!CA10/100)*86400*365/1000000</f>
        <v>0.2541010176805385</v>
      </c>
      <c r="DI10" s="42">
        <f>(Intermediate!AK10*Intermediate!DA10+(Intermediate!AE10+Intermediate!AL10)*Intermediate!DC10)*86400*365/1000000</f>
        <v>1.922532345966973</v>
      </c>
      <c r="DJ10" s="42">
        <f>(Intermediate!AK10*Intermediate!DB10+(Intermediate!AE10+Intermediate!AL10)*Intermediate!DD10)*86400*365/1000000</f>
        <v>0.35596230162666737</v>
      </c>
      <c r="DK10" s="42">
        <f>((Basicinfo!AZ10+Basicinfo!BA10)*Intermediate!AB10+Parameters!$C$76*100)/1000*Intermediate!U10*(1-Intermediate!DE10/100)+(1-Parameters!$C$110/100)*M10*Parameters!$C$100*(1-DE10/100)*365/1000000+(1-Parameters!$C$112/100)*P10*Parameters!$C$96*365/1000000+(1-Parameters!$C$112/100)*O10*Parameters!$C$96*(1-DE10/100)*365/1000000</f>
        <v>0.77590956576584247</v>
      </c>
      <c r="DL10" s="42">
        <f>Parameters!$C$77*100/1000*Intermediate!U10*(1-Intermediate!DF10/100)+(1-Parameters!$C$111/100)*M10*Parameters!$C$101*(1-DF10/100)*365/1000000+(1-Parameters!$C$113/100)*P10*Parameters!$C$97*365/1000000+(1-Parameters!$C$113/100)*O10*Parameters!$C$97*(1-DF10/100)*365/1000000</f>
        <v>0.12127975612564197</v>
      </c>
      <c r="DM10" s="31"/>
      <c r="DN10" s="31"/>
      <c r="DO10" s="31"/>
      <c r="DP10" s="31"/>
      <c r="DQ10" s="31"/>
      <c r="DR10" s="31"/>
      <c r="DS10" s="31"/>
      <c r="DT10" s="188">
        <f>BO10*(Basicinfo!$P10+Basicinfo!$Q10)/1000</f>
        <v>168.38067503752742</v>
      </c>
      <c r="DU10" s="188">
        <f>DT10*Basicinfo!$AZ10/(Basicinfo!$AZ10+Basicinfo!$BA10)</f>
        <v>108.18381475080166</v>
      </c>
      <c r="DV10" s="188">
        <f>DT10*Basicinfo!$BC10/(Basicinfo!$BB10+Basicinfo!$BC10)</f>
        <v>56.755175054902274</v>
      </c>
      <c r="DW10" s="188">
        <f>BP10*(Basicinfo!$P10+Basicinfo!$Q10)/1000</f>
        <v>182.66149633985714</v>
      </c>
      <c r="DX10" s="188">
        <f>DW10*Basicinfo!$BB10/(Basicinfo!$BB10+Basicinfo!$BC10)</f>
        <v>121.09276110198932</v>
      </c>
      <c r="DY10" s="188">
        <f>DW10*Basicinfo!$BC10/(Basicinfo!$BB10+Basicinfo!$BC10)</f>
        <v>61.568735237867813</v>
      </c>
      <c r="DZ10" s="188">
        <f t="shared" si="10"/>
        <v>323.75615906614394</v>
      </c>
      <c r="EA10" s="188">
        <f>DZ10*Basicinfo!$AZ10/(Basicinfo!$AZ10+Basicinfo!$BA10)</f>
        <v>208.01185367047992</v>
      </c>
      <c r="EB10" s="188">
        <f>DZ10*Basicinfo!$BC10/(Basicinfo!$BB10+Basicinfo!$BC10)</f>
        <v>109.1267598185275</v>
      </c>
      <c r="EC10" s="188">
        <f t="shared" si="11"/>
        <v>351.21479618184492</v>
      </c>
      <c r="ED10" s="188">
        <f>EC10*Basicinfo!$AZ10/(Basicinfo!$AZ10+Basicinfo!$BA10)</f>
        <v>225.65390261922315</v>
      </c>
      <c r="EE10" s="188">
        <f>EC10*Basicinfo!$BC10/(Basicinfo!$BB10+Basicinfo!$BC10)</f>
        <v>118.38209601386772</v>
      </c>
      <c r="EF10" s="190">
        <f>(Basicinfo!BP10-BL10/100)*Intermediate!X10/10</f>
        <v>629.89388148194382</v>
      </c>
      <c r="EG10" s="191">
        <f>(Basicinfo!BQ10-BM10/100)*Intermediate!X10/10</f>
        <v>614.02081390512524</v>
      </c>
      <c r="EH10" s="197">
        <f>IF(AU10=0,0,$BS10*((Basicinfo!$P10+Basicinfo!$Q10)*Intermediate!$AT10*1000+$AW10*3600*24*365)/1000000*Basicinfo!AZ10/(Basicinfo!$AZ10+Basicinfo!$BA10))</f>
        <v>9.0075830495505578</v>
      </c>
      <c r="EI10" s="197">
        <f>IF(AU10=0,0,$BS10*((Basicinfo!$P10+Basicinfo!$Q10)*Intermediate!$AT10*1000+$AW10*3600*24*365)/1000000*Basicinfo!BA10/(Basicinfo!$AZ10+Basicinfo!$BA10))</f>
        <v>5.0121011133123883</v>
      </c>
      <c r="EJ10" s="198">
        <f>IF(AU10=0,0,$BS10*($AT10*$X10*1000)/1000000*Basicinfo!AZ10/(Basicinfo!$AZ10+Basicinfo!$BA10))</f>
        <v>17.319448861586029</v>
      </c>
      <c r="EK10" s="198">
        <f>IF(AU10=0,0,$BS10*($AT10*$X10*1000)/1000000*Basicinfo!BA10/(Basicinfo!$AZ10+Basicinfo!$BA10))</f>
        <v>9.6370833822557564</v>
      </c>
      <c r="EL10" s="147">
        <f>Parameters!$C$150/Basicinfo!$AV10*100</f>
        <v>9.2980813113041544E-2</v>
      </c>
      <c r="EM10" s="147">
        <f>Parameters!$C$151/Basicinfo!$AV10*100</f>
        <v>0.18596162622608309</v>
      </c>
      <c r="EN10" s="147">
        <f>(Parameters!$C$150+Parameters!$C$151)/Intermediate!$BB10*100</f>
        <v>0.76977795657346992</v>
      </c>
      <c r="EO10" s="193">
        <f>IF(EN10=0,0,(1/(1+Parameters!$C$116*$BB10^Parameters!$C$120)*Basicinfo!$AH10/Basicinfo!$G10+1/(1+Parameters!$C$117*$BB10^Parameters!$C$121)*Basicinfo!$AI10/Basicinfo!$G10)*(EN10)^Parameters!$C$124+(1/(1+Parameters!$C$118*$BB10^Parameters!$C$122)*Basicinfo!$AJ10/Basicinfo!AW10+1/(1+Parameters!$C$119*$BB10^Parameters!$C$123)*Basicinfo!$AK10/Basicinfo!$G10)*(EN10)^Parameters!$C$125)</f>
        <v>0.53848457399960603</v>
      </c>
      <c r="EP10" s="199">
        <f>EL10*($AT10*Basicinfo!$P10*1000+$AW10*3600*24*365)/1000000</f>
        <v>0.73591943063369569</v>
      </c>
      <c r="EQ10" s="199">
        <f>EM10*($AT10*Basicinfo!$P10*1000+$AW10*3600*24*365)/1000000</f>
        <v>1.4718388612673914</v>
      </c>
      <c r="ER10" s="199">
        <f t="shared" si="12"/>
        <v>1.4149987710347849</v>
      </c>
      <c r="ES10" s="199">
        <f t="shared" si="13"/>
        <v>2.8299975420695698</v>
      </c>
      <c r="ET10" s="181">
        <f t="shared" si="14"/>
        <v>51.83055108957015</v>
      </c>
      <c r="EU10" s="147">
        <f>Intermediate!F10*(Parameters!$C$150)/1000*100</f>
        <v>0.18185173713660779</v>
      </c>
      <c r="EV10" s="147">
        <f>Intermediate!F10*(Parameters!$C$151)/1000*100</f>
        <v>0.36370347427321559</v>
      </c>
      <c r="EW10" s="181">
        <f>'Local emissions'!$S10*Basicinfo!AZ10/(Basicinfo!$AZ10+Basicinfo!$BA10)-Intermediate!EU10</f>
        <v>2.0805974239138698</v>
      </c>
      <c r="EX10" s="147">
        <f>'Local emissions'!$S10*Basicinfo!BA10/(Basicinfo!$AZ10+Basicinfo!$BA10)-Intermediate!EV10</f>
        <v>0.89519404535382574</v>
      </c>
      <c r="EY10" s="188">
        <f t="shared" si="15"/>
        <v>8.2716636189168629</v>
      </c>
      <c r="EZ10" s="188">
        <f t="shared" si="16"/>
        <v>3.5402622520449967</v>
      </c>
      <c r="FA10" s="188">
        <f t="shared" si="17"/>
        <v>15.904450090551244</v>
      </c>
      <c r="FB10" s="181">
        <f t="shared" si="18"/>
        <v>6.8070858401861862</v>
      </c>
      <c r="FC10" s="181">
        <f>'Local emissions'!Y10-Intermediate!ET10</f>
        <v>224.13720187850558</v>
      </c>
      <c r="FD10" s="188">
        <f t="shared" si="19"/>
        <v>23.644447302100033</v>
      </c>
      <c r="FE10" s="188">
        <f t="shared" si="20"/>
        <v>12.021847569918856</v>
      </c>
      <c r="FF10" s="181">
        <f t="shared" si="21"/>
        <v>22.030473830304722</v>
      </c>
      <c r="FG10" s="201">
        <f t="shared" si="22"/>
        <v>11.557582820142906</v>
      </c>
      <c r="FH10" s="181">
        <f t="shared" si="23"/>
        <v>154.88285035603909</v>
      </c>
      <c r="FJ10" s="147">
        <f>AVERAGE(Parameters!$C$132:$C$134)*'Local emissions'!J10*3600*24*365/1000000</f>
        <v>4.8126310011629092E-2</v>
      </c>
      <c r="FK10" s="147">
        <f>'Local emissions'!AJ10+CT10*BJ10/100*Intermediate!X10*100/1000000</f>
        <v>0.87139828312347323</v>
      </c>
      <c r="FL10" s="31">
        <f>(Parameters!$C$18*(Basicinfo!AH10+Basicinfo!AI10)+Parameters!$C$19*Basicinfo!AJ10+Parameters!$C$20*Basicinfo!AK10)/Basicinfo!G10</f>
        <v>3.500000000000001E-2</v>
      </c>
      <c r="FM10" s="181">
        <f t="shared" si="24"/>
        <v>0.84100637681829604</v>
      </c>
    </row>
    <row r="11" spans="1:169">
      <c r="A11" s="39" t="str">
        <f>Basicinfo!A11</f>
        <v>Gurtenbach</v>
      </c>
      <c r="B11" s="63">
        <f>Basicinfo!B11</f>
        <v>660</v>
      </c>
      <c r="C11" s="63">
        <f>Basicinfo!C11</f>
        <v>1050</v>
      </c>
      <c r="D11" s="61">
        <f>Basicinfo!U11*Basicinfo!V11/1000+Basicinfo!Y11</f>
        <v>0.45165318490263728</v>
      </c>
      <c r="E11" s="19">
        <f>Basicinfo!W11*Basicinfo!X11/1000+Basicinfo!Z11</f>
        <v>0</v>
      </c>
      <c r="F11" s="19">
        <f t="shared" si="0"/>
        <v>0.45165318490263728</v>
      </c>
      <c r="G11" s="19">
        <f>SUM(Basicinfo!H11:L11)</f>
        <v>60.09309427844083</v>
      </c>
      <c r="H11" s="19">
        <f>IF(Basicinfo!N11&lt;Parameters!$C$68,Parameters!$C$69,Basicinfo!BS11/(Basicinfo!N11*100))</f>
        <v>15.306771339878258</v>
      </c>
      <c r="I11" s="19">
        <f>IF(Basicinfo!N11=0,0,Basicinfo!BU11*(1-Basicinfo!BX11/100))</f>
        <v>3844.6024522756165</v>
      </c>
      <c r="J11" s="19">
        <f>IF(Basicinfo!N11=0,0,Basicinfo!BU11*Basicinfo!BX11/100)</f>
        <v>1809.2246834238197</v>
      </c>
      <c r="K11" s="19">
        <f>IF(Basicinfo!N11=0,0,Basicinfo!BT11-Basicinfo!BU11)</f>
        <v>0</v>
      </c>
      <c r="L11" s="27">
        <f>Basicinfo!BV11*Basicinfo!BW11/100</f>
        <v>696.36333333333323</v>
      </c>
      <c r="M11" s="27">
        <f>Basicinfo!BV11-Intermediate!L11</f>
        <v>696.36333333333346</v>
      </c>
      <c r="N11" s="73">
        <f>Basicinfo!BS11-SUM(I11:K11)-Basicinfo!BV11</f>
        <v>0</v>
      </c>
      <c r="O11" s="19">
        <f>IF(Basicinfo!AH11+Basicinfo!AI11+Basicinfo!AJ11+Basicinfo!AK11=0,0,N11*(Basicinfo!AH11+Basicinfo!AI11)/SUM(Basicinfo!AH11:AK11))</f>
        <v>0</v>
      </c>
      <c r="P11" s="73">
        <f t="shared" si="25"/>
        <v>0</v>
      </c>
      <c r="Q11" s="19">
        <f>IF(Basicinfo!BS11=0,Basicinfo!N11,IF(H11&gt;Parameters!$C$70,Parameters!$C$64*(Parameters!$C$65*Parameters!$C$70)^(Parameters!$C$66-Parameters!$C$67*LOG(Parameters!$C$65*Parameters!$C$70,10))/100*Basicinfo!N11,Parameters!$C$64*(Parameters!$C$65*H11)^(Parameters!$C$66-Parameters!$C$67*LOG(Parameters!$C$65*H11,10))/100*Basicinfo!N11))</f>
        <v>1.187580269712025</v>
      </c>
      <c r="R11" s="19">
        <f>IF(Basicinfo!BS11=0,Q11*(1-Basicinfo!BX11/100),IF(H11&lt;Parameters!$C$75,Q11*Basicinfo!BU11/Basicinfo!BS11*(1-Basicinfo!BX11/100)*(-Parameters!$C$74+Parameters!$C$73*LN(H11*100)),Q11*Basicinfo!BU11/Basicinfo!BS11*(1-Basicinfo!BX11/100)))</f>
        <v>0.35551611531216448</v>
      </c>
      <c r="S11" s="19">
        <f>IF(Basicinfo!BS11=0,Q11*Basicinfo!BX11/100,Q11*Basicinfo!BU11/Basicinfo!BS11*Basicinfo!BX11/100)</f>
        <v>0.30491494108632972</v>
      </c>
      <c r="T11" s="19">
        <f>IF(Basicinfo!BS11=0,0,IF(H11&lt;Parameters!$C$75,Q11*K11/Basicinfo!BS11*(-Parameters!$C$74+Parameters!$C$73*LN(H11*100)),Q11*K11/Basicinfo!BS11))</f>
        <v>0</v>
      </c>
      <c r="U11" s="19">
        <f t="shared" si="26"/>
        <v>0.52714921331353093</v>
      </c>
      <c r="V11" s="19">
        <f>IF(Basicinfo!AL11&gt;Parameters!$C$14,Basicinfo!Q11,0)</f>
        <v>0</v>
      </c>
      <c r="W11" s="19">
        <f>IF(Basicinfo!AL11&gt;Parameters!$C$14,0,Basicinfo!Q11)</f>
        <v>0</v>
      </c>
      <c r="X11" s="19">
        <f>G11+Basicinfo!M11</f>
        <v>71.984944807604336</v>
      </c>
      <c r="Y11" s="19">
        <f>IF(Basicinfo!G11-F11-Q11-V11-Basicinfo!O11-Basicinfo!R11-Basicinfo!S11&lt;0,0,Basicinfo!G11-F11-Q11-V11-Basicinfo!O11-Basicinfo!R11-Basicinfo!S11)</f>
        <v>97.15634483082134</v>
      </c>
      <c r="Z11" s="19">
        <f>Basicinfo!G11-F11-Basicinfo!BO11-Q11-Basicinfo!O11</f>
        <v>89.482920447529438</v>
      </c>
      <c r="AA11" s="53">
        <f>IF(Z11+Basicinfo!BO11-X11&gt;0,Z11+Basicinfo!BO11-X11,0)</f>
        <v>25.172780136480995</v>
      </c>
      <c r="AB11" s="56">
        <f>IF(Basicinfo!N11=0,0,Parameters!$C$71+Parameters!$C$72*Q11/Basicinfo!N11)</f>
        <v>0.34347776387653217</v>
      </c>
      <c r="AC11" s="43">
        <f>Basicinfo!AU11*AB11*R11/1000/86.4/0.365</f>
        <v>3.6754169868778428E-3</v>
      </c>
      <c r="AD11" s="43">
        <f>Basicinfo!AU11*AB11*S11/1000/86.4/0.365</f>
        <v>3.1522890405052953E-3</v>
      </c>
      <c r="AE11" s="43">
        <f>Basicinfo!AU11*AB11*T11/1000/86.4/0.365</f>
        <v>0</v>
      </c>
      <c r="AF11" s="43">
        <f>Basicinfo!AU11*AB11*U11/1000/86.4/0.365</f>
        <v>5.4498040729619463E-3</v>
      </c>
      <c r="AG11" s="43">
        <f>((Parameters!$C$80+Parameters!$C$81*Parameters!$C$89)/(Parameters!$C$82+Parameters!$C$89)/(Parameters!$C$90/100*Parameters!$C$91+(Parameters!$C$83+Parameters!$C$84*Parameters!$C$89)/(Parameters!$C$85+Parameters!$C$89)))-Parameters!$C$86+(Basicinfo!AU11-Parameters!$C$88)/Parameters!$C$87</f>
        <v>75.118533671994371</v>
      </c>
      <c r="AH11" s="43">
        <f>((Parameters!$C$80+Parameters!$C$81*Parameters!$C$89)/(Parameters!$C$82+Parameters!$C$89)/(Basicinfo!BY11/100*Parameters!$C$91+(Parameters!$C$83+Parameters!$C$84*Parameters!$C$89)/(Parameters!$C$85+Parameters!$C$89)))-Parameters!$C$86+(Basicinfo!AU11-Parameters!$C$88)/Parameters!$C$87</f>
        <v>57.315651805378792</v>
      </c>
      <c r="AI11" s="43">
        <f>Basicinfo!AU11^Parameters!$C$79*Parameters!$C$78*AH11/AG11</f>
        <v>25.415323736365043</v>
      </c>
      <c r="AJ11" s="43">
        <f>(J11*Parameters!$C$92/1000+Parameters!$C$94/100*S11*100*Parameters!$C$93/1000*86400*Parameters!$C$95/24)/86400</f>
        <v>2.7323768967063102E-3</v>
      </c>
      <c r="AK11" s="43">
        <f t="shared" si="1"/>
        <v>1.9158027384257306E-3</v>
      </c>
      <c r="AL11" s="43">
        <f>(K11*Parameters!$C$92/1000+Parameters!$C$94/100*T11*100*Parameters!$C$93/1000*86400*Parameters!$C$95/24)/86400</f>
        <v>0</v>
      </c>
      <c r="AM11" s="43">
        <f>(Intermediate!N11+Basicinfo!BV11-Intermediate!L11)*Parameters!$C$92/1000/86400</f>
        <v>1.047768904320988E-3</v>
      </c>
      <c r="AN11" s="43">
        <f t="shared" si="2"/>
        <v>5.4821719972329742E-3</v>
      </c>
      <c r="AO11" s="43">
        <f t="shared" si="27"/>
        <v>1.9158027384257306E-3</v>
      </c>
      <c r="AP11" s="43">
        <f t="shared" si="28"/>
        <v>6.4975729772829343E-3</v>
      </c>
      <c r="AQ11" s="43">
        <f t="shared" si="3"/>
        <v>1.2088792702586507E-2</v>
      </c>
      <c r="AR11" s="61">
        <f>(Basicinfo!AU11-Basicinfo!AY11)*F11/1000/86.4/0.365</f>
        <v>3.2013546518723434E-3</v>
      </c>
      <c r="AS11" s="19">
        <f>IF(Basicinfo!AP11-Basicinfo!CB11-Basicinfo!CG11&lt;0,0,(Basicinfo!AP11-Basicinfo!CB11-Basicinfo!CG11)/Basicinfo!G11*1000)</f>
        <v>14.459499803463986</v>
      </c>
      <c r="AT11" s="19">
        <f>Parameters!$C$3*((AS11*86.4*0.365)^Parameters!$C$4)</f>
        <v>87.64749360254217</v>
      </c>
      <c r="AU11" s="19">
        <f>IF(AT11/86.4/0.365*(Basicinfo!G11/1000)-AN11&lt;0,0,AT11/86.4/0.365*(Basicinfo!G11/1000)-AN11)</f>
        <v>0.26910261298503113</v>
      </c>
      <c r="AV11" s="19">
        <f>IF(Basicinfo!AU11&gt;Parameters!$C$13,Parameters!$C$11*(Basicinfo!AU11-Parameters!$C$13)^Parameters!$C$12,0)</f>
        <v>80.595730467499479</v>
      </c>
      <c r="AW11" s="19">
        <f>IF(AV11*V11/1000/86.4/0.365&gt;Basicinfo!AP11*Parameters!$C$15,Basicinfo!AP11*Parameters!$C$15,AV11*V11/1000/86.4/0.365)</f>
        <v>0</v>
      </c>
      <c r="AX11" s="19">
        <f>Basicinfo!AU11-Basicinfo!AW11</f>
        <v>330.43247647757141</v>
      </c>
      <c r="AY11" s="19">
        <f>Parameters!$C$56*AX11+Parameters!$C$57*Basicinfo!AW11</f>
        <v>227.09246100161428</v>
      </c>
      <c r="AZ11" s="19">
        <f>AY11*Basicinfo!BO11/1000/86.4/0.365</f>
        <v>5.5266686987225207E-2</v>
      </c>
      <c r="BA11" s="19">
        <f>IF(Basicinfo!AP11-AQ11-AR11-AU11-AW11-AZ11-Basicinfo!CB11-Basicinfo!CG11&lt;0,0,Basicinfo!AP11-AQ11-AR11-AU11-AW11-AZ11-Basicinfo!CB11-Basicinfo!CG11)</f>
        <v>1.0888951532221272</v>
      </c>
      <c r="BB11" s="53">
        <f t="shared" si="4"/>
        <v>383.75365243190487</v>
      </c>
      <c r="BC11" s="56">
        <f>IF(G11=0,0,((Basicinfo!H11*Basicinfo!BE11+Basicinfo!I11*Basicinfo!BF11+Basicinfo!J11*Basicinfo!BG11+Basicinfo!K11*Basicinfo!BH11+Basicinfo!L11*Basicinfo!BI11)*(1-Basicinfo!BN11/G11*Parameters!$C$26/100)/G11)*Basicinfo!BM11)</f>
        <v>10.992972594810286</v>
      </c>
      <c r="BD11" s="43">
        <f>IF(Basicinfo!AW11*Parameters!$C$39-Parameters!$C$40&lt;0,0.001,(Basicinfo!AW11*Parameters!$C$39-Parameters!$C$40)/(Basicinfo!AX11*Parameters!$C$39-Parameters!$C$40))</f>
        <v>1.0813377799835202</v>
      </c>
      <c r="BE11" s="43">
        <f>(BC11*G11*100+Basicinfo!BJ11*Basicinfo!M11*100)*Parameters!$C$29*BD11</f>
        <v>71810.443354880175</v>
      </c>
      <c r="BF11" s="43">
        <f>(Basicinfo!BK11*Basicinfo!P11*100)*BD11*Parameters!$C$29</f>
        <v>880.9229008208946</v>
      </c>
      <c r="BG11" s="43">
        <f>Parameters!$C$27*(V11+W11)*100</f>
        <v>0</v>
      </c>
      <c r="BH11" s="43">
        <f>Parameters!$C$28*Basicinfo!R11*100</f>
        <v>0</v>
      </c>
      <c r="BI11" s="43">
        <f t="shared" si="29"/>
        <v>880.9229008208946</v>
      </c>
      <c r="BJ11" s="43">
        <f>IF(Basicinfo!AM11&lt;Parameters!$C$33,0,Parameters!$C$30*(((Basicinfo!AM11-Parameters!$C$33)^Parameters!$C$31)*(((G11-Basicinfo!BN11)/Basicinfo!G11*100+Parameters!$C$34))^Parameters!$C$32))</f>
        <v>5.652555230012295</v>
      </c>
      <c r="BK11" s="58">
        <f t="shared" si="30"/>
        <v>4940.0478723721899</v>
      </c>
      <c r="BL11" s="61">
        <f>Basicinfo!AZ11+Basicinfo!BA11</f>
        <v>2008.2108792827717</v>
      </c>
      <c r="BM11" s="19">
        <f>Basicinfo!BB11+Basicinfo!BC11</f>
        <v>2195.7445145058482</v>
      </c>
      <c r="BN11" s="172">
        <f>IF(Basicinfo!AO11=0,0,IF(Basicinfo!AO11="NA",1,IF(OR(Basicinfo!AO11="SA",Basicinfo!AN11="S"),3,IF(Basicinfo!AN11="N",1,IF(Basicinfo!AO11="ZA",2,0)))))</f>
        <v>0</v>
      </c>
      <c r="BO11" s="27">
        <f>IF($BN11=1,(BL11)*(1+Parameters!$C$21*Parameters!$C$22-Parameters!$C$22*Basicinfo!$AL11),IF($BN11=2,(BL11)*(1+Parameters!$C$21*Parameters!$C$23-Parameters!$C$23*Basicinfo!$AL11),IF($BN11=3,(BL11)*(1+Parameters!$C$21*Parameters!$C$24-Parameters!$C$24*Basicinfo!$AL11),BL11)))</f>
        <v>2008.2108792827717</v>
      </c>
      <c r="BP11" s="27">
        <f>IF($BN11=1,(BM11)*(1+Parameters!$C$21*Parameters!$C$22-Parameters!$C$22*Basicinfo!$AL11),IF($BN11=2,(BM11)*(1+Parameters!$C$21*Parameters!$C$23-Parameters!$C$23*Basicinfo!$AL11),IF($BN11=3,(BM11)*(1+Parameters!$C$21*Parameters!$C$24-Parameters!$C$24*Basicinfo!$AL11),BM11)))</f>
        <v>2195.7445145058482</v>
      </c>
      <c r="BQ11" s="27">
        <f>IF(Basicinfo!AU11=0,0,IF(G11+Basicinfo!M11=0,0,(Parameters!$C$16+BO11/Basicinfo!AU11)*G11+(Parameters!$C$17+BO11/Basicinfo!AU11)*Basicinfo!M11)/(G11+Basicinfo!M11))</f>
        <v>2.3661398845995802</v>
      </c>
      <c r="BR11" s="27">
        <f>IF(Basicinfo!AU11=0,0,IF(G11+Basicinfo!M11=0,0,(Parameters!$C$16+BP11/Basicinfo!AU11)*G11+(Parameters!$C$17+BP11/Basicinfo!AU11)*Basicinfo!M11)/(G11+Basicinfo!M11))</f>
        <v>2.5637111883709531</v>
      </c>
      <c r="BS11" s="27">
        <f>IF(Basicinfo!AU11=0,0,BO11/Basicinfo!AU11)</f>
        <v>2.1156996247408579</v>
      </c>
      <c r="BT11" s="27">
        <f>IF(Basicinfo!AU11=0,0,BP11/Basicinfo!AU11)</f>
        <v>2.3132709285122304</v>
      </c>
      <c r="BU11" s="27">
        <f>IF(SUM(G11,Basicinfo!M11,Basicinfo!P11,W11)=0,0,(BQ11*(G11+Basicinfo!M11)+BS11*(Basicinfo!P11+W11))/SUM(G11,Basicinfo!M11,Basicinfo!P11,W11))</f>
        <v>2.3080172776490766</v>
      </c>
      <c r="BV11" s="19">
        <f>IF(Basicinfo!BR11/Parameters!$C$10&gt;1,1,Basicinfo!BR11/Parameters!$C$10)</f>
        <v>0.53012590565448781</v>
      </c>
      <c r="BW11" s="19">
        <f>Parameters!$C$5+Parameters!$C$6*EXP(BV11*Parameters!$C$8*Parameters!$C$7)</f>
        <v>3.6006253756965048E-2</v>
      </c>
      <c r="BX11" s="19">
        <f>Parameters!$C$5+Parameters!$C$6*EXP(BV11*Parameters!$C$9*Parameters!$C$7)</f>
        <v>3.5442435375002919E-2</v>
      </c>
      <c r="BY11" s="19">
        <f>IF(Basicinfo!AH11+Basicinfo!AI11+Basicinfo!AJ11+Basicinfo!AK11=0,0,(Parameters!$C$18*(Basicinfo!AH11+Basicinfo!AI11)+Parameters!$C$19*Basicinfo!AJ11+Parameters!$C$20*Basicinfo!AK11)/(Basicinfo!AH11+Basicinfo!AI11+Basicinfo!AJ11+Basicinfo!AK11))</f>
        <v>3.5000000000000003E-2</v>
      </c>
      <c r="BZ11" s="19">
        <f>IF(Basicinfo!AJ11+Basicinfo!AK11=0,Parameters!$C$18,(Parameters!$C$19*Basicinfo!AJ11+Parameters!$C$20*Basicinfo!AK11)/(Basicinfo!AJ11+Basicinfo!AK11))</f>
        <v>3.5000000000000003E-2</v>
      </c>
      <c r="CA11" s="19">
        <f>IF(SUM(G11,Basicinfo!M11,Basicinfo!P11,W11)=0,0,(BW11*G11+BX11*Basicinfo!M11+BY11*Basicinfo!P11+BZ11*W11)/(SUM(G11,Basicinfo!M11,Basicinfo!P11,W11)))</f>
        <v>3.5701194970591051E-2</v>
      </c>
      <c r="CB11" s="19">
        <f>IF(Y11=0,Basicinfo!BP11,Basicinfo!BP11-(AU11*X11/Y11*Intermediate!BQ11*86400*365/1000000)*1000/(X11*100))</f>
        <v>47.840006188434074</v>
      </c>
      <c r="CC11" s="19">
        <f>IF(Y11=0,Basicinfo!BQ11,Basicinfo!BQ11-(AU11*Basicinfo!AV11/Basicinfo!AU11*X11/Y11*Intermediate!BR11*86400*365/1000000)*1000/(X11*100))</f>
        <v>52.214361823968645</v>
      </c>
      <c r="CD11" s="19">
        <f>IF(OR(Y11=0,AA11=0),BP11/100,BP11/100-(AU11*Basicinfo!AV11/Basicinfo!AU11*(Basicinfo!P11+W11)/Y11*Intermediate!BT11*86400*365/1000000+AW11*Basicinfo!AV11/Basicinfo!AU11*Intermediate!BT11*86400*365/1000000)*1000/(AA11*100))</f>
        <v>20.180540711029042</v>
      </c>
      <c r="CE11" s="19">
        <f t="shared" si="5"/>
        <v>335791.2935151275</v>
      </c>
      <c r="CF11" s="19">
        <f t="shared" si="6"/>
        <v>50800.031435403791</v>
      </c>
      <c r="CG11" s="19">
        <f>IF(AY11=0,0,((CB11^Parameters!$C$58))/AY11*100)</f>
        <v>11.792878559750495</v>
      </c>
      <c r="CH11" s="19">
        <f>IF(SUM(Basicinfo!AB11:AG11)=0,0,(Parameters!$C$59*Basicinfo!AB11+Parameters!$C$60*SUM(Basicinfo!AC11:AE11)+Parameters!$C$61*Basicinfo!AF11+Parameters!$C$62*Basicinfo!AG11)/SUM(Basicinfo!AB11:AG11))</f>
        <v>6.6709581285789882E-2</v>
      </c>
      <c r="CI11" s="19">
        <f t="shared" si="7"/>
        <v>8</v>
      </c>
      <c r="CJ11" s="19">
        <f t="shared" si="8"/>
        <v>43.202805967561027</v>
      </c>
      <c r="CK11" s="19">
        <f t="shared" si="9"/>
        <v>11.257953036740711</v>
      </c>
      <c r="CL11" s="19">
        <f>IF($BB11=0,0,$CJ11^Parameters!$C$58*100/$BB11)</f>
        <v>6.3993024905431399</v>
      </c>
      <c r="CM11" s="19">
        <f>IF(CK11=0,0,(1/(1+Parameters!$C$116*BB11^Parameters!$C$120)*Basicinfo!AH11/Basicinfo!G11+1/(1+Parameters!$C$117*BB11^Parameters!$C$121)*Basicinfo!AI11/Basicinfo!G11)*(CK11)^Parameters!$C$124+(1/(1+Parameters!$C$118*BB11^Parameters!$C$122)*Basicinfo!AJ11/Basicinfo!G11+1/(1+Parameters!$C$119*BB11^Parameters!$C$123)*Basicinfo!AK11/Basicinfo!G11)*(CK11)^Parameters!$C$125)</f>
        <v>3.4264067028809215</v>
      </c>
      <c r="CN11" s="19">
        <f>IF(SUM(Basicinfo!AB11:AG11)=0,0,(Parameters!$C$128*Basicinfo!AB11+Parameters!$C$129*(SUM(Basicinfo!AC11:AE11))+Parameters!$C$130*Basicinfo!AF11+Parameters!$C$131*Basicinfo!AG11)/SUM(Basicinfo!AB11:AG11))</f>
        <v>1.5087539813544734E-2</v>
      </c>
      <c r="CO11" s="19">
        <f>IF(Basicinfo!AH11+Basicinfo!AI11+Basicinfo!AJ11+Basicinfo!AK11=0,0,(Parameters!$C$132*(Basicinfo!AH11+Basicinfo!AI11)+Parameters!$C$133*Basicinfo!AJ11+Parameters!$C$134*Basicinfo!AK11)/(Basicinfo!AH11+Basicinfo!AI11+Basicinfo!AJ11+Basicinfo!AK11))</f>
        <v>5.0000000000000001E-4</v>
      </c>
      <c r="CP11" s="19">
        <f>IF(Basicinfo!AJ11+Basicinfo!AK11=0,0,(Parameters!$C$133*Basicinfo!AJ11+Parameters!$C$134*Basicinfo!AK11)/(Basicinfo!AJ11+Basicinfo!AK11))</f>
        <v>0</v>
      </c>
      <c r="CQ11" s="19">
        <f>IF(Z11=0,0,(CN11*(Z11-AA11)+CO11*Basicinfo!P11+CP11*(Basicinfo!Q11+Basicinfo!R11))/Z11)</f>
        <v>1.0964768594239945E-2</v>
      </c>
      <c r="CR11" s="289">
        <f>Basicinfo!EI11</f>
        <v>3.8494385964912281E-2</v>
      </c>
      <c r="CS11" s="19">
        <f>IF(SUM(Basicinfo!AB11:AG11)=0,0,(Basicinfo!AB11*Parameters!$C$43+(Basicinfo!AC11+Basicinfo!AD11)*Parameters!$C$44+Basicinfo!AE11*Parameters!$C$45+(Basicinfo!AF11+Basicinfo!AG11)*Parameters!$C$46)/SUM(Basicinfo!AB11:AG11))</f>
        <v>23.878088891424799</v>
      </c>
      <c r="CT11" s="19">
        <f>(Parameters!$C$41*CS11+Parameters!$C$42)</f>
        <v>518.55650669253293</v>
      </c>
      <c r="CU11" s="19">
        <f>CT11+Basicinfo!BR11/(Parameters!$C$47*Parameters!$C$49*Parameters!$C$48*10000/1000000)</f>
        <v>705.26751748908214</v>
      </c>
      <c r="CV11" s="19">
        <f>IF(BK11/Basicinfo!G11&lt;Parameters!$C$35,Parameters!$C$35,Parameters!$C$37*(BK11/Basicinfo!G11)^Parameters!$C$38)</f>
        <v>1.218093087849724</v>
      </c>
      <c r="CW11" s="19">
        <f>IF(BK11/Basicinfo!G11&lt;Parameters!$C$35,Parameters!$C$36,Parameters!$C$36*(BK11/Basicinfo!G11)^Parameters!$C$38)</f>
        <v>2.8625187564468515</v>
      </c>
      <c r="CX11" s="27">
        <f>IF(Basicinfo!AJ11+Basicinfo!AK11=0,0,(Parameters!$C$53*Basicinfo!AJ11+Parameters!$C$54*Basicinfo!AK11)/(Basicinfo!AJ11+Basicinfo!AK11))</f>
        <v>0</v>
      </c>
      <c r="CY11" s="56">
        <f>IF(Basicinfo!AU11*AB11=0,0,((Basicinfo!AZ11+Basicinfo!BA11)/Basicinfo!AU11+Parameters!$C$76/(Basicinfo!AU11*AB11)*100))</f>
        <v>3.3425908431983498</v>
      </c>
      <c r="CZ11" s="43">
        <f>IF(Basicinfo!AU11*AB11=0,0,(Parameters!$C$77)/(Basicinfo!AU11*AB11)*100)</f>
        <v>0.76680701153593245</v>
      </c>
      <c r="DA11" s="43">
        <f>IF(AD11+AJ11=0,0,((J11*Parameters!$C$96+Parameters!$C$94/100*S11*100*Parameters!$C$93/1000*86400*Parameters!$C$95/24*Parameters!$C$98)*AI11+AD11*CY11*86400*365)/((AD11+AJ11*AI11/365)*86400*365))</f>
        <v>8.3873745270050186</v>
      </c>
      <c r="DB11" s="43">
        <f>IF(AD11+AJ11=0,0,((J11*Parameters!$C$97+Parameters!$C$94/100*S11*100*Parameters!$C$93/1000*86400*Parameters!$C$95/24*Parameters!$C$99)*AI11+AD11*CZ11*86400*365)/((AD11+AJ11*AI11/365)*86400*365))</f>
        <v>1.5747955252443295</v>
      </c>
      <c r="DC11" s="42">
        <f>IF(AE11+AL11=0,0,((K11*Parameters!$C$96+Parameters!$C$94/100*T11*100*Parameters!$C$93/1000*86400*Parameters!$C$95/24*Parameters!$C$98)*365+AE11*CY11*86400*365)/((AE11+AL11)*86400*365))</f>
        <v>0</v>
      </c>
      <c r="DD11" s="42">
        <f>IF(AE11+AL11=0,0,((K11*Parameters!$C$97+Parameters!$C$94/100*T11*100*Parameters!$C$93/1000*86400*Parameters!$C$95/24*Parameters!$C$99)*365+AE11*CZ11*86400*365)/((AE11+AL11)*86400*365))</f>
        <v>0</v>
      </c>
      <c r="DE11" s="42">
        <f>IF(Basicinfo!AH11+Basicinfo!AI11+Basicinfo!AJ11+Basicinfo!AK11=0,0,((Basicinfo!AH11+Basicinfo!AI11)*Parameters!$C$107+(Basicinfo!AJ11+Basicinfo!AK11)*Parameters!$C$106)/(Basicinfo!AH11+Basicinfo!AI11+Basicinfo!AJ11+Basicinfo!AK11))</f>
        <v>90</v>
      </c>
      <c r="DF11" s="42">
        <f>IF(Basicinfo!AH11+Basicinfo!AI11+Basicinfo!AJ11+Basicinfo!AK11=0,0,((Basicinfo!AH11+Basicinfo!AI11)*Parameters!$C$109+(Basicinfo!AJ11+Basicinfo!AK11)*Parameters!$C$108)/(Basicinfo!AH11+Basicinfo!AI11+Basicinfo!AJ11+Basicinfo!AK11))</f>
        <v>90</v>
      </c>
      <c r="DG11" s="42">
        <f>Intermediate!AC11*Intermediate!CY11*(1-Parameters!$C$102/100*Basicinfo!BZ11/100)*(1-Parameters!$C$104/100*Basicinfo!CA11/100)*86400*365/1000000</f>
        <v>0.38743285265206662</v>
      </c>
      <c r="DH11" s="42">
        <f>Intermediate!AC11*Intermediate!CZ11*(1-Parameters!$C$103/100*Basicinfo!BZ11/100)*(1-Parameters!$C$105/100*Basicinfo!CA11/100)*86400*365/1000000</f>
        <v>8.8879028828041134E-2</v>
      </c>
      <c r="DI11" s="42">
        <f>(Intermediate!AK11*Intermediate!DA11+(Intermediate!AE11+Intermediate!AL11)*Intermediate!DC11)*86400*365/1000000</f>
        <v>0.50673795322484394</v>
      </c>
      <c r="DJ11" s="42">
        <f>(Intermediate!AK11*Intermediate!DB11+(Intermediate!AE11+Intermediate!AL11)*Intermediate!DD11)*86400*365/1000000</f>
        <v>9.5144035674165753E-2</v>
      </c>
      <c r="DK11" s="42">
        <f>((Basicinfo!AZ11+Basicinfo!BA11)*Intermediate!AB11+Parameters!$C$76*100)/1000*Intermediate!U11*(1-Intermediate!DE11/100)+(1-Parameters!$C$110/100)*M11*Parameters!$C$100*(1-DE11/100)*365/1000000+(1-Parameters!$C$112/100)*P11*Parameters!$C$96*365/1000000+(1-Parameters!$C$112/100)*O11*Parameters!$C$96*(1-DE11/100)*365/1000000</f>
        <v>0.26332726412793855</v>
      </c>
      <c r="DL11" s="42">
        <f>Parameters!$C$77*100/1000*Intermediate!U11*(1-Intermediate!DF11/100)+(1-Parameters!$C$111/100)*M11*Parameters!$C$101*(1-DF11/100)*365/1000000+(1-Parameters!$C$113/100)*P11*Parameters!$C$97*365/1000000+(1-Parameters!$C$113/100)*O11*Parameters!$C$97*(1-DF11/100)*365/1000000</f>
        <v>4.0676753025771201E-2</v>
      </c>
      <c r="DM11" s="31"/>
      <c r="DN11" s="31"/>
      <c r="DO11" s="31"/>
      <c r="DP11" s="31"/>
      <c r="DQ11" s="31"/>
      <c r="DR11" s="31"/>
      <c r="DS11" s="31"/>
      <c r="DT11" s="188">
        <f>BO11*(Basicinfo!$P11+Basicinfo!$Q11)/1000</f>
        <v>43.689485130020898</v>
      </c>
      <c r="DU11" s="188">
        <f>DT11*Basicinfo!$AZ11/(Basicinfo!$AZ11+Basicinfo!$BA11)</f>
        <v>28.957312826136707</v>
      </c>
      <c r="DV11" s="188">
        <f>DT11*Basicinfo!$BC11/(Basicinfo!$BB11+Basicinfo!$BC11)</f>
        <v>13.808249830523049</v>
      </c>
      <c r="DW11" s="188">
        <f>BP11*(Basicinfo!$P11+Basicinfo!$Q11)/1000</f>
        <v>47.769359436041768</v>
      </c>
      <c r="DX11" s="188">
        <f>DW11*Basicinfo!$BB11/(Basicinfo!$BB11+Basicinfo!$BC11)</f>
        <v>32.671647769861671</v>
      </c>
      <c r="DY11" s="188">
        <f>DW11*Basicinfo!$BC11/(Basicinfo!$BB11+Basicinfo!$BC11)</f>
        <v>15.097711666180095</v>
      </c>
      <c r="DZ11" s="188">
        <f t="shared" si="10"/>
        <v>144.56094930720087</v>
      </c>
      <c r="EA11" s="188">
        <f>DZ11*Basicinfo!$AZ11/(Basicinfo!$AZ11+Basicinfo!$BA11)</f>
        <v>95.814739383492096</v>
      </c>
      <c r="EB11" s="188">
        <f>DZ11*Basicinfo!$BC11/(Basicinfo!$BB11+Basicinfo!$BC11)</f>
        <v>45.689110270603287</v>
      </c>
      <c r="EC11" s="188">
        <f t="shared" si="11"/>
        <v>158.06054768830344</v>
      </c>
      <c r="ED11" s="188">
        <f>EC11*Basicinfo!$AZ11/(Basicinfo!$AZ11+Basicinfo!$BA11)</f>
        <v>104.76224911461922</v>
      </c>
      <c r="EE11" s="188">
        <f>EC11*Basicinfo!$BC11/(Basicinfo!$BB11+Basicinfo!$BC11)</f>
        <v>49.955716446053536</v>
      </c>
      <c r="EF11" s="190">
        <f>(Basicinfo!BP11-BL11/100)*Intermediate!X11/10</f>
        <v>214.69275918163348</v>
      </c>
      <c r="EG11" s="191">
        <f>(Basicinfo!BQ11-BM11/100)*Intermediate!X11/10</f>
        <v>234.2068183754844</v>
      </c>
      <c r="EH11" s="197">
        <f>IF(AU11=0,0,$BS11*((Basicinfo!$P11+Basicinfo!$Q11)*Intermediate!$AT11*1000+$AW11*3600*24*365)/1000000*Basicinfo!AZ11/(Basicinfo!$AZ11+Basicinfo!$BA11))</f>
        <v>2.6738833241452427</v>
      </c>
      <c r="EI11" s="197">
        <f>IF(AU11=0,0,$BS11*((Basicinfo!$P11+Basicinfo!$Q11)*Intermediate!$AT11*1000+$AW11*3600*24*365)/1000000*Basicinfo!BA11/(Basicinfo!$AZ11+Basicinfo!$BA11))</f>
        <v>1.3603510135179133</v>
      </c>
      <c r="EJ11" s="198">
        <f>IF(AU11=0,0,$BS11*($AT11*$X11*1000)/1000000*Basicinfo!AZ11/(Basicinfo!$AZ11+Basicinfo!$BA11))</f>
        <v>8.8474174169089199</v>
      </c>
      <c r="EK11" s="198">
        <f>IF(AU11=0,0,$BS11*($AT11*$X11*1000)/1000000*Basicinfo!BA11/(Basicinfo!$AZ11+Basicinfo!$BA11))</f>
        <v>4.501166203261878</v>
      </c>
      <c r="EL11" s="147">
        <f>Parameters!$C$150/Basicinfo!$AV11*100</f>
        <v>0.10353731660181188</v>
      </c>
      <c r="EM11" s="147">
        <f>Parameters!$C$151/Basicinfo!$AV11*100</f>
        <v>0.20707463320362376</v>
      </c>
      <c r="EN11" s="147">
        <f>(Parameters!$C$150+Parameters!$C$151)/Intermediate!$BB11*100</f>
        <v>0.78175151714870905</v>
      </c>
      <c r="EO11" s="193">
        <f>IF(EN11=0,0,(1/(1+Parameters!$C$116*$BB11^Parameters!$C$120)*Basicinfo!$AH11/Basicinfo!$G11+1/(1+Parameters!$C$117*$BB11^Parameters!$C$121)*Basicinfo!$AI11/Basicinfo!$G11)*(EN11)^Parameters!$C$124+(1/(1+Parameters!$C$118*$BB11^Parameters!$C$122)*Basicinfo!$AJ11/Basicinfo!AW11+1/(1+Parameters!$C$119*$BB11^Parameters!$C$123)*Basicinfo!$AK11/Basicinfo!$G11)*(EN11)^Parameters!$C$125)</f>
        <v>0.62690405940182437</v>
      </c>
      <c r="EP11" s="199">
        <f>EL11*($AT11*Basicinfo!$P11*1000+$AW11*3600*24*365)/1000000</f>
        <v>0.19742585052246836</v>
      </c>
      <c r="EQ11" s="199">
        <f>EM11*($AT11*Basicinfo!$P11*1000+$AW11*3600*24*365)/1000000</f>
        <v>0.39485170104493672</v>
      </c>
      <c r="ER11" s="199">
        <f t="shared" si="12"/>
        <v>0.65324799054906868</v>
      </c>
      <c r="ES11" s="199">
        <f t="shared" si="13"/>
        <v>1.3064959810981374</v>
      </c>
      <c r="ET11" s="181">
        <f t="shared" si="14"/>
        <v>21.527507722770025</v>
      </c>
      <c r="EU11" s="147">
        <f>Intermediate!F11*(Parameters!$C$150)/1000*100</f>
        <v>4.5165318490263728E-2</v>
      </c>
      <c r="EV11" s="147">
        <f>Intermediate!F11*(Parameters!$C$151)/1000*100</f>
        <v>9.0330636980527457E-2</v>
      </c>
      <c r="EW11" s="181">
        <f>'Local emissions'!$S11*Basicinfo!AZ11/(Basicinfo!$AZ11+Basicinfo!$BA11)-Intermediate!EU11</f>
        <v>0.55600249956992165</v>
      </c>
      <c r="EX11" s="147">
        <f>'Local emissions'!$S11*Basicinfo!BA11/(Basicinfo!$AZ11+Basicinfo!$BA11)-Intermediate!EV11</f>
        <v>0.21551638454347666</v>
      </c>
      <c r="EY11" s="188">
        <f t="shared" si="15"/>
        <v>2.4764574736227742</v>
      </c>
      <c r="EZ11" s="188">
        <f t="shared" si="16"/>
        <v>0.9654993124729766</v>
      </c>
      <c r="FA11" s="188">
        <f t="shared" si="17"/>
        <v>8.194169426359851</v>
      </c>
      <c r="FB11" s="181">
        <f t="shared" si="18"/>
        <v>3.1946702221637406</v>
      </c>
      <c r="FC11" s="181">
        <f>'Local emissions'!Y11-Intermediate!ET11</f>
        <v>96.135882339869184</v>
      </c>
      <c r="FD11" s="188">
        <f t="shared" si="19"/>
        <v>7.1378535104890632</v>
      </c>
      <c r="FE11" s="188">
        <f t="shared" si="20"/>
        <v>3.2984333993770756</v>
      </c>
      <c r="FF11" s="181">
        <f t="shared" si="21"/>
        <v>11.443830333824033</v>
      </c>
      <c r="FG11" s="201">
        <f t="shared" si="22"/>
        <v>5.456972793585078</v>
      </c>
      <c r="FH11" s="181">
        <f t="shared" si="23"/>
        <v>68.798792302593924</v>
      </c>
      <c r="FJ11" s="147">
        <f>AVERAGE(Parameters!$C$132:$C$134)*'Local emissions'!J11*3600*24*365/1000000</f>
        <v>1.7169698776006503E-2</v>
      </c>
      <c r="FK11" s="147">
        <f>'Local emissions'!AJ11+CT11*BJ11/100*Intermediate!X11*100/1000000</f>
        <v>0.60741536521698603</v>
      </c>
      <c r="FL11" s="31">
        <f>(Parameters!$C$18*(Basicinfo!AH11+Basicinfo!AI11)+Parameters!$C$19*Basicinfo!AJ11+Parameters!$C$20*Basicinfo!AK11)/Basicinfo!G11</f>
        <v>3.5000000000000003E-2</v>
      </c>
      <c r="FM11" s="181">
        <f t="shared" si="24"/>
        <v>0.29702470010835802</v>
      </c>
    </row>
    <row r="12" spans="1:169">
      <c r="A12" s="39" t="str">
        <f>Basicinfo!A12</f>
        <v>Antiesen</v>
      </c>
      <c r="B12" s="63">
        <f>Basicinfo!B12</f>
        <v>670</v>
      </c>
      <c r="C12" s="63">
        <f>Basicinfo!C12</f>
        <v>680</v>
      </c>
      <c r="D12" s="61">
        <f>Basicinfo!U12*Basicinfo!V12/1000+Basicinfo!Y12</f>
        <v>0.75469216853961596</v>
      </c>
      <c r="E12" s="19">
        <f>Basicinfo!W12*Basicinfo!X12/1000+Basicinfo!Z12</f>
        <v>0</v>
      </c>
      <c r="F12" s="19">
        <f t="shared" si="0"/>
        <v>0.75469216853961596</v>
      </c>
      <c r="G12" s="19">
        <f>SUM(Basicinfo!H12:L12)</f>
        <v>53.66783352127716</v>
      </c>
      <c r="H12" s="19">
        <f>IF(Basicinfo!N12&lt;Parameters!$C$68,Parameters!$C$69,Basicinfo!BS12/(Basicinfo!N12*100))</f>
        <v>22.951898771647919</v>
      </c>
      <c r="I12" s="19">
        <f>IF(Basicinfo!N12=0,0,Basicinfo!BU12*(1-Basicinfo!BX12/100))</f>
        <v>10564.960918847157</v>
      </c>
      <c r="J12" s="19">
        <f>IF(Basicinfo!N12=0,0,Basicinfo!BU12*Basicinfo!BX12/100)</f>
        <v>11445.374328751086</v>
      </c>
      <c r="K12" s="19">
        <f>IF(Basicinfo!N12=0,0,Basicinfo!BT12-Basicinfo!BU12)</f>
        <v>0</v>
      </c>
      <c r="L12" s="27">
        <f>Basicinfo!BV12*Basicinfo!BW12/100</f>
        <v>1286.1333333333337</v>
      </c>
      <c r="M12" s="27">
        <f>Basicinfo!BV12-Intermediate!L12</f>
        <v>1286.1333333333337</v>
      </c>
      <c r="N12" s="73">
        <f>Basicinfo!BS12-SUM(I12:K12)-Basicinfo!BV12</f>
        <v>0</v>
      </c>
      <c r="O12" s="19">
        <f>IF(Basicinfo!AH12+Basicinfo!AI12+Basicinfo!AJ12+Basicinfo!AK12=0,0,N12*(Basicinfo!AH12+Basicinfo!AI12)/SUM(Basicinfo!AH12:AK12))</f>
        <v>0</v>
      </c>
      <c r="P12" s="73">
        <f t="shared" si="25"/>
        <v>0</v>
      </c>
      <c r="Q12" s="19">
        <f>IF(Basicinfo!BS12=0,Basicinfo!N12,IF(H12&gt;Parameters!$C$70,Parameters!$C$64*(Parameters!$C$65*Parameters!$C$70)^(Parameters!$C$66-Parameters!$C$67*LOG(Parameters!$C$65*Parameters!$C$70,10))/100*Basicinfo!N12,Parameters!$C$64*(Parameters!$C$65*H12)^(Parameters!$C$66-Parameters!$C$67*LOG(Parameters!$C$65*H12,10))/100*Basicinfo!N12))</f>
        <v>3.3890881513391653</v>
      </c>
      <c r="R12" s="19">
        <f>IF(Basicinfo!BS12=0,Q12*(1-Basicinfo!BX12/100),IF(H12&lt;Parameters!$C$75,Q12*Basicinfo!BU12/Basicinfo!BS12*(1-Basicinfo!BX12/100)*(-Parameters!$C$74+Parameters!$C$73*LN(H12*100)),Q12*Basicinfo!BU12/Basicinfo!BS12*(1-Basicinfo!BX12/100)))</f>
        <v>0.87293652558333368</v>
      </c>
      <c r="S12" s="19">
        <f>IF(Basicinfo!BS12=0,Q12*Basicinfo!BX12/100,Q12*Basicinfo!BU12/Basicinfo!BS12*Basicinfo!BX12/100)</f>
        <v>1.5779201347560721</v>
      </c>
      <c r="T12" s="19">
        <f>IF(Basicinfo!BS12=0,0,IF(H12&lt;Parameters!$C$75,Q12*K12/Basicinfo!BS12*(-Parameters!$C$74+Parameters!$C$73*LN(H12*100)),Q12*K12/Basicinfo!BS12))</f>
        <v>0</v>
      </c>
      <c r="U12" s="19">
        <f t="shared" si="26"/>
        <v>0.93823149099975978</v>
      </c>
      <c r="V12" s="19">
        <f>IF(Basicinfo!AL12&gt;Parameters!$C$14,Basicinfo!Q12,0)</f>
        <v>0</v>
      </c>
      <c r="W12" s="19">
        <f>IF(Basicinfo!AL12&gt;Parameters!$C$14,0,Basicinfo!Q12)</f>
        <v>0</v>
      </c>
      <c r="X12" s="19">
        <f>G12+Basicinfo!M12</f>
        <v>89.157869268676734</v>
      </c>
      <c r="Y12" s="19">
        <f>IF(Basicinfo!G12-F12-Q12-V12-Basicinfo!O12-Basicinfo!R12-Basicinfo!S12&lt;0,0,Basicinfo!G12-F12-Q12-V12-Basicinfo!O12-Basicinfo!R12-Basicinfo!S12)</f>
        <v>135.45587671112122</v>
      </c>
      <c r="Z12" s="19">
        <f>Basicinfo!G12-F12-Basicinfo!BO12-Q12-Basicinfo!O12</f>
        <v>130.90170216947533</v>
      </c>
      <c r="AA12" s="53">
        <f>IF(Z12+Basicinfo!BO12-X12&gt;0,Z12+Basicinfo!BO12-X12,0)</f>
        <v>46.298007442444487</v>
      </c>
      <c r="AB12" s="56">
        <f>IF(Basicinfo!N12=0,0,Parameters!$C$71+Parameters!$C$72*Q12/Basicinfo!N12)</f>
        <v>0.38732030619363522</v>
      </c>
      <c r="AC12" s="43">
        <f>Basicinfo!AU12*AB12*R12/1000/86.4/0.365</f>
        <v>1.1366615601894234E-2</v>
      </c>
      <c r="AD12" s="43">
        <f>Basicinfo!AU12*AB12*S12/1000/86.4/0.365</f>
        <v>2.0546295287937544E-2</v>
      </c>
      <c r="AE12" s="43">
        <f>Basicinfo!AU12*AB12*T12/1000/86.4/0.365</f>
        <v>0</v>
      </c>
      <c r="AF12" s="43">
        <f>Basicinfo!AU12*AB12*U12/1000/86.4/0.365</f>
        <v>1.2216829507345761E-2</v>
      </c>
      <c r="AG12" s="43">
        <f>((Parameters!$C$80+Parameters!$C$81*Parameters!$C$89)/(Parameters!$C$82+Parameters!$C$89)/(Parameters!$C$90/100*Parameters!$C$91+(Parameters!$C$83+Parameters!$C$84*Parameters!$C$89)/(Parameters!$C$85+Parameters!$C$89)))-Parameters!$C$86+(Basicinfo!AU12-Parameters!$C$88)/Parameters!$C$87</f>
        <v>77.893485910908652</v>
      </c>
      <c r="AH12" s="43">
        <f>((Parameters!$C$80+Parameters!$C$81*Parameters!$C$89)/(Parameters!$C$82+Parameters!$C$89)/(Basicinfo!BY12/100*Parameters!$C$91+(Parameters!$C$83+Parameters!$C$84*Parameters!$C$89)/(Parameters!$C$85+Parameters!$C$89)))-Parameters!$C$86+(Basicinfo!AU12-Parameters!$C$88)/Parameters!$C$87</f>
        <v>60.09060404429308</v>
      </c>
      <c r="AI12" s="43">
        <f>Basicinfo!AU12^Parameters!$C$79*Parameters!$C$78*AH12/AG12</f>
        <v>33.880420789169023</v>
      </c>
      <c r="AJ12" s="43">
        <f>(J12*Parameters!$C$92/1000+Parameters!$C$94/100*S12*100*Parameters!$C$93/1000*86400*Parameters!$C$95/24)/86400</f>
        <v>1.727364667506642E-2</v>
      </c>
      <c r="AK12" s="43">
        <f t="shared" si="1"/>
        <v>1.3309881441558662E-2</v>
      </c>
      <c r="AL12" s="43">
        <f>(K12*Parameters!$C$92/1000+Parameters!$C$94/100*T12*100*Parameters!$C$93/1000*86400*Parameters!$C$95/24)/86400</f>
        <v>0</v>
      </c>
      <c r="AM12" s="43">
        <f>(Intermediate!N12+Basicinfo!BV12-Intermediate!L12)*Parameters!$C$92/1000/86400</f>
        <v>1.9351543209876548E-3</v>
      </c>
      <c r="AN12" s="43">
        <f t="shared" si="2"/>
        <v>2.3713008549140033E-2</v>
      </c>
      <c r="AO12" s="43">
        <f t="shared" si="27"/>
        <v>1.3309881441558662E-2</v>
      </c>
      <c r="AP12" s="43">
        <f t="shared" si="28"/>
        <v>1.4151983828333416E-2</v>
      </c>
      <c r="AQ12" s="43">
        <f t="shared" si="3"/>
        <v>3.8828480871786308E-2</v>
      </c>
      <c r="AR12" s="61">
        <f>(Basicinfo!AU12-Basicinfo!AY12)*F12/1000/86.4/0.365</f>
        <v>8.451163728838371E-3</v>
      </c>
      <c r="AS12" s="19">
        <f>IF(Basicinfo!AP12-Basicinfo!CB12-Basicinfo!CG12&lt;0,0,(Basicinfo!AP12-Basicinfo!CB12-Basicinfo!CG12)/Basicinfo!G12*1000)</f>
        <v>13.857084036482767</v>
      </c>
      <c r="AT12" s="19">
        <f>Parameters!$C$3*((AS12*86.4*0.365)^Parameters!$C$4)</f>
        <v>83.120817374503687</v>
      </c>
      <c r="AU12" s="19">
        <f>IF(AT12/86.4/0.365*(Basicinfo!G12/1000)-AN12&lt;0,0,AT12/86.4/0.365*(Basicinfo!G12/1000)-AN12)</f>
        <v>0.34423592592628804</v>
      </c>
      <c r="AV12" s="19">
        <f>IF(Basicinfo!AU12&gt;Parameters!$C$13,Parameters!$C$11*(Basicinfo!AU12-Parameters!$C$13)^Parameters!$C$12,0)</f>
        <v>112.52192407332909</v>
      </c>
      <c r="AW12" s="19">
        <f>IF(AV12*V12/1000/86.4/0.365&gt;Basicinfo!AP12*Parameters!$C$15,Basicinfo!AP12*Parameters!$C$15,AV12*V12/1000/86.4/0.365)</f>
        <v>0</v>
      </c>
      <c r="AX12" s="19">
        <f>Basicinfo!AU12-Basicinfo!AW12</f>
        <v>399.88276473342864</v>
      </c>
      <c r="AY12" s="19">
        <f>Parameters!$C$56*AX12+Parameters!$C$57*Basicinfo!AW12</f>
        <v>265.97238525961433</v>
      </c>
      <c r="AZ12" s="19">
        <f>AY12*Basicinfo!BO12/1000/86.4/0.365</f>
        <v>3.8409584783427583E-2</v>
      </c>
      <c r="BA12" s="19">
        <f>IF(Basicinfo!AP12-AQ12-AR12-AU12-AW12-AZ12-Basicinfo!CB12-Basicinfo!CG12&lt;0,0,Basicinfo!AP12-AQ12-AR12-AU12-AW12-AZ12-Basicinfo!CB12-Basicinfo!CG12)</f>
        <v>1.5045190236323986</v>
      </c>
      <c r="BB12" s="53">
        <f t="shared" si="4"/>
        <v>362.45909062239275</v>
      </c>
      <c r="BC12" s="56">
        <f>IF(G12=0,0,((Basicinfo!H12*Basicinfo!BE12+Basicinfo!I12*Basicinfo!BF12+Basicinfo!J12*Basicinfo!BG12+Basicinfo!K12*Basicinfo!BH12+Basicinfo!L12*Basicinfo!BI12)*(1-Basicinfo!BN12/G12*Parameters!$C$26/100)/G12)*Basicinfo!BM12)</f>
        <v>13.257480575824623</v>
      </c>
      <c r="BD12" s="43">
        <f>IF(Basicinfo!AW12*Parameters!$C$39-Parameters!$C$40&lt;0,0.001,(Basicinfo!AW12*Parameters!$C$39-Parameters!$C$40)/(Basicinfo!AX12*Parameters!$C$39-Parameters!$C$40))</f>
        <v>1.056776447054391</v>
      </c>
      <c r="BE12" s="43">
        <f>(BC12*G12*100+Basicinfo!BJ12*Basicinfo!M12*100)*Parameters!$C$29*BD12</f>
        <v>76387.408294470399</v>
      </c>
      <c r="BF12" s="43">
        <f>(Basicinfo!BK12*Basicinfo!P12*100)*BD12*Parameters!$C$29</f>
        <v>728.57744289898062</v>
      </c>
      <c r="BG12" s="43">
        <f>Parameters!$C$27*(V12+W12)*100</f>
        <v>0</v>
      </c>
      <c r="BH12" s="43">
        <f>Parameters!$C$28*Basicinfo!R12*100</f>
        <v>0</v>
      </c>
      <c r="BI12" s="43">
        <f t="shared" si="29"/>
        <v>728.57744289898062</v>
      </c>
      <c r="BJ12" s="43">
        <f>IF(Basicinfo!AM12&lt;Parameters!$C$33,0,Parameters!$C$30*(((Basicinfo!AM12-Parameters!$C$33)^Parameters!$C$31)*(((G12-Basicinfo!BN12)/Basicinfo!G12*100+Parameters!$C$34))^Parameters!$C$32))</f>
        <v>3.7612021046923023</v>
      </c>
      <c r="BK12" s="58">
        <f t="shared" si="30"/>
        <v>3601.662251390504</v>
      </c>
      <c r="BL12" s="61">
        <f>Basicinfo!AZ12+Basicinfo!BA12</f>
        <v>1848.1067892639685</v>
      </c>
      <c r="BM12" s="19">
        <f>Basicinfo!BB12+Basicinfo!BC12</f>
        <v>1983.9783143023647</v>
      </c>
      <c r="BN12" s="172">
        <f>IF(Basicinfo!AO12=0,0,IF(Basicinfo!AO12="NA",1,IF(OR(Basicinfo!AO12="SA",Basicinfo!AN12="S"),3,IF(Basicinfo!AN12="N",1,IF(Basicinfo!AO12="ZA",2,0)))))</f>
        <v>0</v>
      </c>
      <c r="BO12" s="27">
        <f>IF($BN12=1,(BL12)*(1+Parameters!$C$21*Parameters!$C$22-Parameters!$C$22*Basicinfo!$AL12),IF($BN12=2,(BL12)*(1+Parameters!$C$21*Parameters!$C$23-Parameters!$C$23*Basicinfo!$AL12),IF($BN12=3,(BL12)*(1+Parameters!$C$21*Parameters!$C$24-Parameters!$C$24*Basicinfo!$AL12),BL12)))</f>
        <v>1848.1067892639685</v>
      </c>
      <c r="BP12" s="27">
        <f>IF($BN12=1,(BM12)*(1+Parameters!$C$21*Parameters!$C$22-Parameters!$C$22*Basicinfo!$AL12),IF($BN12=2,(BM12)*(1+Parameters!$C$21*Parameters!$C$23-Parameters!$C$23*Basicinfo!$AL12),IF($BN12=3,(BM12)*(1+Parameters!$C$21*Parameters!$C$24-Parameters!$C$24*Basicinfo!$AL12),BM12)))</f>
        <v>1983.9783143023647</v>
      </c>
      <c r="BQ12" s="27">
        <f>IF(Basicinfo!AU12=0,0,IF(G12+Basicinfo!M12=0,0,(Parameters!$C$16+BO12/Basicinfo!AU12)*G12+(Parameters!$C$17+BO12/Basicinfo!AU12)*Basicinfo!M12)/(G12+Basicinfo!M12))</f>
        <v>1.9237624102543631</v>
      </c>
      <c r="BR12" s="27">
        <f>IF(Basicinfo!AU12=0,0,IF(G12+Basicinfo!M12=0,0,(Parameters!$C$16+BP12/Basicinfo!AU12)*G12+(Parameters!$C$17+BP12/Basicinfo!AU12)*Basicinfo!M12)/(G12+Basicinfo!M12))</f>
        <v>2.0519197848852815</v>
      </c>
      <c r="BS12" s="27">
        <f>IF(Basicinfo!AU12=0,0,BO12/Basicinfo!AU12)</f>
        <v>1.7431799200216185</v>
      </c>
      <c r="BT12" s="27">
        <f>IF(Basicinfo!AU12=0,0,BP12/Basicinfo!AU12)</f>
        <v>1.8713372946525371</v>
      </c>
      <c r="BU12" s="27">
        <f>IF(SUM(G12,Basicinfo!M12,Basicinfo!P12,W12)=0,0,(BQ12*(G12+Basicinfo!M12)+BS12*(Basicinfo!P12+W12))/SUM(G12,Basicinfo!M12,Basicinfo!P12,W12))</f>
        <v>1.8688318940749997</v>
      </c>
      <c r="BV12" s="19">
        <f>IF(Basicinfo!BR12/Parameters!$C$10&gt;1,1,Basicinfo!BR12/Parameters!$C$10)</f>
        <v>0.39407199974079221</v>
      </c>
      <c r="BW12" s="19">
        <f>Parameters!$C$5+Parameters!$C$6*EXP(BV12*Parameters!$C$8*Parameters!$C$7)</f>
        <v>3.5150812534909232E-2</v>
      </c>
      <c r="BX12" s="19">
        <f>Parameters!$C$5+Parameters!$C$6*EXP(BV12*Parameters!$C$9*Parameters!$C$7)</f>
        <v>3.5081877643074591E-2</v>
      </c>
      <c r="BY12" s="19">
        <f>IF(Basicinfo!AH12+Basicinfo!AI12+Basicinfo!AJ12+Basicinfo!AK12=0,0,(Parameters!$C$18*(Basicinfo!AH12+Basicinfo!AI12)+Parameters!$C$19*Basicinfo!AJ12+Parameters!$C$20*Basicinfo!AK12)/(Basicinfo!AH12+Basicinfo!AI12+Basicinfo!AJ12+Basicinfo!AK12))</f>
        <v>3.5000000000000003E-2</v>
      </c>
      <c r="BZ12" s="19">
        <f>IF(Basicinfo!AJ12+Basicinfo!AK12=0,Parameters!$C$18,(Parameters!$C$19*Basicinfo!AJ12+Parameters!$C$20*Basicinfo!AK12)/(Basicinfo!AJ12+Basicinfo!AK12))</f>
        <v>3.5000000000000003E-2</v>
      </c>
      <c r="CA12" s="19">
        <f>IF(SUM(G12,Basicinfo!M12,Basicinfo!P12,W12)=0,0,(BW12*G12+BX12*Basicinfo!M12+BY12*Basicinfo!P12+BZ12*W12)/(SUM(G12,Basicinfo!M12,Basicinfo!P12,W12)))</f>
        <v>3.5085844362118326E-2</v>
      </c>
      <c r="CB12" s="19">
        <f>IF(Y12=0,Basicinfo!BP12,Basicinfo!BP12-(AU12*X12/Y12*Intermediate!BQ12*86400*365/1000000)*1000/(X12*100))</f>
        <v>54.960539361858636</v>
      </c>
      <c r="CC12" s="19">
        <f>IF(Y12=0,Basicinfo!BQ12,Basicinfo!BQ12-(AU12*Basicinfo!AV12/Basicinfo!AU12*X12/Y12*Intermediate!BR12*86400*365/1000000)*1000/(X12*100))</f>
        <v>56.190015223073651</v>
      </c>
      <c r="CD12" s="19">
        <f>IF(OR(Y12=0,AA12=0),BP12/100,BP12/100-(AU12*Basicinfo!AV12/Basicinfo!AU12*(Basicinfo!P12+W12)/Y12*Intermediate!BT12*86400*365/1000000+AW12*Basicinfo!AV12/Basicinfo!AU12*Intermediate!BT12*86400*365/1000000)*1000/(AA12*100))</f>
        <v>18.544331428078333</v>
      </c>
      <c r="CE12" s="19">
        <f t="shared" si="5"/>
        <v>475388.28946401383</v>
      </c>
      <c r="CF12" s="19">
        <f t="shared" si="6"/>
        <v>85856.559447232794</v>
      </c>
      <c r="CG12" s="19">
        <f>IF(AY12=0,0,((CB12^Parameters!$C$58))/AY12*100)</f>
        <v>11.329396860265719</v>
      </c>
      <c r="CH12" s="19">
        <f>IF(SUM(Basicinfo!AB12:AG12)=0,0,(Parameters!$C$59*Basicinfo!AB12+Parameters!$C$60*SUM(Basicinfo!AC12:AE12)+Parameters!$C$61*Basicinfo!AF12+Parameters!$C$62*Basicinfo!AG12)/SUM(Basicinfo!AB12:AG12))</f>
        <v>7.7096661887647952E-2</v>
      </c>
      <c r="CI12" s="19">
        <f t="shared" si="7"/>
        <v>8</v>
      </c>
      <c r="CJ12" s="19">
        <f t="shared" si="8"/>
        <v>42.875290359831709</v>
      </c>
      <c r="CK12" s="19">
        <f t="shared" si="9"/>
        <v>11.829001249826252</v>
      </c>
      <c r="CL12" s="19">
        <f>IF($BB12=0,0,$CJ12^Parameters!$C$58*100/$BB12)</f>
        <v>6.7315800792661991</v>
      </c>
      <c r="CM12" s="19">
        <f>IF(CK12=0,0,(1/(1+Parameters!$C$116*BB12^Parameters!$C$120)*Basicinfo!AH12/Basicinfo!G12+1/(1+Parameters!$C$117*BB12^Parameters!$C$121)*Basicinfo!AI12/Basicinfo!G12)*(CK12)^Parameters!$C$124+(1/(1+Parameters!$C$118*BB12^Parameters!$C$122)*Basicinfo!AJ12/Basicinfo!G12+1/(1+Parameters!$C$119*BB12^Parameters!$C$123)*Basicinfo!AK12/Basicinfo!G12)*(CK12)^Parameters!$C$125)</f>
        <v>3.3248010030782513</v>
      </c>
      <c r="CN12" s="19">
        <f>IF(SUM(Basicinfo!AB12:AG12)=0,0,(Parameters!$C$128*Basicinfo!AB12+Parameters!$C$129*(SUM(Basicinfo!AC12:AE12))+Parameters!$C$130*Basicinfo!AF12+Parameters!$C$131*Basicinfo!AG12)/SUM(Basicinfo!AB12:AG12))</f>
        <v>1.2442380269663994E-2</v>
      </c>
      <c r="CO12" s="19">
        <f>IF(Basicinfo!AH12+Basicinfo!AI12+Basicinfo!AJ12+Basicinfo!AK12=0,0,(Parameters!$C$132*(Basicinfo!AH12+Basicinfo!AI12)+Parameters!$C$133*Basicinfo!AJ12+Parameters!$C$134*Basicinfo!AK12)/(Basicinfo!AH12+Basicinfo!AI12+Basicinfo!AJ12+Basicinfo!AK12))</f>
        <v>5.0000000000000001E-4</v>
      </c>
      <c r="CP12" s="19">
        <f>IF(Basicinfo!AJ12+Basicinfo!AK12=0,0,(Parameters!$C$133*Basicinfo!AJ12+Parameters!$C$134*Basicinfo!AK12)/(Basicinfo!AJ12+Basicinfo!AK12))</f>
        <v>0</v>
      </c>
      <c r="CQ12" s="19">
        <f>IF(Z12=0,0,(CN12*(Z12-AA12)+CO12*Basicinfo!P12+CP12*(Basicinfo!Q12+Basicinfo!R12))/Z12)</f>
        <v>8.1905706985871685E-3</v>
      </c>
      <c r="CR12" s="289">
        <f>Basicinfo!EI12</f>
        <v>2.5731876315789475E-2</v>
      </c>
      <c r="CS12" s="19">
        <f>IF(SUM(Basicinfo!AB12:AG12)=0,0,(Basicinfo!AB12*Parameters!$C$43+(Basicinfo!AC12+Basicinfo!AD12)*Parameters!$C$44+Basicinfo!AE12*Parameters!$C$45+(Basicinfo!AF12+Basicinfo!AG12)*Parameters!$C$46)/SUM(Basicinfo!AB12:AG12))</f>
        <v>23.767486145742442</v>
      </c>
      <c r="CT12" s="19">
        <f>(Parameters!$C$41*CS12+Parameters!$C$42)</f>
        <v>517.42835868657289</v>
      </c>
      <c r="CU12" s="19">
        <f>CT12+Basicinfo!BR12/(Parameters!$C$47*Parameters!$C$49*Parameters!$C$48*10000/1000000)</f>
        <v>656.22101268332995</v>
      </c>
      <c r="CV12" s="19">
        <f>IF(BK12/Basicinfo!G12&lt;Parameters!$C$35,Parameters!$C$35,Parameters!$C$37*(BK12/Basicinfo!G12)^Parameters!$C$38)</f>
        <v>1.6624319825218274</v>
      </c>
      <c r="CW12" s="19">
        <f>IF(BK12/Basicinfo!G12&lt;Parameters!$C$35,Parameters!$C$36,Parameters!$C$36*(BK12/Basicinfo!G12)^Parameters!$C$38)</f>
        <v>3.906715158926295</v>
      </c>
      <c r="CX12" s="27">
        <f>IF(Basicinfo!AJ12+Basicinfo!AK12=0,0,(Parameters!$C$53*Basicinfo!AJ12+Parameters!$C$54*Basicinfo!AK12)/(Basicinfo!AJ12+Basicinfo!AK12))</f>
        <v>0</v>
      </c>
      <c r="CY12" s="56">
        <f>IF(Basicinfo!AU12*AB12=0,0,((Basicinfo!AZ12+Basicinfo!BA12)/Basicinfo!AU12+Parameters!$C$76/(Basicinfo!AU12*AB12)*100))</f>
        <v>2.7172829111235521</v>
      </c>
      <c r="CZ12" s="43">
        <f>IF(Basicinfo!AU12*AB12=0,0,(Parameters!$C$77)/(Basicinfo!AU12*AB12)*100)</f>
        <v>0.60881436943870859</v>
      </c>
      <c r="DA12" s="43">
        <f>IF(AD12+AJ12=0,0,((J12*Parameters!$C$96+Parameters!$C$94/100*S12*100*Parameters!$C$93/1000*86400*Parameters!$C$95/24*Parameters!$C$98)*AI12+AD12*CY12*86400*365)/((AD12+AJ12*AI12/365)*86400*365))</f>
        <v>9.1827339304522546</v>
      </c>
      <c r="DB12" s="43">
        <f>IF(AD12+AJ12=0,0,((J12*Parameters!$C$97+Parameters!$C$94/100*S12*100*Parameters!$C$93/1000*86400*Parameters!$C$95/24*Parameters!$C$99)*AI12+AD12*CZ12*86400*365)/((AD12+AJ12*AI12/365)*86400*365))</f>
        <v>1.6485310713297765</v>
      </c>
      <c r="DC12" s="42">
        <f>IF(AE12+AL12=0,0,((K12*Parameters!$C$96+Parameters!$C$94/100*T12*100*Parameters!$C$93/1000*86400*Parameters!$C$95/24*Parameters!$C$98)*365+AE12*CY12*86400*365)/((AE12+AL12)*86400*365))</f>
        <v>0</v>
      </c>
      <c r="DD12" s="42">
        <f>IF(AE12+AL12=0,0,((K12*Parameters!$C$97+Parameters!$C$94/100*T12*100*Parameters!$C$93/1000*86400*Parameters!$C$95/24*Parameters!$C$99)*365+AE12*CZ12*86400*365)/((AE12+AL12)*86400*365))</f>
        <v>0</v>
      </c>
      <c r="DE12" s="42">
        <f>IF(Basicinfo!AH12+Basicinfo!AI12+Basicinfo!AJ12+Basicinfo!AK12=0,0,((Basicinfo!AH12+Basicinfo!AI12)*Parameters!$C$107+(Basicinfo!AJ12+Basicinfo!AK12)*Parameters!$C$106)/(Basicinfo!AH12+Basicinfo!AI12+Basicinfo!AJ12+Basicinfo!AK12))</f>
        <v>90</v>
      </c>
      <c r="DF12" s="42">
        <f>IF(Basicinfo!AH12+Basicinfo!AI12+Basicinfo!AJ12+Basicinfo!AK12=0,0,((Basicinfo!AH12+Basicinfo!AI12)*Parameters!$C$109+(Basicinfo!AJ12+Basicinfo!AK12)*Parameters!$C$108)/(Basicinfo!AH12+Basicinfo!AI12+Basicinfo!AJ12+Basicinfo!AK12))</f>
        <v>90</v>
      </c>
      <c r="DG12" s="42">
        <f>Intermediate!AC12*Intermediate!CY12*(1-Parameters!$C$102/100*Basicinfo!BZ12/100)*(1-Parameters!$C$104/100*Basicinfo!CA12/100)*86400*365/1000000</f>
        <v>0.974030682640597</v>
      </c>
      <c r="DH12" s="42">
        <f>Intermediate!AC12*Intermediate!CZ12*(1-Parameters!$C$103/100*Basicinfo!BZ12/100)*(1-Parameters!$C$105/100*Basicinfo!CA12/100)*86400*365/1000000</f>
        <v>0.21823413139583339</v>
      </c>
      <c r="DI12" s="42">
        <f>(Intermediate!AK12*Intermediate!DA12+(Intermediate!AE12+Intermediate!AL12)*Intermediate!DC12)*86400*365/1000000</f>
        <v>3.8543646071937241</v>
      </c>
      <c r="DJ12" s="42">
        <f>(Intermediate!AK12*Intermediate!DB12+(Intermediate!AE12+Intermediate!AL12)*Intermediate!DD12)*86400*365/1000000</f>
        <v>0.69195512614397436</v>
      </c>
      <c r="DK12" s="42">
        <f>((Basicinfo!AZ12+Basicinfo!BA12)*Intermediate!AB12+Parameters!$C$76*100)/1000*Intermediate!U12*(1-Intermediate!DE12/100)+(1-Parameters!$C$110/100)*M12*Parameters!$C$100*(1-DE12/100)*365/1000000+(1-Parameters!$C$112/100)*P12*Parameters!$C$96*365/1000000+(1-Parameters!$C$112/100)*O12*Parameters!$C$96*(1-DE12/100)*365/1000000</f>
        <v>0.48493406114789928</v>
      </c>
      <c r="DL12" s="42">
        <f>Parameters!$C$77*100/1000*Intermediate!U12*(1-Intermediate!DF12/100)+(1-Parameters!$C$111/100)*M12*Parameters!$C$101*(1-DF12/100)*365/1000000+(1-Parameters!$C$113/100)*P12*Parameters!$C$97*365/1000000+(1-Parameters!$C$113/100)*O12*Parameters!$C$97*(1-DF12/100)*365/1000000</f>
        <v>7.4242670922138168E-2</v>
      </c>
      <c r="DM12" s="31"/>
      <c r="DN12" s="31"/>
      <c r="DO12" s="31"/>
      <c r="DP12" s="31"/>
      <c r="DQ12" s="31"/>
      <c r="DR12" s="31"/>
      <c r="DS12" s="31"/>
      <c r="DT12" s="188">
        <f>BO12*(Basicinfo!$P12+Basicinfo!$Q12)/1000</f>
        <v>72.032934503786834</v>
      </c>
      <c r="DU12" s="188">
        <f>DT12*Basicinfo!$AZ12/(Basicinfo!$AZ12+Basicinfo!$BA12)</f>
        <v>44.327795913632578</v>
      </c>
      <c r="DV12" s="188">
        <f>DT12*Basicinfo!$BC12/(Basicinfo!$BB12+Basicinfo!$BC12)</f>
        <v>26.30732886024467</v>
      </c>
      <c r="DW12" s="188">
        <f>BP12*(Basicinfo!$P12+Basicinfo!$Q12)/1000</f>
        <v>77.328745720366101</v>
      </c>
      <c r="DX12" s="188">
        <f>DW12*Basicinfo!$BB12/(Basicinfo!$BB12+Basicinfo!$BC12)</f>
        <v>49.087320349739791</v>
      </c>
      <c r="DY12" s="188">
        <f>DW12*Basicinfo!$BC12/(Basicinfo!$BB12+Basicinfo!$BC12)</f>
        <v>28.24142537062631</v>
      </c>
      <c r="DZ12" s="188">
        <f t="shared" si="10"/>
        <v>164.77326351175083</v>
      </c>
      <c r="EA12" s="188">
        <f>DZ12*Basicinfo!$AZ12/(Basicinfo!$AZ12+Basicinfo!$BA12)</f>
        <v>101.39855674751267</v>
      </c>
      <c r="EB12" s="188">
        <f>DZ12*Basicinfo!$BC12/(Basicinfo!$BB12+Basicinfo!$BC12)</f>
        <v>60.177257256560907</v>
      </c>
      <c r="EC12" s="188">
        <f t="shared" si="11"/>
        <v>176.88727917845986</v>
      </c>
      <c r="ED12" s="188">
        <f>EC12*Basicinfo!$AZ12/(Basicinfo!$AZ12+Basicinfo!$BA12)</f>
        <v>108.85330807574289</v>
      </c>
      <c r="EE12" s="188">
        <f>EC12*Basicinfo!$BC12/(Basicinfo!$BB12+Basicinfo!$BC12)</f>
        <v>64.601447332359044</v>
      </c>
      <c r="EF12" s="190">
        <f>(Basicinfo!BP12-BL12/100)*Intermediate!X12/10</f>
        <v>338.98918610473436</v>
      </c>
      <c r="EG12" s="191">
        <f>(Basicinfo!BQ12-BM12/100)*Intermediate!X12/10</f>
        <v>339.13437486014766</v>
      </c>
      <c r="EH12" s="197">
        <f>IF(AU12=0,0,$BS12*((Basicinfo!$P12+Basicinfo!$Q12)*Intermediate!$AT12*1000+$AW12*3600*24*365)/1000000*Basicinfo!AZ12/(Basicinfo!$AZ12+Basicinfo!$BA12))</f>
        <v>3.4753703767623514</v>
      </c>
      <c r="EI12" s="197">
        <f>IF(AU12=0,0,$BS12*((Basicinfo!$P12+Basicinfo!$Q12)*Intermediate!$AT12*1000+$AW12*3600*24*365)/1000000*Basicinfo!BA12/(Basicinfo!$AZ12+Basicinfo!$BA12))</f>
        <v>2.172127351603915</v>
      </c>
      <c r="EJ12" s="198">
        <f>IF(AU12=0,0,$BS12*($AT12*$X12*1000)/1000000*Basicinfo!AZ12/(Basicinfo!$AZ12+Basicinfo!$BA12))</f>
        <v>7.9498096646484795</v>
      </c>
      <c r="EK12" s="198">
        <f>IF(AU12=0,0,$BS12*($AT12*$X12*1000)/1000000*Basicinfo!BA12/(Basicinfo!$AZ12+Basicinfo!$BA12))</f>
        <v>4.968678771070997</v>
      </c>
      <c r="EL12" s="147">
        <f>Parameters!$C$150/Basicinfo!$AV12*100</f>
        <v>9.1929032201561872E-2</v>
      </c>
      <c r="EM12" s="147">
        <f>Parameters!$C$151/Basicinfo!$AV12*100</f>
        <v>0.18385806440312374</v>
      </c>
      <c r="EN12" s="147">
        <f>(Parameters!$C$150+Parameters!$C$151)/Intermediate!$BB12*100</f>
        <v>0.82767961340094476</v>
      </c>
      <c r="EO12" s="193">
        <f>IF(EN12=0,0,(1/(1+Parameters!$C$116*$BB12^Parameters!$C$120)*Basicinfo!$AH12/Basicinfo!$G12+1/(1+Parameters!$C$117*$BB12^Parameters!$C$121)*Basicinfo!$AI12/Basicinfo!$G12)*(EN12)^Parameters!$C$124+(1/(1+Parameters!$C$118*$BB12^Parameters!$C$122)*Basicinfo!$AJ12/Basicinfo!AW12+1/(1+Parameters!$C$119*$BB12^Parameters!$C$123)*Basicinfo!$AK12/Basicinfo!$G12)*(EN12)^Parameters!$C$125)</f>
        <v>0.61126890426194558</v>
      </c>
      <c r="EP12" s="199">
        <f>EL12*($AT12*Basicinfo!$P12*1000+$AW12*3600*24*365)/1000000</f>
        <v>0.29782869488468605</v>
      </c>
      <c r="EQ12" s="199">
        <f>EM12*($AT12*Basicinfo!$P12*1000+$AW12*3600*24*365)/1000000</f>
        <v>0.5956573897693721</v>
      </c>
      <c r="ER12" s="199">
        <f t="shared" si="12"/>
        <v>0.68127456366525407</v>
      </c>
      <c r="ES12" s="199">
        <f t="shared" si="13"/>
        <v>1.3625491273305081</v>
      </c>
      <c r="ET12" s="181">
        <f t="shared" si="14"/>
        <v>29.002577358057014</v>
      </c>
      <c r="EU12" s="147">
        <f>Intermediate!F12*(Parameters!$C$150)/1000*100</f>
        <v>7.5469216853961588E-2</v>
      </c>
      <c r="EV12" s="147">
        <f>Intermediate!F12*(Parameters!$C$151)/1000*100</f>
        <v>0.15093843370792318</v>
      </c>
      <c r="EW12" s="181">
        <f>'Local emissions'!$S12*Basicinfo!AZ12/(Basicinfo!$AZ12+Basicinfo!$BA12)-Intermediate!EU12</f>
        <v>0.78283636297052794</v>
      </c>
      <c r="EX12" s="147">
        <f>'Local emissions'!$S12*Basicinfo!BA12/(Basicinfo!$AZ12+Basicinfo!$BA12)-Intermediate!EV12</f>
        <v>0.38550770694999859</v>
      </c>
      <c r="EY12" s="188">
        <f t="shared" si="15"/>
        <v>3.1775416818776652</v>
      </c>
      <c r="EZ12" s="188">
        <f t="shared" si="16"/>
        <v>1.576469961834543</v>
      </c>
      <c r="FA12" s="188">
        <f t="shared" si="17"/>
        <v>7.2685351009832253</v>
      </c>
      <c r="FB12" s="181">
        <f t="shared" si="18"/>
        <v>3.6061296437404886</v>
      </c>
      <c r="FC12" s="181">
        <f>'Local emissions'!Y12-Intermediate!ET12</f>
        <v>128.7476330969485</v>
      </c>
      <c r="FD12" s="188">
        <f t="shared" si="19"/>
        <v>10.651170560714016</v>
      </c>
      <c r="FE12" s="188">
        <f t="shared" si="20"/>
        <v>6.1279417241974468</v>
      </c>
      <c r="FF12" s="181">
        <f t="shared" si="21"/>
        <v>11.809721351176098</v>
      </c>
      <c r="FG12" s="201">
        <f t="shared" si="22"/>
        <v>7.0087451209748828</v>
      </c>
      <c r="FH12" s="181">
        <f t="shared" si="23"/>
        <v>93.150054339886069</v>
      </c>
      <c r="FJ12" s="147">
        <f>AVERAGE(Parameters!$C$132:$C$134)*'Local emissions'!J12*3600*24*365/1000000</f>
        <v>2.3723255964635665E-2</v>
      </c>
      <c r="FK12" s="147">
        <f>'Local emissions'!AJ12+CT12*BJ12/100*Intermediate!X12*100/1000000</f>
        <v>0.50137467122027268</v>
      </c>
      <c r="FL12" s="31">
        <f>(Parameters!$C$18*(Basicinfo!AH12+Basicinfo!AI12)+Parameters!$C$19*Basicinfo!AJ12+Parameters!$C$20*Basicinfo!AK12)/Basicinfo!G12</f>
        <v>3.5000000000000003E-2</v>
      </c>
      <c r="FM12" s="181">
        <f t="shared" si="24"/>
        <v>0.3799538456003998</v>
      </c>
    </row>
    <row r="13" spans="1:169">
      <c r="A13" s="39" t="str">
        <f>Basicinfo!A13</f>
        <v>Antiesen</v>
      </c>
      <c r="B13" s="63">
        <f>Basicinfo!B13</f>
        <v>680</v>
      </c>
      <c r="C13" s="63">
        <f>Basicinfo!C13</f>
        <v>1050</v>
      </c>
      <c r="D13" s="61">
        <f>Basicinfo!U13*Basicinfo!V13/1000+Basicinfo!Y13</f>
        <v>0.92663102168191602</v>
      </c>
      <c r="E13" s="19">
        <f>Basicinfo!W13*Basicinfo!X13/1000+Basicinfo!Z13</f>
        <v>0.15844790367714398</v>
      </c>
      <c r="F13" s="19">
        <f t="shared" si="0"/>
        <v>1.08507892535906</v>
      </c>
      <c r="G13" s="19">
        <f>SUM(Basicinfo!H13:L13)</f>
        <v>74.640239498833168</v>
      </c>
      <c r="H13" s="19">
        <f>IF(Basicinfo!N13&lt;Parameters!$C$68,Parameters!$C$69,Basicinfo!BS13/(Basicinfo!N13*100))</f>
        <v>14.94519703536622</v>
      </c>
      <c r="I13" s="19">
        <f>IF(Basicinfo!N13=0,0,Basicinfo!BU13*(1-Basicinfo!BX13/100))</f>
        <v>5813.9732972252523</v>
      </c>
      <c r="J13" s="19">
        <f>IF(Basicinfo!N13=0,0,Basicinfo!BU13*Basicinfo!BX13/100)</f>
        <v>6298.471071994024</v>
      </c>
      <c r="K13" s="19">
        <f>IF(Basicinfo!N13=0,0,Basicinfo!BT13-Basicinfo!BU13)</f>
        <v>0</v>
      </c>
      <c r="L13" s="27">
        <f>Basicinfo!BV13*Basicinfo!BW13/100</f>
        <v>723.25333333333333</v>
      </c>
      <c r="M13" s="27">
        <f>Basicinfo!BV13-Intermediate!L13</f>
        <v>723.25333333333333</v>
      </c>
      <c r="N13" s="73">
        <f>Basicinfo!BS13-SUM(I13:K13)-Basicinfo!BV13</f>
        <v>0</v>
      </c>
      <c r="O13" s="19">
        <f>IF(Basicinfo!AH13+Basicinfo!AI13+Basicinfo!AJ13+Basicinfo!AK13=0,0,N13*(Basicinfo!AH13+Basicinfo!AI13)/SUM(Basicinfo!AH13:AK13))</f>
        <v>0</v>
      </c>
      <c r="P13" s="73">
        <f t="shared" si="25"/>
        <v>0</v>
      </c>
      <c r="Q13" s="19">
        <f>IF(Basicinfo!BS13=0,Basicinfo!N13,IF(H13&gt;Parameters!$C$70,Parameters!$C$64*(Parameters!$C$65*Parameters!$C$70)^(Parameters!$C$66-Parameters!$C$67*LOG(Parameters!$C$65*Parameters!$C$70,10))/100*Basicinfo!N13,Parameters!$C$64*(Parameters!$C$65*H13)^(Parameters!$C$66-Parameters!$C$67*LOG(Parameters!$C$65*H13,10))/100*Basicinfo!N13))</f>
        <v>2.3119805987431699</v>
      </c>
      <c r="R13" s="19">
        <f>IF(Basicinfo!BS13=0,Q13*(1-Basicinfo!BX13/100),IF(H13&lt;Parameters!$C$75,Q13*Basicinfo!BU13/Basicinfo!BS13*(1-Basicinfo!BX13/100)*(-Parameters!$C$74+Parameters!$C$73*LN(H13*100)),Q13*Basicinfo!BU13/Basicinfo!BS13*(1-Basicinfo!BX13/100)))</f>
        <v>0.54097988433767352</v>
      </c>
      <c r="S13" s="19">
        <f>IF(Basicinfo!BS13=0,Q13*Basicinfo!BX13/100,Q13*Basicinfo!BU13/Basicinfo!BS13*Basicinfo!BX13/100)</f>
        <v>1.0739726754418359</v>
      </c>
      <c r="T13" s="19">
        <f>IF(Basicinfo!BS13=0,0,IF(H13&lt;Parameters!$C$75,Q13*K13/Basicinfo!BS13*(-Parameters!$C$74+Parameters!$C$73*LN(H13*100)),Q13*K13/Basicinfo!BS13))</f>
        <v>0</v>
      </c>
      <c r="U13" s="19">
        <f t="shared" si="26"/>
        <v>0.6970280389636605</v>
      </c>
      <c r="V13" s="19">
        <f>IF(Basicinfo!AL13&gt;Parameters!$C$14,Basicinfo!Q13,0)</f>
        <v>0</v>
      </c>
      <c r="W13" s="19">
        <f>IF(Basicinfo!AL13&gt;Parameters!$C$14,0,Basicinfo!Q13)</f>
        <v>0</v>
      </c>
      <c r="X13" s="19">
        <f>G13+Basicinfo!M13</f>
        <v>102.19041712206646</v>
      </c>
      <c r="Y13" s="19">
        <f>IF(Basicinfo!G13-F13-Q13-V13-Basicinfo!O13-Basicinfo!R13-Basicinfo!S13&lt;0,0,Basicinfo!G13-F13-Q13-V13-Basicinfo!O13-Basicinfo!R13-Basicinfo!S13)</f>
        <v>140.05938666789777</v>
      </c>
      <c r="Z13" s="19">
        <f>Basicinfo!G13-F13-Basicinfo!BO13-Q13-Basicinfo!O13</f>
        <v>135.64035163847777</v>
      </c>
      <c r="AA13" s="53">
        <f>IF(Z13+Basicinfo!BO13-X13&gt;0,Z13+Basicinfo!BO13-X13,0)</f>
        <v>37.868969545831305</v>
      </c>
      <c r="AB13" s="56">
        <f>IF(Basicinfo!N13=0,0,Parameters!$C$71+Parameters!$C$72*Q13/Basicinfo!N13)</f>
        <v>0.34112654160364558</v>
      </c>
      <c r="AC13" s="43">
        <f>Basicinfo!AU13*AB13*R13/1000/86.4/0.365</f>
        <v>5.5623354553808032E-3</v>
      </c>
      <c r="AD13" s="43">
        <f>Basicinfo!AU13*AB13*S13/1000/86.4/0.365</f>
        <v>1.1042547909214915E-2</v>
      </c>
      <c r="AE13" s="43">
        <f>Basicinfo!AU13*AB13*T13/1000/86.4/0.365</f>
        <v>0</v>
      </c>
      <c r="AF13" s="43">
        <f>Basicinfo!AU13*AB13*U13/1000/86.4/0.365</f>
        <v>7.1668168942527182E-3</v>
      </c>
      <c r="AG13" s="43">
        <f>((Parameters!$C$80+Parameters!$C$81*Parameters!$C$89)/(Parameters!$C$82+Parameters!$C$89)/(Parameters!$C$90/100*Parameters!$C$91+(Parameters!$C$83+Parameters!$C$84*Parameters!$C$89)/(Parameters!$C$85+Parameters!$C$89)))-Parameters!$C$86+(Basicinfo!AU13-Parameters!$C$88)/Parameters!$C$87</f>
        <v>75.151988704919361</v>
      </c>
      <c r="AH13" s="43">
        <f>((Parameters!$C$80+Parameters!$C$81*Parameters!$C$89)/(Parameters!$C$82+Parameters!$C$89)/(Basicinfo!BY13/100*Parameters!$C$91+(Parameters!$C$83+Parameters!$C$84*Parameters!$C$89)/(Parameters!$C$85+Parameters!$C$89)))-Parameters!$C$86+(Basicinfo!AU13-Parameters!$C$88)/Parameters!$C$87</f>
        <v>57.34910683830379</v>
      </c>
      <c r="AI13" s="43">
        <f>Basicinfo!AU13^Parameters!$C$79*Parameters!$C$78*AH13/AG13</f>
        <v>25.50852322439092</v>
      </c>
      <c r="AJ13" s="43">
        <f>(J13*Parameters!$C$92/1000+Parameters!$C$94/100*S13*100*Parameters!$C$93/1000*86400*Parameters!$C$95/24)/86400</f>
        <v>9.512665285468699E-3</v>
      </c>
      <c r="AK13" s="43">
        <f t="shared" si="1"/>
        <v>6.7140626709323659E-3</v>
      </c>
      <c r="AL13" s="43">
        <f>(K13*Parameters!$C$92/1000+Parameters!$C$94/100*T13*100*Parameters!$C$93/1000*86400*Parameters!$C$95/24)/86400</f>
        <v>0</v>
      </c>
      <c r="AM13" s="43">
        <f>(Intermediate!N13+Basicinfo!BV13-Intermediate!L13)*Parameters!$C$92/1000/86400</f>
        <v>1.0882283950617282E-3</v>
      </c>
      <c r="AN13" s="43">
        <f t="shared" si="2"/>
        <v>1.1895138053507347E-2</v>
      </c>
      <c r="AO13" s="43">
        <f t="shared" si="27"/>
        <v>6.7140626709323659E-3</v>
      </c>
      <c r="AP13" s="43">
        <f t="shared" si="28"/>
        <v>8.2550452893144464E-3</v>
      </c>
      <c r="AQ13" s="43">
        <f t="shared" si="3"/>
        <v>2.0531443415627616E-2</v>
      </c>
      <c r="AR13" s="61">
        <f>(Basicinfo!AU13-Basicinfo!AY13)*F13/1000/86.4/0.365</f>
        <v>7.8102158783241527E-3</v>
      </c>
      <c r="AS13" s="19">
        <f>IF(Basicinfo!AP13-Basicinfo!CB13-Basicinfo!CG13&lt;0,0,(Basicinfo!AP13-Basicinfo!CB13-Basicinfo!CG13)/Basicinfo!G13*1000)</f>
        <v>13.339645703945315</v>
      </c>
      <c r="AT13" s="19">
        <f>Parameters!$C$3*((AS13*86.4*0.365)^Parameters!$C$4)</f>
        <v>79.271087834940829</v>
      </c>
      <c r="AU13" s="19">
        <f>IF(AT13/86.4/0.365*(Basicinfo!G13/1000)-AN13&lt;0,0,AT13/86.4/0.365*(Basicinfo!G13/1000)-AN13)</f>
        <v>0.34870698480844387</v>
      </c>
      <c r="AV13" s="19">
        <f>IF(Basicinfo!AU13&gt;Parameters!$C$13,Parameters!$C$11*(Basicinfo!AU13-Parameters!$C$13)^Parameters!$C$12,0)</f>
        <v>81.028697471988906</v>
      </c>
      <c r="AW13" s="19">
        <f>IF(AV13*V13/1000/86.4/0.365&gt;Basicinfo!AP13*Parameters!$C$15,Basicinfo!AP13*Parameters!$C$15,AV13*V13/1000/86.4/0.365)</f>
        <v>0</v>
      </c>
      <c r="AX13" s="19">
        <f>Basicinfo!AU13-Basicinfo!AW13</f>
        <v>344.43118179357145</v>
      </c>
      <c r="AY13" s="19">
        <f>Parameters!$C$56*AX13+Parameters!$C$57*Basicinfo!AW13</f>
        <v>232.82576325971428</v>
      </c>
      <c r="AZ13" s="19">
        <f>AY13*Basicinfo!BO13/1000/86.4/0.365</f>
        <v>3.2625101585366779E-2</v>
      </c>
      <c r="BA13" s="19">
        <f>IF(Basicinfo!AP13-AQ13-AR13-AU13-AW13-AZ13-Basicinfo!CB13-Basicinfo!CG13&lt;0,0,Basicinfo!AP13-AQ13-AR13-AU13-AW13-AZ13-Basicinfo!CB13-Basicinfo!CG13)</f>
        <v>1.5039844204606125</v>
      </c>
      <c r="BB13" s="53">
        <f t="shared" si="4"/>
        <v>349.67214483533724</v>
      </c>
      <c r="BC13" s="56">
        <f>IF(G13=0,0,((Basicinfo!H13*Basicinfo!BE13+Basicinfo!I13*Basicinfo!BF13+Basicinfo!J13*Basicinfo!BG13+Basicinfo!K13*Basicinfo!BH13+Basicinfo!L13*Basicinfo!BI13)*(1-Basicinfo!BN13/G13*Parameters!$C$26/100)/G13)*Basicinfo!BM13)</f>
        <v>14.645831247543533</v>
      </c>
      <c r="BD13" s="43">
        <f>IF(Basicinfo!AW13*Parameters!$C$39-Parameters!$C$40&lt;0,0.001,(Basicinfo!AW13*Parameters!$C$39-Parameters!$C$40)/(Basicinfo!AX13*Parameters!$C$39-Parameters!$C$40))</f>
        <v>1.0543243452416278</v>
      </c>
      <c r="BE13" s="43">
        <f>(BC13*G13*100+Basicinfo!BJ13*Basicinfo!M13*100)*Parameters!$C$29*BD13</f>
        <v>116230.59150197078</v>
      </c>
      <c r="BF13" s="43">
        <f>(Basicinfo!BK13*Basicinfo!P13*100)*BD13*Parameters!$C$29</f>
        <v>2169.9915050308846</v>
      </c>
      <c r="BG13" s="43">
        <f>Parameters!$C$27*(V13+W13)*100</f>
        <v>0</v>
      </c>
      <c r="BH13" s="43">
        <f>Parameters!$C$28*Basicinfo!R13*100</f>
        <v>0</v>
      </c>
      <c r="BI13" s="43">
        <f t="shared" si="29"/>
        <v>2169.9915050308846</v>
      </c>
      <c r="BJ13" s="43">
        <f>IF(Basicinfo!AM13&lt;Parameters!$C$33,0,Parameters!$C$30*(((Basicinfo!AM13-Parameters!$C$33)^Parameters!$C$31)*(((G13-Basicinfo!BN13)/Basicinfo!G13*100+Parameters!$C$34))^Parameters!$C$32))</f>
        <v>4.6559623797121157</v>
      </c>
      <c r="BK13" s="58">
        <f t="shared" si="30"/>
        <v>7581.6441190795113</v>
      </c>
      <c r="BL13" s="61">
        <f>Basicinfo!AZ13+Basicinfo!BA13</f>
        <v>1805.2106657609302</v>
      </c>
      <c r="BM13" s="19">
        <f>Basicinfo!BB13+Basicinfo!BC13</f>
        <v>1971.6568224452471</v>
      </c>
      <c r="BN13" s="172">
        <f>IF(Basicinfo!AO13=0,0,IF(Basicinfo!AO13="NA",1,IF(OR(Basicinfo!AO13="SA",Basicinfo!AN13="S"),3,IF(Basicinfo!AN13="N",1,IF(Basicinfo!AO13="ZA",2,0)))))</f>
        <v>0</v>
      </c>
      <c r="BO13" s="27">
        <f>IF($BN13=1,(BL13)*(1+Parameters!$C$21*Parameters!$C$22-Parameters!$C$22*Basicinfo!$AL13),IF($BN13=2,(BL13)*(1+Parameters!$C$21*Parameters!$C$23-Parameters!$C$23*Basicinfo!$AL13),IF($BN13=3,(BL13)*(1+Parameters!$C$21*Parameters!$C$24-Parameters!$C$24*Basicinfo!$AL13),BL13)))</f>
        <v>1805.2106657609302</v>
      </c>
      <c r="BP13" s="27">
        <f>IF($BN13=1,(BM13)*(1+Parameters!$C$21*Parameters!$C$22-Parameters!$C$22*Basicinfo!$AL13),IF($BN13=2,(BM13)*(1+Parameters!$C$21*Parameters!$C$23-Parameters!$C$23*Basicinfo!$AL13),IF($BN13=3,(BM13)*(1+Parameters!$C$21*Parameters!$C$24-Parameters!$C$24*Basicinfo!$AL13),BM13)))</f>
        <v>1971.6568224452471</v>
      </c>
      <c r="BQ13" s="27">
        <f>IF(Basicinfo!AU13=0,0,IF(G13+Basicinfo!M13=0,0,(Parameters!$C$16+BO13/Basicinfo!AU13)*G13+(Parameters!$C$17+BO13/Basicinfo!AU13)*Basicinfo!M13)/(G13+Basicinfo!M13))</f>
        <v>2.1182774692222397</v>
      </c>
      <c r="BR13" s="27">
        <f>IF(Basicinfo!AU13=0,0,IF(G13+Basicinfo!M13=0,0,(Parameters!$C$16+BP13/Basicinfo!AU13)*G13+(Parameters!$C$17+BP13/Basicinfo!AU13)*Basicinfo!M13)/(G13+Basicinfo!M13))</f>
        <v>2.2933857224291829</v>
      </c>
      <c r="BS13" s="27">
        <f>IF(Basicinfo!AU13=0,0,BO13/Basicinfo!AU13)</f>
        <v>1.8991564157979974</v>
      </c>
      <c r="BT13" s="27">
        <f>IF(Basicinfo!AU13=0,0,BP13/Basicinfo!AU13)</f>
        <v>2.0742646690049407</v>
      </c>
      <c r="BU13" s="27">
        <f>IF(SUM(G13,Basicinfo!M13,Basicinfo!P13,W13)=0,0,(BQ13*(G13+Basicinfo!M13)+BS13*(Basicinfo!P13+W13))/SUM(G13,Basicinfo!M13,Basicinfo!P13,W13))</f>
        <v>2.067140311176018</v>
      </c>
      <c r="BV13" s="19">
        <f>IF(Basicinfo!BR13/Parameters!$C$10&gt;1,1,Basicinfo!BR13/Parameters!$C$10)</f>
        <v>0.45468990092414147</v>
      </c>
      <c r="BW13" s="19">
        <f>Parameters!$C$5+Parameters!$C$6*EXP(BV13*Parameters!$C$8*Parameters!$C$7)</f>
        <v>3.5351305879790872E-2</v>
      </c>
      <c r="BX13" s="19">
        <f>Parameters!$C$5+Parameters!$C$6*EXP(BV13*Parameters!$C$9*Parameters!$C$7)</f>
        <v>3.5173623289604314E-2</v>
      </c>
      <c r="BY13" s="19">
        <f>IF(Basicinfo!AH13+Basicinfo!AI13+Basicinfo!AJ13+Basicinfo!AK13=0,0,(Parameters!$C$18*(Basicinfo!AH13+Basicinfo!AI13)+Parameters!$C$19*Basicinfo!AJ13+Parameters!$C$20*Basicinfo!AK13)/(Basicinfo!AH13+Basicinfo!AI13+Basicinfo!AJ13+Basicinfo!AK13))</f>
        <v>3.5000000000000003E-2</v>
      </c>
      <c r="BZ13" s="19">
        <f>IF(Basicinfo!AJ13+Basicinfo!AK13=0,Parameters!$C$18,(Parameters!$C$19*Basicinfo!AJ13+Parameters!$C$20*Basicinfo!AK13)/(Basicinfo!AJ13+Basicinfo!AK13))</f>
        <v>3.5000000000000003E-2</v>
      </c>
      <c r="CA13" s="19">
        <f>IF(SUM(G13,Basicinfo!M13,Basicinfo!P13,W13)=0,0,(BW13*G13+BX13*Basicinfo!M13+BY13*Basicinfo!P13+BZ13*W13)/(SUM(G13,Basicinfo!M13,Basicinfo!P13,W13)))</f>
        <v>3.5232596839101446E-2</v>
      </c>
      <c r="CB13" s="19">
        <f>IF(Y13=0,Basicinfo!BP13,Basicinfo!BP13-(AU13*X13/Y13*Intermediate!BQ13*86400*365/1000000)*1000/(X13*100))</f>
        <v>51.361906065246352</v>
      </c>
      <c r="CC13" s="19">
        <f>IF(Y13=0,Basicinfo!BQ13,Basicinfo!BQ13-(AU13*Basicinfo!AV13/Basicinfo!AU13*X13/Y13*Intermediate!BR13*86400*365/1000000)*1000/(X13*100))</f>
        <v>54.474791143759418</v>
      </c>
      <c r="CD13" s="19">
        <f>IF(OR(Y13=0,AA13=0),BP13/100,BP13/100-(AU13*Basicinfo!AV13/Basicinfo!AU13*(Basicinfo!P13+W13)/Y13*Intermediate!BT13*86400*365/1000000+AW13*Basicinfo!AV13/Basicinfo!AU13*Intermediate!BT13*86400*365/1000000)*1000/(AA13*100))</f>
        <v>18.334325364585034</v>
      </c>
      <c r="CE13" s="19">
        <f t="shared" si="5"/>
        <v>532607.56193336158</v>
      </c>
      <c r="CF13" s="19">
        <f t="shared" si="6"/>
        <v>69430.200887483312</v>
      </c>
      <c r="CG13" s="19">
        <f>IF(AY13=0,0,((CB13^Parameters!$C$58))/AY13*100)</f>
        <v>12.218388417313184</v>
      </c>
      <c r="CH13" s="19">
        <f>IF(SUM(Basicinfo!AB13:AG13)=0,0,(Parameters!$C$59*Basicinfo!AB13+Parameters!$C$60*SUM(Basicinfo!AC13:AE13)+Parameters!$C$61*Basicinfo!AF13+Parameters!$C$62*Basicinfo!AG13)/SUM(Basicinfo!AB13:AG13))</f>
        <v>7.3762934188006168E-2</v>
      </c>
      <c r="CI13" s="19">
        <f t="shared" si="7"/>
        <v>9</v>
      </c>
      <c r="CJ13" s="19">
        <f t="shared" si="8"/>
        <v>44.384857127579274</v>
      </c>
      <c r="CK13" s="19">
        <f t="shared" si="9"/>
        <v>12.693277912794676</v>
      </c>
      <c r="CL13" s="19">
        <f>IF($BB13=0,0,$CJ13^Parameters!$C$58*100/$BB13)</f>
        <v>7.1860223707950261</v>
      </c>
      <c r="CM13" s="19">
        <f>IF(CK13=0,0,(1/(1+Parameters!$C$116*BB13^Parameters!$C$120)*Basicinfo!AH13/Basicinfo!G13+1/(1+Parameters!$C$117*BB13^Parameters!$C$121)*Basicinfo!AI13/Basicinfo!G13)*(CK13)^Parameters!$C$124+(1/(1+Parameters!$C$118*BB13^Parameters!$C$122)*Basicinfo!AJ13/Basicinfo!G13+1/(1+Parameters!$C$119*BB13^Parameters!$C$123)*Basicinfo!AK13/Basicinfo!G13)*(CK13)^Parameters!$C$125)</f>
        <v>3.698782739197318</v>
      </c>
      <c r="CN13" s="19">
        <f>IF(SUM(Basicinfo!AB13:AG13)=0,0,(Parameters!$C$128*Basicinfo!AB13+Parameters!$C$129*(SUM(Basicinfo!AC13:AE13))+Parameters!$C$130*Basicinfo!AF13+Parameters!$C$131*Basicinfo!AG13)/SUM(Basicinfo!AB13:AG13))</f>
        <v>1.2735054402469335E-2</v>
      </c>
      <c r="CO13" s="19">
        <f>IF(Basicinfo!AH13+Basicinfo!AI13+Basicinfo!AJ13+Basicinfo!AK13=0,0,(Parameters!$C$132*(Basicinfo!AH13+Basicinfo!AI13)+Parameters!$C$133*Basicinfo!AJ13+Parameters!$C$134*Basicinfo!AK13)/(Basicinfo!AH13+Basicinfo!AI13+Basicinfo!AJ13+Basicinfo!AK13))</f>
        <v>5.0000000000000001E-4</v>
      </c>
      <c r="CP13" s="19">
        <f>IF(Basicinfo!AJ13+Basicinfo!AK13=0,0,(Parameters!$C$133*Basicinfo!AJ13+Parameters!$C$134*Basicinfo!AK13)/(Basicinfo!AJ13+Basicinfo!AK13))</f>
        <v>0</v>
      </c>
      <c r="CQ13" s="19">
        <f>IF(Z13=0,0,(CN13*(Z13-AA13)+CO13*Basicinfo!P13+CP13*(Basicinfo!Q13+Basicinfo!R13))/Z13)</f>
        <v>9.294270519205004E-3</v>
      </c>
      <c r="CR13" s="289">
        <f>Basicinfo!EI13</f>
        <v>4.5473802105263153E-2</v>
      </c>
      <c r="CS13" s="19">
        <f>IF(SUM(Basicinfo!AB13:AG13)=0,0,(Basicinfo!AB13*Parameters!$C$43+(Basicinfo!AC13+Basicinfo!AD13)*Parameters!$C$44+Basicinfo!AE13*Parameters!$C$45+(Basicinfo!AF13+Basicinfo!AG13)*Parameters!$C$46)/SUM(Basicinfo!AB13:AG13))</f>
        <v>28.069699489280978</v>
      </c>
      <c r="CT13" s="19">
        <f>(Parameters!$C$41*CS13+Parameters!$C$42)</f>
        <v>561.3109347906659</v>
      </c>
      <c r="CU13" s="19">
        <f>CT13+Basicinfo!BR13/(Parameters!$C$47*Parameters!$C$49*Parameters!$C$48*10000/1000000)</f>
        <v>721.45328983313084</v>
      </c>
      <c r="CV13" s="19">
        <f>IF(BK13/Basicinfo!G13&lt;Parameters!$C$35,Parameters!$C$35,Parameters!$C$37*(BK13/Basicinfo!G13)^Parameters!$C$38)</f>
        <v>1.1867910956278374</v>
      </c>
      <c r="CW13" s="19">
        <f>IF(BK13/Basicinfo!G13&lt;Parameters!$C$35,Parameters!$C$36,Parameters!$C$36*(BK13/Basicinfo!G13)^Parameters!$C$38)</f>
        <v>2.7889590747254176</v>
      </c>
      <c r="CX13" s="27">
        <f>IF(Basicinfo!AJ13+Basicinfo!AK13=0,0,(Parameters!$C$53*Basicinfo!AJ13+Parameters!$C$54*Basicinfo!AK13)/(Basicinfo!AJ13+Basicinfo!AK13))</f>
        <v>0</v>
      </c>
      <c r="CY13" s="56">
        <f>IF(Basicinfo!AU13*AB13=0,0,((Basicinfo!AZ13+Basicinfo!BA13)/Basicinfo!AU13+Parameters!$C$76/(Basicinfo!AU13*AB13)*100))</f>
        <v>3.132764833510679</v>
      </c>
      <c r="CZ13" s="43">
        <f>IF(Basicinfo!AU13*AB13=0,0,(Parameters!$C$77)/(Basicinfo!AU13*AB13)*100)</f>
        <v>0.77100526107042611</v>
      </c>
      <c r="DA13" s="43">
        <f>IF(AD13+AJ13=0,0,((J13*Parameters!$C$96+Parameters!$C$94/100*S13*100*Parameters!$C$93/1000*86400*Parameters!$C$95/24*Parameters!$C$98)*AI13+AD13*CY13*86400*365)/((AD13+AJ13*AI13/365)*86400*365))</f>
        <v>8.1772911669554134</v>
      </c>
      <c r="DB13" s="43">
        <f>IF(AD13+AJ13=0,0,((J13*Parameters!$C$97+Parameters!$C$94/100*S13*100*Parameters!$C$93/1000*86400*Parameters!$C$95/24*Parameters!$C$99)*AI13+AD13*CZ13*86400*365)/((AD13+AJ13*AI13/365)*86400*365))</f>
        <v>1.5768056799940113</v>
      </c>
      <c r="DC13" s="42">
        <f>IF(AE13+AL13=0,0,((K13*Parameters!$C$96+Parameters!$C$94/100*T13*100*Parameters!$C$93/1000*86400*Parameters!$C$95/24*Parameters!$C$98)*365+AE13*CY13*86400*365)/((AE13+AL13)*86400*365))</f>
        <v>0</v>
      </c>
      <c r="DD13" s="42">
        <f>IF(AE13+AL13=0,0,((K13*Parameters!$C$97+Parameters!$C$94/100*T13*100*Parameters!$C$93/1000*86400*Parameters!$C$95/24*Parameters!$C$99)*365+AE13*CZ13*86400*365)/((AE13+AL13)*86400*365))</f>
        <v>0</v>
      </c>
      <c r="DE13" s="42">
        <f>IF(Basicinfo!AH13+Basicinfo!AI13+Basicinfo!AJ13+Basicinfo!AK13=0,0,((Basicinfo!AH13+Basicinfo!AI13)*Parameters!$C$107+(Basicinfo!AJ13+Basicinfo!AK13)*Parameters!$C$106)/(Basicinfo!AH13+Basicinfo!AI13+Basicinfo!AJ13+Basicinfo!AK13))</f>
        <v>90</v>
      </c>
      <c r="DF13" s="42">
        <f>IF(Basicinfo!AH13+Basicinfo!AI13+Basicinfo!AJ13+Basicinfo!AK13=0,0,((Basicinfo!AH13+Basicinfo!AI13)*Parameters!$C$109+(Basicinfo!AJ13+Basicinfo!AK13)*Parameters!$C$108)/(Basicinfo!AH13+Basicinfo!AI13+Basicinfo!AJ13+Basicinfo!AK13))</f>
        <v>90</v>
      </c>
      <c r="DG13" s="42">
        <f>Intermediate!AC13*Intermediate!CY13*(1-Parameters!$C$102/100*Basicinfo!BZ13/100)*(1-Parameters!$C$104/100*Basicinfo!CA13/100)*86400*365/1000000</f>
        <v>0.54953021816505243</v>
      </c>
      <c r="DH13" s="42">
        <f>Intermediate!AC13*Intermediate!CZ13*(1-Parameters!$C$103/100*Basicinfo!BZ13/100)*(1-Parameters!$C$105/100*Basicinfo!CA13/100)*86400*365/1000000</f>
        <v>0.13524497108441838</v>
      </c>
      <c r="DI13" s="42">
        <f>(Intermediate!AK13*Intermediate!DA13+(Intermediate!AE13+Intermediate!AL13)*Intermediate!DC13)*86400*365/1000000</f>
        <v>1.7314161316955521</v>
      </c>
      <c r="DJ13" s="42">
        <f>(Intermediate!AK13*Intermediate!DB13+(Intermediate!AE13+Intermediate!AL13)*Intermediate!DD13)*86400*365/1000000</f>
        <v>0.33386444669149345</v>
      </c>
      <c r="DK13" s="42">
        <f>((Basicinfo!AZ13+Basicinfo!BA13)*Intermediate!AB13+Parameters!$C$76*100)/1000*Intermediate!U13*(1-Intermediate!DE13/100)+(1-Parameters!$C$110/100)*M13*Parameters!$C$100*(1-DE13/100)*365/1000000+(1-Parameters!$C$112/100)*P13*Parameters!$C$96*365/1000000+(1-Parameters!$C$112/100)*O13*Parameters!$C$96*(1-DE13/100)*365/1000000</f>
        <v>0.28463432362071839</v>
      </c>
      <c r="DL13" s="42">
        <f>Parameters!$C$77*100/1000*Intermediate!U13*(1-Intermediate!DF13/100)+(1-Parameters!$C$111/100)*M13*Parameters!$C$101*(1-DF13/100)*365/1000000+(1-Parameters!$C$113/100)*P13*Parameters!$C$97*365/1000000+(1-Parameters!$C$113/100)*O13*Parameters!$C$97*(1-DF13/100)*365/1000000</f>
        <v>4.5985557044542352E-2</v>
      </c>
      <c r="DM13" s="31"/>
      <c r="DN13" s="31"/>
      <c r="DO13" s="31"/>
      <c r="DP13" s="31"/>
      <c r="DQ13" s="31"/>
      <c r="DR13" s="31"/>
      <c r="DS13" s="31"/>
      <c r="DT13" s="188">
        <f>BO13*(Basicinfo!$P13+Basicinfo!$Q13)/1000</f>
        <v>56.157401388476075</v>
      </c>
      <c r="DU13" s="188">
        <f>DT13*Basicinfo!$AZ13/(Basicinfo!$AZ13+Basicinfo!$BA13)</f>
        <v>35.294190004693405</v>
      </c>
      <c r="DV13" s="188">
        <f>DT13*Basicinfo!$BC13/(Basicinfo!$BB13+Basicinfo!$BC13)</f>
        <v>19.831787133825848</v>
      </c>
      <c r="DW13" s="188">
        <f>BP13*(Basicinfo!$P13+Basicinfo!$Q13)/1000</f>
        <v>61.335292150909801</v>
      </c>
      <c r="DX13" s="188">
        <f>DW13*Basicinfo!$BB13/(Basicinfo!$BB13+Basicinfo!$BC13)</f>
        <v>39.674951258115662</v>
      </c>
      <c r="DY13" s="188">
        <f>DW13*Basicinfo!$BC13/(Basicinfo!$BB13+Basicinfo!$BC13)</f>
        <v>21.660340892794139</v>
      </c>
      <c r="DZ13" s="188">
        <f t="shared" si="10"/>
        <v>184.47523092731274</v>
      </c>
      <c r="EA13" s="188">
        <f>DZ13*Basicinfo!$AZ13/(Basicinfo!$AZ13+Basicinfo!$BA13)</f>
        <v>115.94026237909853</v>
      </c>
      <c r="EB13" s="188">
        <f>DZ13*Basicinfo!$BC13/(Basicinfo!$BB13+Basicinfo!$BC13)</f>
        <v>65.146773546480006</v>
      </c>
      <c r="EC13" s="188">
        <f t="shared" si="11"/>
        <v>201.48443310724795</v>
      </c>
      <c r="ED13" s="188">
        <f>EC13*Basicinfo!$AZ13/(Basicinfo!$AZ13+Basicinfo!$BA13)</f>
        <v>126.63032279364738</v>
      </c>
      <c r="EE13" s="188">
        <f>EC13*Basicinfo!$BC13/(Basicinfo!$BB13+Basicinfo!$BC13)</f>
        <v>71.1535129718891</v>
      </c>
      <c r="EF13" s="190">
        <f>(Basicinfo!BP13-BL13/100)*Intermediate!X13/10</f>
        <v>357.39028161105603</v>
      </c>
      <c r="EG13" s="191">
        <f>(Basicinfo!BQ13-BM13/100)*Intermediate!X13/10</f>
        <v>374.2070308040457</v>
      </c>
      <c r="EH13" s="197">
        <f>IF(AU13=0,0,$BS13*((Basicinfo!$P13+Basicinfo!$Q13)*Intermediate!$AT13*1000+$AW13*3600*24*365)/1000000*Basicinfo!AZ13/(Basicinfo!$AZ13+Basicinfo!$BA13))</f>
        <v>2.9434108171989046</v>
      </c>
      <c r="EI13" s="197">
        <f>IF(AU13=0,0,$BS13*((Basicinfo!$P13+Basicinfo!$Q13)*Intermediate!$AT13*1000+$AW13*3600*24*365)/1000000*Basicinfo!BA13/(Basicinfo!$AZ13+Basicinfo!$BA13))</f>
        <v>1.7399181582115106</v>
      </c>
      <c r="EJ13" s="198">
        <f>IF(AU13=0,0,$BS13*($AT13*$X13*1000)/1000000*Basicinfo!AZ13/(Basicinfo!$AZ13+Basicinfo!$BA13))</f>
        <v>9.669008479586509</v>
      </c>
      <c r="EK13" s="198">
        <f>IF(AU13=0,0,$BS13*($AT13*$X13*1000)/1000000*Basicinfo!BA13/(Basicinfo!$AZ13+Basicinfo!$BA13))</f>
        <v>5.7155743694465002</v>
      </c>
      <c r="EL13" s="147">
        <f>Parameters!$C$150/Basicinfo!$AV13*100</f>
        <v>0.10182708633136332</v>
      </c>
      <c r="EM13" s="147">
        <f>Parameters!$C$151/Basicinfo!$AV13*100</f>
        <v>0.20365417266272665</v>
      </c>
      <c r="EN13" s="147">
        <f>(Parameters!$C$150+Parameters!$C$151)/Intermediate!$BB13*100</f>
        <v>0.85794652056506193</v>
      </c>
      <c r="EO13" s="193">
        <f>IF(EN13=0,0,(1/(1+Parameters!$C$116*$BB13^Parameters!$C$120)*Basicinfo!$AH13/Basicinfo!$G13+1/(1+Parameters!$C$117*$BB13^Parameters!$C$121)*Basicinfo!$AI13/Basicinfo!$G13)*(EN13)^Parameters!$C$124+(1/(1+Parameters!$C$118*$BB13^Parameters!$C$122)*Basicinfo!$AJ13/Basicinfo!AW13+1/(1+Parameters!$C$119*$BB13^Parameters!$C$123)*Basicinfo!$AK13/Basicinfo!$G13)*(EN13)^Parameters!$C$125)</f>
        <v>0.66520595039607244</v>
      </c>
      <c r="EP13" s="199">
        <f>EL13*($AT13*Basicinfo!$P13*1000+$AW13*3600*24*365)/1000000</f>
        <v>0.2511060910677595</v>
      </c>
      <c r="EQ13" s="199">
        <f>EM13*($AT13*Basicinfo!$P13*1000+$AW13*3600*24*365)/1000000</f>
        <v>0.50221218213551899</v>
      </c>
      <c r="ER13" s="199">
        <f t="shared" si="12"/>
        <v>0.82487531459184593</v>
      </c>
      <c r="ES13" s="199">
        <f t="shared" si="13"/>
        <v>1.6497506291836919</v>
      </c>
      <c r="ET13" s="181">
        <f t="shared" si="14"/>
        <v>31.550487190380281</v>
      </c>
      <c r="EU13" s="147">
        <f>Intermediate!F13*(Parameters!$C$150)/1000*100</f>
        <v>0.10850789253590599</v>
      </c>
      <c r="EV13" s="147">
        <f>Intermediate!F13*(Parameters!$C$151)/1000*100</f>
        <v>0.21701578507181199</v>
      </c>
      <c r="EW13" s="181">
        <f>'Local emissions'!$S13*Basicinfo!AZ13/(Basicinfo!$AZ13+Basicinfo!$BA13)-Intermediate!EU13</f>
        <v>1.1225697256118548</v>
      </c>
      <c r="EX13" s="147">
        <f>'Local emissions'!$S13*Basicinfo!BA13/(Basicinfo!$AZ13+Basicinfo!$BA13)-Intermediate!EV13</f>
        <v>0.5107026460310109</v>
      </c>
      <c r="EY13" s="188">
        <f t="shared" si="15"/>
        <v>2.692304726131145</v>
      </c>
      <c r="EZ13" s="188">
        <f t="shared" si="16"/>
        <v>1.2377059760759916</v>
      </c>
      <c r="FA13" s="188">
        <f t="shared" si="17"/>
        <v>8.8441331649946626</v>
      </c>
      <c r="FB13" s="181">
        <f t="shared" si="18"/>
        <v>4.0658237402628084</v>
      </c>
      <c r="FC13" s="181">
        <f>'Local emissions'!Y13-Intermediate!ET13</f>
        <v>143.88149348201284</v>
      </c>
      <c r="FD13" s="188">
        <f t="shared" si="19"/>
        <v>8.9611483136609902</v>
      </c>
      <c r="FE13" s="188">
        <f t="shared" si="20"/>
        <v>4.8922940321213417</v>
      </c>
      <c r="FF13" s="181">
        <f t="shared" si="21"/>
        <v>14.300623788775569</v>
      </c>
      <c r="FG13" s="201">
        <f t="shared" si="22"/>
        <v>8.0355131204940342</v>
      </c>
      <c r="FH13" s="181">
        <f t="shared" si="23"/>
        <v>107.69191422696089</v>
      </c>
      <c r="FJ13" s="147">
        <f>AVERAGE(Parameters!$C$132:$C$134)*'Local emissions'!J13*3600*24*365/1000000</f>
        <v>2.3714826341822939E-2</v>
      </c>
      <c r="FK13" s="147">
        <f>'Local emissions'!AJ13+CT13*BJ13/100*Intermediate!X13*100/1000000</f>
        <v>1.2435649662437092</v>
      </c>
      <c r="FL13" s="31">
        <f>(Parameters!$C$18*(Basicinfo!AH13+Basicinfo!AI13)+Parameters!$C$19*Basicinfo!AJ13+Parameters!$C$20*Basicinfo!AK13)/Basicinfo!G13</f>
        <v>3.5000000000000003E-2</v>
      </c>
      <c r="FM13" s="181">
        <f t="shared" si="24"/>
        <v>0.38488882155216808</v>
      </c>
    </row>
    <row r="14" spans="1:169">
      <c r="A14" s="39" t="str">
        <f>Basicinfo!A14</f>
        <v>Pram</v>
      </c>
      <c r="B14" s="63">
        <f>Basicinfo!B14</f>
        <v>690</v>
      </c>
      <c r="C14" s="63">
        <f>Basicinfo!C14</f>
        <v>700</v>
      </c>
      <c r="D14" s="61">
        <f>Basicinfo!U14*Basicinfo!V14/1000+Basicinfo!Y14</f>
        <v>0.64503944704103611</v>
      </c>
      <c r="E14" s="19">
        <f>Basicinfo!W14*Basicinfo!X14/1000+Basicinfo!Z14</f>
        <v>0</v>
      </c>
      <c r="F14" s="19">
        <f t="shared" si="0"/>
        <v>0.64503944704103611</v>
      </c>
      <c r="G14" s="19">
        <f>SUM(Basicinfo!H14:L14)</f>
        <v>36.56349676044124</v>
      </c>
      <c r="H14" s="19">
        <f>IF(Basicinfo!N14&lt;Parameters!$C$68,Parameters!$C$69,Basicinfo!BS14/(Basicinfo!N14*100))</f>
        <v>16.463210394428831</v>
      </c>
      <c r="I14" s="19">
        <f>IF(Basicinfo!N14=0,0,Basicinfo!BU14*(1-Basicinfo!BX14/100))</f>
        <v>4045.5878709015951</v>
      </c>
      <c r="J14" s="19">
        <f>IF(Basicinfo!N14=0,0,Basicinfo!BU14*Basicinfo!BX14/100)</f>
        <v>2375.9801781485558</v>
      </c>
      <c r="K14" s="19">
        <f>IF(Basicinfo!N14=0,0,Basicinfo!BT14-Basicinfo!BU14)</f>
        <v>0</v>
      </c>
      <c r="L14" s="27">
        <f>Basicinfo!BV14*Basicinfo!BW14/100</f>
        <v>937.04</v>
      </c>
      <c r="M14" s="27">
        <f>Basicinfo!BV14-Intermediate!L14</f>
        <v>937.04</v>
      </c>
      <c r="N14" s="73">
        <f>Basicinfo!BS14-SUM(I14:K14)-Basicinfo!BV14</f>
        <v>0</v>
      </c>
      <c r="O14" s="19">
        <f>IF(Basicinfo!AH14+Basicinfo!AI14+Basicinfo!AJ14+Basicinfo!AK14=0,0,N14*(Basicinfo!AH14+Basicinfo!AI14)/SUM(Basicinfo!AH14:AK14))</f>
        <v>0</v>
      </c>
      <c r="P14" s="73">
        <f t="shared" si="25"/>
        <v>0</v>
      </c>
      <c r="Q14" s="19">
        <f>IF(Basicinfo!BS14=0,Basicinfo!N14,IF(H14&gt;Parameters!$C$70,Parameters!$C$64*(Parameters!$C$65*Parameters!$C$70)^(Parameters!$C$66-Parameters!$C$67*LOG(Parameters!$C$65*Parameters!$C$70,10))/100*Basicinfo!N14,Parameters!$C$64*(Parameters!$C$65*H14)^(Parameters!$C$66-Parameters!$C$67*LOG(Parameters!$C$65*H14,10))/100*Basicinfo!N14))</f>
        <v>1.3490619909839976</v>
      </c>
      <c r="R14" s="19">
        <f>IF(Basicinfo!BS14=0,Q14*(1-Basicinfo!BX14/100),IF(H14&lt;Parameters!$C$75,Q14*Basicinfo!BU14/Basicinfo!BS14*(1-Basicinfo!BX14/100)*(-Parameters!$C$74+Parameters!$C$73*LN(H14*100)),Q14*Basicinfo!BU14/Basicinfo!BS14*(1-Basicinfo!BX14/100)))</f>
        <v>0.36697108746109142</v>
      </c>
      <c r="S14" s="19">
        <f>IF(Basicinfo!BS14=0,Q14*Basicinfo!BX14/100,Q14*Basicinfo!BU14/Basicinfo!BS14*Basicinfo!BX14/100)</f>
        <v>0.3863886860579403</v>
      </c>
      <c r="T14" s="19">
        <f>IF(Basicinfo!BS14=0,0,IF(H14&lt;Parameters!$C$75,Q14*K14/Basicinfo!BS14*(-Parameters!$C$74+Parameters!$C$73*LN(H14*100)),Q14*K14/Basicinfo!BS14))</f>
        <v>0</v>
      </c>
      <c r="U14" s="19">
        <f t="shared" si="26"/>
        <v>0.59570221746496588</v>
      </c>
      <c r="V14" s="19">
        <f>IF(Basicinfo!AL14&gt;Parameters!$C$14,Basicinfo!Q14,0)</f>
        <v>0</v>
      </c>
      <c r="W14" s="19">
        <f>IF(Basicinfo!AL14&gt;Parameters!$C$14,0,Basicinfo!Q14)</f>
        <v>0</v>
      </c>
      <c r="X14" s="19">
        <f>G14+Basicinfo!M14</f>
        <v>58.557044365529762</v>
      </c>
      <c r="Y14" s="19">
        <f>IF(Basicinfo!G14-F14-Q14-V14-Basicinfo!O14-Basicinfo!R14-Basicinfo!S14&lt;0,0,Basicinfo!G14-F14-Q14-V14-Basicinfo!O14-Basicinfo!R14-Basicinfo!S14)</f>
        <v>81.774346768974965</v>
      </c>
      <c r="Z14" s="19">
        <f>Basicinfo!G14-F14-Basicinfo!BO14-Q14-Basicinfo!O14</f>
        <v>79.997283125408714</v>
      </c>
      <c r="AA14" s="53">
        <f>IF(Z14+Basicinfo!BO14-X14&gt;0,Z14+Basicinfo!BO14-X14,0)</f>
        <v>23.217302403445203</v>
      </c>
      <c r="AB14" s="56">
        <f>IF(Basicinfo!N14=0,0,Parameters!$C$71+Parameters!$C$72*Q14/Basicinfo!N14)</f>
        <v>0.35079707391190151</v>
      </c>
      <c r="AC14" s="43">
        <f>Basicinfo!AU14*AB14*R14/1000/86.4/0.365</f>
        <v>3.920808975127853E-3</v>
      </c>
      <c r="AD14" s="43">
        <f>Basicinfo!AU14*AB14*S14/1000/86.4/0.365</f>
        <v>4.1282713541961422E-3</v>
      </c>
      <c r="AE14" s="43">
        <f>Basicinfo!AU14*AB14*T14/1000/86.4/0.365</f>
        <v>0</v>
      </c>
      <c r="AF14" s="43">
        <f>Basicinfo!AU14*AB14*U14/1000/86.4/0.365</f>
        <v>6.3646283877550449E-3</v>
      </c>
      <c r="AG14" s="43">
        <f>((Parameters!$C$80+Parameters!$C$81*Parameters!$C$89)/(Parameters!$C$82+Parameters!$C$89)/(Parameters!$C$90/100*Parameters!$C$91+(Parameters!$C$83+Parameters!$C$84*Parameters!$C$89)/(Parameters!$C$85+Parameters!$C$89)))-Parameters!$C$86+(Basicinfo!AU14-Parameters!$C$88)/Parameters!$C$87</f>
        <v>75.401006300658651</v>
      </c>
      <c r="AH14" s="43">
        <f>((Parameters!$C$80+Parameters!$C$81*Parameters!$C$89)/(Parameters!$C$82+Parameters!$C$89)/(Basicinfo!BY14/100*Parameters!$C$91+(Parameters!$C$83+Parameters!$C$84*Parameters!$C$89)/(Parameters!$C$85+Parameters!$C$89)))-Parameters!$C$86+(Basicinfo!AU14-Parameters!$C$88)/Parameters!$C$87</f>
        <v>57.598124434043079</v>
      </c>
      <c r="AI14" s="43">
        <f>Basicinfo!AU14^Parameters!$C$79*Parameters!$C$78*AH14/AG14</f>
        <v>26.208891005696298</v>
      </c>
      <c r="AJ14" s="43">
        <f>(J14*Parameters!$C$92/1000+Parameters!$C$94/100*S14*100*Parameters!$C$93/1000*86400*Parameters!$C$95/24)/86400</f>
        <v>3.587849798323601E-3</v>
      </c>
      <c r="AK14" s="43">
        <f t="shared" si="1"/>
        <v>2.5261947328813028E-3</v>
      </c>
      <c r="AL14" s="43">
        <f>(K14*Parameters!$C$92/1000+Parameters!$C$94/100*T14*100*Parameters!$C$93/1000*86400*Parameters!$C$95/24)/86400</f>
        <v>0</v>
      </c>
      <c r="AM14" s="43">
        <f>(Intermediate!N14+Basicinfo!BV14-Intermediate!L14)*Parameters!$C$92/1000/86400</f>
        <v>1.409898148148148E-3</v>
      </c>
      <c r="AN14" s="43">
        <f t="shared" si="2"/>
        <v>6.2986158466927025E-3</v>
      </c>
      <c r="AO14" s="43">
        <f t="shared" si="27"/>
        <v>2.5261947328813028E-3</v>
      </c>
      <c r="AP14" s="43">
        <f t="shared" si="28"/>
        <v>7.7745265359031928E-3</v>
      </c>
      <c r="AQ14" s="43">
        <f t="shared" si="3"/>
        <v>1.4221530243912348E-2</v>
      </c>
      <c r="AR14" s="61">
        <f>(Basicinfo!AU14-Basicinfo!AY14)*F14/1000/86.4/0.365</f>
        <v>4.8764375734276968E-3</v>
      </c>
      <c r="AS14" s="19">
        <f>IF(Basicinfo!AP14-Basicinfo!CB14-Basicinfo!CG14&lt;0,0,(Basicinfo!AP14-Basicinfo!CB14-Basicinfo!CG14)/Basicinfo!G14*1000)</f>
        <v>13.666328699823191</v>
      </c>
      <c r="AT14" s="19">
        <f>Parameters!$C$3*((AS14*86.4*0.365)^Parameters!$C$4)</f>
        <v>81.69741164497853</v>
      </c>
      <c r="AU14" s="19">
        <f>IF(AT14/86.4/0.365*(Basicinfo!G14/1000)-AN14&lt;0,0,AT14/86.4/0.365*(Basicinfo!G14/1000)-AN14)</f>
        <v>0.21071259026785394</v>
      </c>
      <c r="AV14" s="19">
        <f>IF(Basicinfo!AU14&gt;Parameters!$C$13,Parameters!$C$11*(Basicinfo!AU14-Parameters!$C$13)^Parameters!$C$12,0)</f>
        <v>84.204371296925643</v>
      </c>
      <c r="AW14" s="19">
        <f>IF(AV14*V14/1000/86.4/0.365&gt;Basicinfo!AP14*Parameters!$C$15,Basicinfo!AP14*Parameters!$C$15,AV14*V14/1000/86.4/0.365)</f>
        <v>0</v>
      </c>
      <c r="AX14" s="19">
        <f>Basicinfo!AU14-Basicinfo!AW14</f>
        <v>371.2266959745715</v>
      </c>
      <c r="AY14" s="19">
        <f>Parameters!$C$56*AX14+Parameters!$C$57*Basicinfo!AW14</f>
        <v>244.54003931507145</v>
      </c>
      <c r="AZ14" s="19">
        <f>AY14*Basicinfo!BO14/1000/86.4/0.365</f>
        <v>1.3779909096368434E-2</v>
      </c>
      <c r="BA14" s="19">
        <f>IF(Basicinfo!AP14-AQ14-AR14-AU14-AW14-AZ14-Basicinfo!CB14-Basicinfo!CG14&lt;0,0,Basicinfo!AP14-AQ14-AR14-AU14-AW14-AZ14-Basicinfo!CB14-Basicinfo!CG14)</f>
        <v>0.90121668068941452</v>
      </c>
      <c r="BB14" s="53">
        <f t="shared" si="4"/>
        <v>355.27168088530226</v>
      </c>
      <c r="BC14" s="56">
        <f>IF(G14=0,0,((Basicinfo!H14*Basicinfo!BE14+Basicinfo!I14*Basicinfo!BF14+Basicinfo!J14*Basicinfo!BG14+Basicinfo!K14*Basicinfo!BH14+Basicinfo!L14*Basicinfo!BI14)*(1-Basicinfo!BN14/G14*Parameters!$C$26/100)/G14)*Basicinfo!BM14)</f>
        <v>12.618078107080319</v>
      </c>
      <c r="BD14" s="43">
        <f>IF(Basicinfo!AW14*Parameters!$C$39-Parameters!$C$40&lt;0,0.001,(Basicinfo!AW14*Parameters!$C$39-Parameters!$C$40)/(Basicinfo!AX14*Parameters!$C$39-Parameters!$C$40))</f>
        <v>1.0280780185466534</v>
      </c>
      <c r="BE14" s="43">
        <f>(BC14*G14*100+Basicinfo!BJ14*Basicinfo!M14*100)*Parameters!$C$29*BD14</f>
        <v>48060.060534445591</v>
      </c>
      <c r="BF14" s="43">
        <f>(Basicinfo!BK14*Basicinfo!P14*100)*BD14*Parameters!$C$29</f>
        <v>636.52393683135244</v>
      </c>
      <c r="BG14" s="43">
        <f>Parameters!$C$27*(V14+W14)*100</f>
        <v>0</v>
      </c>
      <c r="BH14" s="43">
        <f>Parameters!$C$28*Basicinfo!R14*100</f>
        <v>0</v>
      </c>
      <c r="BI14" s="43">
        <f t="shared" si="29"/>
        <v>636.52393683135244</v>
      </c>
      <c r="BJ14" s="43">
        <f>IF(Basicinfo!AM14&lt;Parameters!$C$33,0,Parameters!$C$30*(((Basicinfo!AM14-Parameters!$C$33)^Parameters!$C$31)*(((G14-Basicinfo!BN14)/Basicinfo!G14*100+Parameters!$C$34))^Parameters!$C$32))</f>
        <v>4.0601731845068283</v>
      </c>
      <c r="BK14" s="58">
        <f t="shared" si="30"/>
        <v>2587.8456271086611</v>
      </c>
      <c r="BL14" s="61">
        <f>Basicinfo!AZ14+Basicinfo!BA14</f>
        <v>1611.0411391168986</v>
      </c>
      <c r="BM14" s="19">
        <f>Basicinfo!BB14+Basicinfo!BC14</f>
        <v>1738.2727020547361</v>
      </c>
      <c r="BN14" s="172">
        <f>IF(Basicinfo!AO14=0,0,IF(Basicinfo!AO14="NA",1,IF(OR(Basicinfo!AO14="SA",Basicinfo!AN14="S"),3,IF(Basicinfo!AN14="N",1,IF(Basicinfo!AO14="ZA",2,0)))))</f>
        <v>0</v>
      </c>
      <c r="BO14" s="27">
        <f>IF($BN14=1,(BL14)*(1+Parameters!$C$21*Parameters!$C$22-Parameters!$C$22*Basicinfo!$AL14),IF($BN14=2,(BL14)*(1+Parameters!$C$21*Parameters!$C$23-Parameters!$C$23*Basicinfo!$AL14),IF($BN14=3,(BL14)*(1+Parameters!$C$21*Parameters!$C$24-Parameters!$C$24*Basicinfo!$AL14),BL14)))</f>
        <v>1611.0411391168986</v>
      </c>
      <c r="BP14" s="27">
        <f>IF($BN14=1,(BM14)*(1+Parameters!$C$21*Parameters!$C$22-Parameters!$C$22*Basicinfo!$AL14),IF($BN14=2,(BM14)*(1+Parameters!$C$21*Parameters!$C$23-Parameters!$C$23*Basicinfo!$AL14),IF($BN14=3,(BM14)*(1+Parameters!$C$21*Parameters!$C$24-Parameters!$C$24*Basicinfo!$AL14),BM14)))</f>
        <v>1738.2727020547361</v>
      </c>
      <c r="BQ14" s="27">
        <f>IF(Basicinfo!AU14=0,0,IF(G14+Basicinfo!M14=0,0,(Parameters!$C$16+BO14/Basicinfo!AU14)*G14+(Parameters!$C$17+BO14/Basicinfo!AU14)*Basicinfo!M14)/(G14+Basicinfo!M14))</f>
        <v>1.8646278727618757</v>
      </c>
      <c r="BR14" s="27">
        <f>IF(Basicinfo!AU14=0,0,IF(G14+Basicinfo!M14=0,0,(Parameters!$C$16+BP14/Basicinfo!AU14)*G14+(Parameters!$C$17+BP14/Basicinfo!AU14)*Basicinfo!M14)/(G14+Basicinfo!M14))</f>
        <v>1.9970926405773159</v>
      </c>
      <c r="BS14" s="27">
        <f>IF(Basicinfo!AU14=0,0,BO14/Basicinfo!AU14)</f>
        <v>1.6773054225428987</v>
      </c>
      <c r="BT14" s="27">
        <f>IF(Basicinfo!AU14=0,0,BP14/Basicinfo!AU14)</f>
        <v>1.8097701903583392</v>
      </c>
      <c r="BU14" s="27">
        <f>IF(SUM(G14,Basicinfo!M14,Basicinfo!P14,W14)=0,0,(BQ14*(G14+Basicinfo!M14)+BS14*(Basicinfo!P14+W14))/SUM(G14,Basicinfo!M14,Basicinfo!P14,W14))</f>
        <v>1.8177820584919995</v>
      </c>
      <c r="BV14" s="19">
        <f>IF(Basicinfo!BR14/Parameters!$C$10&gt;1,1,Basicinfo!BR14/Parameters!$C$10)</f>
        <v>0.38811793606973505</v>
      </c>
      <c r="BW14" s="19">
        <f>Parameters!$C$5+Parameters!$C$6*EXP(BV14*Parameters!$C$8*Parameters!$C$7)</f>
        <v>3.5138792274409317E-2</v>
      </c>
      <c r="BX14" s="19">
        <f>Parameters!$C$5+Parameters!$C$6*EXP(BV14*Parameters!$C$9*Parameters!$C$7)</f>
        <v>3.5076050347323806E-2</v>
      </c>
      <c r="BY14" s="19">
        <f>IF(Basicinfo!AH14+Basicinfo!AI14+Basicinfo!AJ14+Basicinfo!AK14=0,0,(Parameters!$C$18*(Basicinfo!AH14+Basicinfo!AI14)+Parameters!$C$19*Basicinfo!AJ14+Parameters!$C$20*Basicinfo!AK14)/(Basicinfo!AH14+Basicinfo!AI14+Basicinfo!AJ14+Basicinfo!AK14))</f>
        <v>3.5000000000000003E-2</v>
      </c>
      <c r="BZ14" s="19">
        <f>IF(Basicinfo!AJ14+Basicinfo!AK14=0,Parameters!$C$18,(Parameters!$C$19*Basicinfo!AJ14+Parameters!$C$20*Basicinfo!AK14)/(Basicinfo!AJ14+Basicinfo!AK14))</f>
        <v>3.5000000000000003E-2</v>
      </c>
      <c r="CA14" s="19">
        <f>IF(SUM(G14,Basicinfo!M14,Basicinfo!P14,W14)=0,0,(BW14*G14+BX14*Basicinfo!M14+BY14*Basicinfo!P14+BZ14*W14)/(SUM(G14,Basicinfo!M14,Basicinfo!P14,W14)))</f>
        <v>3.508641083830466E-2</v>
      </c>
      <c r="CB14" s="19">
        <f>IF(Y14=0,Basicinfo!BP14,Basicinfo!BP14-(AU14*X14/Y14*Intermediate!BQ14*86400*365/1000000)*1000/(X14*100))</f>
        <v>53.352054035901681</v>
      </c>
      <c r="CC14" s="19">
        <f>IF(Y14=0,Basicinfo!BQ14,Basicinfo!BQ14-(AU14*Basicinfo!AV14/Basicinfo!AU14*X14/Y14*Intermediate!BR14*86400*365/1000000)*1000/(X14*100))</f>
        <v>54.103204443545572</v>
      </c>
      <c r="CD14" s="19">
        <f>IF(OR(Y14=0,AA14=0),BP14/100,BP14/100-(AU14*Basicinfo!AV14/Basicinfo!AU14*(Basicinfo!P14+W14)/Y14*Intermediate!BT14*86400*365/1000000+AW14*Basicinfo!AV14/Basicinfo!AU14*Intermediate!BT14*86400*365/1000000)*1000/(AA14*100))</f>
        <v>16.101577060581565</v>
      </c>
      <c r="CE14" s="19">
        <f t="shared" si="5"/>
        <v>307197.89053009683</v>
      </c>
      <c r="CF14" s="19">
        <f t="shared" si="6"/>
        <v>37383.51837878985</v>
      </c>
      <c r="CG14" s="19">
        <f>IF(AY14=0,0,((CB14^Parameters!$C$58))/AY14*100)</f>
        <v>12.015130576581962</v>
      </c>
      <c r="CH14" s="19">
        <f>IF(SUM(Basicinfo!AB14:AG14)=0,0,(Parameters!$C$59*Basicinfo!AB14+Parameters!$C$60*SUM(Basicinfo!AC14:AE14)+Parameters!$C$61*Basicinfo!AF14+Parameters!$C$62*Basicinfo!AG14)/SUM(Basicinfo!AB14:AG14))</f>
        <v>6.270035230515901E-2</v>
      </c>
      <c r="CI14" s="19">
        <f t="shared" si="7"/>
        <v>8</v>
      </c>
      <c r="CJ14" s="19">
        <f t="shared" si="8"/>
        <v>43.074138951531573</v>
      </c>
      <c r="CK14" s="19">
        <f t="shared" si="9"/>
        <v>12.124281576340405</v>
      </c>
      <c r="CL14" s="19">
        <f>IF($BB14=0,0,$CJ14^Parameters!$C$58*100/$BB14)</f>
        <v>6.8948293748730709</v>
      </c>
      <c r="CM14" s="19">
        <f>IF(CK14=0,0,(1/(1+Parameters!$C$116*BB14^Parameters!$C$120)*Basicinfo!AH14/Basicinfo!G14+1/(1+Parameters!$C$117*BB14^Parameters!$C$121)*Basicinfo!AI14/Basicinfo!G14)*(CK14)^Parameters!$C$124+(1/(1+Parameters!$C$118*BB14^Parameters!$C$122)*Basicinfo!AJ14/Basicinfo!G14+1/(1+Parameters!$C$119*BB14^Parameters!$C$123)*Basicinfo!AK14/Basicinfo!G14)*(CK14)^Parameters!$C$125)</f>
        <v>3.6649064501410251</v>
      </c>
      <c r="CN14" s="19">
        <f>IF(SUM(Basicinfo!AB14:AG14)=0,0,(Parameters!$C$128*Basicinfo!AB14+Parameters!$C$129*(SUM(Basicinfo!AC14:AE14))+Parameters!$C$130*Basicinfo!AF14+Parameters!$C$131*Basicinfo!AG14)/SUM(Basicinfo!AB14:AG14))</f>
        <v>1.0976261108789112E-2</v>
      </c>
      <c r="CO14" s="19">
        <f>IF(Basicinfo!AH14+Basicinfo!AI14+Basicinfo!AJ14+Basicinfo!AK14=0,0,(Parameters!$C$132*(Basicinfo!AH14+Basicinfo!AI14)+Parameters!$C$133*Basicinfo!AJ14+Parameters!$C$134*Basicinfo!AK14)/(Basicinfo!AH14+Basicinfo!AI14+Basicinfo!AJ14+Basicinfo!AK14))</f>
        <v>5.0000000000000001E-4</v>
      </c>
      <c r="CP14" s="19">
        <f>IF(Basicinfo!AJ14+Basicinfo!AK14=0,0,(Parameters!$C$133*Basicinfo!AJ14+Parameters!$C$134*Basicinfo!AK14)/(Basicinfo!AJ14+Basicinfo!AK14))</f>
        <v>0</v>
      </c>
      <c r="CQ14" s="19">
        <f>IF(Z14=0,0,(CN14*(Z14-AA14)+CO14*Basicinfo!P14+CP14*(Basicinfo!Q14+Basicinfo!R14))/Z14)</f>
        <v>7.9127140489081704E-3</v>
      </c>
      <c r="CR14" s="289">
        <f>Basicinfo!EI14</f>
        <v>2.9986136842105268E-2</v>
      </c>
      <c r="CS14" s="19">
        <f>IF(SUM(Basicinfo!AB14:AG14)=0,0,(Basicinfo!AB14*Parameters!$C$43+(Basicinfo!AC14+Basicinfo!AD14)*Parameters!$C$44+Basicinfo!AE14*Parameters!$C$45+(Basicinfo!AF14+Basicinfo!AG14)*Parameters!$C$46)/SUM(Basicinfo!AB14:AG14))</f>
        <v>29.795115143083539</v>
      </c>
      <c r="CT14" s="19">
        <f>(Parameters!$C$41*CS14+Parameters!$C$42)</f>
        <v>578.91017445945204</v>
      </c>
      <c r="CU14" s="19">
        <f>CT14+Basicinfo!BR14/(Parameters!$C$47*Parameters!$C$49*Parameters!$C$48*10000/1000000)</f>
        <v>715.60579974187442</v>
      </c>
      <c r="CV14" s="19">
        <f>IF(BK14/Basicinfo!G14&lt;Parameters!$C$35,Parameters!$C$35,Parameters!$C$37*(BK14/Basicinfo!G14)^Parameters!$C$38)</f>
        <v>1.527465577717052</v>
      </c>
      <c r="CW14" s="19">
        <f>IF(BK14/Basicinfo!G14&lt;Parameters!$C$35,Parameters!$C$36,Parameters!$C$36*(BK14/Basicinfo!G14)^Parameters!$C$38)</f>
        <v>3.5895441076350725</v>
      </c>
      <c r="CX14" s="27">
        <f>IF(Basicinfo!AJ14+Basicinfo!AK14=0,0,(Parameters!$C$53*Basicinfo!AJ14+Parameters!$C$54*Basicinfo!AK14)/(Basicinfo!AJ14+Basicinfo!AK14))</f>
        <v>0</v>
      </c>
      <c r="CY14" s="56">
        <f>IF(Basicinfo!AU14*AB14=0,0,((Basicinfo!AZ14+Basicinfo!BA14)/Basicinfo!AU14+Parameters!$C$76/(Basicinfo!AU14*AB14)*100))</f>
        <v>2.8644662274956709</v>
      </c>
      <c r="CZ14" s="43">
        <f>IF(Basicinfo!AU14*AB14=0,0,(Parameters!$C$77)/(Basicinfo!AU14*AB14)*100)</f>
        <v>0.74197550309548266</v>
      </c>
      <c r="DA14" s="43">
        <f>IF(AD14+AJ14=0,0,((J14*Parameters!$C$96+Parameters!$C$94/100*S14*100*Parameters!$C$93/1000*86400*Parameters!$C$95/24*Parameters!$C$98)*AI14+AD14*CY14*86400*365)/((AD14+AJ14*AI14/365)*86400*365))</f>
        <v>8.0992898364690831</v>
      </c>
      <c r="DB14" s="43">
        <f>IF(AD14+AJ14=0,0,((J14*Parameters!$C$97+Parameters!$C$94/100*S14*100*Parameters!$C$93/1000*86400*Parameters!$C$95/24*Parameters!$C$99)*AI14+AD14*CZ14*86400*365)/((AD14+AJ14*AI14/365)*86400*365))</f>
        <v>1.5773622398956468</v>
      </c>
      <c r="DC14" s="42">
        <f>IF(AE14+AL14=0,0,((K14*Parameters!$C$96+Parameters!$C$94/100*T14*100*Parameters!$C$93/1000*86400*Parameters!$C$95/24*Parameters!$C$98)*365+AE14*CY14*86400*365)/((AE14+AL14)*86400*365))</f>
        <v>0</v>
      </c>
      <c r="DD14" s="42">
        <f>IF(AE14+AL14=0,0,((K14*Parameters!$C$97+Parameters!$C$94/100*T14*100*Parameters!$C$93/1000*86400*Parameters!$C$95/24*Parameters!$C$99)*365+AE14*CZ14*86400*365)/((AE14+AL14)*86400*365))</f>
        <v>0</v>
      </c>
      <c r="DE14" s="42">
        <f>IF(Basicinfo!AH14+Basicinfo!AI14+Basicinfo!AJ14+Basicinfo!AK14=0,0,((Basicinfo!AH14+Basicinfo!AI14)*Parameters!$C$107+(Basicinfo!AJ14+Basicinfo!AK14)*Parameters!$C$106)/(Basicinfo!AH14+Basicinfo!AI14+Basicinfo!AJ14+Basicinfo!AK14))</f>
        <v>90</v>
      </c>
      <c r="DF14" s="42">
        <f>IF(Basicinfo!AH14+Basicinfo!AI14+Basicinfo!AJ14+Basicinfo!AK14=0,0,((Basicinfo!AH14+Basicinfo!AI14)*Parameters!$C$109+(Basicinfo!AJ14+Basicinfo!AK14)*Parameters!$C$108)/(Basicinfo!AH14+Basicinfo!AI14+Basicinfo!AJ14+Basicinfo!AK14))</f>
        <v>90</v>
      </c>
      <c r="DG14" s="42">
        <f>Intermediate!AC14*Intermediate!CY14*(1-Parameters!$C$102/100*Basicinfo!BZ14/100)*(1-Parameters!$C$104/100*Basicinfo!CA14/100)*86400*365/1000000</f>
        <v>0.35418160104821667</v>
      </c>
      <c r="DH14" s="42">
        <f>Intermediate!AC14*Intermediate!CZ14*(1-Parameters!$C$103/100*Basicinfo!BZ14/100)*(1-Parameters!$C$105/100*Basicinfo!CA14/100)*86400*365/1000000</f>
        <v>9.1742771865272868E-2</v>
      </c>
      <c r="DI14" s="42">
        <f>(Intermediate!AK14*Intermediate!DA14+(Intermediate!AE14+Intermediate!AL14)*Intermediate!DC14)*86400*365/1000000</f>
        <v>0.64523864853616764</v>
      </c>
      <c r="DJ14" s="42">
        <f>(Intermediate!AK14*Intermediate!DB14+(Intermediate!AE14+Intermediate!AL14)*Intermediate!DD14)*86400*365/1000000</f>
        <v>0.12566226181207421</v>
      </c>
      <c r="DK14" s="42">
        <f>((Basicinfo!AZ14+Basicinfo!BA14)*Intermediate!AB14+Parameters!$C$76*100)/1000*Intermediate!U14*(1-Intermediate!DE14/100)+(1-Parameters!$C$110/100)*M14*Parameters!$C$100*(1-DE14/100)*365/1000000+(1-Parameters!$C$112/100)*P14*Parameters!$C$96*365/1000000+(1-Parameters!$C$112/100)*O14*Parameters!$C$96*(1-DE14/100)*365/1000000</f>
        <v>0.33452998720898852</v>
      </c>
      <c r="DL14" s="42">
        <f>Parameters!$C$77*100/1000*Intermediate!U14*(1-Intermediate!DF14/100)+(1-Parameters!$C$111/100)*M14*Parameters!$C$101*(1-DF14/100)*365/1000000+(1-Parameters!$C$113/100)*P14*Parameters!$C$97*365/1000000+(1-Parameters!$C$113/100)*O14*Parameters!$C$97*(1-DF14/100)*365/1000000</f>
        <v>5.1894427808114887E-2</v>
      </c>
      <c r="DM14" s="31"/>
      <c r="DN14" s="31"/>
      <c r="DO14" s="31"/>
      <c r="DP14" s="31"/>
      <c r="DQ14" s="31"/>
      <c r="DR14" s="31"/>
      <c r="DS14" s="31"/>
      <c r="DT14" s="188">
        <f>BO14*(Basicinfo!$P14+Basicinfo!$Q14)/1000</f>
        <v>31.459547539309753</v>
      </c>
      <c r="DU14" s="188">
        <f>DT14*Basicinfo!$AZ14/(Basicinfo!$AZ14+Basicinfo!$BA14)</f>
        <v>19.447737816784546</v>
      </c>
      <c r="DV14" s="188">
        <f>DT14*Basicinfo!$BC14/(Basicinfo!$BB14+Basicinfo!$BC14)</f>
        <v>11.490948880482277</v>
      </c>
      <c r="DW14" s="188">
        <f>BP14*(Basicinfo!$P14+Basicinfo!$Q14)/1000</f>
        <v>33.944057279972021</v>
      </c>
      <c r="DX14" s="188">
        <f>DW14*Basicinfo!$BB14/(Basicinfo!$BB14+Basicinfo!$BC14)</f>
        <v>21.54561364333227</v>
      </c>
      <c r="DY14" s="188">
        <f>DW14*Basicinfo!$BC14/(Basicinfo!$BB14+Basicinfo!$BC14)</f>
        <v>12.398443636639751</v>
      </c>
      <c r="DZ14" s="188">
        <f t="shared" si="10"/>
        <v>94.337807457961844</v>
      </c>
      <c r="EA14" s="188">
        <f>DZ14*Basicinfo!$AZ14/(Basicinfo!$AZ14+Basicinfo!$BA14)</f>
        <v>58.317969874178218</v>
      </c>
      <c r="EB14" s="188">
        <f>DZ14*Basicinfo!$BC14/(Basicinfo!$BB14+Basicinfo!$BC14)</f>
        <v>34.457931146075332</v>
      </c>
      <c r="EC14" s="188">
        <f t="shared" si="11"/>
        <v>101.78811173360849</v>
      </c>
      <c r="ED14" s="188">
        <f>EC14*Basicinfo!$AZ14/(Basicinfo!$AZ14+Basicinfo!$BA14)</f>
        <v>62.923616666364218</v>
      </c>
      <c r="EE14" s="188">
        <f>EC14*Basicinfo!$BC14/(Basicinfo!$BB14+Basicinfo!$BC14)</f>
        <v>37.179237467106184</v>
      </c>
      <c r="EF14" s="190">
        <f>(Basicinfo!BP14-BL14/100)*Intermediate!X14/10</f>
        <v>226.94866076388627</v>
      </c>
      <c r="EG14" s="191">
        <f>(Basicinfo!BQ14-BM14/100)*Intermediate!X14/10</f>
        <v>224.8670886645842</v>
      </c>
      <c r="EH14" s="197">
        <f>IF(AU14=0,0,$BS14*((Basicinfo!$P14+Basicinfo!$Q14)*Intermediate!$AT14*1000+$AW14*3600*24*365)/1000000*Basicinfo!AZ14/(Basicinfo!$AZ14+Basicinfo!$BA14))</f>
        <v>1.6541805449575879</v>
      </c>
      <c r="EI14" s="197">
        <f>IF(AU14=0,0,$BS14*((Basicinfo!$P14+Basicinfo!$Q14)*Intermediate!$AT14*1000+$AW14*3600*24*365)/1000000*Basicinfo!BA14/(Basicinfo!$AZ14+Basicinfo!$BA14))</f>
        <v>1.0216973377533336</v>
      </c>
      <c r="EJ14" s="198">
        <f>IF(AU14=0,0,$BS14*($AT14*$X14*1000)/1000000*Basicinfo!AZ14/(Basicinfo!$AZ14+Basicinfo!$BA14))</f>
        <v>4.9603944734400089</v>
      </c>
      <c r="EK14" s="198">
        <f>IF(AU14=0,0,$BS14*($AT14*$X14*1000)/1000000*Basicinfo!BA14/(Basicinfo!$AZ14+Basicinfo!$BA14))</f>
        <v>3.0637658284452542</v>
      </c>
      <c r="EL14" s="147">
        <f>Parameters!$C$150/Basicinfo!$AV14*100</f>
        <v>0.10051782349474689</v>
      </c>
      <c r="EM14" s="147">
        <f>Parameters!$C$151/Basicinfo!$AV14*100</f>
        <v>0.20103564698949378</v>
      </c>
      <c r="EN14" s="147">
        <f>(Parameters!$C$150+Parameters!$C$151)/Intermediate!$BB14*100</f>
        <v>0.84442418616769377</v>
      </c>
      <c r="EO14" s="193">
        <f>IF(EN14=0,0,(1/(1+Parameters!$C$116*$BB14^Parameters!$C$120)*Basicinfo!$AH14/Basicinfo!$G14+1/(1+Parameters!$C$117*$BB14^Parameters!$C$121)*Basicinfo!$AI14/Basicinfo!$G14)*(EN14)^Parameters!$C$124+(1/(1+Parameters!$C$118*$BB14^Parameters!$C$122)*Basicinfo!$AJ14/Basicinfo!AW14+1/(1+Parameters!$C$119*$BB14^Parameters!$C$123)*Basicinfo!$AK14/Basicinfo!$G14)*(EN14)^Parameters!$C$125)</f>
        <v>0.67181533807527627</v>
      </c>
      <c r="EP14" s="199">
        <f>EL14*($AT14*Basicinfo!$P14*1000+$AW14*3600*24*365)/1000000</f>
        <v>0.16036043113725412</v>
      </c>
      <c r="EQ14" s="199">
        <f>EM14*($AT14*Basicinfo!$P14*1000+$AW14*3600*24*365)/1000000</f>
        <v>0.32072086227450824</v>
      </c>
      <c r="ER14" s="199">
        <f t="shared" si="12"/>
        <v>0.48087314217087918</v>
      </c>
      <c r="ES14" s="199">
        <f t="shared" si="13"/>
        <v>0.96174628434175835</v>
      </c>
      <c r="ET14" s="181">
        <f t="shared" si="14"/>
        <v>19.093508696822365</v>
      </c>
      <c r="EU14" s="147">
        <f>Intermediate!F14*(Parameters!$C$150)/1000*100</f>
        <v>6.4503944704103602E-2</v>
      </c>
      <c r="EV14" s="147">
        <f>Intermediate!F14*(Parameters!$C$151)/1000*100</f>
        <v>0.1290078894082072</v>
      </c>
      <c r="EW14" s="181">
        <f>'Local emissions'!$S14*Basicinfo!AZ14/(Basicinfo!$AZ14+Basicinfo!$BA14)-Intermediate!EU14</f>
        <v>0.57790195962018631</v>
      </c>
      <c r="EX14" s="147">
        <f>'Local emissions'!$S14*Basicinfo!BA14/(Basicinfo!$AZ14+Basicinfo!$BA14)-Intermediate!EV14</f>
        <v>0.26777129180382786</v>
      </c>
      <c r="EY14" s="188">
        <f t="shared" si="15"/>
        <v>1.4938201138203338</v>
      </c>
      <c r="EZ14" s="188">
        <f t="shared" si="16"/>
        <v>0.70097647547882536</v>
      </c>
      <c r="FA14" s="188">
        <f t="shared" si="17"/>
        <v>4.4795213312691295</v>
      </c>
      <c r="FB14" s="181">
        <f t="shared" si="18"/>
        <v>2.1020195441034959</v>
      </c>
      <c r="FC14" s="181">
        <f>'Local emissions'!Y14-Intermediate!ET14</f>
        <v>85.065951816964414</v>
      </c>
      <c r="FD14" s="188">
        <f t="shared" si="19"/>
        <v>5.0826453272580183</v>
      </c>
      <c r="FE14" s="188">
        <f t="shared" si="20"/>
        <v>2.9248130342549241</v>
      </c>
      <c r="FF14" s="181">
        <f t="shared" si="21"/>
        <v>7.4218917947237308</v>
      </c>
      <c r="FG14" s="201">
        <f t="shared" si="22"/>
        <v>4.3853213167053093</v>
      </c>
      <c r="FH14" s="181">
        <f t="shared" si="23"/>
        <v>65.251280344022419</v>
      </c>
      <c r="FJ14" s="147">
        <f>AVERAGE(Parameters!$C$132:$C$134)*'Local emissions'!J14*3600*24*365/1000000</f>
        <v>1.4210384621110687E-2</v>
      </c>
      <c r="FK14" s="147">
        <f>'Local emissions'!AJ14+CT14*BJ14/100*Intermediate!X14*100/1000000</f>
        <v>0.42407267360633588</v>
      </c>
      <c r="FL14" s="31">
        <f>(Parameters!$C$18*(Basicinfo!AH14+Basicinfo!AI14)+Parameters!$C$19*Basicinfo!AJ14+Parameters!$C$20*Basicinfo!AK14)/Basicinfo!G14</f>
        <v>3.5000000000000003E-2</v>
      </c>
      <c r="FM14" s="181">
        <f t="shared" si="24"/>
        <v>0.23257612863404653</v>
      </c>
    </row>
    <row r="15" spans="1:169">
      <c r="A15" s="39" t="str">
        <f>Basicinfo!A15</f>
        <v>Pram</v>
      </c>
      <c r="B15" s="63">
        <f>Basicinfo!B15</f>
        <v>700</v>
      </c>
      <c r="C15" s="63">
        <f>Basicinfo!C15</f>
        <v>710</v>
      </c>
      <c r="D15" s="61">
        <f>Basicinfo!U15*Basicinfo!V15/1000+Basicinfo!Y15</f>
        <v>1.238162562582251</v>
      </c>
      <c r="E15" s="19">
        <f>Basicinfo!W15*Basicinfo!X15/1000+Basicinfo!Z15</f>
        <v>7.0423826614439924E-2</v>
      </c>
      <c r="F15" s="19">
        <f t="shared" si="0"/>
        <v>1.3085863891966909</v>
      </c>
      <c r="G15" s="19">
        <f>SUM(Basicinfo!H15:L15)</f>
        <v>91.826824309008472</v>
      </c>
      <c r="H15" s="19">
        <f>IF(Basicinfo!N15&lt;Parameters!$C$68,Parameters!$C$69,Basicinfo!BS15/(Basicinfo!N15*100))</f>
        <v>15.617336860555199</v>
      </c>
      <c r="I15" s="19">
        <f>IF(Basicinfo!N15=0,0,Basicinfo!BU15*(1-Basicinfo!BX15/100))</f>
        <v>9100.296096029464</v>
      </c>
      <c r="J15" s="19">
        <f>IF(Basicinfo!N15=0,0,Basicinfo!BU15*Basicinfo!BX15/100)</f>
        <v>5344.6183421125425</v>
      </c>
      <c r="K15" s="19">
        <f>IF(Basicinfo!N15=0,0,Basicinfo!BT15-Basicinfo!BU15)</f>
        <v>0</v>
      </c>
      <c r="L15" s="27">
        <f>Basicinfo!BV15*Basicinfo!BW15/100</f>
        <v>2117.8599999999997</v>
      </c>
      <c r="M15" s="27">
        <f>Basicinfo!BV15-Intermediate!L15</f>
        <v>2117.8599999999997</v>
      </c>
      <c r="N15" s="73">
        <f>Basicinfo!BS15-SUM(I15:K15)-Basicinfo!BV15</f>
        <v>0</v>
      </c>
      <c r="O15" s="19">
        <f>IF(Basicinfo!AH15+Basicinfo!AI15+Basicinfo!AJ15+Basicinfo!AK15=0,0,N15*(Basicinfo!AH15+Basicinfo!AI15)/SUM(Basicinfo!AH15:AK15))</f>
        <v>0</v>
      </c>
      <c r="P15" s="73">
        <f t="shared" si="25"/>
        <v>0</v>
      </c>
      <c r="Q15" s="19">
        <f>IF(Basicinfo!BS15=0,Basicinfo!N15,IF(H15&gt;Parameters!$C$70,Parameters!$C$64*(Parameters!$C$65*Parameters!$C$70)^(Parameters!$C$66-Parameters!$C$67*LOG(Parameters!$C$65*Parameters!$C$70,10))/100*Basicinfo!N15,Parameters!$C$64*(Parameters!$C$65*H15)^(Parameters!$C$66-Parameters!$C$67*LOG(Parameters!$C$65*H15,10))/100*Basicinfo!N15))</f>
        <v>3.1175230566697234</v>
      </c>
      <c r="R15" s="19">
        <f>IF(Basicinfo!BS15=0,Q15*(1-Basicinfo!BX15/100),IF(H15&lt;Parameters!$C$75,Q15*Basicinfo!BU15/Basicinfo!BS15*(1-Basicinfo!BX15/100)*(-Parameters!$C$74+Parameters!$C$73*LN(H15*100)),Q15*Basicinfo!BU15/Basicinfo!BS15*(1-Basicinfo!BX15/100)))</f>
        <v>0.83710134406964132</v>
      </c>
      <c r="S15" s="19">
        <f>IF(Basicinfo!BS15=0,Q15*Basicinfo!BX15/100,Q15*Basicinfo!BU15/Basicinfo!BS15*Basicinfo!BX15/100)</f>
        <v>0.89193817082654592</v>
      </c>
      <c r="T15" s="19">
        <f>IF(Basicinfo!BS15=0,0,IF(H15&lt;Parameters!$C$75,Q15*K15/Basicinfo!BS15*(-Parameters!$C$74+Parameters!$C$73*LN(H15*100)),Q15*K15/Basicinfo!BS15))</f>
        <v>0</v>
      </c>
      <c r="U15" s="19">
        <f t="shared" si="26"/>
        <v>1.3884835417735362</v>
      </c>
      <c r="V15" s="19">
        <f>IF(Basicinfo!AL15&gt;Parameters!$C$14,Basicinfo!Q15,0)</f>
        <v>0</v>
      </c>
      <c r="W15" s="19">
        <f>IF(Basicinfo!AL15&gt;Parameters!$C$14,0,Basicinfo!Q15)</f>
        <v>0</v>
      </c>
      <c r="X15" s="19">
        <f>G15+Basicinfo!M15</f>
        <v>148.24606683144532</v>
      </c>
      <c r="Y15" s="19">
        <f>IF(Basicinfo!G15-F15-Q15-V15-Basicinfo!O15-Basicinfo!R15-Basicinfo!S15&lt;0,0,Basicinfo!G15-F15-Q15-V15-Basicinfo!O15-Basicinfo!R15-Basicinfo!S15)</f>
        <v>217.67714156447434</v>
      </c>
      <c r="Z15" s="19">
        <f>Basicinfo!G15-F15-Basicinfo!BO15-Q15-Basicinfo!O15</f>
        <v>204.70668248764258</v>
      </c>
      <c r="AA15" s="53">
        <f>IF(Z15+Basicinfo!BO15-X15&gt;0,Z15+Basicinfo!BO15-X15,0)</f>
        <v>69.433525782688264</v>
      </c>
      <c r="AB15" s="56">
        <f>IF(Basicinfo!N15=0,0,Parameters!$C$71+Parameters!$C$72*Q15/Basicinfo!N15)</f>
        <v>0.345472781884548</v>
      </c>
      <c r="AC15" s="43">
        <f>Basicinfo!AU15*AB15*R15/1000/86.4/0.365</f>
        <v>8.9839238687310259E-3</v>
      </c>
      <c r="AD15" s="43">
        <f>Basicinfo!AU15*AB15*S15/1000/86.4/0.365</f>
        <v>9.572442666696112E-3</v>
      </c>
      <c r="AE15" s="43">
        <f>Basicinfo!AU15*AB15*T15/1000/86.4/0.365</f>
        <v>0</v>
      </c>
      <c r="AF15" s="43">
        <f>Basicinfo!AU15*AB15*U15/1000/86.4/0.365</f>
        <v>1.4901457894734554E-2</v>
      </c>
      <c r="AG15" s="43">
        <f>((Parameters!$C$80+Parameters!$C$81*Parameters!$C$89)/(Parameters!$C$82+Parameters!$C$89)/(Parameters!$C$90/100*Parameters!$C$91+(Parameters!$C$83+Parameters!$C$84*Parameters!$C$89)/(Parameters!$C$85+Parameters!$C$89)))-Parameters!$C$86+(Basicinfo!AU15-Parameters!$C$88)/Parameters!$C$87</f>
        <v>75.880471590680074</v>
      </c>
      <c r="AH15" s="43">
        <f>((Parameters!$C$80+Parameters!$C$81*Parameters!$C$89)/(Parameters!$C$82+Parameters!$C$89)/(Basicinfo!BY15/100*Parameters!$C$91+(Parameters!$C$83+Parameters!$C$84*Parameters!$C$89)/(Parameters!$C$85+Parameters!$C$89)))-Parameters!$C$86+(Basicinfo!AU15-Parameters!$C$88)/Parameters!$C$87</f>
        <v>58.077589724064502</v>
      </c>
      <c r="AI15" s="43">
        <f>Basicinfo!AU15^Parameters!$C$79*Parameters!$C$78*AH15/AG15</f>
        <v>27.590641171866046</v>
      </c>
      <c r="AJ15" s="43">
        <f>(J15*Parameters!$C$92/1000+Parameters!$C$94/100*S15*100*Parameters!$C$93/1000*86400*Parameters!$C$95/24)/86400</f>
        <v>8.0714023889654051E-3</v>
      </c>
      <c r="AK15" s="43">
        <f t="shared" si="1"/>
        <v>5.9137891441923031E-3</v>
      </c>
      <c r="AL15" s="43">
        <f>(K15*Parameters!$C$92/1000+Parameters!$C$94/100*T15*100*Parameters!$C$93/1000*86400*Parameters!$C$95/24)/86400</f>
        <v>0</v>
      </c>
      <c r="AM15" s="43">
        <f>(Intermediate!N15+Basicinfo!BV15-Intermediate!L15)*Parameters!$C$92/1000/86400</f>
        <v>3.1865949074074067E-3</v>
      </c>
      <c r="AN15" s="43">
        <f t="shared" si="2"/>
        <v>1.4543367847266092E-2</v>
      </c>
      <c r="AO15" s="43">
        <f t="shared" si="27"/>
        <v>5.9137891441923031E-3</v>
      </c>
      <c r="AP15" s="43">
        <f t="shared" si="28"/>
        <v>1.8088052802141961E-2</v>
      </c>
      <c r="AQ15" s="43">
        <f t="shared" si="3"/>
        <v>3.2985765815065293E-2</v>
      </c>
      <c r="AR15" s="61">
        <f>(Basicinfo!AU15-Basicinfo!AY15)*F15/1000/86.4/0.365</f>
        <v>1.0836994851422666E-2</v>
      </c>
      <c r="AS15" s="19">
        <f>IF(Basicinfo!AP15-Basicinfo!CB15-Basicinfo!CG15&lt;0,0,(Basicinfo!AP15-Basicinfo!CB15-Basicinfo!CG15)/Basicinfo!G15*1000)</f>
        <v>13.148258243351444</v>
      </c>
      <c r="AT15" s="19">
        <f>Parameters!$C$3*((AS15*86.4*0.365)^Parameters!$C$4)</f>
        <v>77.856380133872236</v>
      </c>
      <c r="AU15" s="19">
        <f>IF(AT15/86.4/0.365*(Basicinfo!G15/1000)-AN15&lt;0,0,AT15/86.4/0.365*(Basicinfo!G15/1000)-AN15)</f>
        <v>0.53379332575635929</v>
      </c>
      <c r="AV15" s="19">
        <f>IF(Basicinfo!AU15&gt;Parameters!$C$13,Parameters!$C$11*(Basicinfo!AU15-Parameters!$C$13)^Parameters!$C$12,0)</f>
        <v>90.104929854330223</v>
      </c>
      <c r="AW15" s="19">
        <f>IF(AV15*V15/1000/86.4/0.365&gt;Basicinfo!AP15*Parameters!$C$15,Basicinfo!AP15*Parameters!$C$15,AV15*V15/1000/86.4/0.365)</f>
        <v>0</v>
      </c>
      <c r="AX15" s="19">
        <f>Basicinfo!AU15-Basicinfo!AW15</f>
        <v>373.39252277642845</v>
      </c>
      <c r="AY15" s="19">
        <f>Parameters!$C$56*AX15+Parameters!$C$57*Basicinfo!AW15</f>
        <v>247.32423119589993</v>
      </c>
      <c r="AZ15" s="19">
        <f>AY15*Basicinfo!BO15/1000/86.4/0.365</f>
        <v>0.10174134396904784</v>
      </c>
      <c r="BA15" s="19">
        <f>IF(Basicinfo!AP15-AQ15-AR15-AU15-AW15-AZ15-Basicinfo!CB15-Basicinfo!CG15&lt;0,0,Basicinfo!AP15-AQ15-AR15-AU15-AW15-AZ15-Basicinfo!CB15-Basicinfo!CG15)</f>
        <v>2.2409456976138591</v>
      </c>
      <c r="BB15" s="53">
        <f t="shared" si="4"/>
        <v>345.22792642207366</v>
      </c>
      <c r="BC15" s="56">
        <f>IF(G15=0,0,((Basicinfo!H15*Basicinfo!BE15+Basicinfo!I15*Basicinfo!BF15+Basicinfo!J15*Basicinfo!BG15+Basicinfo!K15*Basicinfo!BH15+Basicinfo!L15*Basicinfo!BI15)*(1-Basicinfo!BN15/G15*Parameters!$C$26/100)/G15)*Basicinfo!BM15)</f>
        <v>14.557416569354483</v>
      </c>
      <c r="BD15" s="43">
        <f>IF(Basicinfo!AW15*Parameters!$C$39-Parameters!$C$40&lt;0,0.001,(Basicinfo!AW15*Parameters!$C$39-Parameters!$C$40)/(Basicinfo!AX15*Parameters!$C$39-Parameters!$C$40))</f>
        <v>1.069669535451915</v>
      </c>
      <c r="BE15" s="43">
        <f>(BC15*G15*100+Basicinfo!BJ15*Basicinfo!M15*100)*Parameters!$C$29*BD15</f>
        <v>145113.36655001043</v>
      </c>
      <c r="BF15" s="43">
        <f>(Basicinfo!BK15*Basicinfo!P15*100)*BD15*Parameters!$C$29</f>
        <v>2249.5380651950791</v>
      </c>
      <c r="BG15" s="43">
        <f>Parameters!$C$27*(V15+W15)*100</f>
        <v>0</v>
      </c>
      <c r="BH15" s="43">
        <f>Parameters!$C$28*Basicinfo!R15*100</f>
        <v>0</v>
      </c>
      <c r="BI15" s="43">
        <f t="shared" si="29"/>
        <v>2249.5380651950791</v>
      </c>
      <c r="BJ15" s="43">
        <f>IF(Basicinfo!AM15&lt;Parameters!$C$33,0,Parameters!$C$30*(((Basicinfo!AM15-Parameters!$C$33)^Parameters!$C$31)*(((G15-Basicinfo!BN15)/Basicinfo!G15*100+Parameters!$C$34))^Parameters!$C$32))</f>
        <v>4.1546831498942067</v>
      </c>
      <c r="BK15" s="58">
        <f t="shared" si="30"/>
        <v>8278.5386534925783</v>
      </c>
      <c r="BL15" s="61">
        <f>Basicinfo!AZ15+Basicinfo!BA15</f>
        <v>1706.5386990243396</v>
      </c>
      <c r="BM15" s="19">
        <f>Basicinfo!BB15+Basicinfo!BC15</f>
        <v>1955.720908868173</v>
      </c>
      <c r="BN15" s="172">
        <f>IF(Basicinfo!AO15=0,0,IF(Basicinfo!AO15="NA",1,IF(OR(Basicinfo!AO15="SA",Basicinfo!AN15="S"),3,IF(Basicinfo!AN15="N",1,IF(Basicinfo!AO15="ZA",2,0)))))</f>
        <v>0</v>
      </c>
      <c r="BO15" s="27">
        <f>IF($BN15=1,(BL15)*(1+Parameters!$C$21*Parameters!$C$22-Parameters!$C$22*Basicinfo!$AL15),IF($BN15=2,(BL15)*(1+Parameters!$C$21*Parameters!$C$23-Parameters!$C$23*Basicinfo!$AL15),IF($BN15=3,(BL15)*(1+Parameters!$C$21*Parameters!$C$24-Parameters!$C$24*Basicinfo!$AL15),BL15)))</f>
        <v>1706.5386990243396</v>
      </c>
      <c r="BP15" s="27">
        <f>IF($BN15=1,(BM15)*(1+Parameters!$C$21*Parameters!$C$22-Parameters!$C$22*Basicinfo!$AL15),IF($BN15=2,(BM15)*(1+Parameters!$C$21*Parameters!$C$23-Parameters!$C$23*Basicinfo!$AL15),IF($BN15=3,(BM15)*(1+Parameters!$C$21*Parameters!$C$24-Parameters!$C$24*Basicinfo!$AL15),BM15)))</f>
        <v>1955.720908868173</v>
      </c>
      <c r="BQ15" s="27">
        <f>IF(Basicinfo!AU15=0,0,IF(G15+Basicinfo!M15=0,0,(Parameters!$C$16+BO15/Basicinfo!AU15)*G15+(Parameters!$C$17+BO15/Basicinfo!AU15)*Basicinfo!M15)/(G15+Basicinfo!M15))</f>
        <v>1.9277751433890036</v>
      </c>
      <c r="BR15" s="27">
        <f>IF(Basicinfo!AU15=0,0,IF(G15+Basicinfo!M15=0,0,(Parameters!$C$16+BP15/Basicinfo!AU15)*G15+(Parameters!$C$17+BP15/Basicinfo!AU15)*Basicinfo!M15)/(G15+Basicinfo!M15))</f>
        <v>2.1821277774024477</v>
      </c>
      <c r="BS15" s="27">
        <f>IF(Basicinfo!AU15=0,0,BO15/Basicinfo!AU15)</f>
        <v>1.7419486463931375</v>
      </c>
      <c r="BT15" s="27">
        <f>IF(Basicinfo!AU15=0,0,BP15/Basicinfo!AU15)</f>
        <v>1.9963012804065812</v>
      </c>
      <c r="BU15" s="27">
        <f>IF(SUM(G15,Basicinfo!M15,Basicinfo!P15,W15)=0,0,(BQ15*(G15+Basicinfo!M15)+BS15*(Basicinfo!P15+W15))/SUM(G15,Basicinfo!M15,Basicinfo!P15,W15))</f>
        <v>1.8738627688774636</v>
      </c>
      <c r="BV15" s="19">
        <f>IF(Basicinfo!BR15/Parameters!$C$10&gt;1,1,Basicinfo!BR15/Parameters!$C$10)</f>
        <v>0.36368015924156871</v>
      </c>
      <c r="BW15" s="19">
        <f>Parameters!$C$5+Parameters!$C$6*EXP(BV15*Parameters!$C$8*Parameters!$C$7)</f>
        <v>3.5098698662965166E-2</v>
      </c>
      <c r="BX15" s="19">
        <f>Parameters!$C$5+Parameters!$C$6*EXP(BV15*Parameters!$C$9*Parameters!$C$7)</f>
        <v>3.5056169120751289E-2</v>
      </c>
      <c r="BY15" s="19">
        <f>IF(Basicinfo!AH15+Basicinfo!AI15+Basicinfo!AJ15+Basicinfo!AK15=0,0,(Parameters!$C$18*(Basicinfo!AH15+Basicinfo!AI15)+Parameters!$C$19*Basicinfo!AJ15+Parameters!$C$20*Basicinfo!AK15)/(Basicinfo!AH15+Basicinfo!AI15+Basicinfo!AJ15+Basicinfo!AK15))</f>
        <v>3.1946061012131002E-2</v>
      </c>
      <c r="BZ15" s="19">
        <f>IF(Basicinfo!AJ15+Basicinfo!AK15=0,Parameters!$C$18,(Parameters!$C$19*Basicinfo!AJ15+Parameters!$C$20*Basicinfo!AK15)/(Basicinfo!AJ15+Basicinfo!AK15))</f>
        <v>2.5000000000000001E-2</v>
      </c>
      <c r="CA15" s="19">
        <f>IF(SUM(G15,Basicinfo!M15,Basicinfo!P15,W15)=0,0,(BW15*G15+BX15*Basicinfo!M15+BY15*Basicinfo!P15+BZ15*W15)/(SUM(G15,Basicinfo!M15,Basicinfo!P15,W15)))</f>
        <v>3.4172558832995421E-2</v>
      </c>
      <c r="CB15" s="19">
        <f>IF(Y15=0,Basicinfo!BP15,Basicinfo!BP15-(AU15*X15/Y15*Intermediate!BQ15*86400*365/1000000)*1000/(X15*100))</f>
        <v>53.555903474002136</v>
      </c>
      <c r="CC15" s="19">
        <f>IF(Y15=0,Basicinfo!BQ15,Basicinfo!BQ15-(AU15*Basicinfo!AV15/Basicinfo!AU15*X15/Y15*Intermediate!BR15*86400*365/1000000)*1000/(X15*100))</f>
        <v>53.468410192624745</v>
      </c>
      <c r="CD15" s="19">
        <f>IF(OR(Y15=0,AA15=0),BP15/100,BP15/100-(AU15*Basicinfo!AV15/Basicinfo!AU15*(Basicinfo!P15+W15)/Y15*Intermediate!BT15*86400*365/1000000+AW15*Basicinfo!AV15/Basicinfo!AU15*Intermediate!BT15*86400*365/1000000)*1000/(AA15*100))</f>
        <v>18.204098515244432</v>
      </c>
      <c r="CE15" s="19">
        <f t="shared" si="5"/>
        <v>723284.06307517039</v>
      </c>
      <c r="CF15" s="19">
        <f t="shared" si="6"/>
        <v>126397.47436088214</v>
      </c>
      <c r="CG15" s="19">
        <f>IF(AY15=0,0,((CB15^Parameters!$C$58))/AY15*100)</f>
        <v>11.918444538575566</v>
      </c>
      <c r="CH15" s="19">
        <f>IF(SUM(Basicinfo!AB15:AG15)=0,0,(Parameters!$C$59*Basicinfo!AB15+Parameters!$C$60*SUM(Basicinfo!AC15:AE15)+Parameters!$C$61*Basicinfo!AF15+Parameters!$C$62*Basicinfo!AG15)/SUM(Basicinfo!AB15:AG15))</f>
        <v>0.10363817952766324</v>
      </c>
      <c r="CI15" s="19">
        <f t="shared" si="7"/>
        <v>9</v>
      </c>
      <c r="CJ15" s="19">
        <f t="shared" si="8"/>
        <v>41.507269186844688</v>
      </c>
      <c r="CK15" s="19">
        <f t="shared" si="9"/>
        <v>12.023149348612701</v>
      </c>
      <c r="CL15" s="19">
        <f>IF($BB15=0,0,$CJ15^Parameters!$C$58*100/$BB15)</f>
        <v>6.8754260866398367</v>
      </c>
      <c r="CM15" s="19">
        <f>IF(CK15=0,0,(1/(1+Parameters!$C$116*BB15^Parameters!$C$120)*Basicinfo!AH15/Basicinfo!G15+1/(1+Parameters!$C$117*BB15^Parameters!$C$121)*Basicinfo!AI15/Basicinfo!G15)*(CK15)^Parameters!$C$124+(1/(1+Parameters!$C$118*BB15^Parameters!$C$122)*Basicinfo!AJ15/Basicinfo!G15+1/(1+Parameters!$C$119*BB15^Parameters!$C$123)*Basicinfo!AK15/Basicinfo!G15)*(CK15)^Parameters!$C$125)</f>
        <v>3.1792021731026168</v>
      </c>
      <c r="CN15" s="19">
        <f>IF(SUM(Basicinfo!AB15:AG15)=0,0,(Parameters!$C$128*Basicinfo!AB15+Parameters!$C$129*(SUM(Basicinfo!AC15:AE15))+Parameters!$C$130*Basicinfo!AF15+Parameters!$C$131*Basicinfo!AG15)/SUM(Basicinfo!AB15:AG15))</f>
        <v>1.8545120465924943E-2</v>
      </c>
      <c r="CO15" s="19">
        <f>IF(Basicinfo!AH15+Basicinfo!AI15+Basicinfo!AJ15+Basicinfo!AK15=0,0,(Parameters!$C$132*(Basicinfo!AH15+Basicinfo!AI15)+Parameters!$C$133*Basicinfo!AJ15+Parameters!$C$134*Basicinfo!AK15)/(Basicinfo!AH15+Basicinfo!AI15+Basicinfo!AJ15+Basicinfo!AK15))</f>
        <v>5.0000000000000001E-4</v>
      </c>
      <c r="CP15" s="19">
        <f>IF(Basicinfo!AJ15+Basicinfo!AK15=0,0,(Parameters!$C$133*Basicinfo!AJ15+Parameters!$C$134*Basicinfo!AK15)/(Basicinfo!AJ15+Basicinfo!AK15))</f>
        <v>5.0000000000000001E-4</v>
      </c>
      <c r="CQ15" s="19">
        <f>IF(Z15=0,0,(CN15*(Z15-AA15)+CO15*Basicinfo!P15+CP15*(Basicinfo!Q15+Basicinfo!R15))/Z15)</f>
        <v>1.2402870872226811E-2</v>
      </c>
      <c r="CR15" s="289">
        <f>Basicinfo!EI15</f>
        <v>5.1469649624060143E-2</v>
      </c>
      <c r="CS15" s="19">
        <f>IF(SUM(Basicinfo!AB15:AG15)=0,0,(Basicinfo!AB15*Parameters!$C$43+(Basicinfo!AC15+Basicinfo!AD15)*Parameters!$C$44+Basicinfo!AE15*Parameters!$C$45+(Basicinfo!AF15+Basicinfo!AG15)*Parameters!$C$46)/SUM(Basicinfo!AB15:AG15))</f>
        <v>21.010884014830015</v>
      </c>
      <c r="CT15" s="19">
        <f>(Parameters!$C$41*CS15+Parameters!$C$42)</f>
        <v>489.31101695126614</v>
      </c>
      <c r="CU15" s="19">
        <f>CT15+Basicinfo!BR15/(Parameters!$C$47*Parameters!$C$49*Parameters!$C$48*10000/1000000)</f>
        <v>617.39962649546646</v>
      </c>
      <c r="CV15" s="19">
        <f>IF(BK15/Basicinfo!G15&lt;Parameters!$C$35,Parameters!$C$35,Parameters!$C$37*(BK15/Basicinfo!G15)^Parameters!$C$38)</f>
        <v>1.398458154461425</v>
      </c>
      <c r="CW15" s="19">
        <f>IF(BK15/Basicinfo!G15&lt;Parameters!$C$35,Parameters!$C$36,Parameters!$C$36*(BK15/Basicinfo!G15)^Parameters!$C$38)</f>
        <v>3.2863766629843485</v>
      </c>
      <c r="CX15" s="27">
        <f>IF(Basicinfo!AJ15+Basicinfo!AK15=0,0,(Parameters!$C$53*Basicinfo!AJ15+Parameters!$C$54*Basicinfo!AK15)/(Basicinfo!AJ15+Basicinfo!AK15))</f>
        <v>750</v>
      </c>
      <c r="CY15" s="56">
        <f>IF(Basicinfo!AU15*AB15=0,0,((Basicinfo!AZ15+Basicinfo!BA15)/Basicinfo!AU15+Parameters!$C$76/(Basicinfo!AU15*AB15)*100))</f>
        <v>2.9238068133870412</v>
      </c>
      <c r="CZ15" s="43">
        <f>IF(Basicinfo!AU15*AB15=0,0,(Parameters!$C$77)/(Basicinfo!AU15*AB15)*100)</f>
        <v>0.73866135437118974</v>
      </c>
      <c r="DA15" s="43">
        <f>IF(AD15+AJ15=0,0,((J15*Parameters!$C$96+Parameters!$C$94/100*S15*100*Parameters!$C$93/1000*86400*Parameters!$C$95/24*Parameters!$C$98)*AI15+AD15*CY15*86400*365)/((AD15+AJ15*AI15/365)*86400*365))</f>
        <v>8.2596200388577294</v>
      </c>
      <c r="DB15" s="43">
        <f>IF(AD15+AJ15=0,0,((J15*Parameters!$C$97+Parameters!$C$94/100*S15*100*Parameters!$C$93/1000*86400*Parameters!$C$95/24*Parameters!$C$99)*AI15+AD15*CZ15*86400*365)/((AD15+AJ15*AI15/365)*86400*365))</f>
        <v>1.590929679932326</v>
      </c>
      <c r="DC15" s="42">
        <f>IF(AE15+AL15=0,0,((K15*Parameters!$C$96+Parameters!$C$94/100*T15*100*Parameters!$C$93/1000*86400*Parameters!$C$95/24*Parameters!$C$98)*365+AE15*CY15*86400*365)/((AE15+AL15)*86400*365))</f>
        <v>0</v>
      </c>
      <c r="DD15" s="42">
        <f>IF(AE15+AL15=0,0,((K15*Parameters!$C$97+Parameters!$C$94/100*T15*100*Parameters!$C$93/1000*86400*Parameters!$C$95/24*Parameters!$C$99)*365+AE15*CZ15*86400*365)/((AE15+AL15)*86400*365))</f>
        <v>0</v>
      </c>
      <c r="DE15" s="42">
        <f>IF(Basicinfo!AH15+Basicinfo!AI15+Basicinfo!AJ15+Basicinfo!AK15=0,0,((Basicinfo!AH15+Basicinfo!AI15)*Parameters!$C$107+(Basicinfo!AJ15+Basicinfo!AK15)*Parameters!$C$106)/(Basicinfo!AH15+Basicinfo!AI15+Basicinfo!AJ15+Basicinfo!AK15))</f>
        <v>77.784244048524016</v>
      </c>
      <c r="DF15" s="42">
        <f>IF(Basicinfo!AH15+Basicinfo!AI15+Basicinfo!AJ15+Basicinfo!AK15=0,0,((Basicinfo!AH15+Basicinfo!AI15)*Parameters!$C$109+(Basicinfo!AJ15+Basicinfo!AK15)*Parameters!$C$108)/(Basicinfo!AH15+Basicinfo!AI15+Basicinfo!AJ15+Basicinfo!AK15))</f>
        <v>77.784244048524016</v>
      </c>
      <c r="DG15" s="42">
        <f>Intermediate!AC15*Intermediate!CY15*(1-Parameters!$C$102/100*Basicinfo!BZ15/100)*(1-Parameters!$C$104/100*Basicinfo!CA15/100)*86400*365/1000000</f>
        <v>0.82836424255936703</v>
      </c>
      <c r="DH15" s="42">
        <f>Intermediate!AC15*Intermediate!CZ15*(1-Parameters!$C$103/100*Basicinfo!BZ15/100)*(1-Parameters!$C$105/100*Basicinfo!CA15/100)*86400*365/1000000</f>
        <v>0.20927533601741036</v>
      </c>
      <c r="DI15" s="42">
        <f>(Intermediate!AK15*Intermediate!DA15+(Intermediate!AE15+Intermediate!AL15)*Intermediate!DC15)*86400*365/1000000</f>
        <v>1.5403964600574807</v>
      </c>
      <c r="DJ15" s="42">
        <f>(Intermediate!AK15*Intermediate!DB15+(Intermediate!AE15+Intermediate!AL15)*Intermediate!DD15)*86400*365/1000000</f>
        <v>0.29670401733238227</v>
      </c>
      <c r="DK15" s="42">
        <f>((Basicinfo!AZ15+Basicinfo!BA15)*Intermediate!AB15+Parameters!$C$76*100)/1000*Intermediate!U15*(1-Intermediate!DE15/100)+(1-Parameters!$C$110/100)*M15*Parameters!$C$100*(1-DE15/100)*365/1000000+(1-Parameters!$C$112/100)*P15*Parameters!$C$96*365/1000000+(1-Parameters!$C$112/100)*O15*Parameters!$C$96*(1-DE15/100)*365/1000000</f>
        <v>1.696271732208364</v>
      </c>
      <c r="DL15" s="42">
        <f>Parameters!$C$77*100/1000*Intermediate!U15*(1-Intermediate!DF15/100)+(1-Parameters!$C$111/100)*M15*Parameters!$C$101*(1-DF15/100)*365/1000000+(1-Parameters!$C$113/100)*P15*Parameters!$C$97*365/1000000+(1-Parameters!$C$113/100)*O15*Parameters!$C$97*(1-DF15/100)*365/1000000</f>
        <v>0.26290620452181973</v>
      </c>
      <c r="DM15" s="31"/>
      <c r="DN15" s="31"/>
      <c r="DO15" s="31"/>
      <c r="DP15" s="31"/>
      <c r="DQ15" s="31"/>
      <c r="DR15" s="31"/>
      <c r="DS15" s="31"/>
      <c r="DT15" s="188">
        <f>BO15*(Basicinfo!$P15+Basicinfo!$Q15)/1000</f>
        <v>103.39427407870788</v>
      </c>
      <c r="DU15" s="188">
        <f>DT15*Basicinfo!$AZ15/(Basicinfo!$AZ15+Basicinfo!$BA15)</f>
        <v>65.989990743709242</v>
      </c>
      <c r="DV15" s="188">
        <f>DT15*Basicinfo!$BC15/(Basicinfo!$BB15+Basicinfo!$BC15)</f>
        <v>35.844833264544974</v>
      </c>
      <c r="DW15" s="188">
        <f>BP15*(Basicinfo!$P15+Basicinfo!$Q15)/1000</f>
        <v>118.49150786242529</v>
      </c>
      <c r="DX15" s="188">
        <f>DW15*Basicinfo!$BB15/(Basicinfo!$BB15+Basicinfo!$BC15)</f>
        <v>77.412750064291004</v>
      </c>
      <c r="DY15" s="188">
        <f>DW15*Basicinfo!$BC15/(Basicinfo!$BB15+Basicinfo!$BC15)</f>
        <v>41.078757798134284</v>
      </c>
      <c r="DZ15" s="188">
        <f t="shared" si="10"/>
        <v>252.98765002600999</v>
      </c>
      <c r="EA15" s="188">
        <f>DZ15*Basicinfo!$AZ15/(Basicinfo!$AZ15+Basicinfo!$BA15)</f>
        <v>161.46593060637491</v>
      </c>
      <c r="EB15" s="188">
        <f>DZ15*Basicinfo!$BC15/(Basicinfo!$BB15+Basicinfo!$BC15)</f>
        <v>87.706018674382591</v>
      </c>
      <c r="EC15" s="188">
        <f t="shared" si="11"/>
        <v>289.92793255972612</v>
      </c>
      <c r="ED15" s="188">
        <f>EC15*Basicinfo!$AZ15/(Basicinfo!$AZ15+Basicinfo!$BA15)</f>
        <v>185.04256407269494</v>
      </c>
      <c r="EE15" s="188">
        <f>EC15*Basicinfo!$BC15/(Basicinfo!$BB15+Basicinfo!$BC15)</f>
        <v>100.51251381122417</v>
      </c>
      <c r="EF15" s="190">
        <f>(Basicinfo!BP15-BL15/100)*Intermediate!X15/10</f>
        <v>563.05827728239933</v>
      </c>
      <c r="EG15" s="191">
        <f>(Basicinfo!BQ15-BM15/100)*Intermediate!X15/10</f>
        <v>527.84830578173546</v>
      </c>
      <c r="EH15" s="197">
        <f>IF(AU15=0,0,$BS15*((Basicinfo!$P15+Basicinfo!$Q15)*Intermediate!$AT15*1000+$AW15*3600*24*365)/1000000*Basicinfo!AZ15/(Basicinfo!$AZ15+Basicinfo!$BA15))</f>
        <v>5.24434774714548</v>
      </c>
      <c r="EI15" s="197">
        <f>IF(AU15=0,0,$BS15*((Basicinfo!$P15+Basicinfo!$Q15)*Intermediate!$AT15*1000+$AW15*3600*24*365)/1000000*Basicinfo!BA15/(Basicinfo!$AZ15+Basicinfo!$BA15))</f>
        <v>2.972588218769999</v>
      </c>
      <c r="EJ15" s="198">
        <f>IF(AU15=0,0,$BS15*($AT15*$X15*1000)/1000000*Basicinfo!AZ15/(Basicinfo!$AZ15+Basicinfo!$BA15))</f>
        <v>12.831998911850334</v>
      </c>
      <c r="EK15" s="198">
        <f>IF(AU15=0,0,$BS15*($AT15*$X15*1000)/1000000*Basicinfo!BA15/(Basicinfo!$AZ15+Basicinfo!$BA15))</f>
        <v>7.273401884800224</v>
      </c>
      <c r="EL15" s="147">
        <f>Parameters!$C$150/Basicinfo!$AV15*100</f>
        <v>0.10162254165071966</v>
      </c>
      <c r="EM15" s="147">
        <f>Parameters!$C$151/Basicinfo!$AV15*100</f>
        <v>0.20324508330143931</v>
      </c>
      <c r="EN15" s="147">
        <f>(Parameters!$C$150+Parameters!$C$151)/Intermediate!$BB15*100</f>
        <v>0.86899111294148812</v>
      </c>
      <c r="EO15" s="193">
        <f>IF(EN15=0,0,(1/(1+Parameters!$C$116*$BB15^Parameters!$C$120)*Basicinfo!$AH15/Basicinfo!$G15+1/(1+Parameters!$C$117*$BB15^Parameters!$C$121)*Basicinfo!$AI15/Basicinfo!$G15)*(EN15)^Parameters!$C$124+(1/(1+Parameters!$C$118*$BB15^Parameters!$C$122)*Basicinfo!$AJ15/Basicinfo!AW15+1/(1+Parameters!$C$119*$BB15^Parameters!$C$123)*Basicinfo!$AK15/Basicinfo!$G15)*(EN15)^Parameters!$C$125)</f>
        <v>0.54413839828536259</v>
      </c>
      <c r="EP15" s="199">
        <f>EL15*($AT15*Basicinfo!$P15*1000+$AW15*3600*24*365)/1000000</f>
        <v>0.479363108187224</v>
      </c>
      <c r="EQ15" s="199">
        <f>EM15*($AT15*Basicinfo!$P15*1000+$AW15*3600*24*365)/1000000</f>
        <v>0.95872621637444799</v>
      </c>
      <c r="ER15" s="199">
        <f t="shared" si="12"/>
        <v>1.1729174301966852</v>
      </c>
      <c r="ES15" s="199">
        <f t="shared" si="13"/>
        <v>2.3458348603933703</v>
      </c>
      <c r="ET15" s="181">
        <f t="shared" si="14"/>
        <v>38.454512825830101</v>
      </c>
      <c r="EU15" s="147">
        <f>Intermediate!F15*(Parameters!$C$150)/1000*100</f>
        <v>0.13085863891966909</v>
      </c>
      <c r="EV15" s="147">
        <f>Intermediate!F15*(Parameters!$C$151)/1000*100</f>
        <v>0.26171727783933818</v>
      </c>
      <c r="EW15" s="181">
        <f>'Local emissions'!$S15*Basicinfo!AZ15/(Basicinfo!$AZ15+Basicinfo!$BA15)-Intermediate!EU15</f>
        <v>1.2944211248309414</v>
      </c>
      <c r="EX15" s="147">
        <f>'Local emissions'!$S15*Basicinfo!BA15/(Basicinfo!$AZ15+Basicinfo!$BA15)-Intermediate!EV15</f>
        <v>0.54615627259073052</v>
      </c>
      <c r="EY15" s="188">
        <f t="shared" si="15"/>
        <v>4.7649846389582562</v>
      </c>
      <c r="EZ15" s="188">
        <f t="shared" si="16"/>
        <v>2.0138620023955509</v>
      </c>
      <c r="FA15" s="188">
        <f t="shared" si="17"/>
        <v>11.659081481653649</v>
      </c>
      <c r="FB15" s="181">
        <f t="shared" si="18"/>
        <v>4.9275670244068532</v>
      </c>
      <c r="FC15" s="181">
        <f>'Local emissions'!Y15-Intermediate!ET15</f>
        <v>186.22540922492337</v>
      </c>
      <c r="FD15" s="188">
        <f t="shared" si="19"/>
        <v>15.397541054255166</v>
      </c>
      <c r="FE15" s="188">
        <f t="shared" si="20"/>
        <v>8.1706419049740315</v>
      </c>
      <c r="FF15" s="181">
        <f t="shared" si="21"/>
        <v>18.40265637590521</v>
      </c>
      <c r="FG15" s="201">
        <f t="shared" si="22"/>
        <v>9.9960636754888554</v>
      </c>
      <c r="FH15" s="181">
        <f t="shared" si="23"/>
        <v>134.2585062143001</v>
      </c>
      <c r="FJ15" s="147">
        <f>AVERAGE(Parameters!$C$132:$C$134)*'Local emissions'!J15*3600*24*365/1000000</f>
        <v>3.5335231759975334E-2</v>
      </c>
      <c r="FK15" s="147">
        <f>'Local emissions'!AJ15+CT15*BJ15/100*Intermediate!X15*100/1000000</f>
        <v>1.3136663376353162</v>
      </c>
      <c r="FL15" s="31">
        <f>(Parameters!$C$18*(Basicinfo!AH15+Basicinfo!AI15)+Parameters!$C$19*Basicinfo!AJ15+Parameters!$C$20*Basicinfo!AK15)/Basicinfo!G15</f>
        <v>3.1946061012131002E-2</v>
      </c>
      <c r="FM15" s="181">
        <f t="shared" si="24"/>
        <v>0.53777060919263997</v>
      </c>
    </row>
    <row r="16" spans="1:169">
      <c r="A16" s="39" t="str">
        <f>Basicinfo!A16</f>
        <v>Pram</v>
      </c>
      <c r="B16" s="63">
        <f>Basicinfo!B16</f>
        <v>710</v>
      </c>
      <c r="C16" s="63">
        <f>Basicinfo!C16</f>
        <v>1050</v>
      </c>
      <c r="D16" s="61">
        <f>Basicinfo!U16*Basicinfo!V16/1000+Basicinfo!Y16</f>
        <v>0.60896674665242068</v>
      </c>
      <c r="E16" s="19">
        <f>Basicinfo!W16*Basicinfo!X16/1000+Basicinfo!Z16</f>
        <v>0.12260057702314656</v>
      </c>
      <c r="F16" s="19">
        <f t="shared" si="0"/>
        <v>0.7315673236755672</v>
      </c>
      <c r="G16" s="19">
        <f>SUM(Basicinfo!H16:L16)</f>
        <v>35.443837236636057</v>
      </c>
      <c r="H16" s="19">
        <f>IF(Basicinfo!N16&lt;Parameters!$C$68,Parameters!$C$69,Basicinfo!BS16/(Basicinfo!N16*100))</f>
        <v>20.643596911346172</v>
      </c>
      <c r="I16" s="19">
        <f>IF(Basicinfo!N16=0,0,Basicinfo!BU16*(1-Basicinfo!BX16/100))</f>
        <v>5178.6538975841249</v>
      </c>
      <c r="J16" s="19">
        <f>IF(Basicinfo!N16=0,0,Basicinfo!BU16*Basicinfo!BX16/100)</f>
        <v>3041.4316541367084</v>
      </c>
      <c r="K16" s="19">
        <f>IF(Basicinfo!N16=0,0,Basicinfo!BT16-Basicinfo!BU16)</f>
        <v>0</v>
      </c>
      <c r="L16" s="27">
        <f>Basicinfo!BV16*Basicinfo!BW16/100</f>
        <v>1215.1599999999999</v>
      </c>
      <c r="M16" s="27">
        <f>Basicinfo!BV16-Intermediate!L16</f>
        <v>1215.1599999999999</v>
      </c>
      <c r="N16" s="73">
        <f>Basicinfo!BS16-SUM(I16:K16)-Basicinfo!BV16</f>
        <v>0</v>
      </c>
      <c r="O16" s="19">
        <f>IF(Basicinfo!AH16+Basicinfo!AI16+Basicinfo!AJ16+Basicinfo!AK16=0,0,N16*(Basicinfo!AH16+Basicinfo!AI16)/SUM(Basicinfo!AH16:AK16))</f>
        <v>0</v>
      </c>
      <c r="P16" s="73">
        <f t="shared" si="25"/>
        <v>0</v>
      </c>
      <c r="Q16" s="19">
        <f>IF(Basicinfo!BS16=0,Basicinfo!N16,IF(H16&gt;Parameters!$C$70,Parameters!$C$64*(Parameters!$C$65*Parameters!$C$70)^(Parameters!$C$66-Parameters!$C$67*LOG(Parameters!$C$65*Parameters!$C$70,10))/100*Basicinfo!N16,Parameters!$C$64*(Parameters!$C$65*H16)^(Parameters!$C$66-Parameters!$C$67*LOG(Parameters!$C$65*H16,10))/100*Basicinfo!N16))</f>
        <v>1.5483849360742938</v>
      </c>
      <c r="R16" s="19">
        <f>IF(Basicinfo!BS16=0,Q16*(1-Basicinfo!BX16/100),IF(H16&lt;Parameters!$C$75,Q16*Basicinfo!BU16/Basicinfo!BS16*(1-Basicinfo!BX16/100)*(-Parameters!$C$74+Parameters!$C$73*LN(H16*100)),Q16*Basicinfo!BU16/Basicinfo!BS16*(1-Basicinfo!BX16/100)))</f>
        <v>0.44124581046389627</v>
      </c>
      <c r="S16" s="19">
        <f>IF(Basicinfo!BS16=0,Q16*Basicinfo!BX16/100,Q16*Basicinfo!BU16/Basicinfo!BS16*Basicinfo!BX16/100)</f>
        <v>0.44217160881764705</v>
      </c>
      <c r="T16" s="19">
        <f>IF(Basicinfo!BS16=0,0,IF(H16&lt;Parameters!$C$75,Q16*K16/Basicinfo!BS16*(-Parameters!$C$74+Parameters!$C$73*LN(H16*100)),Q16*K16/Basicinfo!BS16))</f>
        <v>0</v>
      </c>
      <c r="U16" s="19">
        <f t="shared" si="26"/>
        <v>0.66496751679275046</v>
      </c>
      <c r="V16" s="19">
        <f>IF(Basicinfo!AL16&gt;Parameters!$C$14,Basicinfo!Q16,0)</f>
        <v>0</v>
      </c>
      <c r="W16" s="19">
        <f>IF(Basicinfo!AL16&gt;Parameters!$C$14,0,Basicinfo!Q16)</f>
        <v>0</v>
      </c>
      <c r="X16" s="19">
        <f>G16+Basicinfo!M16</f>
        <v>49.004861234463867</v>
      </c>
      <c r="Y16" s="19">
        <f>IF(Basicinfo!G16-F16-Q16-V16-Basicinfo!O16-Basicinfo!R16-Basicinfo!S16&lt;0,0,Basicinfo!G16-F16-Q16-V16-Basicinfo!O16-Basicinfo!R16-Basicinfo!S16)</f>
        <v>75.288547230150144</v>
      </c>
      <c r="Z16" s="19">
        <f>Basicinfo!G16-F16-Basicinfo!BO16-Q16-Basicinfo!O16</f>
        <v>70.228211185528423</v>
      </c>
      <c r="AA16" s="53">
        <f>IF(Z16+Basicinfo!BO16-X16&gt;0,Z16+Basicinfo!BO16-X16,0)</f>
        <v>26.283685995686277</v>
      </c>
      <c r="AB16" s="56">
        <f>IF(Basicinfo!N16=0,0,Parameters!$C$71+Parameters!$C$72*Q16/Basicinfo!N16)</f>
        <v>0.37509167135954957</v>
      </c>
      <c r="AC16" s="43">
        <f>Basicinfo!AU16*AB16*R16/1000/86.4/0.365</f>
        <v>4.9873728695626653E-3</v>
      </c>
      <c r="AD16" s="43">
        <f>Basicinfo!AU16*AB16*S16/1000/86.4/0.365</f>
        <v>4.9978371085031507E-3</v>
      </c>
      <c r="AE16" s="43">
        <f>Basicinfo!AU16*AB16*T16/1000/86.4/0.365</f>
        <v>0</v>
      </c>
      <c r="AF16" s="43">
        <f>Basicinfo!AU16*AB16*U16/1000/86.4/0.365</f>
        <v>7.5160848528078609E-3</v>
      </c>
      <c r="AG16" s="43">
        <f>((Parameters!$C$80+Parameters!$C$81*Parameters!$C$89)/(Parameters!$C$82+Parameters!$C$89)/(Parameters!$C$90/100*Parameters!$C$91+(Parameters!$C$83+Parameters!$C$84*Parameters!$C$89)/(Parameters!$C$85+Parameters!$C$89)))-Parameters!$C$86+(Basicinfo!AU16-Parameters!$C$88)/Parameters!$C$87</f>
        <v>75.146149669051511</v>
      </c>
      <c r="AH16" s="43">
        <f>((Parameters!$C$80+Parameters!$C$81*Parameters!$C$89)/(Parameters!$C$82+Parameters!$C$89)/(Basicinfo!BY16/100*Parameters!$C$91+(Parameters!$C$83+Parameters!$C$84*Parameters!$C$89)/(Parameters!$C$85+Parameters!$C$89)))-Parameters!$C$86+(Basicinfo!AU16-Parameters!$C$88)/Parameters!$C$87</f>
        <v>57.343267802435932</v>
      </c>
      <c r="AI16" s="43">
        <f>Basicinfo!AU16^Parameters!$C$79*Parameters!$C$78*AH16/AG16</f>
        <v>25.492241544624324</v>
      </c>
      <c r="AJ16" s="43">
        <f>(J16*Parameters!$C$92/1000+Parameters!$C$94/100*S16*100*Parameters!$C$93/1000*86400*Parameters!$C$95/24)/86400</f>
        <v>4.590967236934803E-3</v>
      </c>
      <c r="AK16" s="43">
        <f t="shared" si="1"/>
        <v>3.0497892715995439E-3</v>
      </c>
      <c r="AL16" s="43">
        <f>(K16*Parameters!$C$92/1000+Parameters!$C$94/100*T16*100*Parameters!$C$93/1000*86400*Parameters!$C$95/24)/86400</f>
        <v>0</v>
      </c>
      <c r="AM16" s="43">
        <f>(Intermediate!N16+Basicinfo!BV16-Intermediate!L16)*Parameters!$C$92/1000/86400</f>
        <v>1.8283657407407406E-3</v>
      </c>
      <c r="AN16" s="43">
        <f t="shared" si="2"/>
        <v>7.8532959870211468E-3</v>
      </c>
      <c r="AO16" s="43">
        <f t="shared" si="27"/>
        <v>3.0497892715995439E-3</v>
      </c>
      <c r="AP16" s="43">
        <f t="shared" si="28"/>
        <v>9.3444505935486016E-3</v>
      </c>
      <c r="AQ16" s="43">
        <f t="shared" si="3"/>
        <v>1.7381612734710811E-2</v>
      </c>
      <c r="AR16" s="61">
        <f>(Basicinfo!AU16-Basicinfo!AY16)*F16/1000/86.4/0.365</f>
        <v>5.2374290228645818E-3</v>
      </c>
      <c r="AS16" s="19">
        <f>IF(Basicinfo!AP16-Basicinfo!CB16-Basicinfo!CG16&lt;0,0,(Basicinfo!AP16-Basicinfo!CB16-Basicinfo!CG16)/Basicinfo!G16*1000)</f>
        <v>14.003537172144208</v>
      </c>
      <c r="AT16" s="19">
        <f>Parameters!$C$3*((AS16*86.4*0.365)^Parameters!$C$4)</f>
        <v>84.216923145899969</v>
      </c>
      <c r="AU16" s="19">
        <f>IF(AT16/86.4/0.365*(Basicinfo!G16/1000)-AN16&lt;0,0,AT16/86.4/0.365*(Basicinfo!G16/1000)-AN16)</f>
        <v>0.19929346834845862</v>
      </c>
      <c r="AV16" s="19">
        <f>IF(Basicinfo!AU16&gt;Parameters!$C$13,Parameters!$C$11*(Basicinfo!AU16-Parameters!$C$13)^Parameters!$C$12,0)</f>
        <v>80.953241322001887</v>
      </c>
      <c r="AW16" s="19">
        <f>IF(AV16*V16/1000/86.4/0.365&gt;Basicinfo!AP16*Parameters!$C$15,Basicinfo!AP16*Parameters!$C$15,AV16*V16/1000/86.4/0.365)</f>
        <v>0</v>
      </c>
      <c r="AX16" s="19">
        <f>Basicinfo!AU16-Basicinfo!AW16</f>
        <v>349.76227001357142</v>
      </c>
      <c r="AY16" s="19">
        <f>Parameters!$C$56*AX16+Parameters!$C$57*Basicinfo!AW16</f>
        <v>234.93484240424286</v>
      </c>
      <c r="AZ16" s="19">
        <f>AY16*Basicinfo!BO16/1000/86.4/0.365</f>
        <v>3.769816245420194E-2</v>
      </c>
      <c r="BA16" s="19">
        <f>IF(Basicinfo!AP16-AQ16-AR16-AU16-AW16-AZ16-Basicinfo!CB16-Basicinfo!CG16&lt;0,0,Basicinfo!AP16-AQ16-AR16-AU16-AW16-AZ16-Basicinfo!CB16-Basicinfo!CG16)</f>
        <v>0.82662269343402772</v>
      </c>
      <c r="BB16" s="53">
        <f t="shared" si="4"/>
        <v>371.19517669712877</v>
      </c>
      <c r="BC16" s="56">
        <f>IF(G16=0,0,((Basicinfo!H16*Basicinfo!BE16+Basicinfo!I16*Basicinfo!BF16+Basicinfo!J16*Basicinfo!BG16+Basicinfo!K16*Basicinfo!BH16+Basicinfo!L16*Basicinfo!BI16)*(1-Basicinfo!BN16/G16*Parameters!$C$26/100)/G16)*Basicinfo!BM16)</f>
        <v>14.589647923288711</v>
      </c>
      <c r="BD16" s="43">
        <f>IF(Basicinfo!AW16*Parameters!$C$39-Parameters!$C$40&lt;0,0.001,(Basicinfo!AW16*Parameters!$C$39-Parameters!$C$40)/(Basicinfo!AX16*Parameters!$C$39-Parameters!$C$40))</f>
        <v>1.1197437146341109</v>
      </c>
      <c r="BE16" s="43">
        <f>(BC16*G16*100+Basicinfo!BJ16*Basicinfo!M16*100)*Parameters!$C$29*BD16</f>
        <v>58472.731643185405</v>
      </c>
      <c r="BF16" s="43">
        <f>(Basicinfo!BK16*Basicinfo!P16*100)*BD16*Parameters!$C$29</f>
        <v>1098.3433548255368</v>
      </c>
      <c r="BG16" s="43">
        <f>Parameters!$C$27*(V16+W16)*100</f>
        <v>0</v>
      </c>
      <c r="BH16" s="43">
        <f>Parameters!$C$28*Basicinfo!R16*100</f>
        <v>0</v>
      </c>
      <c r="BI16" s="43">
        <f t="shared" si="29"/>
        <v>1098.3433548255368</v>
      </c>
      <c r="BJ16" s="43">
        <f>IF(Basicinfo!AM16&lt;Parameters!$C$33,0,Parameters!$C$30*(((Basicinfo!AM16-Parameters!$C$33)^Parameters!$C$31)*(((G16-Basicinfo!BN16)/Basicinfo!G16*100+Parameters!$C$34))^Parameters!$C$32))</f>
        <v>4.3751204773528389</v>
      </c>
      <c r="BK16" s="58">
        <f t="shared" si="30"/>
        <v>3656.5958106141143</v>
      </c>
      <c r="BL16" s="61">
        <f>Basicinfo!AZ16+Basicinfo!BA16</f>
        <v>1893.822762113487</v>
      </c>
      <c r="BM16" s="19">
        <f>Basicinfo!BB16+Basicinfo!BC16</f>
        <v>2337.3054648453258</v>
      </c>
      <c r="BN16" s="172">
        <f>IF(Basicinfo!AO16=0,0,IF(Basicinfo!AO16="NA",1,IF(OR(Basicinfo!AO16="SA",Basicinfo!AN16="S"),3,IF(Basicinfo!AN16="N",1,IF(Basicinfo!AO16="ZA",2,0)))))</f>
        <v>0</v>
      </c>
      <c r="BO16" s="27">
        <f>IF($BN16=1,(BL16)*(1+Parameters!$C$21*Parameters!$C$22-Parameters!$C$22*Basicinfo!$AL16),IF($BN16=2,(BL16)*(1+Parameters!$C$21*Parameters!$C$23-Parameters!$C$23*Basicinfo!$AL16),IF($BN16=3,(BL16)*(1+Parameters!$C$21*Parameters!$C$24-Parameters!$C$24*Basicinfo!$AL16),BL16)))</f>
        <v>1893.822762113487</v>
      </c>
      <c r="BP16" s="27">
        <f>IF($BN16=1,(BM16)*(1+Parameters!$C$21*Parameters!$C$22-Parameters!$C$22*Basicinfo!$AL16),IF($BN16=2,(BM16)*(1+Parameters!$C$21*Parameters!$C$23-Parameters!$C$23*Basicinfo!$AL16),IF($BN16=3,(BM16)*(1+Parameters!$C$21*Parameters!$C$24-Parameters!$C$24*Basicinfo!$AL16),BM16)))</f>
        <v>2337.3054648453258</v>
      </c>
      <c r="BQ16" s="27">
        <f>IF(Basicinfo!AU16=0,0,IF(G16+Basicinfo!M16=0,0,(Parameters!$C$16+BO16/Basicinfo!AU16)*G16+(Parameters!$C$17+BO16/Basicinfo!AU16)*Basicinfo!M16)/(G16+Basicinfo!M16))</f>
        <v>2.2098512518400408</v>
      </c>
      <c r="BR16" s="27">
        <f>IF(Basicinfo!AU16=0,0,IF(G16+Basicinfo!M16=0,0,(Parameters!$C$16+BP16/Basicinfo!AU16)*G16+(Parameters!$C$17+BP16/Basicinfo!AU16)*Basicinfo!M16)/(G16+Basicinfo!M16))</f>
        <v>2.6765281000746874</v>
      </c>
      <c r="BS16" s="27">
        <f>IF(Basicinfo!AU16=0,0,BO16/Basicinfo!AU16)</f>
        <v>1.9928696932122862</v>
      </c>
      <c r="BT16" s="27">
        <f>IF(Basicinfo!AU16=0,0,BP16/Basicinfo!AU16)</f>
        <v>2.4595465414469326</v>
      </c>
      <c r="BU16" s="27">
        <f>IF(SUM(G16,Basicinfo!M16,Basicinfo!P16,W16)=0,0,(BQ16*(G16+Basicinfo!M16)+BS16*(Basicinfo!P16+W16))/SUM(G16,Basicinfo!M16,Basicinfo!P16,W16))</f>
        <v>2.1412163003028488</v>
      </c>
      <c r="BV16" s="19">
        <f>IF(Basicinfo!BR16/Parameters!$C$10&gt;1,1,Basicinfo!BR16/Parameters!$C$10)</f>
        <v>0.43605024396456998</v>
      </c>
      <c r="BW16" s="19">
        <f>Parameters!$C$5+Parameters!$C$6*EXP(BV16*Parameters!$C$8*Parameters!$C$7)</f>
        <v>3.5270868667537897E-2</v>
      </c>
      <c r="BX16" s="19">
        <f>Parameters!$C$5+Parameters!$C$6*EXP(BV16*Parameters!$C$9*Parameters!$C$7)</f>
        <v>3.5137793502202017E-2</v>
      </c>
      <c r="BY16" s="19">
        <f>IF(Basicinfo!AH16+Basicinfo!AI16+Basicinfo!AJ16+Basicinfo!AK16=0,0,(Parameters!$C$18*(Basicinfo!AH16+Basicinfo!AI16)+Parameters!$C$19*Basicinfo!AJ16+Parameters!$C$20*Basicinfo!AK16)/(Basicinfo!AH16+Basicinfo!AI16+Basicinfo!AJ16+Basicinfo!AK16))</f>
        <v>3.1891807554645692E-2</v>
      </c>
      <c r="BZ16" s="19">
        <f>IF(Basicinfo!AJ16+Basicinfo!AK16=0,Parameters!$C$18,(Parameters!$C$19*Basicinfo!AJ16+Parameters!$C$20*Basicinfo!AK16)/(Basicinfo!AJ16+Basicinfo!AK16))</f>
        <v>2.5000000000000001E-2</v>
      </c>
      <c r="CA16" s="19">
        <f>IF(SUM(G16,Basicinfo!M16,Basicinfo!P16,W16)=0,0,(BW16*G16+BX16*Basicinfo!M16+BY16*Basicinfo!P16+BZ16*W16)/(SUM(G16,Basicinfo!M16,Basicinfo!P16,W16)))</f>
        <v>3.4176837191429596E-2</v>
      </c>
      <c r="CB16" s="19">
        <f>IF(Y16=0,Basicinfo!BP16,Basicinfo!BP16-(AU16*X16/Y16*Intermediate!BQ16*86400*365/1000000)*1000/(X16*100))</f>
        <v>52.052169309504997</v>
      </c>
      <c r="CC16" s="19">
        <f>IF(Y16=0,Basicinfo!BQ16,Basicinfo!BQ16-(AU16*Basicinfo!AV16/Basicinfo!AU16*X16/Y16*Intermediate!BR16*86400*365/1000000)*1000/(X16*100))</f>
        <v>53.108111892108752</v>
      </c>
      <c r="CD16" s="19">
        <f>IF(OR(Y16=0,AA16=0),BP16/100,BP16/100-(AU16*Basicinfo!AV16/Basicinfo!AU16*(Basicinfo!P16+W16)/Y16*Intermediate!BT16*86400*365/1000000+AW16*Basicinfo!AV16/Basicinfo!AU16*Intermediate!BT16*86400*365/1000000)*1000/(AA16*100))</f>
        <v>21.66636541501866</v>
      </c>
      <c r="CE16" s="19">
        <f t="shared" si="5"/>
        <v>233381.07608277281</v>
      </c>
      <c r="CF16" s="19">
        <f t="shared" si="6"/>
        <v>56947.194523614744</v>
      </c>
      <c r="CG16" s="19">
        <f>IF(AY16=0,0,((CB16^Parameters!$C$58))/AY16*100)</f>
        <v>12.246883268060158</v>
      </c>
      <c r="CH16" s="19">
        <f>IF(SUM(Basicinfo!AB16:AG16)=0,0,(Parameters!$C$59*Basicinfo!AB16+Parameters!$C$60*SUM(Basicinfo!AC16:AE16)+Parameters!$C$61*Basicinfo!AF16+Parameters!$C$62*Basicinfo!AG16)/SUM(Basicinfo!AB16:AG16))</f>
        <v>8.0904946910366593E-2</v>
      </c>
      <c r="CI16" s="19">
        <f t="shared" si="7"/>
        <v>8</v>
      </c>
      <c r="CJ16" s="19">
        <f t="shared" si="8"/>
        <v>41.340689974204274</v>
      </c>
      <c r="CK16" s="19">
        <f t="shared" si="9"/>
        <v>11.137184039418592</v>
      </c>
      <c r="CL16" s="19">
        <f>IF($BB16=0,0,$CJ16^Parameters!$C$58*100/$BB16)</f>
        <v>6.3726305063040005</v>
      </c>
      <c r="CM16" s="19">
        <f>IF(CK16=0,0,(1/(1+Parameters!$C$116*BB16^Parameters!$C$120)*Basicinfo!AH16/Basicinfo!G16+1/(1+Parameters!$C$117*BB16^Parameters!$C$121)*Basicinfo!AI16/Basicinfo!G16)*(CK16)^Parameters!$C$124+(1/(1+Parameters!$C$118*BB16^Parameters!$C$122)*Basicinfo!AJ16/Basicinfo!G16+1/(1+Parameters!$C$119*BB16^Parameters!$C$123)*Basicinfo!AK16/Basicinfo!G16)*(CK16)^Parameters!$C$125)</f>
        <v>2.9816123700569896</v>
      </c>
      <c r="CN16" s="19">
        <f>IF(SUM(Basicinfo!AB16:AG16)=0,0,(Parameters!$C$128*Basicinfo!AB16+Parameters!$C$129*(SUM(Basicinfo!AC16:AE16))+Parameters!$C$130*Basicinfo!AF16+Parameters!$C$131*Basicinfo!AG16)/SUM(Basicinfo!AB16:AG16))</f>
        <v>1.2986420987195227E-2</v>
      </c>
      <c r="CO16" s="19">
        <f>IF(Basicinfo!AH16+Basicinfo!AI16+Basicinfo!AJ16+Basicinfo!AK16=0,0,(Parameters!$C$132*(Basicinfo!AH16+Basicinfo!AI16)+Parameters!$C$133*Basicinfo!AJ16+Parameters!$C$134*Basicinfo!AK16)/(Basicinfo!AH16+Basicinfo!AI16+Basicinfo!AJ16+Basicinfo!AK16))</f>
        <v>5.0000000000000001E-4</v>
      </c>
      <c r="CP16" s="19">
        <f>IF(Basicinfo!AJ16+Basicinfo!AK16=0,0,(Parameters!$C$133*Basicinfo!AJ16+Parameters!$C$134*Basicinfo!AK16)/(Basicinfo!AJ16+Basicinfo!AK16))</f>
        <v>5.0000000000000001E-4</v>
      </c>
      <c r="CQ16" s="19">
        <f>IF(Z16=0,0,(CN16*(Z16-AA16)+CO16*Basicinfo!P16+CP16*(Basicinfo!Q16+Basicinfo!R16))/Z16)</f>
        <v>8.2875320227648302E-3</v>
      </c>
      <c r="CR16" s="289">
        <f>Basicinfo!EI16</f>
        <v>9.3163157894736823E-2</v>
      </c>
      <c r="CS16" s="19">
        <f>IF(SUM(Basicinfo!AB16:AG16)=0,0,(Basicinfo!AB16*Parameters!$C$43+(Basicinfo!AC16+Basicinfo!AD16)*Parameters!$C$44+Basicinfo!AE16*Parameters!$C$45+(Basicinfo!AF16+Basicinfo!AG16)*Parameters!$C$46)/SUM(Basicinfo!AB16:AG16))</f>
        <v>22.821635163704091</v>
      </c>
      <c r="CT16" s="19">
        <f>(Parameters!$C$41*CS16+Parameters!$C$42)</f>
        <v>507.78067866978171</v>
      </c>
      <c r="CU16" s="19">
        <f>CT16+Basicinfo!BR16/(Parameters!$C$47*Parameters!$C$49*Parameters!$C$48*10000/1000000)</f>
        <v>661.35812308497611</v>
      </c>
      <c r="CV16" s="19">
        <f>IF(BK16/Basicinfo!G16&lt;Parameters!$C$35,Parameters!$C$35,Parameters!$C$37*(BK16/Basicinfo!G16)^Parameters!$C$38)</f>
        <v>1.2523064181117383</v>
      </c>
      <c r="CW16" s="19">
        <f>IF(BK16/Basicinfo!G16&lt;Parameters!$C$35,Parameters!$C$36,Parameters!$C$36*(BK16/Basicinfo!G16)^Parameters!$C$38)</f>
        <v>2.9429200825625852</v>
      </c>
      <c r="CX16" s="27">
        <f>IF(Basicinfo!AJ16+Basicinfo!AK16=0,0,(Parameters!$C$53*Basicinfo!AJ16+Parameters!$C$54*Basicinfo!AK16)/(Basicinfo!AJ16+Basicinfo!AK16))</f>
        <v>750</v>
      </c>
      <c r="CY16" s="56">
        <f>IF(Basicinfo!AU16*AB16=0,0,((Basicinfo!AZ16+Basicinfo!BA16)/Basicinfo!AU16+Parameters!$C$76/(Basicinfo!AU16*AB16)*100))</f>
        <v>3.1150487024384148</v>
      </c>
      <c r="CZ16" s="43">
        <f>IF(Basicinfo!AU16*AB16=0,0,(Parameters!$C$77)/(Basicinfo!AU16*AB16)*100)</f>
        <v>0.70136188076633055</v>
      </c>
      <c r="DA16" s="43">
        <f>IF(AD16+AJ16=0,0,((J16*Parameters!$C$96+Parameters!$C$94/100*S16*100*Parameters!$C$93/1000*86400*Parameters!$C$95/24*Parameters!$C$98)*AI16+AD16*CY16*86400*365)/((AD16+AJ16*AI16/365)*86400*365))</f>
        <v>8.474828987726962</v>
      </c>
      <c r="DB16" s="43">
        <f>IF(AD16+AJ16=0,0,((J16*Parameters!$C$97+Parameters!$C$94/100*S16*100*Parameters!$C$93/1000*86400*Parameters!$C$95/24*Parameters!$C$99)*AI16+AD16*CZ16*86400*365)/((AD16+AJ16*AI16/365)*86400*365))</f>
        <v>1.5615512747884481</v>
      </c>
      <c r="DC16" s="42">
        <f>IF(AE16+AL16=0,0,((K16*Parameters!$C$96+Parameters!$C$94/100*T16*100*Parameters!$C$93/1000*86400*Parameters!$C$95/24*Parameters!$C$98)*365+AE16*CY16*86400*365)/((AE16+AL16)*86400*365))</f>
        <v>0</v>
      </c>
      <c r="DD16" s="42">
        <f>IF(AE16+AL16=0,0,((K16*Parameters!$C$97+Parameters!$C$94/100*T16*100*Parameters!$C$93/1000*86400*Parameters!$C$95/24*Parameters!$C$99)*365+AE16*CZ16*86400*365)/((AE16+AL16)*86400*365))</f>
        <v>0</v>
      </c>
      <c r="DE16" s="42">
        <f>IF(Basicinfo!AH16+Basicinfo!AI16+Basicinfo!AJ16+Basicinfo!AK16=0,0,((Basicinfo!AH16+Basicinfo!AI16)*Parameters!$C$107+(Basicinfo!AJ16+Basicinfo!AK16)*Parameters!$C$106)/(Basicinfo!AH16+Basicinfo!AI16+Basicinfo!AJ16+Basicinfo!AK16))</f>
        <v>77.567230218582779</v>
      </c>
      <c r="DF16" s="42">
        <f>IF(Basicinfo!AH16+Basicinfo!AI16+Basicinfo!AJ16+Basicinfo!AK16=0,0,((Basicinfo!AH16+Basicinfo!AI16)*Parameters!$C$109+(Basicinfo!AJ16+Basicinfo!AK16)*Parameters!$C$108)/(Basicinfo!AH16+Basicinfo!AI16+Basicinfo!AJ16+Basicinfo!AK16))</f>
        <v>77.567230218582779</v>
      </c>
      <c r="DG16" s="42">
        <f>Intermediate!AC16*Intermediate!CY16*(1-Parameters!$C$102/100*Basicinfo!BZ16/100)*(1-Parameters!$C$104/100*Basicinfo!CA16/100)*86400*365/1000000</f>
        <v>0.48994043839398632</v>
      </c>
      <c r="DH16" s="42">
        <f>Intermediate!AC16*Intermediate!CZ16*(1-Parameters!$C$103/100*Basicinfo!BZ16/100)*(1-Parameters!$C$105/100*Basicinfo!CA16/100)*86400*365/1000000</f>
        <v>0.11031145261597408</v>
      </c>
      <c r="DI16" s="42">
        <f>(Intermediate!AK16*Intermediate!DA16+(Intermediate!AE16+Intermediate!AL16)*Intermediate!DC16)*86400*365/1000000</f>
        <v>0.81509341148134584</v>
      </c>
      <c r="DJ16" s="42">
        <f>(Intermediate!AK16*Intermediate!DB16+(Intermediate!AE16+Intermediate!AL16)*Intermediate!DD16)*86400*365/1000000</f>
        <v>0.15018711971812213</v>
      </c>
      <c r="DK16" s="42">
        <f>((Basicinfo!AZ16+Basicinfo!BA16)*Intermediate!AB16+Parameters!$C$76*100)/1000*Intermediate!U16*(1-Intermediate!DE16/100)+(1-Parameters!$C$110/100)*M16*Parameters!$C$100*(1-DE16/100)*365/1000000+(1-Parameters!$C$112/100)*P16*Parameters!$C$96*365/1000000+(1-Parameters!$C$112/100)*O16*Parameters!$C$96*(1-DE16/100)*365/1000000</f>
        <v>0.97155697211972547</v>
      </c>
      <c r="DL16" s="42">
        <f>Parameters!$C$77*100/1000*Intermediate!U16*(1-Intermediate!DF16/100)+(1-Parameters!$C$111/100)*M16*Parameters!$C$101*(1-DF16/100)*365/1000000+(1-Parameters!$C$113/100)*P16*Parameters!$C$97*365/1000000+(1-Parameters!$C$113/100)*O16*Parameters!$C$97*(1-DF16/100)*365/1000000</f>
        <v>0.14493470184393553</v>
      </c>
      <c r="DM16" s="31"/>
      <c r="DN16" s="31"/>
      <c r="DO16" s="31"/>
      <c r="DP16" s="31"/>
      <c r="DQ16" s="31"/>
      <c r="DR16" s="31"/>
      <c r="DS16" s="31"/>
      <c r="DT16" s="188">
        <f>BO16*(Basicinfo!$P16+Basicinfo!$Q16)/1000</f>
        <v>42.938434800761208</v>
      </c>
      <c r="DU16" s="188">
        <f>DT16*Basicinfo!$AZ16/(Basicinfo!$AZ16+Basicinfo!$BA16)</f>
        <v>28.601999935313017</v>
      </c>
      <c r="DV16" s="188">
        <f>DT16*Basicinfo!$BC16/(Basicinfo!$BB16+Basicinfo!$BC16)</f>
        <v>13.913337161280269</v>
      </c>
      <c r="DW16" s="188">
        <f>BP16*(Basicinfo!$P16+Basicinfo!$Q16)/1000</f>
        <v>52.993469251432423</v>
      </c>
      <c r="DX16" s="188">
        <f>DW16*Basicinfo!$BB16/(Basicinfo!$BB16+Basicinfo!$BC16)</f>
        <v>35.822000182698531</v>
      </c>
      <c r="DY16" s="188">
        <f>DW16*Basicinfo!$BC16/(Basicinfo!$BB16+Basicinfo!$BC16)</f>
        <v>17.171469068733892</v>
      </c>
      <c r="DZ16" s="188">
        <f t="shared" si="10"/>
        <v>92.806521660040517</v>
      </c>
      <c r="EA16" s="188">
        <f>DZ16*Basicinfo!$AZ16/(Basicinfo!$AZ16+Basicinfo!$BA16)</f>
        <v>61.819955450962247</v>
      </c>
      <c r="EB16" s="188">
        <f>DZ16*Basicinfo!$BC16/(Basicinfo!$BB16+Basicinfo!$BC16)</f>
        <v>30.072088854969461</v>
      </c>
      <c r="EC16" s="188">
        <f t="shared" si="11"/>
        <v>114.53932996729925</v>
      </c>
      <c r="ED16" s="188">
        <f>EC16*Basicinfo!$AZ16/(Basicinfo!$AZ16+Basicinfo!$BA16)</f>
        <v>76.296537671126572</v>
      </c>
      <c r="EE16" s="188">
        <f>EC16*Basicinfo!$BC16/(Basicinfo!$BB16+Basicinfo!$BC16)</f>
        <v>37.114168773425241</v>
      </c>
      <c r="EF16" s="190">
        <f>(Basicinfo!BP16-BL16/100)*Intermediate!X16/10</f>
        <v>171.31450603485501</v>
      </c>
      <c r="EG16" s="191">
        <f>(Basicinfo!BQ16-BM16/100)*Intermediate!X16/10</f>
        <v>156.26714173652064</v>
      </c>
      <c r="EH16" s="197">
        <f>IF(AU16=0,0,$BS16*((Basicinfo!$P16+Basicinfo!$Q16)*Intermediate!$AT16*1000+$AW16*3600*24*365)/1000000*Basicinfo!AZ16/(Basicinfo!$AZ16+Basicinfo!$BA16))</f>
        <v>2.5347512292940686</v>
      </c>
      <c r="EI16" s="197">
        <f>IF(AU16=0,0,$BS16*((Basicinfo!$P16+Basicinfo!$Q16)*Intermediate!$AT16*1000+$AW16*3600*24*365)/1000000*Basicinfo!BA16/(Basicinfo!$AZ16+Basicinfo!$BA16))</f>
        <v>1.2705159073167955</v>
      </c>
      <c r="EJ16" s="198">
        <f>IF(AU16=0,0,$BS16*($AT16*$X16*1000)/1000000*Basicinfo!AZ16/(Basicinfo!$AZ16+Basicinfo!$BA16))</f>
        <v>5.4785752195169426</v>
      </c>
      <c r="EK16" s="198">
        <f>IF(AU16=0,0,$BS16*($AT16*$X16*1000)/1000000*Basicinfo!BA16/(Basicinfo!$AZ16+Basicinfo!$BA16))</f>
        <v>2.7460749936262667</v>
      </c>
      <c r="EL16" s="147">
        <f>Parameters!$C$150/Basicinfo!$AV16*100</f>
        <v>0.10920223555187633</v>
      </c>
      <c r="EM16" s="147">
        <f>Parameters!$C$151/Basicinfo!$AV16*100</f>
        <v>0.21840447110375266</v>
      </c>
      <c r="EN16" s="147">
        <f>(Parameters!$C$150+Parameters!$C$151)/Intermediate!$BB16*100</f>
        <v>0.80820015677299761</v>
      </c>
      <c r="EO16" s="193">
        <f>IF(EN16=0,0,(1/(1+Parameters!$C$116*$BB16^Parameters!$C$120)*Basicinfo!$AH16/Basicinfo!$G16+1/(1+Parameters!$C$117*$BB16^Parameters!$C$121)*Basicinfo!$AI16/Basicinfo!$G16)*(EN16)^Parameters!$C$124+(1/(1+Parameters!$C$118*$BB16^Parameters!$C$122)*Basicinfo!$AJ16/Basicinfo!AW16+1/(1+Parameters!$C$119*$BB16^Parameters!$C$123)*Basicinfo!$AK16/Basicinfo!$G16)*(EN16)^Parameters!$C$125)</f>
        <v>0.51106853460123225</v>
      </c>
      <c r="EP16" s="199">
        <f>EL16*($AT16*Basicinfo!$P16*1000+$AW16*3600*24*365)/1000000</f>
        <v>0.20851522786729873</v>
      </c>
      <c r="EQ16" s="199">
        <f>EM16*($AT16*Basicinfo!$P16*1000+$AW16*3600*24*365)/1000000</f>
        <v>0.41703045573459746</v>
      </c>
      <c r="ER16" s="199">
        <f t="shared" si="12"/>
        <v>0.45068184486248858</v>
      </c>
      <c r="ES16" s="199">
        <f t="shared" si="13"/>
        <v>0.90136368972497716</v>
      </c>
      <c r="ET16" s="181">
        <f t="shared" si="14"/>
        <v>13.322725321495398</v>
      </c>
      <c r="EU16" s="147">
        <f>Intermediate!F16*(Parameters!$C$150)/1000*100</f>
        <v>7.3156732367556723E-2</v>
      </c>
      <c r="EV16" s="147">
        <f>Intermediate!F16*(Parameters!$C$151)/1000*100</f>
        <v>0.14631346473511345</v>
      </c>
      <c r="EW16" s="181">
        <f>'Local emissions'!$S16*Basicinfo!AZ16/(Basicinfo!$AZ16+Basicinfo!$BA16)-Intermediate!EU16</f>
        <v>0.84972026839818227</v>
      </c>
      <c r="EX16" s="147">
        <f>'Local emissions'!$S16*Basicinfo!BA16/(Basicinfo!$AZ16+Basicinfo!$BA16)-Intermediate!EV16</f>
        <v>0.31626838409438163</v>
      </c>
      <c r="EY16" s="188">
        <f t="shared" si="15"/>
        <v>2.32623600142677</v>
      </c>
      <c r="EZ16" s="188">
        <f t="shared" si="16"/>
        <v>0.85348545158219813</v>
      </c>
      <c r="FA16" s="188">
        <f t="shared" si="17"/>
        <v>5.0278933746544539</v>
      </c>
      <c r="FB16" s="181">
        <f t="shared" si="18"/>
        <v>1.8447113039012897</v>
      </c>
      <c r="FC16" s="181">
        <f>'Local emissions'!Y16-Intermediate!ET16</f>
        <v>64.403058858187464</v>
      </c>
      <c r="FD16" s="188">
        <f t="shared" si="19"/>
        <v>7.1249129304293453</v>
      </c>
      <c r="FE16" s="188">
        <f t="shared" si="20"/>
        <v>3.4153654563761768</v>
      </c>
      <c r="FF16" s="181">
        <f t="shared" si="21"/>
        <v>7.5876023816022524</v>
      </c>
      <c r="FG16" s="201">
        <f t="shared" si="22"/>
        <v>3.690961136274471</v>
      </c>
      <c r="FH16" s="181">
        <f t="shared" si="23"/>
        <v>42.584216953505212</v>
      </c>
      <c r="FJ16" s="147">
        <f>AVERAGE(Parameters!$C$132:$C$134)*'Local emissions'!J16*3600*24*365/1000000</f>
        <v>1.3034186630067748E-2</v>
      </c>
      <c r="FK16" s="147">
        <f>'Local emissions'!AJ16+CT16*BJ16/100*Intermediate!X16*100/1000000</f>
        <v>0.60312379001533634</v>
      </c>
      <c r="FL16" s="31">
        <f>(Parameters!$C$18*(Basicinfo!AH16+Basicinfo!AI16)+Parameters!$C$19*Basicinfo!AJ16+Parameters!$C$20*Basicinfo!AK16)/Basicinfo!G16</f>
        <v>3.1891807554645692E-2</v>
      </c>
      <c r="FM16" s="181">
        <f t="shared" si="24"/>
        <v>0.20043742143502863</v>
      </c>
    </row>
    <row r="17" spans="1:169">
      <c r="A17" s="39" t="str">
        <f>Basicinfo!A17</f>
        <v>Inn</v>
      </c>
      <c r="B17" s="63">
        <f>Basicinfo!B17</f>
        <v>1050</v>
      </c>
      <c r="C17" s="63">
        <f>Basicinfo!C17</f>
        <v>4990</v>
      </c>
      <c r="D17" s="61">
        <f>Basicinfo!U17*Basicinfo!V17/1000+Basicinfo!Y17</f>
        <v>8.7232404883521362</v>
      </c>
      <c r="E17" s="19">
        <f>Basicinfo!W17*Basicinfo!X17/1000+Basicinfo!Z17</f>
        <v>4.9005137700171648</v>
      </c>
      <c r="F17" s="19">
        <f t="shared" si="0"/>
        <v>13.623754258369301</v>
      </c>
      <c r="G17" s="19">
        <f>SUM(Basicinfo!H17:L17)</f>
        <v>124.10393356961914</v>
      </c>
      <c r="H17" s="19">
        <f>IF(Basicinfo!N17&lt;Parameters!$C$68,Parameters!$C$69,Basicinfo!BS17/(Basicinfo!N17*100))</f>
        <v>19.161771698789874</v>
      </c>
      <c r="I17" s="19">
        <f>IF(Basicinfo!N17=0,0,Basicinfo!BU17*(1-Basicinfo!BX17/100))</f>
        <v>17866.467858813518</v>
      </c>
      <c r="J17" s="19">
        <f>IF(Basicinfo!N17=0,0,Basicinfo!BU17*Basicinfo!BX17/100)</f>
        <v>8026.9638206263635</v>
      </c>
      <c r="K17" s="19">
        <f>IF(Basicinfo!N17=0,0,Basicinfo!BT17-Basicinfo!BU17)</f>
        <v>0</v>
      </c>
      <c r="L17" s="27">
        <f>Basicinfo!BV17*Basicinfo!BW17/100</f>
        <v>1877.3266666666664</v>
      </c>
      <c r="M17" s="27">
        <f>Basicinfo!BV17-Intermediate!L17</f>
        <v>1877.3266666666664</v>
      </c>
      <c r="N17" s="73">
        <f>Basicinfo!BS17-SUM(I17:K17)-Basicinfo!BV17</f>
        <v>0</v>
      </c>
      <c r="O17" s="19">
        <f>IF(Basicinfo!AH17+Basicinfo!AI17+Basicinfo!AJ17+Basicinfo!AK17=0,0,N17*(Basicinfo!AH17+Basicinfo!AI17)/SUM(Basicinfo!AH17:AK17))</f>
        <v>0</v>
      </c>
      <c r="P17" s="73">
        <f t="shared" si="25"/>
        <v>0</v>
      </c>
      <c r="Q17" s="19">
        <f>IF(Basicinfo!BS17=0,Basicinfo!N17,IF(H17&gt;Parameters!$C$70,Parameters!$C$64*(Parameters!$C$65*Parameters!$C$70)^(Parameters!$C$66-Parameters!$C$67*LOG(Parameters!$C$65*Parameters!$C$70,10))/100*Basicinfo!N17,Parameters!$C$64*(Parameters!$C$65*H17)^(Parameters!$C$66-Parameters!$C$67*LOG(Parameters!$C$65*H17,10))/100*Basicinfo!N17))</f>
        <v>4.473156241445114</v>
      </c>
      <c r="R17" s="19">
        <f>IF(Basicinfo!BS17=0,Q17*(1-Basicinfo!BX17/100),IF(H17&lt;Parameters!$C$75,Q17*Basicinfo!BU17/Basicinfo!BS17*(1-Basicinfo!BX17/100)*(-Parameters!$C$74+Parameters!$C$73*LN(H17*100)),Q17*Basicinfo!BU17/Basicinfo!BS17*(1-Basicinfo!BX17/100)))</f>
        <v>1.5547191743372712</v>
      </c>
      <c r="S17" s="19">
        <f>IF(Basicinfo!BS17=0,Q17*Basicinfo!BX17/100,Q17*Basicinfo!BU17/Basicinfo!BS17*Basicinfo!BX17/100)</f>
        <v>1.2110685495747768</v>
      </c>
      <c r="T17" s="19">
        <f>IF(Basicinfo!BS17=0,0,IF(H17&lt;Parameters!$C$75,Q17*K17/Basicinfo!BS17*(-Parameters!$C$74+Parameters!$C$73*LN(H17*100)),Q17*K17/Basicinfo!BS17))</f>
        <v>0</v>
      </c>
      <c r="U17" s="19">
        <f t="shared" si="26"/>
        <v>1.707368517533066</v>
      </c>
      <c r="V17" s="19">
        <f>IF(Basicinfo!AL17&gt;Parameters!$C$14,Basicinfo!Q17,0)</f>
        <v>0</v>
      </c>
      <c r="W17" s="19">
        <f>IF(Basicinfo!AL17&gt;Parameters!$C$14,0,Basicinfo!Q17)</f>
        <v>0</v>
      </c>
      <c r="X17" s="19">
        <f>G17+Basicinfo!M17</f>
        <v>174.82934253990942</v>
      </c>
      <c r="Y17" s="19">
        <f>IF(Basicinfo!G17-F17-Q17-V17-Basicinfo!O17-Basicinfo!R17-Basicinfo!S17&lt;0,0,Basicinfo!G17-F17-Q17-V17-Basicinfo!O17-Basicinfo!R17-Basicinfo!S17)</f>
        <v>285.81400469830379</v>
      </c>
      <c r="Z17" s="19">
        <f>Basicinfo!G17-F17-Basicinfo!BO17-Q17-Basicinfo!O17</f>
        <v>275.58773582106124</v>
      </c>
      <c r="AA17" s="53">
        <f>IF(Z17+Basicinfo!BO17-X17&gt;0,Z17+Basicinfo!BO17-X17,0)</f>
        <v>111.06881217272877</v>
      </c>
      <c r="AB17" s="56">
        <f>IF(Basicinfo!N17=0,0,Parameters!$C$71+Parameters!$C$72*Q17/Basicinfo!N17)</f>
        <v>0.36682749147540339</v>
      </c>
      <c r="AC17" s="43">
        <f>Basicinfo!AU17*AB17*R17/1000/86.4/0.365</f>
        <v>1.6908486301255275E-2</v>
      </c>
      <c r="AD17" s="43">
        <f>Basicinfo!AU17*AB17*S17/1000/86.4/0.365</f>
        <v>1.3171083446047459E-2</v>
      </c>
      <c r="AE17" s="43">
        <f>Basicinfo!AU17*AB17*T17/1000/86.4/0.365</f>
        <v>0</v>
      </c>
      <c r="AF17" s="43">
        <f>Basicinfo!AU17*AB17*U17/1000/86.4/0.365</f>
        <v>1.8568637774862687E-2</v>
      </c>
      <c r="AG17" s="43">
        <f>((Parameters!$C$80+Parameters!$C$81*Parameters!$C$89)/(Parameters!$C$82+Parameters!$C$89)/(Parameters!$C$90/100*Parameters!$C$91+(Parameters!$C$83+Parameters!$C$84*Parameters!$C$89)/(Parameters!$C$85+Parameters!$C$89)))-Parameters!$C$86+(Basicinfo!AU17-Parameters!$C$88)/Parameters!$C$87</f>
        <v>74.762906929255081</v>
      </c>
      <c r="AH17" s="43">
        <f>((Parameters!$C$80+Parameters!$C$81*Parameters!$C$89)/(Parameters!$C$82+Parameters!$C$89)/(Basicinfo!BY17/100*Parameters!$C$91+(Parameters!$C$83+Parameters!$C$84*Parameters!$C$89)/(Parameters!$C$85+Parameters!$C$89)))-Parameters!$C$86+(Basicinfo!AU17-Parameters!$C$88)/Parameters!$C$87</f>
        <v>56.960025062639509</v>
      </c>
      <c r="AI17" s="43">
        <f>Basicinfo!AU17^Parameters!$C$79*Parameters!$C$78*AH17/AG17</f>
        <v>24.437625445979027</v>
      </c>
      <c r="AJ17" s="43">
        <f>(J17*Parameters!$C$92/1000+Parameters!$C$94/100*S17*100*Parameters!$C$93/1000*86400*Parameters!$C$95/24)/86400</f>
        <v>1.2117976552131976E-2</v>
      </c>
      <c r="AK17" s="43">
        <f t="shared" si="1"/>
        <v>7.9643848332937757E-3</v>
      </c>
      <c r="AL17" s="43">
        <f>(K17*Parameters!$C$92/1000+Parameters!$C$94/100*T17*100*Parameters!$C$93/1000*86400*Parameters!$C$95/24)/86400</f>
        <v>0</v>
      </c>
      <c r="AM17" s="43">
        <f>(Intermediate!N17+Basicinfo!BV17-Intermediate!L17)*Parameters!$C$92/1000/86400</f>
        <v>2.8246813271604935E-3</v>
      </c>
      <c r="AN17" s="43">
        <f t="shared" si="2"/>
        <v>2.441073873314507E-2</v>
      </c>
      <c r="AO17" s="43">
        <f t="shared" si="27"/>
        <v>7.9643848332937757E-3</v>
      </c>
      <c r="AP17" s="43">
        <f t="shared" si="28"/>
        <v>2.1393319102023179E-2</v>
      </c>
      <c r="AQ17" s="43">
        <f t="shared" si="3"/>
        <v>4.6266190236572233E-2</v>
      </c>
      <c r="AR17" s="61">
        <f>(Basicinfo!AU17-Basicinfo!AY17)*F17/1000/86.4/0.365</f>
        <v>9.0885784719814872E-2</v>
      </c>
      <c r="AS17" s="19">
        <f>IF(Basicinfo!AP17-Basicinfo!CB17-Basicinfo!CG17&lt;0,0,(Basicinfo!AP17-Basicinfo!CB17-Basicinfo!CG17)/Basicinfo!G17*1000)</f>
        <v>13.281369838216396</v>
      </c>
      <c r="AT17" s="19">
        <f>Parameters!$C$3*((AS17*86.4*0.365)^Parameters!$C$4)</f>
        <v>78.839788911156504</v>
      </c>
      <c r="AU17" s="19">
        <f>IF(AT17/86.4/0.365*(Basicinfo!G17/1000)-AN17&lt;0,0,AT17/86.4/0.365*(Basicinfo!G17/1000)-AN17)</f>
        <v>0.73661368427924667</v>
      </c>
      <c r="AV17" s="19">
        <f>IF(Basicinfo!AU17&gt;Parameters!$C$13,Parameters!$C$11*(Basicinfo!AU17-Parameters!$C$13)^Parameters!$C$12,0)</f>
        <v>75.892984914700847</v>
      </c>
      <c r="AW17" s="19">
        <f>IF(AV17*V17/1000/86.4/0.365&gt;Basicinfo!AP17*Parameters!$C$15,Basicinfo!AP17*Parameters!$C$15,AV17*V17/1000/86.4/0.365)</f>
        <v>0</v>
      </c>
      <c r="AX17" s="19">
        <f>Basicinfo!AU17-Basicinfo!AW17</f>
        <v>323.22653925100019</v>
      </c>
      <c r="AY17" s="19">
        <f>Parameters!$C$56*AX17+Parameters!$C$57*Basicinfo!AW17</f>
        <v>222.78757914002864</v>
      </c>
      <c r="AZ17" s="19">
        <f>AY17*Basicinfo!BO17/1000/86.4/0.365</f>
        <v>7.2838447005772702E-2</v>
      </c>
      <c r="BA17" s="19">
        <f>IF(Basicinfo!AP17-AQ17-AR17-AU17-AW17-AZ17-Basicinfo!CB17-Basicinfo!CG17&lt;0,0,Basicinfo!AP17-AQ17-AR17-AU17-AW17-AZ17-Basicinfo!CB17-Basicinfo!CG17)</f>
        <v>3.0963854457706859</v>
      </c>
      <c r="BB17" s="53">
        <f t="shared" si="4"/>
        <v>354.32495254878404</v>
      </c>
      <c r="BC17" s="56">
        <f>IF(G17=0,0,((Basicinfo!H17*Basicinfo!BE17+Basicinfo!I17*Basicinfo!BF17+Basicinfo!J17*Basicinfo!BG17+Basicinfo!K17*Basicinfo!BH17+Basicinfo!L17*Basicinfo!BI17)*(1-Basicinfo!BN17/G17*Parameters!$C$26/100)/G17)*Basicinfo!BM17)</f>
        <v>6.6172359608794968</v>
      </c>
      <c r="BD17" s="43">
        <f>IF(Basicinfo!AW17*Parameters!$C$39-Parameters!$C$40&lt;0,0.001,(Basicinfo!AW17*Parameters!$C$39-Parameters!$C$40)/(Basicinfo!AX17*Parameters!$C$39-Parameters!$C$40))</f>
        <v>1.0643810704965739</v>
      </c>
      <c r="BE17" s="43">
        <f>(BC17*G17*100+Basicinfo!BJ17*Basicinfo!M17*100)*Parameters!$C$29*BD17</f>
        <v>88543.611094411011</v>
      </c>
      <c r="BF17" s="43">
        <f>(Basicinfo!BK17*Basicinfo!P17*100)*BD17*Parameters!$C$29</f>
        <v>1394.2406679045105</v>
      </c>
      <c r="BG17" s="43">
        <f>Parameters!$C$27*(V17+W17)*100</f>
        <v>0</v>
      </c>
      <c r="BH17" s="43">
        <f>Parameters!$C$28*Basicinfo!R17*100</f>
        <v>0</v>
      </c>
      <c r="BI17" s="43">
        <f t="shared" si="29"/>
        <v>1394.2406679045105</v>
      </c>
      <c r="BJ17" s="43">
        <f>IF(Basicinfo!AM17&lt;Parameters!$C$33,0,Parameters!$C$30*(((Basicinfo!AM17-Parameters!$C$33)^Parameters!$C$31)*(((G17-Basicinfo!BN17)/Basicinfo!G17*100+Parameters!$C$34))^Parameters!$C$32))</f>
        <v>3.3209850288618012</v>
      </c>
      <c r="BK17" s="58">
        <f t="shared" si="30"/>
        <v>4334.760736363517</v>
      </c>
      <c r="BL17" s="61">
        <f>Basicinfo!AZ17+Basicinfo!BA17</f>
        <v>2051.5436591220423</v>
      </c>
      <c r="BM17" s="19">
        <f>Basicinfo!BB17+Basicinfo!BC17</f>
        <v>2323.8028258243412</v>
      </c>
      <c r="BN17" s="172">
        <f>IF(Basicinfo!AO17=0,0,IF(Basicinfo!AO17="NA",1,IF(OR(Basicinfo!AO17="SA",Basicinfo!AN17="S"),3,IF(Basicinfo!AN17="N",1,IF(Basicinfo!AO17="ZA",2,0)))))</f>
        <v>0</v>
      </c>
      <c r="BO17" s="27">
        <f>IF($BN17=1,(BL17)*(1+Parameters!$C$21*Parameters!$C$22-Parameters!$C$22*Basicinfo!$AL17),IF($BN17=2,(BL17)*(1+Parameters!$C$21*Parameters!$C$23-Parameters!$C$23*Basicinfo!$AL17),IF($BN17=3,(BL17)*(1+Parameters!$C$21*Parameters!$C$24-Parameters!$C$24*Basicinfo!$AL17),BL17)))</f>
        <v>2051.5436591220423</v>
      </c>
      <c r="BP17" s="27">
        <f>IF($BN17=1,(BM17)*(1+Parameters!$C$21*Parameters!$C$22-Parameters!$C$22*Basicinfo!$AL17),IF($BN17=2,(BM17)*(1+Parameters!$C$21*Parameters!$C$23-Parameters!$C$23*Basicinfo!$AL17),IF($BN17=3,(BM17)*(1+Parameters!$C$21*Parameters!$C$24-Parameters!$C$24*Basicinfo!$AL17),BM17)))</f>
        <v>2323.8028258243412</v>
      </c>
      <c r="BQ17" s="27">
        <f>IF(Basicinfo!AU17=0,0,IF(G17+Basicinfo!M17=0,0,(Parameters!$C$16+BO17/Basicinfo!AU17)*G17+(Parameters!$C$17+BO17/Basicinfo!AU17)*Basicinfo!M17)/(G17+Basicinfo!M17))</f>
        <v>2.4071928758255221</v>
      </c>
      <c r="BR17" s="27">
        <f>IF(Basicinfo!AU17=0,0,IF(G17+Basicinfo!M17=0,0,(Parameters!$C$16+BP17/Basicinfo!AU17)*G17+(Parameters!$C$17+BP17/Basicinfo!AU17)*Basicinfo!M17)/(G17+Basicinfo!M17))</f>
        <v>2.6983886074153478</v>
      </c>
      <c r="BS17" s="27">
        <f>IF(Basicinfo!AU17=0,0,BO17/Basicinfo!AU17)</f>
        <v>2.1942356025784022</v>
      </c>
      <c r="BT17" s="27">
        <f>IF(Basicinfo!AU17=0,0,BP17/Basicinfo!AU17)</f>
        <v>2.4854313341682284</v>
      </c>
      <c r="BU17" s="27">
        <f>IF(SUM(G17,Basicinfo!M17,Basicinfo!P17,W17)=0,0,(BQ17*(G17+Basicinfo!M17)+BS17*(Basicinfo!P17+W17))/SUM(G17,Basicinfo!M17,Basicinfo!P17,W17))</f>
        <v>2.3297130269992459</v>
      </c>
      <c r="BV17" s="19">
        <f>IF(Basicinfo!BR17/Parameters!$C$10&gt;1,1,Basicinfo!BR17/Parameters!$C$10)</f>
        <v>0.47495978370276715</v>
      </c>
      <c r="BW17" s="19">
        <f>Parameters!$C$5+Parameters!$C$6*EXP(BV17*Parameters!$C$8*Parameters!$C$7)</f>
        <v>3.546611023461986E-2</v>
      </c>
      <c r="BX17" s="19">
        <f>Parameters!$C$5+Parameters!$C$6*EXP(BV17*Parameters!$C$9*Parameters!$C$7)</f>
        <v>3.5223237113630304E-2</v>
      </c>
      <c r="BY17" s="19">
        <f>IF(Basicinfo!AH17+Basicinfo!AI17+Basicinfo!AJ17+Basicinfo!AK17=0,0,(Parameters!$C$18*(Basicinfo!AH17+Basicinfo!AI17)+Parameters!$C$19*Basicinfo!AJ17+Parameters!$C$20*Basicinfo!AK17)/(Basicinfo!AH17+Basicinfo!AI17+Basicinfo!AJ17+Basicinfo!AK17))</f>
        <v>3.4293685525261915E-2</v>
      </c>
      <c r="BZ17" s="19">
        <f>IF(Basicinfo!AJ17+Basicinfo!AK17=0,Parameters!$C$18,(Parameters!$C$19*Basicinfo!AJ17+Parameters!$C$20*Basicinfo!AK17)/(Basicinfo!AJ17+Basicinfo!AK17))</f>
        <v>2.5000000000000001E-2</v>
      </c>
      <c r="CA17" s="19">
        <f>IF(SUM(G17,Basicinfo!M17,Basicinfo!P17,W17)=0,0,(BW17*G17+BX17*Basicinfo!M17+BY17*Basicinfo!P17+BZ17*W17)/(SUM(G17,Basicinfo!M17,Basicinfo!P17,W17)))</f>
        <v>3.4994719503630554E-2</v>
      </c>
      <c r="CB17" s="19">
        <f>IF(Y17=0,Basicinfo!BP17,Basicinfo!BP17-(AU17*X17/Y17*Intermediate!BQ17*86400*365/1000000)*1000/(X17*100))</f>
        <v>53.372979733470338</v>
      </c>
      <c r="CC17" s="19">
        <f>IF(Y17=0,Basicinfo!BQ17,Basicinfo!BQ17-(AU17*Basicinfo!AV17/Basicinfo!AU17*X17/Y17*Intermediate!BR17*86400*365/1000000)*1000/(X17*100))</f>
        <v>56.454912813488683</v>
      </c>
      <c r="CD17" s="19">
        <f>IF(OR(Y17=0,AA17=0),BP17/100,BP17/100-(AU17*Basicinfo!AV17/Basicinfo!AU17*(Basicinfo!P17+W17)/Y17*Intermediate!BT17*86400*365/1000000+AW17*Basicinfo!AV17/Basicinfo!AU17*Intermediate!BT17*86400*365/1000000)*1000/(AA17*100))</f>
        <v>21.387762818554311</v>
      </c>
      <c r="CE17" s="19">
        <f t="shared" si="5"/>
        <v>928790.14907356119</v>
      </c>
      <c r="CF17" s="19">
        <f t="shared" si="6"/>
        <v>237551.34112888807</v>
      </c>
      <c r="CG17" s="19">
        <f>IF(AY17=0,0,((CB17^Parameters!$C$58))/AY17*100)</f>
        <v>13.192656588764351</v>
      </c>
      <c r="CH17" s="19">
        <f>IF(SUM(Basicinfo!AB17:AG17)=0,0,(Parameters!$C$59*Basicinfo!AB17+Parameters!$C$60*SUM(Basicinfo!AC17:AE17)+Parameters!$C$61*Basicinfo!AF17+Parameters!$C$62*Basicinfo!AG17)/SUM(Basicinfo!AB17:AG17))</f>
        <v>0.1000696561426393</v>
      </c>
      <c r="CI17" s="19">
        <f t="shared" ref="CI17:CI71" si="31">IF(BB17=0,0,ROUND(3000/BB17,0))</f>
        <v>8</v>
      </c>
      <c r="CJ17" s="19">
        <f t="shared" si="8"/>
        <v>42.321966423054228</v>
      </c>
      <c r="CK17" s="19">
        <f t="shared" si="9"/>
        <v>11.944393449746464</v>
      </c>
      <c r="CL17" s="19">
        <f>IF($BB17=0,0,$CJ17^Parameters!$C$58*100/$BB17)</f>
        <v>6.8105035699766558</v>
      </c>
      <c r="CM17" s="19">
        <f>IF(CK17=0,0,(1/(1+Parameters!$C$116*BB17^Parameters!$C$120)*Basicinfo!AH17/Basicinfo!G17+1/(1+Parameters!$C$117*BB17^Parameters!$C$121)*Basicinfo!AI17/Basicinfo!G17)*(CK17)^Parameters!$C$124+(1/(1+Parameters!$C$118*BB17^Parameters!$C$122)*Basicinfo!AJ17/Basicinfo!G17+1/(1+Parameters!$C$119*BB17^Parameters!$C$123)*Basicinfo!AK17/Basicinfo!G17)*(CK17)^Parameters!$C$125)</f>
        <v>2.9399030626229785</v>
      </c>
      <c r="CN17" s="19">
        <f>IF(SUM(Basicinfo!AB17:AG17)=0,0,(Parameters!$C$128*Basicinfo!AB17+Parameters!$C$129*(SUM(Basicinfo!AC17:AE17))+Parameters!$C$130*Basicinfo!AF17+Parameters!$C$131*Basicinfo!AG17)/SUM(Basicinfo!AB17:AG17))</f>
        <v>2.0589714738308739E-2</v>
      </c>
      <c r="CO17" s="19">
        <f>IF(Basicinfo!AH17+Basicinfo!AI17+Basicinfo!AJ17+Basicinfo!AK17=0,0,(Parameters!$C$132*(Basicinfo!AH17+Basicinfo!AI17)+Parameters!$C$133*Basicinfo!AJ17+Parameters!$C$134*Basicinfo!AK17)/(Basicinfo!AH17+Basicinfo!AI17+Basicinfo!AJ17+Basicinfo!AK17))</f>
        <v>5.0000000000000001E-4</v>
      </c>
      <c r="CP17" s="19">
        <f>IF(Basicinfo!AJ17+Basicinfo!AK17=0,0,(Parameters!$C$133*Basicinfo!AJ17+Parameters!$C$134*Basicinfo!AK17)/(Basicinfo!AJ17+Basicinfo!AK17))</f>
        <v>5.0000000000000001E-4</v>
      </c>
      <c r="CQ17" s="19">
        <f>IF(Z17=0,0,(CN17*(Z17-AA17)+CO17*Basicinfo!P17+CP17*(Basicinfo!Q17+Basicinfo!R17))/Z17)</f>
        <v>1.2472943859873003E-2</v>
      </c>
      <c r="CR17" s="289">
        <f>Basicinfo!EI17</f>
        <v>2.67007350877193E-2</v>
      </c>
      <c r="CS17" s="19">
        <f>IF(SUM(Basicinfo!AB17:AG17)=0,0,(Basicinfo!AB17*Parameters!$C$43+(Basicinfo!AC17+Basicinfo!AD17)*Parameters!$C$44+Basicinfo!AE17*Parameters!$C$45+(Basicinfo!AF17+Basicinfo!AG17)*Parameters!$C$46)/SUM(Basicinfo!AB17:AG17))</f>
        <v>19.94018305730625</v>
      </c>
      <c r="CT17" s="19">
        <f>(Parameters!$C$41*CS17+Parameters!$C$42)</f>
        <v>478.38986718452372</v>
      </c>
      <c r="CU17" s="19">
        <f>CT17+Basicinfo!BR17/(Parameters!$C$47*Parameters!$C$49*Parameters!$C$48*10000/1000000)</f>
        <v>645.67130043832844</v>
      </c>
      <c r="CV17" s="19">
        <f>IF(BK17/Basicinfo!G17&lt;Parameters!$C$35,Parameters!$C$35,Parameters!$C$37*(BK17/Basicinfo!G17)^Parameters!$C$38)</f>
        <v>2.1981489276641732</v>
      </c>
      <c r="CW17" s="19">
        <f>IF(BK17/Basicinfo!G17&lt;Parameters!$C$35,Parameters!$C$36,Parameters!$C$36*(BK17/Basicinfo!G17)^Parameters!$C$38)</f>
        <v>5.1656499800108069</v>
      </c>
      <c r="CX17" s="27">
        <f>IF(Basicinfo!AJ17+Basicinfo!AK17=0,0,(Parameters!$C$53*Basicinfo!AJ17+Parameters!$C$54*Basicinfo!AK17)/(Basicinfo!AJ17+Basicinfo!AK17))</f>
        <v>750</v>
      </c>
      <c r="CY17" s="56">
        <f>IF(Basicinfo!AU17*AB17=0,0,((Basicinfo!AZ17+Basicinfo!BA17)/Basicinfo!AU17+Parameters!$C$76/(Basicinfo!AU17*AB17)*100))</f>
        <v>3.3605096435076627</v>
      </c>
      <c r="CZ17" s="43">
        <f>IF(Basicinfo!AU17*AB17=0,0,(Parameters!$C$77)/(Basicinfo!AU17*AB17)*100)</f>
        <v>0.72892127558078801</v>
      </c>
      <c r="DA17" s="43">
        <f>IF(AD17+AJ17=0,0,((J17*Parameters!$C$96+Parameters!$C$94/100*S17*100*Parameters!$C$93/1000*86400*Parameters!$C$95/24*Parameters!$C$98)*AI17+AD17*CY17*86400*365)/((AD17+AJ17*AI17/365)*86400*365))</f>
        <v>8.5042019661110171</v>
      </c>
      <c r="DB17" s="43">
        <f>IF(AD17+AJ17=0,0,((J17*Parameters!$C$97+Parameters!$C$94/100*S17*100*Parameters!$C$93/1000*86400*Parameters!$C$95/24*Parameters!$C$99)*AI17+AD17*CZ17*86400*365)/((AD17+AJ17*AI17/365)*86400*365))</f>
        <v>1.5551173234396716</v>
      </c>
      <c r="DC17" s="42">
        <f>IF(AE17+AL17=0,0,((K17*Parameters!$C$96+Parameters!$C$94/100*T17*100*Parameters!$C$93/1000*86400*Parameters!$C$95/24*Parameters!$C$98)*365+AE17*CY17*86400*365)/((AE17+AL17)*86400*365))</f>
        <v>0</v>
      </c>
      <c r="DD17" s="42">
        <f>IF(AE17+AL17=0,0,((K17*Parameters!$C$97+Parameters!$C$94/100*T17*100*Parameters!$C$93/1000*86400*Parameters!$C$95/24*Parameters!$C$99)*365+AE17*CZ17*86400*365)/((AE17+AL17)*86400*365))</f>
        <v>0</v>
      </c>
      <c r="DE17" s="42">
        <f>IF(Basicinfo!AH17+Basicinfo!AI17+Basicinfo!AJ17+Basicinfo!AK17=0,0,((Basicinfo!AH17+Basicinfo!AI17)*Parameters!$C$107+(Basicinfo!AJ17+Basicinfo!AK17)*Parameters!$C$106)/(Basicinfo!AH17+Basicinfo!AI17+Basicinfo!AJ17+Basicinfo!AK17))</f>
        <v>87.174742101047642</v>
      </c>
      <c r="DF17" s="42">
        <f>IF(Basicinfo!AH17+Basicinfo!AI17+Basicinfo!AJ17+Basicinfo!AK17=0,0,((Basicinfo!AH17+Basicinfo!AI17)*Parameters!$C$109+(Basicinfo!AJ17+Basicinfo!AK17)*Parameters!$C$108)/(Basicinfo!AH17+Basicinfo!AI17+Basicinfo!AJ17+Basicinfo!AK17))</f>
        <v>87.174742101047642</v>
      </c>
      <c r="DG17" s="42">
        <f>Intermediate!AC17*Intermediate!CY17*(1-Parameters!$C$102/100*Basicinfo!BZ17/100)*(1-Parameters!$C$104/100*Basicinfo!CA17/100)*86400*365/1000000</f>
        <v>1.7919111958091045</v>
      </c>
      <c r="DH17" s="42">
        <f>Intermediate!AC17*Intermediate!CZ17*(1-Parameters!$C$103/100*Basicinfo!BZ17/100)*(1-Parameters!$C$105/100*Basicinfo!CA17/100)*86400*365/1000000</f>
        <v>0.38867979358431776</v>
      </c>
      <c r="DI17" s="42">
        <f>(Intermediate!AK17*Intermediate!DA17+(Intermediate!AE17+Intermediate!AL17)*Intermediate!DC17)*86400*365/1000000</f>
        <v>2.1359565270197871</v>
      </c>
      <c r="DJ17" s="42">
        <f>(Intermediate!AK17*Intermediate!DB17+(Intermediate!AE17+Intermediate!AL17)*Intermediate!DD17)*86400*365/1000000</f>
        <v>0.39059079388274559</v>
      </c>
      <c r="DK17" s="42">
        <f>((Basicinfo!AZ17+Basicinfo!BA17)*Intermediate!AB17+Parameters!$C$76*100)/1000*Intermediate!U17*(1-Intermediate!DE17/100)+(1-Parameters!$C$110/100)*M17*Parameters!$C$100*(1-DE17/100)*365/1000000+(1-Parameters!$C$112/100)*P17*Parameters!$C$96*365/1000000+(1-Parameters!$C$112/100)*O17*Parameters!$C$96*(1-DE17/100)*365/1000000</f>
        <v>0.96422410333931041</v>
      </c>
      <c r="DL17" s="42">
        <f>Parameters!$C$77*100/1000*Intermediate!U17*(1-Intermediate!DF17/100)+(1-Parameters!$C$111/100)*M17*Parameters!$C$101*(1-DF17/100)*365/1000000+(1-Parameters!$C$113/100)*P17*Parameters!$C$97*365/1000000+(1-Parameters!$C$113/100)*O17*Parameters!$C$97*(1-DF17/100)*365/1000000</f>
        <v>0.14981974067541629</v>
      </c>
      <c r="DM17" s="31"/>
      <c r="DN17" s="31"/>
      <c r="DO17" s="31"/>
      <c r="DP17" s="31"/>
      <c r="DQ17" s="31"/>
      <c r="DR17" s="31"/>
      <c r="DS17" s="31"/>
      <c r="DT17" s="188">
        <f>BO17*(Basicinfo!$P17+Basicinfo!$Q17)/1000</f>
        <v>205.12420983230371</v>
      </c>
      <c r="DU17" s="188">
        <f>DT17*Basicinfo!$AZ17/(Basicinfo!$AZ17+Basicinfo!$BA17)</f>
        <v>139.77912136486106</v>
      </c>
      <c r="DV17" s="188">
        <f>DT17*Basicinfo!$BC17/(Basicinfo!$BB17+Basicinfo!$BC17)</f>
        <v>61.644082366664605</v>
      </c>
      <c r="DW17" s="188">
        <f>BP17*(Basicinfo!$P17+Basicinfo!$Q17)/1000</f>
        <v>232.34612450669587</v>
      </c>
      <c r="DX17" s="188">
        <f>DW17*Basicinfo!$BB17/(Basicinfo!$BB17+Basicinfo!$BC17)</f>
        <v>162.52129179496751</v>
      </c>
      <c r="DY17" s="188">
        <f>DW17*Basicinfo!$BC17/(Basicinfo!$BB17+Basicinfo!$BC17)</f>
        <v>69.824832711728348</v>
      </c>
      <c r="DZ17" s="188">
        <f t="shared" si="10"/>
        <v>358.67002911622671</v>
      </c>
      <c r="EA17" s="188">
        <f>DZ17*Basicinfo!$AZ17/(Basicinfo!$AZ17+Basicinfo!$BA17)</f>
        <v>244.41084536419223</v>
      </c>
      <c r="EB17" s="188">
        <f>DZ17*Basicinfo!$BC17/(Basicinfo!$BB17+Basicinfo!$BC17)</f>
        <v>107.78778787433372</v>
      </c>
      <c r="EC17" s="188">
        <f t="shared" si="11"/>
        <v>406.26892023125322</v>
      </c>
      <c r="ED17" s="188">
        <f>EC17*Basicinfo!$AZ17/(Basicinfo!$AZ17+Basicinfo!$BA17)</f>
        <v>276.84646660772768</v>
      </c>
      <c r="EE17" s="188">
        <f>EC17*Basicinfo!$BC17/(Basicinfo!$BB17+Basicinfo!$BC17)</f>
        <v>122.09224255988936</v>
      </c>
      <c r="EF17" s="190">
        <f>(Basicinfo!BP17-BL17/100)*Intermediate!X17/10</f>
        <v>608.65114863604163</v>
      </c>
      <c r="EG17" s="191">
        <f>(Basicinfo!BQ17-BM17/100)*Intermediate!X17/10</f>
        <v>619.74140298083171</v>
      </c>
      <c r="EH17" s="197">
        <f>IF(AU17=0,0,$BS17*((Basicinfo!$P17+Basicinfo!$Q17)*Intermediate!$AT17*1000+$AW17*3600*24*365)/1000000*Basicinfo!AZ17/(Basicinfo!$AZ17+Basicinfo!$BA17))</f>
        <v>11.786646343555683</v>
      </c>
      <c r="EI17" s="197">
        <f>IF(AU17=0,0,$BS17*((Basicinfo!$P17+Basicinfo!$Q17)*Intermediate!$AT17*1000+$AW17*3600*24*365)/1000000*Basicinfo!BA17/(Basicinfo!$AZ17+Basicinfo!$BA17))</f>
        <v>5.5101179670723353</v>
      </c>
      <c r="EJ17" s="198">
        <f>IF(AU17=0,0,$BS17*($AT17*$X17*1000)/1000000*Basicinfo!AZ17/(Basicinfo!$AZ17+Basicinfo!$BA17))</f>
        <v>20.609545751239832</v>
      </c>
      <c r="EK17" s="198">
        <f>IF(AU17=0,0,$BS17*($AT17*$X17*1000)/1000000*Basicinfo!BA17/(Basicinfo!$AZ17+Basicinfo!$BA17))</f>
        <v>9.6347192430351569</v>
      </c>
      <c r="EL17" s="147">
        <f>Parameters!$C$150/Basicinfo!$AV17*100</f>
        <v>0.10511801242207076</v>
      </c>
      <c r="EM17" s="147">
        <f>Parameters!$C$151/Basicinfo!$AV17*100</f>
        <v>0.21023602484414153</v>
      </c>
      <c r="EN17" s="147">
        <f>(Parameters!$C$150+Parameters!$C$151)/Intermediate!$BB17*100</f>
        <v>0.84668042101464902</v>
      </c>
      <c r="EO17" s="193">
        <f>IF(EN17=0,0,(1/(1+Parameters!$C$116*$BB17^Parameters!$C$120)*Basicinfo!$AH17/Basicinfo!$G17+1/(1+Parameters!$C$117*$BB17^Parameters!$C$121)*Basicinfo!$AI17/Basicinfo!$G17)*(EN17)^Parameters!$C$124+(1/(1+Parameters!$C$118*$BB17^Parameters!$C$122)*Basicinfo!$AJ17/Basicinfo!AW17+1/(1+Parameters!$C$119*$BB17^Parameters!$C$123)*Basicinfo!$AK17/Basicinfo!$G17)*(EN17)^Parameters!$C$125)</f>
        <v>0.53300805469192392</v>
      </c>
      <c r="EP17" s="199">
        <f>EL17*($AT17*Basicinfo!$P17*1000+$AW17*3600*24*365)/1000000</f>
        <v>0.82862637153899688</v>
      </c>
      <c r="EQ17" s="199">
        <f>EM17*($AT17*Basicinfo!$P17*1000+$AW17*3600*24*365)/1000000</f>
        <v>1.6572527430779938</v>
      </c>
      <c r="ER17" s="199">
        <f t="shared" si="12"/>
        <v>1.4488950136570404</v>
      </c>
      <c r="ES17" s="199">
        <f t="shared" si="13"/>
        <v>2.8977900273140809</v>
      </c>
      <c r="ET17" s="181">
        <f t="shared" si="14"/>
        <v>52.046963407127457</v>
      </c>
      <c r="EU17" s="147">
        <f>Intermediate!F17*(Parameters!$C$150)/1000*100</f>
        <v>1.3623754258369303</v>
      </c>
      <c r="EV17" s="147">
        <f>Intermediate!F17*(Parameters!$C$151)/1000*100</f>
        <v>2.7247508516738606</v>
      </c>
      <c r="EW17" s="181">
        <f>'Local emissions'!$S17*Basicinfo!AZ17/(Basicinfo!$AZ17+Basicinfo!$BA17)-Intermediate!EU17</f>
        <v>17.683588180426366</v>
      </c>
      <c r="EX17" s="147">
        <f>'Local emissions'!$S17*Basicinfo!BA17/(Basicinfo!$AZ17+Basicinfo!$BA17)-Intermediate!EV17</f>
        <v>6.1790122042573028</v>
      </c>
      <c r="EY17" s="188">
        <f t="shared" si="15"/>
        <v>10.958019972016686</v>
      </c>
      <c r="EZ17" s="188">
        <f t="shared" si="16"/>
        <v>3.8528652239943417</v>
      </c>
      <c r="FA17" s="188">
        <f t="shared" si="17"/>
        <v>19.160650737582792</v>
      </c>
      <c r="FB17" s="181">
        <f t="shared" si="18"/>
        <v>6.7369292157210765</v>
      </c>
      <c r="FC17" s="181">
        <f>'Local emissions'!Y17-Intermediate!ET17</f>
        <v>235.17663070713297</v>
      </c>
      <c r="FD17" s="188">
        <f t="shared" si="19"/>
        <v>30.373913442253048</v>
      </c>
      <c r="FE17" s="188">
        <f t="shared" si="20"/>
        <v>13.049695836662728</v>
      </c>
      <c r="FF17" s="181">
        <f t="shared" si="21"/>
        <v>25.870181441042124</v>
      </c>
      <c r="FG17" s="201">
        <f t="shared" si="22"/>
        <v>11.409025754493403</v>
      </c>
      <c r="FH17" s="181">
        <f t="shared" si="23"/>
        <v>154.47381423268169</v>
      </c>
      <c r="FJ17" s="147">
        <f>AVERAGE(Parameters!$C$132:$C$134)*'Local emissions'!J17*3600*24*365/1000000</f>
        <v>4.8823805708912177E-2</v>
      </c>
      <c r="FK17" s="147">
        <f>'Local emissions'!AJ17+CT17*BJ17/100*Intermediate!X17*100/1000000</f>
        <v>0.90516415038741505</v>
      </c>
      <c r="FL17" s="31">
        <f>(Parameters!$C$18*(Basicinfo!AH17+Basicinfo!AI17)+Parameters!$C$19*Basicinfo!AJ17+Parameters!$C$20*Basicinfo!AK17)/Basicinfo!G17</f>
        <v>3.4293685525261915E-2</v>
      </c>
      <c r="FM17" s="181">
        <f t="shared" si="24"/>
        <v>0.7966371414612492</v>
      </c>
    </row>
    <row r="18" spans="1:169">
      <c r="A18" s="39" t="str">
        <f>Basicinfo!A18</f>
        <v>Ranna</v>
      </c>
      <c r="B18" s="63">
        <f>Basicinfo!B18</f>
        <v>1100</v>
      </c>
      <c r="C18" s="63">
        <f>Basicinfo!C18</f>
        <v>5000</v>
      </c>
      <c r="D18" s="61">
        <f>Basicinfo!U18*Basicinfo!V18/1000+Basicinfo!Y18</f>
        <v>0.61679914654784207</v>
      </c>
      <c r="E18" s="19">
        <f>Basicinfo!W18*Basicinfo!X18/1000+Basicinfo!Z18</f>
        <v>0</v>
      </c>
      <c r="F18" s="19">
        <f t="shared" si="0"/>
        <v>0.61679914654784207</v>
      </c>
      <c r="G18" s="19">
        <f>SUM(Basicinfo!H18:L18)</f>
        <v>11.362464366408805</v>
      </c>
      <c r="H18" s="19">
        <f>IF(Basicinfo!N18&lt;Parameters!$C$68,Parameters!$C$69,Basicinfo!BS18/(Basicinfo!N18*100))</f>
        <v>15.500240277226606</v>
      </c>
      <c r="I18" s="19">
        <f>IF(Basicinfo!N18=0,0,Basicinfo!BU18*(1-Basicinfo!BX18/100))</f>
        <v>2703.8900675914069</v>
      </c>
      <c r="J18" s="19">
        <f>IF(Basicinfo!N18=0,0,Basicinfo!BU18*Basicinfo!BX18/100)</f>
        <v>1587.9989285854294</v>
      </c>
      <c r="K18" s="19">
        <f>IF(Basicinfo!N18=0,0,Basicinfo!BT18-Basicinfo!BU18)</f>
        <v>0</v>
      </c>
      <c r="L18" s="27">
        <f>Basicinfo!BV18*Basicinfo!BW18/100</f>
        <v>499.05333333333328</v>
      </c>
      <c r="M18" s="27">
        <f>Basicinfo!BV18-Intermediate!L18</f>
        <v>499.05333333333328</v>
      </c>
      <c r="N18" s="73">
        <f>Basicinfo!BS18-SUM(I18:K18)-Basicinfo!BV18</f>
        <v>0</v>
      </c>
      <c r="O18" s="19">
        <f>IF(Basicinfo!AH18+Basicinfo!AI18+Basicinfo!AJ18+Basicinfo!AK18=0,0,N18*(Basicinfo!AH18+Basicinfo!AI18)/SUM(Basicinfo!AH18:AK18))</f>
        <v>0</v>
      </c>
      <c r="P18" s="73">
        <f t="shared" si="25"/>
        <v>0</v>
      </c>
      <c r="Q18" s="19">
        <f>IF(Basicinfo!BS18=0,Basicinfo!N18,IF(H18&gt;Parameters!$C$70,Parameters!$C$64*(Parameters!$C$65*Parameters!$C$70)^(Parameters!$C$66-Parameters!$C$67*LOG(Parameters!$C$65*Parameters!$C$70,10))/100*Basicinfo!N18,Parameters!$C$64*(Parameters!$C$65*H18)^(Parameters!$C$66-Parameters!$C$67*LOG(Parameters!$C$65*H18,10))/100*Basicinfo!N18))</f>
        <v>0.88608072598997245</v>
      </c>
      <c r="R18" s="19">
        <f>IF(Basicinfo!BS18=0,Q18*(1-Basicinfo!BX18/100),IF(H18&lt;Parameters!$C$75,Q18*Basicinfo!BU18/Basicinfo!BS18*(1-Basicinfo!BX18/100)*(-Parameters!$C$74+Parameters!$C$73*LN(H18*100)),Q18*Basicinfo!BU18/Basicinfo!BS18*(1-Basicinfo!BX18/100)))</f>
        <v>0.24921236824481466</v>
      </c>
      <c r="S18" s="19">
        <f>IF(Basicinfo!BS18=0,Q18*Basicinfo!BX18/100,Q18*Basicinfo!BU18/Basicinfo!BS18*Basicinfo!BX18/100)</f>
        <v>0.26599175749719373</v>
      </c>
      <c r="T18" s="19">
        <f>IF(Basicinfo!BS18=0,0,IF(H18&lt;Parameters!$C$75,Q18*K18/Basicinfo!BS18*(-Parameters!$C$74+Parameters!$C$73*LN(H18*100)),Q18*K18/Basicinfo!BS18))</f>
        <v>0</v>
      </c>
      <c r="U18" s="19">
        <f t="shared" si="26"/>
        <v>0.37087660024796409</v>
      </c>
      <c r="V18" s="19">
        <f>IF(Basicinfo!AL18&gt;Parameters!$C$14,Basicinfo!Q18,0)</f>
        <v>0</v>
      </c>
      <c r="W18" s="19">
        <f>IF(Basicinfo!AL18&gt;Parameters!$C$14,0,Basicinfo!Q18)</f>
        <v>0</v>
      </c>
      <c r="X18" s="19">
        <f>G18+Basicinfo!M18</f>
        <v>43.022432829981923</v>
      </c>
      <c r="Y18" s="19">
        <f>IF(Basicinfo!G18-F18-Q18-V18-Basicinfo!O18-Basicinfo!R18-Basicinfo!S18&lt;0,0,Basicinfo!G18-F18-Q18-V18-Basicinfo!O18-Basicinfo!R18-Basicinfo!S18)</f>
        <v>80.507364750267342</v>
      </c>
      <c r="Z18" s="19">
        <f>Basicinfo!G18-F18-Basicinfo!BO18-Q18-Basicinfo!O18</f>
        <v>77.04179181902262</v>
      </c>
      <c r="AA18" s="53">
        <f>IF(Z18+Basicinfo!BO18-X18&gt;0,Z18+Basicinfo!BO18-X18,0)</f>
        <v>37.519103346480264</v>
      </c>
      <c r="AB18" s="56">
        <f>IF(Basicinfo!N18=0,0,Parameters!$C$71+Parameters!$C$72*Q18/Basicinfo!N18)</f>
        <v>0.34472318646214184</v>
      </c>
      <c r="AC18" s="43">
        <f>Basicinfo!AU18*AB18*R18/1000/86.4/0.365</f>
        <v>3.0286361854986762E-3</v>
      </c>
      <c r="AD18" s="43">
        <f>Basicinfo!AU18*AB18*S18/1000/86.4/0.365</f>
        <v>3.2325532936993452E-3</v>
      </c>
      <c r="AE18" s="43">
        <f>Basicinfo!AU18*AB18*T18/1000/86.4/0.365</f>
        <v>0</v>
      </c>
      <c r="AF18" s="43">
        <f>Basicinfo!AU18*AB18*U18/1000/86.4/0.365</f>
        <v>4.5072012267155315E-3</v>
      </c>
      <c r="AG18" s="43">
        <f>((Parameters!$C$80+Parameters!$C$81*Parameters!$C$89)/(Parameters!$C$82+Parameters!$C$89)/(Parameters!$C$90/100*Parameters!$C$91+(Parameters!$C$83+Parameters!$C$84*Parameters!$C$89)/(Parameters!$C$85+Parameters!$C$89)))-Parameters!$C$86+(Basicinfo!AU18-Parameters!$C$88)/Parameters!$C$87</f>
        <v>79.182831283569371</v>
      </c>
      <c r="AH18" s="43">
        <f>((Parameters!$C$80+Parameters!$C$81*Parameters!$C$89)/(Parameters!$C$82+Parameters!$C$89)/(Basicinfo!BY18/100*Parameters!$C$91+(Parameters!$C$83+Parameters!$C$84*Parameters!$C$89)/(Parameters!$C$85+Parameters!$C$89)))-Parameters!$C$86+(Basicinfo!AU18-Parameters!$C$88)/Parameters!$C$87</f>
        <v>61.379949416953792</v>
      </c>
      <c r="AI18" s="43">
        <f>Basicinfo!AU18^Parameters!$C$79*Parameters!$C$78*AH18/AG18</f>
        <v>38.33635437333789</v>
      </c>
      <c r="AJ18" s="43">
        <f>(J18*Parameters!$C$92/1000+Parameters!$C$94/100*S18*100*Parameters!$C$93/1000*86400*Parameters!$C$95/24)/86400</f>
        <v>2.3982166316863164E-3</v>
      </c>
      <c r="AK18" s="43">
        <f t="shared" si="1"/>
        <v>2.1387479044089673E-3</v>
      </c>
      <c r="AL18" s="43">
        <f>(K18*Parameters!$C$92/1000+Parameters!$C$94/100*T18*100*Parameters!$C$93/1000*86400*Parameters!$C$95/24)/86400</f>
        <v>0</v>
      </c>
      <c r="AM18" s="43">
        <f>(Intermediate!N18+Basicinfo!BV18-Intermediate!L18)*Parameters!$C$92/1000/86400</f>
        <v>7.5089043209876534E-4</v>
      </c>
      <c r="AN18" s="43">
        <f t="shared" si="2"/>
        <v>5.0127757620474084E-3</v>
      </c>
      <c r="AO18" s="43">
        <f t="shared" si="27"/>
        <v>2.1387479044089673E-3</v>
      </c>
      <c r="AP18" s="43">
        <f t="shared" si="28"/>
        <v>5.2580916588142968E-3</v>
      </c>
      <c r="AQ18" s="43">
        <f t="shared" si="3"/>
        <v>1.042547574872194E-2</v>
      </c>
      <c r="AR18" s="61">
        <f>(Basicinfo!AU18-Basicinfo!AY18)*F18/1000/86.4/0.365</f>
        <v>8.5881322602473151E-3</v>
      </c>
      <c r="AS18" s="19">
        <f>IF(Basicinfo!AP18-Basicinfo!CB18-Basicinfo!CG18&lt;0,0,(Basicinfo!AP18-Basicinfo!CB18-Basicinfo!CG18)/Basicinfo!G18*1000)</f>
        <v>20.797913777990111</v>
      </c>
      <c r="AT18" s="19">
        <f>Parameters!$C$3*((AS18*86.4*0.365)^Parameters!$C$4)</f>
        <v>137.86592900874928</v>
      </c>
      <c r="AU18" s="19">
        <f>IF(AT18/86.4/0.365*(Basicinfo!G18/1000)-AN18&lt;0,0,AT18/86.4/0.365*(Basicinfo!G18/1000)-AN18)</f>
        <v>0.35366079217858309</v>
      </c>
      <c r="AV18" s="19">
        <f>IF(Basicinfo!AU18&gt;Parameters!$C$13,Parameters!$C$11*(Basicinfo!AU18-Parameters!$C$13)^Parameters!$C$12,0)</f>
        <v>125.41738766133412</v>
      </c>
      <c r="AW18" s="19">
        <f>IF(AV18*V18/1000/86.4/0.365&gt;Basicinfo!AP18*Parameters!$C$15,Basicinfo!AP18*Parameters!$C$15,AV18*V18/1000/86.4/0.365)</f>
        <v>0</v>
      </c>
      <c r="AX18" s="19">
        <f>Basicinfo!AU18-Basicinfo!AW18</f>
        <v>481.27897156171423</v>
      </c>
      <c r="AY18" s="19">
        <f>Parameters!$C$56*AX18+Parameters!$C$57*Basicinfo!AW18</f>
        <v>303.6882494815714</v>
      </c>
      <c r="AZ18" s="19">
        <f>AY18*Basicinfo!BO18/1000/86.4/0.365</f>
        <v>3.3702157456361945E-2</v>
      </c>
      <c r="BA18" s="19">
        <f>IF(Basicinfo!AP18-AQ18-AR18-AU18-AW18-AZ18-Basicinfo!CB18-Basicinfo!CG18&lt;0,0,Basicinfo!AP18-AQ18-AR18-AU18-AW18-AZ18-Basicinfo!CB18-Basicinfo!CG18)</f>
        <v>1.2999761333087363</v>
      </c>
      <c r="BB18" s="53">
        <f t="shared" si="4"/>
        <v>532.12738660501736</v>
      </c>
      <c r="BC18" s="56">
        <f>IF(G18=0,0,((Basicinfo!H18*Basicinfo!BE18+Basicinfo!I18*Basicinfo!BF18+Basicinfo!J18*Basicinfo!BG18+Basicinfo!K18*Basicinfo!BH18+Basicinfo!L18*Basicinfo!BI18)*(1-Basicinfo!BN18/G18*Parameters!$C$26/100)/G18)*Basicinfo!BM18)</f>
        <v>3.484931068508633</v>
      </c>
      <c r="BD18" s="43">
        <f>IF(Basicinfo!AW18*Parameters!$C$39-Parameters!$C$40&lt;0,0.001,(Basicinfo!AW18*Parameters!$C$39-Parameters!$C$40)/(Basicinfo!AX18*Parameters!$C$39-Parameters!$C$40))</f>
        <v>1.1005699883945841</v>
      </c>
      <c r="BE18" s="43">
        <f>(BC18*G18*100+Basicinfo!BJ18*Basicinfo!M18*100)*Parameters!$C$29*BD18</f>
        <v>4735.8566478226712</v>
      </c>
      <c r="BF18" s="43">
        <f>(Basicinfo!BK18*Basicinfo!P18*100)*BD18*Parameters!$C$29</f>
        <v>361.70320653815878</v>
      </c>
      <c r="BG18" s="43">
        <f>Parameters!$C$27*(V18+W18)*100</f>
        <v>0</v>
      </c>
      <c r="BH18" s="43">
        <f>Parameters!$C$28*Basicinfo!R18*100</f>
        <v>0</v>
      </c>
      <c r="BI18" s="43">
        <f t="shared" si="29"/>
        <v>361.70320653815878</v>
      </c>
      <c r="BJ18" s="43">
        <f>IF(Basicinfo!AM18&lt;Parameters!$C$33,0,Parameters!$C$30*(((Basicinfo!AM18-Parameters!$C$33)^Parameters!$C$31)*(((G18-Basicinfo!BN18)/Basicinfo!G18*100+Parameters!$C$34))^Parameters!$C$32))</f>
        <v>2.0468014583748269</v>
      </c>
      <c r="BK18" s="58">
        <f t="shared" si="30"/>
        <v>458.63678947233439</v>
      </c>
      <c r="BL18" s="61">
        <f>Basicinfo!AZ18+Basicinfo!BA18</f>
        <v>1793.7704877523634</v>
      </c>
      <c r="BM18" s="19">
        <f>Basicinfo!BB18+Basicinfo!BC18</f>
        <v>2147.07525040369</v>
      </c>
      <c r="BN18" s="172">
        <f>IF(Basicinfo!AO18=0,0,IF(Basicinfo!AO18="NA",1,IF(OR(Basicinfo!AO18="SA",Basicinfo!AN18="S"),3,IF(Basicinfo!AN18="N",1,IF(Basicinfo!AO18="ZA",2,0)))))</f>
        <v>0</v>
      </c>
      <c r="BO18" s="27">
        <f>IF($BN18=1,(BL18)*(1+Parameters!$C$21*Parameters!$C$22-Parameters!$C$22*Basicinfo!$AL18),IF($BN18=2,(BL18)*(1+Parameters!$C$21*Parameters!$C$23-Parameters!$C$23*Basicinfo!$AL18),IF($BN18=3,(BL18)*(1+Parameters!$C$21*Parameters!$C$24-Parameters!$C$24*Basicinfo!$AL18),BL18)))</f>
        <v>1793.7704877523634</v>
      </c>
      <c r="BP18" s="27">
        <f>IF($BN18=1,(BM18)*(1+Parameters!$C$21*Parameters!$C$22-Parameters!$C$22*Basicinfo!$AL18),IF($BN18=2,(BM18)*(1+Parameters!$C$21*Parameters!$C$23-Parameters!$C$23*Basicinfo!$AL18),IF($BN18=3,(BM18)*(1+Parameters!$C$21*Parameters!$C$24-Parameters!$C$24*Basicinfo!$AL18),BM18)))</f>
        <v>2147.07525040369</v>
      </c>
      <c r="BQ18" s="27">
        <f>IF(Basicinfo!AU18=0,0,IF(G18+Basicinfo!M18=0,0,(Parameters!$C$16+BO18/Basicinfo!AU18)*G18+(Parameters!$C$17+BO18/Basicinfo!AU18)*Basicinfo!M18)/(G18+Basicinfo!M18))</f>
        <v>1.6926732653425272</v>
      </c>
      <c r="BR18" s="27">
        <f>IF(Basicinfo!AU18=0,0,IF(G18+Basicinfo!M18=0,0,(Parameters!$C$16+BP18/Basicinfo!AU18)*G18+(Parameters!$C$17+BP18/Basicinfo!AU18)*Basicinfo!M18)/(G18+Basicinfo!M18))</f>
        <v>2.0104600741279834</v>
      </c>
      <c r="BS18" s="27">
        <f>IF(Basicinfo!AU18=0,0,BO18/Basicinfo!AU18)</f>
        <v>1.6134415928010544</v>
      </c>
      <c r="BT18" s="27">
        <f>IF(Basicinfo!AU18=0,0,BP18/Basicinfo!AU18)</f>
        <v>1.9312284015865107</v>
      </c>
      <c r="BU18" s="27">
        <f>IF(SUM(G18,Basicinfo!M18,Basicinfo!P18,W18)=0,0,(BQ18*(G18+Basicinfo!M18)+BS18*(Basicinfo!P18+W18))/SUM(G18,Basicinfo!M18,Basicinfo!P18,W18))</f>
        <v>1.6571542520954143</v>
      </c>
      <c r="BV18" s="19">
        <f>IF(Basicinfo!BR18/Parameters!$C$10&gt;1,1,Basicinfo!BR18/Parameters!$C$10)</f>
        <v>0.231530063998381</v>
      </c>
      <c r="BW18" s="19">
        <f>Parameters!$C$5+Parameters!$C$6*EXP(BV18*Parameters!$C$8*Parameters!$C$7)</f>
        <v>3.5015620397172313E-2</v>
      </c>
      <c r="BX18" s="19">
        <f>Parameters!$C$5+Parameters!$C$6*EXP(BV18*Parameters!$C$9*Parameters!$C$7)</f>
        <v>3.5010910285542554E-2</v>
      </c>
      <c r="BY18" s="19">
        <f>IF(Basicinfo!AH18+Basicinfo!AI18+Basicinfo!AJ18+Basicinfo!AK18=0,0,(Parameters!$C$18*(Basicinfo!AH18+Basicinfo!AI18)+Parameters!$C$19*Basicinfo!AJ18+Parameters!$C$20*Basicinfo!AK18)/(Basicinfo!AH18+Basicinfo!AI18+Basicinfo!AJ18+Basicinfo!AK18))</f>
        <v>2.5036982763981117E-2</v>
      </c>
      <c r="BZ18" s="19">
        <f>IF(Basicinfo!AJ18+Basicinfo!AK18=0,Parameters!$C$18,(Parameters!$C$19*Basicinfo!AJ18+Parameters!$C$20*Basicinfo!AK18)/(Basicinfo!AJ18+Basicinfo!AK18))</f>
        <v>2.4999999999999998E-2</v>
      </c>
      <c r="CA18" s="19">
        <f>IF(SUM(G18,Basicinfo!M18,Basicinfo!P18,W18)=0,0,(BW18*G18+BX18*Basicinfo!M18+BY18*Basicinfo!P18+BZ18*W18)/(SUM(G18,Basicinfo!M18,Basicinfo!P18,W18)))</f>
        <v>3.0540353558567518E-2</v>
      </c>
      <c r="CB18" s="19">
        <f>IF(Y18=0,Basicinfo!BP18,Basicinfo!BP18-(AU18*X18/Y18*Intermediate!BQ18*86400*365/1000000)*1000/(X18*100))</f>
        <v>47.83586504731349</v>
      </c>
      <c r="CC18" s="19">
        <f>IF(Y18=0,Basicinfo!BQ18,Basicinfo!BQ18-(AU18*Basicinfo!AV18/Basicinfo!AU18*X18/Y18*Intermediate!BR18*86400*365/1000000)*1000/(X18*100))</f>
        <v>47.211818685111176</v>
      </c>
      <c r="CD18" s="19">
        <f>IF(OR(Y18=0,AA18=0),BP18/100,BP18/100-(AU18*Basicinfo!AV18/Basicinfo!AU18*(Basicinfo!P18+W18)/Y18*Intermediate!BT18*86400*365/1000000+AW18*Basicinfo!AV18/Basicinfo!AU18*Intermediate!BT18*86400*365/1000000)*1000/(AA18*100))</f>
        <v>19.060354021001867</v>
      </c>
      <c r="CE18" s="19">
        <f t="shared" si="5"/>
        <v>186593.80021138032</v>
      </c>
      <c r="CF18" s="19">
        <f t="shared" si="6"/>
        <v>71512.739233446977</v>
      </c>
      <c r="CG18" s="19">
        <f>IF(AY18=0,0,((CB18^Parameters!$C$58))/AY18*100)</f>
        <v>8.8178478110929515</v>
      </c>
      <c r="CH18" s="19">
        <f>IF(SUM(Basicinfo!AB18:AG18)=0,0,(Parameters!$C$59*Basicinfo!AB18+Parameters!$C$60*SUM(Basicinfo!AC18:AE18)+Parameters!$C$61*Basicinfo!AF18+Parameters!$C$62*Basicinfo!AG18)/SUM(Basicinfo!AB18:AG18))</f>
        <v>0.21067569920956489</v>
      </c>
      <c r="CI18" s="19">
        <f t="shared" si="31"/>
        <v>6</v>
      </c>
      <c r="CJ18" s="19">
        <f t="shared" si="8"/>
        <v>33.502146477997343</v>
      </c>
      <c r="CK18" s="19">
        <f t="shared" si="9"/>
        <v>6.2958884134383055</v>
      </c>
      <c r="CL18" s="19">
        <f>IF($BB18=0,0,$CJ18^Parameters!$C$58*100/$BB18)</f>
        <v>3.7178864972934615</v>
      </c>
      <c r="CM18" s="19">
        <f>IF(CK18=0,0,(1/(1+Parameters!$C$116*BB18^Parameters!$C$120)*Basicinfo!AH18/Basicinfo!G18+1/(1+Parameters!$C$117*BB18^Parameters!$C$121)*Basicinfo!AI18/Basicinfo!G18)*(CK18)^Parameters!$C$124+(1/(1+Parameters!$C$118*BB18^Parameters!$C$122)*Basicinfo!AJ18/Basicinfo!G18+1/(1+Parameters!$C$119*BB18^Parameters!$C$123)*Basicinfo!AK18/Basicinfo!G18)*(CK18)^Parameters!$C$125)</f>
        <v>1.2068127371475859</v>
      </c>
      <c r="CN18" s="19">
        <f>IF(SUM(Basicinfo!AB18:AG18)=0,0,(Parameters!$C$128*Basicinfo!AB18+Parameters!$C$129*(SUM(Basicinfo!AC18:AE18))+Parameters!$C$130*Basicinfo!AF18+Parameters!$C$131*Basicinfo!AG18)/SUM(Basicinfo!AB18:AG18))</f>
        <v>3.2844629855445381E-2</v>
      </c>
      <c r="CO18" s="19">
        <f>IF(Basicinfo!AH18+Basicinfo!AI18+Basicinfo!AJ18+Basicinfo!AK18=0,0,(Parameters!$C$132*(Basicinfo!AH18+Basicinfo!AI18)+Parameters!$C$133*Basicinfo!AJ18+Parameters!$C$134*Basicinfo!AK18)/(Basicinfo!AH18+Basicinfo!AI18+Basicinfo!AJ18+Basicinfo!AK18))</f>
        <v>5.0000000000000001E-4</v>
      </c>
      <c r="CP18" s="19">
        <f>IF(Basicinfo!AJ18+Basicinfo!AK18=0,0,(Parameters!$C$133*Basicinfo!AJ18+Parameters!$C$134*Basicinfo!AK18)/(Basicinfo!AJ18+Basicinfo!AK18))</f>
        <v>5.0000000000000001E-4</v>
      </c>
      <c r="CQ18" s="19">
        <f>IF(Z18=0,0,(CN18*(Z18-AA18)+CO18*Basicinfo!P18+CP18*(Basicinfo!Q18+Basicinfo!R18))/Z18)</f>
        <v>1.7076279318957624E-2</v>
      </c>
      <c r="CR18" s="289">
        <f>Basicinfo!EI18</f>
        <v>4.4678178947368419E-2</v>
      </c>
      <c r="CS18" s="19">
        <f>IF(SUM(Basicinfo!AB18:AG18)=0,0,(Basicinfo!AB18*Parameters!$C$43+(Basicinfo!AC18+Basicinfo!AD18)*Parameters!$C$44+Basicinfo!AE18*Parameters!$C$45+(Basicinfo!AF18+Basicinfo!AG18)*Parameters!$C$46)/SUM(Basicinfo!AB18:AG18))</f>
        <v>5.0318469885208712</v>
      </c>
      <c r="CT18" s="19">
        <f>(Parameters!$C$41*CS18+Parameters!$C$42)</f>
        <v>326.32483928291288</v>
      </c>
      <c r="CU18" s="19">
        <f>CT18+Basicinfo!BR18/(Parameters!$C$47*Parameters!$C$49*Parameters!$C$48*10000/1000000)</f>
        <v>407.87001905592757</v>
      </c>
      <c r="CV18" s="19">
        <f>IF(BK18/Basicinfo!G18&lt;Parameters!$C$35,Parameters!$C$35,Parameters!$C$37*(BK18/Basicinfo!G18)^Parameters!$C$38)</f>
        <v>3.4112795320094773</v>
      </c>
      <c r="CW18" s="19">
        <f>IF(BK18/Basicinfo!G18&lt;Parameters!$C$35,Parameters!$C$36,Parameters!$C$36*(BK18/Basicinfo!G18)^Parameters!$C$38)</f>
        <v>8.0165069002222715</v>
      </c>
      <c r="CX18" s="27">
        <f>IF(Basicinfo!AJ18+Basicinfo!AK18=0,0,(Parameters!$C$53*Basicinfo!AJ18+Parameters!$C$54*Basicinfo!AK18)/(Basicinfo!AJ18+Basicinfo!AK18))</f>
        <v>750</v>
      </c>
      <c r="CY18" s="56">
        <f>IF(Basicinfo!AU18*AB18=0,0,((Basicinfo!AZ18+Basicinfo!BA18)/Basicinfo!AU18+Parameters!$C$76/(Basicinfo!AU18*AB18)*100))</f>
        <v>2.6571420405024995</v>
      </c>
      <c r="CZ18" s="43">
        <f>IF(Basicinfo!AU18*AB18=0,0,(Parameters!$C$77)/(Basicinfo!AU18*AB18)*100)</f>
        <v>0.65231277981340308</v>
      </c>
      <c r="DA18" s="43">
        <f>IF(AD18+AJ18=0,0,((J18*Parameters!$C$96+Parameters!$C$94/100*S18*100*Parameters!$C$93/1000*86400*Parameters!$C$95/24*Parameters!$C$98)*AI18+AD18*CY18*86400*365)/((AD18+AJ18*AI18/365)*86400*365))</f>
        <v>9.1137711088522568</v>
      </c>
      <c r="DB18" s="43">
        <f>IF(AD18+AJ18=0,0,((J18*Parameters!$C$97+Parameters!$C$94/100*S18*100*Parameters!$C$93/1000*86400*Parameters!$C$95/24*Parameters!$C$99)*AI18+AD18*CZ18*86400*365)/((AD18+AJ18*AI18/365)*86400*365))</f>
        <v>1.6867675260625714</v>
      </c>
      <c r="DC18" s="42">
        <f>IF(AE18+AL18=0,0,((K18*Parameters!$C$96+Parameters!$C$94/100*T18*100*Parameters!$C$93/1000*86400*Parameters!$C$95/24*Parameters!$C$98)*365+AE18*CY18*86400*365)/((AE18+AL18)*86400*365))</f>
        <v>0</v>
      </c>
      <c r="DD18" s="42">
        <f>IF(AE18+AL18=0,0,((K18*Parameters!$C$97+Parameters!$C$94/100*T18*100*Parameters!$C$93/1000*86400*Parameters!$C$95/24*Parameters!$C$99)*365+AE18*CZ18*86400*365)/((AE18+AL18)*86400*365))</f>
        <v>0</v>
      </c>
      <c r="DE18" s="42">
        <f>IF(Basicinfo!AH18+Basicinfo!AI18+Basicinfo!AJ18+Basicinfo!AK18=0,0,((Basicinfo!AH18+Basicinfo!AI18)*Parameters!$C$107+(Basicinfo!AJ18+Basicinfo!AK18)*Parameters!$C$106)/(Basicinfo!AH18+Basicinfo!AI18+Basicinfo!AJ18+Basicinfo!AK18))</f>
        <v>50.147931055924481</v>
      </c>
      <c r="DF18" s="42">
        <f>IF(Basicinfo!AH18+Basicinfo!AI18+Basicinfo!AJ18+Basicinfo!AK18=0,0,((Basicinfo!AH18+Basicinfo!AI18)*Parameters!$C$109+(Basicinfo!AJ18+Basicinfo!AK18)*Parameters!$C$108)/(Basicinfo!AH18+Basicinfo!AI18+Basicinfo!AJ18+Basicinfo!AK18))</f>
        <v>50.147931055924481</v>
      </c>
      <c r="DG18" s="42">
        <f>Intermediate!AC18*Intermediate!CY18*(1-Parameters!$C$102/100*Basicinfo!BZ18/100)*(1-Parameters!$C$104/100*Basicinfo!CA18/100)*86400*365/1000000</f>
        <v>0.25378648141230276</v>
      </c>
      <c r="DH18" s="42">
        <f>Intermediate!AC18*Intermediate!CZ18*(1-Parameters!$C$103/100*Basicinfo!BZ18/100)*(1-Parameters!$C$105/100*Basicinfo!CA18/100)*86400*365/1000000</f>
        <v>6.2303092061203671E-2</v>
      </c>
      <c r="DI18" s="42">
        <f>(Intermediate!AK18*Intermediate!DA18+(Intermediate!AE18+Intermediate!AL18)*Intermediate!DC18)*86400*365/1000000</f>
        <v>0.61470156821907529</v>
      </c>
      <c r="DJ18" s="42">
        <f>(Intermediate!AK18*Intermediate!DB18+(Intermediate!AE18+Intermediate!AL18)*Intermediate!DD18)*86400*365/1000000</f>
        <v>0.11376834365354713</v>
      </c>
      <c r="DK18" s="42">
        <f>((Basicinfo!AZ18+Basicinfo!BA18)*Intermediate!AB18+Parameters!$C$76*100)/1000*Intermediate!U18*(1-Intermediate!DE18/100)+(1-Parameters!$C$110/100)*M18*Parameters!$C$100*(1-DE18/100)*365/1000000+(1-Parameters!$C$112/100)*P18*Parameters!$C$96*365/1000000+(1-Parameters!$C$112/100)*O18*Parameters!$C$96*(1-DE18/100)*365/1000000</f>
        <v>0.92382611419252425</v>
      </c>
      <c r="DL18" s="42">
        <f>Parameters!$C$77*100/1000*Intermediate!U18*(1-Intermediate!DF18/100)+(1-Parameters!$C$111/100)*M18*Parameters!$C$101*(1-DF18/100)*365/1000000+(1-Parameters!$C$113/100)*P18*Parameters!$C$97*365/1000000+(1-Parameters!$C$113/100)*O18*Parameters!$C$97*(1-DF18/100)*365/1000000</f>
        <v>0.14446408050765525</v>
      </c>
      <c r="DM18" s="31"/>
      <c r="DN18" s="31"/>
      <c r="DO18" s="31"/>
      <c r="DP18" s="31"/>
      <c r="DQ18" s="31"/>
      <c r="DR18" s="31"/>
      <c r="DS18" s="31"/>
      <c r="DT18" s="188">
        <f>BO18*(Basicinfo!$P18+Basicinfo!$Q18)/1000</f>
        <v>62.706924904985172</v>
      </c>
      <c r="DU18" s="188">
        <f>DT18*Basicinfo!$AZ18/(Basicinfo!$AZ18+Basicinfo!$BA18)</f>
        <v>40.789291729586871</v>
      </c>
      <c r="DV18" s="188">
        <f>DT18*Basicinfo!$BC18/(Basicinfo!$BB18+Basicinfo!$BC18)</f>
        <v>21.128660984784357</v>
      </c>
      <c r="DW18" s="188">
        <f>BP18*(Basicinfo!$P18+Basicinfo!$Q18)/1000</f>
        <v>75.057811136763149</v>
      </c>
      <c r="DX18" s="188">
        <f>DW18*Basicinfo!$BB18/(Basicinfo!$BB18+Basicinfo!$BC18)</f>
        <v>49.767605179899775</v>
      </c>
      <c r="DY18" s="188">
        <f>DW18*Basicinfo!$BC18/(Basicinfo!$BB18+Basicinfo!$BC18)</f>
        <v>25.290205956863375</v>
      </c>
      <c r="DZ18" s="188">
        <f t="shared" si="10"/>
        <v>77.172370321729957</v>
      </c>
      <c r="EA18" s="188">
        <f>DZ18*Basicinfo!$AZ18/(Basicinfo!$AZ18+Basicinfo!$BA18)</f>
        <v>50.198703433255197</v>
      </c>
      <c r="EB18" s="188">
        <f>DZ18*Basicinfo!$BC18/(Basicinfo!$BB18+Basicinfo!$BC18)</f>
        <v>26.002691925823303</v>
      </c>
      <c r="EC18" s="188">
        <f t="shared" si="11"/>
        <v>92.372400741409365</v>
      </c>
      <c r="ED18" s="188">
        <f>EC18*Basicinfo!$AZ18/(Basicinfo!$AZ18+Basicinfo!$BA18)</f>
        <v>60.08594437237528</v>
      </c>
      <c r="EE18" s="188">
        <f>EC18*Basicinfo!$BC18/(Basicinfo!$BB18+Basicinfo!$BC18)</f>
        <v>31.124236160091499</v>
      </c>
      <c r="EF18" s="190">
        <f>(Basicinfo!BP18-BL18/100)*Intermediate!X18/10</f>
        <v>138.71764512766237</v>
      </c>
      <c r="EG18" s="191">
        <f>(Basicinfo!BQ18-BM18/100)*Intermediate!X18/10</f>
        <v>122.33075381568892</v>
      </c>
      <c r="EH18" s="197">
        <f>IF(AU18=0,0,$BS18*((Basicinfo!$P18+Basicinfo!$Q18)*Intermediate!$AT18*1000+$AW18*3600*24*365)/1000000*Basicinfo!AZ18/(Basicinfo!$AZ18+Basicinfo!$BA18))</f>
        <v>5.0581242093133962</v>
      </c>
      <c r="EI18" s="197">
        <f>IF(AU18=0,0,$BS18*((Basicinfo!$P18+Basicinfo!$Q18)*Intermediate!$AT18*1000+$AW18*3600*24*365)/1000000*Basicinfo!BA18/(Basicinfo!$AZ18+Basicinfo!$BA18))</f>
        <v>2.7179219416285623</v>
      </c>
      <c r="EJ18" s="198">
        <f>IF(AU18=0,0,$BS18*($AT18*$X18*1000)/1000000*Basicinfo!AZ18/(Basicinfo!$AZ18+Basicinfo!$BA18))</f>
        <v>6.2249494008182271</v>
      </c>
      <c r="EK18" s="198">
        <f>IF(AU18=0,0,$BS18*($AT18*$X18*1000)/1000000*Basicinfo!BA18/(Basicinfo!$AZ18+Basicinfo!$BA18))</f>
        <v>3.3449013630110227</v>
      </c>
      <c r="EL18" s="147">
        <f>Parameters!$C$150/Basicinfo!$AV18*100</f>
        <v>9.302191120500547E-2</v>
      </c>
      <c r="EM18" s="147">
        <f>Parameters!$C$151/Basicinfo!$AV18*100</f>
        <v>0.18604382241001094</v>
      </c>
      <c r="EN18" s="147">
        <f>(Parameters!$C$150+Parameters!$C$151)/Intermediate!$BB18*100</f>
        <v>0.56377477940762566</v>
      </c>
      <c r="EO18" s="193">
        <f>IF(EN18=0,0,(1/(1+Parameters!$C$116*$BB18^Parameters!$C$120)*Basicinfo!$AH18/Basicinfo!$G18+1/(1+Parameters!$C$117*$BB18^Parameters!$C$121)*Basicinfo!$AI18/Basicinfo!$G18)*(EN18)^Parameters!$C$124+(1/(1+Parameters!$C$118*$BB18^Parameters!$C$122)*Basicinfo!$AJ18/Basicinfo!AW18+1/(1+Parameters!$C$119*$BB18^Parameters!$C$123)*Basicinfo!$AK18/Basicinfo!$G18)*(EN18)^Parameters!$C$125)</f>
        <v>0.15598378731737353</v>
      </c>
      <c r="EP18" s="199">
        <f>EL18*($AT18*Basicinfo!$P18*1000+$AW18*3600*24*365)/1000000</f>
        <v>0.44832281367134635</v>
      </c>
      <c r="EQ18" s="199">
        <f>EM18*($AT18*Basicinfo!$P18*1000+$AW18*3600*24*365)/1000000</f>
        <v>0.89664562734269271</v>
      </c>
      <c r="ER18" s="199">
        <f t="shared" si="12"/>
        <v>0.55174343587648245</v>
      </c>
      <c r="ES18" s="199">
        <f t="shared" si="13"/>
        <v>1.1034868717529649</v>
      </c>
      <c r="ET18" s="181">
        <f t="shared" si="14"/>
        <v>6.3947187291393295</v>
      </c>
      <c r="EU18" s="147">
        <f>Intermediate!F18*(Parameters!$C$150)/1000*100</f>
        <v>6.1679914654784201E-2</v>
      </c>
      <c r="EV18" s="147">
        <f>Intermediate!F18*(Parameters!$C$151)/1000*100</f>
        <v>0.1233598293095684</v>
      </c>
      <c r="EW18" s="181">
        <f>'Local emissions'!$S18*Basicinfo!AZ18/(Basicinfo!$AZ18+Basicinfo!$BA18)-Intermediate!EU18</f>
        <v>0.65800317620618987</v>
      </c>
      <c r="EX18" s="147">
        <f>'Local emissions'!$S18*Basicinfo!BA18/(Basicinfo!$AZ18+Basicinfo!$BA18)-Intermediate!EV18</f>
        <v>0.26335318577782152</v>
      </c>
      <c r="EY18" s="188">
        <f t="shared" si="15"/>
        <v>4.6098013956420498</v>
      </c>
      <c r="EZ18" s="188">
        <f t="shared" si="16"/>
        <v>1.8212763142858694</v>
      </c>
      <c r="FA18" s="188">
        <f t="shared" si="17"/>
        <v>5.6732059649417446</v>
      </c>
      <c r="FB18" s="181">
        <f t="shared" si="18"/>
        <v>2.241414491258058</v>
      </c>
      <c r="FC18" s="181">
        <f>'Local emissions'!Y18-Intermediate!ET18</f>
        <v>43.170751132095546</v>
      </c>
      <c r="FD18" s="188">
        <f t="shared" si="19"/>
        <v>7.4147492313777805</v>
      </c>
      <c r="FE18" s="188">
        <f t="shared" si="20"/>
        <v>3.7679236222476424</v>
      </c>
      <c r="FF18" s="181">
        <f t="shared" si="21"/>
        <v>4.4760262046084547</v>
      </c>
      <c r="FG18" s="201">
        <f t="shared" si="22"/>
        <v>2.3185604904138137</v>
      </c>
      <c r="FH18" s="181">
        <f t="shared" si="23"/>
        <v>25.193491583447852</v>
      </c>
      <c r="FJ18" s="147">
        <f>AVERAGE(Parameters!$C$132:$C$134)*'Local emissions'!J18*3600*24*365/1000000</f>
        <v>2.0498023670012151E-2</v>
      </c>
      <c r="FK18" s="147">
        <f>'Local emissions'!AJ18+CT18*BJ18/100*Intermediate!X18*100/1000000</f>
        <v>0.19150207907513189</v>
      </c>
      <c r="FL18" s="31">
        <f>(Parameters!$C$18*(Basicinfo!AH18+Basicinfo!AI18)+Parameters!$C$19*Basicinfo!AJ18+Parameters!$C$20*Basicinfo!AK18)/Basicinfo!G18</f>
        <v>2.5036982763981121E-2</v>
      </c>
      <c r="FM18" s="181">
        <f t="shared" si="24"/>
        <v>0.27923863904892998</v>
      </c>
    </row>
    <row r="19" spans="1:169">
      <c r="A19" s="39" t="str">
        <f>Basicinfo!A19</f>
        <v>Kleine Mühl</v>
      </c>
      <c r="B19" s="63">
        <f>Basicinfo!B19</f>
        <v>1110</v>
      </c>
      <c r="C19" s="63">
        <f>Basicinfo!C19</f>
        <v>5000</v>
      </c>
      <c r="D19" s="61">
        <f>Basicinfo!U19*Basicinfo!V19/1000+Basicinfo!Y19</f>
        <v>0.80033851773620401</v>
      </c>
      <c r="E19" s="19">
        <f>Basicinfo!W19*Basicinfo!X19/1000+Basicinfo!Z19</f>
        <v>0</v>
      </c>
      <c r="F19" s="19">
        <f t="shared" si="0"/>
        <v>0.80033851773620401</v>
      </c>
      <c r="G19" s="19">
        <f>SUM(Basicinfo!H19:L19)</f>
        <v>37.631642598540317</v>
      </c>
      <c r="H19" s="19">
        <f>IF(Basicinfo!N19&lt;Parameters!$C$68,Parameters!$C$69,Basicinfo!BS19/(Basicinfo!N19*100))</f>
        <v>15.194819962802978</v>
      </c>
      <c r="I19" s="19">
        <f>IF(Basicinfo!N19=0,0,Basicinfo!BU19*(1-Basicinfo!BX19/100))</f>
        <v>7572.887244625068</v>
      </c>
      <c r="J19" s="19">
        <f>IF(Basicinfo!N19=0,0,Basicinfo!BU19*Basicinfo!BX19/100)</f>
        <v>4447.5686992242463</v>
      </c>
      <c r="K19" s="19">
        <f>IF(Basicinfo!N19=0,0,Basicinfo!BT19-Basicinfo!BU19)</f>
        <v>0</v>
      </c>
      <c r="L19" s="27">
        <f>Basicinfo!BV19*Basicinfo!BW19/100</f>
        <v>1401.4933333333331</v>
      </c>
      <c r="M19" s="27">
        <f>Basicinfo!BV19-Intermediate!L19</f>
        <v>1401.4933333333331</v>
      </c>
      <c r="N19" s="73">
        <f>Basicinfo!BS19-SUM(I19:K19)-Basicinfo!BV19</f>
        <v>0</v>
      </c>
      <c r="O19" s="19">
        <f>IF(Basicinfo!AH19+Basicinfo!AI19+Basicinfo!AJ19+Basicinfo!AK19=0,0,N19*(Basicinfo!AH19+Basicinfo!AI19)/SUM(Basicinfo!AH19:AK19))</f>
        <v>0</v>
      </c>
      <c r="P19" s="73">
        <f t="shared" si="25"/>
        <v>0</v>
      </c>
      <c r="Q19" s="19">
        <f>IF(Basicinfo!BS19=0,Basicinfo!N19,IF(H19&gt;Parameters!$C$70,Parameters!$C$64*(Parameters!$C$65*Parameters!$C$70)^(Parameters!$C$66-Parameters!$C$67*LOG(Parameters!$C$65*Parameters!$C$70,10))/100*Basicinfo!N19,Parameters!$C$64*(Parameters!$C$65*H19)^(Parameters!$C$66-Parameters!$C$67*LOG(Parameters!$C$65*H19,10))/100*Basicinfo!N19))</f>
        <v>2.507226820781014</v>
      </c>
      <c r="R19" s="19">
        <f>IF(Basicinfo!BS19=0,Q19*(1-Basicinfo!BX19/100),IF(H19&lt;Parameters!$C$75,Q19*Basicinfo!BU19/Basicinfo!BS19*(1-Basicinfo!BX19/100)*(-Parameters!$C$74+Parameters!$C$73*LN(H19*100)),Q19*Basicinfo!BU19/Basicinfo!BS19*(1-Basicinfo!BX19/100)))</f>
        <v>0.70161810997858842</v>
      </c>
      <c r="S19" s="19">
        <f>IF(Basicinfo!BS19=0,Q19*Basicinfo!BX19/100,Q19*Basicinfo!BU19/Basicinfo!BS19*Basicinfo!BX19/100)</f>
        <v>0.75225869070727325</v>
      </c>
      <c r="T19" s="19">
        <f>IF(Basicinfo!BS19=0,0,IF(H19&lt;Parameters!$C$75,Q19*K19/Basicinfo!BS19*(-Parameters!$C$74+Parameters!$C$73*LN(H19*100)),Q19*K19/Basicinfo!BS19))</f>
        <v>0</v>
      </c>
      <c r="U19" s="19">
        <f t="shared" si="26"/>
        <v>1.0533500200951524</v>
      </c>
      <c r="V19" s="19">
        <f>IF(Basicinfo!AL19&gt;Parameters!$C$14,Basicinfo!Q19,0)</f>
        <v>0</v>
      </c>
      <c r="W19" s="19">
        <f>IF(Basicinfo!AL19&gt;Parameters!$C$14,0,Basicinfo!Q19)</f>
        <v>0</v>
      </c>
      <c r="X19" s="19">
        <f>G19+Basicinfo!M19</f>
        <v>115.05687934272785</v>
      </c>
      <c r="Y19" s="19">
        <f>IF(Basicinfo!G19-F19-Q19-V19-Basicinfo!O19-Basicinfo!R19-Basicinfo!S19&lt;0,0,Basicinfo!G19-F19-Q19-V19-Basicinfo!O19-Basicinfo!R19-Basicinfo!S19)</f>
        <v>198.2312848871303</v>
      </c>
      <c r="Z19" s="19">
        <f>Basicinfo!G19-F19-Basicinfo!BO19-Q19-Basicinfo!O19</f>
        <v>196.85159906556913</v>
      </c>
      <c r="AA19" s="53">
        <f>IF(Z19+Basicinfo!BO19-X19&gt;0,Z19+Basicinfo!BO19-X19,0)</f>
        <v>83.179738226754921</v>
      </c>
      <c r="AB19" s="56">
        <f>IF(Basicinfo!N19=0,0,Parameters!$C$71+Parameters!$C$72*Q19/Basicinfo!N19)</f>
        <v>0.34275309967799872</v>
      </c>
      <c r="AC19" s="43">
        <f>Basicinfo!AU19*AB19*R19/1000/86.4/0.365</f>
        <v>7.9513732547322608E-3</v>
      </c>
      <c r="AD19" s="43">
        <f>Basicinfo!AU19*AB19*S19/1000/86.4/0.365</f>
        <v>8.5252782801063381E-3</v>
      </c>
      <c r="AE19" s="43">
        <f>Basicinfo!AU19*AB19*T19/1000/86.4/0.365</f>
        <v>0</v>
      </c>
      <c r="AF19" s="43">
        <f>Basicinfo!AU19*AB19*U19/1000/86.4/0.365</f>
        <v>1.1937518514041612E-2</v>
      </c>
      <c r="AG19" s="43">
        <f>((Parameters!$C$80+Parameters!$C$81*Parameters!$C$89)/(Parameters!$C$82+Parameters!$C$89)/(Parameters!$C$90/100*Parameters!$C$91+(Parameters!$C$83+Parameters!$C$84*Parameters!$C$89)/(Parameters!$C$85+Parameters!$C$89)))-Parameters!$C$86+(Basicinfo!AU19-Parameters!$C$88)/Parameters!$C$87</f>
        <v>77.456597794887216</v>
      </c>
      <c r="AH19" s="43">
        <f>((Parameters!$C$80+Parameters!$C$81*Parameters!$C$89)/(Parameters!$C$82+Parameters!$C$89)/(Basicinfo!BY19/100*Parameters!$C$91+(Parameters!$C$83+Parameters!$C$84*Parameters!$C$89)/(Parameters!$C$85+Parameters!$C$89)))-Parameters!$C$86+(Basicinfo!AU19-Parameters!$C$88)/Parameters!$C$87</f>
        <v>59.653715928271644</v>
      </c>
      <c r="AI19" s="43">
        <f>Basicinfo!AU19^Parameters!$C$79*Parameters!$C$78*AH19/AG19</f>
        <v>32.447164172536539</v>
      </c>
      <c r="AJ19" s="43">
        <f>(J19*Parameters!$C$92/1000+Parameters!$C$94/100*S19*100*Parameters!$C$93/1000*86400*Parameters!$C$95/24)/86400</f>
        <v>6.7170189343563553E-3</v>
      </c>
      <c r="AK19" s="43">
        <f t="shared" si="1"/>
        <v>5.4418486015855583E-3</v>
      </c>
      <c r="AL19" s="43">
        <f>(K19*Parameters!$C$92/1000+Parameters!$C$94/100*T19*100*Parameters!$C$93/1000*86400*Parameters!$C$95/24)/86400</f>
        <v>0</v>
      </c>
      <c r="AM19" s="43">
        <f>(Intermediate!N19+Basicinfo!BV19-Intermediate!L19)*Parameters!$C$92/1000/86400</f>
        <v>2.1087283950617279E-3</v>
      </c>
      <c r="AN19" s="43">
        <f t="shared" si="2"/>
        <v>1.3037018542041538E-2</v>
      </c>
      <c r="AO19" s="43">
        <f t="shared" si="27"/>
        <v>5.4418486015855583E-3</v>
      </c>
      <c r="AP19" s="43">
        <f t="shared" si="28"/>
        <v>1.404624690910334E-2</v>
      </c>
      <c r="AQ19" s="43">
        <f t="shared" si="3"/>
        <v>2.7439468765421159E-2</v>
      </c>
      <c r="AR19" s="61">
        <f>(Basicinfo!AU19-Basicinfo!AY19)*F19/1000/86.4/0.365</f>
        <v>9.3356339760253763E-3</v>
      </c>
      <c r="AS19" s="19">
        <f>IF(Basicinfo!AP19-Basicinfo!CB19-Basicinfo!CG19&lt;0,0,(Basicinfo!AP19-Basicinfo!CB19-Basicinfo!CG19)/Basicinfo!G19*1000)</f>
        <v>16.341889115684726</v>
      </c>
      <c r="AT19" s="19">
        <f>Parameters!$C$3*((AS19*86.4*0.365)^Parameters!$C$4)</f>
        <v>102.08653360470424</v>
      </c>
      <c r="AU19" s="19">
        <f>IF(AT19/86.4/0.365*(Basicinfo!G19/1000)-AN19&lt;0,0,AT19/86.4/0.365*(Basicinfo!G19/1000)-AN19)</f>
        <v>0.6393902709452175</v>
      </c>
      <c r="AV19" s="19">
        <f>IF(Basicinfo!AU19&gt;Parameters!$C$13,Parameters!$C$11*(Basicinfo!AU19-Parameters!$C$13)^Parameters!$C$12,0)</f>
        <v>107.92458751845697</v>
      </c>
      <c r="AW19" s="19">
        <f>IF(AV19*V19/1000/86.4/0.365&gt;Basicinfo!AP19*Parameters!$C$15,Basicinfo!AP19*Parameters!$C$15,AV19*V19/1000/86.4/0.365)</f>
        <v>0</v>
      </c>
      <c r="AX19" s="19">
        <f>Basicinfo!AU19-Basicinfo!AW19</f>
        <v>439.48004094842861</v>
      </c>
      <c r="AY19" s="19">
        <f>Parameters!$C$56*AX19+Parameters!$C$57*Basicinfo!AW19</f>
        <v>280.06374328152856</v>
      </c>
      <c r="AZ19" s="19">
        <f>AY19*Basicinfo!BO19/1000/86.4/0.365</f>
        <v>1.2300021141560119E-2</v>
      </c>
      <c r="BA19" s="19">
        <f>IF(Basicinfo!AP19-AQ19-AR19-AU19-AW19-AZ19-Basicinfo!CB19-Basicinfo!CG19&lt;0,0,Basicinfo!AP19-AQ19-AR19-AU19-AW19-AZ19-Basicinfo!CB19-Basicinfo!CG19)</f>
        <v>2.6051472941655924</v>
      </c>
      <c r="BB19" s="53">
        <f t="shared" si="4"/>
        <v>417.34954381265089</v>
      </c>
      <c r="BC19" s="56">
        <f>IF(G19=0,0,((Basicinfo!H19*Basicinfo!BE19+Basicinfo!I19*Basicinfo!BF19+Basicinfo!J19*Basicinfo!BG19+Basicinfo!K19*Basicinfo!BH19+Basicinfo!L19*Basicinfo!BI19)*(1-Basicinfo!BN19/G19*Parameters!$C$26/100)/G19)*Basicinfo!BM19)</f>
        <v>2.9922348959789691</v>
      </c>
      <c r="BD19" s="43">
        <f>IF(Basicinfo!AW19*Parameters!$C$39-Parameters!$C$40&lt;0,0.001,(Basicinfo!AW19*Parameters!$C$39-Parameters!$C$40)/(Basicinfo!AX19*Parameters!$C$39-Parameters!$C$40))</f>
        <v>1.137527530283043</v>
      </c>
      <c r="BE19" s="43">
        <f>(BC19*G19*100+Basicinfo!BJ19*Basicinfo!M19*100)*Parameters!$C$29*BD19</f>
        <v>13680.681319305872</v>
      </c>
      <c r="BF19" s="43">
        <f>(Basicinfo!BK19*Basicinfo!P19*100)*BD19*Parameters!$C$29</f>
        <v>768.35963673580181</v>
      </c>
      <c r="BG19" s="43">
        <f>Parameters!$C$27*(V19+W19)*100</f>
        <v>0</v>
      </c>
      <c r="BH19" s="43">
        <f>Parameters!$C$28*Basicinfo!R19*100</f>
        <v>0</v>
      </c>
      <c r="BI19" s="43">
        <f t="shared" si="29"/>
        <v>768.35963673580181</v>
      </c>
      <c r="BJ19" s="43">
        <f>IF(Basicinfo!AM19&lt;Parameters!$C$33,0,Parameters!$C$30*(((Basicinfo!AM19-Parameters!$C$33)^Parameters!$C$31)*(((G19-Basicinfo!BN19)/Basicinfo!G19*100+Parameters!$C$34))^Parameters!$C$32))</f>
        <v>2.4630729295019425</v>
      </c>
      <c r="BK19" s="58">
        <f t="shared" si="30"/>
        <v>1105.324794883054</v>
      </c>
      <c r="BL19" s="61">
        <f>Basicinfo!AZ19+Basicinfo!BA19</f>
        <v>1587.4852176298971</v>
      </c>
      <c r="BM19" s="19">
        <f>Basicinfo!BB19+Basicinfo!BC19</f>
        <v>1858.9443872314143</v>
      </c>
      <c r="BN19" s="172">
        <f>IF(Basicinfo!AO19=0,0,IF(Basicinfo!AO19="NA",1,IF(OR(Basicinfo!AO19="SA",Basicinfo!AN19="S"),3,IF(Basicinfo!AN19="N",1,IF(Basicinfo!AO19="ZA",2,0)))))</f>
        <v>0</v>
      </c>
      <c r="BO19" s="27">
        <f>IF($BN19=1,(BL19)*(1+Parameters!$C$21*Parameters!$C$22-Parameters!$C$22*Basicinfo!$AL19),IF($BN19=2,(BL19)*(1+Parameters!$C$21*Parameters!$C$23-Parameters!$C$23*Basicinfo!$AL19),IF($BN19=3,(BL19)*(1+Parameters!$C$21*Parameters!$C$24-Parameters!$C$24*Basicinfo!$AL19),BL19)))</f>
        <v>1587.4852176298971</v>
      </c>
      <c r="BP19" s="27">
        <f>IF($BN19=1,(BM19)*(1+Parameters!$C$21*Parameters!$C$22-Parameters!$C$22*Basicinfo!$AL19),IF($BN19=2,(BM19)*(1+Parameters!$C$21*Parameters!$C$23-Parameters!$C$23*Basicinfo!$AL19),IF($BN19=3,(BM19)*(1+Parameters!$C$21*Parameters!$C$24-Parameters!$C$24*Basicinfo!$AL19),BM19)))</f>
        <v>1858.9443872314143</v>
      </c>
      <c r="BQ19" s="27">
        <f>IF(Basicinfo!AU19=0,0,IF(G19+Basicinfo!M19=0,0,(Parameters!$C$16+BO19/Basicinfo!AU19)*G19+(Parameters!$C$17+BO19/Basicinfo!AU19)*Basicinfo!M19)/(G19+Basicinfo!M19))</f>
        <v>1.6205712701565169</v>
      </c>
      <c r="BR19" s="27">
        <f>IF(Basicinfo!AU19=0,0,IF(G19+Basicinfo!M19=0,0,(Parameters!$C$16+BP19/Basicinfo!AU19)*G19+(Parameters!$C$17+BP19/Basicinfo!AU19)*Basicinfo!M19)/(G19+Basicinfo!M19))</f>
        <v>1.8809095014934154</v>
      </c>
      <c r="BS19" s="27">
        <f>IF(Basicinfo!AU19=0,0,BO19/Basicinfo!AU19)</f>
        <v>1.5224502986504731</v>
      </c>
      <c r="BT19" s="27">
        <f>IF(Basicinfo!AU19=0,0,BP19/Basicinfo!AU19)</f>
        <v>1.782788529987372</v>
      </c>
      <c r="BU19" s="27">
        <f>IF(SUM(G19,Basicinfo!M19,Basicinfo!P19,W19)=0,0,(BQ19*(G19+Basicinfo!M19)+BS19*(Basicinfo!P19+W19))/SUM(G19,Basicinfo!M19,Basicinfo!P19,W19))</f>
        <v>1.5815628760952571</v>
      </c>
      <c r="BV19" s="19">
        <f>IF(Basicinfo!BR19/Parameters!$C$10&gt;1,1,Basicinfo!BR19/Parameters!$C$10)</f>
        <v>0.2534206273699845</v>
      </c>
      <c r="BW19" s="19">
        <f>Parameters!$C$5+Parameters!$C$6*EXP(BV19*Parameters!$C$8*Parameters!$C$7)</f>
        <v>3.5021198934697281E-2</v>
      </c>
      <c r="BX19" s="19">
        <f>Parameters!$C$5+Parameters!$C$6*EXP(BV19*Parameters!$C$9*Parameters!$C$7)</f>
        <v>3.5014312724372366E-2</v>
      </c>
      <c r="BY19" s="19">
        <f>IF(Basicinfo!AH19+Basicinfo!AI19+Basicinfo!AJ19+Basicinfo!AK19=0,0,(Parameters!$C$18*(Basicinfo!AH19+Basicinfo!AI19)+Parameters!$C$19*Basicinfo!AJ19+Parameters!$C$20*Basicinfo!AK19)/(Basicinfo!AH19+Basicinfo!AI19+Basicinfo!AJ19+Basicinfo!AK19))</f>
        <v>2.5082789700585067E-2</v>
      </c>
      <c r="BZ19" s="19">
        <f>IF(Basicinfo!AJ19+Basicinfo!AK19=0,Parameters!$C$18,(Parameters!$C$19*Basicinfo!AJ19+Parameters!$C$20*Basicinfo!AK19)/(Basicinfo!AJ19+Basicinfo!AK19))</f>
        <v>2.5000000000000001E-2</v>
      </c>
      <c r="CA19" s="19">
        <f>IF(SUM(G19,Basicinfo!M19,Basicinfo!P19,W19)=0,0,(BW19*G19+BX19*Basicinfo!M19+BY19*Basicinfo!P19+BZ19*W19)/(SUM(G19,Basicinfo!M19,Basicinfo!P19,W19)))</f>
        <v>3.1067351945409726E-2</v>
      </c>
      <c r="CB19" s="19">
        <f>IF(Y19=0,Basicinfo!BP19,Basicinfo!BP19-(AU19*X19/Y19*Intermediate!BQ19*86400*365/1000000)*1000/(X19*100))</f>
        <v>47.417350274734218</v>
      </c>
      <c r="CC19" s="19">
        <f>IF(Y19=0,Basicinfo!BQ19,Basicinfo!BQ19-(AU19*Basicinfo!AV19/Basicinfo!AU19*X19/Y19*Intermediate!BR19*86400*365/1000000)*1000/(X19*100))</f>
        <v>45.562133194656546</v>
      </c>
      <c r="CD19" s="19">
        <f>IF(OR(Y19=0,AA19=0),BP19/100,BP19/100-(AU19*Basicinfo!AV19/Basicinfo!AU19*(Basicinfo!P19+W19)/Y19*Intermediate!BT19*86400*365/1000000+AW19*Basicinfo!AV19/Basicinfo!AU19*Intermediate!BT19*86400*365/1000000)*1000/(AA19*100))</f>
        <v>17.034550345907679</v>
      </c>
      <c r="CE19" s="19">
        <f t="shared" si="5"/>
        <v>517913.24640225165</v>
      </c>
      <c r="CF19" s="19">
        <f t="shared" si="6"/>
        <v>141692.94385830784</v>
      </c>
      <c r="CG19" s="19">
        <f>IF(AY19=0,0,((CB19^Parameters!$C$58))/AY19*100)</f>
        <v>9.4905154407070746</v>
      </c>
      <c r="CH19" s="19">
        <f>IF(SUM(Basicinfo!AB19:AG19)=0,0,(Parameters!$C$59*Basicinfo!AB19+Parameters!$C$60*SUM(Basicinfo!AC19:AE19)+Parameters!$C$61*Basicinfo!AF19+Parameters!$C$62*Basicinfo!AG19)/SUM(Basicinfo!AB19:AG19))</f>
        <v>0.2010469729358397</v>
      </c>
      <c r="CI19" s="19">
        <f t="shared" si="31"/>
        <v>7</v>
      </c>
      <c r="CJ19" s="19">
        <f t="shared" si="8"/>
        <v>33.507789288562087</v>
      </c>
      <c r="CK19" s="19">
        <f t="shared" si="9"/>
        <v>8.0287111332278833</v>
      </c>
      <c r="CL19" s="19">
        <f>IF($BB19=0,0,$CJ19^Parameters!$C$58*100/$BB19)</f>
        <v>4.7410437858349388</v>
      </c>
      <c r="CM19" s="19">
        <f>IF(CK19=0,0,(1/(1+Parameters!$C$116*BB19^Parameters!$C$120)*Basicinfo!AH19/Basicinfo!G19+1/(1+Parameters!$C$117*BB19^Parameters!$C$121)*Basicinfo!AI19/Basicinfo!G19)*(CK19)^Parameters!$C$124+(1/(1+Parameters!$C$118*BB19^Parameters!$C$122)*Basicinfo!AJ19/Basicinfo!G19+1/(1+Parameters!$C$119*BB19^Parameters!$C$123)*Basicinfo!AK19/Basicinfo!G19)*(CK19)^Parameters!$C$125)</f>
        <v>1.5080936174389949</v>
      </c>
      <c r="CN19" s="19">
        <f>IF(SUM(Basicinfo!AB19:AG19)=0,0,(Parameters!$C$128*Basicinfo!AB19+Parameters!$C$129*(SUM(Basicinfo!AC19:AE19))+Parameters!$C$130*Basicinfo!AF19+Parameters!$C$131*Basicinfo!AG19)/SUM(Basicinfo!AB19:AG19))</f>
        <v>3.0100184172310522E-2</v>
      </c>
      <c r="CO19" s="19">
        <f>IF(Basicinfo!AH19+Basicinfo!AI19+Basicinfo!AJ19+Basicinfo!AK19=0,0,(Parameters!$C$132*(Basicinfo!AH19+Basicinfo!AI19)+Parameters!$C$133*Basicinfo!AJ19+Parameters!$C$134*Basicinfo!AK19)/(Basicinfo!AH19+Basicinfo!AI19+Basicinfo!AJ19+Basicinfo!AK19))</f>
        <v>5.0000000000000001E-4</v>
      </c>
      <c r="CP19" s="19">
        <f>IF(Basicinfo!AJ19+Basicinfo!AK19=0,0,(Parameters!$C$133*Basicinfo!AJ19+Parameters!$C$134*Basicinfo!AK19)/(Basicinfo!AJ19+Basicinfo!AK19))</f>
        <v>5.0000000000000001E-4</v>
      </c>
      <c r="CQ19" s="19">
        <f>IF(Z19=0,0,(CN19*(Z19-AA19)+CO19*Basicinfo!P19+CP19*(Basicinfo!Q19+Basicinfo!R19))/Z19)</f>
        <v>1.7574187785678666E-2</v>
      </c>
      <c r="CR19" s="289">
        <f>Basicinfo!EI19</f>
        <v>3.9697213157894741E-2</v>
      </c>
      <c r="CS19" s="19">
        <f>IF(SUM(Basicinfo!AB19:AG19)=0,0,(Basicinfo!AB19*Parameters!$C$43+(Basicinfo!AC19+Basicinfo!AD19)*Parameters!$C$44+Basicinfo!AE19*Parameters!$C$45+(Basicinfo!AF19+Basicinfo!AG19)*Parameters!$C$46)/SUM(Basicinfo!AB19:AG19))</f>
        <v>4.8240957484157141</v>
      </c>
      <c r="CT19" s="19">
        <f>(Parameters!$C$41*CS19+Parameters!$C$42)</f>
        <v>324.20577663384029</v>
      </c>
      <c r="CU19" s="19">
        <f>CT19+Basicinfo!BR19/(Parameters!$C$47*Parameters!$C$49*Parameters!$C$48*10000/1000000)</f>
        <v>413.46084036163359</v>
      </c>
      <c r="CV19" s="19">
        <f>IF(BK19/Basicinfo!G19&lt;Parameters!$C$35,Parameters!$C$35,Parameters!$C$37*(BK19/Basicinfo!G19)^Parameters!$C$38)</f>
        <v>3.4420597897955485</v>
      </c>
      <c r="CW19" s="19">
        <f>IF(BK19/Basicinfo!G19&lt;Parameters!$C$35,Parameters!$C$36,Parameters!$C$36*(BK19/Basicinfo!G19)^Parameters!$C$38)</f>
        <v>8.0888405060195385</v>
      </c>
      <c r="CX19" s="27">
        <f>IF(Basicinfo!AJ19+Basicinfo!AK19=0,0,(Parameters!$C$53*Basicinfo!AJ19+Parameters!$C$54*Basicinfo!AK19)/(Basicinfo!AJ19+Basicinfo!AK19))</f>
        <v>750</v>
      </c>
      <c r="CY19" s="56">
        <f>IF(Basicinfo!AU19*AB19=0,0,((Basicinfo!AZ19+Basicinfo!BA19)/Basicinfo!AU19+Parameters!$C$76/(Basicinfo!AU19*AB19)*100))</f>
        <v>2.6416614641543492</v>
      </c>
      <c r="CZ19" s="43">
        <f>IF(Basicinfo!AU19*AB19=0,0,(Parameters!$C$77)/(Basicinfo!AU19*AB19)*100)</f>
        <v>0.69950697843992249</v>
      </c>
      <c r="DA19" s="43">
        <f>IF(AD19+AJ19=0,0,((J19*Parameters!$C$96+Parameters!$C$94/100*S19*100*Parameters!$C$93/1000*86400*Parameters!$C$95/24*Parameters!$C$98)*AI19+AD19*CY19*86400*365)/((AD19+AJ19*AI19/365)*86400*365))</f>
        <v>8.488801613529537</v>
      </c>
      <c r="DB19" s="43">
        <f>IF(AD19+AJ19=0,0,((J19*Parameters!$C$97+Parameters!$C$94/100*S19*100*Parameters!$C$93/1000*86400*Parameters!$C$95/24*Parameters!$C$99)*AI19+AD19*CZ19*86400*365)/((AD19+AJ19*AI19/365)*86400*365))</f>
        <v>1.6330602824287404</v>
      </c>
      <c r="DC19" s="42">
        <f>IF(AE19+AL19=0,0,((K19*Parameters!$C$96+Parameters!$C$94/100*T19*100*Parameters!$C$93/1000*86400*Parameters!$C$95/24*Parameters!$C$98)*365+AE19*CY19*86400*365)/((AE19+AL19)*86400*365))</f>
        <v>0</v>
      </c>
      <c r="DD19" s="42">
        <f>IF(AE19+AL19=0,0,((K19*Parameters!$C$97+Parameters!$C$94/100*T19*100*Parameters!$C$93/1000*86400*Parameters!$C$95/24*Parameters!$C$99)*365+AE19*CZ19*86400*365)/((AE19+AL19)*86400*365))</f>
        <v>0</v>
      </c>
      <c r="DE19" s="42">
        <f>IF(Basicinfo!AH19+Basicinfo!AI19+Basicinfo!AJ19+Basicinfo!AK19=0,0,((Basicinfo!AH19+Basicinfo!AI19)*Parameters!$C$107+(Basicinfo!AJ19+Basicinfo!AK19)*Parameters!$C$106)/(Basicinfo!AH19+Basicinfo!AI19+Basicinfo!AJ19+Basicinfo!AK19))</f>
        <v>50.331158802340269</v>
      </c>
      <c r="DF19" s="42">
        <f>IF(Basicinfo!AH19+Basicinfo!AI19+Basicinfo!AJ19+Basicinfo!AK19=0,0,((Basicinfo!AH19+Basicinfo!AI19)*Parameters!$C$109+(Basicinfo!AJ19+Basicinfo!AK19)*Parameters!$C$108)/(Basicinfo!AH19+Basicinfo!AI19+Basicinfo!AJ19+Basicinfo!AK19))</f>
        <v>50.331158802340269</v>
      </c>
      <c r="DG19" s="42">
        <f>Intermediate!AC19*Intermediate!CY19*(1-Parameters!$C$102/100*Basicinfo!BZ19/100)*(1-Parameters!$C$104/100*Basicinfo!CA19/100)*86400*365/1000000</f>
        <v>0.66240851800252221</v>
      </c>
      <c r="DH19" s="42">
        <f>Intermediate!AC19*Intermediate!CZ19*(1-Parameters!$C$103/100*Basicinfo!BZ19/100)*(1-Parameters!$C$105/100*Basicinfo!CA19/100)*86400*365/1000000</f>
        <v>0.17540452749464711</v>
      </c>
      <c r="DI19" s="42">
        <f>(Intermediate!AK19*Intermediate!DA19+(Intermediate!AE19+Intermediate!AL19)*Intermediate!DC19)*86400*365/1000000</f>
        <v>1.4567983673111025</v>
      </c>
      <c r="DJ19" s="42">
        <f>(Intermediate!AK19*Intermediate!DB19+(Intermediate!AE19+Intermediate!AL19)*Intermediate!DD19)*86400*365/1000000</f>
        <v>0.28025623185386495</v>
      </c>
      <c r="DK19" s="42">
        <f>((Basicinfo!AZ19+Basicinfo!BA19)*Intermediate!AB19+Parameters!$C$76*100)/1000*Intermediate!U19*(1-Intermediate!DE19/100)+(1-Parameters!$C$110/100)*M19*Parameters!$C$100*(1-DE19/100)*365/1000000+(1-Parameters!$C$112/100)*P19*Parameters!$C$96*365/1000000+(1-Parameters!$C$112/100)*O19*Parameters!$C$96*(1-DE19/100)*365/1000000</f>
        <v>2.5519846131272854</v>
      </c>
      <c r="DL19" s="42">
        <f>Parameters!$C$77*100/1000*Intermediate!U19*(1-Intermediate!DF19/100)+(1-Parameters!$C$111/100)*M19*Parameters!$C$101*(1-DF19/100)*365/1000000+(1-Parameters!$C$113/100)*P19*Parameters!$C$97*365/1000000+(1-Parameters!$C$113/100)*O19*Parameters!$C$97*(1-DF19/100)*365/1000000</f>
        <v>0.40567510004663421</v>
      </c>
      <c r="DM19" s="31"/>
      <c r="DN19" s="31"/>
      <c r="DO19" s="31"/>
      <c r="DP19" s="31"/>
      <c r="DQ19" s="31"/>
      <c r="DR19" s="31"/>
      <c r="DS19" s="31"/>
      <c r="DT19" s="188">
        <f>BO19*(Basicinfo!$P19+Basicinfo!$Q19)/1000</f>
        <v>120.53147067935089</v>
      </c>
      <c r="DU19" s="188">
        <f>DT19*Basicinfo!$AZ19/(Basicinfo!$AZ19+Basicinfo!$BA19)</f>
        <v>73.411052979387208</v>
      </c>
      <c r="DV19" s="188">
        <f>DT19*Basicinfo!$BC19/(Basicinfo!$BB19+Basicinfo!$BC19)</f>
        <v>45.182483115964864</v>
      </c>
      <c r="DW19" s="188">
        <f>BP19*(Basicinfo!$P19+Basicinfo!$Q19)/1000</f>
        <v>141.14229122627603</v>
      </c>
      <c r="DX19" s="188">
        <f>DW19*Basicinfo!$BB19/(Basicinfo!$BB19+Basicinfo!$BC19)</f>
        <v>88.233626341194451</v>
      </c>
      <c r="DY19" s="188">
        <f>DW19*Basicinfo!$BC19/(Basicinfo!$BB19+Basicinfo!$BC19)</f>
        <v>52.908664885081585</v>
      </c>
      <c r="DZ19" s="188">
        <f t="shared" si="10"/>
        <v>182.65109514320716</v>
      </c>
      <c r="EA19" s="188">
        <f>DZ19*Basicinfo!$AZ19/(Basicinfo!$AZ19+Basicinfo!$BA19)</f>
        <v>111.24571156998417</v>
      </c>
      <c r="EB19" s="188">
        <f>DZ19*Basicinfo!$BC19/(Basicinfo!$BB19+Basicinfo!$BC19)</f>
        <v>68.468674412634257</v>
      </c>
      <c r="EC19" s="188">
        <f t="shared" si="11"/>
        <v>213.88434006652599</v>
      </c>
      <c r="ED19" s="188">
        <f>EC19*Basicinfo!$AZ19/(Basicinfo!$AZ19+Basicinfo!$BA19)</f>
        <v>130.26867200397433</v>
      </c>
      <c r="EE19" s="188">
        <f>EC19*Basicinfo!$BC19/(Basicinfo!$BB19+Basicinfo!$BC19)</f>
        <v>80.176783120266677</v>
      </c>
      <c r="EF19" s="190">
        <f>(Basicinfo!BP19-BL19/100)*Intermediate!X19/10</f>
        <v>381.88437624110082</v>
      </c>
      <c r="EG19" s="191">
        <f>(Basicinfo!BQ19-BM19/100)*Intermediate!X19/10</f>
        <v>331.01732550137234</v>
      </c>
      <c r="EH19" s="197">
        <f>IF(AU19=0,0,$BS19*((Basicinfo!$P19+Basicinfo!$Q19)*Intermediate!$AT19*1000+$AW19*3600*24*365)/1000000*Basicinfo!AZ19/(Basicinfo!$AZ19+Basicinfo!$BA19))</f>
        <v>7.1872598158551213</v>
      </c>
      <c r="EI19" s="197">
        <f>IF(AU19=0,0,$BS19*((Basicinfo!$P19+Basicinfo!$Q19)*Intermediate!$AT19*1000+$AW19*3600*24*365)/1000000*Basicinfo!BA19/(Basicinfo!$AZ19+Basicinfo!$BA19))</f>
        <v>4.613292833932654</v>
      </c>
      <c r="EJ19" s="198">
        <f>IF(AU19=0,0,$BS19*($AT19*$X19*1000)/1000000*Basicinfo!AZ19/(Basicinfo!$AZ19+Basicinfo!$BA19))</f>
        <v>10.89143664343923</v>
      </c>
      <c r="EK19" s="198">
        <f>IF(AU19=0,0,$BS19*($AT19*$X19*1000)/1000000*Basicinfo!BA19/(Basicinfo!$AZ19+Basicinfo!$BA19))</f>
        <v>6.9908961002868173</v>
      </c>
      <c r="EL19" s="147">
        <f>Parameters!$C$150/Basicinfo!$AV19*100</f>
        <v>0.10209542017565658</v>
      </c>
      <c r="EM19" s="147">
        <f>Parameters!$C$151/Basicinfo!$AV19*100</f>
        <v>0.20419084035131316</v>
      </c>
      <c r="EN19" s="147">
        <f>(Parameters!$C$150+Parameters!$C$151)/Intermediate!$BB19*100</f>
        <v>0.71882191905466808</v>
      </c>
      <c r="EO19" s="193">
        <f>IF(EN19=0,0,(1/(1+Parameters!$C$116*$BB19^Parameters!$C$120)*Basicinfo!$AH19/Basicinfo!$G19+1/(1+Parameters!$C$117*$BB19^Parameters!$C$121)*Basicinfo!$AI19/Basicinfo!$G19)*(EN19)^Parameters!$C$124+(1/(1+Parameters!$C$118*$BB19^Parameters!$C$122)*Basicinfo!$AJ19/Basicinfo!AW19+1/(1+Parameters!$C$119*$BB19^Parameters!$C$123)*Basicinfo!$AK19/Basicinfo!$G19)*(EN19)^Parameters!$C$125)</f>
        <v>0.19571104241537954</v>
      </c>
      <c r="EP19" s="199">
        <f>EL19*($AT19*Basicinfo!$P19*1000+$AW19*3600*24*365)/1000000</f>
        <v>0.79134430999355521</v>
      </c>
      <c r="EQ19" s="199">
        <f>EM19*($AT19*Basicinfo!$P19*1000+$AW19*3600*24*365)/1000000</f>
        <v>1.5826886199871104</v>
      </c>
      <c r="ER19" s="199">
        <f t="shared" si="12"/>
        <v>1.1991880961959474</v>
      </c>
      <c r="ES19" s="199">
        <f t="shared" si="13"/>
        <v>2.3983761923918947</v>
      </c>
      <c r="ET19" s="181">
        <f t="shared" si="14"/>
        <v>16.078821735815858</v>
      </c>
      <c r="EU19" s="147">
        <f>Intermediate!F19*(Parameters!$C$150)/1000*100</f>
        <v>8.0033851773620407E-2</v>
      </c>
      <c r="EV19" s="147">
        <f>Intermediate!F19*(Parameters!$C$151)/1000*100</f>
        <v>0.16006770354724081</v>
      </c>
      <c r="EW19" s="181">
        <f>'Local emissions'!$S19*Basicinfo!AZ19/(Basicinfo!$AZ19+Basicinfo!$BA19)-Intermediate!EU19</f>
        <v>0.69379408803359455</v>
      </c>
      <c r="EX19" s="147">
        <f>'Local emissions'!$S19*Basicinfo!BA19/(Basicinfo!$AZ19+Basicinfo!$BA19)-Intermediate!EV19</f>
        <v>0.33662992265159131</v>
      </c>
      <c r="EY19" s="188">
        <f t="shared" si="15"/>
        <v>6.3959155058615664</v>
      </c>
      <c r="EZ19" s="188">
        <f t="shared" si="16"/>
        <v>3.0306042139455434</v>
      </c>
      <c r="FA19" s="188">
        <f t="shared" si="17"/>
        <v>9.6922485472432829</v>
      </c>
      <c r="FB19" s="181">
        <f t="shared" si="18"/>
        <v>4.592519907894923</v>
      </c>
      <c r="FC19" s="181">
        <f>'Local emissions'!Y19-Intermediate!ET19</f>
        <v>107.83113245798253</v>
      </c>
      <c r="FD19" s="188">
        <f t="shared" si="19"/>
        <v>13.868399765089613</v>
      </c>
      <c r="FE19" s="188">
        <f t="shared" si="20"/>
        <v>8.3160870304261056</v>
      </c>
      <c r="FF19" s="181">
        <f t="shared" si="21"/>
        <v>10.237695622031692</v>
      </c>
      <c r="FG19" s="201">
        <f t="shared" si="22"/>
        <v>6.3010199529315551</v>
      </c>
      <c r="FH19" s="181">
        <f t="shared" si="23"/>
        <v>69.107930087503576</v>
      </c>
      <c r="FJ19" s="147">
        <f>AVERAGE(Parameters!$C$132:$C$134)*'Local emissions'!J19*3600*24*365/1000000</f>
        <v>4.1077962534403059E-2</v>
      </c>
      <c r="FK19" s="147">
        <f>'Local emissions'!AJ19+CT19*BJ19/100*Intermediate!X19*100/1000000</f>
        <v>0.43763964138378031</v>
      </c>
      <c r="FL19" s="31">
        <f>(Parameters!$C$18*(Basicinfo!AH19+Basicinfo!AI19)+Parameters!$C$19*Basicinfo!AJ19+Parameters!$C$20*Basicinfo!AK19)/Basicinfo!G19</f>
        <v>2.5082789700585067E-2</v>
      </c>
      <c r="FM19" s="181">
        <f t="shared" ref="FM19:FM71" si="32">FL19*(AU19+AW19)*3600*24*365/1000000</f>
        <v>0.50576464553694622</v>
      </c>
    </row>
    <row r="20" spans="1:169">
      <c r="A20" s="39" t="str">
        <f>Basicinfo!A20</f>
        <v>Steinerne Mühl</v>
      </c>
      <c r="B20" s="63">
        <f>Basicinfo!B20</f>
        <v>1120</v>
      </c>
      <c r="C20" s="63">
        <f>Basicinfo!C20</f>
        <v>1130</v>
      </c>
      <c r="D20" s="61">
        <f>Basicinfo!U20*Basicinfo!V20/1000+Basicinfo!Y20</f>
        <v>0.45742748997418581</v>
      </c>
      <c r="E20" s="19">
        <f>Basicinfo!W20*Basicinfo!X20/1000+Basicinfo!Z20</f>
        <v>0</v>
      </c>
      <c r="F20" s="19">
        <f t="shared" si="0"/>
        <v>0.45742748997418581</v>
      </c>
      <c r="G20" s="19">
        <f>SUM(Basicinfo!H20:L20)</f>
        <v>11.157726386104647</v>
      </c>
      <c r="H20" s="19">
        <f>IF(Basicinfo!N20&lt;Parameters!$C$68,Parameters!$C$69,Basicinfo!BS20/(Basicinfo!N20*100))</f>
        <v>15.642711671471483</v>
      </c>
      <c r="I20" s="19">
        <f>IF(Basicinfo!N20=0,0,Basicinfo!BU20*(1-Basicinfo!BX20/100))</f>
        <v>3176.437866921874</v>
      </c>
      <c r="J20" s="19">
        <f>IF(Basicinfo!N20=0,0,Basicinfo!BU20*Basicinfo!BX20/100)</f>
        <v>1865.5270012080846</v>
      </c>
      <c r="K20" s="19">
        <f>IF(Basicinfo!N20=0,0,Basicinfo!BT20-Basicinfo!BU20)</f>
        <v>0</v>
      </c>
      <c r="L20" s="27">
        <f>Basicinfo!BV20*Basicinfo!BW20/100</f>
        <v>588.56000000000006</v>
      </c>
      <c r="M20" s="27">
        <f>Basicinfo!BV20-Intermediate!L20</f>
        <v>588.56000000000006</v>
      </c>
      <c r="N20" s="73">
        <f>Basicinfo!BS20-SUM(I20:K20)-Basicinfo!BV20</f>
        <v>0</v>
      </c>
      <c r="O20" s="19">
        <f>IF(Basicinfo!AH20+Basicinfo!AI20+Basicinfo!AJ20+Basicinfo!AK20=0,0,N20*(Basicinfo!AH20+Basicinfo!AI20)/SUM(Basicinfo!AH20:AK20))</f>
        <v>0</v>
      </c>
      <c r="P20" s="73">
        <f t="shared" si="25"/>
        <v>0</v>
      </c>
      <c r="Q20" s="19">
        <f>IF(Basicinfo!BS20=0,Basicinfo!N20,IF(H20&gt;Parameters!$C$70,Parameters!$C$64*(Parameters!$C$65*Parameters!$C$70)^(Parameters!$C$66-Parameters!$C$67*LOG(Parameters!$C$65*Parameters!$C$70,10))/100*Basicinfo!N20,Parameters!$C$64*(Parameters!$C$65*H20)^(Parameters!$C$66-Parameters!$C$67*LOG(Parameters!$C$65*H20,10))/100*Basicinfo!N20))</f>
        <v>1.0370490670499375</v>
      </c>
      <c r="R20" s="19">
        <f>IF(Basicinfo!BS20=0,Q20*(1-Basicinfo!BX20/100),IF(H20&lt;Parameters!$C$75,Q20*Basicinfo!BU20/Basicinfo!BS20*(1-Basicinfo!BX20/100)*(-Parameters!$C$74+Parameters!$C$73*LN(H20*100)),Q20*Basicinfo!BU20/Basicinfo!BS20*(1-Basicinfo!BX20/100)))</f>
        <v>0.29206365448180571</v>
      </c>
      <c r="S20" s="19">
        <f>IF(Basicinfo!BS20=0,Q20*Basicinfo!BX20/100,Q20*Basicinfo!BU20/Basicinfo!BS20*Basicinfo!BX20/100)</f>
        <v>0.31108162650641674</v>
      </c>
      <c r="T20" s="19">
        <f>IF(Basicinfo!BS20=0,0,IF(H20&lt;Parameters!$C$75,Q20*K20/Basicinfo!BS20*(-Parameters!$C$74+Parameters!$C$73*LN(H20*100)),Q20*K20/Basicinfo!BS20))</f>
        <v>0</v>
      </c>
      <c r="U20" s="19">
        <f t="shared" si="26"/>
        <v>0.43390378606171504</v>
      </c>
      <c r="V20" s="19">
        <f>IF(Basicinfo!AL20&gt;Parameters!$C$14,Basicinfo!Q20,0)</f>
        <v>0</v>
      </c>
      <c r="W20" s="19">
        <f>IF(Basicinfo!AL20&gt;Parameters!$C$14,0,Basicinfo!Q20)</f>
        <v>0</v>
      </c>
      <c r="X20" s="19">
        <f>G20+Basicinfo!M20</f>
        <v>49.140385576960419</v>
      </c>
      <c r="Y20" s="19">
        <f>IF(Basicinfo!G20-F20-Q20-V20-Basicinfo!O20-Basicinfo!R20-Basicinfo!S20&lt;0,0,Basicinfo!G20-F20-Q20-V20-Basicinfo!O20-Basicinfo!R20-Basicinfo!S20)</f>
        <v>107.40376730399211</v>
      </c>
      <c r="Z20" s="19">
        <f>Basicinfo!G20-F20-Basicinfo!BO20-Q20-Basicinfo!O20</f>
        <v>105.006673148342</v>
      </c>
      <c r="AA20" s="53">
        <f>IF(Z20+Basicinfo!BO20-X20&gt;0,Z20+Basicinfo!BO20-X20,0)</f>
        <v>58.270971460015467</v>
      </c>
      <c r="AB20" s="56">
        <f>IF(Basicinfo!N20=0,0,Parameters!$C$71+Parameters!$C$72*Q20/Basicinfo!N20)</f>
        <v>0.34563480667584867</v>
      </c>
      <c r="AC20" s="43">
        <f>Basicinfo!AU20*AB20*R20/1000/86.4/0.365</f>
        <v>3.1164532454720276E-3</v>
      </c>
      <c r="AD20" s="43">
        <f>Basicinfo!AU20*AB20*S20/1000/86.4/0.365</f>
        <v>3.3193837358938935E-3</v>
      </c>
      <c r="AE20" s="43">
        <f>Basicinfo!AU20*AB20*T20/1000/86.4/0.365</f>
        <v>0</v>
      </c>
      <c r="AF20" s="43">
        <f>Basicinfo!AU20*AB20*U20/1000/86.4/0.365</f>
        <v>4.6299525515896426E-3</v>
      </c>
      <c r="AG20" s="43">
        <f>((Parameters!$C$80+Parameters!$C$81*Parameters!$C$89)/(Parameters!$C$82+Parameters!$C$89)/(Parameters!$C$90/100*Parameters!$C$91+(Parameters!$C$83+Parameters!$C$84*Parameters!$C$89)/(Parameters!$C$85+Parameters!$C$89)))-Parameters!$C$86+(Basicinfo!AU20-Parameters!$C$88)/Parameters!$C$87</f>
        <v>75.728199297590791</v>
      </c>
      <c r="AH20" s="43">
        <f>((Parameters!$C$80+Parameters!$C$81*Parameters!$C$89)/(Parameters!$C$82+Parameters!$C$89)/(Basicinfo!BY20/100*Parameters!$C$91+(Parameters!$C$83+Parameters!$C$84*Parameters!$C$89)/(Parameters!$C$85+Parameters!$C$89)))-Parameters!$C$86+(Basicinfo!AU20-Parameters!$C$88)/Parameters!$C$87</f>
        <v>57.92531743097522</v>
      </c>
      <c r="AI20" s="43">
        <f>Basicinfo!AU20^Parameters!$C$79*Parameters!$C$78*AH20/AG20</f>
        <v>27.147049192314459</v>
      </c>
      <c r="AJ20" s="43">
        <f>(J20*Parameters!$C$92/1000+Parameters!$C$94/100*S20*100*Parameters!$C$93/1000*86400*Parameters!$C$95/24)/86400</f>
        <v>2.8172965884420077E-3</v>
      </c>
      <c r="AK20" s="43">
        <f t="shared" si="1"/>
        <v>2.0441389889808786E-3</v>
      </c>
      <c r="AL20" s="43">
        <f>(K20*Parameters!$C$92/1000+Parameters!$C$94/100*T20*100*Parameters!$C$93/1000*86400*Parameters!$C$95/24)/86400</f>
        <v>0</v>
      </c>
      <c r="AM20" s="43">
        <f>(Intermediate!N20+Basicinfo!BV20-Intermediate!L20)*Parameters!$C$92/1000/86400</f>
        <v>8.8556481481481483E-4</v>
      </c>
      <c r="AN20" s="43">
        <f t="shared" si="2"/>
        <v>5.03921681124073E-3</v>
      </c>
      <c r="AO20" s="43">
        <f t="shared" si="27"/>
        <v>2.0441389889808786E-3</v>
      </c>
      <c r="AP20" s="43">
        <f t="shared" si="28"/>
        <v>5.5155173664044573E-3</v>
      </c>
      <c r="AQ20" s="43">
        <f t="shared" si="3"/>
        <v>1.0676109600857363E-2</v>
      </c>
      <c r="AR20" s="61">
        <f>(Basicinfo!AU20-Basicinfo!AY20)*F20/1000/86.4/0.365</f>
        <v>4.7799201754787678E-3</v>
      </c>
      <c r="AS20" s="19">
        <f>IF(Basicinfo!AP20-Basicinfo!CB20-Basicinfo!CG20&lt;0,0,(Basicinfo!AP20-Basicinfo!CB20-Basicinfo!CG20)/Basicinfo!G20*1000)</f>
        <v>15.055788214737605</v>
      </c>
      <c r="AT20" s="19">
        <f>Parameters!$C$3*((AS20*86.4*0.365)^Parameters!$C$4)</f>
        <v>92.17408596477874</v>
      </c>
      <c r="AU20" s="19">
        <f>IF(AT20/86.4/0.365*(Basicinfo!G20/1000)-AN20&lt;0,0,AT20/86.4/0.365*(Basicinfo!G20/1000)-AN20)</f>
        <v>0.31327305068493011</v>
      </c>
      <c r="AV20" s="19">
        <f>IF(Basicinfo!AU20&gt;Parameters!$C$13,Parameters!$C$11*(Basicinfo!AU20-Parameters!$C$13)^Parameters!$C$12,0)</f>
        <v>88.259567923005207</v>
      </c>
      <c r="AW20" s="19">
        <f>IF(AV20*V20/1000/86.4/0.365&gt;Basicinfo!AP20*Parameters!$C$15,Basicinfo!AP20*Parameters!$C$15,AV20*V20/1000/86.4/0.365)</f>
        <v>0</v>
      </c>
      <c r="AX20" s="19">
        <f>Basicinfo!AU20-Basicinfo!AW20</f>
        <v>375.8304537034287</v>
      </c>
      <c r="AY20" s="19">
        <f>Parameters!$C$56*AX20+Parameters!$C$57*Basicinfo!AW20</f>
        <v>247.69031439434292</v>
      </c>
      <c r="AZ20" s="19">
        <f>AY20*Basicinfo!BO20/1000/86.4/0.365</f>
        <v>1.8886888267210147E-2</v>
      </c>
      <c r="BA20" s="19">
        <f>IF(Basicinfo!AP20-AQ20-AR20-AU20-AW20-AZ20-Basicinfo!CB20-Basicinfo!CG20&lt;0,0,Basicinfo!AP20-AQ20-AR20-AU20-AW20-AZ20-Basicinfo!CB20-Basicinfo!CG20)</f>
        <v>1.2920471972122434</v>
      </c>
      <c r="BB20" s="53">
        <f t="shared" si="4"/>
        <v>388.03248583757903</v>
      </c>
      <c r="BC20" s="56">
        <f>IF(G20=0,0,((Basicinfo!H20*Basicinfo!BE20+Basicinfo!I20*Basicinfo!BF20+Basicinfo!J20*Basicinfo!BG20+Basicinfo!K20*Basicinfo!BH20+Basicinfo!L20*Basicinfo!BI20)*(1-Basicinfo!BN20/G20*Parameters!$C$26/100)/G20)*Basicinfo!BM20)</f>
        <v>2.5725120457550217</v>
      </c>
      <c r="BD20" s="43">
        <f>IF(Basicinfo!AW20*Parameters!$C$39-Parameters!$C$40&lt;0,0.001,(Basicinfo!AW20*Parameters!$C$39-Parameters!$C$40)/(Basicinfo!AX20*Parameters!$C$39-Parameters!$C$40))</f>
        <v>1.1077629280519481</v>
      </c>
      <c r="BE20" s="43">
        <f>(BC20*G20*100+Basicinfo!BJ20*Basicinfo!M20*100)*Parameters!$C$29*BD20</f>
        <v>3636.5790328086432</v>
      </c>
      <c r="BF20" s="43">
        <f>(Basicinfo!BK20*Basicinfo!P20*100)*BD20*Parameters!$C$29</f>
        <v>573.6132689438997</v>
      </c>
      <c r="BG20" s="43">
        <f>Parameters!$C$27*(V20+W20)*100</f>
        <v>0</v>
      </c>
      <c r="BH20" s="43">
        <f>Parameters!$C$28*Basicinfo!R20*100</f>
        <v>0</v>
      </c>
      <c r="BI20" s="43">
        <f t="shared" si="29"/>
        <v>573.6132689438997</v>
      </c>
      <c r="BJ20" s="43">
        <f>IF(Basicinfo!AM20&lt;Parameters!$C$33,0,Parameters!$C$30*(((Basicinfo!AM20-Parameters!$C$33)^Parameters!$C$31)*(((G20-Basicinfo!BN20)/Basicinfo!G20*100+Parameters!$C$34))^Parameters!$C$32))</f>
        <v>1.8518468988710062</v>
      </c>
      <c r="BK20" s="58">
        <f t="shared" si="30"/>
        <v>640.95714498795974</v>
      </c>
      <c r="BL20" s="61">
        <f>Basicinfo!AZ20+Basicinfo!BA20</f>
        <v>1345.9242714496904</v>
      </c>
      <c r="BM20" s="19">
        <f>Basicinfo!BB20+Basicinfo!BC20</f>
        <v>1809.7415754161939</v>
      </c>
      <c r="BN20" s="172">
        <f>IF(Basicinfo!AO20=0,0,IF(Basicinfo!AO20="NA",1,IF(OR(Basicinfo!AO20="SA",Basicinfo!AN20="S"),3,IF(Basicinfo!AN20="N",1,IF(Basicinfo!AO20="ZA",2,0)))))</f>
        <v>0</v>
      </c>
      <c r="BO20" s="27">
        <f>IF($BN20=1,(BL20)*(1+Parameters!$C$21*Parameters!$C$22-Parameters!$C$22*Basicinfo!$AL20),IF($BN20=2,(BL20)*(1+Parameters!$C$21*Parameters!$C$23-Parameters!$C$23*Basicinfo!$AL20),IF($BN20=3,(BL20)*(1+Parameters!$C$21*Parameters!$C$24-Parameters!$C$24*Basicinfo!$AL20),BL20)))</f>
        <v>1345.9242714496904</v>
      </c>
      <c r="BP20" s="27">
        <f>IF($BN20=1,(BM20)*(1+Parameters!$C$21*Parameters!$C$22-Parameters!$C$22*Basicinfo!$AL20),IF($BN20=2,(BM20)*(1+Parameters!$C$21*Parameters!$C$23-Parameters!$C$23*Basicinfo!$AL20),IF($BN20=3,(BM20)*(1+Parameters!$C$21*Parameters!$C$24-Parameters!$C$24*Basicinfo!$AL20),BM20)))</f>
        <v>1809.7415754161939</v>
      </c>
      <c r="BQ20" s="27">
        <f>IF(Basicinfo!AU20=0,0,IF(G20+Basicinfo!M20=0,0,(Parameters!$C$16+BO20/Basicinfo!AU20)*G20+(Parameters!$C$17+BO20/Basicinfo!AU20)*Basicinfo!M20)/(G20+Basicinfo!M20))</f>
        <v>1.4505641283779955</v>
      </c>
      <c r="BR20" s="27">
        <f>IF(Basicinfo!AU20=0,0,IF(G20+Basicinfo!M20=0,0,(Parameters!$C$16+BP20/Basicinfo!AU20)*G20+(Parameters!$C$17+BP20/Basicinfo!AU20)*Basicinfo!M20)/(G20+Basicinfo!M20))</f>
        <v>1.92696737286206</v>
      </c>
      <c r="BS20" s="27">
        <f>IF(Basicinfo!AU20=0,0,BO20/Basicinfo!AU20)</f>
        <v>1.3824466751563671</v>
      </c>
      <c r="BT20" s="27">
        <f>IF(Basicinfo!AU20=0,0,BP20/Basicinfo!AU20)</f>
        <v>1.8588499196404313</v>
      </c>
      <c r="BU20" s="27">
        <f>IF(SUM(G20,Basicinfo!M20,Basicinfo!P20,W20)=0,0,(BQ20*(G20+Basicinfo!M20)+BS20*(Basicinfo!P20+W20))/SUM(G20,Basicinfo!M20,Basicinfo!P20,W20))</f>
        <v>1.4144891241354345</v>
      </c>
      <c r="BV20" s="19">
        <f>IF(Basicinfo!BR20/Parameters!$C$10&gt;1,1,Basicinfo!BR20/Parameters!$C$10)</f>
        <v>0.22557915061227693</v>
      </c>
      <c r="BW20" s="19">
        <f>Parameters!$C$5+Parameters!$C$6*EXP(BV20*Parameters!$C$8*Parameters!$C$7)</f>
        <v>3.5014376031340229E-2</v>
      </c>
      <c r="BX20" s="19">
        <f>Parameters!$C$5+Parameters!$C$6*EXP(BV20*Parameters!$C$9*Parameters!$C$7)</f>
        <v>3.5010134187876116E-2</v>
      </c>
      <c r="BY20" s="19">
        <f>IF(Basicinfo!AH20+Basicinfo!AI20+Basicinfo!AJ20+Basicinfo!AK20=0,0,(Parameters!$C$18*(Basicinfo!AH20+Basicinfo!AI20)+Parameters!$C$19*Basicinfo!AJ20+Parameters!$C$20*Basicinfo!AK20)/(Basicinfo!AH20+Basicinfo!AI20+Basicinfo!AJ20+Basicinfo!AK20))</f>
        <v>2.5233546125708634E-2</v>
      </c>
      <c r="BZ20" s="19">
        <f>IF(Basicinfo!AJ20+Basicinfo!AK20=0,Parameters!$C$18,(Parameters!$C$19*Basicinfo!AJ20+Parameters!$C$20*Basicinfo!AK20)/(Basicinfo!AJ20+Basicinfo!AK20))</f>
        <v>2.5000000000000001E-2</v>
      </c>
      <c r="CA20" s="19">
        <f>IF(SUM(G20,Basicinfo!M20,Basicinfo!P20,W20)=0,0,(BW20*G20+BX20*Basicinfo!M20+BY20*Basicinfo!P20+BZ20*W20)/(SUM(G20,Basicinfo!M20,Basicinfo!P20,W20)))</f>
        <v>2.9832906067784121E-2</v>
      </c>
      <c r="CB20" s="19">
        <f>IF(Y20=0,Basicinfo!BP20,Basicinfo!BP20-(AU20*X20/Y20*Intermediate!BQ20*86400*365/1000000)*1000/(X20*100))</f>
        <v>45.932553789116852</v>
      </c>
      <c r="CC20" s="19">
        <f>IF(Y20=0,Basicinfo!BQ20,Basicinfo!BQ20-(AU20*Basicinfo!AV20/Basicinfo!AU20*X20/Y20*Intermediate!BR20*86400*365/1000000)*1000/(X20*100))</f>
        <v>42.795677337852943</v>
      </c>
      <c r="CD20" s="19">
        <f>IF(OR(Y20=0,AA20=0),BP20/100,BP20/100-(AU20*Basicinfo!AV20/Basicinfo!AU20*(Basicinfo!P20+W20)/Y20*Intermediate!BT20*86400*365/1000000+AW20*Basicinfo!AV20/Basicinfo!AU20*Intermediate!BT20*86400*365/1000000)*1000/(AA20*100))</f>
        <v>16.529678906051675</v>
      </c>
      <c r="CE20" s="19">
        <f t="shared" si="5"/>
        <v>200008.60096117714</v>
      </c>
      <c r="CF20" s="19">
        <f t="shared" si="6"/>
        <v>96320.044777775678</v>
      </c>
      <c r="CG20" s="19">
        <f>IF(AY20=0,0,((CB20^Parameters!$C$58))/AY20*100)</f>
        <v>10.444640083885272</v>
      </c>
      <c r="CH20" s="19">
        <f>IF(SUM(Basicinfo!AB20:AG20)=0,0,(Parameters!$C$59*Basicinfo!AB20+Parameters!$C$60*SUM(Basicinfo!AC20:AE20)+Parameters!$C$61*Basicinfo!AF20+Parameters!$C$62*Basicinfo!AG20)/SUM(Basicinfo!AB20:AG20))</f>
        <v>0.27382632996270506</v>
      </c>
      <c r="CI20" s="19">
        <f t="shared" si="31"/>
        <v>8</v>
      </c>
      <c r="CJ20" s="19">
        <f t="shared" si="8"/>
        <v>28.219982297728063</v>
      </c>
      <c r="CK20" s="19">
        <f t="shared" si="9"/>
        <v>7.2725824068091711</v>
      </c>
      <c r="CL20" s="19">
        <f>IF($BB20=0,0,$CJ20^Parameters!$C$58*100/$BB20)</f>
        <v>4.406615324842063</v>
      </c>
      <c r="CM20" s="19">
        <f>IF(CK20=0,0,(1/(1+Parameters!$C$116*BB20^Parameters!$C$120)*Basicinfo!AH20/Basicinfo!G20+1/(1+Parameters!$C$117*BB20^Parameters!$C$121)*Basicinfo!AI20/Basicinfo!G20)*(CK20)^Parameters!$C$124+(1/(1+Parameters!$C$118*BB20^Parameters!$C$122)*Basicinfo!AJ20/Basicinfo!G20+1/(1+Parameters!$C$119*BB20^Parameters!$C$123)*Basicinfo!AK20/Basicinfo!G20)*(CK20)^Parameters!$C$125)</f>
        <v>1.4048025876422043</v>
      </c>
      <c r="CN20" s="19">
        <f>IF(SUM(Basicinfo!AB20:AG20)=0,0,(Parameters!$C$128*Basicinfo!AB20+Parameters!$C$129*(SUM(Basicinfo!AC20:AE20))+Parameters!$C$130*Basicinfo!AF20+Parameters!$C$131*Basicinfo!AG20)/SUM(Basicinfo!AB20:AG20))</f>
        <v>3.9188425528997636E-2</v>
      </c>
      <c r="CO20" s="19">
        <f>IF(Basicinfo!AH20+Basicinfo!AI20+Basicinfo!AJ20+Basicinfo!AK20=0,0,(Parameters!$C$132*(Basicinfo!AH20+Basicinfo!AI20)+Parameters!$C$133*Basicinfo!AJ20+Parameters!$C$134*Basicinfo!AK20)/(Basicinfo!AH20+Basicinfo!AI20+Basicinfo!AJ20+Basicinfo!AK20))</f>
        <v>5.0000000000000001E-4</v>
      </c>
      <c r="CP20" s="19">
        <f>IF(Basicinfo!AJ20+Basicinfo!AK20=0,0,(Parameters!$C$133*Basicinfo!AJ20+Parameters!$C$134*Basicinfo!AK20)/(Basicinfo!AJ20+Basicinfo!AK20))</f>
        <v>5.0000000000000001E-4</v>
      </c>
      <c r="CQ20" s="19">
        <f>IF(Z20=0,0,(CN20*(Z20-AA20)+CO20*Basicinfo!P20+CP20*(Basicinfo!Q20+Basicinfo!R20))/Z20)</f>
        <v>1.7705169309544251E-2</v>
      </c>
      <c r="CR20" s="289">
        <f>Basicinfo!EI20</f>
        <v>2.053081052631579E-2</v>
      </c>
      <c r="CS20" s="19">
        <f>IF(SUM(Basicinfo!AB20:AG20)=0,0,(Basicinfo!AB20*Parameters!$C$43+(Basicinfo!AC20+Basicinfo!AD20)*Parameters!$C$44+Basicinfo!AE20*Parameters!$C$45+(Basicinfo!AF20+Basicinfo!AG20)*Parameters!$C$46)/SUM(Basicinfo!AB20:AG20))</f>
        <v>4.8380734372003467</v>
      </c>
      <c r="CT20" s="19">
        <f>(Parameters!$C$41*CS20+Parameters!$C$42)</f>
        <v>324.34834905944354</v>
      </c>
      <c r="CU20" s="19">
        <f>CT20+Basicinfo!BR20/(Parameters!$C$47*Parameters!$C$49*Parameters!$C$48*10000/1000000)</f>
        <v>403.79760965244674</v>
      </c>
      <c r="CV20" s="19">
        <f>IF(BK20/Basicinfo!G20&lt;Parameters!$C$35,Parameters!$C$35,Parameters!$C$37*(BK20/Basicinfo!G20)^Parameters!$C$38)</f>
        <v>3.3297302646801108</v>
      </c>
      <c r="CW20" s="19">
        <f>IF(BK20/Basicinfo!G20&lt;Parameters!$C$35,Parameters!$C$36,Parameters!$C$36*(BK20/Basicinfo!G20)^Parameters!$C$38)</f>
        <v>7.8248661219982605</v>
      </c>
      <c r="CX20" s="27">
        <f>IF(Basicinfo!AJ20+Basicinfo!AK20=0,0,(Parameters!$C$53*Basicinfo!AJ20+Parameters!$C$54*Basicinfo!AK20)/(Basicinfo!AJ20+Basicinfo!AK20))</f>
        <v>750</v>
      </c>
      <c r="CY20" s="56">
        <f>IF(Basicinfo!AU20*AB20=0,0,((Basicinfo!AZ20+Basicinfo!BA20)/Basicinfo!AU20+Parameters!$C$76/(Basicinfo!AU20*AB20)*100))</f>
        <v>2.5711412584095692</v>
      </c>
      <c r="CZ20" s="43">
        <f>IF(Basicinfo!AU20*AB20=0,0,(Parameters!$C$77)/(Basicinfo!AU20*AB20)*100)</f>
        <v>0.74293411453325131</v>
      </c>
      <c r="DA20" s="43">
        <f>IF(AD20+AJ20=0,0,((J20*Parameters!$C$96+Parameters!$C$94/100*S20*100*Parameters!$C$93/1000*86400*Parameters!$C$95/24*Parameters!$C$98)*AI20+AD20*CY20*86400*365)/((AD20+AJ20*AI20/365)*86400*365))</f>
        <v>7.8797177253829442</v>
      </c>
      <c r="DB20" s="43">
        <f>IF(AD20+AJ20=0,0,((J20*Parameters!$C$97+Parameters!$C$94/100*S20*100*Parameters!$C$93/1000*86400*Parameters!$C$95/24*Parameters!$C$99)*AI20+AD20*CZ20*86400*365)/((AD20+AJ20*AI20/365)*86400*365))</f>
        <v>1.5872536164804087</v>
      </c>
      <c r="DC20" s="42">
        <f>IF(AE20+AL20=0,0,((K20*Parameters!$C$96+Parameters!$C$94/100*T20*100*Parameters!$C$93/1000*86400*Parameters!$C$95/24*Parameters!$C$98)*365+AE20*CY20*86400*365)/((AE20+AL20)*86400*365))</f>
        <v>0</v>
      </c>
      <c r="DD20" s="42">
        <f>IF(AE20+AL20=0,0,((K20*Parameters!$C$97+Parameters!$C$94/100*T20*100*Parameters!$C$93/1000*86400*Parameters!$C$95/24*Parameters!$C$99)*365+AE20*CZ20*86400*365)/((AE20+AL20)*86400*365))</f>
        <v>0</v>
      </c>
      <c r="DE20" s="42">
        <f>IF(Basicinfo!AH20+Basicinfo!AI20+Basicinfo!AJ20+Basicinfo!AK20=0,0,((Basicinfo!AH20+Basicinfo!AI20)*Parameters!$C$107+(Basicinfo!AJ20+Basicinfo!AK20)*Parameters!$C$106)/(Basicinfo!AH20+Basicinfo!AI20+Basicinfo!AJ20+Basicinfo!AK20))</f>
        <v>50.934184502834533</v>
      </c>
      <c r="DF20" s="42">
        <f>IF(Basicinfo!AH20+Basicinfo!AI20+Basicinfo!AJ20+Basicinfo!AK20=0,0,((Basicinfo!AH20+Basicinfo!AI20)*Parameters!$C$109+(Basicinfo!AJ20+Basicinfo!AK20)*Parameters!$C$108)/(Basicinfo!AH20+Basicinfo!AI20+Basicinfo!AJ20+Basicinfo!AK20))</f>
        <v>50.934184502834533</v>
      </c>
      <c r="DG20" s="42">
        <f>Intermediate!AC20*Intermediate!CY20*(1-Parameters!$C$102/100*Basicinfo!BZ20/100)*(1-Parameters!$C$104/100*Basicinfo!CA20/100)*86400*365/1000000</f>
        <v>0.25269297015382852</v>
      </c>
      <c r="DH20" s="42">
        <f>Intermediate!AC20*Intermediate!CZ20*(1-Parameters!$C$103/100*Basicinfo!BZ20/100)*(1-Parameters!$C$105/100*Basicinfo!CA20/100)*86400*365/1000000</f>
        <v>7.3015913620451428E-2</v>
      </c>
      <c r="DI20" s="42">
        <f>(Intermediate!AK20*Intermediate!DA20+(Intermediate!AE20+Intermediate!AL20)*Intermediate!DC20)*86400*365/1000000</f>
        <v>0.50795786465158477</v>
      </c>
      <c r="DJ20" s="42">
        <f>(Intermediate!AK20*Intermediate!DB20+(Intermediate!AE20+Intermediate!AL20)*Intermediate!DD20)*86400*365/1000000</f>
        <v>0.10232066500183049</v>
      </c>
      <c r="DK20" s="42">
        <f>((Basicinfo!AZ20+Basicinfo!BA20)*Intermediate!AB20+Parameters!$C$76*100)/1000*Intermediate!U20*(1-Intermediate!DE20/100)+(1-Parameters!$C$110/100)*M20*Parameters!$C$100*(1-DE20/100)*365/1000000+(1-Parameters!$C$112/100)*P20*Parameters!$C$96*365/1000000+(1-Parameters!$C$112/100)*O20*Parameters!$C$96*(1-DE20/100)*365/1000000</f>
        <v>1.0379826397686898</v>
      </c>
      <c r="DL20" s="42">
        <f>Parameters!$C$77*100/1000*Intermediate!U20*(1-Intermediate!DF20/100)+(1-Parameters!$C$111/100)*M20*Parameters!$C$101*(1-DF20/100)*365/1000000+(1-Parameters!$C$113/100)*P20*Parameters!$C$97*365/1000000+(1-Parameters!$C$113/100)*O20*Parameters!$C$97*(1-DF20/100)*365/1000000</f>
        <v>0.16725886419282027</v>
      </c>
      <c r="DM20" s="31"/>
      <c r="DN20" s="31"/>
      <c r="DO20" s="31"/>
      <c r="DP20" s="31"/>
      <c r="DQ20" s="31"/>
      <c r="DR20" s="31"/>
      <c r="DS20" s="31"/>
      <c r="DT20" s="188">
        <f>BO20*(Basicinfo!$P20+Basicinfo!$Q20)/1000</f>
        <v>74.462887671728041</v>
      </c>
      <c r="DU20" s="188">
        <f>DT20*Basicinfo!$AZ20/(Basicinfo!$AZ20+Basicinfo!$BA20)</f>
        <v>42.169980012586286</v>
      </c>
      <c r="DV20" s="188">
        <f>DT20*Basicinfo!$BC20/(Basicinfo!$BB20+Basicinfo!$BC20)</f>
        <v>30.328983187306246</v>
      </c>
      <c r="DW20" s="188">
        <f>BP20*(Basicinfo!$P20+Basicinfo!$Q20)/1000</f>
        <v>100.12345159651825</v>
      </c>
      <c r="DX20" s="188">
        <f>DW20*Basicinfo!$BB20/(Basicinfo!$BB20+Basicinfo!$BC20)</f>
        <v>59.342834901756071</v>
      </c>
      <c r="DY20" s="188">
        <f>DW20*Basicinfo!$BC20/(Basicinfo!$BB20+Basicinfo!$BC20)</f>
        <v>40.780616694762173</v>
      </c>
      <c r="DZ20" s="188">
        <f t="shared" si="10"/>
        <v>66.139237656427326</v>
      </c>
      <c r="EA20" s="188">
        <f>DZ20*Basicinfo!$AZ20/(Basicinfo!$AZ20+Basicinfo!$BA20)</f>
        <v>37.456112933935977</v>
      </c>
      <c r="EB20" s="188">
        <f>DZ20*Basicinfo!$BC20/(Basicinfo!$BB20+Basicinfo!$BC20)</f>
        <v>26.93873269790808</v>
      </c>
      <c r="EC20" s="188">
        <f t="shared" si="11"/>
        <v>88.931398810607561</v>
      </c>
      <c r="ED20" s="188">
        <f>EC20*Basicinfo!$AZ20/(Basicinfo!$AZ20+Basicinfo!$BA20)</f>
        <v>50.363817837251894</v>
      </c>
      <c r="EE20" s="188">
        <f>EC20*Basicinfo!$BC20/(Basicinfo!$BB20+Basicinfo!$BC20)</f>
        <v>36.222056163618433</v>
      </c>
      <c r="EF20" s="190">
        <f>(Basicinfo!BP20-BL20/100)*Intermediate!X20/10</f>
        <v>166.13180737257034</v>
      </c>
      <c r="EG20" s="191">
        <f>(Basicinfo!BQ20-BM20/100)*Intermediate!X20/10</f>
        <v>129.77973530134861</v>
      </c>
      <c r="EH20" s="197">
        <f>IF(AU20=0,0,$BS20*((Basicinfo!$P20+Basicinfo!$Q20)*Intermediate!$AT20*1000+$AW20*3600*24*365)/1000000*Basicinfo!AZ20/(Basicinfo!$AZ20+Basicinfo!$BA20))</f>
        <v>3.9924547097546599</v>
      </c>
      <c r="EI20" s="197">
        <f>IF(AU20=0,0,$BS20*((Basicinfo!$P20+Basicinfo!$Q20)*Intermediate!$AT20*1000+$AW20*3600*24*365)/1000000*Basicinfo!BA20/(Basicinfo!$AZ20+Basicinfo!$BA20))</f>
        <v>3.0573401086965717</v>
      </c>
      <c r="EJ20" s="198">
        <f>IF(AU20=0,0,$BS20*($AT20*$X20*1000)/1000000*Basicinfo!AZ20/(Basicinfo!$AZ20+Basicinfo!$BA20))</f>
        <v>3.5461680192298419</v>
      </c>
      <c r="EK20" s="198">
        <f>IF(AU20=0,0,$BS20*($AT20*$X20*1000)/1000000*Basicinfo!BA20/(Basicinfo!$AZ20+Basicinfo!$BA20))</f>
        <v>2.7155828946234215</v>
      </c>
      <c r="EL20" s="147">
        <f>Parameters!$C$150/Basicinfo!$AV20*100</f>
        <v>0.10635944029864439</v>
      </c>
      <c r="EM20" s="147">
        <f>Parameters!$C$151/Basicinfo!$AV20*100</f>
        <v>0.21271888059728877</v>
      </c>
      <c r="EN20" s="147">
        <f>(Parameters!$C$150+Parameters!$C$151)/Intermediate!$BB20*100</f>
        <v>0.77313114481237721</v>
      </c>
      <c r="EO20" s="193">
        <f>IF(EN20=0,0,(1/(1+Parameters!$C$116*$BB20^Parameters!$C$120)*Basicinfo!$AH20/Basicinfo!$G20+1/(1+Parameters!$C$117*$BB20^Parameters!$C$121)*Basicinfo!$AI20/Basicinfo!$G20)*(EN20)^Parameters!$C$124+(1/(1+Parameters!$C$118*$BB20^Parameters!$C$122)*Basicinfo!$AJ20/Basicinfo!AW20+1/(1+Parameters!$C$119*$BB20^Parameters!$C$123)*Basicinfo!$AK20/Basicinfo!$G20)*(EN20)^Parameters!$C$125)</f>
        <v>0.21379681579887874</v>
      </c>
      <c r="EP20" s="199">
        <f>EL20*($AT20*Basicinfo!$P20*1000+$AW20*3600*24*365)/1000000</f>
        <v>0.54238058117210619</v>
      </c>
      <c r="EQ20" s="199">
        <f>EM20*($AT20*Basicinfo!$P20*1000+$AW20*3600*24*365)/1000000</f>
        <v>1.0847611623442124</v>
      </c>
      <c r="ER20" s="199">
        <f t="shared" si="12"/>
        <v>0.48175190729264689</v>
      </c>
      <c r="ES20" s="199">
        <f t="shared" si="13"/>
        <v>0.96350381458529377</v>
      </c>
      <c r="ET20" s="181">
        <f t="shared" si="14"/>
        <v>8.7113651444726017</v>
      </c>
      <c r="EU20" s="147">
        <f>Intermediate!F20*(Parameters!$C$150)/1000*100</f>
        <v>4.5742748997418578E-2</v>
      </c>
      <c r="EV20" s="147">
        <f>Intermediate!F20*(Parameters!$C$151)/1000*100</f>
        <v>9.1485497994837156E-2</v>
      </c>
      <c r="EW20" s="181">
        <f>'Local emissions'!$S20*Basicinfo!AZ20/(Basicinfo!$AZ20+Basicinfo!$BA20)-Intermediate!EU20</f>
        <v>0.30292068785589399</v>
      </c>
      <c r="EX20" s="147">
        <f>'Local emissions'!$S20*Basicinfo!BA20/(Basicinfo!$AZ20+Basicinfo!$BA20)-Intermediate!EV20</f>
        <v>0.17551382633641685</v>
      </c>
      <c r="EY20" s="188">
        <f t="shared" si="15"/>
        <v>3.4500741285825538</v>
      </c>
      <c r="EZ20" s="188">
        <f t="shared" si="16"/>
        <v>1.9725789463523593</v>
      </c>
      <c r="FA20" s="188">
        <f t="shared" si="17"/>
        <v>3.0644161119371951</v>
      </c>
      <c r="FB20" s="181">
        <f t="shared" si="18"/>
        <v>1.7520790800381278</v>
      </c>
      <c r="FC20" s="181">
        <f>'Local emissions'!Y20-Intermediate!ET20</f>
        <v>48.543446984154002</v>
      </c>
      <c r="FD20" s="188">
        <f t="shared" si="19"/>
        <v>9.0351106469257569</v>
      </c>
      <c r="FE20" s="188">
        <f t="shared" si="20"/>
        <v>6.2089616159564462</v>
      </c>
      <c r="FF20" s="181">
        <f t="shared" si="21"/>
        <v>3.8340152397043497</v>
      </c>
      <c r="FG20" s="201">
        <f t="shared" si="22"/>
        <v>2.7574540872479205</v>
      </c>
      <c r="FH20" s="181">
        <f t="shared" si="23"/>
        <v>26.707905394319525</v>
      </c>
      <c r="FJ20" s="147">
        <f>AVERAGE(Parameters!$C$132:$C$134)*'Local emissions'!J20*3600*24*365/1000000</f>
        <v>2.0373000205642654E-2</v>
      </c>
      <c r="FK20" s="147">
        <f>'Local emissions'!AJ20+CT20*BJ20/100*Intermediate!X20*100/1000000</f>
        <v>0.28764182344047762</v>
      </c>
      <c r="FL20" s="31">
        <f>(Parameters!$C$18*(Basicinfo!AH20+Basicinfo!AI20)+Parameters!$C$19*Basicinfo!AJ20+Parameters!$C$20*Basicinfo!AK20)/Basicinfo!G20</f>
        <v>2.5233546125708634E-2</v>
      </c>
      <c r="FM20" s="181">
        <f t="shared" si="32"/>
        <v>0.24929176383266707</v>
      </c>
    </row>
    <row r="21" spans="1:169">
      <c r="A21" s="39" t="str">
        <f>Basicinfo!A21</f>
        <v>Große Mühl</v>
      </c>
      <c r="B21" s="63">
        <f>Basicinfo!B21</f>
        <v>1130</v>
      </c>
      <c r="C21" s="63">
        <f>Basicinfo!C21</f>
        <v>5000</v>
      </c>
      <c r="D21" s="61">
        <f>Basicinfo!U21*Basicinfo!V21/1000+Basicinfo!Y21</f>
        <v>1.1619094086798996</v>
      </c>
      <c r="E21" s="19">
        <f>Basicinfo!W21*Basicinfo!X21/1000+Basicinfo!Z21</f>
        <v>0.26858816831904325</v>
      </c>
      <c r="F21" s="19">
        <f t="shared" si="0"/>
        <v>1.4304975769989428</v>
      </c>
      <c r="G21" s="19">
        <f>SUM(Basicinfo!H21:L21)</f>
        <v>32.111736541680656</v>
      </c>
      <c r="H21" s="19">
        <f>IF(Basicinfo!N21&lt;Parameters!$C$68,Parameters!$C$69,Basicinfo!BS21/(Basicinfo!N21*100))</f>
        <v>18.032990932133355</v>
      </c>
      <c r="I21" s="19">
        <f>IF(Basicinfo!N21=0,0,Basicinfo!BU21*(1-Basicinfo!BX21/100))</f>
        <v>6472.8052905808972</v>
      </c>
      <c r="J21" s="19">
        <f>IF(Basicinfo!N21=0,0,Basicinfo!BU21*Basicinfo!BX21/100)</f>
        <v>3801.4888214522734</v>
      </c>
      <c r="K21" s="19">
        <f>IF(Basicinfo!N21=0,0,Basicinfo!BT21-Basicinfo!BU21)</f>
        <v>0</v>
      </c>
      <c r="L21" s="27">
        <f>Basicinfo!BV21*Basicinfo!BW21/100</f>
        <v>1189.9066666666663</v>
      </c>
      <c r="M21" s="27">
        <f>Basicinfo!BV21-Intermediate!L21</f>
        <v>1189.9066666666663</v>
      </c>
      <c r="N21" s="73">
        <f>Basicinfo!BS21-SUM(I21:K21)-Basicinfo!BV21</f>
        <v>0</v>
      </c>
      <c r="O21" s="19">
        <f>IF(Basicinfo!AH21+Basicinfo!AI21+Basicinfo!AJ21+Basicinfo!AK21=0,0,N21*(Basicinfo!AH21+Basicinfo!AI21)/SUM(Basicinfo!AH21:AK21))</f>
        <v>0</v>
      </c>
      <c r="P21" s="73">
        <f t="shared" si="25"/>
        <v>0</v>
      </c>
      <c r="Q21" s="19">
        <f>IF(Basicinfo!BS21=0,Basicinfo!N21,IF(H21&gt;Parameters!$C$70,Parameters!$C$64*(Parameters!$C$65*Parameters!$C$70)^(Parameters!$C$66-Parameters!$C$67*LOG(Parameters!$C$65*Parameters!$C$70,10))/100*Basicinfo!N21,Parameters!$C$64*(Parameters!$C$65*H21)^(Parameters!$C$66-Parameters!$C$67*LOG(Parameters!$C$65*H21,10))/100*Basicinfo!N21))</f>
        <v>1.9675016685439162</v>
      </c>
      <c r="R21" s="19">
        <f>IF(Basicinfo!BS21=0,Q21*(1-Basicinfo!BX21/100),IF(H21&lt;Parameters!$C$75,Q21*Basicinfo!BU21/Basicinfo!BS21*(1-Basicinfo!BX21/100)*(-Parameters!$C$74+Parameters!$C$73*LN(H21*100)),Q21*Basicinfo!BU21/Basicinfo!BS21*(1-Basicinfo!BX21/100)))</f>
        <v>0.57282159853739789</v>
      </c>
      <c r="S21" s="19">
        <f>IF(Basicinfo!BS21=0,Q21*Basicinfo!BX21/100,Q21*Basicinfo!BU21/Basicinfo!BS21*Basicinfo!BX21/100)</f>
        <v>0.59106781189036806</v>
      </c>
      <c r="T21" s="19">
        <f>IF(Basicinfo!BS21=0,0,IF(H21&lt;Parameters!$C$75,Q21*K21/Basicinfo!BS21*(-Parameters!$C$74+Parameters!$C$73*LN(H21*100)),Q21*K21/Basicinfo!BS21))</f>
        <v>0</v>
      </c>
      <c r="U21" s="19">
        <f t="shared" si="26"/>
        <v>0.80361225811615022</v>
      </c>
      <c r="V21" s="19">
        <f>IF(Basicinfo!AL21&gt;Parameters!$C$14,Basicinfo!Q21,0)</f>
        <v>0</v>
      </c>
      <c r="W21" s="19">
        <f>IF(Basicinfo!AL21&gt;Parameters!$C$14,0,Basicinfo!Q21)</f>
        <v>0</v>
      </c>
      <c r="X21" s="19">
        <f>G21+Basicinfo!M21</f>
        <v>84.231765037250113</v>
      </c>
      <c r="Y21" s="19">
        <f>IF(Basicinfo!G21-F21-Q21-V21-Basicinfo!O21-Basicinfo!R21-Basicinfo!S21&lt;0,0,Basicinfo!G21-F21-Q21-V21-Basicinfo!O21-Basicinfo!R21-Basicinfo!S21)</f>
        <v>143.17324582662155</v>
      </c>
      <c r="Z21" s="19">
        <f>Basicinfo!G21-F21-Basicinfo!BO21-Q21-Basicinfo!O21</f>
        <v>140.50621594667584</v>
      </c>
      <c r="AA21" s="53">
        <f>IF(Z21+Basicinfo!BO21-X21&gt;0,Z21+Basicinfo!BO21-X21,0)</f>
        <v>58.948366522407326</v>
      </c>
      <c r="AB21" s="56">
        <f>IF(Basicinfo!N21=0,0,Parameters!$C$71+Parameters!$C$72*Q21/Basicinfo!N21)</f>
        <v>0.36028709393961178</v>
      </c>
      <c r="AC21" s="43">
        <f>Basicinfo!AU21*AB21*R21/1000/86.4/0.365</f>
        <v>6.3180585916110246E-3</v>
      </c>
      <c r="AD21" s="43">
        <f>Basicinfo!AU21*AB21*S21/1000/86.4/0.365</f>
        <v>6.5193091124249218E-3</v>
      </c>
      <c r="AE21" s="43">
        <f>Basicinfo!AU21*AB21*T21/1000/86.4/0.365</f>
        <v>0</v>
      </c>
      <c r="AF21" s="43">
        <f>Basicinfo!AU21*AB21*U21/1000/86.4/0.365</f>
        <v>8.8636136358660675E-3</v>
      </c>
      <c r="AG21" s="43">
        <f>((Parameters!$C$80+Parameters!$C$81*Parameters!$C$89)/(Parameters!$C$82+Parameters!$C$89)/(Parameters!$C$90/100*Parameters!$C$91+(Parameters!$C$83+Parameters!$C$84*Parameters!$C$89)/(Parameters!$C$85+Parameters!$C$89)))-Parameters!$C$86+(Basicinfo!AU21-Parameters!$C$88)/Parameters!$C$87</f>
        <v>75.524492527926512</v>
      </c>
      <c r="AH21" s="43">
        <f>((Parameters!$C$80+Parameters!$C$81*Parameters!$C$89)/(Parameters!$C$82+Parameters!$C$89)/(Basicinfo!BY21/100*Parameters!$C$91+(Parameters!$C$83+Parameters!$C$84*Parameters!$C$89)/(Parameters!$C$85+Parameters!$C$89)))-Parameters!$C$86+(Basicinfo!AU21-Parameters!$C$88)/Parameters!$C$87</f>
        <v>57.721610661310933</v>
      </c>
      <c r="AI21" s="43">
        <f>Basicinfo!AU21^Parameters!$C$79*Parameters!$C$78*AH21/AG21</f>
        <v>26.560563581912586</v>
      </c>
      <c r="AJ21" s="43">
        <f>(J21*Parameters!$C$92/1000+Parameters!$C$94/100*S21*100*Parameters!$C$93/1000*86400*Parameters!$C$95/24)/86400</f>
        <v>5.7395349778592572E-3</v>
      </c>
      <c r="AK21" s="43">
        <f t="shared" si="1"/>
        <v>4.004129328159748E-3</v>
      </c>
      <c r="AL21" s="43">
        <f>(K21*Parameters!$C$92/1000+Parameters!$C$94/100*T21*100*Parameters!$C$93/1000*86400*Parameters!$C$95/24)/86400</f>
        <v>0</v>
      </c>
      <c r="AM21" s="43">
        <f>(Intermediate!N21+Basicinfo!BV21-Intermediate!L21)*Parameters!$C$92/1000/86400</f>
        <v>1.7903688271604934E-3</v>
      </c>
      <c r="AN21" s="43">
        <f t="shared" si="2"/>
        <v>1.0081108815292304E-2</v>
      </c>
      <c r="AO21" s="43">
        <f t="shared" si="27"/>
        <v>4.004129328159748E-3</v>
      </c>
      <c r="AP21" s="43">
        <f t="shared" si="28"/>
        <v>1.0653982463026561E-2</v>
      </c>
      <c r="AQ21" s="43">
        <f t="shared" si="3"/>
        <v>2.0976170382797334E-2</v>
      </c>
      <c r="AR21" s="61">
        <f>(Basicinfo!AU21-Basicinfo!AY21)*F21/1000/86.4/0.365</f>
        <v>1.2772405984648492E-2</v>
      </c>
      <c r="AS21" s="19">
        <f>IF(Basicinfo!AP21-Basicinfo!CB21-Basicinfo!CG21&lt;0,0,(Basicinfo!AP21-Basicinfo!CB21-Basicinfo!CG21)/Basicinfo!G21*1000)</f>
        <v>16.334534096581873</v>
      </c>
      <c r="AT21" s="19">
        <f>Parameters!$C$3*((AS21*86.4*0.365)^Parameters!$C$4)</f>
        <v>102.02928316271331</v>
      </c>
      <c r="AU21" s="19">
        <f>IF(AT21/86.4/0.365*(Basicinfo!G21/1000)-AN21&lt;0,0,AT21/86.4/0.365*(Basicinfo!G21/1000)-AN21)</f>
        <v>0.46525947483081581</v>
      </c>
      <c r="AV21" s="19">
        <f>IF(Basicinfo!AU21&gt;Parameters!$C$13,Parameters!$C$11*(Basicinfo!AU21-Parameters!$C$13)^Parameters!$C$12,0)</f>
        <v>85.749850287760339</v>
      </c>
      <c r="AW21" s="19">
        <f>IF(AV21*V21/1000/86.4/0.365&gt;Basicinfo!AP21*Parameters!$C$15,Basicinfo!AP21*Parameters!$C$15,AV21*V21/1000/86.4/0.365)</f>
        <v>0</v>
      </c>
      <c r="AX21" s="19">
        <f>Basicinfo!AU21-Basicinfo!AW21</f>
        <v>378.38513287399996</v>
      </c>
      <c r="AY21" s="19">
        <f>Parameters!$C$56*AX21+Parameters!$C$57*Basicinfo!AW21</f>
        <v>247.89735898391427</v>
      </c>
      <c r="AZ21" s="19">
        <f>AY21*Basicinfo!BO21/1000/86.4/0.365</f>
        <v>2.101904549099419E-2</v>
      </c>
      <c r="BA21" s="19">
        <f>IF(Basicinfo!AP21-AQ21-AR21-AU21-AW21-AZ21-Basicinfo!CB21-Basicinfo!CG21&lt;0,0,Basicinfo!AP21-AQ21-AR21-AU21-AW21-AZ21-Basicinfo!CB21-Basicinfo!CG21)</f>
        <v>1.8798744101040563</v>
      </c>
      <c r="BB21" s="53">
        <f t="shared" si="4"/>
        <v>421.92951391944513</v>
      </c>
      <c r="BC21" s="56">
        <f>IF(G21=0,0,((Basicinfo!H21*Basicinfo!BE21+Basicinfo!I21*Basicinfo!BF21+Basicinfo!J21*Basicinfo!BG21+Basicinfo!K21*Basicinfo!BH21+Basicinfo!L21*Basicinfo!BI21)*(1-Basicinfo!BN21/G21*Parameters!$C$26/100)/G21)*Basicinfo!BM21)</f>
        <v>3.1932326152195043</v>
      </c>
      <c r="BD21" s="43">
        <f>IF(Basicinfo!AW21*Parameters!$C$39-Parameters!$C$40&lt;0,0.001,(Basicinfo!AW21*Parameters!$C$39-Parameters!$C$40)/(Basicinfo!AX21*Parameters!$C$39-Parameters!$C$40))</f>
        <v>1.1687882517035697</v>
      </c>
      <c r="BE21" s="43">
        <f>(BC21*G21*100+Basicinfo!BJ21*Basicinfo!M21*100)*Parameters!$C$29*BD21</f>
        <v>12633.273991985641</v>
      </c>
      <c r="BF21" s="43">
        <f>(Basicinfo!BK21*Basicinfo!P21*100)*BD21*Parameters!$C$29</f>
        <v>630.66189337477738</v>
      </c>
      <c r="BG21" s="43">
        <f>Parameters!$C$27*(V21+W21)*100</f>
        <v>0</v>
      </c>
      <c r="BH21" s="43">
        <f>Parameters!$C$28*Basicinfo!R21*100</f>
        <v>0</v>
      </c>
      <c r="BI21" s="43">
        <f t="shared" si="29"/>
        <v>630.66189337477738</v>
      </c>
      <c r="BJ21" s="43">
        <f>IF(Basicinfo!AM21&lt;Parameters!$C$33,0,Parameters!$C$30*(((Basicinfo!AM21-Parameters!$C$33)^Parameters!$C$31)*(((G21-Basicinfo!BN21)/Basicinfo!G21*100+Parameters!$C$34))^Parameters!$C$32))</f>
        <v>2.5344470798427552</v>
      </c>
      <c r="BK21" s="58">
        <f t="shared" si="30"/>
        <v>950.84553715319169</v>
      </c>
      <c r="BL21" s="61">
        <f>Basicinfo!AZ21+Basicinfo!BA21</f>
        <v>1467.9958421519582</v>
      </c>
      <c r="BM21" s="19">
        <f>Basicinfo!BB21+Basicinfo!BC21</f>
        <v>1767.1603414297729</v>
      </c>
      <c r="BN21" s="172">
        <f>IF(Basicinfo!AO21=0,0,IF(Basicinfo!AO21="NA",1,IF(OR(Basicinfo!AO21="SA",Basicinfo!AN21="S"),3,IF(Basicinfo!AN21="N",1,IF(Basicinfo!AO21="ZA",2,0)))))</f>
        <v>0</v>
      </c>
      <c r="BO21" s="27">
        <f>IF($BN21=1,(BL21)*(1+Parameters!$C$21*Parameters!$C$22-Parameters!$C$22*Basicinfo!$AL21),IF($BN21=2,(BL21)*(1+Parameters!$C$21*Parameters!$C$23-Parameters!$C$23*Basicinfo!$AL21),IF($BN21=3,(BL21)*(1+Parameters!$C$21*Parameters!$C$24-Parameters!$C$24*Basicinfo!$AL21),BL21)))</f>
        <v>1467.9958421519582</v>
      </c>
      <c r="BP21" s="27">
        <f>IF($BN21=1,(BM21)*(1+Parameters!$C$21*Parameters!$C$22-Parameters!$C$22*Basicinfo!$AL21),IF($BN21=2,(BM21)*(1+Parameters!$C$21*Parameters!$C$23-Parameters!$C$23*Basicinfo!$AL21),IF($BN21=3,(BM21)*(1+Parameters!$C$21*Parameters!$C$24-Parameters!$C$24*Basicinfo!$AL21),BM21)))</f>
        <v>1767.1603414297729</v>
      </c>
      <c r="BQ21" s="27">
        <f>IF(Basicinfo!AU21=0,0,IF(G21+Basicinfo!M21=0,0,(Parameters!$C$16+BO21/Basicinfo!AU21)*G21+(Parameters!$C$17+BO21/Basicinfo!AU21)*Basicinfo!M21)/(G21+Basicinfo!M21))</f>
        <v>1.6349260581785394</v>
      </c>
      <c r="BR21" s="27">
        <f>IF(Basicinfo!AU21=0,0,IF(G21+Basicinfo!M21=0,0,(Parameters!$C$16+BP21/Basicinfo!AU21)*G21+(Parameters!$C$17+BP21/Basicinfo!AU21)*Basicinfo!M21)/(G21+Basicinfo!M21))</f>
        <v>1.9448020218121391</v>
      </c>
      <c r="BS21" s="27">
        <f>IF(Basicinfo!AU21=0,0,BO21/Basicinfo!AU21)</f>
        <v>1.5205568417879782</v>
      </c>
      <c r="BT21" s="27">
        <f>IF(Basicinfo!AU21=0,0,BP21/Basicinfo!AU21)</f>
        <v>1.8304328054215779</v>
      </c>
      <c r="BU21" s="27">
        <f>IF(SUM(G21,Basicinfo!M21,Basicinfo!P21,W21)=0,0,(BQ21*(G21+Basicinfo!M21)+BS21*(Basicinfo!P21+W21))/SUM(G21,Basicinfo!M21,Basicinfo!P21,W21))</f>
        <v>1.5903025225429983</v>
      </c>
      <c r="BV21" s="19">
        <f>IF(Basicinfo!BR21/Parameters!$C$10&gt;1,1,Basicinfo!BR21/Parameters!$C$10)</f>
        <v>0.28725341393423715</v>
      </c>
      <c r="BW21" s="19">
        <f>Parameters!$C$5+Parameters!$C$6*EXP(BV21*Parameters!$C$8*Parameters!$C$7)</f>
        <v>3.503398496778426E-2</v>
      </c>
      <c r="BX21" s="19">
        <f>Parameters!$C$5+Parameters!$C$6*EXP(BV21*Parameters!$C$9*Parameters!$C$7)</f>
        <v>3.5021773105407487E-2</v>
      </c>
      <c r="BY21" s="19">
        <f>IF(Basicinfo!AH21+Basicinfo!AI21+Basicinfo!AJ21+Basicinfo!AK21=0,0,(Parameters!$C$18*(Basicinfo!AH21+Basicinfo!AI21)+Parameters!$C$19*Basicinfo!AJ21+Parameters!$C$20*Basicinfo!AK21)/(Basicinfo!AH21+Basicinfo!AI21+Basicinfo!AJ21+Basicinfo!AK21))</f>
        <v>2.5558381008106854E-2</v>
      </c>
      <c r="BZ21" s="19">
        <f>IF(Basicinfo!AJ21+Basicinfo!AK21=0,Parameters!$C$18,(Parameters!$C$19*Basicinfo!AJ21+Parameters!$C$20*Basicinfo!AK21)/(Basicinfo!AJ21+Basicinfo!AK21))</f>
        <v>2.5000000000000001E-2</v>
      </c>
      <c r="CA21" s="19">
        <f>IF(SUM(G21,Basicinfo!M21,Basicinfo!P21,W21)=0,0,(BW21*G21+BX21*Basicinfo!M21+BY21*Basicinfo!P21+BZ21*W21)/(SUM(G21,Basicinfo!M21,Basicinfo!P21,W21)))</f>
        <v>3.133227234462993E-2</v>
      </c>
      <c r="CB21" s="19">
        <f>IF(Y21=0,Basicinfo!BP21,Basicinfo!BP21-(AU21*X21/Y21*Intermediate!BQ21*86400*365/1000000)*1000/(X21*100))</f>
        <v>49.138243333573882</v>
      </c>
      <c r="CC21" s="19">
        <f>IF(Y21=0,Basicinfo!BQ21,Basicinfo!BQ21-(AU21*Basicinfo!AV21/Basicinfo!AU21*X21/Y21*Intermediate!BR21*86400*365/1000000)*1000/(X21*100))</f>
        <v>46.617381668427932</v>
      </c>
      <c r="CD21" s="19">
        <f>IF(OR(Y21=0,AA21=0),BP21/100,BP21/100-(AU21*Basicinfo!AV21/Basicinfo!AU21*(Basicinfo!P21+W21)/Y21*Intermediate!BT21*86400*365/1000000+AW21*Basicinfo!AV21/Basicinfo!AU21*Intermediate!BT21*86400*365/1000000)*1000/(AA21*100))</f>
        <v>16.07084560354177</v>
      </c>
      <c r="CE21" s="19">
        <f t="shared" si="5"/>
        <v>380201.33946673007</v>
      </c>
      <c r="CF21" s="19">
        <f t="shared" si="6"/>
        <v>94735.009696259862</v>
      </c>
      <c r="CG21" s="19">
        <f>IF(AY21=0,0,((CB21^Parameters!$C$58))/AY21*100)</f>
        <v>11.051844930639193</v>
      </c>
      <c r="CH21" s="19">
        <f>IF(SUM(Basicinfo!AB21:AG21)=0,0,(Parameters!$C$59*Basicinfo!AB21+Parameters!$C$60*SUM(Basicinfo!AC21:AE21)+Parameters!$C$61*Basicinfo!AF21+Parameters!$C$62*Basicinfo!AG21)/SUM(Basicinfo!AB21:AG21))</f>
        <v>0.19689395161318193</v>
      </c>
      <c r="CI21" s="19">
        <f t="shared" si="31"/>
        <v>7</v>
      </c>
      <c r="CJ21" s="19">
        <f t="shared" si="8"/>
        <v>33.801803426492903</v>
      </c>
      <c r="CK21" s="19">
        <f t="shared" si="9"/>
        <v>8.0112441323425294</v>
      </c>
      <c r="CL21" s="19">
        <f>IF($BB21=0,0,$CJ21^Parameters!$C$58*100/$BB21)</f>
        <v>4.7245340762237005</v>
      </c>
      <c r="CM21" s="19">
        <f>IF(CK21=0,0,(1/(1+Parameters!$C$116*BB21^Parameters!$C$120)*Basicinfo!AH21/Basicinfo!G21+1/(1+Parameters!$C$117*BB21^Parameters!$C$121)*Basicinfo!AI21/Basicinfo!G21)*(CK21)^Parameters!$C$124+(1/(1+Parameters!$C$118*BB21^Parameters!$C$122)*Basicinfo!AJ21/Basicinfo!G21+1/(1+Parameters!$C$119*BB21^Parameters!$C$123)*Basicinfo!AK21/Basicinfo!G21)*(CK21)^Parameters!$C$125)</f>
        <v>1.5534003517303241</v>
      </c>
      <c r="CN21" s="19">
        <f>IF(SUM(Basicinfo!AB21:AG21)=0,0,(Parameters!$C$128*Basicinfo!AB21+Parameters!$C$129*(SUM(Basicinfo!AC21:AE21))+Parameters!$C$130*Basicinfo!AF21+Parameters!$C$131*Basicinfo!AG21)/SUM(Basicinfo!AB21:AG21))</f>
        <v>2.9556278801883128E-2</v>
      </c>
      <c r="CO21" s="19">
        <f>IF(Basicinfo!AH21+Basicinfo!AI21+Basicinfo!AJ21+Basicinfo!AK21=0,0,(Parameters!$C$132*(Basicinfo!AH21+Basicinfo!AI21)+Parameters!$C$133*Basicinfo!AJ21+Parameters!$C$134*Basicinfo!AK21)/(Basicinfo!AH21+Basicinfo!AI21+Basicinfo!AJ21+Basicinfo!AK21))</f>
        <v>5.0000000000000001E-4</v>
      </c>
      <c r="CP21" s="19">
        <f>IF(Basicinfo!AJ21+Basicinfo!AK21=0,0,(Parameters!$C$133*Basicinfo!AJ21+Parameters!$C$134*Basicinfo!AK21)/(Basicinfo!AJ21+Basicinfo!AK21))</f>
        <v>5.0000000000000001E-4</v>
      </c>
      <c r="CQ21" s="19">
        <f>IF(Z21=0,0,(CN21*(Z21-AA21)+CO21*Basicinfo!P21+CP21*(Basicinfo!Q21+Basicinfo!R21))/Z21)</f>
        <v>1.7347933055417809E-2</v>
      </c>
      <c r="CR21" s="289">
        <f>Basicinfo!EI21</f>
        <v>4.3740021052631577E-2</v>
      </c>
      <c r="CS21" s="19">
        <f>IF(SUM(Basicinfo!AB21:AG21)=0,0,(Basicinfo!AB21*Parameters!$C$43+(Basicinfo!AC21+Basicinfo!AD21)*Parameters!$C$44+Basicinfo!AE21*Parameters!$C$45+(Basicinfo!AF21+Basicinfo!AG21)*Parameters!$C$46)/SUM(Basicinfo!AB21:AG21))</f>
        <v>5.0144907660912166</v>
      </c>
      <c r="CT21" s="19">
        <f>(Parameters!$C$41*CS21+Parameters!$C$42)</f>
        <v>326.14780581413038</v>
      </c>
      <c r="CU21" s="19">
        <f>CT21+Basicinfo!BR21/(Parameters!$C$47*Parameters!$C$49*Parameters!$C$48*10000/1000000)</f>
        <v>427.31881952681766</v>
      </c>
      <c r="CV21" s="19">
        <f>IF(BK21/Basicinfo!G21&lt;Parameters!$C$35,Parameters!$C$35,Parameters!$C$37*(BK21/Basicinfo!G21)^Parameters!$C$38)</f>
        <v>3.1843712122079508</v>
      </c>
      <c r="CW21" s="19">
        <f>IF(BK21/Basicinfo!G21&lt;Parameters!$C$35,Parameters!$C$36,Parameters!$C$36*(BK21/Basicinfo!G21)^Parameters!$C$38)</f>
        <v>7.4832723486886854</v>
      </c>
      <c r="CX21" s="27">
        <f>IF(Basicinfo!AJ21+Basicinfo!AK21=0,0,(Parameters!$C$53*Basicinfo!AJ21+Parameters!$C$54*Basicinfo!AK21)/(Basicinfo!AJ21+Basicinfo!AK21))</f>
        <v>750</v>
      </c>
      <c r="CY21" s="56">
        <f>IF(Basicinfo!AU21*AB21=0,0,((Basicinfo!AZ21+Basicinfo!BA21)/Basicinfo!AU21+Parameters!$C$76/(Basicinfo!AU21*AB21)*100))</f>
        <v>2.670533751311813</v>
      </c>
      <c r="CZ21" s="43">
        <f>IF(Basicinfo!AU21*AB21=0,0,(Parameters!$C$77)/(Basicinfo!AU21*AB21)*100)</f>
        <v>0.71873556845239683</v>
      </c>
      <c r="DA21" s="43">
        <f>IF(AD21+AJ21=0,0,((J21*Parameters!$C$96+Parameters!$C$94/100*S21*100*Parameters!$C$93/1000*86400*Parameters!$C$95/24*Parameters!$C$98)*AI21+AD21*CY21*86400*365)/((AD21+AJ21*AI21/365)*86400*365))</f>
        <v>8.0487094326479163</v>
      </c>
      <c r="DB21" s="43">
        <f>IF(AD21+AJ21=0,0,((J21*Parameters!$C$97+Parameters!$C$94/100*S21*100*Parameters!$C$93/1000*86400*Parameters!$C$95/24*Parameters!$C$99)*AI21+AD21*CZ21*86400*365)/((AD21+AJ21*AI21/365)*86400*365))</f>
        <v>1.5765356889799063</v>
      </c>
      <c r="DC21" s="42">
        <f>IF(AE21+AL21=0,0,((K21*Parameters!$C$96+Parameters!$C$94/100*T21*100*Parameters!$C$93/1000*86400*Parameters!$C$95/24*Parameters!$C$98)*365+AE21*CY21*86400*365)/((AE21+AL21)*86400*365))</f>
        <v>0</v>
      </c>
      <c r="DD21" s="42">
        <f>IF(AE21+AL21=0,0,((K21*Parameters!$C$97+Parameters!$C$94/100*T21*100*Parameters!$C$93/1000*86400*Parameters!$C$95/24*Parameters!$C$99)*365+AE21*CZ21*86400*365)/((AE21+AL21)*86400*365))</f>
        <v>0</v>
      </c>
      <c r="DE21" s="42">
        <f>IF(Basicinfo!AH21+Basicinfo!AI21+Basicinfo!AJ21+Basicinfo!AK21=0,0,((Basicinfo!AH21+Basicinfo!AI21)*Parameters!$C$107+(Basicinfo!AJ21+Basicinfo!AK21)*Parameters!$C$106)/(Basicinfo!AH21+Basicinfo!AI21+Basicinfo!AJ21+Basicinfo!AK21))</f>
        <v>52.233524032427411</v>
      </c>
      <c r="DF21" s="42">
        <f>IF(Basicinfo!AH21+Basicinfo!AI21+Basicinfo!AJ21+Basicinfo!AK21=0,0,((Basicinfo!AH21+Basicinfo!AI21)*Parameters!$C$109+(Basicinfo!AJ21+Basicinfo!AK21)*Parameters!$C$108)/(Basicinfo!AH21+Basicinfo!AI21+Basicinfo!AJ21+Basicinfo!AK21))</f>
        <v>52.233524032427411</v>
      </c>
      <c r="DG21" s="42">
        <f>Intermediate!AC21*Intermediate!CY21*(1-Parameters!$C$102/100*Basicinfo!BZ21/100)*(1-Parameters!$C$104/100*Basicinfo!CA21/100)*86400*365/1000000</f>
        <v>0.53209395761099865</v>
      </c>
      <c r="DH21" s="42">
        <f>Intermediate!AC21*Intermediate!CZ21*(1-Parameters!$C$103/100*Basicinfo!BZ21/100)*(1-Parameters!$C$105/100*Basicinfo!CA21/100)*86400*365/1000000</f>
        <v>0.14320539963434947</v>
      </c>
      <c r="DI21" s="42">
        <f>(Intermediate!AK21*Intermediate!DA21+(Intermediate!AE21+Intermediate!AL21)*Intermediate!DC21)*86400*365/1000000</f>
        <v>1.0163445256784498</v>
      </c>
      <c r="DJ21" s="42">
        <f>(Intermediate!AK21*Intermediate!DB21+(Intermediate!AE21+Intermediate!AL21)*Intermediate!DD21)*86400*365/1000000</f>
        <v>0.1990758183581606</v>
      </c>
      <c r="DK21" s="42">
        <f>((Basicinfo!AZ21+Basicinfo!BA21)*Intermediate!AB21+Parameters!$C$76*100)/1000*Intermediate!U21*(1-Intermediate!DE21/100)+(1-Parameters!$C$110/100)*M21*Parameters!$C$100*(1-DE21/100)*365/1000000+(1-Parameters!$C$112/100)*P21*Parameters!$C$96*365/1000000+(1-Parameters!$C$112/100)*O21*Parameters!$C$96*(1-DE21/100)*365/1000000</f>
        <v>2.0369700572434062</v>
      </c>
      <c r="DL21" s="42">
        <f>Parameters!$C$77*100/1000*Intermediate!U21*(1-Intermediate!DF21/100)+(1-Parameters!$C$111/100)*M21*Parameters!$C$101*(1-DF21/100)*365/1000000+(1-Parameters!$C$113/100)*P21*Parameters!$C$97*365/1000000+(1-Parameters!$C$113/100)*O21*Parameters!$C$97*(1-DF21/100)*365/1000000</f>
        <v>0.32040504276520987</v>
      </c>
      <c r="DM21" s="31"/>
      <c r="DN21" s="31"/>
      <c r="DO21" s="31"/>
      <c r="DP21" s="31"/>
      <c r="DQ21" s="31"/>
      <c r="DR21" s="31"/>
      <c r="DS21" s="31"/>
      <c r="DT21" s="188">
        <f>BO21*(Basicinfo!$P21+Basicinfo!$Q21)/1000</f>
        <v>79.112914977103742</v>
      </c>
      <c r="DU21" s="188">
        <f>DT21*Basicinfo!$AZ21/(Basicinfo!$AZ21+Basicinfo!$BA21)</f>
        <v>46.994764396830121</v>
      </c>
      <c r="DV21" s="188">
        <f>DT21*Basicinfo!$BC21/(Basicinfo!$BB21+Basicinfo!$BC21)</f>
        <v>30.613270999167121</v>
      </c>
      <c r="DW21" s="188">
        <f>BP21*(Basicinfo!$P21+Basicinfo!$Q21)/1000</f>
        <v>95.23542358096914</v>
      </c>
      <c r="DX21" s="188">
        <f>DW21*Basicinfo!$BB21/(Basicinfo!$BB21+Basicinfo!$BC21)</f>
        <v>58.383440163995424</v>
      </c>
      <c r="DY21" s="188">
        <f>DW21*Basicinfo!$BC21/(Basicinfo!$BB21+Basicinfo!$BC21)</f>
        <v>36.851983416973724</v>
      </c>
      <c r="DZ21" s="188">
        <f t="shared" si="10"/>
        <v>123.65188085180384</v>
      </c>
      <c r="EA21" s="188">
        <f>DZ21*Basicinfo!$AZ21/(Basicinfo!$AZ21+Basicinfo!$BA21)</f>
        <v>73.451863194994203</v>
      </c>
      <c r="EB21" s="188">
        <f>DZ21*Basicinfo!$BC21/(Basicinfo!$BB21+Basicinfo!$BC21)</f>
        <v>47.847921406619044</v>
      </c>
      <c r="EC21" s="188">
        <f t="shared" si="11"/>
        <v>148.85103466245931</v>
      </c>
      <c r="ED21" s="188">
        <f>EC21*Basicinfo!$AZ21/(Basicinfo!$AZ21+Basicinfo!$BA21)</f>
        <v>88.420699783482547</v>
      </c>
      <c r="EE21" s="188">
        <f>EC21*Basicinfo!$BC21/(Basicinfo!$BB21+Basicinfo!$BC21)</f>
        <v>57.598902327730997</v>
      </c>
      <c r="EF21" s="190">
        <f>(Basicinfo!BP21-BL21/100)*Intermediate!X21/10</f>
        <v>304.36104157973267</v>
      </c>
      <c r="EG21" s="191">
        <f>(Basicinfo!BQ21-BM21/100)*Intermediate!X21/10</f>
        <v>259.48552032376227</v>
      </c>
      <c r="EH21" s="197">
        <f>IF(AU21=0,0,$BS21*((Basicinfo!$P21+Basicinfo!$Q21)*Intermediate!$AT21*1000+$AW21*3600*24*365)/1000000*Basicinfo!AZ21/(Basicinfo!$AZ21+Basicinfo!$BA21))</f>
        <v>4.9665195140903844</v>
      </c>
      <c r="EI21" s="197">
        <f>IF(AU21=0,0,$BS21*((Basicinfo!$P21+Basicinfo!$Q21)*Intermediate!$AT21*1000+$AW21*3600*24*365)/1000000*Basicinfo!BA21/(Basicinfo!$AZ21+Basicinfo!$BA21))</f>
        <v>3.3943232541066197</v>
      </c>
      <c r="EJ21" s="198">
        <f>IF(AU21=0,0,$BS21*($AT21*$X21*1000)/1000000*Basicinfo!AZ21/(Basicinfo!$AZ21+Basicinfo!$BA21))</f>
        <v>7.7625692263039063</v>
      </c>
      <c r="EK21" s="198">
        <f>IF(AU21=0,0,$BS21*($AT21*$X21*1000)/1000000*Basicinfo!BA21/(Basicinfo!$AZ21+Basicinfo!$BA21))</f>
        <v>5.305258372931517</v>
      </c>
      <c r="EL21" s="147">
        <f>Parameters!$C$150/Basicinfo!$AV21*100</f>
        <v>0.11096774061754802</v>
      </c>
      <c r="EM21" s="147">
        <f>Parameters!$C$151/Basicinfo!$AV21*100</f>
        <v>0.22193548123509604</v>
      </c>
      <c r="EN21" s="147">
        <f>(Parameters!$C$150+Parameters!$C$151)/Intermediate!$BB21*100</f>
        <v>0.71101923450009252</v>
      </c>
      <c r="EO21" s="193">
        <f>IF(EN21=0,0,(1/(1+Parameters!$C$116*$BB21^Parameters!$C$120)*Basicinfo!$AH21/Basicinfo!$G21+1/(1+Parameters!$C$117*$BB21^Parameters!$C$121)*Basicinfo!$AI21/Basicinfo!$G21)*(EN21)^Parameters!$C$124+(1/(1+Parameters!$C$118*$BB21^Parameters!$C$122)*Basicinfo!$AJ21/Basicinfo!AW21+1/(1+Parameters!$C$119*$BB21^Parameters!$C$123)*Basicinfo!$AK21/Basicinfo!$G21)*(EN21)^Parameters!$C$125)</f>
        <v>0.2104217865346614</v>
      </c>
      <c r="EP21" s="199">
        <f>EL21*($AT21*Basicinfo!$P21*1000+$AW21*3600*24*365)/1000000</f>
        <v>0.61016057154064263</v>
      </c>
      <c r="EQ21" s="199">
        <f>EM21*($AT21*Basicinfo!$P21*1000+$AW21*3600*24*365)/1000000</f>
        <v>1.2203211430812853</v>
      </c>
      <c r="ER21" s="199">
        <f t="shared" si="12"/>
        <v>0.95366859272531557</v>
      </c>
      <c r="ES21" s="199">
        <f t="shared" si="13"/>
        <v>1.9073371854506311</v>
      </c>
      <c r="ET21" s="181">
        <f t="shared" si="14"/>
        <v>12.474586147945036</v>
      </c>
      <c r="EU21" s="147">
        <f>Intermediate!F21*(Parameters!$C$150)/1000*100</f>
        <v>0.14304975769989428</v>
      </c>
      <c r="EV21" s="147">
        <f>Intermediate!F21*(Parameters!$C$151)/1000*100</f>
        <v>0.28609951539978856</v>
      </c>
      <c r="EW21" s="181">
        <f>'Local emissions'!$S21*Basicinfo!AZ21/(Basicinfo!$AZ21+Basicinfo!$BA21)-Intermediate!EU21</f>
        <v>1.1043740886368214</v>
      </c>
      <c r="EX21" s="147">
        <f>'Local emissions'!$S21*Basicinfo!BA21/(Basicinfo!$AZ21+Basicinfo!$BA21)-Intermediate!EV21</f>
        <v>0.56644113350639436</v>
      </c>
      <c r="EY21" s="188">
        <f t="shared" si="15"/>
        <v>4.3563589425497415</v>
      </c>
      <c r="EZ21" s="188">
        <f t="shared" si="16"/>
        <v>2.1740021110253345</v>
      </c>
      <c r="FA21" s="188">
        <f t="shared" si="17"/>
        <v>6.8089006335785909</v>
      </c>
      <c r="FB21" s="181">
        <f t="shared" si="18"/>
        <v>3.3979211874808861</v>
      </c>
      <c r="FC21" s="181">
        <f>'Local emissions'!Y21-Intermediate!ET21</f>
        <v>79.63129088526513</v>
      </c>
      <c r="FD21" s="188">
        <f t="shared" si="19"/>
        <v>9.2323419579655237</v>
      </c>
      <c r="FE21" s="188">
        <f t="shared" si="20"/>
        <v>5.8275105368764013</v>
      </c>
      <c r="FF21" s="181">
        <f t="shared" si="21"/>
        <v>6.9911102726278109</v>
      </c>
      <c r="FG21" s="201">
        <f t="shared" si="22"/>
        <v>4.5541403623985897</v>
      </c>
      <c r="FH21" s="181">
        <f t="shared" si="23"/>
        <v>53.026187755396812</v>
      </c>
      <c r="FJ21" s="147">
        <f>AVERAGE(Parameters!$C$132:$C$134)*'Local emissions'!J21*3600*24*365/1000000</f>
        <v>2.9641859698520758E-2</v>
      </c>
      <c r="FK21" s="147">
        <f>'Local emissions'!AJ21+CT21*BJ21/100*Intermediate!X21*100/1000000</f>
        <v>0.35342419574714617</v>
      </c>
      <c r="FL21" s="31">
        <f>(Parameters!$C$18*(Basicinfo!AH21+Basicinfo!AI21)+Parameters!$C$19*Basicinfo!AJ21+Parameters!$C$20*Basicinfo!AK21)/Basicinfo!G21</f>
        <v>2.5558381008106854E-2</v>
      </c>
      <c r="FM21" s="181">
        <f t="shared" si="32"/>
        <v>0.37500337219008012</v>
      </c>
    </row>
    <row r="22" spans="1:169">
      <c r="A22" s="39" t="str">
        <f>Basicinfo!A22</f>
        <v>Große Mühl</v>
      </c>
      <c r="B22" s="63">
        <f>Basicinfo!B22</f>
        <v>1140</v>
      </c>
      <c r="C22" s="63">
        <f>Basicinfo!C22</f>
        <v>1130</v>
      </c>
      <c r="D22" s="61">
        <f>Basicinfo!U22*Basicinfo!V22/1000+Basicinfo!Y22</f>
        <v>0.91309576933623293</v>
      </c>
      <c r="E22" s="19">
        <f>Basicinfo!W22*Basicinfo!X22/1000+Basicinfo!Z22</f>
        <v>0</v>
      </c>
      <c r="F22" s="19">
        <f t="shared" si="0"/>
        <v>0.91309576933623293</v>
      </c>
      <c r="G22" s="19">
        <f>SUM(Basicinfo!H22:L22)</f>
        <v>12.281808341884547</v>
      </c>
      <c r="H22" s="19">
        <f>IF(Basicinfo!N22&lt;Parameters!$C$68,Parameters!$C$69,Basicinfo!BS22/(Basicinfo!N22*100))</f>
        <v>12.721587272460956</v>
      </c>
      <c r="I22" s="19">
        <f>IF(Basicinfo!N22=0,0,Basicinfo!BU22*(1-Basicinfo!BX22/100))</f>
        <v>3937.9200715937855</v>
      </c>
      <c r="J22" s="19">
        <f>IF(Basicinfo!N22=0,0,Basicinfo!BU22*Basicinfo!BX22/100)</f>
        <v>2312.7467087138107</v>
      </c>
      <c r="K22" s="19">
        <f>IF(Basicinfo!N22=0,0,Basicinfo!BT22-Basicinfo!BU22)</f>
        <v>0</v>
      </c>
      <c r="L22" s="27">
        <f>Basicinfo!BV22*Basicinfo!BW22/100</f>
        <v>731.1733333333334</v>
      </c>
      <c r="M22" s="27">
        <f>Basicinfo!BV22-Intermediate!L22</f>
        <v>731.1733333333334</v>
      </c>
      <c r="N22" s="73">
        <f>Basicinfo!BS22-SUM(I22:K22)-Basicinfo!BV22</f>
        <v>0</v>
      </c>
      <c r="O22" s="19">
        <f>IF(Basicinfo!AH22+Basicinfo!AI22+Basicinfo!AJ22+Basicinfo!AK22=0,0,N22*(Basicinfo!AH22+Basicinfo!AI22)/SUM(Basicinfo!AH22:AK22))</f>
        <v>0</v>
      </c>
      <c r="P22" s="73">
        <f t="shared" si="25"/>
        <v>0</v>
      </c>
      <c r="Q22" s="19">
        <f>IF(Basicinfo!BS22=0,Basicinfo!N22,IF(H22&gt;Parameters!$C$70,Parameters!$C$64*(Parameters!$C$65*Parameters!$C$70)^(Parameters!$C$66-Parameters!$C$67*LOG(Parameters!$C$65*Parameters!$C$70,10))/100*Basicinfo!N22,Parameters!$C$64*(Parameters!$C$65*H22)^(Parameters!$C$66-Parameters!$C$67*LOG(Parameters!$C$65*H22,10))/100*Basicinfo!N22))</f>
        <v>1.422132692730194</v>
      </c>
      <c r="R22" s="19">
        <f>IF(Basicinfo!BS22=0,Q22*(1-Basicinfo!BX22/100),IF(H22&lt;Parameters!$C$75,Q22*Basicinfo!BU22/Basicinfo!BS22*(1-Basicinfo!BX22/100)*(-Parameters!$C$74+Parameters!$C$73*LN(H22*100)),Q22*Basicinfo!BU22/Basicinfo!BS22*(1-Basicinfo!BX22/100)))</f>
        <v>0.38159638664184264</v>
      </c>
      <c r="S22" s="19">
        <f>IF(Basicinfo!BS22=0,Q22*Basicinfo!BX22/100,Q22*Basicinfo!BU22/Basicinfo!BS22*Basicinfo!BX22/100)</f>
        <v>0.42642641907441758</v>
      </c>
      <c r="T22" s="19">
        <f>IF(Basicinfo!BS22=0,0,IF(H22&lt;Parameters!$C$75,Q22*K22/Basicinfo!BS22*(-Parameters!$C$74+Parameters!$C$73*LN(H22*100)),Q22*K22/Basicinfo!BS22))</f>
        <v>0</v>
      </c>
      <c r="U22" s="19">
        <f t="shared" si="26"/>
        <v>0.61410988701393388</v>
      </c>
      <c r="V22" s="19">
        <f>IF(Basicinfo!AL22&gt;Parameters!$C$14,Basicinfo!Q22,0)</f>
        <v>0</v>
      </c>
      <c r="W22" s="19">
        <f>IF(Basicinfo!AL22&gt;Parameters!$C$14,0,Basicinfo!Q22)</f>
        <v>0</v>
      </c>
      <c r="X22" s="19">
        <f>G22+Basicinfo!M22</f>
        <v>49.069993929281004</v>
      </c>
      <c r="Y22" s="19">
        <f>IF(Basicinfo!G22-F22-Q22-V22-Basicinfo!O22-Basicinfo!R22-Basicinfo!S22&lt;0,0,Basicinfo!G22-F22-Q22-V22-Basicinfo!O22-Basicinfo!R22-Basicinfo!S22)</f>
        <v>148.88822263069676</v>
      </c>
      <c r="Z22" s="19">
        <f>Basicinfo!G22-F22-Basicinfo!BO22-Q22-Basicinfo!O22</f>
        <v>146.26643285094968</v>
      </c>
      <c r="AA22" s="53">
        <f>IF(Z22+Basicinfo!BO22-X22&gt;0,Z22+Basicinfo!BO22-X22,0)</f>
        <v>99.836073278652577</v>
      </c>
      <c r="AB22" s="56">
        <f>IF(Basicinfo!N22=0,0,Parameters!$C$71+Parameters!$C$72*Q22/Basicinfo!N22)</f>
        <v>0.32592136933215399</v>
      </c>
      <c r="AC22" s="43">
        <f>Basicinfo!AU22*AB22*R22/1000/86.4/0.365</f>
        <v>4.2277846740046057E-3</v>
      </c>
      <c r="AD22" s="43">
        <f>Basicinfo!AU22*AB22*S22/1000/86.4/0.365</f>
        <v>4.7244658027791814E-3</v>
      </c>
      <c r="AE22" s="43">
        <f>Basicinfo!AU22*AB22*T22/1000/86.4/0.365</f>
        <v>0</v>
      </c>
      <c r="AF22" s="43">
        <f>Basicinfo!AU22*AB22*U22/1000/86.4/0.365</f>
        <v>6.8038494581162236E-3</v>
      </c>
      <c r="AG22" s="43">
        <f>((Parameters!$C$80+Parameters!$C$81*Parameters!$C$89)/(Parameters!$C$82+Parameters!$C$89)/(Parameters!$C$90/100*Parameters!$C$91+(Parameters!$C$83+Parameters!$C$84*Parameters!$C$89)/(Parameters!$C$85+Parameters!$C$89)))-Parameters!$C$86+(Basicinfo!AU22-Parameters!$C$88)/Parameters!$C$87</f>
        <v>78.189134548622931</v>
      </c>
      <c r="AH22" s="43">
        <f>((Parameters!$C$80+Parameters!$C$81*Parameters!$C$89)/(Parameters!$C$82+Parameters!$C$89)/(Basicinfo!BY22/100*Parameters!$C$91+(Parameters!$C$83+Parameters!$C$84*Parameters!$C$89)/(Parameters!$C$85+Parameters!$C$89)))-Parameters!$C$86+(Basicinfo!AU22-Parameters!$C$88)/Parameters!$C$87</f>
        <v>60.386252682007367</v>
      </c>
      <c r="AI22" s="43">
        <f>Basicinfo!AU22^Parameters!$C$79*Parameters!$C$78*AH22/AG22</f>
        <v>34.872161106891944</v>
      </c>
      <c r="AJ22" s="43">
        <f>(J22*Parameters!$C$92/1000+Parameters!$C$94/100*S22*100*Parameters!$C$93/1000*86400*Parameters!$C$95/24)/86400</f>
        <v>3.4940414377283529E-3</v>
      </c>
      <c r="AK22" s="43">
        <f t="shared" si="1"/>
        <v>3.0545100336324686E-3</v>
      </c>
      <c r="AL22" s="43">
        <f>(K22*Parameters!$C$92/1000+Parameters!$C$94/100*T22*100*Parameters!$C$93/1000*86400*Parameters!$C$95/24)/86400</f>
        <v>0</v>
      </c>
      <c r="AM22" s="43">
        <f>(Intermediate!N22+Basicinfo!BV22-Intermediate!L22)*Parameters!$C$92/1000/86400</f>
        <v>1.1001450617283953E-3</v>
      </c>
      <c r="AN22" s="43">
        <f t="shared" si="2"/>
        <v>7.0807125315458692E-3</v>
      </c>
      <c r="AO22" s="43">
        <f t="shared" si="27"/>
        <v>3.0545100336324686E-3</v>
      </c>
      <c r="AP22" s="43">
        <f t="shared" si="28"/>
        <v>7.9039945198446197E-3</v>
      </c>
      <c r="AQ22" s="43">
        <f t="shared" si="3"/>
        <v>1.5186289227481694E-2</v>
      </c>
      <c r="AR22" s="61">
        <f>(Basicinfo!AU22-Basicinfo!AY22)*F22/1000/86.4/0.365</f>
        <v>1.2608912637151772E-2</v>
      </c>
      <c r="AS22" s="19">
        <f>IF(Basicinfo!AP22-Basicinfo!CB22-Basicinfo!CG22&lt;0,0,(Basicinfo!AP22-Basicinfo!CB22-Basicinfo!CG22)/Basicinfo!G22*1000)</f>
        <v>21.907609670132615</v>
      </c>
      <c r="AT22" s="19">
        <f>Parameters!$C$3*((AS22*86.4*0.365)^Parameters!$C$4)</f>
        <v>147.09162118200103</v>
      </c>
      <c r="AU22" s="19">
        <f>IF(AT22/86.4/0.365*(Basicinfo!G22/1000)-AN22&lt;0,0,AT22/86.4/0.365*(Basicinfo!G22/1000)-AN22)</f>
        <v>0.6983457007664835</v>
      </c>
      <c r="AV22" s="19">
        <f>IF(Basicinfo!AU22&gt;Parameters!$C$13,Parameters!$C$11*(Basicinfo!AU22-Parameters!$C$13)^Parameters!$C$12,0)</f>
        <v>115.56312712852394</v>
      </c>
      <c r="AW22" s="19">
        <f>IF(AV22*V22/1000/86.4/0.365&gt;Basicinfo!AP22*Parameters!$C$15,Basicinfo!AP22*Parameters!$C$15,AV22*V22/1000/86.4/0.365)</f>
        <v>0</v>
      </c>
      <c r="AX22" s="19">
        <f>Basicinfo!AU22-Basicinfo!AW22</f>
        <v>462.81491021357158</v>
      </c>
      <c r="AY22" s="19">
        <f>Parameters!$C$56*AX22+Parameters!$C$57*Basicinfo!AW22</f>
        <v>292.32783800252867</v>
      </c>
      <c r="AZ22" s="19">
        <f>AY22*Basicinfo!BO22/1000/86.4/0.365</f>
        <v>2.446849964149838E-2</v>
      </c>
      <c r="BA22" s="19">
        <f>IF(Basicinfo!AP22-AQ22-AR22-AU22-AW22-AZ22-Basicinfo!CB22-Basicinfo!CG22&lt;0,0,Basicinfo!AP22-AQ22-AR22-AU22-AW22-AZ22-Basicinfo!CB22-Basicinfo!CG22)</f>
        <v>2.5627258692708619</v>
      </c>
      <c r="BB22" s="53">
        <f t="shared" si="4"/>
        <v>552.540466312474</v>
      </c>
      <c r="BC22" s="56">
        <f>IF(G22=0,0,((Basicinfo!H22*Basicinfo!BE22+Basicinfo!I22*Basicinfo!BF22+Basicinfo!J22*Basicinfo!BG22+Basicinfo!K22*Basicinfo!BH22+Basicinfo!L22*Basicinfo!BI22)*(1-Basicinfo!BN22/G22*Parameters!$C$26/100)/G22)*Basicinfo!BM22)</f>
        <v>2.9070814977166566</v>
      </c>
      <c r="BD22" s="43">
        <f>IF(Basicinfo!AW22*Parameters!$C$39-Parameters!$C$40&lt;0,0.001,(Basicinfo!AW22*Parameters!$C$39-Parameters!$C$40)/(Basicinfo!AX22*Parameters!$C$39-Parameters!$C$40))</f>
        <v>1.0845927114788012</v>
      </c>
      <c r="BE22" s="43">
        <f>(BC22*G22*100+Basicinfo!BJ22*Basicinfo!M22*100)*Parameters!$C$29*BD22</f>
        <v>4355.5230233744614</v>
      </c>
      <c r="BF22" s="43">
        <f>(Basicinfo!BK22*Basicinfo!P22*100)*BD22*Parameters!$C$29</f>
        <v>1014.4175205989293</v>
      </c>
      <c r="BG22" s="43">
        <f>Parameters!$C$27*(V22+W22)*100</f>
        <v>0</v>
      </c>
      <c r="BH22" s="43">
        <f>Parameters!$C$28*Basicinfo!R22*100</f>
        <v>0</v>
      </c>
      <c r="BI22" s="43">
        <f t="shared" si="29"/>
        <v>1014.4175205989293</v>
      </c>
      <c r="BJ22" s="43">
        <f>IF(Basicinfo!AM22&lt;Parameters!$C$33,0,Parameters!$C$30*(((Basicinfo!AM22-Parameters!$C$33)^Parameters!$C$31)*(((G22-Basicinfo!BN22)/Basicinfo!G22*100+Parameters!$C$34))^Parameters!$C$32))</f>
        <v>1.7862044396472849</v>
      </c>
      <c r="BK22" s="58">
        <f t="shared" si="30"/>
        <v>1092.2160662123035</v>
      </c>
      <c r="BL22" s="61">
        <f>Basicinfo!AZ22+Basicinfo!BA22</f>
        <v>1567.1050766458829</v>
      </c>
      <c r="BM22" s="19">
        <f>Basicinfo!BB22+Basicinfo!BC22</f>
        <v>2317.0213853274063</v>
      </c>
      <c r="BN22" s="172">
        <f>IF(Basicinfo!AO22=0,0,IF(Basicinfo!AO22="NA",1,IF(OR(Basicinfo!AO22="SA",Basicinfo!AN22="S"),3,IF(Basicinfo!AN22="N",1,IF(Basicinfo!AO22="ZA",2,0)))))</f>
        <v>0</v>
      </c>
      <c r="BO22" s="27">
        <f>IF($BN22=1,(BL22)*(1+Parameters!$C$21*Parameters!$C$22-Parameters!$C$22*Basicinfo!$AL22),IF($BN22=2,(BL22)*(1+Parameters!$C$21*Parameters!$C$23-Parameters!$C$23*Basicinfo!$AL22),IF($BN22=3,(BL22)*(1+Parameters!$C$21*Parameters!$C$24-Parameters!$C$24*Basicinfo!$AL22),BL22)))</f>
        <v>1567.1050766458829</v>
      </c>
      <c r="BP22" s="27">
        <f>IF($BN22=1,(BM22)*(1+Parameters!$C$21*Parameters!$C$22-Parameters!$C$22*Basicinfo!$AL22),IF($BN22=2,(BM22)*(1+Parameters!$C$21*Parameters!$C$23-Parameters!$C$23*Basicinfo!$AL22),IF($BN22=3,(BM22)*(1+Parameters!$C$21*Parameters!$C$24-Parameters!$C$24*Basicinfo!$AL22),BM22)))</f>
        <v>2317.0213853274063</v>
      </c>
      <c r="BQ22" s="27">
        <f>IF(Basicinfo!AU22=0,0,IF(G22+Basicinfo!M22=0,0,(Parameters!$C$16+BO22/Basicinfo!AU22)*G22+(Parameters!$C$17+BO22/Basicinfo!AU22)*Basicinfo!M22)/(G22+Basicinfo!M22))</f>
        <v>1.5369136834627248</v>
      </c>
      <c r="BR22" s="27">
        <f>IF(Basicinfo!AU22=0,0,IF(G22+Basicinfo!M22=0,0,(Parameters!$C$16+BP22/Basicinfo!AU22)*G22+(Parameters!$C$17+BP22/Basicinfo!AU22)*Basicinfo!M22)/(G22+Basicinfo!M22))</f>
        <v>2.236450250576691</v>
      </c>
      <c r="BS22" s="27">
        <f>IF(Basicinfo!AU22=0,0,BO22/Basicinfo!AU22)</f>
        <v>1.4618261970473918</v>
      </c>
      <c r="BT22" s="27">
        <f>IF(Basicinfo!AU22=0,0,BP22/Basicinfo!AU22)</f>
        <v>2.1613627641613578</v>
      </c>
      <c r="BU22" s="27">
        <f>IF(SUM(G22,Basicinfo!M22,Basicinfo!P22,W22)=0,0,(BQ22*(G22+Basicinfo!M22)+BS22*(Basicinfo!P22+W22))/SUM(G22,Basicinfo!M22,Basicinfo!P22,W22))</f>
        <v>1.4873694091867071</v>
      </c>
      <c r="BV22" s="19">
        <f>IF(Basicinfo!BR22/Parameters!$C$10&gt;1,1,Basicinfo!BR22/Parameters!$C$10)</f>
        <v>0.2081791622219836</v>
      </c>
      <c r="BW22" s="19">
        <f>Parameters!$C$5+Parameters!$C$6*EXP(BV22*Parameters!$C$8*Parameters!$C$7)</f>
        <v>3.5011277758270926E-2</v>
      </c>
      <c r="BX22" s="19">
        <f>Parameters!$C$5+Parameters!$C$6*EXP(BV22*Parameters!$C$9*Parameters!$C$7)</f>
        <v>3.5008167434052079E-2</v>
      </c>
      <c r="BY22" s="19">
        <f>IF(Basicinfo!AH22+Basicinfo!AI22+Basicinfo!AJ22+Basicinfo!AK22=0,0,(Parameters!$C$18*(Basicinfo!AH22+Basicinfo!AI22)+Parameters!$C$19*Basicinfo!AJ22+Parameters!$C$20*Basicinfo!AK22)/(Basicinfo!AH22+Basicinfo!AI22+Basicinfo!AJ22+Basicinfo!AK22))</f>
        <v>2.5347597071757332E-2</v>
      </c>
      <c r="BZ22" s="19">
        <f>IF(Basicinfo!AJ22+Basicinfo!AK22=0,Parameters!$C$18,(Parameters!$C$19*Basicinfo!AJ22+Parameters!$C$20*Basicinfo!AK22)/(Basicinfo!AJ22+Basicinfo!AK22))</f>
        <v>2.5000000000000001E-2</v>
      </c>
      <c r="CA22" s="19">
        <f>IF(SUM(G22,Basicinfo!M22,Basicinfo!P22,W22)=0,0,(BW22*G22+BX22*Basicinfo!M22+BY22*Basicinfo!P22+BZ22*W22)/(SUM(G22,Basicinfo!M22,Basicinfo!P22,W22)))</f>
        <v>2.8634188420312054E-2</v>
      </c>
      <c r="CB22" s="19">
        <f>IF(Y22=0,Basicinfo!BP22,Basicinfo!BP22-(AU22*X22/Y22*Intermediate!BQ22*86400*365/1000000)*1000/(X22*100))</f>
        <v>40.352043937427688</v>
      </c>
      <c r="CC22" s="19">
        <f>IF(Y22=0,Basicinfo!BQ22,Basicinfo!BQ22-(AU22*Basicinfo!AV22/Basicinfo!AU22*X22/Y22*Intermediate!BR22*86400*365/1000000)*1000/(X22*100))</f>
        <v>36.952753409483002</v>
      </c>
      <c r="CD22" s="19">
        <f>IF(OR(Y22=0,AA22=0),BP22/100,BP22/100-(AU22*Basicinfo!AV22/Basicinfo!AU22*(Basicinfo!P22+W22)/Y22*Intermediate!BT22*86400*365/1000000+AW22*Basicinfo!AV22/Basicinfo!AU22*Intermediate!BT22*86400*365/1000000)*1000/(AA22*100))</f>
        <v>20.139515472561214</v>
      </c>
      <c r="CE22" s="19">
        <f t="shared" si="5"/>
        <v>171572.96279887238</v>
      </c>
      <c r="CF22" s="19">
        <f t="shared" si="6"/>
        <v>201065.01425151786</v>
      </c>
      <c r="CG22" s="19">
        <f>IF(AY22=0,0,((CB22^Parameters!$C$58))/AY22*100)</f>
        <v>7.9271218239676626</v>
      </c>
      <c r="CH22" s="19">
        <f>IF(SUM(Basicinfo!AB22:AG22)=0,0,(Parameters!$C$59*Basicinfo!AB22+Parameters!$C$60*SUM(Basicinfo!AC22:AE22)+Parameters!$C$61*Basicinfo!AF22+Parameters!$C$62*Basicinfo!AG22)/SUM(Basicinfo!AB22:AG22))</f>
        <v>0.18739747605467061</v>
      </c>
      <c r="CI22" s="19">
        <f t="shared" si="31"/>
        <v>5</v>
      </c>
      <c r="CJ22" s="19">
        <f t="shared" si="8"/>
        <v>25.476657206108296</v>
      </c>
      <c r="CK22" s="19">
        <f t="shared" si="9"/>
        <v>4.610821968594184</v>
      </c>
      <c r="CL22" s="19">
        <f>IF($BB22=0,0,$CJ22^Parameters!$C$58*100/$BB22)</f>
        <v>2.8369846578713971</v>
      </c>
      <c r="CM22" s="19">
        <f>IF(CK22=0,0,(1/(1+Parameters!$C$116*BB22^Parameters!$C$120)*Basicinfo!AH22/Basicinfo!G22+1/(1+Parameters!$C$117*BB22^Parameters!$C$121)*Basicinfo!AI22/Basicinfo!G22)*(CK22)^Parameters!$C$124+(1/(1+Parameters!$C$118*BB22^Parameters!$C$122)*Basicinfo!AJ22/Basicinfo!G22+1/(1+Parameters!$C$119*BB22^Parameters!$C$123)*Basicinfo!AK22/Basicinfo!G22)*(CK22)^Parameters!$C$125)</f>
        <v>0.95980717519583358</v>
      </c>
      <c r="CN22" s="19">
        <f>IF(SUM(Basicinfo!AB22:AG22)=0,0,(Parameters!$C$128*Basicinfo!AB22+Parameters!$C$129*(SUM(Basicinfo!AC22:AE22))+Parameters!$C$130*Basicinfo!AF22+Parameters!$C$131*Basicinfo!AG22)/SUM(Basicinfo!AB22:AG22))</f>
        <v>3.2290325474083413E-2</v>
      </c>
      <c r="CO22" s="19">
        <f>IF(Basicinfo!AH22+Basicinfo!AI22+Basicinfo!AJ22+Basicinfo!AK22=0,0,(Parameters!$C$132*(Basicinfo!AH22+Basicinfo!AI22)+Parameters!$C$133*Basicinfo!AJ22+Parameters!$C$134*Basicinfo!AK22)/(Basicinfo!AH22+Basicinfo!AI22+Basicinfo!AJ22+Basicinfo!AK22))</f>
        <v>4.999999999999999E-4</v>
      </c>
      <c r="CP22" s="19">
        <f>IF(Basicinfo!AJ22+Basicinfo!AK22=0,0,(Parameters!$C$133*Basicinfo!AJ22+Parameters!$C$134*Basicinfo!AK22)/(Basicinfo!AJ22+Basicinfo!AK22))</f>
        <v>5.0000000000000001E-4</v>
      </c>
      <c r="CQ22" s="19">
        <f>IF(Z22=0,0,(CN22*(Z22-AA22)+CO22*Basicinfo!P22+CP22*(Basicinfo!Q22+Basicinfo!R22))/Z22)</f>
        <v>1.0575496416983406E-2</v>
      </c>
      <c r="CR22" s="289">
        <f>Basicinfo!EI22</f>
        <v>4.2966000000000002E-3</v>
      </c>
      <c r="CS22" s="19">
        <f>IF(SUM(Basicinfo!AB22:AG22)=0,0,(Basicinfo!AB22*Parameters!$C$43+(Basicinfo!AC22+Basicinfo!AD22)*Parameters!$C$44+Basicinfo!AE22*Parameters!$C$45+(Basicinfo!AF22+Basicinfo!AG22)*Parameters!$C$46)/SUM(Basicinfo!AB22:AG22))</f>
        <v>6.6971917408159145</v>
      </c>
      <c r="CT22" s="19">
        <f>(Parameters!$C$41*CS22+Parameters!$C$42)</f>
        <v>343.31135575632231</v>
      </c>
      <c r="CU22" s="19">
        <f>CT22+Basicinfo!BR22/(Parameters!$C$47*Parameters!$C$49*Parameters!$C$48*10000/1000000)</f>
        <v>416.63231855148632</v>
      </c>
      <c r="CV22" s="19">
        <f>IF(BK22/Basicinfo!G22&lt;Parameters!$C$35,Parameters!$C$35,Parameters!$C$37*(BK22/Basicinfo!G22)^Parameters!$C$38)</f>
        <v>3.0244381132654126</v>
      </c>
      <c r="CW22" s="19">
        <f>IF(BK22/Basicinfo!G22&lt;Parameters!$C$35,Parameters!$C$36,Parameters!$C$36*(BK22/Basicinfo!G22)^Parameters!$C$38)</f>
        <v>7.1074295661737192</v>
      </c>
      <c r="CX22" s="27">
        <f>IF(Basicinfo!AJ22+Basicinfo!AK22=0,0,(Parameters!$C$53*Basicinfo!AJ22+Parameters!$C$54*Basicinfo!AK22)/(Basicinfo!AJ22+Basicinfo!AK22))</f>
        <v>750</v>
      </c>
      <c r="CY22" s="56">
        <f>IF(Basicinfo!AU22*AB22=0,0,((Basicinfo!AZ22+Basicinfo!BA22)/Basicinfo!AU22+Parameters!$C$76/(Basicinfo!AU22*AB22)*100))</f>
        <v>2.606666152267481</v>
      </c>
      <c r="CZ22" s="43">
        <f>IF(Basicinfo!AU22*AB22=0,0,(Parameters!$C$77)/(Basicinfo!AU22*AB22)*100)</f>
        <v>0.71552497201255583</v>
      </c>
      <c r="DA22" s="43">
        <f>IF(AD22+AJ22=0,0,((J22*Parameters!$C$96+Parameters!$C$94/100*S22*100*Parameters!$C$93/1000*86400*Parameters!$C$95/24*Parameters!$C$98)*AI22+AD22*CY22*86400*365)/((AD22+AJ22*AI22/365)*86400*365))</f>
        <v>8.5022336587728038</v>
      </c>
      <c r="DB22" s="43">
        <f>IF(AD22+AJ22=0,0,((J22*Parameters!$C$97+Parameters!$C$94/100*S22*100*Parameters!$C$93/1000*86400*Parameters!$C$95/24*Parameters!$C$99)*AI22+AD22*CZ22*86400*365)/((AD22+AJ22*AI22/365)*86400*365))</f>
        <v>1.6553821819245755</v>
      </c>
      <c r="DC22" s="42">
        <f>IF(AE22+AL22=0,0,((K22*Parameters!$C$96+Parameters!$C$94/100*T22*100*Parameters!$C$93/1000*86400*Parameters!$C$95/24*Parameters!$C$98)*365+AE22*CY22*86400*365)/((AE22+AL22)*86400*365))</f>
        <v>0</v>
      </c>
      <c r="DD22" s="42">
        <f>IF(AE22+AL22=0,0,((K22*Parameters!$C$97+Parameters!$C$94/100*T22*100*Parameters!$C$93/1000*86400*Parameters!$C$95/24*Parameters!$C$99)*365+AE22*CZ22*86400*365)/((AE22+AL22)*86400*365))</f>
        <v>0</v>
      </c>
      <c r="DE22" s="42">
        <f>IF(Basicinfo!AH22+Basicinfo!AI22+Basicinfo!AJ22+Basicinfo!AK22=0,0,((Basicinfo!AH22+Basicinfo!AI22)*Parameters!$C$107+(Basicinfo!AJ22+Basicinfo!AK22)*Parameters!$C$106)/(Basicinfo!AH22+Basicinfo!AI22+Basicinfo!AJ22+Basicinfo!AK22))</f>
        <v>51.390388287029346</v>
      </c>
      <c r="DF22" s="42">
        <f>IF(Basicinfo!AH22+Basicinfo!AI22+Basicinfo!AJ22+Basicinfo!AK22=0,0,((Basicinfo!AH22+Basicinfo!AI22)*Parameters!$C$109+(Basicinfo!AJ22+Basicinfo!AK22)*Parameters!$C$108)/(Basicinfo!AH22+Basicinfo!AI22+Basicinfo!AJ22+Basicinfo!AK22))</f>
        <v>51.390388287029346</v>
      </c>
      <c r="DG22" s="42">
        <f>Intermediate!AC22*Intermediate!CY22*(1-Parameters!$C$102/100*Basicinfo!BZ22/100)*(1-Parameters!$C$104/100*Basicinfo!CA22/100)*86400*365/1000000</f>
        <v>0.34754006631281181</v>
      </c>
      <c r="DH22" s="42">
        <f>Intermediate!AC22*Intermediate!CZ22*(1-Parameters!$C$103/100*Basicinfo!BZ22/100)*(1-Parameters!$C$105/100*Basicinfo!CA22/100)*86400*365/1000000</f>
        <v>9.5399096660460647E-2</v>
      </c>
      <c r="DI22" s="42">
        <f>(Intermediate!AK22*Intermediate!DA22+(Intermediate!AE22+Intermediate!AL22)*Intermediate!DC22)*86400*365/1000000</f>
        <v>0.81899490328747493</v>
      </c>
      <c r="DJ22" s="42">
        <f>(Intermediate!AK22*Intermediate!DB22+(Intermediate!AE22+Intermediate!AL22)*Intermediate!DD22)*86400*365/1000000</f>
        <v>0.15945804648525894</v>
      </c>
      <c r="DK22" s="42">
        <f>((Basicinfo!AZ22+Basicinfo!BA22)*Intermediate!AB22+Parameters!$C$76*100)/1000*Intermediate!U22*(1-Intermediate!DE22/100)+(1-Parameters!$C$110/100)*M22*Parameters!$C$100*(1-DE22/100)*365/1000000+(1-Parameters!$C$112/100)*P22*Parameters!$C$96*365/1000000+(1-Parameters!$C$112/100)*O22*Parameters!$C$96*(1-DE22/100)*365/1000000</f>
        <v>1.3226755075935004</v>
      </c>
      <c r="DL22" s="42">
        <f>Parameters!$C$77*100/1000*Intermediate!U22*(1-Intermediate!DF22/100)+(1-Parameters!$C$111/100)*M22*Parameters!$C$101*(1-DF22/100)*365/1000000+(1-Parameters!$C$113/100)*P22*Parameters!$C$97*365/1000000+(1-Parameters!$C$113/100)*O22*Parameters!$C$97*(1-DF22/100)*365/1000000</f>
        <v>0.21497770192954635</v>
      </c>
      <c r="DM22" s="31"/>
      <c r="DN22" s="31"/>
      <c r="DO22" s="31"/>
      <c r="DP22" s="31"/>
      <c r="DQ22" s="31"/>
      <c r="DR22" s="31"/>
      <c r="DS22" s="31"/>
      <c r="DT22" s="188">
        <f>BO22*(Basicinfo!$P22+Basicinfo!$Q22)/1000</f>
        <v>149.15303082644957</v>
      </c>
      <c r="DU22" s="188">
        <f>DT22*Basicinfo!$AZ22/(Basicinfo!$AZ22+Basicinfo!$BA22)</f>
        <v>84.298738979712894</v>
      </c>
      <c r="DV22" s="188">
        <f>DT22*Basicinfo!$BC22/(Basicinfo!$BB22+Basicinfo!$BC22)</f>
        <v>61.130807671833921</v>
      </c>
      <c r="DW22" s="188">
        <f>BP22*(Basicinfo!$P22+Basicinfo!$Q22)/1000</f>
        <v>220.52813640994557</v>
      </c>
      <c r="DX22" s="188">
        <f>DW22*Basicinfo!$BB22/(Basicinfo!$BB22+Basicinfo!$BC22)</f>
        <v>130.1440321218434</v>
      </c>
      <c r="DY22" s="188">
        <f>DW22*Basicinfo!$BC22/(Basicinfo!$BB22+Basicinfo!$BC22)</f>
        <v>90.384104288102193</v>
      </c>
      <c r="DZ22" s="188">
        <f t="shared" si="10"/>
        <v>76.897836597558921</v>
      </c>
      <c r="EA22" s="188">
        <f>DZ22*Basicinfo!$AZ22/(Basicinfo!$AZ22+Basicinfo!$BA22)</f>
        <v>43.461340473764608</v>
      </c>
      <c r="EB22" s="188">
        <f>DZ22*Basicinfo!$BC22/(Basicinfo!$BB22+Basicinfo!$BC22)</f>
        <v>31.516804139871894</v>
      </c>
      <c r="EC22" s="188">
        <f t="shared" si="11"/>
        <v>113.69622531203009</v>
      </c>
      <c r="ED22" s="188">
        <f>EC22*Basicinfo!$AZ22/(Basicinfo!$AZ22+Basicinfo!$BA22)</f>
        <v>64.259159652676829</v>
      </c>
      <c r="EE22" s="188">
        <f>EC22*Basicinfo!$BC22/(Basicinfo!$BB22+Basicinfo!$BC22)</f>
        <v>46.59873181290186</v>
      </c>
      <c r="EF22" s="190">
        <f>(Basicinfo!BP22-BL22/100)*Intermediate!X22/10</f>
        <v>132.26494297186056</v>
      </c>
      <c r="EG22" s="191">
        <f>(Basicinfo!BQ22-BM22/100)*Intermediate!X22/10</f>
        <v>83.772410754289822</v>
      </c>
      <c r="EH22" s="197">
        <f>IF(AU22=0,0,$BS22*((Basicinfo!$P22+Basicinfo!$Q22)*Intermediate!$AT22*1000+$AW22*3600*24*365)/1000000*Basicinfo!AZ22/(Basicinfo!$AZ22+Basicinfo!$BA22))</f>
        <v>11.566624469375453</v>
      </c>
      <c r="EI22" s="197">
        <f>IF(AU22=0,0,$BS22*((Basicinfo!$P22+Basicinfo!$Q22)*Intermediate!$AT22*1000+$AW22*3600*24*365)/1000000*Basicinfo!BA22/(Basicinfo!$AZ22+Basicinfo!$BA22))</f>
        <v>8.8986531482874209</v>
      </c>
      <c r="EJ22" s="198">
        <f>IF(AU22=0,0,$BS22*($AT22*$X22*1000)/1000000*Basicinfo!AZ22/(Basicinfo!$AZ22+Basicinfo!$BA22))</f>
        <v>5.9633276876974657</v>
      </c>
      <c r="EK22" s="198">
        <f>IF(AU22=0,0,$BS22*($AT22*$X22*1000)/1000000*Basicinfo!BA22/(Basicinfo!$AZ22+Basicinfo!$BA22))</f>
        <v>4.5878194492177453</v>
      </c>
      <c r="EL22" s="147">
        <f>Parameters!$C$150/Basicinfo!$AV22*100</f>
        <v>9.3809273071916291E-2</v>
      </c>
      <c r="EM22" s="147">
        <f>Parameters!$C$151/Basicinfo!$AV22*100</f>
        <v>0.18761854614383258</v>
      </c>
      <c r="EN22" s="147">
        <f>(Parameters!$C$150+Parameters!$C$151)/Intermediate!$BB22*100</f>
        <v>0.54294665873457182</v>
      </c>
      <c r="EO22" s="193">
        <f>IF(EN22=0,0,(1/(1+Parameters!$C$116*$BB22^Parameters!$C$120)*Basicinfo!$AH22/Basicinfo!$G22+1/(1+Parameters!$C$117*$BB22^Parameters!$C$121)*Basicinfo!$AI22/Basicinfo!$G22)*(EN22)^Parameters!$C$124+(1/(1+Parameters!$C$118*$BB22^Parameters!$C$122)*Basicinfo!$AJ22/Basicinfo!AW22+1/(1+Parameters!$C$119*$BB22^Parameters!$C$123)*Basicinfo!$AK22/Basicinfo!$G22)*(EN22)^Parameters!$C$125)</f>
        <v>0.16247538924321592</v>
      </c>
      <c r="EP22" s="199">
        <f>EL22*($AT22*Basicinfo!$P22*1000+$AW22*3600*24*365)/1000000</f>
        <v>1.3133112680601886</v>
      </c>
      <c r="EQ22" s="199">
        <f>EM22*($AT22*Basicinfo!$P22*1000+$AW22*3600*24*365)/1000000</f>
        <v>2.6266225361203772</v>
      </c>
      <c r="ER22" s="199">
        <f t="shared" si="12"/>
        <v>0.67709516014150217</v>
      </c>
      <c r="ES22" s="199">
        <f t="shared" si="13"/>
        <v>1.3541903202830043</v>
      </c>
      <c r="ET22" s="181">
        <f t="shared" si="14"/>
        <v>13.130955994496233</v>
      </c>
      <c r="EU22" s="147">
        <f>Intermediate!F22*(Parameters!$C$150)/1000*100</f>
        <v>9.1309576933623293E-2</v>
      </c>
      <c r="EV22" s="147">
        <f>Intermediate!F22*(Parameters!$C$151)/1000*100</f>
        <v>0.18261915386724659</v>
      </c>
      <c r="EW22" s="181">
        <f>'Local emissions'!$S22*Basicinfo!AZ22/(Basicinfo!$AZ22+Basicinfo!$BA22)-Intermediate!EU22</f>
        <v>0.71742021776471343</v>
      </c>
      <c r="EX22" s="147">
        <f>'Local emissions'!$S22*Basicinfo!BA22/(Basicinfo!$AZ22+Basicinfo!$BA22)-Intermediate!EV22</f>
        <v>0.43956806702510565</v>
      </c>
      <c r="EY22" s="188">
        <f t="shared" si="15"/>
        <v>10.253313201315265</v>
      </c>
      <c r="EZ22" s="188">
        <f t="shared" si="16"/>
        <v>6.2720306121670433</v>
      </c>
      <c r="FA22" s="188">
        <f t="shared" si="17"/>
        <v>5.2862325275559634</v>
      </c>
      <c r="FB22" s="181">
        <f t="shared" si="18"/>
        <v>3.2336291289347407</v>
      </c>
      <c r="FC22" s="181">
        <f>'Local emissions'!Y22-Intermediate!ET22</f>
        <v>64.48815761469136</v>
      </c>
      <c r="FD22" s="188">
        <f t="shared" si="19"/>
        <v>20.078501578768638</v>
      </c>
      <c r="FE22" s="188">
        <f t="shared" si="20"/>
        <v>13.944376480860983</v>
      </c>
      <c r="FF22" s="181">
        <f t="shared" si="21"/>
        <v>4.9569220251631716</v>
      </c>
      <c r="FG22" s="201">
        <f t="shared" si="22"/>
        <v>3.5946047429897079</v>
      </c>
      <c r="FH22" s="181">
        <f t="shared" si="23"/>
        <v>21.913752786908859</v>
      </c>
      <c r="FJ22" s="147">
        <f>AVERAGE(Parameters!$C$132:$C$134)*'Local emissions'!J22*3600*24*365/1000000</f>
        <v>4.0409061506662944E-2</v>
      </c>
      <c r="FK22" s="147">
        <f>'Local emissions'!AJ22+CT22*BJ22/100*Intermediate!X22*100/1000000</f>
        <v>0.48657879536938459</v>
      </c>
      <c r="FL22" s="31">
        <f>(Parameters!$C$18*(Basicinfo!AH22+Basicinfo!AI22)+Parameters!$C$19*Basicinfo!AJ22+Parameters!$C$20*Basicinfo!AK22)/Basicinfo!G22</f>
        <v>2.5347597071757332E-2</v>
      </c>
      <c r="FM22" s="181">
        <f t="shared" si="32"/>
        <v>0.55823089123025305</v>
      </c>
    </row>
    <row r="23" spans="1:169">
      <c r="A23" s="39" t="str">
        <f>Basicinfo!A23</f>
        <v>Dürre Aschach und Aschach</v>
      </c>
      <c r="B23" s="63">
        <f>Basicinfo!B23</f>
        <v>1150</v>
      </c>
      <c r="C23" s="63">
        <f>Basicinfo!C23</f>
        <v>1160</v>
      </c>
      <c r="D23" s="61">
        <f>Basicinfo!U23*Basicinfo!V23/1000+Basicinfo!Y23</f>
        <v>1.4981755341819103</v>
      </c>
      <c r="E23" s="19">
        <f>Basicinfo!W23*Basicinfo!X23/1000+Basicinfo!Z23</f>
        <v>0</v>
      </c>
      <c r="F23" s="19">
        <f t="shared" si="0"/>
        <v>1.4981755341819103</v>
      </c>
      <c r="G23" s="19">
        <f>SUM(Basicinfo!H23:L23)</f>
        <v>141.55565114450062</v>
      </c>
      <c r="H23" s="19">
        <f>IF(Basicinfo!N23&lt;Parameters!$C$68,Parameters!$C$69,Basicinfo!BS23/(Basicinfo!N23*100))</f>
        <v>16.985719963800197</v>
      </c>
      <c r="I23" s="19">
        <f>IF(Basicinfo!N23=0,0,Basicinfo!BU23*(1-Basicinfo!BX23/100))</f>
        <v>17605.294787850584</v>
      </c>
      <c r="J23" s="19">
        <f>IF(Basicinfo!N23=0,0,Basicinfo!BU23*Basicinfo!BX23/100)</f>
        <v>5559.5667751107112</v>
      </c>
      <c r="K23" s="19">
        <f>IF(Basicinfo!N23=0,0,Basicinfo!BT23-Basicinfo!BU23)</f>
        <v>0</v>
      </c>
      <c r="L23" s="27">
        <f>Basicinfo!BV23*Basicinfo!BW23/100</f>
        <v>2002.2199999999998</v>
      </c>
      <c r="M23" s="27">
        <f>Basicinfo!BV23-Intermediate!L23</f>
        <v>2002.2199999999998</v>
      </c>
      <c r="N23" s="73">
        <f>Basicinfo!BS23-SUM(I23:K23)-Basicinfo!BV23</f>
        <v>0</v>
      </c>
      <c r="O23" s="19">
        <f>IF(Basicinfo!AH23+Basicinfo!AI23+Basicinfo!AJ23+Basicinfo!AK23=0,0,N23*(Basicinfo!AH23+Basicinfo!AI23)/SUM(Basicinfo!AH23:AK23))</f>
        <v>0</v>
      </c>
      <c r="P23" s="73">
        <f t="shared" si="25"/>
        <v>0</v>
      </c>
      <c r="Q23" s="19">
        <f>IF(Basicinfo!BS23=0,Basicinfo!N23,IF(H23&gt;Parameters!$C$70,Parameters!$C$64*(Parameters!$C$65*Parameters!$C$70)^(Parameters!$C$66-Parameters!$C$67*LOG(Parameters!$C$65*Parameters!$C$70,10))/100*Basicinfo!N23,Parameters!$C$64*(Parameters!$C$65*H23)^(Parameters!$C$66-Parameters!$C$67*LOG(Parameters!$C$65*H23,10))/100*Basicinfo!N23))</f>
        <v>4.3509562730515645</v>
      </c>
      <c r="R23" s="19">
        <f>IF(Basicinfo!BS23=0,Q23*(1-Basicinfo!BX23/100),IF(H23&lt;Parameters!$C$75,Q23*Basicinfo!BU23/Basicinfo!BS23*(1-Basicinfo!BX23/100)*(-Parameters!$C$74+Parameters!$C$73*LN(H23*100)),Q23*Basicinfo!BU23/Basicinfo!BS23*(1-Basicinfo!BX23/100)))</f>
        <v>1.5836108831185429</v>
      </c>
      <c r="S23" s="19">
        <f>IF(Basicinfo!BS23=0,Q23*Basicinfo!BX23/100,Q23*Basicinfo!BU23/Basicinfo!BS23*Basicinfo!BX23/100)</f>
        <v>0.89032218511621164</v>
      </c>
      <c r="T23" s="19">
        <f>IF(Basicinfo!BS23=0,0,IF(H23&lt;Parameters!$C$75,Q23*K23/Basicinfo!BS23*(-Parameters!$C$74+Parameters!$C$73*LN(H23*100)),Q23*K23/Basicinfo!BS23))</f>
        <v>0</v>
      </c>
      <c r="U23" s="19">
        <f t="shared" si="26"/>
        <v>1.8770232048168101</v>
      </c>
      <c r="V23" s="19">
        <f>IF(Basicinfo!AL23&gt;Parameters!$C$14,Basicinfo!Q23,0)</f>
        <v>0</v>
      </c>
      <c r="W23" s="19">
        <f>IF(Basicinfo!AL23&gt;Parameters!$C$14,0,Basicinfo!Q23)</f>
        <v>0</v>
      </c>
      <c r="X23" s="19">
        <f>G23+Basicinfo!M23</f>
        <v>218.16915635138886</v>
      </c>
      <c r="Y23" s="19">
        <f>IF(Basicinfo!G23-F23-Q23-V23-Basicinfo!O23-Basicinfo!R23-Basicinfo!S23&lt;0,0,Basicinfo!G23-F23-Q23-V23-Basicinfo!O23-Basicinfo!R23-Basicinfo!S23)</f>
        <v>306.30823563176654</v>
      </c>
      <c r="Z23" s="19">
        <f>Basicinfo!G23-F23-Basicinfo!BO23-Q23-Basicinfo!O23</f>
        <v>282.23799972420551</v>
      </c>
      <c r="AA23" s="53">
        <f>IF(Z23+Basicinfo!BO23-X23&gt;0,Z23+Basicinfo!BO23-X23,0)</f>
        <v>88.139079280377672</v>
      </c>
      <c r="AB23" s="56">
        <f>IF(Basicinfo!N23=0,0,Parameters!$C$71+Parameters!$C$72*Q23/Basicinfo!N23)</f>
        <v>0.35401000553197104</v>
      </c>
      <c r="AC23" s="43">
        <f>Basicinfo!AU23*AB23*R23/1000/86.4/0.365</f>
        <v>1.6218111490075356E-2</v>
      </c>
      <c r="AD23" s="43">
        <f>Basicinfo!AU23*AB23*S23/1000/86.4/0.365</f>
        <v>9.1179876409205989E-3</v>
      </c>
      <c r="AE23" s="43">
        <f>Basicinfo!AU23*AB23*T23/1000/86.4/0.365</f>
        <v>0</v>
      </c>
      <c r="AF23" s="43">
        <f>Basicinfo!AU23*AB23*U23/1000/86.4/0.365</f>
        <v>1.9223012376139891E-2</v>
      </c>
      <c r="AG23" s="43">
        <f>((Parameters!$C$80+Parameters!$C$81*Parameters!$C$89)/(Parameters!$C$82+Parameters!$C$89)/(Parameters!$C$90/100*Parameters!$C$91+(Parameters!$C$83+Parameters!$C$84*Parameters!$C$89)/(Parameters!$C$85+Parameters!$C$89)))-Parameters!$C$86+(Basicinfo!AU23-Parameters!$C$88)/Parameters!$C$87</f>
        <v>74.196439109569354</v>
      </c>
      <c r="AH23" s="43">
        <f>((Parameters!$C$80+Parameters!$C$81*Parameters!$C$89)/(Parameters!$C$82+Parameters!$C$89)/(Basicinfo!BY23/100*Parameters!$C$91+(Parameters!$C$83+Parameters!$C$84*Parameters!$C$89)/(Parameters!$C$85+Parameters!$C$89)))-Parameters!$C$86+(Basicinfo!AU23-Parameters!$C$88)/Parameters!$C$87</f>
        <v>56.39355724295379</v>
      </c>
      <c r="AI23" s="43">
        <f>Basicinfo!AU23^Parameters!$C$79*Parameters!$C$78*AH23/AG23</f>
        <v>22.928986494577121</v>
      </c>
      <c r="AJ23" s="43">
        <f>(J23*Parameters!$C$92/1000+Parameters!$C$94/100*S23*100*Parameters!$C$93/1000*86400*Parameters!$C$95/24)/86400</f>
        <v>8.3947663039065645E-3</v>
      </c>
      <c r="AK23" s="43">
        <f t="shared" si="1"/>
        <v>5.4393501366354043E-3</v>
      </c>
      <c r="AL23" s="43">
        <f>(K23*Parameters!$C$92/1000+Parameters!$C$94/100*T23*100*Parameters!$C$93/1000*86400*Parameters!$C$95/24)/86400</f>
        <v>0</v>
      </c>
      <c r="AM23" s="43">
        <f>(Intermediate!N23+Basicinfo!BV23-Intermediate!L23)*Parameters!$C$92/1000/86400</f>
        <v>3.0125995370370367E-3</v>
      </c>
      <c r="AN23" s="43">
        <f t="shared" si="2"/>
        <v>2.1360069069763364E-2</v>
      </c>
      <c r="AO23" s="43">
        <f t="shared" si="27"/>
        <v>5.4393501366354043E-3</v>
      </c>
      <c r="AP23" s="43">
        <f t="shared" si="28"/>
        <v>2.2235611913176929E-2</v>
      </c>
      <c r="AQ23" s="43">
        <f t="shared" si="3"/>
        <v>4.3893073539887688E-2</v>
      </c>
      <c r="AR23" s="61">
        <f>(Basicinfo!AU23-Basicinfo!AY23)*F23/1000/86.4/0.365</f>
        <v>9.2446287985417531E-3</v>
      </c>
      <c r="AS23" s="19">
        <f>IF(Basicinfo!AP23-Basicinfo!CB23-Basicinfo!CG23&lt;0,0,(Basicinfo!AP23-Basicinfo!CB23-Basicinfo!CG23)/Basicinfo!G23*1000)</f>
        <v>12.103638441429956</v>
      </c>
      <c r="AT23" s="19">
        <f>Parameters!$C$3*((AS23*86.4*0.365)^Parameters!$C$4)</f>
        <v>70.225375057340344</v>
      </c>
      <c r="AU23" s="19">
        <f>IF(AT23/86.4/0.365*(Basicinfo!G23/1000)-AN23&lt;0,0,AT23/86.4/0.365*(Basicinfo!G23/1000)-AN23)</f>
        <v>0.67376195672031047</v>
      </c>
      <c r="AV23" s="19">
        <f>IF(Basicinfo!AU23&gt;Parameters!$C$13,Parameters!$C$11*(Basicinfo!AU23-Parameters!$C$13)^Parameters!$C$12,0)</f>
        <v>67.969360832748038</v>
      </c>
      <c r="AW23" s="19">
        <f>IF(AV23*V23/1000/86.4/0.365&gt;Basicinfo!AP23*Parameters!$C$15,Basicinfo!AP23*Parameters!$C$15,AV23*V23/1000/86.4/0.365)</f>
        <v>0</v>
      </c>
      <c r="AX23" s="19">
        <f>Basicinfo!AU23-Basicinfo!AW23</f>
        <v>360.83705438428558</v>
      </c>
      <c r="AY23" s="19">
        <f>Parameters!$C$56*AX23+Parameters!$C$57*Basicinfo!AW23</f>
        <v>235.56591391459995</v>
      </c>
      <c r="AZ23" s="19">
        <f>AY23*Basicinfo!BO23/1000/86.4/0.365</f>
        <v>0.17979855148733626</v>
      </c>
      <c r="BA23" s="19">
        <f>IF(Basicinfo!AP23-AQ23-AR23-AU23-AW23-AZ23-Basicinfo!CB23-Basicinfo!CG23&lt;0,0,Basicinfo!AP23-AQ23-AR23-AU23-AW23-AZ23-Basicinfo!CB23-Basicinfo!CG23)</f>
        <v>2.8715417017641793</v>
      </c>
      <c r="BB23" s="53">
        <f t="shared" si="4"/>
        <v>320.8531069357233</v>
      </c>
      <c r="BC23" s="56">
        <f>IF(G23=0,0,((Basicinfo!H23*Basicinfo!BE23+Basicinfo!I23*Basicinfo!BF23+Basicinfo!J23*Basicinfo!BG23+Basicinfo!K23*Basicinfo!BH23+Basicinfo!L23*Basicinfo!BI23)*(1-Basicinfo!BN23/G23*Parameters!$C$26/100)/G23)*Basicinfo!BM23)</f>
        <v>11.860586757804478</v>
      </c>
      <c r="BD23" s="43">
        <f>IF(Basicinfo!AW23*Parameters!$C$39-Parameters!$C$40&lt;0,0.001,(Basicinfo!AW23*Parameters!$C$39-Parameters!$C$40)/(Basicinfo!AX23*Parameters!$C$39-Parameters!$C$40))</f>
        <v>1.0275604749043969</v>
      </c>
      <c r="BE23" s="43">
        <f>(BC23*G23*100+Basicinfo!BJ23*Basicinfo!M23*100)*Parameters!$C$29*BD23</f>
        <v>174939.32593531927</v>
      </c>
      <c r="BF23" s="43">
        <f>(Basicinfo!BK23*Basicinfo!P23*100)*BD23*Parameters!$C$29</f>
        <v>2753.7499408785134</v>
      </c>
      <c r="BG23" s="43">
        <f>Parameters!$C$27*(V23+W23)*100</f>
        <v>0</v>
      </c>
      <c r="BH23" s="43">
        <f>Parameters!$C$28*Basicinfo!R23*100</f>
        <v>0</v>
      </c>
      <c r="BI23" s="43">
        <f t="shared" si="29"/>
        <v>2753.7499408785134</v>
      </c>
      <c r="BJ23" s="43">
        <f>IF(Basicinfo!AM23&lt;Parameters!$C$33,0,Parameters!$C$30*(((Basicinfo!AM23-Parameters!$C$33)^Parameters!$C$31)*(((G23-Basicinfo!BN23)/Basicinfo!G23*100+Parameters!$C$34))^Parameters!$C$32))</f>
        <v>4.2904575340495361</v>
      </c>
      <c r="BK23" s="58">
        <f t="shared" si="30"/>
        <v>10259.447430485892</v>
      </c>
      <c r="BL23" s="61">
        <f>Basicinfo!AZ23+Basicinfo!BA23</f>
        <v>1592.6168091393113</v>
      </c>
      <c r="BM23" s="19">
        <f>Basicinfo!BB23+Basicinfo!BC23</f>
        <v>1720.9507333057172</v>
      </c>
      <c r="BN23" s="172">
        <f>IF(Basicinfo!AO23=0,0,IF(Basicinfo!AO23="NA",1,IF(OR(Basicinfo!AO23="SA",Basicinfo!AN23="S"),3,IF(Basicinfo!AN23="N",1,IF(Basicinfo!AO23="ZA",2,0)))))</f>
        <v>0</v>
      </c>
      <c r="BO23" s="27">
        <f>IF($BN23=1,(BL23)*(1+Parameters!$C$21*Parameters!$C$22-Parameters!$C$22*Basicinfo!$AL23),IF($BN23=2,(BL23)*(1+Parameters!$C$21*Parameters!$C$23-Parameters!$C$23*Basicinfo!$AL23),IF($BN23=3,(BL23)*(1+Parameters!$C$21*Parameters!$C$24-Parameters!$C$24*Basicinfo!$AL23),BL23)))</f>
        <v>1592.6168091393113</v>
      </c>
      <c r="BP23" s="27">
        <f>IF($BN23=1,(BM23)*(1+Parameters!$C$21*Parameters!$C$22-Parameters!$C$22*Basicinfo!$AL23),IF($BN23=2,(BM23)*(1+Parameters!$C$21*Parameters!$C$23-Parameters!$C$23*Basicinfo!$AL23),IF($BN23=3,(BM23)*(1+Parameters!$C$21*Parameters!$C$24-Parameters!$C$24*Basicinfo!$AL23),BM23)))</f>
        <v>1720.9507333057172</v>
      </c>
      <c r="BQ23" s="27">
        <f>IF(Basicinfo!AU23=0,0,IF(G23+Basicinfo!M23=0,0,(Parameters!$C$16+BO23/Basicinfo!AU23)*G23+(Parameters!$C$17+BO23/Basicinfo!AU23)*Basicinfo!M23)/(G23+Basicinfo!M23))</f>
        <v>1.9403455301103254</v>
      </c>
      <c r="BR23" s="27">
        <f>IF(Basicinfo!AU23=0,0,IF(G23+Basicinfo!M23=0,0,(Parameters!$C$16+BP23/Basicinfo!AU23)*G23+(Parameters!$C$17+BP23/Basicinfo!AU23)*Basicinfo!M23)/(G23+Basicinfo!M23))</f>
        <v>2.0810145949288077</v>
      </c>
      <c r="BS23" s="27">
        <f>IF(Basicinfo!AU23=0,0,BO23/Basicinfo!AU23)</f>
        <v>1.7456952135690069</v>
      </c>
      <c r="BT23" s="27">
        <f>IF(Basicinfo!AU23=0,0,BP23/Basicinfo!AU23)</f>
        <v>1.8863642783874897</v>
      </c>
      <c r="BU23" s="27">
        <f>IF(SUM(G23,Basicinfo!M23,Basicinfo!P23,W23)=0,0,(BQ23*(G23+Basicinfo!M23)+BS23*(Basicinfo!P23+W23))/SUM(G23,Basicinfo!M23,Basicinfo!P23,W23))</f>
        <v>1.8898143533313079</v>
      </c>
      <c r="BV23" s="19">
        <f>IF(Basicinfo!BR23/Parameters!$C$10&gt;1,1,Basicinfo!BR23/Parameters!$C$10)</f>
        <v>0.46208812538031824</v>
      </c>
      <c r="BW23" s="19">
        <f>Parameters!$C$5+Parameters!$C$6*EXP(BV23*Parameters!$C$8*Parameters!$C$7)</f>
        <v>3.5389499478935119E-2</v>
      </c>
      <c r="BX23" s="19">
        <f>Parameters!$C$5+Parameters!$C$6*EXP(BV23*Parameters!$C$9*Parameters!$C$7)</f>
        <v>3.5190304597492193E-2</v>
      </c>
      <c r="BY23" s="19">
        <f>IF(Basicinfo!AH23+Basicinfo!AI23+Basicinfo!AJ23+Basicinfo!AK23=0,0,(Parameters!$C$18*(Basicinfo!AH23+Basicinfo!AI23)+Parameters!$C$19*Basicinfo!AJ23+Parameters!$C$20*Basicinfo!AK23)/(Basicinfo!AH23+Basicinfo!AI23+Basicinfo!AJ23+Basicinfo!AK23))</f>
        <v>3.1963259217913841E-2</v>
      </c>
      <c r="BZ23" s="19">
        <f>IF(Basicinfo!AJ23+Basicinfo!AK23=0,Parameters!$C$18,(Parameters!$C$19*Basicinfo!AJ23+Parameters!$C$20*Basicinfo!AK23)/(Basicinfo!AJ23+Basicinfo!AK23))</f>
        <v>2.4985499145208832E-2</v>
      </c>
      <c r="CA23" s="19">
        <f>IF(SUM(G23,Basicinfo!M23,Basicinfo!P23,W23)=0,0,(BW23*G23+BX23*Basicinfo!M23+BY23*Basicinfo!P23+BZ23*W23)/(SUM(G23,Basicinfo!M23,Basicinfo!P23,W23)))</f>
        <v>3.4448257019406681E-2</v>
      </c>
      <c r="CB23" s="19">
        <f>IF(Y23=0,Basicinfo!BP23,Basicinfo!BP23-(AU23*X23/Y23*Intermediate!BQ23*86400*365/1000000)*1000/(X23*100))</f>
        <v>58.507893880479429</v>
      </c>
      <c r="CC23" s="19">
        <f>IF(Y23=0,Basicinfo!BQ23,Basicinfo!BQ23-(AU23*Basicinfo!AV23/Basicinfo!AU23*X23/Y23*Intermediate!BR23*86400*365/1000000)*1000/(X23*100))</f>
        <v>60.11175258666163</v>
      </c>
      <c r="CD23" s="19">
        <f>IF(OR(Y23=0,AA23=0),BP23/100,BP23/100-(AU23*Basicinfo!AV23/Basicinfo!AU23*(Basicinfo!P23+W23)/Y23*Intermediate!BT23*86400*365/1000000+AW23*Basicinfo!AV23/Basicinfo!AU23*Intermediate!BT23*86400*365/1000000)*1000/(AA23*100))</f>
        <v>16.018430302027625</v>
      </c>
      <c r="CE23" s="19">
        <f t="shared" si="5"/>
        <v>1166762.62830575</v>
      </c>
      <c r="CF23" s="19">
        <f t="shared" si="6"/>
        <v>141184.96983376169</v>
      </c>
      <c r="CG23" s="19">
        <f>IF(AY23=0,0,((CB23^Parameters!$C$58))/AY23*100)</f>
        <v>13.490245291070746</v>
      </c>
      <c r="CH23" s="19">
        <f>IF(SUM(Basicinfo!AB23:AG23)=0,0,(Parameters!$C$59*Basicinfo!AB23+Parameters!$C$60*SUM(Basicinfo!AC23:AE23)+Parameters!$C$61*Basicinfo!AF23+Parameters!$C$62*Basicinfo!AG23)/SUM(Basicinfo!AB23:AG23))</f>
        <v>9.230534352030699E-2</v>
      </c>
      <c r="CI23" s="19">
        <f t="shared" si="31"/>
        <v>9</v>
      </c>
      <c r="CJ23" s="19">
        <f t="shared" si="8"/>
        <v>46.342009205620741</v>
      </c>
      <c r="CK23" s="19">
        <f t="shared" si="9"/>
        <v>14.443372435506591</v>
      </c>
      <c r="CL23" s="19">
        <f>IF($BB23=0,0,$CJ23^Parameters!$C$58*100/$BB23)</f>
        <v>8.1240461383361975</v>
      </c>
      <c r="CM23" s="19">
        <f>IF(CK23=0,0,(1/(1+Parameters!$C$116*BB23^Parameters!$C$120)*Basicinfo!AH23/Basicinfo!G23+1/(1+Parameters!$C$117*BB23^Parameters!$C$121)*Basicinfo!AI23/Basicinfo!G23)*(CK23)^Parameters!$C$124+(1/(1+Parameters!$C$118*BB23^Parameters!$C$122)*Basicinfo!AJ23/Basicinfo!G23+1/(1+Parameters!$C$119*BB23^Parameters!$C$123)*Basicinfo!AK23/Basicinfo!G23)*(CK23)^Parameters!$C$125)</f>
        <v>3.4115297099754431</v>
      </c>
      <c r="CN23" s="19">
        <f>IF(SUM(Basicinfo!AB23:AG23)=0,0,(Parameters!$C$128*Basicinfo!AB23+Parameters!$C$129*(SUM(Basicinfo!AC23:AE23))+Parameters!$C$130*Basicinfo!AF23+Parameters!$C$131*Basicinfo!AG23)/SUM(Basicinfo!AB23:AG23))</f>
        <v>1.6265032815715605E-2</v>
      </c>
      <c r="CO23" s="19">
        <f>IF(Basicinfo!AH23+Basicinfo!AI23+Basicinfo!AJ23+Basicinfo!AK23=0,0,(Parameters!$C$132*(Basicinfo!AH23+Basicinfo!AI23)+Parameters!$C$133*Basicinfo!AJ23+Parameters!$C$134*Basicinfo!AK23)/(Basicinfo!AH23+Basicinfo!AI23+Basicinfo!AJ23+Basicinfo!AK23))</f>
        <v>5.0000000000000001E-4</v>
      </c>
      <c r="CP23" s="19">
        <f>IF(Basicinfo!AJ23+Basicinfo!AK23=0,0,(Parameters!$C$133*Basicinfo!AJ23+Parameters!$C$134*Basicinfo!AK23)/(Basicinfo!AJ23+Basicinfo!AK23))</f>
        <v>5.0000000000000001E-4</v>
      </c>
      <c r="CQ23" s="19">
        <f>IF(Z23=0,0,(CN23*(Z23-AA23)+CO23*Basicinfo!P23+CP23*(Basicinfo!Q23+Basicinfo!R23))/Z23)</f>
        <v>1.1321199279647132E-2</v>
      </c>
      <c r="CR23" s="289">
        <f>Basicinfo!EI23</f>
        <v>4.6966876315789476E-2</v>
      </c>
      <c r="CS23" s="19">
        <f>IF(SUM(Basicinfo!AB23:AG23)=0,0,(Basicinfo!AB23*Parameters!$C$43+(Basicinfo!AC23+Basicinfo!AD23)*Parameters!$C$44+Basicinfo!AE23*Parameters!$C$45+(Basicinfo!AF23+Basicinfo!AG23)*Parameters!$C$46)/SUM(Basicinfo!AB23:AG23))</f>
        <v>22.123675234677354</v>
      </c>
      <c r="CT23" s="19">
        <f>(Parameters!$C$41*CS23+Parameters!$C$42)</f>
        <v>500.66148739370897</v>
      </c>
      <c r="CU23" s="19">
        <f>CT23+Basicinfo!BR23/(Parameters!$C$47*Parameters!$C$49*Parameters!$C$48*10000/1000000)</f>
        <v>663.40950639558207</v>
      </c>
      <c r="CV23" s="19">
        <f>IF(BK23/Basicinfo!G23&lt;Parameters!$C$35,Parameters!$C$35,Parameters!$C$37*(BK23/Basicinfo!G23)^Parameters!$C$38)</f>
        <v>1.4836517177977588</v>
      </c>
      <c r="CW23" s="19">
        <f>IF(BK23/Basicinfo!G23&lt;Parameters!$C$35,Parameters!$C$36,Parameters!$C$36*(BK23/Basicinfo!G23)^Parameters!$C$38)</f>
        <v>3.4865815368247337</v>
      </c>
      <c r="CX23" s="27">
        <f>IF(Basicinfo!AJ23+Basicinfo!AK23=0,0,(Parameters!$C$53*Basicinfo!AJ23+Parameters!$C$54*Basicinfo!AK23)/(Basicinfo!AJ23+Basicinfo!AK23))</f>
        <v>749.87041789335547</v>
      </c>
      <c r="CY23" s="56">
        <f>IF(Basicinfo!AU23*AB23=0,0,((Basicinfo!AZ23+Basicinfo!BA23)/Basicinfo!AU23+Parameters!$C$76/(Basicinfo!AU23*AB23)*100))</f>
        <v>2.9842110966949629</v>
      </c>
      <c r="CZ23" s="43">
        <f>IF(Basicinfo!AU23*AB23=0,0,(Parameters!$C$77)/(Basicinfo!AU23*AB23)*100)</f>
        <v>0.77407242695372247</v>
      </c>
      <c r="DA23" s="43">
        <f>IF(AD23+AJ23=0,0,((J23*Parameters!$C$96+Parameters!$C$94/100*S23*100*Parameters!$C$93/1000*86400*Parameters!$C$95/24*Parameters!$C$98)*AI23+AD23*CY23*86400*365)/((AD23+AJ23*AI23/365)*86400*365))</f>
        <v>7.8504529808231567</v>
      </c>
      <c r="DB23" s="43">
        <f>IF(AD23+AJ23=0,0,((J23*Parameters!$C$97+Parameters!$C$94/100*S23*100*Parameters!$C$93/1000*86400*Parameters!$C$95/24*Parameters!$C$99)*AI23+AD23*CZ23*86400*365)/((AD23+AJ23*AI23/365)*86400*365))</f>
        <v>1.549930152369406</v>
      </c>
      <c r="DC23" s="42">
        <f>IF(AE23+AL23=0,0,((K23*Parameters!$C$96+Parameters!$C$94/100*T23*100*Parameters!$C$93/1000*86400*Parameters!$C$95/24*Parameters!$C$98)*365+AE23*CY23*86400*365)/((AE23+AL23)*86400*365))</f>
        <v>0</v>
      </c>
      <c r="DD23" s="42">
        <f>IF(AE23+AL23=0,0,((K23*Parameters!$C$97+Parameters!$C$94/100*T23*100*Parameters!$C$93/1000*86400*Parameters!$C$95/24*Parameters!$C$99)*365+AE23*CZ23*86400*365)/((AE23+AL23)*86400*365))</f>
        <v>0</v>
      </c>
      <c r="DE23" s="42">
        <f>IF(Basicinfo!AH23+Basicinfo!AI23+Basicinfo!AJ23+Basicinfo!AK23=0,0,((Basicinfo!AH23+Basicinfo!AI23)*Parameters!$C$107+(Basicinfo!AJ23+Basicinfo!AK23)*Parameters!$C$106)/(Basicinfo!AH23+Basicinfo!AI23+Basicinfo!AJ23+Basicinfo!AK23))</f>
        <v>77.870625501486415</v>
      </c>
      <c r="DF23" s="42">
        <f>IF(Basicinfo!AH23+Basicinfo!AI23+Basicinfo!AJ23+Basicinfo!AK23=0,0,((Basicinfo!AH23+Basicinfo!AI23)*Parameters!$C$109+(Basicinfo!AJ23+Basicinfo!AK23)*Parameters!$C$108)/(Basicinfo!AH23+Basicinfo!AI23+Basicinfo!AJ23+Basicinfo!AK23))</f>
        <v>77.870625501486415</v>
      </c>
      <c r="DG23" s="42">
        <f>Intermediate!AC23*Intermediate!CY23*(1-Parameters!$C$102/100*Basicinfo!BZ23/100)*(1-Parameters!$C$104/100*Basicinfo!CA23/100)*86400*365/1000000</f>
        <v>1.5262877883556873</v>
      </c>
      <c r="DH23" s="42">
        <f>Intermediate!AC23*Intermediate!CZ23*(1-Parameters!$C$103/100*Basicinfo!BZ23/100)*(1-Parameters!$C$105/100*Basicinfo!CA23/100)*86400*365/1000000</f>
        <v>0.39590272077963579</v>
      </c>
      <c r="DI23" s="42">
        <f>(Intermediate!AK23*Intermediate!DA23+(Intermediate!AE23+Intermediate!AL23)*Intermediate!DC23)*86400*365/1000000</f>
        <v>1.3466301676073231</v>
      </c>
      <c r="DJ23" s="42">
        <f>(Intermediate!AK23*Intermediate!DB23+(Intermediate!AE23+Intermediate!AL23)*Intermediate!DD23)*86400*365/1000000</f>
        <v>0.26586780482137301</v>
      </c>
      <c r="DK23" s="42">
        <f>((Basicinfo!AZ23+Basicinfo!BA23)*Intermediate!AB23+Parameters!$C$76*100)/1000*Intermediate!U23*(1-Intermediate!DE23/100)+(1-Parameters!$C$110/100)*M23*Parameters!$C$100*(1-DE23/100)*365/1000000+(1-Parameters!$C$112/100)*P23*Parameters!$C$96*365/1000000+(1-Parameters!$C$112/100)*O23*Parameters!$C$96*(1-DE23/100)*365/1000000</f>
        <v>1.7103002833220233</v>
      </c>
      <c r="DL23" s="42">
        <f>Parameters!$C$77*100/1000*Intermediate!U23*(1-Intermediate!DF23/100)+(1-Parameters!$C$111/100)*M23*Parameters!$C$101*(1-DF23/100)*365/1000000+(1-Parameters!$C$113/100)*P23*Parameters!$C$97*365/1000000+(1-Parameters!$C$113/100)*O23*Parameters!$C$97*(1-DF23/100)*365/1000000</f>
        <v>0.27880648942830044</v>
      </c>
      <c r="DM23" s="31"/>
      <c r="DN23" s="31"/>
      <c r="DO23" s="31"/>
      <c r="DP23" s="31"/>
      <c r="DQ23" s="31"/>
      <c r="DR23" s="31"/>
      <c r="DS23" s="31"/>
      <c r="DT23" s="188">
        <f>BO23*(Basicinfo!$P23+Basicinfo!$Q23)/1000</f>
        <v>121.82667703453812</v>
      </c>
      <c r="DU23" s="188">
        <f>DT23*Basicinfo!$AZ23/(Basicinfo!$AZ23+Basicinfo!$BA23)</f>
        <v>75.345833425657787</v>
      </c>
      <c r="DV23" s="188">
        <f>DT23*Basicinfo!$BC23/(Basicinfo!$BB23+Basicinfo!$BC23)</f>
        <v>44.498986463163085</v>
      </c>
      <c r="DW23" s="188">
        <f>BP23*(Basicinfo!$P23+Basicinfo!$Q23)/1000</f>
        <v>131.64353658435343</v>
      </c>
      <c r="DX23" s="188">
        <f>DW23*Basicinfo!$BB23/(Basicinfo!$BB23+Basicinfo!$BC23)</f>
        <v>83.55879771579427</v>
      </c>
      <c r="DY23" s="188">
        <f>DW23*Basicinfo!$BC23/(Basicinfo!$BB23+Basicinfo!$BC23)</f>
        <v>48.08473886855915</v>
      </c>
      <c r="DZ23" s="188">
        <f t="shared" si="10"/>
        <v>347.45986564096444</v>
      </c>
      <c r="EA23" s="188">
        <f>DZ23*Basicinfo!$AZ23/(Basicinfo!$AZ23+Basicinfo!$BA23)</f>
        <v>214.89261462219443</v>
      </c>
      <c r="EB23" s="188">
        <f>DZ23*Basicinfo!$BC23/(Basicinfo!$BB23+Basicinfo!$BC23)</f>
        <v>126.91482878800299</v>
      </c>
      <c r="EC23" s="188">
        <f t="shared" si="11"/>
        <v>375.45836960761233</v>
      </c>
      <c r="ED23" s="188">
        <f>EC23*Basicinfo!$AZ23/(Basicinfo!$AZ23+Basicinfo!$BA23)</f>
        <v>232.20877777618574</v>
      </c>
      <c r="EE23" s="188">
        <f>EC23*Basicinfo!$BC23/(Basicinfo!$BB23+Basicinfo!$BC23)</f>
        <v>137.14169435905904</v>
      </c>
      <c r="EF23" s="190">
        <f>(Basicinfo!BP23-BL23/100)*Intermediate!X23/10</f>
        <v>958.36670548253437</v>
      </c>
      <c r="EG23" s="191">
        <f>(Basicinfo!BQ23-BM23/100)*Intermediate!X23/10</f>
        <v>969.02554725249445</v>
      </c>
      <c r="EH23" s="197">
        <f>IF(AU23=0,0,$BS23*((Basicinfo!$P23+Basicinfo!$Q23)*Intermediate!$AT23*1000+$AW23*3600*24*365)/1000000*Basicinfo!AZ23/(Basicinfo!$AZ23+Basicinfo!$BA23))</f>
        <v>5.7997655031836244</v>
      </c>
      <c r="EI23" s="197">
        <f>IF(AU23=0,0,$BS23*((Basicinfo!$P23+Basicinfo!$Q23)*Intermediate!$AT23*1000+$AW23*3600*24*365)/1000000*Basicinfo!BA23/(Basicinfo!$AZ23+Basicinfo!$BA23))</f>
        <v>3.5778752595210763</v>
      </c>
      <c r="EJ23" s="198">
        <f>IF(AU23=0,0,$BS23*($AT23*$X23*1000)/1000000*Basicinfo!AZ23/(Basicinfo!$AZ23+Basicinfo!$BA23))</f>
        <v>16.541415981607816</v>
      </c>
      <c r="EK23" s="198">
        <f>IF(AU23=0,0,$BS23*($AT23*$X23*1000)/1000000*Basicinfo!BA23/(Basicinfo!$AZ23+Basicinfo!$BA23))</f>
        <v>10.204399292618671</v>
      </c>
      <c r="EL23" s="147">
        <f>Parameters!$C$150/Basicinfo!$AV23*100</f>
        <v>0.10451048241691566</v>
      </c>
      <c r="EM23" s="147">
        <f>Parameters!$C$151/Basicinfo!$AV23*100</f>
        <v>0.20902096483383131</v>
      </c>
      <c r="EN23" s="147">
        <f>(Parameters!$C$150+Parameters!$C$151)/Intermediate!$BB23*100</f>
        <v>0.93500730868752091</v>
      </c>
      <c r="EO23" s="193">
        <f>IF(EN23=0,0,(1/(1+Parameters!$C$116*$BB23^Parameters!$C$120)*Basicinfo!$AH23/Basicinfo!$G23+1/(1+Parameters!$C$117*$BB23^Parameters!$C$121)*Basicinfo!$AI23/Basicinfo!$G23)*(EN23)^Parameters!$C$124+(1/(1+Parameters!$C$118*$BB23^Parameters!$C$122)*Basicinfo!$AJ23/Basicinfo!AW23+1/(1+Parameters!$C$119*$BB23^Parameters!$C$123)*Basicinfo!$AK23/Basicinfo!$G23)*(EN23)^Parameters!$C$125)</f>
        <v>0.53800074902019157</v>
      </c>
      <c r="EP23" s="199">
        <f>EL23*($AT23*Basicinfo!$P23*1000+$AW23*3600*24*365)/1000000</f>
        <v>0.56141630705345313</v>
      </c>
      <c r="EQ23" s="199">
        <f>EM23*($AT23*Basicinfo!$P23*1000+$AW23*3600*24*365)/1000000</f>
        <v>1.1228326141069063</v>
      </c>
      <c r="ER23" s="199">
        <f t="shared" si="12"/>
        <v>1.6012062330333172</v>
      </c>
      <c r="ES23" s="199">
        <f t="shared" si="13"/>
        <v>3.2024124660666344</v>
      </c>
      <c r="ET23" s="181">
        <f t="shared" si="14"/>
        <v>48.71970106845319</v>
      </c>
      <c r="EU23" s="147">
        <f>Intermediate!F23*(Parameters!$C$150)/1000*100</f>
        <v>0.14981755341819103</v>
      </c>
      <c r="EV23" s="147">
        <f>Intermediate!F23*(Parameters!$C$151)/1000*100</f>
        <v>0.29963510683638206</v>
      </c>
      <c r="EW23" s="181">
        <f>'Local emissions'!$S23*Basicinfo!AZ23/(Basicinfo!$AZ23+Basicinfo!$BA23)-Intermediate!EU23</f>
        <v>1.3258578495008981</v>
      </c>
      <c r="EX23" s="147">
        <f>'Local emissions'!$S23*Basicinfo!BA23/(Basicinfo!$AZ23+Basicinfo!$BA23)-Intermediate!EV23</f>
        <v>0.61070902902390578</v>
      </c>
      <c r="EY23" s="188">
        <f t="shared" si="15"/>
        <v>5.2383491961301711</v>
      </c>
      <c r="EZ23" s="188">
        <f t="shared" si="16"/>
        <v>2.4550426454141698</v>
      </c>
      <c r="FA23" s="188">
        <f t="shared" si="17"/>
        <v>14.9402097485745</v>
      </c>
      <c r="FB23" s="181">
        <f t="shared" si="18"/>
        <v>7.0019868265520362</v>
      </c>
      <c r="FC23" s="181">
        <f>'Local emissions'!Y23-Intermediate!ET23</f>
        <v>260.21798713895203</v>
      </c>
      <c r="FD23" s="188">
        <f t="shared" si="19"/>
        <v>14.730098067492488</v>
      </c>
      <c r="FE23" s="188">
        <f t="shared" si="20"/>
        <v>8.4765810237329742</v>
      </c>
      <c r="FF23" s="181">
        <f t="shared" si="21"/>
        <v>20.467372450772178</v>
      </c>
      <c r="FG23" s="201">
        <f t="shared" si="22"/>
        <v>12.087958792334202</v>
      </c>
      <c r="FH23" s="181">
        <f t="shared" si="23"/>
        <v>204.45597680462018</v>
      </c>
      <c r="FJ23" s="147">
        <f>AVERAGE(Parameters!$C$132:$C$134)*'Local emissions'!J23*3600*24*365/1000000</f>
        <v>4.5278469553417577E-2</v>
      </c>
      <c r="FK23" s="147">
        <f>'Local emissions'!AJ23+CT23*BJ23/100*Intermediate!X23*100/1000000</f>
        <v>1.7078294059764165</v>
      </c>
      <c r="FL23" s="31">
        <f>(Parameters!$C$18*(Basicinfo!AH23+Basicinfo!AI23)+Parameters!$C$19*Basicinfo!AJ23+Parameters!$C$20*Basicinfo!AK23)/Basicinfo!G23</f>
        <v>3.1963259217913841E-2</v>
      </c>
      <c r="FM23" s="181">
        <f t="shared" si="32"/>
        <v>0.67914756693599154</v>
      </c>
    </row>
    <row r="24" spans="1:169">
      <c r="A24" s="39" t="str">
        <f>Basicinfo!A24</f>
        <v>Aschach</v>
      </c>
      <c r="B24" s="63">
        <f>Basicinfo!B24</f>
        <v>1160</v>
      </c>
      <c r="C24" s="63">
        <f>Basicinfo!C24</f>
        <v>5000</v>
      </c>
      <c r="D24" s="61">
        <f>Basicinfo!U24*Basicinfo!V24/1000+Basicinfo!Y24</f>
        <v>1.0835651737861927</v>
      </c>
      <c r="E24" s="19">
        <f>Basicinfo!W24*Basicinfo!X24/1000+Basicinfo!Z24</f>
        <v>0.45378734298291634</v>
      </c>
      <c r="F24" s="19">
        <f t="shared" si="0"/>
        <v>1.5373525167691091</v>
      </c>
      <c r="G24" s="19">
        <f>SUM(Basicinfo!H24:L24)</f>
        <v>13.575606961822384</v>
      </c>
      <c r="H24" s="19">
        <f>IF(Basicinfo!N24&lt;Parameters!$C$68,Parameters!$C$69,Basicinfo!BS24/(Basicinfo!N24*100))</f>
        <v>18.438881893569718</v>
      </c>
      <c r="I24" s="19">
        <f>IF(Basicinfo!N24=0,0,Basicinfo!BU24*(1-Basicinfo!BX24/100))</f>
        <v>3099.2317283294706</v>
      </c>
      <c r="J24" s="19">
        <f>IF(Basicinfo!N24=0,0,Basicinfo!BU24*Basicinfo!BX24/100)</f>
        <v>978.70475631456964</v>
      </c>
      <c r="K24" s="19">
        <f>IF(Basicinfo!N24=0,0,Basicinfo!BT24-Basicinfo!BU24)</f>
        <v>0</v>
      </c>
      <c r="L24" s="27">
        <f>Basicinfo!BV24*Basicinfo!BW24/100</f>
        <v>352</v>
      </c>
      <c r="M24" s="27">
        <f>Basicinfo!BV24-Intermediate!L24</f>
        <v>352</v>
      </c>
      <c r="N24" s="73">
        <f>Basicinfo!BS24-SUM(I24:K24)-Basicinfo!BV24</f>
        <v>0</v>
      </c>
      <c r="O24" s="19">
        <f>IF(Basicinfo!AH24+Basicinfo!AI24+Basicinfo!AJ24+Basicinfo!AK24=0,0,N24*(Basicinfo!AH24+Basicinfo!AI24)/SUM(Basicinfo!AH24:AK24))</f>
        <v>0</v>
      </c>
      <c r="P24" s="73">
        <f t="shared" si="25"/>
        <v>0</v>
      </c>
      <c r="Q24" s="19">
        <f>IF(Basicinfo!BS24=0,Basicinfo!N24,IF(H24&gt;Parameters!$C$70,Parameters!$C$64*(Parameters!$C$65*Parameters!$C$70)^(Parameters!$C$66-Parameters!$C$67*LOG(Parameters!$C$65*Parameters!$C$70,10))/100*Basicinfo!N24,Parameters!$C$64*(Parameters!$C$65*H24)^(Parameters!$C$66-Parameters!$C$67*LOG(Parameters!$C$65*H24,10))/100*Basicinfo!N24))</f>
        <v>0.73536588318444784</v>
      </c>
      <c r="R24" s="19">
        <f>IF(Basicinfo!BS24=0,Q24*(1-Basicinfo!BX24/100),IF(H24&lt;Parameters!$C$75,Q24*Basicinfo!BU24/Basicinfo!BS24*(1-Basicinfo!BX24/100)*(-Parameters!$C$74+Parameters!$C$73*LN(H24*100)),Q24*Basicinfo!BU24/Basicinfo!BS24*(1-Basicinfo!BX24/100)))</f>
        <v>0.27259306501570629</v>
      </c>
      <c r="S24" s="19">
        <f>IF(Basicinfo!BS24=0,Q24*Basicinfo!BX24/100,Q24*Basicinfo!BU24/Basicinfo!BS24*Basicinfo!BX24/100)</f>
        <v>0.15050515409713919</v>
      </c>
      <c r="T24" s="19">
        <f>IF(Basicinfo!BS24=0,0,IF(H24&lt;Parameters!$C$75,Q24*K24/Basicinfo!BS24*(-Parameters!$C$74+Parameters!$C$73*LN(H24*100)),Q24*K24/Basicinfo!BS24))</f>
        <v>0</v>
      </c>
      <c r="U24" s="19">
        <f t="shared" si="26"/>
        <v>0.31226766407160234</v>
      </c>
      <c r="V24" s="19">
        <f>IF(Basicinfo!AL24&gt;Parameters!$C$14,Basicinfo!Q24,0)</f>
        <v>0</v>
      </c>
      <c r="W24" s="19">
        <f>IF(Basicinfo!AL24&gt;Parameters!$C$14,0,Basicinfo!Q24)</f>
        <v>0</v>
      </c>
      <c r="X24" s="19">
        <f>G24+Basicinfo!M24</f>
        <v>24.279593265987984</v>
      </c>
      <c r="Y24" s="19">
        <f>IF(Basicinfo!G24-F24-Q24-V24-Basicinfo!O24-Basicinfo!R24-Basicinfo!S24&lt;0,0,Basicinfo!G24-F24-Q24-V24-Basicinfo!O24-Basicinfo!R24-Basicinfo!S24)</f>
        <v>45.42480856304644</v>
      </c>
      <c r="Z24" s="19">
        <f>Basicinfo!G24-F24-Basicinfo!BO24-Q24-Basicinfo!O24</f>
        <v>45.405766572549453</v>
      </c>
      <c r="AA24" s="53">
        <f>IF(Z24+Basicinfo!BO24-X24&gt;0,Z24+Basicinfo!BO24-X24,0)</f>
        <v>21.145215297058456</v>
      </c>
      <c r="AB24" s="56">
        <f>IF(Basicinfo!N24=0,0,Parameters!$C$71+Parameters!$C$72*Q24/Basicinfo!N24)</f>
        <v>0.3626647548353199</v>
      </c>
      <c r="AC24" s="43">
        <f>Basicinfo!AU24*AB24*R24/1000/86.4/0.365</f>
        <v>2.6819874664231291E-3</v>
      </c>
      <c r="AD24" s="43">
        <f>Basicinfo!AU24*AB24*S24/1000/86.4/0.365</f>
        <v>1.4807894577118141E-3</v>
      </c>
      <c r="AE24" s="43">
        <f>Basicinfo!AU24*AB24*T24/1000/86.4/0.365</f>
        <v>0</v>
      </c>
      <c r="AF24" s="43">
        <f>Basicinfo!AU24*AB24*U24/1000/86.4/0.365</f>
        <v>3.0723377396303549E-3</v>
      </c>
      <c r="AG24" s="43">
        <f>((Parameters!$C$80+Parameters!$C$81*Parameters!$C$89)/(Parameters!$C$82+Parameters!$C$89)/(Parameters!$C$90/100*Parameters!$C$91+(Parameters!$C$83+Parameters!$C$84*Parameters!$C$89)/(Parameters!$C$85+Parameters!$C$89)))-Parameters!$C$86+(Basicinfo!AU24-Parameters!$C$88)/Parameters!$C$87</f>
        <v>72.777307780387218</v>
      </c>
      <c r="AH24" s="43">
        <f>((Parameters!$C$80+Parameters!$C$81*Parameters!$C$89)/(Parameters!$C$82+Parameters!$C$89)/(Basicinfo!BY24/100*Parameters!$C$91+(Parameters!$C$83+Parameters!$C$84*Parameters!$C$89)/(Parameters!$C$85+Parameters!$C$89)))-Parameters!$C$86+(Basicinfo!AU24-Parameters!$C$88)/Parameters!$C$87</f>
        <v>54.974425913771647</v>
      </c>
      <c r="AI24" s="43">
        <f>Basicinfo!AU24^Parameters!$C$79*Parameters!$C$78*AH24/AG24</f>
        <v>19.406801112040252</v>
      </c>
      <c r="AJ24" s="43">
        <f>(J24*Parameters!$C$92/1000+Parameters!$C$94/100*S24*100*Parameters!$C$93/1000*86400*Parameters!$C$95/24)/86400</f>
        <v>1.4776050134802524E-3</v>
      </c>
      <c r="AK24" s="43">
        <f t="shared" si="1"/>
        <v>8.5724519959083797E-4</v>
      </c>
      <c r="AL24" s="43">
        <f>(K24*Parameters!$C$92/1000+Parameters!$C$94/100*T24*100*Parameters!$C$93/1000*86400*Parameters!$C$95/24)/86400</f>
        <v>0</v>
      </c>
      <c r="AM24" s="43">
        <f>(Intermediate!N24+Basicinfo!BV24-Intermediate!L24)*Parameters!$C$92/1000/86400</f>
        <v>5.2962962962962957E-4</v>
      </c>
      <c r="AN24" s="43">
        <f t="shared" si="2"/>
        <v>3.4960429697918514E-3</v>
      </c>
      <c r="AO24" s="43">
        <f t="shared" si="27"/>
        <v>8.5724519959083797E-4</v>
      </c>
      <c r="AP24" s="43">
        <f t="shared" si="28"/>
        <v>3.6019673692599843E-3</v>
      </c>
      <c r="AQ24" s="43">
        <f t="shared" si="3"/>
        <v>7.1412000352739508E-3</v>
      </c>
      <c r="AR24" s="61">
        <f>(Basicinfo!AU24-Basicinfo!AY24)*F24/1000/86.4/0.365</f>
        <v>6.1728536775894297E-3</v>
      </c>
      <c r="AS24" s="19">
        <f>IF(Basicinfo!AP24-Basicinfo!CB24-Basicinfo!CG24&lt;0,0,(Basicinfo!AP24-Basicinfo!CB24-Basicinfo!CG24)/Basicinfo!G24*1000)</f>
        <v>16.287562313861851</v>
      </c>
      <c r="AT24" s="19">
        <f>Parameters!$C$3*((AS24*86.4*0.365)^Parameters!$C$4)</f>
        <v>101.6638110767844</v>
      </c>
      <c r="AU24" s="19">
        <f>IF(AT24/86.4/0.365*(Basicinfo!G24/1000)-AN24&lt;0,0,AT24/86.4/0.365*(Basicinfo!G24/1000)-AN24)</f>
        <v>0.15026830158868931</v>
      </c>
      <c r="AV24" s="19">
        <f>IF(Basicinfo!AU24&gt;Parameters!$C$13,Parameters!$C$11*(Basicinfo!AU24-Parameters!$C$13)^Parameters!$C$12,0)</f>
        <v>44.550246340828792</v>
      </c>
      <c r="AW24" s="19">
        <f>IF(AV24*V24/1000/86.4/0.365&gt;Basicinfo!AP24*Parameters!$C$15,Basicinfo!AP24*Parameters!$C$15,AV24*V24/1000/86.4/0.365)</f>
        <v>0</v>
      </c>
      <c r="AX24" s="19">
        <f>Basicinfo!AU24-Basicinfo!AW24</f>
        <v>326.1879082574286</v>
      </c>
      <c r="AY24" s="19">
        <f>Parameters!$C$56*AX24+Parameters!$C$57*Basicinfo!AW24</f>
        <v>216.02973014712859</v>
      </c>
      <c r="AZ24" s="19">
        <f>AY24*Basicinfo!BO24/1000/86.4/0.365</f>
        <v>1.3044254402996377E-4</v>
      </c>
      <c r="BA24" s="19">
        <f>IF(Basicinfo!AP24-AQ24-AR24-AU24-AW24-AZ24-Basicinfo!CB24-Basicinfo!CG24&lt;0,0,Basicinfo!AP24-AQ24-AR24-AU24-AW24-AZ24-Basicinfo!CB24-Basicinfo!CG24)</f>
        <v>0.61316364478138563</v>
      </c>
      <c r="BB24" s="53">
        <f t="shared" si="4"/>
        <v>425.86504229434161</v>
      </c>
      <c r="BC24" s="56">
        <f>IF(G24=0,0,((Basicinfo!H24*Basicinfo!BE24+Basicinfo!I24*Basicinfo!BF24+Basicinfo!J24*Basicinfo!BG24+Basicinfo!K24*Basicinfo!BH24+Basicinfo!L24*Basicinfo!BI24)*(1-Basicinfo!BN24/G24*Parameters!$C$26/100)/G24)*Basicinfo!BM24)</f>
        <v>7.0754541239845699</v>
      </c>
      <c r="BD24" s="43">
        <f>IF(Basicinfo!AW24*Parameters!$C$39-Parameters!$C$40&lt;0,0.001,(Basicinfo!AW24*Parameters!$C$39-Parameters!$C$40)/(Basicinfo!AX24*Parameters!$C$39-Parameters!$C$40))</f>
        <v>1.0919776827205885</v>
      </c>
      <c r="BE24" s="43">
        <f>(BC24*G24*100+Basicinfo!BJ24*Basicinfo!M24*100)*Parameters!$C$29*BD24</f>
        <v>10874.176432895658</v>
      </c>
      <c r="BF24" s="43">
        <f>(Basicinfo!BK24*Basicinfo!P24*100)*BD24*Parameters!$C$29</f>
        <v>557.4639831629155</v>
      </c>
      <c r="BG24" s="43">
        <f>Parameters!$C$27*(V24+W24)*100</f>
        <v>0</v>
      </c>
      <c r="BH24" s="43">
        <f>Parameters!$C$28*Basicinfo!R24*100</f>
        <v>0</v>
      </c>
      <c r="BI24" s="43">
        <f t="shared" si="29"/>
        <v>557.4639831629155</v>
      </c>
      <c r="BJ24" s="43">
        <f>IF(Basicinfo!AM24&lt;Parameters!$C$33,0,Parameters!$C$30*(((Basicinfo!AM24-Parameters!$C$33)^Parameters!$C$31)*(((G24-Basicinfo!BN24)/Basicinfo!G24*100+Parameters!$C$34))^Parameters!$C$32))</f>
        <v>3.5709652983710161</v>
      </c>
      <c r="BK24" s="58">
        <f t="shared" si="30"/>
        <v>945.77705006525866</v>
      </c>
      <c r="BL24" s="61">
        <f>Basicinfo!AZ24+Basicinfo!BA24</f>
        <v>1592.6167637066933</v>
      </c>
      <c r="BM24" s="19">
        <f>Basicinfo!BB24+Basicinfo!BC24</f>
        <v>1720.9506255355393</v>
      </c>
      <c r="BN24" s="172">
        <f>IF(Basicinfo!AO24=0,0,IF(Basicinfo!AO24="NA",1,IF(OR(Basicinfo!AO24="SA",Basicinfo!AN24="S"),3,IF(Basicinfo!AN24="N",1,IF(Basicinfo!AO24="ZA",2,0)))))</f>
        <v>0</v>
      </c>
      <c r="BO24" s="27">
        <f>IF($BN24=1,(BL24)*(1+Parameters!$C$21*Parameters!$C$22-Parameters!$C$22*Basicinfo!$AL24),IF($BN24=2,(BL24)*(1+Parameters!$C$21*Parameters!$C$23-Parameters!$C$23*Basicinfo!$AL24),IF($BN24=3,(BL24)*(1+Parameters!$C$21*Parameters!$C$24-Parameters!$C$24*Basicinfo!$AL24),BL24)))</f>
        <v>1592.6167637066933</v>
      </c>
      <c r="BP24" s="27">
        <f>IF($BN24=1,(BM24)*(1+Parameters!$C$21*Parameters!$C$22-Parameters!$C$22*Basicinfo!$AL24),IF($BN24=2,(BM24)*(1+Parameters!$C$21*Parameters!$C$23-Parameters!$C$23*Basicinfo!$AL24),IF($BN24=3,(BM24)*(1+Parameters!$C$21*Parameters!$C$24-Parameters!$C$24*Basicinfo!$AL24),BM24)))</f>
        <v>1720.9506255355393</v>
      </c>
      <c r="BQ24" s="27">
        <f>IF(Basicinfo!AU24=0,0,IF(G24+Basicinfo!M24=0,0,(Parameters!$C$16+BO24/Basicinfo!AU24)*G24+(Parameters!$C$17+BO24/Basicinfo!AU24)*Basicinfo!M24)/(G24+Basicinfo!M24))</f>
        <v>2.0292625778478937</v>
      </c>
      <c r="BR24" s="27">
        <f>IF(Basicinfo!AU24=0,0,IF(G24+Basicinfo!M24=0,0,(Parameters!$C$16+BP24/Basicinfo!AU24)*G24+(Parameters!$C$17+BP24/Basicinfo!AU24)*Basicinfo!M24)/(G24+Basicinfo!M24))</f>
        <v>2.1792649290521413</v>
      </c>
      <c r="BS24" s="27">
        <f>IF(Basicinfo!AU24=0,0,BO24/Basicinfo!AU24)</f>
        <v>1.8615216258504841</v>
      </c>
      <c r="BT24" s="27">
        <f>IF(Basicinfo!AU24=0,0,BP24/Basicinfo!AU24)</f>
        <v>2.0115239770547322</v>
      </c>
      <c r="BU24" s="27">
        <f>IF(SUM(G24,Basicinfo!M24,Basicinfo!P24,W24)=0,0,(BQ24*(G24+Basicinfo!M24)+BS24*(Basicinfo!P24+W24))/SUM(G24,Basicinfo!M24,Basicinfo!P24,W24))</f>
        <v>1.9550029996918243</v>
      </c>
      <c r="BV24" s="19">
        <f>IF(Basicinfo!BR24/Parameters!$C$10&gt;1,1,Basicinfo!BR24/Parameters!$C$10)</f>
        <v>0.43936122190450444</v>
      </c>
      <c r="BW24" s="19">
        <f>Parameters!$C$5+Parameters!$C$6*EXP(BV24*Parameters!$C$8*Parameters!$C$7)</f>
        <v>3.5283673016371586E-2</v>
      </c>
      <c r="BX24" s="19">
        <f>Parameters!$C$5+Parameters!$C$6*EXP(BV24*Parameters!$C$9*Parameters!$C$7)</f>
        <v>3.5143568508164968E-2</v>
      </c>
      <c r="BY24" s="19">
        <f>IF(Basicinfo!AH24+Basicinfo!AI24+Basicinfo!AJ24+Basicinfo!AK24=0,0,(Parameters!$C$18*(Basicinfo!AH24+Basicinfo!AI24)+Parameters!$C$19*Basicinfo!AJ24+Parameters!$C$20*Basicinfo!AK24)/(Basicinfo!AH24+Basicinfo!AI24+Basicinfo!AJ24+Basicinfo!AK24))</f>
        <v>2.944177964331067E-2</v>
      </c>
      <c r="BZ24" s="19">
        <f>IF(Basicinfo!AJ24+Basicinfo!AK24=0,Parameters!$C$18,(Parameters!$C$19*Basicinfo!AJ24+Parameters!$C$20*Basicinfo!AK24)/(Basicinfo!AJ24+Basicinfo!AK24))</f>
        <v>2.5000000000000001E-2</v>
      </c>
      <c r="CA24" s="19">
        <f>IF(SUM(G24,Basicinfo!M24,Basicinfo!P24,W24)=0,0,(BW24*G24+BX24*Basicinfo!M24+BY24*Basicinfo!P24+BZ24*W24)/(SUM(G24,Basicinfo!M24,Basicinfo!P24,W24)))</f>
        <v>3.266302139353542E-2</v>
      </c>
      <c r="CB24" s="19">
        <f>IF(Y24=0,Basicinfo!BP24,Basicinfo!BP24-(AU24*X24/Y24*Intermediate!BQ24*86400*365/1000000)*1000/(X24*100))</f>
        <v>56.07454615874574</v>
      </c>
      <c r="CC24" s="19">
        <f>IF(Y24=0,Basicinfo!BQ24,Basicinfo!BQ24-(AU24*Basicinfo!AV24/Basicinfo!AU24*X24/Y24*Intermediate!BR24*86400*365/1000000)*1000/(X24*100))</f>
        <v>58.659529300068044</v>
      </c>
      <c r="CD24" s="19">
        <f>IF(OR(Y24=0,AA24=0),BP24/100,BP24/100-(AU24*Basicinfo!AV24/Basicinfo!AU24*(Basicinfo!P24+W24)/Y24*Intermediate!BT24*86400*365/1000000+AW24*Basicinfo!AV24/Basicinfo!AU24*Intermediate!BT24*86400*365/1000000)*1000/(AA24*100))</f>
        <v>15.25134096252231</v>
      </c>
      <c r="CE24" s="19">
        <f t="shared" si="5"/>
        <v>142311.25183804674</v>
      </c>
      <c r="CF24" s="19">
        <f t="shared" si="6"/>
        <v>32249.2888221381</v>
      </c>
      <c r="CG24" s="19">
        <f>IF(AY24=0,0,((CB24^Parameters!$C$58))/AY24*100)</f>
        <v>14.188529224584242</v>
      </c>
      <c r="CH24" s="19">
        <f>IF(SUM(Basicinfo!AB24:AG24)=0,0,(Parameters!$C$59*Basicinfo!AB24+Parameters!$C$60*SUM(Basicinfo!AC24:AE24)+Parameters!$C$61*Basicinfo!AF24+Parameters!$C$62*Basicinfo!AG24)/SUM(Basicinfo!AB24:AG24))</f>
        <v>0.1415070867704791</v>
      </c>
      <c r="CI24" s="19">
        <f t="shared" si="31"/>
        <v>7</v>
      </c>
      <c r="CJ24" s="19">
        <f t="shared" si="8"/>
        <v>38.444575179954633</v>
      </c>
      <c r="CK24" s="19">
        <f t="shared" si="9"/>
        <v>9.0274080663759229</v>
      </c>
      <c r="CL24" s="19">
        <f>IF($BB24=0,0,$CJ24^Parameters!$C$58*100/$BB24)</f>
        <v>5.2220113858416823</v>
      </c>
      <c r="CM24" s="19">
        <f>IF(CK24=0,0,(1/(1+Parameters!$C$116*BB24^Parameters!$C$120)*Basicinfo!AH24/Basicinfo!G24+1/(1+Parameters!$C$117*BB24^Parameters!$C$121)*Basicinfo!AI24/Basicinfo!G24)*(CK24)^Parameters!$C$124+(1/(1+Parameters!$C$118*BB24^Parameters!$C$122)*Basicinfo!AJ24/Basicinfo!G24+1/(1+Parameters!$C$119*BB24^Parameters!$C$123)*Basicinfo!AK24/Basicinfo!G24)*(CK24)^Parameters!$C$125)</f>
        <v>2.2770802325608885</v>
      </c>
      <c r="CN24" s="19">
        <f>IF(SUM(Basicinfo!AB24:AG24)=0,0,(Parameters!$C$128*Basicinfo!AB24+Parameters!$C$129*(SUM(Basicinfo!AC24:AE24))+Parameters!$C$130*Basicinfo!AF24+Parameters!$C$131*Basicinfo!AG24)/SUM(Basicinfo!AB24:AG24))</f>
        <v>2.1643869538639872E-2</v>
      </c>
      <c r="CO24" s="19">
        <f>IF(Basicinfo!AH24+Basicinfo!AI24+Basicinfo!AJ24+Basicinfo!AK24=0,0,(Parameters!$C$132*(Basicinfo!AH24+Basicinfo!AI24)+Parameters!$C$133*Basicinfo!AJ24+Parameters!$C$134*Basicinfo!AK24)/(Basicinfo!AH24+Basicinfo!AI24+Basicinfo!AJ24+Basicinfo!AK24))</f>
        <v>5.0000000000000001E-4</v>
      </c>
      <c r="CP24" s="19">
        <f>IF(Basicinfo!AJ24+Basicinfo!AK24=0,0,(Parameters!$C$133*Basicinfo!AJ24+Parameters!$C$134*Basicinfo!AK24)/(Basicinfo!AJ24+Basicinfo!AK24))</f>
        <v>5.0000000000000001E-4</v>
      </c>
      <c r="CQ24" s="19">
        <f>IF(Z24=0,0,(CN24*(Z24-AA24)+CO24*Basicinfo!P24+CP24*(Basicinfo!Q24+Basicinfo!R24))/Z24)</f>
        <v>1.1776825688669277E-2</v>
      </c>
      <c r="CR24" s="289">
        <f>Basicinfo!EI24</f>
        <v>4.9059838596491226E-2</v>
      </c>
      <c r="CS24" s="19">
        <f>IF(SUM(Basicinfo!AB24:AG24)=0,0,(Basicinfo!AB24*Parameters!$C$43+(Basicinfo!AC24+Basicinfo!AD24)*Parameters!$C$44+Basicinfo!AE24*Parameters!$C$45+(Basicinfo!AF24+Basicinfo!AG24)*Parameters!$C$46)/SUM(Basicinfo!AB24:AG24))</f>
        <v>13.303907951389448</v>
      </c>
      <c r="CT24" s="19">
        <f>(Parameters!$C$41*CS24+Parameters!$C$42)</f>
        <v>410.69986110417233</v>
      </c>
      <c r="CU24" s="19">
        <f>CT24+Basicinfo!BR24/(Parameters!$C$47*Parameters!$C$49*Parameters!$C$48*10000/1000000)</f>
        <v>565.44343611456384</v>
      </c>
      <c r="CV24" s="19">
        <f>IF(BK24/Basicinfo!G24&lt;Parameters!$C$35,Parameters!$C$35,Parameters!$C$37*(BK24/Basicinfo!G24)^Parameters!$C$38)</f>
        <v>1.8813819605663533</v>
      </c>
      <c r="CW24" s="19">
        <f>IF(BK24/Basicinfo!G24&lt;Parameters!$C$35,Parameters!$C$36,Parameters!$C$36*(BK24/Basicinfo!G24)^Parameters!$C$38)</f>
        <v>4.4212476073309306</v>
      </c>
      <c r="CX24" s="27">
        <f>IF(Basicinfo!AJ24+Basicinfo!AK24=0,0,(Parameters!$C$53*Basicinfo!AJ24+Parameters!$C$54*Basicinfo!AK24)/(Basicinfo!AJ24+Basicinfo!AK24))</f>
        <v>750</v>
      </c>
      <c r="CY24" s="56">
        <f>IF(Basicinfo!AU24*AB24=0,0,((Basicinfo!AZ24+Basicinfo!BA24)/Basicinfo!AU24+Parameters!$C$76/(Basicinfo!AU24*AB24)*100))</f>
        <v>3.1506953443828651</v>
      </c>
      <c r="CZ24" s="43">
        <f>IF(Basicinfo!AU24*AB24=0,0,(Parameters!$C$77)/(Basicinfo!AU24*AB24)*100)</f>
        <v>0.80573357408273805</v>
      </c>
      <c r="DA24" s="43">
        <f>IF(AD24+AJ24=0,0,((J24*Parameters!$C$96+Parameters!$C$94/100*S24*100*Parameters!$C$93/1000*86400*Parameters!$C$95/24*Parameters!$C$98)*AI24+AD24*CY24*86400*365)/((AD24+AJ24*AI24/365)*86400*365))</f>
        <v>7.6271519209077443</v>
      </c>
      <c r="DB24" s="43">
        <f>IF(AD24+AJ24=0,0,((J24*Parameters!$C$97+Parameters!$C$94/100*S24*100*Parameters!$C$93/1000*86400*Parameters!$C$95/24*Parameters!$C$99)*AI24+AD24*CZ24*86400*365)/((AD24+AJ24*AI24/365)*86400*365))</f>
        <v>1.5191882044449703</v>
      </c>
      <c r="DC24" s="42">
        <f>IF(AE24+AL24=0,0,((K24*Parameters!$C$96+Parameters!$C$94/100*T24*100*Parameters!$C$93/1000*86400*Parameters!$C$95/24*Parameters!$C$98)*365+AE24*CY24*86400*365)/((AE24+AL24)*86400*365))</f>
        <v>0</v>
      </c>
      <c r="DD24" s="42">
        <f>IF(AE24+AL24=0,0,((K24*Parameters!$C$97+Parameters!$C$94/100*T24*100*Parameters!$C$93/1000*86400*Parameters!$C$95/24*Parameters!$C$99)*365+AE24*CZ24*86400*365)/((AE24+AL24)*86400*365))</f>
        <v>0</v>
      </c>
      <c r="DE24" s="42">
        <f>IF(Basicinfo!AH24+Basicinfo!AI24+Basicinfo!AJ24+Basicinfo!AK24=0,0,((Basicinfo!AH24+Basicinfo!AI24)*Parameters!$C$107+(Basicinfo!AJ24+Basicinfo!AK24)*Parameters!$C$106)/(Basicinfo!AH24+Basicinfo!AI24+Basicinfo!AJ24+Basicinfo!AK24))</f>
        <v>67.767118573242669</v>
      </c>
      <c r="DF24" s="42">
        <f>IF(Basicinfo!AH24+Basicinfo!AI24+Basicinfo!AJ24+Basicinfo!AK24=0,0,((Basicinfo!AH24+Basicinfo!AI24)*Parameters!$C$109+(Basicinfo!AJ24+Basicinfo!AK24)*Parameters!$C$108)/(Basicinfo!AH24+Basicinfo!AI24+Basicinfo!AJ24+Basicinfo!AK24))</f>
        <v>67.767118573242669</v>
      </c>
      <c r="DG24" s="42">
        <f>Intermediate!AC24*Intermediate!CY24*(1-Parameters!$C$102/100*Basicinfo!BZ24/100)*(1-Parameters!$C$104/100*Basicinfo!CA24/100)*86400*365/1000000</f>
        <v>0.26648315537607481</v>
      </c>
      <c r="DH24" s="42">
        <f>Intermediate!AC24*Intermediate!CZ24*(1-Parameters!$C$103/100*Basicinfo!BZ24/100)*(1-Parameters!$C$105/100*Basicinfo!CA24/100)*86400*365/1000000</f>
        <v>6.8148266253926559E-2</v>
      </c>
      <c r="DI24" s="42">
        <f>(Intermediate!AK24*Intermediate!DA24+(Intermediate!AE24+Intermediate!AL24)*Intermediate!DC24)*86400*365/1000000</f>
        <v>0.20619307039591533</v>
      </c>
      <c r="DJ24" s="42">
        <f>(Intermediate!AK24*Intermediate!DB24+(Intermediate!AE24+Intermediate!AL24)*Intermediate!DD24)*86400*365/1000000</f>
        <v>4.1069862464006748E-2</v>
      </c>
      <c r="DK24" s="42">
        <f>((Basicinfo!AZ24+Basicinfo!BA24)*Intermediate!AB24+Parameters!$C$76*100)/1000*Intermediate!U24*(1-Intermediate!DE24/100)+(1-Parameters!$C$110/100)*M24*Parameters!$C$100*(1-DE24/100)*365/1000000+(1-Parameters!$C$112/100)*P24*Parameters!$C$96*365/1000000+(1-Parameters!$C$112/100)*O24*Parameters!$C$96*(1-DE24/100)*365/1000000</f>
        <v>0.43384055841548308</v>
      </c>
      <c r="DL24" s="42">
        <f>Parameters!$C$77*100/1000*Intermediate!U24*(1-Intermediate!DF24/100)+(1-Parameters!$C$111/100)*M24*Parameters!$C$101*(1-DF24/100)*365/1000000+(1-Parameters!$C$113/100)*P24*Parameters!$C$97*365/1000000+(1-Parameters!$C$113/100)*O24*Parameters!$C$97*(1-DF24/100)*365/1000000</f>
        <v>6.9966244261165864E-2</v>
      </c>
      <c r="DM24" s="31"/>
      <c r="DN24" s="31"/>
      <c r="DO24" s="31"/>
      <c r="DP24" s="31"/>
      <c r="DQ24" s="31"/>
      <c r="DR24" s="31"/>
      <c r="DS24" s="31"/>
      <c r="DT24" s="188">
        <f>BO24*(Basicinfo!$P24+Basicinfo!$Q24)/1000</f>
        <v>30.717090789273684</v>
      </c>
      <c r="DU24" s="188">
        <f>DT24*Basicinfo!$AZ24/(Basicinfo!$AZ24+Basicinfo!$BA24)</f>
        <v>18.997508875999564</v>
      </c>
      <c r="DV24" s="188">
        <f>DT24*Basicinfo!$BC24/(Basicinfo!$BB24+Basicinfo!$BC24)</f>
        <v>11.219895105202621</v>
      </c>
      <c r="DW24" s="188">
        <f>BP24*(Basicinfo!$P24+Basicinfo!$Q24)/1000</f>
        <v>33.192289452861758</v>
      </c>
      <c r="DX24" s="188">
        <f>DW24*Basicinfo!$BB24/(Basicinfo!$BB24+Basicinfo!$BC24)</f>
        <v>21.06828954292634</v>
      </c>
      <c r="DY24" s="188">
        <f>DW24*Basicinfo!$BC24/(Basicinfo!$BB24+Basicinfo!$BC24)</f>
        <v>12.123999909935419</v>
      </c>
      <c r="DZ24" s="188">
        <f t="shared" si="10"/>
        <v>38.668087251392606</v>
      </c>
      <c r="EA24" s="188">
        <f>DZ24*Basicinfo!$AZ24/(Basicinfo!$AZ24+Basicinfo!$BA24)</f>
        <v>23.914938293335251</v>
      </c>
      <c r="EB24" s="188">
        <f>DZ24*Basicinfo!$BC24/(Basicinfo!$BB24+Basicinfo!$BC24)</f>
        <v>14.124120212287407</v>
      </c>
      <c r="EC24" s="188">
        <f t="shared" si="11"/>
        <v>41.783981218850485</v>
      </c>
      <c r="ED24" s="188">
        <f>EC24*Basicinfo!$AZ24/(Basicinfo!$AZ24+Basicinfo!$BA24)</f>
        <v>25.842016079104106</v>
      </c>
      <c r="EE24" s="188">
        <f>EC24*Basicinfo!$BC24/(Basicinfo!$BB24+Basicinfo!$BC24)</f>
        <v>15.262248940481255</v>
      </c>
      <c r="EF24" s="190">
        <f>(Basicinfo!BP24-BL24/100)*Intermediate!X24/10</f>
        <v>102.61859946973036</v>
      </c>
      <c r="EG24" s="191">
        <f>(Basicinfo!BQ24-BM24/100)*Intermediate!X24/10</f>
        <v>106.2859843040309</v>
      </c>
      <c r="EH24" s="197">
        <f>IF(AU24=0,0,$BS24*((Basicinfo!$P24+Basicinfo!$Q24)*Intermediate!$AT24*1000+$AW24*3600*24*365)/1000000*Basicinfo!AZ24/(Basicinfo!$AZ24+Basicinfo!$BA24))</f>
        <v>2.2574588646065417</v>
      </c>
      <c r="EI24" s="197">
        <f>IF(AU24=0,0,$BS24*((Basicinfo!$P24+Basicinfo!$Q24)*Intermediate!$AT24*1000+$AW24*3600*24*365)/1000000*Basicinfo!BA24/(Basicinfo!$AZ24+Basicinfo!$BA24))</f>
        <v>1.3926285942167311</v>
      </c>
      <c r="EJ24" s="198">
        <f>IF(AU24=0,0,$BS24*($AT24*$X24*1000)/1000000*Basicinfo!AZ24/(Basicinfo!$AZ24+Basicinfo!$BA24))</f>
        <v>2.8417930897778052</v>
      </c>
      <c r="EK24" s="198">
        <f>IF(AU24=0,0,$BS24*($AT24*$X24*1000)/1000000*Basicinfo!BA24/(Basicinfo!$AZ24+Basicinfo!$BA24))</f>
        <v>1.7531049525289402</v>
      </c>
      <c r="EL24" s="147">
        <f>Parameters!$C$150/Basicinfo!$AV24*100</f>
        <v>0.11425368977364275</v>
      </c>
      <c r="EM24" s="147">
        <f>Parameters!$C$151/Basicinfo!$AV24*100</f>
        <v>0.22850737954728551</v>
      </c>
      <c r="EN24" s="147">
        <f>(Parameters!$C$150+Parameters!$C$151)/Intermediate!$BB24*100</f>
        <v>0.70444852290236004</v>
      </c>
      <c r="EO24" s="193">
        <f>IF(EN24=0,0,(1/(1+Parameters!$C$116*$BB24^Parameters!$C$120)*Basicinfo!$AH24/Basicinfo!$G24+1/(1+Parameters!$C$117*$BB24^Parameters!$C$121)*Basicinfo!$AI24/Basicinfo!$G24)*(EN24)^Parameters!$C$124+(1/(1+Parameters!$C$118*$BB24^Parameters!$C$122)*Basicinfo!$AJ24/Basicinfo!AW24+1/(1+Parameters!$C$119*$BB24^Parameters!$C$123)*Basicinfo!$AK24/Basicinfo!$G24)*(EN24)^Parameters!$C$125)</f>
        <v>0.37271345761531155</v>
      </c>
      <c r="EP24" s="199">
        <f>EL24*($AT24*Basicinfo!$P24*1000+$AW24*3600*24*365)/1000000</f>
        <v>0.22402960802377175</v>
      </c>
      <c r="EQ24" s="199">
        <f>EM24*($AT24*Basicinfo!$P24*1000+$AW24*3600*24*365)/1000000</f>
        <v>0.44805921604754351</v>
      </c>
      <c r="ER24" s="199">
        <f t="shared" si="12"/>
        <v>0.28201877871141084</v>
      </c>
      <c r="ES24" s="199">
        <f t="shared" si="13"/>
        <v>0.56403755742282169</v>
      </c>
      <c r="ET24" s="181">
        <f t="shared" si="14"/>
        <v>7.2070590134267194</v>
      </c>
      <c r="EU24" s="147">
        <f>Intermediate!F24*(Parameters!$C$150)/1000*100</f>
        <v>0.15373525167691091</v>
      </c>
      <c r="EV24" s="147">
        <f>Intermediate!F24*(Parameters!$C$151)/1000*100</f>
        <v>0.30747050335382181</v>
      </c>
      <c r="EW24" s="181">
        <f>'Local emissions'!$S24*Basicinfo!AZ24/(Basicinfo!$AZ24+Basicinfo!$BA24)-Intermediate!EU24</f>
        <v>1.3605277827512658</v>
      </c>
      <c r="EX24" s="147">
        <f>'Local emissions'!$S24*Basicinfo!BA24/(Basicinfo!$AZ24+Basicinfo!$BA24)-Intermediate!EV24</f>
        <v>0.62667985215115984</v>
      </c>
      <c r="EY24" s="188">
        <f t="shared" si="15"/>
        <v>2.0334292565827701</v>
      </c>
      <c r="EZ24" s="188">
        <f t="shared" si="16"/>
        <v>0.94456937816918762</v>
      </c>
      <c r="FA24" s="188">
        <f t="shared" si="17"/>
        <v>2.5597743110663944</v>
      </c>
      <c r="FB24" s="181">
        <f t="shared" si="18"/>
        <v>1.1890673951061186</v>
      </c>
      <c r="FC24" s="181">
        <f>'Local emissions'!Y24-Intermediate!ET24</f>
        <v>36.824223675893528</v>
      </c>
      <c r="FD24" s="188">
        <f t="shared" si="19"/>
        <v>4.2801156076372902</v>
      </c>
      <c r="FE24" s="188">
        <f t="shared" si="20"/>
        <v>2.4630438619982993</v>
      </c>
      <c r="FF24" s="181">
        <f t="shared" si="21"/>
        <v>2.6249595660726865</v>
      </c>
      <c r="FG24" s="201">
        <f t="shared" si="22"/>
        <v>1.5502964719727816</v>
      </c>
      <c r="FH24" s="181">
        <f t="shared" si="23"/>
        <v>25.905808168212467</v>
      </c>
      <c r="FJ24" s="147">
        <f>AVERAGE(Parameters!$C$132:$C$134)*'Local emissions'!J24*3600*24*365/1000000</f>
        <v>9.6683643509128895E-3</v>
      </c>
      <c r="FK24" s="147">
        <f>'Local emissions'!AJ24+CT24*BJ24/100*Intermediate!X24*100/1000000</f>
        <v>0.2864671213450079</v>
      </c>
      <c r="FL24" s="31">
        <f>(Parameters!$C$18*(Basicinfo!AH24+Basicinfo!AI24)+Parameters!$C$19*Basicinfo!AJ24+Parameters!$C$20*Basicinfo!AK24)/Basicinfo!G24</f>
        <v>2.944177964331067E-2</v>
      </c>
      <c r="FM24" s="181">
        <f t="shared" si="32"/>
        <v>0.13952050600060431</v>
      </c>
    </row>
    <row r="25" spans="1:169">
      <c r="A25" s="39" t="str">
        <f>Basicinfo!A25</f>
        <v>Trattnach</v>
      </c>
      <c r="B25" s="63">
        <f>Basicinfo!B25</f>
        <v>1170</v>
      </c>
      <c r="C25" s="63">
        <f>Basicinfo!C25</f>
        <v>1180</v>
      </c>
      <c r="D25" s="61">
        <f>Basicinfo!U25*Basicinfo!V25/1000+Basicinfo!Y25</f>
        <v>1.2098064617897391</v>
      </c>
      <c r="E25" s="19">
        <f>Basicinfo!W25*Basicinfo!X25/1000+Basicinfo!Z25</f>
        <v>0</v>
      </c>
      <c r="F25" s="19">
        <f t="shared" si="0"/>
        <v>1.2098064617897391</v>
      </c>
      <c r="G25" s="19">
        <f>SUM(Basicinfo!H25:L25)</f>
        <v>91.194705488435005</v>
      </c>
      <c r="H25" s="19">
        <f>IF(Basicinfo!N25&lt;Parameters!$C$68,Parameters!$C$69,Basicinfo!BS25/(Basicinfo!N25*100))</f>
        <v>20.417776670523377</v>
      </c>
      <c r="I25" s="19">
        <f>IF(Basicinfo!N25=0,0,Basicinfo!BU25*(1-Basicinfo!BX25/100))</f>
        <v>12952.906361857571</v>
      </c>
      <c r="J25" s="19">
        <f>IF(Basicinfo!N25=0,0,Basicinfo!BU25*Basicinfo!BX25/100)</f>
        <v>11486.539603911431</v>
      </c>
      <c r="K25" s="19">
        <f>IF(Basicinfo!N25=0,0,Basicinfo!BT25-Basicinfo!BU25)</f>
        <v>0</v>
      </c>
      <c r="L25" s="27">
        <f>Basicinfo!BV25*Basicinfo!BW25/100</f>
        <v>1441.12</v>
      </c>
      <c r="M25" s="27">
        <f>Basicinfo!BV25-Intermediate!L25</f>
        <v>1441.1200000000003</v>
      </c>
      <c r="N25" s="73">
        <f>Basicinfo!BS25-SUM(I25:K25)-Basicinfo!BV25</f>
        <v>0</v>
      </c>
      <c r="O25" s="19">
        <f>IF(Basicinfo!AH25+Basicinfo!AI25+Basicinfo!AJ25+Basicinfo!AK25=0,0,N25*(Basicinfo!AH25+Basicinfo!AI25)/SUM(Basicinfo!AH25:AK25))</f>
        <v>0</v>
      </c>
      <c r="P25" s="73">
        <f t="shared" si="25"/>
        <v>0</v>
      </c>
      <c r="Q25" s="19">
        <f>IF(Basicinfo!BS25=0,Basicinfo!N25,IF(H25&gt;Parameters!$C$70,Parameters!$C$64*(Parameters!$C$65*Parameters!$C$70)^(Parameters!$C$66-Parameters!$C$67*LOG(Parameters!$C$65*Parameters!$C$70,10))/100*Basicinfo!N25,Parameters!$C$64*(Parameters!$C$65*H25)^(Parameters!$C$66-Parameters!$C$67*LOG(Parameters!$C$65*H25,10))/100*Basicinfo!N25))</f>
        <v>3.9939583169997475</v>
      </c>
      <c r="R25" s="19">
        <f>IF(Basicinfo!BS25=0,Q25*(1-Basicinfo!BX25/100),IF(H25&lt;Parameters!$C$75,Q25*Basicinfo!BU25/Basicinfo!BS25*(1-Basicinfo!BX25/100)*(-Parameters!$C$74+Parameters!$C$73*LN(H25*100)),Q25*Basicinfo!BU25/Basicinfo!BS25*(1-Basicinfo!BX25/100)))</f>
        <v>1.1071185684287996</v>
      </c>
      <c r="S25" s="19">
        <f>IF(Basicinfo!BS25=0,Q25*Basicinfo!BX25/100,Q25*Basicinfo!BU25/Basicinfo!BS25*Basicinfo!BX25/100)</f>
        <v>1.6791335806314245</v>
      </c>
      <c r="T25" s="19">
        <f>IF(Basicinfo!BS25=0,0,IF(H25&lt;Parameters!$C$75,Q25*K25/Basicinfo!BS25*(-Parameters!$C$74+Parameters!$C$73*LN(H25*100)),Q25*K25/Basicinfo!BS25))</f>
        <v>0</v>
      </c>
      <c r="U25" s="19">
        <f t="shared" si="26"/>
        <v>1.2077061679395231</v>
      </c>
      <c r="V25" s="19">
        <f>IF(Basicinfo!AL25&gt;Parameters!$C$14,Basicinfo!Q25,0)</f>
        <v>0</v>
      </c>
      <c r="W25" s="19">
        <f>IF(Basicinfo!AL25&gt;Parameters!$C$14,0,Basicinfo!Q25)</f>
        <v>0</v>
      </c>
      <c r="X25" s="19">
        <f>G25+Basicinfo!M25</f>
        <v>127.1284404242837</v>
      </c>
      <c r="Y25" s="19">
        <f>IF(Basicinfo!G25-F25-Q25-V25-Basicinfo!O25-Basicinfo!R25-Basicinfo!S25&lt;0,0,Basicinfo!G25-F25-Q25-V25-Basicinfo!O25-Basicinfo!R25-Basicinfo!S25)</f>
        <v>191.02217748821053</v>
      </c>
      <c r="Z25" s="19">
        <f>Basicinfo!G25-F25-Basicinfo!BO25-Q25-Basicinfo!O25</f>
        <v>188.01502334311465</v>
      </c>
      <c r="AA25" s="53">
        <f>IF(Z25+Basicinfo!BO25-X25&gt;0,Z25+Basicinfo!BO25-X25,0)</f>
        <v>63.893737063926807</v>
      </c>
      <c r="AB25" s="56">
        <f>IF(Basicinfo!N25=0,0,Parameters!$C$71+Parameters!$C$72*Q25/Basicinfo!N25)</f>
        <v>0.37385445681330864</v>
      </c>
      <c r="AC25" s="43">
        <f>Basicinfo!AU25*AB25*R25/1000/86.4/0.365</f>
        <v>1.2677480704418523E-2</v>
      </c>
      <c r="AD25" s="43">
        <f>Basicinfo!AU25*AB25*S25/1000/86.4/0.365</f>
        <v>1.9227555363655769E-2</v>
      </c>
      <c r="AE25" s="43">
        <f>Basicinfo!AU25*AB25*T25/1000/86.4/0.365</f>
        <v>0</v>
      </c>
      <c r="AF25" s="43">
        <f>Basicinfo!AU25*AB25*U25/1000/86.4/0.365</f>
        <v>1.3829297129745675E-2</v>
      </c>
      <c r="AG25" s="43">
        <f>((Parameters!$C$80+Parameters!$C$81*Parameters!$C$89)/(Parameters!$C$82+Parameters!$C$89)/(Parameters!$C$90/100*Parameters!$C$91+(Parameters!$C$83+Parameters!$C$84*Parameters!$C$89)/(Parameters!$C$85+Parameters!$C$89)))-Parameters!$C$86+(Basicinfo!AU25-Parameters!$C$88)/Parameters!$C$87</f>
        <v>75.536761124547937</v>
      </c>
      <c r="AH25" s="43">
        <f>((Parameters!$C$80+Parameters!$C$81*Parameters!$C$89)/(Parameters!$C$82+Parameters!$C$89)/(Basicinfo!BY25/100*Parameters!$C$91+(Parameters!$C$83+Parameters!$C$84*Parameters!$C$89)/(Parameters!$C$85+Parameters!$C$89)))-Parameters!$C$86+(Basicinfo!AU25-Parameters!$C$88)/Parameters!$C$87</f>
        <v>57.733879257932365</v>
      </c>
      <c r="AI25" s="43">
        <f>Basicinfo!AU25^Parameters!$C$79*Parameters!$C$78*AH25/AG25</f>
        <v>26.595661491035198</v>
      </c>
      <c r="AJ25" s="43">
        <f>(J25*Parameters!$C$92/1000+Parameters!$C$94/100*S25*100*Parameters!$C$93/1000*86400*Parameters!$C$95/24)/86400</f>
        <v>1.7338958949313709E-2</v>
      </c>
      <c r="AK25" s="43">
        <f t="shared" si="1"/>
        <v>1.1830223559454973E-2</v>
      </c>
      <c r="AL25" s="43">
        <f>(K25*Parameters!$C$92/1000+Parameters!$C$94/100*T25*100*Parameters!$C$93/1000*86400*Parameters!$C$95/24)/86400</f>
        <v>0</v>
      </c>
      <c r="AM25" s="43">
        <f>(Intermediate!N25+Basicinfo!BV25-Intermediate!L25)*Parameters!$C$92/1000/86400</f>
        <v>2.1683518518518523E-3</v>
      </c>
      <c r="AN25" s="43">
        <f t="shared" si="2"/>
        <v>2.3778294302323644E-2</v>
      </c>
      <c r="AO25" s="43">
        <f t="shared" si="27"/>
        <v>1.1830223559454973E-2</v>
      </c>
      <c r="AP25" s="43">
        <f t="shared" si="28"/>
        <v>1.5997648981597529E-2</v>
      </c>
      <c r="AQ25" s="43">
        <f t="shared" si="3"/>
        <v>4.0505353245471026E-2</v>
      </c>
      <c r="AR25" s="61">
        <f>(Basicinfo!AU25-Basicinfo!AY25)*F25/1000/86.4/0.365</f>
        <v>9.3546113800406124E-3</v>
      </c>
      <c r="AS25" s="19">
        <f>IF(Basicinfo!AP25-Basicinfo!CB25-Basicinfo!CG25&lt;0,0,(Basicinfo!AP25-Basicinfo!CB25-Basicinfo!CG25)/Basicinfo!G25*1000)</f>
        <v>10.183724814246006</v>
      </c>
      <c r="AT25" s="19">
        <f>Parameters!$C$3*((AS25*86.4*0.365)^Parameters!$C$4)</f>
        <v>56.627187895649548</v>
      </c>
      <c r="AU25" s="19">
        <f>IF(AT25/86.4/0.365*(Basicinfo!G25/1000)-AN25&lt;0,0,AT25/86.4/0.365*(Basicinfo!G25/1000)-AN25)</f>
        <v>0.32857214020916442</v>
      </c>
      <c r="AV25" s="19">
        <f>IF(Basicinfo!AU25&gt;Parameters!$C$13,Parameters!$C$11*(Basicinfo!AU25-Parameters!$C$13)^Parameters!$C$12,0)</f>
        <v>85.902381886058976</v>
      </c>
      <c r="AW25" s="19">
        <f>IF(AV25*V25/1000/86.4/0.365&gt;Basicinfo!AP25*Parameters!$C$15,Basicinfo!AP25*Parameters!$C$15,AV25*V25/1000/86.4/0.365)</f>
        <v>0</v>
      </c>
      <c r="AX25" s="19">
        <f>Basicinfo!AU25-Basicinfo!AW25</f>
        <v>385.08237951828573</v>
      </c>
      <c r="AY25" s="19">
        <f>Parameters!$C$56*AX25+Parameters!$C$57*Basicinfo!AW25</f>
        <v>250.62533202811429</v>
      </c>
      <c r="AZ25" s="19">
        <f>AY25*Basicinfo!BO25/1000/86.4/0.365</f>
        <v>2.389868740722894E-2</v>
      </c>
      <c r="BA25" s="19">
        <f>IF(Basicinfo!AP25-AQ25-AR25-AU25-AW25-AZ25-Basicinfo!CB25-Basicinfo!CG25&lt;0,0,Basicinfo!AP25-AQ25-AR25-AU25-AW25-AZ25-Basicinfo!CB25-Basicinfo!CG25)</f>
        <v>1.5959802052213472</v>
      </c>
      <c r="BB25" s="53">
        <f t="shared" si="4"/>
        <v>267.69579822358162</v>
      </c>
      <c r="BC25" s="56">
        <f>IF(G25=0,0,((Basicinfo!H25*Basicinfo!BE25+Basicinfo!I25*Basicinfo!BF25+Basicinfo!J25*Basicinfo!BG25+Basicinfo!K25*Basicinfo!BH25+Basicinfo!L25*Basicinfo!BI25)*(1-Basicinfo!BN25/G25*Parameters!$C$26/100)/G25)*Basicinfo!BM25)</f>
        <v>12.047532924601208</v>
      </c>
      <c r="BD25" s="43">
        <f>IF(Basicinfo!AW25*Parameters!$C$39-Parameters!$C$40&lt;0,0.001,(Basicinfo!AW25*Parameters!$C$39-Parameters!$C$40)/(Basicinfo!AX25*Parameters!$C$39-Parameters!$C$40))</f>
        <v>1.0510447485836389</v>
      </c>
      <c r="BE25" s="43">
        <f>(BC25*G25*100+Basicinfo!BJ25*Basicinfo!M25*100)*Parameters!$C$29*BD25</f>
        <v>116516.85792317783</v>
      </c>
      <c r="BF25" s="43">
        <f>(Basicinfo!BK25*Basicinfo!P25*100)*BD25*Parameters!$C$29</f>
        <v>2500.454210947903</v>
      </c>
      <c r="BG25" s="43">
        <f>Parameters!$C$27*(V25+W25)*100</f>
        <v>0</v>
      </c>
      <c r="BH25" s="43">
        <f>Parameters!$C$28*Basicinfo!R25*100</f>
        <v>0</v>
      </c>
      <c r="BI25" s="43">
        <f t="shared" si="29"/>
        <v>2500.454210947903</v>
      </c>
      <c r="BJ25" s="43">
        <f>IF(Basicinfo!AM25&lt;Parameters!$C$33,0,Parameters!$C$30*(((Basicinfo!AM25-Parameters!$C$33)^Parameters!$C$31)*(((G25-Basicinfo!BN25)/Basicinfo!G25*100+Parameters!$C$34))^Parameters!$C$32))</f>
        <v>4.4739775708280396</v>
      </c>
      <c r="BK25" s="58">
        <f t="shared" si="30"/>
        <v>7713.3923006644527</v>
      </c>
      <c r="BL25" s="61">
        <f>Basicinfo!AZ25+Basicinfo!BA25</f>
        <v>1624.0189146647233</v>
      </c>
      <c r="BM25" s="19">
        <f>Basicinfo!BB25+Basicinfo!BC25</f>
        <v>1752.1286115527569</v>
      </c>
      <c r="BN25" s="172">
        <f>IF(Basicinfo!AO25=0,0,IF(Basicinfo!AO25="NA",1,IF(OR(Basicinfo!AO25="SA",Basicinfo!AN25="S"),3,IF(Basicinfo!AN25="N",1,IF(Basicinfo!AO25="ZA",2,0)))))</f>
        <v>0</v>
      </c>
      <c r="BO25" s="27">
        <f>IF($BN25=1,(BL25)*(1+Parameters!$C$21*Parameters!$C$22-Parameters!$C$22*Basicinfo!$AL25),IF($BN25=2,(BL25)*(1+Parameters!$C$21*Parameters!$C$23-Parameters!$C$23*Basicinfo!$AL25),IF($BN25=3,(BL25)*(1+Parameters!$C$21*Parameters!$C$24-Parameters!$C$24*Basicinfo!$AL25),BL25)))</f>
        <v>1624.0189146647233</v>
      </c>
      <c r="BP25" s="27">
        <f>IF($BN25=1,(BM25)*(1+Parameters!$C$21*Parameters!$C$22-Parameters!$C$22*Basicinfo!$AL25),IF($BN25=2,(BM25)*(1+Parameters!$C$21*Parameters!$C$23-Parameters!$C$23*Basicinfo!$AL25),IF($BN25=3,(BM25)*(1+Parameters!$C$21*Parameters!$C$24-Parameters!$C$24*Basicinfo!$AL25),BM25)))</f>
        <v>1752.1286115527569</v>
      </c>
      <c r="BQ25" s="27">
        <f>IF(Basicinfo!AU25=0,0,IF(G25+Basicinfo!M25=0,0,(Parameters!$C$16+BO25/Basicinfo!AU25)*G25+(Parameters!$C$17+BO25/Basicinfo!AU25)*Basicinfo!M25)/(G25+Basicinfo!M25))</f>
        <v>1.8965145424580458</v>
      </c>
      <c r="BR25" s="27">
        <f>IF(Basicinfo!AU25=0,0,IF(G25+Basicinfo!M25=0,0,(Parameters!$C$16+BP25/Basicinfo!AU25)*G25+(Parameters!$C$17+BP25/Basicinfo!AU25)*Basicinfo!M25)/(G25+Basicinfo!M25))</f>
        <v>2.0291437380479964</v>
      </c>
      <c r="BS25" s="27">
        <f>IF(Basicinfo!AU25=0,0,BO25/Basicinfo!AU25)</f>
        <v>1.6813116220476059</v>
      </c>
      <c r="BT25" s="27">
        <f>IF(Basicinfo!AU25=0,0,BP25/Basicinfo!AU25)</f>
        <v>1.8139408176375564</v>
      </c>
      <c r="BU25" s="27">
        <f>IF(SUM(G25,Basicinfo!M25,Basicinfo!P25,W25)=0,0,(BQ25*(G25+Basicinfo!M25)+BS25*(Basicinfo!P25+W25))/SUM(G25,Basicinfo!M25,Basicinfo!P25,W25))</f>
        <v>1.831934793827076</v>
      </c>
      <c r="BV25" s="19">
        <f>IF(Basicinfo!BR25/Parameters!$C$10&gt;1,1,Basicinfo!BR25/Parameters!$C$10)</f>
        <v>0.50179098679016099</v>
      </c>
      <c r="BW25" s="19">
        <f>Parameters!$C$5+Parameters!$C$6*EXP(BV25*Parameters!$C$8*Parameters!$C$7)</f>
        <v>3.5677708628569442E-2</v>
      </c>
      <c r="BX25" s="19">
        <f>Parameters!$C$5+Parameters!$C$6*EXP(BV25*Parameters!$C$9*Parameters!$C$7)</f>
        <v>3.53113573894678E-2</v>
      </c>
      <c r="BY25" s="19">
        <f>IF(Basicinfo!AH25+Basicinfo!AI25+Basicinfo!AJ25+Basicinfo!AK25=0,0,(Parameters!$C$18*(Basicinfo!AH25+Basicinfo!AI25)+Parameters!$C$19*Basicinfo!AJ25+Parameters!$C$20*Basicinfo!AK25)/(Basicinfo!AH25+Basicinfo!AI25+Basicinfo!AJ25+Basicinfo!AK25))</f>
        <v>3.5000000000000003E-2</v>
      </c>
      <c r="BZ25" s="19">
        <f>IF(Basicinfo!AJ25+Basicinfo!AK25=0,Parameters!$C$18,(Parameters!$C$19*Basicinfo!AJ25+Parameters!$C$20*Basicinfo!AK25)/(Basicinfo!AJ25+Basicinfo!AK25))</f>
        <v>3.5000000000000003E-2</v>
      </c>
      <c r="CA25" s="19">
        <f>IF(SUM(G25,Basicinfo!M25,Basicinfo!P25,W25)=0,0,(BW25*G25+BX25*Basicinfo!M25+BY25*Basicinfo!P25+BZ25*W25)/(SUM(G25,Basicinfo!M25,Basicinfo!P25,W25)))</f>
        <v>3.5401859486454329E-2</v>
      </c>
      <c r="CB25" s="19">
        <f>IF(Y25=0,Basicinfo!BP25,Basicinfo!BP25-(AU25*X25/Y25*Intermediate!BQ25*86400*365/1000000)*1000/(X25*100))</f>
        <v>52.879217777052837</v>
      </c>
      <c r="CC25" s="19">
        <f>IF(Y25=0,Basicinfo!BQ25,Basicinfo!BQ25-(AU25*Basicinfo!AV25/Basicinfo!AU25*X25/Y25*Intermediate!BR25*86400*365/1000000)*1000/(X25*100))</f>
        <v>56.337448944959377</v>
      </c>
      <c r="CD25" s="19">
        <f>IF(OR(Y25=0,AA25=0),BP25/100,BP25/100-(AU25*Basicinfo!AV25/Basicinfo!AU25*(Basicinfo!P25+W25)/Y25*Intermediate!BT25*86400*365/1000000+AW25*Basicinfo!AV25/Basicinfo!AU25*Intermediate!BT25*86400*365/1000000)*1000/(AA25*100))</f>
        <v>16.685137432132699</v>
      </c>
      <c r="CE25" s="19">
        <f t="shared" si="5"/>
        <v>699267.66287364322</v>
      </c>
      <c r="CF25" s="19">
        <f t="shared" si="6"/>
        <v>106607.57839641697</v>
      </c>
      <c r="CG25" s="19">
        <f>IF(AY25=0,0,((CB25^Parameters!$C$58))/AY25*100)</f>
        <v>11.635024537530191</v>
      </c>
      <c r="CH25" s="19">
        <f>IF(SUM(Basicinfo!AB25:AG25)=0,0,(Parameters!$C$59*Basicinfo!AB25+Parameters!$C$60*SUM(Basicinfo!AC25:AE25)+Parameters!$C$61*Basicinfo!AF25+Parameters!$C$62*Basicinfo!AG25)/SUM(Basicinfo!AB25:AG25))</f>
        <v>7.2229996291505005E-2</v>
      </c>
      <c r="CI25" s="19">
        <f t="shared" si="31"/>
        <v>11</v>
      </c>
      <c r="CJ25" s="19">
        <f t="shared" si="8"/>
        <v>42.862279138161874</v>
      </c>
      <c r="CK25" s="19">
        <f t="shared" si="9"/>
        <v>16.011562162198363</v>
      </c>
      <c r="CL25" s="19">
        <f>IF($BB25=0,0,$CJ25^Parameters!$C$58*100/$BB25)</f>
        <v>9.1121826565242117</v>
      </c>
      <c r="CM25" s="19">
        <f>IF(CK25=0,0,(1/(1+Parameters!$C$116*BB25^Parameters!$C$120)*Basicinfo!AH25/Basicinfo!G25+1/(1+Parameters!$C$117*BB25^Parameters!$C$121)*Basicinfo!AI25/Basicinfo!G25)*(CK25)^Parameters!$C$124+(1/(1+Parameters!$C$118*BB25^Parameters!$C$122)*Basicinfo!AJ25/Basicinfo!G25+1/(1+Parameters!$C$119*BB25^Parameters!$C$123)*Basicinfo!AK25/Basicinfo!G25)*(CK25)^Parameters!$C$125)</f>
        <v>3.5871966929537118</v>
      </c>
      <c r="CN25" s="19">
        <f>IF(SUM(Basicinfo!AB25:AG25)=0,0,(Parameters!$C$128*Basicinfo!AB25+Parameters!$C$129*(SUM(Basicinfo!AC25:AE25))+Parameters!$C$130*Basicinfo!AF25+Parameters!$C$131*Basicinfo!AG25)/SUM(Basicinfo!AB25:AG25))</f>
        <v>1.1747142327357858E-2</v>
      </c>
      <c r="CO25" s="19">
        <f>IF(Basicinfo!AH25+Basicinfo!AI25+Basicinfo!AJ25+Basicinfo!AK25=0,0,(Parameters!$C$132*(Basicinfo!AH25+Basicinfo!AI25)+Parameters!$C$133*Basicinfo!AJ25+Parameters!$C$134*Basicinfo!AK25)/(Basicinfo!AH25+Basicinfo!AI25+Basicinfo!AJ25+Basicinfo!AK25))</f>
        <v>5.0000000000000001E-4</v>
      </c>
      <c r="CP25" s="19">
        <f>IF(Basicinfo!AJ25+Basicinfo!AK25=0,0,(Parameters!$C$133*Basicinfo!AJ25+Parameters!$C$134*Basicinfo!AK25)/(Basicinfo!AJ25+Basicinfo!AK25))</f>
        <v>0</v>
      </c>
      <c r="CQ25" s="19">
        <f>IF(Z25=0,0,(CN25*(Z25-AA25)+CO25*Basicinfo!P25+CP25*(Basicinfo!Q25+Basicinfo!R25))/Z25)</f>
        <v>7.9000261557636096E-3</v>
      </c>
      <c r="CR25" s="289">
        <f>Basicinfo!EI25</f>
        <v>1.7004560526315788E-2</v>
      </c>
      <c r="CS25" s="19">
        <f>IF(SUM(Basicinfo!AB25:AG25)=0,0,(Basicinfo!AB25*Parameters!$C$43+(Basicinfo!AC25+Basicinfo!AD25)*Parameters!$C$44+Basicinfo!AE25*Parameters!$C$45+(Basicinfo!AF25+Basicinfo!AG25)*Parameters!$C$46)/SUM(Basicinfo!AB25:AG25))</f>
        <v>25.452026029656345</v>
      </c>
      <c r="CT25" s="19">
        <f>(Parameters!$C$41*CS25+Parameters!$C$42)</f>
        <v>534.61066550249473</v>
      </c>
      <c r="CU25" s="19">
        <f>CT25+Basicinfo!BR25/(Parameters!$C$47*Parameters!$C$49*Parameters!$C$48*10000/1000000)</f>
        <v>711.34208223362066</v>
      </c>
      <c r="CV25" s="19">
        <f>IF(BK25/Basicinfo!G25&lt;Parameters!$C$35,Parameters!$C$35,Parameters!$C$37*(BK25/Basicinfo!G25)^Parameters!$C$38)</f>
        <v>1.3639385814175056</v>
      </c>
      <c r="CW25" s="19">
        <f>IF(BK25/Basicinfo!G25&lt;Parameters!$C$35,Parameters!$C$36,Parameters!$C$36*(BK25/Basicinfo!G25)^Parameters!$C$38)</f>
        <v>3.2052556663311385</v>
      </c>
      <c r="CX25" s="27">
        <f>IF(Basicinfo!AJ25+Basicinfo!AK25=0,0,(Parameters!$C$53*Basicinfo!AJ25+Parameters!$C$54*Basicinfo!AK25)/(Basicinfo!AJ25+Basicinfo!AK25))</f>
        <v>0</v>
      </c>
      <c r="CY25" s="56">
        <f>IF(Basicinfo!AU25*AB25=0,0,((Basicinfo!AZ25+Basicinfo!BA25)/Basicinfo!AU25+Parameters!$C$76/(Basicinfo!AU25*AB25)*100))</f>
        <v>2.7889922511809537</v>
      </c>
      <c r="CZ25" s="43">
        <f>IF(Basicinfo!AU25*AB25=0,0,(Parameters!$C$77)/(Basicinfo!AU25*AB25)*100)</f>
        <v>0.69230039320834269</v>
      </c>
      <c r="DA25" s="43">
        <f>IF(AD25+AJ25=0,0,((J25*Parameters!$C$96+Parameters!$C$94/100*S25*100*Parameters!$C$93/1000*86400*Parameters!$C$95/24*Parameters!$C$98)*AI25+AD25*CY25*86400*365)/((AD25+AJ25*AI25/365)*86400*365))</f>
        <v>8.2904263481879124</v>
      </c>
      <c r="DB25" s="43">
        <f>IF(AD25+AJ25=0,0,((J25*Parameters!$C$97+Parameters!$C$94/100*S25*100*Parameters!$C$93/1000*86400*Parameters!$C$95/24*Parameters!$C$99)*AI25+AD25*CZ25*86400*365)/((AD25+AJ25*AI25/365)*86400*365))</f>
        <v>1.5725560332698143</v>
      </c>
      <c r="DC25" s="42">
        <f>IF(AE25+AL25=0,0,((K25*Parameters!$C$96+Parameters!$C$94/100*T25*100*Parameters!$C$93/1000*86400*Parameters!$C$95/24*Parameters!$C$98)*365+AE25*CY25*86400*365)/((AE25+AL25)*86400*365))</f>
        <v>0</v>
      </c>
      <c r="DD25" s="42">
        <f>IF(AE25+AL25=0,0,((K25*Parameters!$C$97+Parameters!$C$94/100*T25*100*Parameters!$C$93/1000*86400*Parameters!$C$95/24*Parameters!$C$99)*365+AE25*CZ25*86400*365)/((AE25+AL25)*86400*365))</f>
        <v>0</v>
      </c>
      <c r="DE25" s="42">
        <f>IF(Basicinfo!AH25+Basicinfo!AI25+Basicinfo!AJ25+Basicinfo!AK25=0,0,((Basicinfo!AH25+Basicinfo!AI25)*Parameters!$C$107+(Basicinfo!AJ25+Basicinfo!AK25)*Parameters!$C$106)/(Basicinfo!AH25+Basicinfo!AI25+Basicinfo!AJ25+Basicinfo!AK25))</f>
        <v>90</v>
      </c>
      <c r="DF25" s="42">
        <f>IF(Basicinfo!AH25+Basicinfo!AI25+Basicinfo!AJ25+Basicinfo!AK25=0,0,((Basicinfo!AH25+Basicinfo!AI25)*Parameters!$C$109+(Basicinfo!AJ25+Basicinfo!AK25)*Parameters!$C$108)/(Basicinfo!AH25+Basicinfo!AI25+Basicinfo!AJ25+Basicinfo!AK25))</f>
        <v>90</v>
      </c>
      <c r="DG25" s="42">
        <f>Intermediate!AC25*Intermediate!CY25*(1-Parameters!$C$102/100*Basicinfo!BZ25/100)*(1-Parameters!$C$104/100*Basicinfo!CA25/100)*86400*365/1000000</f>
        <v>1.1150308228834267</v>
      </c>
      <c r="DH25" s="42">
        <f>Intermediate!AC25*Intermediate!CZ25*(1-Parameters!$C$103/100*Basicinfo!BZ25/100)*(1-Parameters!$C$105/100*Basicinfo!CA25/100)*86400*365/1000000</f>
        <v>0.27677964210720002</v>
      </c>
      <c r="DI25" s="42">
        <f>(Intermediate!AK25*Intermediate!DA25+(Intermediate!AE25+Intermediate!AL25)*Intermediate!DC25)*86400*365/1000000</f>
        <v>3.0929751022168364</v>
      </c>
      <c r="DJ25" s="42">
        <f>(Intermediate!AK25*Intermediate!DB25+(Intermediate!AE25+Intermediate!AL25)*Intermediate!DD25)*86400*365/1000000</f>
        <v>0.58668594997017653</v>
      </c>
      <c r="DK25" s="42">
        <f>((Basicinfo!AZ25+Basicinfo!BA25)*Intermediate!AB25+Parameters!$C$76*100)/1000*Intermediate!U25*(1-Intermediate!DE25/100)+(1-Parameters!$C$110/100)*M25*Parameters!$C$100*(1-DE25/100)*365/1000000+(1-Parameters!$C$112/100)*P25*Parameters!$C$96*365/1000000+(1-Parameters!$C$112/100)*O25*Parameters!$C$96*(1-DE25/100)*365/1000000</f>
        <v>0.54770085727166284</v>
      </c>
      <c r="DL25" s="42">
        <f>Parameters!$C$77*100/1000*Intermediate!U25*(1-Intermediate!DF25/100)+(1-Parameters!$C$111/100)*M25*Parameters!$C$101*(1-DF25/100)*365/1000000+(1-Parameters!$C$113/100)*P25*Parameters!$C$97*365/1000000+(1-Parameters!$C$113/100)*O25*Parameters!$C$97*(1-DF25/100)*365/1000000</f>
        <v>8.7099657434212011E-2</v>
      </c>
      <c r="DM25" s="31"/>
      <c r="DN25" s="31"/>
      <c r="DO25" s="31"/>
      <c r="DP25" s="31"/>
      <c r="DQ25" s="31"/>
      <c r="DR25" s="31"/>
      <c r="DS25" s="31"/>
      <c r="DT25" s="188">
        <f>BO25*(Basicinfo!$P25+Basicinfo!$Q25)/1000</f>
        <v>88.519380107117072</v>
      </c>
      <c r="DU25" s="188">
        <f>DT25*Basicinfo!$AZ25/(Basicinfo!$AZ25+Basicinfo!$BA25)</f>
        <v>54.706276709331974</v>
      </c>
      <c r="DV25" s="188">
        <f>DT25*Basicinfo!$BC25/(Basicinfo!$BB25+Basicinfo!$BC25)</f>
        <v>32.332464995470581</v>
      </c>
      <c r="DW25" s="188">
        <f>BP25*(Basicinfo!$P25+Basicinfo!$Q25)/1000</f>
        <v>95.502174982126618</v>
      </c>
      <c r="DX25" s="188">
        <f>DW25*Basicinfo!$BB25/(Basicinfo!$BB25+Basicinfo!$BC25)</f>
        <v>60.619184095110114</v>
      </c>
      <c r="DY25" s="188">
        <f>DW25*Basicinfo!$BC25/(Basicinfo!$BB25+Basicinfo!$BC25)</f>
        <v>34.882990887016504</v>
      </c>
      <c r="DZ25" s="188">
        <f t="shared" si="10"/>
        <v>206.45899184086414</v>
      </c>
      <c r="EA25" s="188">
        <f>DZ25*Basicinfo!$AZ25/(Basicinfo!$AZ25+Basicinfo!$BA25)</f>
        <v>127.59468856546958</v>
      </c>
      <c r="EB25" s="188">
        <f>DZ25*Basicinfo!$BC25/(Basicinfo!$BB25+Basicinfo!$BC25)</f>
        <v>75.410922654644551</v>
      </c>
      <c r="EC25" s="188">
        <f t="shared" si="11"/>
        <v>222.74537780946756</v>
      </c>
      <c r="ED25" s="188">
        <f>EC25*Basicinfo!$AZ25/(Basicinfo!$AZ25+Basicinfo!$BA25)</f>
        <v>137.65991424051657</v>
      </c>
      <c r="EE25" s="188">
        <f>EC25*Basicinfo!$BC25/(Basicinfo!$BB25+Basicinfo!$BC25)</f>
        <v>81.359665219214932</v>
      </c>
      <c r="EF25" s="190">
        <f>(Basicinfo!BP25-BL25/100)*Intermediate!X25/10</f>
        <v>478.86459157594055</v>
      </c>
      <c r="EG25" s="191">
        <f>(Basicinfo!BQ25-BM25/100)*Intermediate!X25/10</f>
        <v>507.40267414985885</v>
      </c>
      <c r="EH25" s="197">
        <f>IF(AU25=0,0,$BS25*((Basicinfo!$P25+Basicinfo!$Q25)*Intermediate!$AT25*1000+$AW25*3600*24*365)/1000000*Basicinfo!AZ25/(Basicinfo!$AZ25+Basicinfo!$BA25))</f>
        <v>3.2071500911452344</v>
      </c>
      <c r="EI25" s="197">
        <f>IF(AU25=0,0,$BS25*((Basicinfo!$P25+Basicinfo!$Q25)*Intermediate!$AT25*1000+$AW25*3600*24*365)/1000000*Basicinfo!BA25/(Basicinfo!$AZ25+Basicinfo!$BA25))</f>
        <v>1.9822898608197739</v>
      </c>
      <c r="EJ25" s="198">
        <f>IF(AU25=0,0,$BS25*($AT25*$X25*1000)/1000000*Basicinfo!AZ25/(Basicinfo!$AZ25+Basicinfo!$BA25))</f>
        <v>7.4802260668671723</v>
      </c>
      <c r="EK25" s="198">
        <f>IF(AU25=0,0,$BS25*($AT25*$X25*1000)/1000000*Basicinfo!BA25/(Basicinfo!$AZ25+Basicinfo!$BA25))</f>
        <v>4.6234120223839232</v>
      </c>
      <c r="EL25" s="147">
        <f>Parameters!$C$150/Basicinfo!$AV25*100</f>
        <v>0.10392960532529727</v>
      </c>
      <c r="EM25" s="147">
        <f>Parameters!$C$151/Basicinfo!$AV25*100</f>
        <v>0.20785921065059454</v>
      </c>
      <c r="EN25" s="147">
        <f>(Parameters!$C$150+Parameters!$C$151)/Intermediate!$BB25*100</f>
        <v>1.1206750423084253</v>
      </c>
      <c r="EO25" s="193">
        <f>IF(EN25=0,0,(1/(1+Parameters!$C$116*$BB25^Parameters!$C$120)*Basicinfo!$AH25/Basicinfo!$G25+1/(1+Parameters!$C$117*$BB25^Parameters!$C$121)*Basicinfo!$AI25/Basicinfo!$G25)*(EN25)^Parameters!$C$124+(1/(1+Parameters!$C$118*$BB25^Parameters!$C$122)*Basicinfo!$AJ25/Basicinfo!AW25+1/(1+Parameters!$C$119*$BB25^Parameters!$C$123)*Basicinfo!$AK25/Basicinfo!$G25)*(EN25)^Parameters!$C$125)</f>
        <v>0.65963816257587427</v>
      </c>
      <c r="EP25" s="199">
        <f>EL25*($AT25*Basicinfo!$P25*1000+$AW25*3600*24*365)/1000000</f>
        <v>0.32078315464816415</v>
      </c>
      <c r="EQ25" s="199">
        <f>EM25*($AT25*Basicinfo!$P25*1000+$AW25*3600*24*365)/1000000</f>
        <v>0.6415663092963283</v>
      </c>
      <c r="ER25" s="199">
        <f t="shared" si="12"/>
        <v>0.74818154655002067</v>
      </c>
      <c r="ES25" s="199">
        <f t="shared" si="13"/>
        <v>1.4963630931000413</v>
      </c>
      <c r="ET25" s="181">
        <f t="shared" si="14"/>
        <v>33.200137377712664</v>
      </c>
      <c r="EU25" s="147">
        <f>Intermediate!F25*(Parameters!$C$150)/1000*100</f>
        <v>0.12098064617897389</v>
      </c>
      <c r="EV25" s="147">
        <f>Intermediate!F25*(Parameters!$C$151)/1000*100</f>
        <v>0.24196129235794778</v>
      </c>
      <c r="EW25" s="181">
        <f>'Local emissions'!$S25*Basicinfo!AZ25/(Basicinfo!$AZ25+Basicinfo!$BA25)-Intermediate!EU25</f>
        <v>1.0932628244509708</v>
      </c>
      <c r="EX25" s="147">
        <f>'Local emissions'!$S25*Basicinfo!BA25/(Basicinfo!$AZ25+Basicinfo!$BA25)-Intermediate!EV25</f>
        <v>0.50854381404224847</v>
      </c>
      <c r="EY25" s="188">
        <f t="shared" si="15"/>
        <v>2.8863669364970703</v>
      </c>
      <c r="EZ25" s="188">
        <f t="shared" si="16"/>
        <v>1.3407235515234457</v>
      </c>
      <c r="FA25" s="188">
        <f t="shared" si="17"/>
        <v>6.7320445203171513</v>
      </c>
      <c r="FB25" s="181">
        <f t="shared" si="18"/>
        <v>3.1270489292838821</v>
      </c>
      <c r="FC25" s="181">
        <f>'Local emissions'!Y25-Intermediate!ET25</f>
        <v>147.34645583617066</v>
      </c>
      <c r="FD25" s="188">
        <f t="shared" si="19"/>
        <v>10.818166870955409</v>
      </c>
      <c r="FE25" s="188">
        <f t="shared" si="20"/>
        <v>6.2252572680898588</v>
      </c>
      <c r="FF25" s="181">
        <f t="shared" si="21"/>
        <v>12.283470537633388</v>
      </c>
      <c r="FG25" s="201">
        <f t="shared" si="22"/>
        <v>7.2597680754460443</v>
      </c>
      <c r="FH25" s="181">
        <f t="shared" si="23"/>
        <v>110.75979308404598</v>
      </c>
      <c r="FJ25" s="147">
        <f>AVERAGE(Parameters!$C$132:$C$134)*'Local emissions'!J25*3600*24*365/1000000</f>
        <v>2.51654158759302E-2</v>
      </c>
      <c r="FK25" s="147">
        <f>'Local emissions'!AJ25+CT25*BJ25/100*Intermediate!X25*100/1000000</f>
        <v>1.4292747914495907</v>
      </c>
      <c r="FL25" s="31">
        <f>(Parameters!$C$18*(Basicinfo!AH25+Basicinfo!AI25)+Parameters!$C$19*Basicinfo!AJ25+Parameters!$C$20*Basicinfo!AK25)/Basicinfo!G25</f>
        <v>3.5000000000000003E-2</v>
      </c>
      <c r="FM25" s="181">
        <f t="shared" si="32"/>
        <v>0.36266478547726738</v>
      </c>
    </row>
    <row r="26" spans="1:169">
      <c r="A26" s="39" t="str">
        <f>Basicinfo!A26</f>
        <v>Innbach</v>
      </c>
      <c r="B26" s="63">
        <f>Basicinfo!B26</f>
        <v>1180</v>
      </c>
      <c r="C26" s="63">
        <f>Basicinfo!C26</f>
        <v>5000</v>
      </c>
      <c r="D26" s="61">
        <f>Basicinfo!U26*Basicinfo!V26/1000+Basicinfo!Y26</f>
        <v>2.8574827107384659</v>
      </c>
      <c r="E26" s="19">
        <f>Basicinfo!W26*Basicinfo!X26/1000+Basicinfo!Z26</f>
        <v>0</v>
      </c>
      <c r="F26" s="19">
        <f t="shared" si="0"/>
        <v>2.8574827107384659</v>
      </c>
      <c r="G26" s="19">
        <f>SUM(Basicinfo!H26:L26)</f>
        <v>164.66755099042564</v>
      </c>
      <c r="H26" s="19">
        <f>IF(Basicinfo!N26&lt;Parameters!$C$68,Parameters!$C$69,Basicinfo!BS26/(Basicinfo!N26*100))</f>
        <v>23.522508895214639</v>
      </c>
      <c r="I26" s="19">
        <f>IF(Basicinfo!N26=0,0,Basicinfo!BU26*(1-Basicinfo!BX26/100))</f>
        <v>19716.100441325849</v>
      </c>
      <c r="J26" s="19">
        <f>IF(Basicinfo!N26=0,0,Basicinfo!BU26*Basicinfo!BX26/100)</f>
        <v>17484.089070609716</v>
      </c>
      <c r="K26" s="19">
        <f>IF(Basicinfo!N26=0,0,Basicinfo!BT26-Basicinfo!BU26)</f>
        <v>0</v>
      </c>
      <c r="L26" s="27">
        <f>Basicinfo!BV26*Basicinfo!BW26/100</f>
        <v>2182.8266666666677</v>
      </c>
      <c r="M26" s="27">
        <f>Basicinfo!BV26-Intermediate!L26</f>
        <v>2182.8266666666677</v>
      </c>
      <c r="N26" s="73">
        <f>Basicinfo!BS26-SUM(I26:K26)-Basicinfo!BV26</f>
        <v>0</v>
      </c>
      <c r="O26" s="19">
        <f>IF(Basicinfo!AH26+Basicinfo!AI26+Basicinfo!AJ26+Basicinfo!AK26=0,0,N26*(Basicinfo!AH26+Basicinfo!AI26)/SUM(Basicinfo!AH26:AK26))</f>
        <v>0</v>
      </c>
      <c r="P26" s="73">
        <f t="shared" si="25"/>
        <v>0</v>
      </c>
      <c r="Q26" s="19">
        <f>IF(Basicinfo!BS26=0,Basicinfo!N26,IF(H26&gt;Parameters!$C$70,Parameters!$C$64*(Parameters!$C$65*Parameters!$C$70)^(Parameters!$C$66-Parameters!$C$67*LOG(Parameters!$C$65*Parameters!$C$70,10))/100*Basicinfo!N26,Parameters!$C$64*(Parameters!$C$65*H26)^(Parameters!$C$66-Parameters!$C$67*LOG(Parameters!$C$65*H26,10))/100*Basicinfo!N26))</f>
        <v>5.660123667267988</v>
      </c>
      <c r="R26" s="19">
        <f>IF(Basicinfo!BS26=0,Q26*(1-Basicinfo!BX26/100),IF(H26&lt;Parameters!$C$75,Q26*Basicinfo!BU26/Basicinfo!BS26*(1-Basicinfo!BX26/100)*(-Parameters!$C$74+Parameters!$C$73*LN(H26*100)),Q26*Basicinfo!BU26/Basicinfo!BS26*(1-Basicinfo!BX26/100)))</f>
        <v>1.6172934331862601</v>
      </c>
      <c r="S26" s="19">
        <f>IF(Basicinfo!BS26=0,Q26*Basicinfo!BX26/100,Q26*Basicinfo!BU26/Basicinfo!BS26*Basicinfo!BX26/100)</f>
        <v>2.3808516699052973</v>
      </c>
      <c r="T26" s="19">
        <f>IF(Basicinfo!BS26=0,0,IF(H26&lt;Parameters!$C$75,Q26*K26/Basicinfo!BS26*(-Parameters!$C$74+Parameters!$C$73*LN(H26*100)),Q26*K26/Basicinfo!BS26))</f>
        <v>0</v>
      </c>
      <c r="U26" s="19">
        <f t="shared" si="26"/>
        <v>1.6619785641764304</v>
      </c>
      <c r="V26" s="19">
        <f>IF(Basicinfo!AL26&gt;Parameters!$C$14,Basicinfo!Q26,0)</f>
        <v>0</v>
      </c>
      <c r="W26" s="19">
        <f>IF(Basicinfo!AL26&gt;Parameters!$C$14,0,Basicinfo!Q26)</f>
        <v>0</v>
      </c>
      <c r="X26" s="19">
        <f>G26+Basicinfo!M26</f>
        <v>198.97503671037956</v>
      </c>
      <c r="Y26" s="19">
        <f>IF(Basicinfo!G26-F26-Q26-V26-Basicinfo!O26-Basicinfo!R26-Basicinfo!S26&lt;0,0,Basicinfo!G26-F26-Q26-V26-Basicinfo!O26-Basicinfo!R26-Basicinfo!S26)</f>
        <v>292.96844341132169</v>
      </c>
      <c r="Z26" s="19">
        <f>Basicinfo!G26-F26-Basicinfo!BO26-Q26-Basicinfo!O26</f>
        <v>283.72146753620331</v>
      </c>
      <c r="AA26" s="53">
        <f>IF(Z26+Basicinfo!BO26-X26&gt;0,Z26+Basicinfo!BO26-X26,0)</f>
        <v>94.05673799954738</v>
      </c>
      <c r="AB26" s="56">
        <f>IF(Basicinfo!N26=0,0,Parameters!$C$71+Parameters!$C$72*Q26/Basicinfo!N26)</f>
        <v>0.39023386787851533</v>
      </c>
      <c r="AC26" s="43">
        <f>Basicinfo!AU26*AB26*R26/1000/86.4/0.365</f>
        <v>1.6963137059740126E-2</v>
      </c>
      <c r="AD26" s="43">
        <f>Basicinfo!AU26*AB26*S26/1000/86.4/0.365</f>
        <v>2.4971790750394681E-2</v>
      </c>
      <c r="AE26" s="43">
        <f>Basicinfo!AU26*AB26*T26/1000/86.4/0.365</f>
        <v>0</v>
      </c>
      <c r="AF26" s="43">
        <f>Basicinfo!AU26*AB26*U26/1000/86.4/0.365</f>
        <v>1.7431821335558491E-2</v>
      </c>
      <c r="AG26" s="43">
        <f>((Parameters!$C$80+Parameters!$C$81*Parameters!$C$89)/(Parameters!$C$82+Parameters!$C$89)/(Parameters!$C$90/100*Parameters!$C$91+(Parameters!$C$83+Parameters!$C$84*Parameters!$C$89)/(Parameters!$C$85+Parameters!$C$89)))-Parameters!$C$86+(Basicinfo!AU26-Parameters!$C$88)/Parameters!$C$87</f>
        <v>72.579058766015791</v>
      </c>
      <c r="AH26" s="43">
        <f>((Parameters!$C$80+Parameters!$C$81*Parameters!$C$89)/(Parameters!$C$82+Parameters!$C$89)/(Basicinfo!BY26/100*Parameters!$C$91+(Parameters!$C$83+Parameters!$C$84*Parameters!$C$89)/(Parameters!$C$85+Parameters!$C$89)))-Parameters!$C$86+(Basicinfo!AU26-Parameters!$C$88)/Parameters!$C$87</f>
        <v>54.77617689940022</v>
      </c>
      <c r="AI26" s="43">
        <f>Basicinfo!AU26^Parameters!$C$79*Parameters!$C$78*AH26/AG26</f>
        <v>18.943452032904712</v>
      </c>
      <c r="AJ26" s="43">
        <f>(J26*Parameters!$C$92/1000+Parameters!$C$94/100*S26*100*Parameters!$C$93/1000*86400*Parameters!$C$95/24)/86400</f>
        <v>2.6386440185053133E-2</v>
      </c>
      <c r="AK26" s="43">
        <f t="shared" si="1"/>
        <v>1.4428726152607273E-2</v>
      </c>
      <c r="AL26" s="43">
        <f>(K26*Parameters!$C$92/1000+Parameters!$C$94/100*T26*100*Parameters!$C$93/1000*86400*Parameters!$C$95/24)/86400</f>
        <v>0</v>
      </c>
      <c r="AM26" s="43">
        <f>(Intermediate!N26+Basicinfo!BV26-Intermediate!L26)*Parameters!$C$92/1000/86400</f>
        <v>3.2843456790123469E-3</v>
      </c>
      <c r="AN26" s="43">
        <f t="shared" si="2"/>
        <v>3.0641729336124378E-2</v>
      </c>
      <c r="AO26" s="43">
        <f t="shared" si="27"/>
        <v>1.4428726152607273E-2</v>
      </c>
      <c r="AP26" s="43">
        <f t="shared" si="28"/>
        <v>2.0716167014570838E-2</v>
      </c>
      <c r="AQ26" s="43">
        <f t="shared" si="3"/>
        <v>5.2108030226918234E-2</v>
      </c>
      <c r="AR26" s="61">
        <f>(Basicinfo!AU26-Basicinfo!AY26)*F26/1000/86.4/0.365</f>
        <v>1.0117071370521865E-2</v>
      </c>
      <c r="AS26" s="19">
        <f>IF(Basicinfo!AP26-Basicinfo!CB26-Basicinfo!CG26&lt;0,0,(Basicinfo!AP26-Basicinfo!CB26-Basicinfo!CG26)/Basicinfo!G26*1000)</f>
        <v>10.853950700855988</v>
      </c>
      <c r="AT26" s="19">
        <f>Parameters!$C$3*((AS26*86.4*0.365)^Parameters!$C$4)</f>
        <v>61.308194317770749</v>
      </c>
      <c r="AU26" s="19">
        <f>IF(AT26/86.4/0.365*(Basicinfo!G26/1000)-AN26&lt;0,0,AT26/86.4/0.365*(Basicinfo!G26/1000)-AN26)</f>
        <v>0.55642043528109053</v>
      </c>
      <c r="AV26" s="19">
        <f>IF(Basicinfo!AU26&gt;Parameters!$C$13,Parameters!$C$11*(Basicinfo!AU26-Parameters!$C$13)^Parameters!$C$12,0)</f>
        <v>40.617214675177443</v>
      </c>
      <c r="AW26" s="19">
        <f>IF(AV26*V26/1000/86.4/0.365&gt;Basicinfo!AP26*Parameters!$C$15,Basicinfo!AP26*Parameters!$C$15,AV26*V26/1000/86.4/0.365)</f>
        <v>0</v>
      </c>
      <c r="AX26" s="19">
        <f>Basicinfo!AU26-Basicinfo!AW26</f>
        <v>318.29320243185725</v>
      </c>
      <c r="AY26" s="19">
        <f>Parameters!$C$56*AX26+Parameters!$C$57*Basicinfo!AW26</f>
        <v>212.07885175941433</v>
      </c>
      <c r="AZ26" s="19">
        <f>AY26*Basicinfo!BO26/1000/86.4/0.365</f>
        <v>6.2611594841791865E-2</v>
      </c>
      <c r="BA26" s="19">
        <f>IF(Basicinfo!AP26-AQ26-AR26-AU26-AW26-AZ26-Basicinfo!CB26-Basicinfo!CG26&lt;0,0,Basicinfo!AP26-AQ26-AR26-AU26-AW26-AZ26-Basicinfo!CB26-Basicinfo!CG26)</f>
        <v>2.5963735617795933</v>
      </c>
      <c r="BB26" s="53">
        <f t="shared" si="4"/>
        <v>288.59020558193521</v>
      </c>
      <c r="BC26" s="56">
        <f>IF(G26=0,0,((Basicinfo!H26*Basicinfo!BE26+Basicinfo!I26*Basicinfo!BF26+Basicinfo!J26*Basicinfo!BG26+Basicinfo!K26*Basicinfo!BH26+Basicinfo!L26*Basicinfo!BI26)*(1-Basicinfo!BN26/G26*Parameters!$C$26/100)/G26)*Basicinfo!BM26)</f>
        <v>11.327317143524656</v>
      </c>
      <c r="BD26" s="43">
        <f>IF(Basicinfo!AW26*Parameters!$C$39-Parameters!$C$40&lt;0,0.001,(Basicinfo!AW26*Parameters!$C$39-Parameters!$C$40)/(Basicinfo!AX26*Parameters!$C$39-Parameters!$C$40))</f>
        <v>1.0669264120652853</v>
      </c>
      <c r="BE26" s="43">
        <f>(BC26*G26*100+Basicinfo!BJ26*Basicinfo!M26*100)*Parameters!$C$29*BD26</f>
        <v>200433.49568393821</v>
      </c>
      <c r="BF26" s="43">
        <f>(Basicinfo!BK26*Basicinfo!P26*100)*BD26*Parameters!$C$29</f>
        <v>5842.5461533279704</v>
      </c>
      <c r="BG26" s="43">
        <f>Parameters!$C$27*(V26+W26)*100</f>
        <v>0</v>
      </c>
      <c r="BH26" s="43">
        <f>Parameters!$C$28*Basicinfo!R26*100</f>
        <v>0</v>
      </c>
      <c r="BI26" s="43">
        <f t="shared" si="29"/>
        <v>5842.5461533279704</v>
      </c>
      <c r="BJ26" s="43">
        <f>IF(Basicinfo!AM26&lt;Parameters!$C$33,0,Parameters!$C$30*(((Basicinfo!AM26-Parameters!$C$33)^Parameters!$C$31)*(((G26-Basicinfo!BN26)/Basicinfo!G26*100+Parameters!$C$34))^Parameters!$C$32))</f>
        <v>5.3873203405830861</v>
      </c>
      <c r="BK26" s="58">
        <f t="shared" si="30"/>
        <v>16640.540635650494</v>
      </c>
      <c r="BL26" s="61">
        <f>Basicinfo!AZ26+Basicinfo!BA26</f>
        <v>1599.1616435329299</v>
      </c>
      <c r="BM26" s="19">
        <f>Basicinfo!BB26+Basicinfo!BC26</f>
        <v>1727.2067823447574</v>
      </c>
      <c r="BN26" s="172">
        <f>IF(Basicinfo!AO26=0,0,IF(Basicinfo!AO26="NA",1,IF(OR(Basicinfo!AO26="SA",Basicinfo!AN26="S"),3,IF(Basicinfo!AN26="N",1,IF(Basicinfo!AO26="ZA",2,0)))))</f>
        <v>0</v>
      </c>
      <c r="BO26" s="27">
        <f>IF($BN26=1,(BL26)*(1+Parameters!$C$21*Parameters!$C$22-Parameters!$C$22*Basicinfo!$AL26),IF($BN26=2,(BL26)*(1+Parameters!$C$21*Parameters!$C$23-Parameters!$C$23*Basicinfo!$AL26),IF($BN26=3,(BL26)*(1+Parameters!$C$21*Parameters!$C$24-Parameters!$C$24*Basicinfo!$AL26),BL26)))</f>
        <v>1599.1616435329299</v>
      </c>
      <c r="BP26" s="27">
        <f>IF($BN26=1,(BM26)*(1+Parameters!$C$21*Parameters!$C$22-Parameters!$C$22*Basicinfo!$AL26),IF($BN26=2,(BM26)*(1+Parameters!$C$21*Parameters!$C$23-Parameters!$C$23*Basicinfo!$AL26),IF($BN26=3,(BM26)*(1+Parameters!$C$21*Parameters!$C$24-Parameters!$C$24*Basicinfo!$AL26),BM26)))</f>
        <v>1727.2067823447574</v>
      </c>
      <c r="BQ26" s="27">
        <f>IF(Basicinfo!AU26=0,0,IF(G26+Basicinfo!M26=0,0,(Parameters!$C$16+BO26/Basicinfo!AU26)*G26+(Parameters!$C$17+BO26/Basicinfo!AU26)*Basicinfo!M26)/(G26+Basicinfo!M26))</f>
        <v>2.1349324944768471</v>
      </c>
      <c r="BR26" s="27">
        <f>IF(Basicinfo!AU26=0,0,IF(G26+Basicinfo!M26=0,0,(Parameters!$C$16+BP26/Basicinfo!AU26)*G26+(Parameters!$C$17+BP26/Basicinfo!AU26)*Basicinfo!M26)/(G26+Basicinfo!M26))</f>
        <v>2.2859975793064948</v>
      </c>
      <c r="BS26" s="27">
        <f>IF(Basicinfo!AU26=0,0,BO26/Basicinfo!AU26)</f>
        <v>1.886658810934158</v>
      </c>
      <c r="BT26" s="27">
        <f>IF(Basicinfo!AU26=0,0,BP26/Basicinfo!AU26)</f>
        <v>2.037723895763806</v>
      </c>
      <c r="BU26" s="27">
        <f>IF(SUM(G26,Basicinfo!M26,Basicinfo!P26,W26)=0,0,(BQ26*(G26+Basicinfo!M26)+BS26*(Basicinfo!P26+W26))/SUM(G26,Basicinfo!M26,Basicinfo!P26,W26))</f>
        <v>2.0624868098402072</v>
      </c>
      <c r="BV26" s="19">
        <f>IF(Basicinfo!BR26/Parameters!$C$10&gt;1,1,Basicinfo!BR26/Parameters!$C$10)</f>
        <v>0.51292841783012866</v>
      </c>
      <c r="BW26" s="19">
        <f>Parameters!$C$5+Parameters!$C$6*EXP(BV26*Parameters!$C$8*Parameters!$C$7)</f>
        <v>3.5791622476595834E-2</v>
      </c>
      <c r="BX26" s="19">
        <f>Parameters!$C$5+Parameters!$C$6*EXP(BV26*Parameters!$C$9*Parameters!$C$7)</f>
        <v>3.5357467897024535E-2</v>
      </c>
      <c r="BY26" s="19">
        <f>IF(Basicinfo!AH26+Basicinfo!AI26+Basicinfo!AJ26+Basicinfo!AK26=0,0,(Parameters!$C$18*(Basicinfo!AH26+Basicinfo!AI26)+Parameters!$C$19*Basicinfo!AJ26+Parameters!$C$20*Basicinfo!AK26)/(Basicinfo!AH26+Basicinfo!AI26+Basicinfo!AJ26+Basicinfo!AK26))</f>
        <v>3.4451015279267999E-2</v>
      </c>
      <c r="BZ26" s="19">
        <f>IF(Basicinfo!AJ26+Basicinfo!AK26=0,Parameters!$C$18,(Parameters!$C$19*Basicinfo!AJ26+Parameters!$C$20*Basicinfo!AK26)/(Basicinfo!AJ26+Basicinfo!AK26))</f>
        <v>2.5000000000000001E-2</v>
      </c>
      <c r="CA26" s="19">
        <f>IF(SUM(G26,Basicinfo!M26,Basicinfo!P26,W26)=0,0,(BW26*G26+BX26*Basicinfo!M26+BY26*Basicinfo!P26+BZ26*W26)/(SUM(G26,Basicinfo!M26,Basicinfo!P26,W26)))</f>
        <v>3.5347422230098735E-2</v>
      </c>
      <c r="CB26" s="19">
        <f>IF(Y26=0,Basicinfo!BP26,Basicinfo!BP26-(AU26*X26/Y26*Intermediate!BQ26*86400*365/1000000)*1000/(X26*100))</f>
        <v>44.699050337841598</v>
      </c>
      <c r="CC26" s="19">
        <f>IF(Y26=0,Basicinfo!BQ26,Basicinfo!BQ26-(AU26*Basicinfo!AV26/Basicinfo!AU26*X26/Y26*Intermediate!BR26*86400*365/1000000)*1000/(X26*100))</f>
        <v>49.891037758370651</v>
      </c>
      <c r="CD26" s="19">
        <f>IF(OR(Y26=0,AA26=0),BP26/100,BP26/100-(AU26*Basicinfo!AV26/Basicinfo!AU26*(Basicinfo!P26+W26)/Y26*Intermediate!BT26*86400*365/1000000+AW26*Basicinfo!AV26/Basicinfo!AU26*Intermediate!BT26*86400*365/1000000)*1000/(AA26*100))</f>
        <v>16.196383613992868</v>
      </c>
      <c r="CE26" s="19">
        <f t="shared" si="5"/>
        <v>946257.0182744459</v>
      </c>
      <c r="CF26" s="19">
        <f t="shared" si="6"/>
        <v>152337.90101214894</v>
      </c>
      <c r="CG26" s="19">
        <f>IF(AY26=0,0,((CB26^Parameters!$C$58))/AY26*100)</f>
        <v>11.91944924081537</v>
      </c>
      <c r="CH26" s="19">
        <f>IF(SUM(Basicinfo!AB26:AG26)=0,0,(Parameters!$C$59*Basicinfo!AB26+Parameters!$C$60*SUM(Basicinfo!AC26:AE26)+Parameters!$C$61*Basicinfo!AF26+Parameters!$C$62*Basicinfo!AG26)/SUM(Basicinfo!AB26:AG26))</f>
        <v>8.7551647633567861E-2</v>
      </c>
      <c r="CI26" s="19">
        <f t="shared" si="31"/>
        <v>10</v>
      </c>
      <c r="CJ26" s="19">
        <f t="shared" si="8"/>
        <v>38.720895137989949</v>
      </c>
      <c r="CK26" s="19">
        <f t="shared" si="9"/>
        <v>13.417258932925391</v>
      </c>
      <c r="CL26" s="19">
        <f>IF($BB26=0,0,$CJ26^Parameters!$C$58*100/$BB26)</f>
        <v>7.7530394318438409</v>
      </c>
      <c r="CM26" s="19">
        <f>IF(CK26=0,0,(1/(1+Parameters!$C$116*BB26^Parameters!$C$120)*Basicinfo!AH26/Basicinfo!G26+1/(1+Parameters!$C$117*BB26^Parameters!$C$121)*Basicinfo!AI26/Basicinfo!G26)*(CK26)^Parameters!$C$124+(1/(1+Parameters!$C$118*BB26^Parameters!$C$122)*Basicinfo!AJ26/Basicinfo!G26+1/(1+Parameters!$C$119*BB26^Parameters!$C$123)*Basicinfo!AK26/Basicinfo!G26)*(CK26)^Parameters!$C$125)</f>
        <v>3.2668029190152001</v>
      </c>
      <c r="CN26" s="19">
        <f>IF(SUM(Basicinfo!AB26:AG26)=0,0,(Parameters!$C$128*Basicinfo!AB26+Parameters!$C$129*(SUM(Basicinfo!AC26:AE26))+Parameters!$C$130*Basicinfo!AF26+Parameters!$C$131*Basicinfo!AG26)/SUM(Basicinfo!AB26:AG26))</f>
        <v>1.4067194091022887E-2</v>
      </c>
      <c r="CO26" s="19">
        <f>IF(Basicinfo!AH26+Basicinfo!AI26+Basicinfo!AJ26+Basicinfo!AK26=0,0,(Parameters!$C$132*(Basicinfo!AH26+Basicinfo!AI26)+Parameters!$C$133*Basicinfo!AJ26+Parameters!$C$134*Basicinfo!AK26)/(Basicinfo!AH26+Basicinfo!AI26+Basicinfo!AJ26+Basicinfo!AK26))</f>
        <v>5.0000000000000001E-4</v>
      </c>
      <c r="CP26" s="19">
        <f>IF(Basicinfo!AJ26+Basicinfo!AK26=0,0,(Parameters!$C$133*Basicinfo!AJ26+Parameters!$C$134*Basicinfo!AK26)/(Basicinfo!AJ26+Basicinfo!AK26))</f>
        <v>5.0000000000000001E-4</v>
      </c>
      <c r="CQ26" s="19">
        <f>IF(Z26=0,0,(CN26*(Z26-AA26)+CO26*Basicinfo!P26+CP26*(Basicinfo!Q26+Basicinfo!R26))/Z26)</f>
        <v>9.548244684051686E-3</v>
      </c>
      <c r="CR26" s="289">
        <f>Basicinfo!EI26</f>
        <v>5.1301836155606406E-2</v>
      </c>
      <c r="CS26" s="19">
        <f>IF(SUM(Basicinfo!AB26:AG26)=0,0,(Basicinfo!AB26*Parameters!$C$43+(Basicinfo!AC26+Basicinfo!AD26)*Parameters!$C$44+Basicinfo!AE26*Parameters!$C$45+(Basicinfo!AF26+Basicinfo!AG26)*Parameters!$C$46)/SUM(Basicinfo!AB26:AG26))</f>
        <v>25.289130515842839</v>
      </c>
      <c r="CT26" s="19">
        <f>(Parameters!$C$41*CS26+Parameters!$C$42)</f>
        <v>532.9491312615969</v>
      </c>
      <c r="CU26" s="19">
        <f>CT26+Basicinfo!BR26/(Parameters!$C$47*Parameters!$C$49*Parameters!$C$48*10000/1000000)</f>
        <v>713.60316521434663</v>
      </c>
      <c r="CV26" s="19">
        <f>IF(BK26/Basicinfo!G26&lt;Parameters!$C$35,Parameters!$C$35,Parameters!$C$37*(BK26/Basicinfo!G26)^Parameters!$C$38)</f>
        <v>1.1637049220315927</v>
      </c>
      <c r="CW26" s="19">
        <f>IF(BK26/Basicinfo!G26&lt;Parameters!$C$35,Parameters!$C$36,Parameters!$C$36*(BK26/Basicinfo!G26)^Parameters!$C$38)</f>
        <v>2.7347065667742427</v>
      </c>
      <c r="CX26" s="27">
        <f>IF(Basicinfo!AJ26+Basicinfo!AK26=0,0,(Parameters!$C$53*Basicinfo!AJ26+Parameters!$C$54*Basicinfo!AK26)/(Basicinfo!AJ26+Basicinfo!AK26))</f>
        <v>750</v>
      </c>
      <c r="CY26" s="56">
        <f>IF(Basicinfo!AU26*AB26=0,0,((Basicinfo!AZ26+Basicinfo!BA26)/Basicinfo!AU26+Parameters!$C$76/(Basicinfo!AU26*AB26)*100))</f>
        <v>3.0959643341386132</v>
      </c>
      <c r="CZ26" s="43">
        <f>IF(Basicinfo!AU26*AB26=0,0,(Parameters!$C$77)/(Basicinfo!AU26*AB26)*100)</f>
        <v>0.7558159520027844</v>
      </c>
      <c r="DA26" s="43">
        <f>IF(AD26+AJ26=0,0,((J26*Parameters!$C$96+Parameters!$C$94/100*S26*100*Parameters!$C$93/1000*86400*Parameters!$C$95/24*Parameters!$C$98)*AI26+AD26*CY26*86400*365)/((AD26+AJ26*AI26/365)*86400*365))</f>
        <v>7.7198646280723517</v>
      </c>
      <c r="DB26" s="43">
        <f>IF(AD26+AJ26=0,0,((J26*Parameters!$C$97+Parameters!$C$94/100*S26*100*Parameters!$C$93/1000*86400*Parameters!$C$95/24*Parameters!$C$99)*AI26+AD26*CZ26*86400*365)/((AD26+AJ26*AI26/365)*86400*365))</f>
        <v>1.4949142003870621</v>
      </c>
      <c r="DC26" s="42">
        <f>IF(AE26+AL26=0,0,((K26*Parameters!$C$96+Parameters!$C$94/100*T26*100*Parameters!$C$93/1000*86400*Parameters!$C$95/24*Parameters!$C$98)*365+AE26*CY26*86400*365)/((AE26+AL26)*86400*365))</f>
        <v>0</v>
      </c>
      <c r="DD26" s="42">
        <f>IF(AE26+AL26=0,0,((K26*Parameters!$C$97+Parameters!$C$94/100*T26*100*Parameters!$C$93/1000*86400*Parameters!$C$95/24*Parameters!$C$99)*365+AE26*CZ26*86400*365)/((AE26+AL26)*86400*365))</f>
        <v>0</v>
      </c>
      <c r="DE26" s="42">
        <f>IF(Basicinfo!AH26+Basicinfo!AI26+Basicinfo!AJ26+Basicinfo!AK26=0,0,((Basicinfo!AH26+Basicinfo!AI26)*Parameters!$C$107+(Basicinfo!AJ26+Basicinfo!AK26)*Parameters!$C$106)/(Basicinfo!AH26+Basicinfo!AI26+Basicinfo!AJ26+Basicinfo!AK26))</f>
        <v>87.804061117071981</v>
      </c>
      <c r="DF26" s="42">
        <f>IF(Basicinfo!AH26+Basicinfo!AI26+Basicinfo!AJ26+Basicinfo!AK26=0,0,((Basicinfo!AH26+Basicinfo!AI26)*Parameters!$C$109+(Basicinfo!AJ26+Basicinfo!AK26)*Parameters!$C$108)/(Basicinfo!AH26+Basicinfo!AI26+Basicinfo!AJ26+Basicinfo!AK26))</f>
        <v>87.804061117071981</v>
      </c>
      <c r="DG26" s="42">
        <f>Intermediate!AC26*Intermediate!CY26*(1-Parameters!$C$102/100*Basicinfo!BZ26/100)*(1-Parameters!$C$104/100*Basicinfo!CA26/100)*86400*365/1000000</f>
        <v>1.6561845425838559</v>
      </c>
      <c r="DH26" s="42">
        <f>Intermediate!AC26*Intermediate!CZ26*(1-Parameters!$C$103/100*Basicinfo!BZ26/100)*(1-Parameters!$C$105/100*Basicinfo!CA26/100)*86400*365/1000000</f>
        <v>0.40432335829656502</v>
      </c>
      <c r="DI26" s="42">
        <f>(Intermediate!AK26*Intermediate!DA26+(Intermediate!AE26+Intermediate!AL26)*Intermediate!DC26)*86400*365/1000000</f>
        <v>3.5127260598456758</v>
      </c>
      <c r="DJ26" s="42">
        <f>(Intermediate!AK26*Intermediate!DB26+(Intermediate!AE26+Intermediate!AL26)*Intermediate!DD26)*86400*365/1000000</f>
        <v>0.68022229947369206</v>
      </c>
      <c r="DK26" s="42">
        <f>((Basicinfo!AZ26+Basicinfo!BA26)*Intermediate!AB26+Parameters!$C$76*100)/1000*Intermediate!U26*(1-Intermediate!DE26/100)+(1-Parameters!$C$110/100)*M26*Parameters!$C$100*(1-DE26/100)*365/1000000+(1-Parameters!$C$112/100)*P26*Parameters!$C$96*365/1000000+(1-Parameters!$C$112/100)*O26*Parameters!$C$96*(1-DE26/100)*365/1000000</f>
        <v>0.9946362902912661</v>
      </c>
      <c r="DL26" s="42">
        <f>Parameters!$C$77*100/1000*Intermediate!U26*(1-Intermediate!DF26/100)+(1-Parameters!$C$111/100)*M26*Parameters!$C$101*(1-DF26/100)*365/1000000+(1-Parameters!$C$113/100)*P26*Parameters!$C$97*365/1000000+(1-Parameters!$C$113/100)*O26*Parameters!$C$97*(1-DF26/100)*365/1000000</f>
        <v>0.15579703267899311</v>
      </c>
      <c r="DM26" s="31"/>
      <c r="DN26" s="31"/>
      <c r="DO26" s="31"/>
      <c r="DP26" s="31"/>
      <c r="DQ26" s="31"/>
      <c r="DR26" s="31"/>
      <c r="DS26" s="31"/>
      <c r="DT26" s="188">
        <f>BO26*(Basicinfo!$P26+Basicinfo!$Q26)/1000</f>
        <v>131.10385006581333</v>
      </c>
      <c r="DU26" s="188">
        <f>DT26*Basicinfo!$AZ26/(Basicinfo!$AZ26+Basicinfo!$BA26)</f>
        <v>81.070287450722574</v>
      </c>
      <c r="DV26" s="188">
        <f>DT26*Basicinfo!$BC26/(Basicinfo!$BB26+Basicinfo!$BC26)</f>
        <v>47.887536034362185</v>
      </c>
      <c r="DW26" s="188">
        <f>BP26*(Basicinfo!$P26+Basicinfo!$Q26)/1000</f>
        <v>141.60135714918431</v>
      </c>
      <c r="DX26" s="188">
        <f>DW26*Basicinfo!$BB26/(Basicinfo!$BB26+Basicinfo!$BC26)</f>
        <v>89.879458138650577</v>
      </c>
      <c r="DY26" s="188">
        <f>DW26*Basicinfo!$BC26/(Basicinfo!$BB26+Basicinfo!$BC26)</f>
        <v>51.721899010533726</v>
      </c>
      <c r="DZ26" s="188">
        <f t="shared" si="10"/>
        <v>318.19324672779561</v>
      </c>
      <c r="EA26" s="188">
        <f>DZ26*Basicinfo!$AZ26/(Basicinfo!$AZ26+Basicinfo!$BA26)</f>
        <v>196.76018640300524</v>
      </c>
      <c r="EB26" s="188">
        <f>DZ26*Basicinfo!$BC26/(Basicinfo!$BB26+Basicinfo!$BC26)</f>
        <v>116.2245850211026</v>
      </c>
      <c r="EC26" s="188">
        <f t="shared" si="11"/>
        <v>343.67103292346468</v>
      </c>
      <c r="ED26" s="188">
        <f>EC26*Basicinfo!$AZ26/(Basicinfo!$AZ26+Basicinfo!$BA26)</f>
        <v>212.51480725856422</v>
      </c>
      <c r="EE26" s="188">
        <f>EC26*Basicinfo!$BC26/(Basicinfo!$BB26+Basicinfo!$BC26)</f>
        <v>125.53070687723734</v>
      </c>
      <c r="EF26" s="190">
        <f>(Basicinfo!BP26-BL26/100)*Intermediate!X26/10</f>
        <v>596.64946232891521</v>
      </c>
      <c r="EG26" s="191">
        <f>(Basicinfo!BQ26-BM26/100)*Intermediate!X26/10</f>
        <v>676.58347601238768</v>
      </c>
      <c r="EH26" s="197">
        <f>IF(AU26=0,0,$BS26*((Basicinfo!$P26+Basicinfo!$Q26)*Intermediate!$AT26*1000+$AW26*3600*24*365)/1000000*Basicinfo!AZ26/(Basicinfo!$AZ26+Basicinfo!$BA26))</f>
        <v>5.8638282541219677</v>
      </c>
      <c r="EI26" s="197">
        <f>IF(AU26=0,0,$BS26*((Basicinfo!$P26+Basicinfo!$Q26)*Intermediate!$AT26*1000+$AW26*3600*24*365)/1000000*Basicinfo!BA26/(Basicinfo!$AZ26+Basicinfo!$BA26))</f>
        <v>3.6189364481417639</v>
      </c>
      <c r="EJ26" s="198">
        <f>IF(AU26=0,0,$BS26*($AT26*$X26*1000)/1000000*Basicinfo!AZ26/(Basicinfo!$AZ26+Basicinfo!$BA26))</f>
        <v>14.23169914153257</v>
      </c>
      <c r="EK26" s="198">
        <f>IF(AU26=0,0,$BS26*($AT26*$X26*1000)/1000000*Basicinfo!BA26/(Basicinfo!$AZ26+Basicinfo!$BA26))</f>
        <v>8.7832747669708251</v>
      </c>
      <c r="EL26" s="147">
        <f>Parameters!$C$150/Basicinfo!$AV26*100</f>
        <v>0.11667654267713233</v>
      </c>
      <c r="EM26" s="147">
        <f>Parameters!$C$151/Basicinfo!$AV26*100</f>
        <v>0.23335308535426466</v>
      </c>
      <c r="EN26" s="147">
        <f>(Parameters!$C$150+Parameters!$C$151)/Intermediate!$BB26*100</f>
        <v>1.0395363189650084</v>
      </c>
      <c r="EO26" s="193">
        <f>IF(EN26=0,0,(1/(1+Parameters!$C$116*$BB26^Parameters!$C$120)*Basicinfo!$AH26/Basicinfo!$G26+1/(1+Parameters!$C$117*$BB26^Parameters!$C$121)*Basicinfo!$AI26/Basicinfo!$G26)*(EN26)^Parameters!$C$124+(1/(1+Parameters!$C$118*$BB26^Parameters!$C$122)*Basicinfo!$AJ26/Basicinfo!AW26+1/(1+Parameters!$C$119*$BB26^Parameters!$C$123)*Basicinfo!$AK26/Basicinfo!$G26)*(EN26)^Parameters!$C$125)</f>
        <v>0.63013837333572287</v>
      </c>
      <c r="EP26" s="199">
        <f>EL26*($AT26*Basicinfo!$P26*1000+$AW26*3600*24*365)/1000000</f>
        <v>0.5864421240706732</v>
      </c>
      <c r="EQ26" s="199">
        <f>EM26*($AT26*Basicinfo!$P26*1000+$AW26*3600*24*365)/1000000</f>
        <v>1.1728842481413464</v>
      </c>
      <c r="ER26" s="199">
        <f t="shared" si="12"/>
        <v>1.4233138338982358</v>
      </c>
      <c r="ES26" s="199">
        <f t="shared" si="13"/>
        <v>2.8466276677964717</v>
      </c>
      <c r="ET26" s="181">
        <f t="shared" si="14"/>
        <v>51.595248988998101</v>
      </c>
      <c r="EU26" s="147">
        <f>Intermediate!F26*(Parameters!$C$150)/1000*100</f>
        <v>0.28574827107384659</v>
      </c>
      <c r="EV26" s="147">
        <f>Intermediate!F26*(Parameters!$C$151)/1000*100</f>
        <v>0.57149654214769319</v>
      </c>
      <c r="EW26" s="181">
        <f>'Local emissions'!$S26*Basicinfo!AZ26/(Basicinfo!$AZ26+Basicinfo!$BA26)-Intermediate!EU26</f>
        <v>2.5399269498164934</v>
      </c>
      <c r="EX26" s="147">
        <f>'Local emissions'!$S26*Basicinfo!BA26/(Basicinfo!$AZ26+Basicinfo!$BA26)-Intermediate!EV26</f>
        <v>1.1724049850334237</v>
      </c>
      <c r="EY26" s="188">
        <f t="shared" si="15"/>
        <v>5.2773861300512941</v>
      </c>
      <c r="EZ26" s="188">
        <f t="shared" si="16"/>
        <v>2.4460522000004175</v>
      </c>
      <c r="FA26" s="188">
        <f t="shared" si="17"/>
        <v>12.808385307634333</v>
      </c>
      <c r="FB26" s="181">
        <f t="shared" si="18"/>
        <v>5.936647099174353</v>
      </c>
      <c r="FC26" s="181">
        <f>'Local emissions'!Y26-Intermediate!ET26</f>
        <v>215.97946424969757</v>
      </c>
      <c r="FD26" s="188">
        <f t="shared" si="19"/>
        <v>16.707853170505135</v>
      </c>
      <c r="FE26" s="188">
        <f t="shared" si="20"/>
        <v>9.6146762815883022</v>
      </c>
      <c r="FF26" s="181">
        <f t="shared" si="21"/>
        <v>19.75237874018406</v>
      </c>
      <c r="FG26" s="201">
        <f t="shared" si="22"/>
        <v>11.667563770017237</v>
      </c>
      <c r="FH26" s="181">
        <f t="shared" si="23"/>
        <v>158.23699228740284</v>
      </c>
      <c r="FJ26" s="147">
        <f>AVERAGE(Parameters!$C$132:$C$134)*'Local emissions'!J26*3600*24*365/1000000</f>
        <v>4.0939618322140631E-2</v>
      </c>
      <c r="FK26" s="147">
        <f>'Local emissions'!AJ26+CT26*BJ26/100*Intermediate!X26*100/1000000</f>
        <v>3.2004364665798546</v>
      </c>
      <c r="FL26" s="31">
        <f>(Parameters!$C$18*(Basicinfo!AH26+Basicinfo!AI26)+Parameters!$C$19*Basicinfo!AJ26+Parameters!$C$20*Basicinfo!AK26)/Basicinfo!G26</f>
        <v>3.4451015279267999E-2</v>
      </c>
      <c r="FM26" s="181">
        <f t="shared" si="32"/>
        <v>0.60452143386435508</v>
      </c>
    </row>
    <row r="27" spans="1:169">
      <c r="A27" s="39" t="str">
        <f>Basicinfo!A27</f>
        <v>Pesenbach</v>
      </c>
      <c r="B27" s="63">
        <f>Basicinfo!B27</f>
        <v>1190</v>
      </c>
      <c r="C27" s="63">
        <f>Basicinfo!C27</f>
        <v>5000</v>
      </c>
      <c r="D27" s="61">
        <f>Basicinfo!U27*Basicinfo!V27/1000+Basicinfo!Y27</f>
        <v>2.1451310807103878</v>
      </c>
      <c r="E27" s="19">
        <f>Basicinfo!W27*Basicinfo!X27/1000+Basicinfo!Z27</f>
        <v>0</v>
      </c>
      <c r="F27" s="19">
        <f t="shared" si="0"/>
        <v>2.1451310807103878</v>
      </c>
      <c r="G27" s="19">
        <f>SUM(Basicinfo!H27:L27)</f>
        <v>35.367672556559697</v>
      </c>
      <c r="H27" s="19">
        <f>IF(Basicinfo!N27&lt;Parameters!$C$68,Parameters!$C$69,Basicinfo!BS27/(Basicinfo!N27*100))</f>
        <v>18.044981461244443</v>
      </c>
      <c r="I27" s="19">
        <f>IF(Basicinfo!N27=0,0,Basicinfo!BU27*(1-Basicinfo!BX27/100))</f>
        <v>4842.5970349902154</v>
      </c>
      <c r="J27" s="19">
        <f>IF(Basicinfo!N27=0,0,Basicinfo!BU27*Basicinfo!BX27/100)</f>
        <v>3653.1872369224434</v>
      </c>
      <c r="K27" s="19">
        <f>IF(Basicinfo!N27=0,0,Basicinfo!BT27-Basicinfo!BU27)</f>
        <v>0</v>
      </c>
      <c r="L27" s="27">
        <f>Basicinfo!BV27*Basicinfo!BW27/100</f>
        <v>970.75999999999988</v>
      </c>
      <c r="M27" s="27">
        <f>Basicinfo!BV27-Intermediate!L27</f>
        <v>970.75999999999988</v>
      </c>
      <c r="N27" s="73">
        <f>Basicinfo!BS27-SUM(I27:K27)-Basicinfo!BV27</f>
        <v>0</v>
      </c>
      <c r="O27" s="19">
        <f>IF(Basicinfo!AH27+Basicinfo!AI27+Basicinfo!AJ27+Basicinfo!AK27=0,0,N27*(Basicinfo!AH27+Basicinfo!AI27)/SUM(Basicinfo!AH27:AK27))</f>
        <v>0</v>
      </c>
      <c r="P27" s="73">
        <f t="shared" si="25"/>
        <v>0</v>
      </c>
      <c r="Q27" s="19">
        <f>IF(Basicinfo!BS27=0,Basicinfo!N27,IF(H27&gt;Parameters!$C$70,Parameters!$C$64*(Parameters!$C$65*Parameters!$C$70)^(Parameters!$C$66-Parameters!$C$67*LOG(Parameters!$C$65*Parameters!$C$70,10))/100*Basicinfo!N27,Parameters!$C$64*(Parameters!$C$65*H27)^(Parameters!$C$66-Parameters!$C$67*LOG(Parameters!$C$65*H27,10))/100*Basicinfo!N27))</f>
        <v>1.6222925799635834</v>
      </c>
      <c r="R27" s="19">
        <f>IF(Basicinfo!BS27=0,Q27*(1-Basicinfo!BX27/100),IF(H27&lt;Parameters!$C$75,Q27*Basicinfo!BU27/Basicinfo!BS27*(1-Basicinfo!BX27/100)*(-Parameters!$C$74+Parameters!$C$73*LN(H27*100)),Q27*Basicinfo!BU27/Basicinfo!BS27*(1-Basicinfo!BX27/100)))</f>
        <v>0.42847532120376514</v>
      </c>
      <c r="S27" s="19">
        <f>IF(Basicinfo!BS27=0,Q27*Basicinfo!BX27/100,Q27*Basicinfo!BU27/Basicinfo!BS27*Basicinfo!BX27/100)</f>
        <v>0.56782272445822779</v>
      </c>
      <c r="T27" s="19">
        <f>IF(Basicinfo!BS27=0,0,IF(H27&lt;Parameters!$C$75,Q27*K27/Basicinfo!BS27*(-Parameters!$C$74+Parameters!$C$73*LN(H27*100)),Q27*K27/Basicinfo!BS27))</f>
        <v>0</v>
      </c>
      <c r="U27" s="19">
        <f t="shared" si="26"/>
        <v>0.62599453430159058</v>
      </c>
      <c r="V27" s="19">
        <f>IF(Basicinfo!AL27&gt;Parameters!$C$14,Basicinfo!Q27,0)</f>
        <v>0</v>
      </c>
      <c r="W27" s="19">
        <f>IF(Basicinfo!AL27&gt;Parameters!$C$14,0,Basicinfo!Q27)</f>
        <v>0</v>
      </c>
      <c r="X27" s="19">
        <f>G27+Basicinfo!M27</f>
        <v>62.722920573717431</v>
      </c>
      <c r="Y27" s="19">
        <f>IF(Basicinfo!G27-F27-Q27-V27-Basicinfo!O27-Basicinfo!R27-Basicinfo!S27&lt;0,0,Basicinfo!G27-F27-Q27-V27-Basicinfo!O27-Basicinfo!R27-Basicinfo!S27)</f>
        <v>104.91585695676305</v>
      </c>
      <c r="Z27" s="19">
        <f>Basicinfo!G27-F27-Basicinfo!BO27-Q27-Basicinfo!O27</f>
        <v>104.1334809377426</v>
      </c>
      <c r="AA27" s="53">
        <f>IF(Z27+Basicinfo!BO27-X27&gt;0,Z27+Basicinfo!BO27-X27,0)</f>
        <v>42.199500940608601</v>
      </c>
      <c r="AB27" s="56">
        <f>IF(Basicinfo!N27=0,0,Parameters!$C$71+Parameters!$C$72*Q27/Basicinfo!N27)</f>
        <v>0.36035776169428979</v>
      </c>
      <c r="AC27" s="43">
        <f>Basicinfo!AU27*AB27*R27/1000/86.4/0.365</f>
        <v>4.3539640313532196E-3</v>
      </c>
      <c r="AD27" s="43">
        <f>Basicinfo!AU27*AB27*S27/1000/86.4/0.365</f>
        <v>5.7699465899936856E-3</v>
      </c>
      <c r="AE27" s="43">
        <f>Basicinfo!AU27*AB27*T27/1000/86.4/0.365</f>
        <v>0</v>
      </c>
      <c r="AF27" s="43">
        <f>Basicinfo!AU27*AB27*U27/1000/86.4/0.365</f>
        <v>6.3610610723521029E-3</v>
      </c>
      <c r="AG27" s="43">
        <f>((Parameters!$C$80+Parameters!$C$81*Parameters!$C$89)/(Parameters!$C$82+Parameters!$C$89)/(Parameters!$C$90/100*Parameters!$C$91+(Parameters!$C$83+Parameters!$C$84*Parameters!$C$89)/(Parameters!$C$85+Parameters!$C$89)))-Parameters!$C$86+(Basicinfo!AU27-Parameters!$C$88)/Parameters!$C$87</f>
        <v>73.620319256383652</v>
      </c>
      <c r="AH27" s="43">
        <f>((Parameters!$C$80+Parameters!$C$81*Parameters!$C$89)/(Parameters!$C$82+Parameters!$C$89)/(Basicinfo!BY27/100*Parameters!$C$91+(Parameters!$C$83+Parameters!$C$84*Parameters!$C$89)/(Parameters!$C$85+Parameters!$C$89)))-Parameters!$C$86+(Basicinfo!AU27-Parameters!$C$88)/Parameters!$C$87</f>
        <v>55.817437389768074</v>
      </c>
      <c r="AI27" s="43">
        <f>Basicinfo!AU27^Parameters!$C$79*Parameters!$C$78*AH27/AG27</f>
        <v>21.455212432956859</v>
      </c>
      <c r="AJ27" s="43">
        <f>(J27*Parameters!$C$92/1000+Parameters!$C$94/100*S27*100*Parameters!$C$93/1000*86400*Parameters!$C$95/24)/86400</f>
        <v>5.5156211834069139E-3</v>
      </c>
      <c r="AK27" s="43">
        <f t="shared" si="1"/>
        <v>3.4016053639225928E-3</v>
      </c>
      <c r="AL27" s="43">
        <f>(K27*Parameters!$C$92/1000+Parameters!$C$94/100*T27*100*Parameters!$C$93/1000*86400*Parameters!$C$95/24)/86400</f>
        <v>0</v>
      </c>
      <c r="AM27" s="43">
        <f>(Intermediate!N27+Basicinfo!BV27-Intermediate!L27)*Parameters!$C$92/1000/86400</f>
        <v>1.4606342592592592E-3</v>
      </c>
      <c r="AN27" s="43">
        <f t="shared" si="2"/>
        <v>7.5746003566460034E-3</v>
      </c>
      <c r="AO27" s="43">
        <f t="shared" si="27"/>
        <v>3.4016053639225928E-3</v>
      </c>
      <c r="AP27" s="43">
        <f t="shared" si="28"/>
        <v>7.8216953316113617E-3</v>
      </c>
      <c r="AQ27" s="43">
        <f t="shared" si="3"/>
        <v>1.5577264726887174E-2</v>
      </c>
      <c r="AR27" s="61">
        <f>(Basicinfo!AU27-Basicinfo!AY27)*F27/1000/86.4/0.365</f>
        <v>1.2018275664381767E-2</v>
      </c>
      <c r="AS27" s="19">
        <f>IF(Basicinfo!AP27-Basicinfo!CB27-Basicinfo!CG27&lt;0,0,(Basicinfo!AP27-Basicinfo!CB27-Basicinfo!CG27)/Basicinfo!G27*1000)</f>
        <v>13.155333102932262</v>
      </c>
      <c r="AT27" s="19">
        <f>Parameters!$C$3*((AS27*86.4*0.365)^Parameters!$C$4)</f>
        <v>77.908586739022269</v>
      </c>
      <c r="AU27" s="19">
        <f>IF(AT27/86.4/0.365*(Basicinfo!G27/1000)-AN27&lt;0,0,AT27/86.4/0.365*(Basicinfo!G27/1000)-AN27)</f>
        <v>0.26093986661657159</v>
      </c>
      <c r="AV27" s="19">
        <f>IF(Basicinfo!AU27&gt;Parameters!$C$13,Parameters!$C$11*(Basicinfo!AU27-Parameters!$C$13)^Parameters!$C$12,0)</f>
        <v>59.220491592645608</v>
      </c>
      <c r="AW27" s="19">
        <f>IF(AV27*V27/1000/86.4/0.365&gt;Basicinfo!AP27*Parameters!$C$15,Basicinfo!AP27*Parameters!$C$15,AV27*V27/1000/86.4/0.365)</f>
        <v>0</v>
      </c>
      <c r="AX27" s="19">
        <f>Basicinfo!AU27-Basicinfo!AW27</f>
        <v>321.94626087028564</v>
      </c>
      <c r="AY27" s="19">
        <f>Parameters!$C$56*AX27+Parameters!$C$57*Basicinfo!AW27</f>
        <v>217.70511709625711</v>
      </c>
      <c r="AZ27" s="19">
        <f>AY27*Basicinfo!BO27/1000/86.4/0.365</f>
        <v>5.4463597351307935E-3</v>
      </c>
      <c r="BA27" s="19">
        <f>IF(Basicinfo!AP27-AQ27-AR27-AU27-AW27-AZ27-Basicinfo!CB27-Basicinfo!CG27&lt;0,0,Basicinfo!AP27-AQ27-AR27-AU27-AW27-AZ27-Basicinfo!CB27-Basicinfo!CG27)</f>
        <v>1.1358693514402882</v>
      </c>
      <c r="BB27" s="53">
        <f t="shared" si="4"/>
        <v>343.98903738209611</v>
      </c>
      <c r="BC27" s="56">
        <f>IF(G27=0,0,((Basicinfo!H27*Basicinfo!BE27+Basicinfo!I27*Basicinfo!BF27+Basicinfo!J27*Basicinfo!BG27+Basicinfo!K27*Basicinfo!BH27+Basicinfo!L27*Basicinfo!BI27)*(1-Basicinfo!BN27/G27*Parameters!$C$26/100)/G27)*Basicinfo!BM27)</f>
        <v>2.7497877774683865</v>
      </c>
      <c r="BD27" s="43">
        <f>IF(Basicinfo!AW27*Parameters!$C$39-Parameters!$C$40&lt;0,0.001,(Basicinfo!AW27*Parameters!$C$39-Parameters!$C$40)/(Basicinfo!AX27*Parameters!$C$39-Parameters!$C$40))</f>
        <v>1.1511416538902688</v>
      </c>
      <c r="BE27" s="43">
        <f>(BC27*G27*100+Basicinfo!BJ27*Basicinfo!M27*100)*Parameters!$C$29*BD27</f>
        <v>11594.685159406248</v>
      </c>
      <c r="BF27" s="43">
        <f>(Basicinfo!BK27*Basicinfo!P27*100)*BD27*Parameters!$C$29</f>
        <v>1111.3019057463687</v>
      </c>
      <c r="BG27" s="43">
        <f>Parameters!$C$27*(V27+W27)*100</f>
        <v>0</v>
      </c>
      <c r="BH27" s="43">
        <f>Parameters!$C$28*Basicinfo!R27*100</f>
        <v>0</v>
      </c>
      <c r="BI27" s="43">
        <f t="shared" si="29"/>
        <v>1111.3019057463687</v>
      </c>
      <c r="BJ27" s="43">
        <f>IF(Basicinfo!AM27&lt;Parameters!$C$33,0,Parameters!$C$30*(((Basicinfo!AM27-Parameters!$C$33)^Parameters!$C$31)*(((G27-Basicinfo!BN27)/Basicinfo!G27*100+Parameters!$C$34))^Parameters!$C$32))</f>
        <v>3.3084379261203805</v>
      </c>
      <c r="BK27" s="58">
        <f t="shared" si="30"/>
        <v>1494.9048669744163</v>
      </c>
      <c r="BL27" s="61">
        <f>Basicinfo!AZ27+Basicinfo!BA27</f>
        <v>1555.4676351752692</v>
      </c>
      <c r="BM27" s="19">
        <f>Basicinfo!BB27+Basicinfo!BC27</f>
        <v>1735.4342686220907</v>
      </c>
      <c r="BN27" s="172">
        <f>IF(Basicinfo!AO27=0,0,IF(Basicinfo!AO27="NA",1,IF(OR(Basicinfo!AO27="SA",Basicinfo!AN27="S"),3,IF(Basicinfo!AN27="N",1,IF(Basicinfo!AO27="ZA",2,0)))))</f>
        <v>0</v>
      </c>
      <c r="BO27" s="27">
        <f>IF($BN27=1,(BL27)*(1+Parameters!$C$21*Parameters!$C$22-Parameters!$C$22*Basicinfo!$AL27),IF($BN27=2,(BL27)*(1+Parameters!$C$21*Parameters!$C$23-Parameters!$C$23*Basicinfo!$AL27),IF($BN27=3,(BL27)*(1+Parameters!$C$21*Parameters!$C$24-Parameters!$C$24*Basicinfo!$AL27),BL27)))</f>
        <v>1555.4676351752692</v>
      </c>
      <c r="BP27" s="27">
        <f>IF($BN27=1,(BM27)*(1+Parameters!$C$21*Parameters!$C$22-Parameters!$C$22*Basicinfo!$AL27),IF($BN27=2,(BM27)*(1+Parameters!$C$21*Parameters!$C$23-Parameters!$C$23*Basicinfo!$AL27),IF($BN27=3,(BM27)*(1+Parameters!$C$21*Parameters!$C$24-Parameters!$C$24*Basicinfo!$AL27),BM27)))</f>
        <v>1735.4342686220907</v>
      </c>
      <c r="BQ27" s="27">
        <f>IF(Basicinfo!AU27=0,0,IF(G27+Basicinfo!M27=0,0,(Parameters!$C$16+BO27/Basicinfo!AU27)*G27+(Parameters!$C$17+BO27/Basicinfo!AU27)*Basicinfo!M27)/(G27+Basicinfo!M27))</f>
        <v>1.9183202332128308</v>
      </c>
      <c r="BR27" s="27">
        <f>IF(Basicinfo!AU27=0,0,IF(G27+Basicinfo!M27=0,0,(Parameters!$C$16+BP27/Basicinfo!AU27)*G27+(Parameters!$C$17+BP27/Basicinfo!AU27)*Basicinfo!M27)/(G27+Basicinfo!M27))</f>
        <v>2.1206968085542548</v>
      </c>
      <c r="BS27" s="27">
        <f>IF(Basicinfo!AU27=0,0,BO27/Basicinfo!AU27)</f>
        <v>1.7491587581106351</v>
      </c>
      <c r="BT27" s="27">
        <f>IF(Basicinfo!AU27=0,0,BP27/Basicinfo!AU27)</f>
        <v>1.9515353334520589</v>
      </c>
      <c r="BU27" s="27">
        <f>IF(SUM(G27,Basicinfo!M27,Basicinfo!P27,W27)=0,0,(BQ27*(G27+Basicinfo!M27)+BS27*(Basicinfo!P27+W27))/SUM(G27,Basicinfo!M27,Basicinfo!P27,W27))</f>
        <v>1.8544676401039675</v>
      </c>
      <c r="BV27" s="19">
        <f>IF(Basicinfo!BR27/Parameters!$C$10&gt;1,1,Basicinfo!BR27/Parameters!$C$10)</f>
        <v>0.44316641194556428</v>
      </c>
      <c r="BW27" s="19">
        <f>Parameters!$C$5+Parameters!$C$6*EXP(BV27*Parameters!$C$8*Parameters!$C$7)</f>
        <v>3.5299137886249832E-2</v>
      </c>
      <c r="BX27" s="19">
        <f>Parameters!$C$5+Parameters!$C$6*EXP(BV27*Parameters!$C$9*Parameters!$C$7)</f>
        <v>3.515050505724792E-2</v>
      </c>
      <c r="BY27" s="19">
        <f>IF(Basicinfo!AH27+Basicinfo!AI27+Basicinfo!AJ27+Basicinfo!AK27=0,0,(Parameters!$C$18*(Basicinfo!AH27+Basicinfo!AI27)+Parameters!$C$19*Basicinfo!AJ27+Parameters!$C$20*Basicinfo!AK27)/(Basicinfo!AH27+Basicinfo!AI27+Basicinfo!AJ27+Basicinfo!AK27))</f>
        <v>2.8634174024604549E-2</v>
      </c>
      <c r="BZ27" s="19">
        <f>IF(Basicinfo!AJ27+Basicinfo!AK27=0,Parameters!$C$18,(Parameters!$C$19*Basicinfo!AJ27+Parameters!$C$20*Basicinfo!AK27)/(Basicinfo!AJ27+Basicinfo!AK27))</f>
        <v>2.5000000000000001E-2</v>
      </c>
      <c r="CA27" s="19">
        <f>IF(SUM(G27,Basicinfo!M27,Basicinfo!P27,W27)=0,0,(BW27*G27+BX27*Basicinfo!M27+BY27*Basicinfo!P27+BZ27*W27)/(SUM(G27,Basicinfo!M27,Basicinfo!P27,W27)))</f>
        <v>3.2742990495281871E-2</v>
      </c>
      <c r="CB27" s="19">
        <f>IF(Y27=0,Basicinfo!BP27,Basicinfo!BP27-(AU27*X27/Y27*Intermediate!BQ27*86400*365/1000000)*1000/(X27*100))</f>
        <v>44.421230875345771</v>
      </c>
      <c r="CC27" s="19">
        <f>IF(Y27=0,Basicinfo!BQ27,Basicinfo!BQ27-(AU27*Basicinfo!AV27/Basicinfo!AU27*X27/Y27*Intermediate!BR27*86400*365/1000000)*1000/(X27*100))</f>
        <v>46.942715940363158</v>
      </c>
      <c r="CD27" s="19">
        <f>IF(OR(Y27=0,AA27=0),BP27/100,BP27/100-(AU27*Basicinfo!AV27/Basicinfo!AU27*(Basicinfo!P27+W27)/Y27*Intermediate!BT27*86400*365/1000000+AW27*Basicinfo!AV27/Basicinfo!AU27*Intermediate!BT27*86400*365/1000000)*1000/(AA27*100))</f>
        <v>16.021188013299721</v>
      </c>
      <c r="CE27" s="19">
        <f t="shared" si="5"/>
        <v>290734.92300615954</v>
      </c>
      <c r="CF27" s="19">
        <f t="shared" si="6"/>
        <v>67608.613863690873</v>
      </c>
      <c r="CG27" s="19">
        <f>IF(AY27=0,0,((CB27^Parameters!$C$58))/AY27*100)</f>
        <v>11.550036666758903</v>
      </c>
      <c r="CH27" s="19">
        <f>IF(SUM(Basicinfo!AB27:AG27)=0,0,(Parameters!$C$59*Basicinfo!AB27+Parameters!$C$60*SUM(Basicinfo!AC27:AE27)+Parameters!$C$61*Basicinfo!AF27+Parameters!$C$62*Basicinfo!AG27)/SUM(Basicinfo!AB27:AG27))</f>
        <v>0.16263358675614828</v>
      </c>
      <c r="CI27" s="19">
        <f t="shared" si="31"/>
        <v>9</v>
      </c>
      <c r="CJ27" s="19">
        <f t="shared" si="8"/>
        <v>34.411942599334616</v>
      </c>
      <c r="CK27" s="19">
        <f t="shared" si="9"/>
        <v>10.003790487401643</v>
      </c>
      <c r="CL27" s="19">
        <f>IF($BB27=0,0,$CJ27^Parameters!$C$58*100/$BB27)</f>
        <v>5.8838041617733063</v>
      </c>
      <c r="CM27" s="19">
        <f>IF(CK27=0,0,(1/(1+Parameters!$C$116*BB27^Parameters!$C$120)*Basicinfo!AH27/Basicinfo!G27+1/(1+Parameters!$C$117*BB27^Parameters!$C$121)*Basicinfo!AI27/Basicinfo!G27)*(CK27)^Parameters!$C$124+(1/(1+Parameters!$C$118*BB27^Parameters!$C$122)*Basicinfo!AJ27/Basicinfo!G27+1/(1+Parameters!$C$119*BB27^Parameters!$C$123)*Basicinfo!AK27/Basicinfo!G27)*(CK27)^Parameters!$C$125)</f>
        <v>2.2569030861582879</v>
      </c>
      <c r="CN27" s="19">
        <f>IF(SUM(Basicinfo!AB27:AG27)=0,0,(Parameters!$C$128*Basicinfo!AB27+Parameters!$C$129*(SUM(Basicinfo!AC27:AE27))+Parameters!$C$130*Basicinfo!AF27+Parameters!$C$131*Basicinfo!AG27)/SUM(Basicinfo!AB27:AG27))</f>
        <v>2.4661940965164039E-2</v>
      </c>
      <c r="CO27" s="19">
        <f>IF(Basicinfo!AH27+Basicinfo!AI27+Basicinfo!AJ27+Basicinfo!AK27=0,0,(Parameters!$C$132*(Basicinfo!AH27+Basicinfo!AI27)+Parameters!$C$133*Basicinfo!AJ27+Parameters!$C$134*Basicinfo!AK27)/(Basicinfo!AH27+Basicinfo!AI27+Basicinfo!AJ27+Basicinfo!AK27))</f>
        <v>5.0000000000000001E-4</v>
      </c>
      <c r="CP27" s="19">
        <f>IF(Basicinfo!AJ27+Basicinfo!AK27=0,0,(Parameters!$C$133*Basicinfo!AJ27+Parameters!$C$134*Basicinfo!AK27)/(Basicinfo!AJ27+Basicinfo!AK27))</f>
        <v>5.0000000000000001E-4</v>
      </c>
      <c r="CQ27" s="19">
        <f>IF(Z27=0,0,(CN27*(Z27-AA27)+CO27*Basicinfo!P27+CP27*(Basicinfo!Q27+Basicinfo!R27))/Z27)</f>
        <v>1.4850437485404513E-2</v>
      </c>
      <c r="CR27" s="289">
        <f>Basicinfo!EI27</f>
        <v>2.7218946315789479E-2</v>
      </c>
      <c r="CS27" s="19">
        <f>IF(SUM(Basicinfo!AB27:AG27)=0,0,(Basicinfo!AB27*Parameters!$C$43+(Basicinfo!AC27+Basicinfo!AD27)*Parameters!$C$44+Basicinfo!AE27*Parameters!$C$45+(Basicinfo!AF27+Basicinfo!AG27)*Parameters!$C$46)/SUM(Basicinfo!AB27:AG27))</f>
        <v>9.6636222771906759</v>
      </c>
      <c r="CT27" s="19">
        <f>(Parameters!$C$41*CS27+Parameters!$C$42)</f>
        <v>373.56894722734489</v>
      </c>
      <c r="CU27" s="19">
        <f>CT27+Basicinfo!BR27/(Parameters!$C$47*Parameters!$C$49*Parameters!$C$48*10000/1000000)</f>
        <v>529.65271495660022</v>
      </c>
      <c r="CV27" s="19">
        <f>IF(BK27/Basicinfo!G27&lt;Parameters!$C$35,Parameters!$C$35,Parameters!$C$37*(BK27/Basicinfo!G27)^Parameters!$C$38)</f>
        <v>2.2343185313028728</v>
      </c>
      <c r="CW27" s="19">
        <f>IF(BK27/Basicinfo!G27&lt;Parameters!$C$35,Parameters!$C$36,Parameters!$C$36*(BK27/Basicinfo!G27)^Parameters!$C$38)</f>
        <v>5.2506485485617507</v>
      </c>
      <c r="CX27" s="27">
        <f>IF(Basicinfo!AJ27+Basicinfo!AK27=0,0,(Parameters!$C$53*Basicinfo!AJ27+Parameters!$C$54*Basicinfo!AK27)/(Basicinfo!AJ27+Basicinfo!AK27))</f>
        <v>750</v>
      </c>
      <c r="CY27" s="56">
        <f>IF(Basicinfo!AU27*AB27=0,0,((Basicinfo!AZ27+Basicinfo!BA27)/Basicinfo!AU27+Parameters!$C$76/(Basicinfo!AU27*AB27)*100))</f>
        <v>2.9973880230019474</v>
      </c>
      <c r="CZ27" s="43">
        <f>IF(Basicinfo!AU27*AB27=0,0,(Parameters!$C$77)/(Basicinfo!AU27*AB27)*100)</f>
        <v>0.7801432905570701</v>
      </c>
      <c r="DA27" s="43">
        <f>IF(AD27+AJ27=0,0,((J27*Parameters!$C$96+Parameters!$C$94/100*S27*100*Parameters!$C$93/1000*86400*Parameters!$C$95/24*Parameters!$C$98)*AI27+AD27*CY27*86400*365)/((AD27+AJ27*AI27/365)*86400*365))</f>
        <v>7.7323045830939749</v>
      </c>
      <c r="DB27" s="43">
        <f>IF(AD27+AJ27=0,0,((J27*Parameters!$C$97+Parameters!$C$94/100*S27*100*Parameters!$C$93/1000*86400*Parameters!$C$95/24*Parameters!$C$99)*AI27+AD27*CZ27*86400*365)/((AD27+AJ27*AI27/365)*86400*365))</f>
        <v>1.5348523759802164</v>
      </c>
      <c r="DC27" s="42">
        <f>IF(AE27+AL27=0,0,((K27*Parameters!$C$96+Parameters!$C$94/100*T27*100*Parameters!$C$93/1000*86400*Parameters!$C$95/24*Parameters!$C$98)*365+AE27*CY27*86400*365)/((AE27+AL27)*86400*365))</f>
        <v>0</v>
      </c>
      <c r="DD27" s="42">
        <f>IF(AE27+AL27=0,0,((K27*Parameters!$C$97+Parameters!$C$94/100*T27*100*Parameters!$C$93/1000*86400*Parameters!$C$95/24*Parameters!$C$99)*365+AE27*CZ27*86400*365)/((AE27+AL27)*86400*365))</f>
        <v>0</v>
      </c>
      <c r="DE27" s="42">
        <f>IF(Basicinfo!AH27+Basicinfo!AI27+Basicinfo!AJ27+Basicinfo!AK27=0,0,((Basicinfo!AH27+Basicinfo!AI27)*Parameters!$C$107+(Basicinfo!AJ27+Basicinfo!AK27)*Parameters!$C$106)/(Basicinfo!AH27+Basicinfo!AI27+Basicinfo!AJ27+Basicinfo!AK27))</f>
        <v>64.53669609841819</v>
      </c>
      <c r="DF27" s="42">
        <f>IF(Basicinfo!AH27+Basicinfo!AI27+Basicinfo!AJ27+Basicinfo!AK27=0,0,((Basicinfo!AH27+Basicinfo!AI27)*Parameters!$C$109+(Basicinfo!AJ27+Basicinfo!AK27)*Parameters!$C$108)/(Basicinfo!AH27+Basicinfo!AI27+Basicinfo!AJ27+Basicinfo!AK27))</f>
        <v>64.53669609841819</v>
      </c>
      <c r="DG27" s="42">
        <f>Intermediate!AC27*Intermediate!CY27*(1-Parameters!$C$102/100*Basicinfo!BZ27/100)*(1-Parameters!$C$104/100*Basicinfo!CA27/100)*86400*365/1000000</f>
        <v>0.41156118737206737</v>
      </c>
      <c r="DH27" s="42">
        <f>Intermediate!AC27*Intermediate!CZ27*(1-Parameters!$C$103/100*Basicinfo!BZ27/100)*(1-Parameters!$C$105/100*Basicinfo!CA27/100)*86400*365/1000000</f>
        <v>0.1071188303009413</v>
      </c>
      <c r="DI27" s="42">
        <f>(Intermediate!AK27*Intermediate!DA27+(Intermediate!AE27+Intermediate!AL27)*Intermediate!DC27)*86400*365/1000000</f>
        <v>0.82946771643290707</v>
      </c>
      <c r="DJ27" s="42">
        <f>(Intermediate!AK27*Intermediate!DB27+(Intermediate!AE27+Intermediate!AL27)*Intermediate!DD27)*86400*365/1000000</f>
        <v>0.16464825999605334</v>
      </c>
      <c r="DK27" s="42">
        <f>((Basicinfo!AZ27+Basicinfo!BA27)*Intermediate!AB27+Parameters!$C$76*100)/1000*Intermediate!U27*(1-Intermediate!DE27/100)+(1-Parameters!$C$110/100)*M27*Parameters!$C$100*(1-DE27/100)*365/1000000+(1-Parameters!$C$112/100)*P27*Parameters!$C$96*365/1000000+(1-Parameters!$C$112/100)*O27*Parameters!$C$96*(1-DE27/100)*365/1000000</f>
        <v>1.2310501645474978</v>
      </c>
      <c r="DL27" s="42">
        <f>Parameters!$C$77*100/1000*Intermediate!U27*(1-Intermediate!DF27/100)+(1-Parameters!$C$111/100)*M27*Parameters!$C$101*(1-DF27/100)*365/1000000+(1-Parameters!$C$113/100)*P27*Parameters!$C$97*365/1000000+(1-Parameters!$C$113/100)*O27*Parameters!$C$97*(1-DF27/100)*365/1000000</f>
        <v>0.19144251952605421</v>
      </c>
      <c r="DM27" s="31"/>
      <c r="DN27" s="31"/>
      <c r="DO27" s="31"/>
      <c r="DP27" s="31"/>
      <c r="DQ27" s="31"/>
      <c r="DR27" s="31"/>
      <c r="DS27" s="31"/>
      <c r="DT27" s="188">
        <f>BO27*(Basicinfo!$P27+Basicinfo!$Q27)/1000</f>
        <v>59.156270788915677</v>
      </c>
      <c r="DU27" s="188">
        <f>DT27*Basicinfo!$AZ27/(Basicinfo!$AZ27+Basicinfo!$BA27)</f>
        <v>36.170946786383446</v>
      </c>
      <c r="DV27" s="188">
        <f>DT27*Basicinfo!$BC27/(Basicinfo!$BB27+Basicinfo!$BC27)</f>
        <v>22.007215157107293</v>
      </c>
      <c r="DW27" s="188">
        <f>BP27*(Basicinfo!$P27+Basicinfo!$Q27)/1000</f>
        <v>66.000614355054935</v>
      </c>
      <c r="DX27" s="188">
        <f>DW27*Basicinfo!$BB27/(Basicinfo!$BB27+Basicinfo!$BC27)</f>
        <v>41.447178155606132</v>
      </c>
      <c r="DY27" s="188">
        <f>DW27*Basicinfo!$BC27/(Basicinfo!$BB27+Basicinfo!$BC27)</f>
        <v>24.553436199448807</v>
      </c>
      <c r="DZ27" s="188">
        <f t="shared" si="10"/>
        <v>97.563472936086484</v>
      </c>
      <c r="EA27" s="188">
        <f>DZ27*Basicinfo!$AZ27/(Basicinfo!$AZ27+Basicinfo!$BA27)</f>
        <v>59.65492991365474</v>
      </c>
      <c r="EB27" s="188">
        <f>DZ27*Basicinfo!$BC27/(Basicinfo!$BB27+Basicinfo!$BC27)</f>
        <v>36.29539711927513</v>
      </c>
      <c r="EC27" s="188">
        <f t="shared" si="11"/>
        <v>108.8515057916908</v>
      </c>
      <c r="ED27" s="188">
        <f>EC27*Basicinfo!$AZ27/(Basicinfo!$AZ27+Basicinfo!$BA27)</f>
        <v>66.556968028936268</v>
      </c>
      <c r="EE27" s="188">
        <f>EC27*Basicinfo!$BC27/(Basicinfo!$BB27+Basicinfo!$BC27)</f>
        <v>40.494751886586243</v>
      </c>
      <c r="EF27" s="190">
        <f>(Basicinfo!BP27-BL27/100)*Intermediate!X27/10</f>
        <v>190.4968808187472</v>
      </c>
      <c r="EG27" s="191">
        <f>(Basicinfo!BQ27-BM27/100)*Intermediate!X27/10</f>
        <v>195.66961010015336</v>
      </c>
      <c r="EH27" s="197">
        <f>IF(AU27=0,0,$BS27*((Basicinfo!$P27+Basicinfo!$Q27)*Intermediate!$AT27*1000+$AW27*3600*24*365)/1000000*Basicinfo!AZ27/(Basicinfo!$AZ27+Basicinfo!$BA27))</f>
        <v>3.1689358877535407</v>
      </c>
      <c r="EI27" s="197">
        <f>IF(AU27=0,0,$BS27*((Basicinfo!$P27+Basicinfo!$Q27)*Intermediate!$AT27*1000+$AW27*3600*24*365)/1000000*Basicinfo!BA27/(Basicinfo!$AZ27+Basicinfo!$BA27))</f>
        <v>2.0137437527813753</v>
      </c>
      <c r="EJ27" s="198">
        <f>IF(AU27=0,0,$BS27*($AT27*$X27*1000)/1000000*Basicinfo!AZ27/(Basicinfo!$AZ27+Basicinfo!$BA27))</f>
        <v>5.2263671559730316</v>
      </c>
      <c r="EK27" s="198">
        <f>IF(AU27=0,0,$BS27*($AT27*$X27*1000)/1000000*Basicinfo!BA27/(Basicinfo!$AZ27+Basicinfo!$BA27))</f>
        <v>3.3211666574748286</v>
      </c>
      <c r="EL27" s="147">
        <f>Parameters!$C$150/Basicinfo!$AV27*100</f>
        <v>0.11635968428362746</v>
      </c>
      <c r="EM27" s="147">
        <f>Parameters!$C$151/Basicinfo!$AV27*100</f>
        <v>0.23271936856725492</v>
      </c>
      <c r="EN27" s="147">
        <f>(Parameters!$C$150+Parameters!$C$151)/Intermediate!$BB27*100</f>
        <v>0.8721208160676529</v>
      </c>
      <c r="EO27" s="193">
        <f>IF(EN27=0,0,(1/(1+Parameters!$C$116*$BB27^Parameters!$C$120)*Basicinfo!$AH27/Basicinfo!$G27+1/(1+Parameters!$C$117*$BB27^Parameters!$C$121)*Basicinfo!$AI27/Basicinfo!$G27)*(EN27)^Parameters!$C$124+(1/(1+Parameters!$C$118*$BB27^Parameters!$C$122)*Basicinfo!$AJ27/Basicinfo!AW27+1/(1+Parameters!$C$119*$BB27^Parameters!$C$123)*Basicinfo!$AK27/Basicinfo!$G27)*(EN27)^Parameters!$C$125)</f>
        <v>0.37742894662689197</v>
      </c>
      <c r="EP27" s="199">
        <f>EL27*($AT27*Basicinfo!$P27*1000+$AW27*3600*24*365)/1000000</f>
        <v>0.34476857170313135</v>
      </c>
      <c r="EQ27" s="199">
        <f>EM27*($AT27*Basicinfo!$P27*1000+$AW27*3600*24*365)/1000000</f>
        <v>0.68953714340626271</v>
      </c>
      <c r="ER27" s="199">
        <f t="shared" si="12"/>
        <v>0.56860952805149267</v>
      </c>
      <c r="ES27" s="199">
        <f t="shared" si="13"/>
        <v>1.1372190561029853</v>
      </c>
      <c r="ET27" s="181">
        <f t="shared" si="14"/>
        <v>13.519797702847702</v>
      </c>
      <c r="EU27" s="147">
        <f>Intermediate!F27*(Parameters!$C$150)/1000*100</f>
        <v>0.21451310807103879</v>
      </c>
      <c r="EV27" s="147">
        <f>Intermediate!F27*(Parameters!$C$151)/1000*100</f>
        <v>0.42902621614207759</v>
      </c>
      <c r="EW27" s="181">
        <f>'Local emissions'!$S27*Basicinfo!AZ27/(Basicinfo!$AZ27+Basicinfo!$BA27)-Intermediate!EU27</f>
        <v>1.8256923400311738</v>
      </c>
      <c r="EX27" s="147">
        <f>'Local emissions'!$S27*Basicinfo!BA27/(Basicinfo!$AZ27+Basicinfo!$BA27)-Intermediate!EV27</f>
        <v>0.86745030500926645</v>
      </c>
      <c r="EY27" s="188">
        <f t="shared" si="15"/>
        <v>2.8241673160504095</v>
      </c>
      <c r="EZ27" s="188">
        <f t="shared" si="16"/>
        <v>1.3242066093751126</v>
      </c>
      <c r="FA27" s="188">
        <f t="shared" si="17"/>
        <v>4.6577576279215389</v>
      </c>
      <c r="FB27" s="181">
        <f t="shared" si="18"/>
        <v>2.1839476013718433</v>
      </c>
      <c r="FC27" s="181">
        <f>'Local emissions'!Y27-Intermediate!ET27</f>
        <v>67.335512579200824</v>
      </c>
      <c r="FD27" s="188">
        <f t="shared" si="19"/>
        <v>7.5322626400602353</v>
      </c>
      <c r="FE27" s="188">
        <f t="shared" si="20"/>
        <v>4.4621356241883383</v>
      </c>
      <c r="FF27" s="181">
        <f t="shared" si="21"/>
        <v>6.0477526580688474</v>
      </c>
      <c r="FG27" s="201">
        <f t="shared" si="22"/>
        <v>3.6795883378201197</v>
      </c>
      <c r="FH27" s="181">
        <f t="shared" si="23"/>
        <v>45.613773319063284</v>
      </c>
      <c r="FJ27" s="147">
        <f>AVERAGE(Parameters!$C$132:$C$134)*'Local emissions'!J27*3600*24*365/1000000</f>
        <v>1.7910387933510463E-2</v>
      </c>
      <c r="FK27" s="147">
        <f>'Local emissions'!AJ27+CT27*BJ27/100*Intermediate!X27*100/1000000</f>
        <v>0.57760697630188984</v>
      </c>
      <c r="FL27" s="31">
        <f>(Parameters!$C$18*(Basicinfo!AH27+Basicinfo!AI27)+Parameters!$C$19*Basicinfo!AJ27+Parameters!$C$20*Basicinfo!AK27)/Basicinfo!G27</f>
        <v>2.8634174024604549E-2</v>
      </c>
      <c r="FM27" s="181">
        <f t="shared" si="32"/>
        <v>0.23563060755748794</v>
      </c>
    </row>
    <row r="28" spans="1:169">
      <c r="A28" s="39" t="str">
        <f>Basicinfo!A28</f>
        <v>Große Rodl</v>
      </c>
      <c r="B28" s="63">
        <f>Basicinfo!B28</f>
        <v>1200</v>
      </c>
      <c r="C28" s="63">
        <f>Basicinfo!C28</f>
        <v>5000</v>
      </c>
      <c r="D28" s="61">
        <f>Basicinfo!U28*Basicinfo!V28/1000+Basicinfo!Y28</f>
        <v>1.188695878031635</v>
      </c>
      <c r="E28" s="19">
        <f>Basicinfo!W28*Basicinfo!X28/1000+Basicinfo!Z28</f>
        <v>0</v>
      </c>
      <c r="F28" s="19">
        <f t="shared" si="0"/>
        <v>1.188695878031635</v>
      </c>
      <c r="G28" s="19">
        <f>SUM(Basicinfo!H28:L28)</f>
        <v>50.571715173770528</v>
      </c>
      <c r="H28" s="19">
        <f>IF(Basicinfo!N28&lt;Parameters!$C$68,Parameters!$C$69,Basicinfo!BS28/(Basicinfo!N28*100))</f>
        <v>22.528782314251625</v>
      </c>
      <c r="I28" s="19">
        <f>IF(Basicinfo!N28=0,0,Basicinfo!BU28*(1-Basicinfo!BX28/100))</f>
        <v>12078.44044256435</v>
      </c>
      <c r="J28" s="19">
        <f>IF(Basicinfo!N28=0,0,Basicinfo!BU28*Basicinfo!BX28/100)</f>
        <v>9111.8059478994219</v>
      </c>
      <c r="K28" s="19">
        <f>IF(Basicinfo!N28=0,0,Basicinfo!BT28-Basicinfo!BU28)</f>
        <v>0</v>
      </c>
      <c r="L28" s="27">
        <f>Basicinfo!BV28*Basicinfo!BW28/100</f>
        <v>2393.9066666666668</v>
      </c>
      <c r="M28" s="27">
        <f>Basicinfo!BV28-Intermediate!L28</f>
        <v>2393.9066666666668</v>
      </c>
      <c r="N28" s="73">
        <f>Basicinfo!BS28-SUM(I28:K28)-Basicinfo!BV28</f>
        <v>0</v>
      </c>
      <c r="O28" s="19">
        <f>IF(Basicinfo!AH28+Basicinfo!AI28+Basicinfo!AJ28+Basicinfo!AK28=0,0,N28*(Basicinfo!AH28+Basicinfo!AI28)/SUM(Basicinfo!AH28:AK28))</f>
        <v>0</v>
      </c>
      <c r="P28" s="73">
        <f t="shared" si="25"/>
        <v>0</v>
      </c>
      <c r="Q28" s="19">
        <f>IF(Basicinfo!BS28=0,Basicinfo!N28,IF(H28&gt;Parameters!$C$70,Parameters!$C$64*(Parameters!$C$65*Parameters!$C$70)^(Parameters!$C$66-Parameters!$C$67*LOG(Parameters!$C$65*Parameters!$C$70,10))/100*Basicinfo!N28,Parameters!$C$64*(Parameters!$C$65*H28)^(Parameters!$C$66-Parameters!$C$67*LOG(Parameters!$C$65*H28,10))/100*Basicinfo!N28))</f>
        <v>3.6151089773529494</v>
      </c>
      <c r="R28" s="19">
        <f>IF(Basicinfo!BS28=0,Q28*(1-Basicinfo!BX28/100),IF(H28&lt;Parameters!$C$75,Q28*Basicinfo!BU28/Basicinfo!BS28*(1-Basicinfo!BX28/100)*(-Parameters!$C$74+Parameters!$C$73*LN(H28*100)),Q28*Basicinfo!BU28/Basicinfo!BS28*(1-Basicinfo!BX28/100)))</f>
        <v>1.0034519761787155</v>
      </c>
      <c r="S28" s="19">
        <f>IF(Basicinfo!BS28=0,Q28*Basicinfo!BX28/100,Q28*Basicinfo!BU28/Basicinfo!BS28*Basicinfo!BX28/100)</f>
        <v>1.2679996825157223</v>
      </c>
      <c r="T28" s="19">
        <f>IF(Basicinfo!BS28=0,0,IF(H28&lt;Parameters!$C$75,Q28*K28/Basicinfo!BS28*(-Parameters!$C$74+Parameters!$C$73*LN(H28*100)),Q28*K28/Basicinfo!BS28))</f>
        <v>0</v>
      </c>
      <c r="U28" s="19">
        <f t="shared" si="26"/>
        <v>1.3436573186585119</v>
      </c>
      <c r="V28" s="19">
        <f>IF(Basicinfo!AL28&gt;Parameters!$C$14,Basicinfo!Q28,0)</f>
        <v>0</v>
      </c>
      <c r="W28" s="19">
        <f>IF(Basicinfo!AL28&gt;Parameters!$C$14,0,Basicinfo!Q28)</f>
        <v>0</v>
      </c>
      <c r="X28" s="19">
        <f>G28+Basicinfo!M28</f>
        <v>141.84674779997653</v>
      </c>
      <c r="Y28" s="19">
        <f>IF(Basicinfo!G28-F28-Q28-V28-Basicinfo!O28-Basicinfo!R28-Basicinfo!S28&lt;0,0,Basicinfo!G28-F28-Q28-V28-Basicinfo!O28-Basicinfo!R28-Basicinfo!S28)</f>
        <v>263.19574471622968</v>
      </c>
      <c r="Z28" s="19">
        <f>Basicinfo!G28-F28-Basicinfo!BO28-Q28-Basicinfo!O28</f>
        <v>257.43349815397983</v>
      </c>
      <c r="AA28" s="53">
        <f>IF(Z28+Basicinfo!BO28-X28&gt;0,Z28+Basicinfo!BO28-X28,0)</f>
        <v>121.35964782263886</v>
      </c>
      <c r="AB28" s="56">
        <f>IF(Basicinfo!N28=0,0,Parameters!$C$71+Parameters!$C$72*Q28/Basicinfo!N28)</f>
        <v>0.38513304320744246</v>
      </c>
      <c r="AC28" s="43">
        <f>Basicinfo!AU28*AB28*R28/1000/86.4/0.365</f>
        <v>1.1677178997835512E-2</v>
      </c>
      <c r="AD28" s="43">
        <f>Basicinfo!AU28*AB28*S28/1000/86.4/0.365</f>
        <v>1.4755722858128701E-2</v>
      </c>
      <c r="AE28" s="43">
        <f>Basicinfo!AU28*AB28*T28/1000/86.4/0.365</f>
        <v>0</v>
      </c>
      <c r="AF28" s="43">
        <f>Basicinfo!AU28*AB28*U28/1000/86.4/0.365</f>
        <v>1.5636151399569052E-2</v>
      </c>
      <c r="AG28" s="43">
        <f>((Parameters!$C$80+Parameters!$C$81*Parameters!$C$89)/(Parameters!$C$82+Parameters!$C$89)/(Parameters!$C$90/100*Parameters!$C$91+(Parameters!$C$83+Parameters!$C$84*Parameters!$C$89)/(Parameters!$C$85+Parameters!$C$89)))-Parameters!$C$86+(Basicinfo!AU28-Parameters!$C$88)/Parameters!$C$87</f>
        <v>75.210608961876503</v>
      </c>
      <c r="AH28" s="43">
        <f>((Parameters!$C$80+Parameters!$C$81*Parameters!$C$89)/(Parameters!$C$82+Parameters!$C$89)/(Basicinfo!BY28/100*Parameters!$C$91+(Parameters!$C$83+Parameters!$C$84*Parameters!$C$89)/(Parameters!$C$85+Parameters!$C$89)))-Parameters!$C$86+(Basicinfo!AU28-Parameters!$C$88)/Parameters!$C$87</f>
        <v>57.407727095260938</v>
      </c>
      <c r="AI28" s="43">
        <f>Basicinfo!AU28^Parameters!$C$79*Parameters!$C$78*AH28/AG28</f>
        <v>25.672337866947267</v>
      </c>
      <c r="AJ28" s="43">
        <f>(J28*Parameters!$C$92/1000+Parameters!$C$94/100*S28*100*Parameters!$C$93/1000*86400*Parameters!$C$95/24)/86400</f>
        <v>1.3752159864728821E-2</v>
      </c>
      <c r="AK28" s="43">
        <f t="shared" si="1"/>
        <v>9.0262073962591605E-3</v>
      </c>
      <c r="AL28" s="43">
        <f>(K28*Parameters!$C$92/1000+Parameters!$C$94/100*T28*100*Parameters!$C$93/1000*86400*Parameters!$C$95/24)/86400</f>
        <v>0</v>
      </c>
      <c r="AM28" s="43">
        <f>(Intermediate!N28+Basicinfo!BV28-Intermediate!L28)*Parameters!$C$92/1000/86400</f>
        <v>3.6019429012345682E-3</v>
      </c>
      <c r="AN28" s="43">
        <f t="shared" si="2"/>
        <v>2.0148104107163074E-2</v>
      </c>
      <c r="AO28" s="43">
        <f t="shared" si="27"/>
        <v>9.0262073962591605E-3</v>
      </c>
      <c r="AP28" s="43">
        <f t="shared" si="28"/>
        <v>1.9238094300803622E-2</v>
      </c>
      <c r="AQ28" s="43">
        <f t="shared" si="3"/>
        <v>3.9941480694898293E-2</v>
      </c>
      <c r="AR28" s="61">
        <f>(Basicinfo!AU28-Basicinfo!AY28)*F28/1000/86.4/0.365</f>
        <v>1.0675230098786886E-2</v>
      </c>
      <c r="AS28" s="19">
        <f>IF(Basicinfo!AP28-Basicinfo!CB28-Basicinfo!CG28&lt;0,0,(Basicinfo!AP28-Basicinfo!CB28-Basicinfo!CG28)/Basicinfo!G28*1000)</f>
        <v>13.170954122116383</v>
      </c>
      <c r="AT28" s="19">
        <f>Parameters!$C$3*((AS28*86.4*0.365)^Parameters!$C$4)</f>
        <v>78.023881393312266</v>
      </c>
      <c r="AU28" s="19">
        <f>IF(AT28/86.4/0.365*(Basicinfo!G28/1000)-AN28&lt;0,0,AT28/86.4/0.365*(Basicinfo!G28/1000)-AN28)</f>
        <v>0.64294157417458841</v>
      </c>
      <c r="AV28" s="19">
        <f>IF(Basicinfo!AU28&gt;Parameters!$C$13,Parameters!$C$11*(Basicinfo!AU28-Parameters!$C$13)^Parameters!$C$12,0)</f>
        <v>81.783652458915029</v>
      </c>
      <c r="AW28" s="19">
        <f>IF(AV28*V28/1000/86.4/0.365&gt;Basicinfo!AP28*Parameters!$C$15,Basicinfo!AP28*Parameters!$C$15,AV28*V28/1000/86.4/0.365)</f>
        <v>0</v>
      </c>
      <c r="AX28" s="19">
        <f>Basicinfo!AU28-Basicinfo!AW28</f>
        <v>353.59272125885718</v>
      </c>
      <c r="AY28" s="19">
        <f>Parameters!$C$56*AX28+Parameters!$C$57*Basicinfo!AW28</f>
        <v>236.72486007365717</v>
      </c>
      <c r="AZ28" s="19">
        <f>AY28*Basicinfo!BO28/1000/86.4/0.365</f>
        <v>4.3334232162681507E-2</v>
      </c>
      <c r="BA28" s="19">
        <f>IF(Basicinfo!AP28-AQ28-AR28-AU28-AW28-AZ28-Basicinfo!CB28-Basicinfo!CG28&lt;0,0,Basicinfo!AP28-AQ28-AR28-AU28-AW28-AZ28-Basicinfo!CB28-Basicinfo!CG28)</f>
        <v>2.7930575376239979</v>
      </c>
      <c r="BB28" s="53">
        <f t="shared" si="4"/>
        <v>342.15384997730797</v>
      </c>
      <c r="BC28" s="56">
        <f>IF(G28=0,0,((Basicinfo!H28*Basicinfo!BE28+Basicinfo!I28*Basicinfo!BF28+Basicinfo!J28*Basicinfo!BG28+Basicinfo!K28*Basicinfo!BH28+Basicinfo!L28*Basicinfo!BI28)*(1-Basicinfo!BN28/G28*Parameters!$C$26/100)/G28)*Basicinfo!BM28)</f>
        <v>4.2717966544557031</v>
      </c>
      <c r="BD28" s="43">
        <f>IF(Basicinfo!AW28*Parameters!$C$39-Parameters!$C$40&lt;0,0.001,(Basicinfo!AW28*Parameters!$C$39-Parameters!$C$40)/(Basicinfo!AX28*Parameters!$C$39-Parameters!$C$40))</f>
        <v>1.1187371083716651</v>
      </c>
      <c r="BE28" s="43">
        <f>(BC28*G28*100+Basicinfo!BJ28*Basicinfo!M28*100)*Parameters!$C$29*BD28</f>
        <v>25891.846969855938</v>
      </c>
      <c r="BF28" s="43">
        <f>(Basicinfo!BK28*Basicinfo!P28*100)*BD28*Parameters!$C$29</f>
        <v>1776.7769903751896</v>
      </c>
      <c r="BG28" s="43">
        <f>Parameters!$C$27*(V28+W28)*100</f>
        <v>0</v>
      </c>
      <c r="BH28" s="43">
        <f>Parameters!$C$28*Basicinfo!R28*100</f>
        <v>0</v>
      </c>
      <c r="BI28" s="43">
        <f t="shared" si="29"/>
        <v>1776.7769903751896</v>
      </c>
      <c r="BJ28" s="43">
        <f>IF(Basicinfo!AM28&lt;Parameters!$C$33,0,Parameters!$C$30*(((Basicinfo!AM28-Parameters!$C$33)^Parameters!$C$31)*(((G28-Basicinfo!BN28)/Basicinfo!G28*100+Parameters!$C$34))^Parameters!$C$32))</f>
        <v>2.4607502787862248</v>
      </c>
      <c r="BK28" s="58">
        <f t="shared" si="30"/>
        <v>2413.9106868688223</v>
      </c>
      <c r="BL28" s="61">
        <f>Basicinfo!AZ28+Basicinfo!BA28</f>
        <v>1417.9263428062386</v>
      </c>
      <c r="BM28" s="19">
        <f>Basicinfo!BB28+Basicinfo!BC28</f>
        <v>1784.6621724811262</v>
      </c>
      <c r="BN28" s="172">
        <f>IF(Basicinfo!AO28=0,0,IF(Basicinfo!AO28="NA",1,IF(OR(Basicinfo!AO28="SA",Basicinfo!AN28="S"),3,IF(Basicinfo!AN28="N",1,IF(Basicinfo!AO28="ZA",2,0)))))</f>
        <v>0</v>
      </c>
      <c r="BO28" s="27">
        <f>IF($BN28=1,(BL28)*(1+Parameters!$C$21*Parameters!$C$22-Parameters!$C$22*Basicinfo!$AL28),IF($BN28=2,(BL28)*(1+Parameters!$C$21*Parameters!$C$23-Parameters!$C$23*Basicinfo!$AL28),IF($BN28=3,(BL28)*(1+Parameters!$C$21*Parameters!$C$24-Parameters!$C$24*Basicinfo!$AL28),BL28)))</f>
        <v>1417.9263428062386</v>
      </c>
      <c r="BP28" s="27">
        <f>IF($BN28=1,(BM28)*(1+Parameters!$C$21*Parameters!$C$22-Parameters!$C$22*Basicinfo!$AL28),IF($BN28=2,(BM28)*(1+Parameters!$C$21*Parameters!$C$23-Parameters!$C$23*Basicinfo!$AL28),IF($BN28=3,(BM28)*(1+Parameters!$C$21*Parameters!$C$24-Parameters!$C$24*Basicinfo!$AL28),BM28)))</f>
        <v>1784.6621724811262</v>
      </c>
      <c r="BQ28" s="27">
        <f>IF(Basicinfo!AU28=0,0,IF(G28+Basicinfo!M28=0,0,(Parameters!$C$16+BO28/Basicinfo!AU28)*G28+(Parameters!$C$17+BO28/Basicinfo!AU28)*Basicinfo!M28)/(G28+Basicinfo!M28))</f>
        <v>1.5950035769139908</v>
      </c>
      <c r="BR28" s="27">
        <f>IF(Basicinfo!AU28=0,0,IF(G28+Basicinfo!M28=0,0,(Parameters!$C$16+BP28/Basicinfo!AU28)*G28+(Parameters!$C$17+BP28/Basicinfo!AU28)*Basicinfo!M28)/(G28+Basicinfo!M28))</f>
        <v>1.9798754483324943</v>
      </c>
      <c r="BS28" s="27">
        <f>IF(Basicinfo!AU28=0,0,BO28/Basicinfo!AU28)</f>
        <v>1.4880464926844315</v>
      </c>
      <c r="BT28" s="27">
        <f>IF(Basicinfo!AU28=0,0,BP28/Basicinfo!AU28)</f>
        <v>1.872918364102935</v>
      </c>
      <c r="BU28" s="27">
        <f>IF(SUM(G28,Basicinfo!M28,Basicinfo!P28,W28)=0,0,(BQ28*(G28+Basicinfo!M28)+BS28*(Basicinfo!P28+W28))/SUM(G28,Basicinfo!M28,Basicinfo!P28,W28))</f>
        <v>1.5474774172963981</v>
      </c>
      <c r="BV28" s="19">
        <f>IF(Basicinfo!BR28/Parameters!$C$10&gt;1,1,Basicinfo!BR28/Parameters!$C$10)</f>
        <v>0.33687913847257289</v>
      </c>
      <c r="BW28" s="19">
        <f>Parameters!$C$5+Parameters!$C$6*EXP(BV28*Parameters!$C$8*Parameters!$C$7)</f>
        <v>3.5067910941309906E-2</v>
      </c>
      <c r="BX28" s="19">
        <f>Parameters!$C$5+Parameters!$C$6*EXP(BV28*Parameters!$C$9*Parameters!$C$7)</f>
        <v>3.5040287227995591E-2</v>
      </c>
      <c r="BY28" s="19">
        <f>IF(Basicinfo!AH28+Basicinfo!AI28+Basicinfo!AJ28+Basicinfo!AK28=0,0,(Parameters!$C$18*(Basicinfo!AH28+Basicinfo!AI28)+Parameters!$C$19*Basicinfo!AJ28+Parameters!$C$20*Basicinfo!AK28)/(Basicinfo!AH28+Basicinfo!AI28+Basicinfo!AJ28+Basicinfo!AK28))</f>
        <v>2.5954693440068063E-2</v>
      </c>
      <c r="BZ28" s="19">
        <f>IF(Basicinfo!AJ28+Basicinfo!AK28=0,Parameters!$C$18,(Parameters!$C$19*Basicinfo!AJ28+Parameters!$C$20*Basicinfo!AK28)/(Basicinfo!AJ28+Basicinfo!AK28))</f>
        <v>2.5000000000000001E-2</v>
      </c>
      <c r="CA28" s="19">
        <f>IF(SUM(G28,Basicinfo!M28,Basicinfo!P28,W28)=0,0,(BW28*G28+BX28*Basicinfo!M28+BY28*Basicinfo!P28+BZ28*W28)/(SUM(G28,Basicinfo!M28,Basicinfo!P28,W28)))</f>
        <v>3.1008594723773673E-2</v>
      </c>
      <c r="CB28" s="19">
        <f>IF(Y28=0,Basicinfo!BP28,Basicinfo!BP28-(AU28*X28/Y28*Intermediate!BQ28*86400*365/1000000)*1000/(X28*100))</f>
        <v>54.194881625175739</v>
      </c>
      <c r="CC28" s="19">
        <f>IF(Y28=0,Basicinfo!BQ28,Basicinfo!BQ28-(AU28*Basicinfo!AV28/Basicinfo!AU28*X28/Y28*Intermediate!BR28*86400*365/1000000)*1000/(X28*100))</f>
        <v>52.087229557865321</v>
      </c>
      <c r="CD28" s="19">
        <f>IF(OR(Y28=0,AA28=0),BP28/100,BP28/100-(AU28*Basicinfo!AV28/Basicinfo!AU28*(Basicinfo!P28+W28)/Y28*Intermediate!BT28*86400*365/1000000+AW28*Basicinfo!AV28/Basicinfo!AU28*Intermediate!BT28*86400*365/1000000)*1000/(AA28*100))</f>
        <v>16.525900994071687</v>
      </c>
      <c r="CE28" s="19">
        <f t="shared" si="5"/>
        <v>708770.9879031165</v>
      </c>
      <c r="CF28" s="19">
        <f t="shared" si="6"/>
        <v>200557.75245923374</v>
      </c>
      <c r="CG28" s="19">
        <f>IF(AY28=0,0,((CB28^Parameters!$C$58))/AY28*100)</f>
        <v>12.578262754174343</v>
      </c>
      <c r="CH28" s="19">
        <f>IF(SUM(Basicinfo!AB28:AG28)=0,0,(Parameters!$C$59*Basicinfo!AB28+Parameters!$C$60*SUM(Basicinfo!AC28:AE28)+Parameters!$C$61*Basicinfo!AF28+Parameters!$C$62*Basicinfo!AG28)/SUM(Basicinfo!AB28:AG28))</f>
        <v>0.18653404696429154</v>
      </c>
      <c r="CI28" s="19">
        <f t="shared" si="31"/>
        <v>9</v>
      </c>
      <c r="CJ28" s="19">
        <f t="shared" si="8"/>
        <v>35.322859957349046</v>
      </c>
      <c r="CK28" s="19">
        <f t="shared" si="9"/>
        <v>10.323677480084383</v>
      </c>
      <c r="CL28" s="19">
        <f>IF($BB28=0,0,$CJ28^Parameters!$C$58*100/$BB28)</f>
        <v>6.0481986854427774</v>
      </c>
      <c r="CM28" s="19">
        <f>IF(CK28=0,0,(1/(1+Parameters!$C$116*BB28^Parameters!$C$120)*Basicinfo!AH28/Basicinfo!G28+1/(1+Parameters!$C$117*BB28^Parameters!$C$121)*Basicinfo!AI28/Basicinfo!G28)*(CK28)^Parameters!$C$124+(1/(1+Parameters!$C$118*BB28^Parameters!$C$122)*Basicinfo!AJ28/Basicinfo!G28+1/(1+Parameters!$C$119*BB28^Parameters!$C$123)*Basicinfo!AK28/Basicinfo!G28)*(CK28)^Parameters!$C$125)</f>
        <v>1.9644948383677756</v>
      </c>
      <c r="CN28" s="19">
        <f>IF(SUM(Basicinfo!AB28:AG28)=0,0,(Parameters!$C$128*Basicinfo!AB28+Parameters!$C$129*(SUM(Basicinfo!AC28:AE28))+Parameters!$C$130*Basicinfo!AF28+Parameters!$C$131*Basicinfo!AG28)/SUM(Basicinfo!AB28:AG28))</f>
        <v>2.8030225054858155E-2</v>
      </c>
      <c r="CO28" s="19">
        <f>IF(Basicinfo!AH28+Basicinfo!AI28+Basicinfo!AJ28+Basicinfo!AK28=0,0,(Parameters!$C$132*(Basicinfo!AH28+Basicinfo!AI28)+Parameters!$C$133*Basicinfo!AJ28+Parameters!$C$134*Basicinfo!AK28)/(Basicinfo!AH28+Basicinfo!AI28+Basicinfo!AJ28+Basicinfo!AK28))</f>
        <v>5.0000000000000001E-4</v>
      </c>
      <c r="CP28" s="19">
        <f>IF(Basicinfo!AJ28+Basicinfo!AK28=0,0,(Parameters!$C$133*Basicinfo!AJ28+Parameters!$C$134*Basicinfo!AK28)/(Basicinfo!AJ28+Basicinfo!AK28))</f>
        <v>5.0000000000000001E-4</v>
      </c>
      <c r="CQ28" s="19">
        <f>IF(Z28=0,0,(CN28*(Z28-AA28)+CO28*Basicinfo!P28+CP28*(Basicinfo!Q28+Basicinfo!R28))/Z28)</f>
        <v>1.503649370713071E-2</v>
      </c>
      <c r="CR28" s="289">
        <f>Basicinfo!EI28</f>
        <v>3.4430753684210523E-2</v>
      </c>
      <c r="CS28" s="19">
        <f>IF(SUM(Basicinfo!AB28:AG28)=0,0,(Basicinfo!AB28*Parameters!$C$43+(Basicinfo!AC28+Basicinfo!AD28)*Parameters!$C$44+Basicinfo!AE28*Parameters!$C$45+(Basicinfo!AF28+Basicinfo!AG28)*Parameters!$C$46)/SUM(Basicinfo!AB28:AG28))</f>
        <v>6.7708652145892056</v>
      </c>
      <c r="CT28" s="19">
        <f>(Parameters!$C$41*CS28+Parameters!$C$42)</f>
        <v>344.06282518880988</v>
      </c>
      <c r="CU28" s="19">
        <f>CT28+Basicinfo!BR28/(Parameters!$C$47*Parameters!$C$49*Parameters!$C$48*10000/1000000)</f>
        <v>462.71208150619407</v>
      </c>
      <c r="CV28" s="19">
        <f>IF(BK28/Basicinfo!G28&lt;Parameters!$C$35,Parameters!$C$35,Parameters!$C$37*(BK28/Basicinfo!G28)^Parameters!$C$38)</f>
        <v>2.7261942792876033</v>
      </c>
      <c r="CW28" s="19">
        <f>IF(BK28/Basicinfo!G28&lt;Parameters!$C$35,Parameters!$C$36,Parameters!$C$36*(BK28/Basicinfo!G28)^Parameters!$C$38)</f>
        <v>6.4065565563258682</v>
      </c>
      <c r="CX28" s="27">
        <f>IF(Basicinfo!AJ28+Basicinfo!AK28=0,0,(Parameters!$C$53*Basicinfo!AJ28+Parameters!$C$54*Basicinfo!AK28)/(Basicinfo!AJ28+Basicinfo!AK28))</f>
        <v>750</v>
      </c>
      <c r="CY28" s="56">
        <f>IF(Basicinfo!AU28*AB28=0,0,((Basicinfo!AZ28+Basicinfo!BA28)/Basicinfo!AU28+Parameters!$C$76/(Basicinfo!AU28*AB28)*100))</f>
        <v>2.5780102051948797</v>
      </c>
      <c r="CZ28" s="43">
        <f>IF(Basicinfo!AU28*AB28=0,0,(Parameters!$C$77)/(Basicinfo!AU28*AB28)*100)</f>
        <v>0.68122732031902999</v>
      </c>
      <c r="DA28" s="43">
        <f>IF(AD28+AJ28=0,0,((J28*Parameters!$C$96+Parameters!$C$94/100*S28*100*Parameters!$C$93/1000*86400*Parameters!$C$95/24*Parameters!$C$98)*AI28+AD28*CY28*86400*365)/((AD28+AJ28*AI28/365)*86400*365))</f>
        <v>8.0810059354337334</v>
      </c>
      <c r="DB28" s="43">
        <f>IF(AD28+AJ28=0,0,((J28*Parameters!$C$97+Parameters!$C$94/100*S28*100*Parameters!$C$93/1000*86400*Parameters!$C$95/24*Parameters!$C$99)*AI28+AD28*CZ28*86400*365)/((AD28+AJ28*AI28/365)*86400*365))</f>
        <v>1.5603378997317123</v>
      </c>
      <c r="DC28" s="42">
        <f>IF(AE28+AL28=0,0,((K28*Parameters!$C$96+Parameters!$C$94/100*T28*100*Parameters!$C$93/1000*86400*Parameters!$C$95/24*Parameters!$C$98)*365+AE28*CY28*86400*365)/((AE28+AL28)*86400*365))</f>
        <v>0</v>
      </c>
      <c r="DD28" s="42">
        <f>IF(AE28+AL28=0,0,((K28*Parameters!$C$97+Parameters!$C$94/100*T28*100*Parameters!$C$93/1000*86400*Parameters!$C$95/24*Parameters!$C$99)*365+AE28*CZ28*86400*365)/((AE28+AL28)*86400*365))</f>
        <v>0</v>
      </c>
      <c r="DE28" s="42">
        <f>IF(Basicinfo!AH28+Basicinfo!AI28+Basicinfo!AJ28+Basicinfo!AK28=0,0,((Basicinfo!AH28+Basicinfo!AI28)*Parameters!$C$107+(Basicinfo!AJ28+Basicinfo!AK28)*Parameters!$C$106)/(Basicinfo!AH28+Basicinfo!AI28+Basicinfo!AJ28+Basicinfo!AK28))</f>
        <v>53.818773760272244</v>
      </c>
      <c r="DF28" s="42">
        <f>IF(Basicinfo!AH28+Basicinfo!AI28+Basicinfo!AJ28+Basicinfo!AK28=0,0,((Basicinfo!AH28+Basicinfo!AI28)*Parameters!$C$109+(Basicinfo!AJ28+Basicinfo!AK28)*Parameters!$C$108)/(Basicinfo!AH28+Basicinfo!AI28+Basicinfo!AJ28+Basicinfo!AK28))</f>
        <v>53.818773760272244</v>
      </c>
      <c r="DG28" s="42">
        <f>Intermediate!AC28*Intermediate!CY28*(1-Parameters!$C$102/100*Basicinfo!BZ28/100)*(1-Parameters!$C$104/100*Basicinfo!CA28/100)*86400*365/1000000</f>
        <v>0.94935616858415395</v>
      </c>
      <c r="DH28" s="42">
        <f>Intermediate!AC28*Intermediate!CZ28*(1-Parameters!$C$103/100*Basicinfo!BZ28/100)*(1-Parameters!$C$105/100*Basicinfo!CA28/100)*86400*365/1000000</f>
        <v>0.25086299404467888</v>
      </c>
      <c r="DI28" s="42">
        <f>(Intermediate!AK28*Intermediate!DA28+(Intermediate!AE28+Intermediate!AL28)*Intermediate!DC28)*86400*365/1000000</f>
        <v>2.3002621897037936</v>
      </c>
      <c r="DJ28" s="42">
        <f>(Intermediate!AK28*Intermediate!DB28+(Intermediate!AE28+Intermediate!AL28)*Intermediate!DD28)*86400*365/1000000</f>
        <v>0.44415092657917277</v>
      </c>
      <c r="DK28" s="42">
        <f>((Basicinfo!AZ28+Basicinfo!BA28)*Intermediate!AB28+Parameters!$C$76*100)/1000*Intermediate!U28*(1-Intermediate!DE28/100)+(1-Parameters!$C$110/100)*M28*Parameters!$C$100*(1-DE28/100)*365/1000000+(1-Parameters!$C$112/100)*P28*Parameters!$C$96*365/1000000+(1-Parameters!$C$112/100)*O28*Parameters!$C$96*(1-DE28/100)*365/1000000</f>
        <v>3.8555810790038878</v>
      </c>
      <c r="DL28" s="42">
        <f>Parameters!$C$77*100/1000*Intermediate!U28*(1-Intermediate!DF28/100)+(1-Parameters!$C$111/100)*M28*Parameters!$C$101*(1-DF28/100)*365/1000000+(1-Parameters!$C$113/100)*P28*Parameters!$C$97*365/1000000+(1-Parameters!$C$113/100)*O28*Parameters!$C$97*(1-DF28/100)*365/1000000</f>
        <v>0.59168363129168711</v>
      </c>
      <c r="DM28" s="31"/>
      <c r="DN28" s="31"/>
      <c r="DO28" s="31"/>
      <c r="DP28" s="31"/>
      <c r="DQ28" s="31"/>
      <c r="DR28" s="31"/>
      <c r="DS28" s="31"/>
      <c r="DT28" s="188">
        <f>BO28*(Basicinfo!$P28+Basicinfo!$Q28)/1000</f>
        <v>160.83971293980778</v>
      </c>
      <c r="DU28" s="188">
        <f>DT28*Basicinfo!$AZ28/(Basicinfo!$AZ28+Basicinfo!$BA28)</f>
        <v>93.806169761135678</v>
      </c>
      <c r="DV28" s="188">
        <f>DT28*Basicinfo!$BC28/(Basicinfo!$BB28+Basicinfo!$BC28)</f>
        <v>63.576267007314506</v>
      </c>
      <c r="DW28" s="188">
        <f>BP28*(Basicinfo!$P28+Basicinfo!$Q28)/1000</f>
        <v>202.43967747175361</v>
      </c>
      <c r="DX28" s="188">
        <f>DW28*Basicinfo!$BB28/(Basicinfo!$BB28+Basicinfo!$BC28)</f>
        <v>122.41989409502371</v>
      </c>
      <c r="DY28" s="188">
        <f>DW28*Basicinfo!$BC28/(Basicinfo!$BB28+Basicinfo!$BC28)</f>
        <v>80.019783376729904</v>
      </c>
      <c r="DZ28" s="188">
        <f t="shared" si="10"/>
        <v>201.1282403469796</v>
      </c>
      <c r="EA28" s="188">
        <f>DZ28*Basicinfo!$AZ28/(Basicinfo!$AZ28+Basicinfo!$BA28)</f>
        <v>117.3035534128815</v>
      </c>
      <c r="EB28" s="188">
        <f>DZ28*Basicinfo!$BC28/(Basicinfo!$BB28+Basicinfo!$BC28)</f>
        <v>79.50140221772385</v>
      </c>
      <c r="EC28" s="188">
        <f t="shared" si="11"/>
        <v>253.14852508808849</v>
      </c>
      <c r="ED28" s="188">
        <f>EC28*Basicinfo!$AZ28/(Basicinfo!$AZ28+Basicinfo!$BA28)</f>
        <v>147.64322246758374</v>
      </c>
      <c r="EE28" s="188">
        <f>EC28*Basicinfo!$BC28/(Basicinfo!$BB28+Basicinfo!$BC28)</f>
        <v>100.06383329925013</v>
      </c>
      <c r="EF28" s="190">
        <f>(Basicinfo!BP28-BL28/100)*Intermediate!X28/10</f>
        <v>585.03784436382898</v>
      </c>
      <c r="EG28" s="191">
        <f>(Basicinfo!BQ28-BM28/100)*Intermediate!X28/10</f>
        <v>506.87959975525052</v>
      </c>
      <c r="EH28" s="197">
        <f>IF(AU28=0,0,$BS28*((Basicinfo!$P28+Basicinfo!$Q28)*Intermediate!$AT28*1000+$AW28*3600*24*365)/1000000*Basicinfo!AZ28/(Basicinfo!$AZ28+Basicinfo!$BA28))</f>
        <v>7.681071078483809</v>
      </c>
      <c r="EI28" s="197">
        <f>IF(AU28=0,0,$BS28*((Basicinfo!$P28+Basicinfo!$Q28)*Intermediate!$AT28*1000+$AW28*3600*24*365)/1000000*Basicinfo!BA28/(Basicinfo!$AZ28+Basicinfo!$BA28))</f>
        <v>5.4888650832785064</v>
      </c>
      <c r="EJ28" s="198">
        <f>IF(AU28=0,0,$BS28*($AT28*$X28*1000)/1000000*Basicinfo!AZ28/(Basicinfo!$AZ28+Basicinfo!$BA28))</f>
        <v>9.6050924349366191</v>
      </c>
      <c r="EK28" s="198">
        <f>IF(AU28=0,0,$BS28*($AT28*$X28*1000)/1000000*Basicinfo!BA28/(Basicinfo!$AZ28+Basicinfo!$BA28))</f>
        <v>6.8637636534139341</v>
      </c>
      <c r="EL28" s="147">
        <f>Parameters!$C$150/Basicinfo!$AV28*100</f>
        <v>0.10716062701966</v>
      </c>
      <c r="EM28" s="147">
        <f>Parameters!$C$151/Basicinfo!$AV28*100</f>
        <v>0.21432125403932001</v>
      </c>
      <c r="EN28" s="147">
        <f>(Parameters!$C$150+Parameters!$C$151)/Intermediate!$BB28*100</f>
        <v>0.87679855135313045</v>
      </c>
      <c r="EO28" s="193">
        <f>IF(EN28=0,0,(1/(1+Parameters!$C$116*$BB28^Parameters!$C$120)*Basicinfo!$AH28/Basicinfo!$G28+1/(1+Parameters!$C$117*$BB28^Parameters!$C$121)*Basicinfo!$AI28/Basicinfo!$G28)*(EN28)^Parameters!$C$124+(1/(1+Parameters!$C$118*$BB28^Parameters!$C$122)*Basicinfo!$AJ28/Basicinfo!AW28+1/(1+Parameters!$C$119*$BB28^Parameters!$C$123)*Basicinfo!$AK28/Basicinfo!$G28)*(EN28)^Parameters!$C$125)</f>
        <v>0.26404161956220157</v>
      </c>
      <c r="EP28" s="199">
        <f>EL28*($AT28*Basicinfo!$P28*1000+$AW28*3600*24*365)/1000000</f>
        <v>0.94842373799582425</v>
      </c>
      <c r="EQ28" s="199">
        <f>EM28*($AT28*Basicinfo!$P28*1000+$AW28*3600*24*365)/1000000</f>
        <v>1.8968474759916485</v>
      </c>
      <c r="ER28" s="199">
        <f t="shared" si="12"/>
        <v>1.1859931483326664</v>
      </c>
      <c r="ES28" s="199">
        <f t="shared" si="13"/>
        <v>2.3719862966653329</v>
      </c>
      <c r="ET28" s="181">
        <f t="shared" si="14"/>
        <v>23.257277630274167</v>
      </c>
      <c r="EU28" s="147">
        <f>Intermediate!F28*(Parameters!$C$150)/1000*100</f>
        <v>0.11886958780316351</v>
      </c>
      <c r="EV28" s="147">
        <f>Intermediate!F28*(Parameters!$C$151)/1000*100</f>
        <v>0.23773917560632701</v>
      </c>
      <c r="EW28" s="181">
        <f>'Local emissions'!$S28*Basicinfo!AZ28/(Basicinfo!$AZ28+Basicinfo!$BA28)-Intermediate!EU28</f>
        <v>0.86415083799456516</v>
      </c>
      <c r="EX28" s="147">
        <f>'Local emissions'!$S28*Basicinfo!BA28/(Basicinfo!$AZ28+Basicinfo!$BA28)-Intermediate!EV28</f>
        <v>0.46472359764219112</v>
      </c>
      <c r="EY28" s="188">
        <f t="shared" si="15"/>
        <v>6.7326473404879845</v>
      </c>
      <c r="EZ28" s="188">
        <f t="shared" si="16"/>
        <v>3.5920176072868579</v>
      </c>
      <c r="FA28" s="188">
        <f t="shared" si="17"/>
        <v>8.4190992866039522</v>
      </c>
      <c r="FB28" s="181">
        <f t="shared" si="18"/>
        <v>4.4917773567486012</v>
      </c>
      <c r="FC28" s="181">
        <f>'Local emissions'!Y28-Intermediate!ET28</f>
        <v>149.79730786071372</v>
      </c>
      <c r="FD28" s="188">
        <f t="shared" si="19"/>
        <v>19.053282114911401</v>
      </c>
      <c r="FE28" s="188">
        <f t="shared" si="20"/>
        <v>12.454180905167995</v>
      </c>
      <c r="FF28" s="181">
        <f t="shared" si="21"/>
        <v>11.489504997635219</v>
      </c>
      <c r="FG28" s="201">
        <f t="shared" si="22"/>
        <v>7.7869061211170338</v>
      </c>
      <c r="FH28" s="181">
        <f t="shared" si="23"/>
        <v>99.013433721882066</v>
      </c>
      <c r="FJ28" s="147">
        <f>AVERAGE(Parameters!$C$132:$C$134)*'Local emissions'!J28*3600*24*365/1000000</f>
        <v>4.40409312532552E-2</v>
      </c>
      <c r="FK28" s="147">
        <f>'Local emissions'!AJ28+CT28*BJ28/100*Intermediate!X28*100/1000000</f>
        <v>0.91964457668745092</v>
      </c>
      <c r="FL28" s="31">
        <f>(Parameters!$C$18*(Basicinfo!AH28+Basicinfo!AI28)+Parameters!$C$19*Basicinfo!AJ28+Parameters!$C$20*Basicinfo!AK28)/Basicinfo!G28</f>
        <v>2.5954693440068063E-2</v>
      </c>
      <c r="FM28" s="181">
        <f t="shared" si="32"/>
        <v>0.52625231556612373</v>
      </c>
    </row>
    <row r="29" spans="1:169">
      <c r="A29" s="39" t="str">
        <f>Basicinfo!A29</f>
        <v>Diesenleitenbach</v>
      </c>
      <c r="B29" s="63">
        <f>Basicinfo!B29</f>
        <v>1210</v>
      </c>
      <c r="C29" s="63">
        <f>Basicinfo!C29</f>
        <v>5010</v>
      </c>
      <c r="D29" s="61">
        <f>Basicinfo!U29*Basicinfo!V29/1000+Basicinfo!Y29</f>
        <v>0.26331118742205328</v>
      </c>
      <c r="E29" s="19">
        <f>Basicinfo!W29*Basicinfo!X29/1000+Basicinfo!Z29</f>
        <v>0</v>
      </c>
      <c r="F29" s="19">
        <f t="shared" si="0"/>
        <v>0.26331118742205328</v>
      </c>
      <c r="G29" s="19">
        <f>SUM(Basicinfo!H29:L29)</f>
        <v>8.6813910116264985</v>
      </c>
      <c r="H29" s="19">
        <f>IF(Basicinfo!N29&lt;Parameters!$C$68,Parameters!$C$69,Basicinfo!BS29/(Basicinfo!N29*100))</f>
        <v>152.55915419878195</v>
      </c>
      <c r="I29" s="19">
        <f>IF(Basicinfo!N29=0,0,Basicinfo!BU29*(1-Basicinfo!BX29/100))</f>
        <v>50173.986085161239</v>
      </c>
      <c r="J29" s="19">
        <f>IF(Basicinfo!N29=0,0,Basicinfo!BU29*Basicinfo!BX29/100)</f>
        <v>12543.496521290308</v>
      </c>
      <c r="K29" s="19">
        <f>IF(Basicinfo!N29=0,0,Basicinfo!BT29-Basicinfo!BU29)</f>
        <v>0</v>
      </c>
      <c r="L29" s="27">
        <f>Basicinfo!BV29*Basicinfo!BW29/100</f>
        <v>2745.34</v>
      </c>
      <c r="M29" s="27">
        <f>Basicinfo!BV29-Intermediate!L29</f>
        <v>2745.34</v>
      </c>
      <c r="N29" s="73">
        <f>Basicinfo!BS29-SUM(I29:K29)-Basicinfo!BV29</f>
        <v>-7.2759576141834259E-12</v>
      </c>
      <c r="O29" s="19">
        <f>IF(Basicinfo!AH29+Basicinfo!AI29+Basicinfo!AJ29+Basicinfo!AK29=0,0,N29*(Basicinfo!AH29+Basicinfo!AI29)/SUM(Basicinfo!AH29:AK29))</f>
        <v>-1.095341699680924E-12</v>
      </c>
      <c r="P29" s="73">
        <f t="shared" si="25"/>
        <v>-6.1806159145025021E-12</v>
      </c>
      <c r="Q29" s="19">
        <f>IF(Basicinfo!BS29=0,Basicinfo!N29,IF(H29&gt;Parameters!$C$70,Parameters!$C$64*(Parameters!$C$65*Parameters!$C$70)^(Parameters!$C$66-Parameters!$C$67*LOG(Parameters!$C$65*Parameters!$C$70,10))/100*Basicinfo!N29,Parameters!$C$64*(Parameters!$C$65*H29)^(Parameters!$C$66-Parameters!$C$67*LOG(Parameters!$C$65*H29,10))/100*Basicinfo!N29))</f>
        <v>3.3894033161171349</v>
      </c>
      <c r="R29" s="19">
        <f>IF(Basicinfo!BS29=0,Q29*(1-Basicinfo!BX29/100),IF(H29&lt;Parameters!$C$75,Q29*Basicinfo!BU29/Basicinfo!BS29*(1-Basicinfo!BX29/100)*(-Parameters!$C$74+Parameters!$C$73*LN(H29*100)),Q29*Basicinfo!BU29/Basicinfo!BS29*(1-Basicinfo!BX29/100)))</f>
        <v>2.0845806519695889</v>
      </c>
      <c r="S29" s="19">
        <f>IF(Basicinfo!BS29=0,Q29*Basicinfo!BX29/100,Q29*Basicinfo!BU29/Basicinfo!BS29*Basicinfo!BX29/100)</f>
        <v>0.62331203598414764</v>
      </c>
      <c r="T29" s="19">
        <f>IF(Basicinfo!BS29=0,0,IF(H29&lt;Parameters!$C$75,Q29*K29/Basicinfo!BS29*(-Parameters!$C$74+Parameters!$C$73*LN(H29*100)),Q29*K29/Basicinfo!BS29))</f>
        <v>0</v>
      </c>
      <c r="U29" s="19">
        <f t="shared" si="26"/>
        <v>0.68151062816339836</v>
      </c>
      <c r="V29" s="19">
        <f>IF(Basicinfo!AL29&gt;Parameters!$C$14,Basicinfo!Q29,0)</f>
        <v>0</v>
      </c>
      <c r="W29" s="19">
        <f>IF(Basicinfo!AL29&gt;Parameters!$C$14,0,Basicinfo!Q29)</f>
        <v>0</v>
      </c>
      <c r="X29" s="19">
        <f>G29+Basicinfo!M29</f>
        <v>22.605062679182215</v>
      </c>
      <c r="Y29" s="19">
        <f>IF(Basicinfo!G29-F29-Q29-V29-Basicinfo!O29-Basicinfo!R29-Basicinfo!S29&lt;0,0,Basicinfo!G29-F29-Q29-V29-Basicinfo!O29-Basicinfo!R29-Basicinfo!S29)</f>
        <v>50.915165772260814</v>
      </c>
      <c r="Z29" s="19">
        <f>Basicinfo!G29-F29-Basicinfo!BO29-Q29-Basicinfo!O29</f>
        <v>49.305789289931262</v>
      </c>
      <c r="AA29" s="53">
        <f>IF(Z29+Basicinfo!BO29-X29&gt;0,Z29+Basicinfo!BO29-X29,0)</f>
        <v>28.310103093078599</v>
      </c>
      <c r="AB29" s="56">
        <f>IF(Basicinfo!N29=0,0,Parameters!$C$71+Parameters!$C$72*Q29/Basicinfo!N29)</f>
        <v>0.71857326533870136</v>
      </c>
      <c r="AC29" s="43">
        <f>Basicinfo!AU29*AB29*R29/1000/86.4/0.365</f>
        <v>4.6349634687317759E-2</v>
      </c>
      <c r="AD29" s="43">
        <f>Basicinfo!AU29*AB29*S29/1000/86.4/0.365</f>
        <v>1.385903929252001E-2</v>
      </c>
      <c r="AE29" s="43">
        <f>Basicinfo!AU29*AB29*T29/1000/86.4/0.365</f>
        <v>0</v>
      </c>
      <c r="AF29" s="43">
        <f>Basicinfo!AU29*AB29*U29/1000/86.4/0.365</f>
        <v>1.5153056621269454E-2</v>
      </c>
      <c r="AG29" s="43">
        <f>((Parameters!$C$80+Parameters!$C$81*Parameters!$C$89)/(Parameters!$C$82+Parameters!$C$89)/(Parameters!$C$90/100*Parameters!$C$91+(Parameters!$C$83+Parameters!$C$84*Parameters!$C$89)/(Parameters!$C$85+Parameters!$C$89)))-Parameters!$C$86+(Basicinfo!AU29-Parameters!$C$88)/Parameters!$C$87</f>
        <v>75.783798128115791</v>
      </c>
      <c r="AH29" s="43">
        <f>((Parameters!$C$80+Parameters!$C$81*Parameters!$C$89)/(Parameters!$C$82+Parameters!$C$89)/(Basicinfo!BY29/100*Parameters!$C$91+(Parameters!$C$83+Parameters!$C$84*Parameters!$C$89)/(Parameters!$C$85+Parameters!$C$89)))-Parameters!$C$86+(Basicinfo!AU29-Parameters!$C$88)/Parameters!$C$87</f>
        <v>57.980916261500219</v>
      </c>
      <c r="AI29" s="43">
        <f>Basicinfo!AU29^Parameters!$C$79*Parameters!$C$78*AH29/AG29</f>
        <v>27.308501180571866</v>
      </c>
      <c r="AJ29" s="43">
        <f>(J29*Parameters!$C$92/1000+Parameters!$C$94/100*S29*100*Parameters!$C$93/1000*86400*Parameters!$C$95/24)/86400</f>
        <v>1.8894093592955723E-2</v>
      </c>
      <c r="AK29" s="43">
        <f t="shared" si="1"/>
        <v>8.8552247408799929E-3</v>
      </c>
      <c r="AL29" s="43">
        <f>(K29*Parameters!$C$92/1000+Parameters!$C$94/100*T29*100*Parameters!$C$93/1000*86400*Parameters!$C$95/24)/86400</f>
        <v>0</v>
      </c>
      <c r="AM29" s="43">
        <f>(Intermediate!N29+Basicinfo!BV29-Intermediate!L29)*Parameters!$C$92/1000/86400</f>
        <v>4.1307199074073972E-3</v>
      </c>
      <c r="AN29" s="43">
        <f t="shared" si="2"/>
        <v>5.4385232654162202E-2</v>
      </c>
      <c r="AO29" s="43">
        <f t="shared" si="27"/>
        <v>8.8552247408799929E-3</v>
      </c>
      <c r="AP29" s="43">
        <f t="shared" si="28"/>
        <v>1.9283776528676851E-2</v>
      </c>
      <c r="AQ29" s="43">
        <f t="shared" si="3"/>
        <v>7.4488635956874605E-2</v>
      </c>
      <c r="AR29" s="61">
        <f>(Basicinfo!AU29-Basicinfo!AY29)*F29/1000/86.4/0.365</f>
        <v>2.5298675267772072E-3</v>
      </c>
      <c r="AS29" s="19">
        <f>IF(Basicinfo!AP29-Basicinfo!CB29-Basicinfo!CG29&lt;0,0,(Basicinfo!AP29-Basicinfo!CB29-Basicinfo!CG29)/Basicinfo!G29*1000)</f>
        <v>13.497031570151957</v>
      </c>
      <c r="AT29" s="19">
        <f>Parameters!$C$3*((AS29*86.4*0.365)^Parameters!$C$4)</f>
        <v>80.438212740389375</v>
      </c>
      <c r="AU29" s="19">
        <f>IF(AT29/86.4/0.365*(Basicinfo!G29/1000)-AN29&lt;0,0,AT29/86.4/0.365*(Basicinfo!G29/1000)-AN29)</f>
        <v>8.4799913287520262E-2</v>
      </c>
      <c r="AV29" s="19">
        <f>IF(Basicinfo!AU29&gt;Parameters!$C$13,Parameters!$C$11*(Basicinfo!AU29-Parameters!$C$13)^Parameters!$C$12,0)</f>
        <v>88.936317552700785</v>
      </c>
      <c r="AW29" s="19">
        <f>IF(AV29*V29/1000/86.4/0.365&gt;Basicinfo!AP29*Parameters!$C$15,Basicinfo!AP29*Parameters!$C$15,AV29*V29/1000/86.4/0.365)</f>
        <v>0</v>
      </c>
      <c r="AX29" s="19">
        <f>Basicinfo!AU29-Basicinfo!AW29</f>
        <v>358.72743435000018</v>
      </c>
      <c r="AY29" s="19">
        <f>Parameters!$C$56*AX29+Parameters!$C$57*Basicinfo!AW29</f>
        <v>241.0715019750715</v>
      </c>
      <c r="AZ29" s="19">
        <f>AY29*Basicinfo!BO29/1000/86.4/0.365</f>
        <v>1.2302600388081614E-2</v>
      </c>
      <c r="BA29" s="19">
        <f>IF(Basicinfo!AP29-AQ29-AR29-AU29-AW29-AZ29-Basicinfo!CB29-Basicinfo!CG29&lt;0,0,Basicinfo!AP29-AQ29-AR29-AU29-AW29-AZ29-Basicinfo!CB29-Basicinfo!CG29)</f>
        <v>0.56238338563949131</v>
      </c>
      <c r="BB29" s="53">
        <f t="shared" si="4"/>
        <v>359.70060929840395</v>
      </c>
      <c r="BC29" s="56">
        <f>IF(G29=0,0,((Basicinfo!H29*Basicinfo!BE29+Basicinfo!I29*Basicinfo!BF29+Basicinfo!J29*Basicinfo!BG29+Basicinfo!K29*Basicinfo!BH29+Basicinfo!L29*Basicinfo!BI29)*(1-Basicinfo!BN29/G29*Parameters!$C$26/100)/G29)*Basicinfo!BM29)</f>
        <v>5.2091583653273608</v>
      </c>
      <c r="BD29" s="43">
        <f>IF(Basicinfo!AW29*Parameters!$C$39-Parameters!$C$40&lt;0,0.001,(Basicinfo!AW29*Parameters!$C$39-Parameters!$C$40)/(Basicinfo!AX29*Parameters!$C$39-Parameters!$C$40))</f>
        <v>1.1212319512096394</v>
      </c>
      <c r="BE29" s="43">
        <f>(BC29*G29*100+Basicinfo!BJ29*Basicinfo!M29*100)*Parameters!$C$29*BD29</f>
        <v>5337.6317016756848</v>
      </c>
      <c r="BF29" s="43">
        <f>(Basicinfo!BK29*Basicinfo!P29*100)*BD29*Parameters!$C$29</f>
        <v>369.6334428476859</v>
      </c>
      <c r="BG29" s="43">
        <f>Parameters!$C$27*(V29+W29)*100</f>
        <v>0</v>
      </c>
      <c r="BH29" s="43">
        <f>Parameters!$C$28*Basicinfo!R29*100</f>
        <v>0</v>
      </c>
      <c r="BI29" s="43">
        <f t="shared" si="29"/>
        <v>369.6334428476859</v>
      </c>
      <c r="BJ29" s="43">
        <f>IF(Basicinfo!AM29&lt;Parameters!$C$33,0,Parameters!$C$30*(((Basicinfo!AM29-Parameters!$C$33)^Parameters!$C$31)*(((G29-Basicinfo!BN29)/Basicinfo!G29*100+Parameters!$C$34))^Parameters!$C$32))</f>
        <v>2.585268418042558</v>
      </c>
      <c r="BK29" s="58">
        <f t="shared" si="30"/>
        <v>507.62554950253491</v>
      </c>
      <c r="BL29" s="61">
        <f>Basicinfo!AZ29+Basicinfo!BA29</f>
        <v>1411.8213972711062</v>
      </c>
      <c r="BM29" s="19">
        <f>Basicinfo!BB29+Basicinfo!BC29</f>
        <v>1788.3336000816967</v>
      </c>
      <c r="BN29" s="172">
        <f>IF(Basicinfo!AO29=0,0,IF(Basicinfo!AO29="NA",1,IF(OR(Basicinfo!AO29="SA",Basicinfo!AN29="S"),3,IF(Basicinfo!AN29="N",1,IF(Basicinfo!AO29="ZA",2,0)))))</f>
        <v>0</v>
      </c>
      <c r="BO29" s="27">
        <f>IF($BN29=1,(BL29)*(1+Parameters!$C$21*Parameters!$C$22-Parameters!$C$22*Basicinfo!$AL29),IF($BN29=2,(BL29)*(1+Parameters!$C$21*Parameters!$C$23-Parameters!$C$23*Basicinfo!$AL29),IF($BN29=3,(BL29)*(1+Parameters!$C$21*Parameters!$C$24-Parameters!$C$24*Basicinfo!$AL29),BL29)))</f>
        <v>1411.8213972711062</v>
      </c>
      <c r="BP29" s="27">
        <f>IF($BN29=1,(BM29)*(1+Parameters!$C$21*Parameters!$C$22-Parameters!$C$22*Basicinfo!$AL29),IF($BN29=2,(BM29)*(1+Parameters!$C$21*Parameters!$C$23-Parameters!$C$23*Basicinfo!$AL29),IF($BN29=3,(BM29)*(1+Parameters!$C$21*Parameters!$C$24-Parameters!$C$24*Basicinfo!$AL29),BM29)))</f>
        <v>1788.3336000816967</v>
      </c>
      <c r="BQ29" s="27">
        <f>IF(Basicinfo!AU29=0,0,IF(G29+Basicinfo!M29=0,0,(Parameters!$C$16+BO29/Basicinfo!AU29)*G29+(Parameters!$C$17+BO29/Basicinfo!AU29)*Basicinfo!M29)/(G29+Basicinfo!M29))</f>
        <v>1.5620408615891843</v>
      </c>
      <c r="BR29" s="27">
        <f>IF(Basicinfo!AU29=0,0,IF(G29+Basicinfo!M29=0,0,(Parameters!$C$16+BP29/Basicinfo!AU29)*G29+(Parameters!$C$17+BP29/Basicinfo!AU29)*Basicinfo!M29)/(G29+Basicinfo!M29))</f>
        <v>1.9478885400354138</v>
      </c>
      <c r="BS29" s="27">
        <f>IF(Basicinfo!AU29=0,0,BO29/Basicinfo!AU29)</f>
        <v>1.4468269672306233</v>
      </c>
      <c r="BT29" s="27">
        <f>IF(Basicinfo!AU29=0,0,BP29/Basicinfo!AU29)</f>
        <v>1.8326746456768528</v>
      </c>
      <c r="BU29" s="27">
        <f>IF(SUM(G29,Basicinfo!M29,Basicinfo!P29,W29)=0,0,(BQ29*(G29+Basicinfo!M29)+BS29*(Basicinfo!P29+W29))/SUM(G29,Basicinfo!M29,Basicinfo!P29,W29))</f>
        <v>1.4990892034043677</v>
      </c>
      <c r="BV29" s="19">
        <f>IF(Basicinfo!BR29/Parameters!$C$10&gt;1,1,Basicinfo!BR29/Parameters!$C$10)</f>
        <v>0.49929557512000405</v>
      </c>
      <c r="BW29" s="19">
        <f>Parameters!$C$5+Parameters!$C$6*EXP(BV29*Parameters!$C$8*Parameters!$C$7)</f>
        <v>3.5654522820227325E-2</v>
      </c>
      <c r="BX29" s="19">
        <f>Parameters!$C$5+Parameters!$C$6*EXP(BV29*Parameters!$C$9*Parameters!$C$7)</f>
        <v>3.5301870558110134E-2</v>
      </c>
      <c r="BY29" s="19">
        <f>IF(Basicinfo!AH29+Basicinfo!AI29+Basicinfo!AJ29+Basicinfo!AK29=0,0,(Parameters!$C$18*(Basicinfo!AH29+Basicinfo!AI29)+Parameters!$C$19*Basicinfo!AJ29+Parameters!$C$20*Basicinfo!AK29)/(Basicinfo!AH29+Basicinfo!AI29+Basicinfo!AJ29+Basicinfo!AK29))</f>
        <v>2.6505426168983878E-2</v>
      </c>
      <c r="BZ29" s="19">
        <f>IF(Basicinfo!AJ29+Basicinfo!AK29=0,Parameters!$C$18,(Parameters!$C$19*Basicinfo!AJ29+Parameters!$C$20*Basicinfo!AK29)/(Basicinfo!AJ29+Basicinfo!AK29))</f>
        <v>2.5000000000000001E-2</v>
      </c>
      <c r="CA29" s="19">
        <f>IF(SUM(G29,Basicinfo!M29,Basicinfo!P29,W29)=0,0,(BW29*G29+BX29*Basicinfo!M29+BY29*Basicinfo!P29+BZ29*W29)/(SUM(G29,Basicinfo!M29,Basicinfo!P29,W29)))</f>
        <v>3.0557020660591842E-2</v>
      </c>
      <c r="CB29" s="19">
        <f>IF(Y29=0,Basicinfo!BP29,Basicinfo!BP29-(AU29*X29/Y29*Intermediate!BQ29*86400*365/1000000)*1000/(X29*100))</f>
        <v>62.604703861041415</v>
      </c>
      <c r="CC29" s="19">
        <f>IF(Y29=0,Basicinfo!BQ29,Basicinfo!BQ29-(AU29*Basicinfo!AV29/Basicinfo!AU29*X29/Y29*Intermediate!BR29*86400*365/1000000)*1000/(X29*100))</f>
        <v>61.606027641017278</v>
      </c>
      <c r="CD29" s="19">
        <f>IF(OR(Y29=0,AA29=0),BP29/100,BP29/100-(AU29*Basicinfo!AV29/Basicinfo!AU29*(Basicinfo!P29+W29)/Y29*Intermediate!BT29*86400*365/1000000+AW29*Basicinfo!AV29/Basicinfo!AU29*Intermediate!BT29*86400*365/1000000)*1000/(AA29*100))</f>
        <v>16.9773827633013</v>
      </c>
      <c r="CE29" s="19">
        <f t="shared" si="5"/>
        <v>129346.082418543</v>
      </c>
      <c r="CF29" s="19">
        <f t="shared" si="6"/>
        <v>48063.145627971542</v>
      </c>
      <c r="CG29" s="19">
        <f>IF(AY29=0,0,((CB29^Parameters!$C$58))/AY29*100)</f>
        <v>13.962720577415119</v>
      </c>
      <c r="CH29" s="19">
        <f>IF(SUM(Basicinfo!AB29:AG29)=0,0,(Parameters!$C$59*Basicinfo!AB29+Parameters!$C$60*SUM(Basicinfo!AC29:AE29)+Parameters!$C$61*Basicinfo!AF29+Parameters!$C$62*Basicinfo!AG29)/SUM(Basicinfo!AB29:AG29))</f>
        <v>0.18981874664179382</v>
      </c>
      <c r="CI29" s="19">
        <f t="shared" si="31"/>
        <v>8</v>
      </c>
      <c r="CJ29" s="19">
        <f t="shared" si="8"/>
        <v>35.981419342726817</v>
      </c>
      <c r="CK29" s="19">
        <f t="shared" si="9"/>
        <v>10.003157740796874</v>
      </c>
      <c r="CL29" s="19">
        <f>IF($BB29=0,0,$CJ29^Parameters!$C$58*100/$BB29)</f>
        <v>5.8442040875101693</v>
      </c>
      <c r="CM29" s="19">
        <f>IF(CK29=0,0,(1/(1+Parameters!$C$116*BB29^Parameters!$C$120)*Basicinfo!AH29/Basicinfo!G29+1/(1+Parameters!$C$117*BB29^Parameters!$C$121)*Basicinfo!AI29/Basicinfo!G29)*(CK29)^Parameters!$C$124+(1/(1+Parameters!$C$118*BB29^Parameters!$C$122)*Basicinfo!AJ29/Basicinfo!G29+1/(1+Parameters!$C$119*BB29^Parameters!$C$123)*Basicinfo!AK29/Basicinfo!G29)*(CK29)^Parameters!$C$125)</f>
        <v>1.9756215343544128</v>
      </c>
      <c r="CN29" s="19">
        <f>IF(SUM(Basicinfo!AB29:AG29)=0,0,(Parameters!$C$128*Basicinfo!AB29+Parameters!$C$129*(SUM(Basicinfo!AC29:AE29))+Parameters!$C$130*Basicinfo!AF29+Parameters!$C$131*Basicinfo!AG29)/SUM(Basicinfo!AB29:AG29))</f>
        <v>2.8545535234541976E-2</v>
      </c>
      <c r="CO29" s="19">
        <f>IF(Basicinfo!AH29+Basicinfo!AI29+Basicinfo!AJ29+Basicinfo!AK29=0,0,(Parameters!$C$132*(Basicinfo!AH29+Basicinfo!AI29)+Parameters!$C$133*Basicinfo!AJ29+Parameters!$C$134*Basicinfo!AK29)/(Basicinfo!AH29+Basicinfo!AI29+Basicinfo!AJ29+Basicinfo!AK29))</f>
        <v>5.0000000000000001E-4</v>
      </c>
      <c r="CP29" s="19">
        <f>IF(Basicinfo!AJ29+Basicinfo!AK29=0,0,(Parameters!$C$133*Basicinfo!AJ29+Parameters!$C$134*Basicinfo!AK29)/(Basicinfo!AJ29+Basicinfo!AK29))</f>
        <v>5.0000000000000001E-4</v>
      </c>
      <c r="CQ29" s="19">
        <f>IF(Z29=0,0,(CN29*(Z29-AA29)+CO29*Basicinfo!P29+CP29*(Basicinfo!Q29+Basicinfo!R29))/Z29)</f>
        <v>1.2431550048513462E-2</v>
      </c>
      <c r="CR29" s="289">
        <f>Basicinfo!EI29</f>
        <v>6.0233815789473691E-2</v>
      </c>
      <c r="CS29" s="19">
        <f>IF(SUM(Basicinfo!AB29:AG29)=0,0,(Basicinfo!AB29*Parameters!$C$43+(Basicinfo!AC29+Basicinfo!AD29)*Parameters!$C$44+Basicinfo!AE29*Parameters!$C$45+(Basicinfo!AF29+Basicinfo!AG29)*Parameters!$C$46)/SUM(Basicinfo!AB29:AG29))</f>
        <v>5.9745960807085758</v>
      </c>
      <c r="CT29" s="19">
        <f>(Parameters!$C$41*CS29+Parameters!$C$42)</f>
        <v>335.94088002322746</v>
      </c>
      <c r="CU29" s="19">
        <f>CT29+Basicinfo!BR29/(Parameters!$C$47*Parameters!$C$49*Parameters!$C$48*10000/1000000)</f>
        <v>511.79340962524145</v>
      </c>
      <c r="CV29" s="19">
        <f>IF(BK29/Basicinfo!G29&lt;Parameters!$C$35,Parameters!$C$35,Parameters!$C$37*(BK29/Basicinfo!G29)^Parameters!$C$38)</f>
        <v>2.6850949020627346</v>
      </c>
      <c r="CW29" s="19">
        <f>IF(BK29/Basicinfo!G29&lt;Parameters!$C$35,Parameters!$C$36,Parameters!$C$36*(BK29/Basicinfo!G29)^Parameters!$C$38)</f>
        <v>6.3099730198474271</v>
      </c>
      <c r="CX29" s="27">
        <f>IF(Basicinfo!AJ29+Basicinfo!AK29=0,0,(Parameters!$C$53*Basicinfo!AJ29+Parameters!$C$54*Basicinfo!AK29)/(Basicinfo!AJ29+Basicinfo!AK29))</f>
        <v>750</v>
      </c>
      <c r="CY29" s="56">
        <f>IF(Basicinfo!AU29*AB29=0,0,((Basicinfo!AZ29+Basicinfo!BA29)/Basicinfo!AU29+Parameters!$C$76/(Basicinfo!AU29*AB29)*100))</f>
        <v>2.0172877209627154</v>
      </c>
      <c r="CZ29" s="43">
        <f>IF(Basicinfo!AU29*AB29=0,0,(Parameters!$C$77)/(Basicinfo!AU29*AB29)*100)</f>
        <v>0.35653797108255747</v>
      </c>
      <c r="DA29" s="43">
        <f>IF(AD29+AJ29=0,0,((J29*Parameters!$C$96+Parameters!$C$94/100*S29*100*Parameters!$C$93/1000*86400*Parameters!$C$95/24*Parameters!$C$98)*AI29+AD29*CY29*86400*365)/((AD29+AJ29*AI29/365)*86400*365))</f>
        <v>10.365244994541623</v>
      </c>
      <c r="DB29" s="43">
        <f>IF(AD29+AJ29=0,0,((J29*Parameters!$C$97+Parameters!$C$94/100*S29*100*Parameters!$C$93/1000*86400*Parameters!$C$95/24*Parameters!$C$99)*AI29+AD29*CZ29*86400*365)/((AD29+AJ29*AI29/365)*86400*365))</f>
        <v>1.7119128101758134</v>
      </c>
      <c r="DC29" s="42">
        <f>IF(AE29+AL29=0,0,((K29*Parameters!$C$96+Parameters!$C$94/100*T29*100*Parameters!$C$93/1000*86400*Parameters!$C$95/24*Parameters!$C$98)*365+AE29*CY29*86400*365)/((AE29+AL29)*86400*365))</f>
        <v>0</v>
      </c>
      <c r="DD29" s="42">
        <f>IF(AE29+AL29=0,0,((K29*Parameters!$C$97+Parameters!$C$94/100*T29*100*Parameters!$C$93/1000*86400*Parameters!$C$95/24*Parameters!$C$99)*365+AE29*CZ29*86400*365)/((AE29+AL29)*86400*365))</f>
        <v>0</v>
      </c>
      <c r="DE29" s="42">
        <f>IF(Basicinfo!AH29+Basicinfo!AI29+Basicinfo!AJ29+Basicinfo!AK29=0,0,((Basicinfo!AH29+Basicinfo!AI29)*Parameters!$C$107+(Basicinfo!AJ29+Basicinfo!AK29)*Parameters!$C$106)/(Basicinfo!AH29+Basicinfo!AI29+Basicinfo!AJ29+Basicinfo!AK29))</f>
        <v>56.02170467593551</v>
      </c>
      <c r="DF29" s="42">
        <f>IF(Basicinfo!AH29+Basicinfo!AI29+Basicinfo!AJ29+Basicinfo!AK29=0,0,((Basicinfo!AH29+Basicinfo!AI29)*Parameters!$C$109+(Basicinfo!AJ29+Basicinfo!AK29)*Parameters!$C$108)/(Basicinfo!AH29+Basicinfo!AI29+Basicinfo!AJ29+Basicinfo!AK29))</f>
        <v>56.02170467593551</v>
      </c>
      <c r="DG29" s="42">
        <f>Intermediate!AC29*Intermediate!CY29*(1-Parameters!$C$102/100*Basicinfo!BZ29/100)*(1-Parameters!$C$104/100*Basicinfo!CA29/100)*86400*365/1000000</f>
        <v>2.9486333109250902</v>
      </c>
      <c r="DH29" s="42">
        <f>Intermediate!AC29*Intermediate!CZ29*(1-Parameters!$C$103/100*Basicinfo!BZ29/100)*(1-Parameters!$C$105/100*Basicinfo!CA29/100)*86400*365/1000000</f>
        <v>0.5211451629923971</v>
      </c>
      <c r="DI29" s="42">
        <f>(Intermediate!AK29*Intermediate!DA29+(Intermediate!AE29+Intermediate!AL29)*Intermediate!DC29)*86400*365/1000000</f>
        <v>2.8945813951709995</v>
      </c>
      <c r="DJ29" s="42">
        <f>(Intermediate!AK29*Intermediate!DB29+(Intermediate!AE29+Intermediate!AL29)*Intermediate!DD29)*86400*365/1000000</f>
        <v>0.47806597654944744</v>
      </c>
      <c r="DK29" s="42">
        <f>((Basicinfo!AZ29+Basicinfo!BA29)*Intermediate!AB29+Parameters!$C$76*100)/1000*Intermediate!U29*(1-Intermediate!DE29/100)+(1-Parameters!$C$110/100)*M29*Parameters!$C$100*(1-DE29/100)*365/1000000+(1-Parameters!$C$112/100)*P29*Parameters!$C$96*365/1000000+(1-Parameters!$C$112/100)*O29*Parameters!$C$96*(1-DE29/100)*365/1000000</f>
        <v>3.9934897978202644</v>
      </c>
      <c r="DL29" s="42">
        <f>Parameters!$C$77*100/1000*Intermediate!U29*(1-Intermediate!DF29/100)+(1-Parameters!$C$111/100)*M29*Parameters!$C$101*(1-DF29/100)*365/1000000+(1-Parameters!$C$113/100)*P29*Parameters!$C$97*365/1000000+(1-Parameters!$C$113/100)*O29*Parameters!$C$97*(1-DF29/100)*365/1000000</f>
        <v>0.55168950603000777</v>
      </c>
      <c r="DM29" s="31"/>
      <c r="DN29" s="31"/>
      <c r="DO29" s="31"/>
      <c r="DP29" s="31"/>
      <c r="DQ29" s="31"/>
      <c r="DR29" s="31"/>
      <c r="DS29" s="31"/>
      <c r="DT29" s="188">
        <f>BO29*(Basicinfo!$P29+Basicinfo!$Q29)/1000</f>
        <v>38.441883767604523</v>
      </c>
      <c r="DU29" s="188">
        <f>DT29*Basicinfo!$AZ29/(Basicinfo!$AZ29+Basicinfo!$BA29)</f>
        <v>22.354635831494456</v>
      </c>
      <c r="DV29" s="188">
        <f>DT29*Basicinfo!$BC29/(Basicinfo!$BB29+Basicinfo!$BC29)</f>
        <v>15.262640569017362</v>
      </c>
      <c r="DW29" s="188">
        <f>BP29*(Basicinfo!$P29+Basicinfo!$Q29)/1000</f>
        <v>48.693774244336055</v>
      </c>
      <c r="DX29" s="188">
        <f>DW29*Basicinfo!$BB29/(Basicinfo!$BB29+Basicinfo!$BC29)</f>
        <v>29.360809743088669</v>
      </c>
      <c r="DY29" s="188">
        <f>DW29*Basicinfo!$BC29/(Basicinfo!$BB29+Basicinfo!$BC29)</f>
        <v>19.332964501247382</v>
      </c>
      <c r="DZ29" s="188">
        <f t="shared" si="10"/>
        <v>31.91431117712397</v>
      </c>
      <c r="EA29" s="188">
        <f>DZ29*Basicinfo!$AZ29/(Basicinfo!$AZ29+Basicinfo!$BA29)</f>
        <v>18.558736832215764</v>
      </c>
      <c r="EB29" s="188">
        <f>DZ29*Basicinfo!$BC29/(Basicinfo!$BB29+Basicinfo!$BC29)</f>
        <v>12.670988327442458</v>
      </c>
      <c r="EC29" s="188">
        <f t="shared" si="11"/>
        <v>40.425393121134327</v>
      </c>
      <c r="ED29" s="188">
        <f>EC29*Basicinfo!$AZ29/(Basicinfo!$AZ29+Basicinfo!$BA29)</f>
        <v>23.508081628650945</v>
      </c>
      <c r="EE29" s="188">
        <f>EC29*Basicinfo!$BC29/(Basicinfo!$BB29+Basicinfo!$BC29)</f>
        <v>16.050156355476332</v>
      </c>
      <c r="EF29" s="190">
        <f>(Basicinfo!BP29-BL29/100)*Intermediate!X29/10</f>
        <v>111.45862584724475</v>
      </c>
      <c r="EG29" s="191">
        <f>(Basicinfo!BQ29-BM29/100)*Intermediate!X29/10</f>
        <v>101.0985343053938</v>
      </c>
      <c r="EH29" s="197">
        <f>IF(AU29=0,0,$BS29*((Basicinfo!$P29+Basicinfo!$Q29)*Intermediate!$AT29*1000+$AW29*3600*24*365)/1000000*Basicinfo!AZ29/(Basicinfo!$AZ29+Basicinfo!$BA29))</f>
        <v>1.8427518125500393</v>
      </c>
      <c r="EI29" s="197">
        <f>IF(AU29=0,0,$BS29*((Basicinfo!$P29+Basicinfo!$Q29)*Intermediate!$AT29*1000+$AW29*3600*24*365)/1000000*Basicinfo!BA29/(Basicinfo!$AZ29+Basicinfo!$BA29))</f>
        <v>1.3261144362478703</v>
      </c>
      <c r="EJ29" s="198">
        <f>IF(AU29=0,0,$BS29*($AT29*$X29*1000)/1000000*Basicinfo!AZ29/(Basicinfo!$AZ29+Basicinfo!$BA29))</f>
        <v>1.5298458088958502</v>
      </c>
      <c r="EK29" s="198">
        <f>IF(AU29=0,0,$BS29*($AT29*$X29*1000)/1000000*Basicinfo!BA29/(Basicinfo!$AZ29+Basicinfo!$BA29))</f>
        <v>1.1009353503783339</v>
      </c>
      <c r="EL29" s="147">
        <f>Parameters!$C$150/Basicinfo!$AV29*100</f>
        <v>0.10472605140772338</v>
      </c>
      <c r="EM29" s="147">
        <f>Parameters!$C$151/Basicinfo!$AV29*100</f>
        <v>0.20945210281544677</v>
      </c>
      <c r="EN29" s="147">
        <f>(Parameters!$C$150+Parameters!$C$151)/Intermediate!$BB29*100</f>
        <v>0.83402694419992784</v>
      </c>
      <c r="EO29" s="193">
        <f>IF(EN29=0,0,(1/(1+Parameters!$C$116*$BB29^Parameters!$C$120)*Basicinfo!$AH29/Basicinfo!$G29+1/(1+Parameters!$C$117*$BB29^Parameters!$C$121)*Basicinfo!$AI29/Basicinfo!$G29)*(EN29)^Parameters!$C$124+(1/(1+Parameters!$C$118*$BB29^Parameters!$C$122)*Basicinfo!$AJ29/Basicinfo!AW29+1/(1+Parameters!$C$119*$BB29^Parameters!$C$123)*Basicinfo!$AK29/Basicinfo!$G29)*(EN29)^Parameters!$C$125)</f>
        <v>0.27513648316027173</v>
      </c>
      <c r="EP29" s="199">
        <f>EL29*($AT29*Basicinfo!$P29*1000+$AW29*3600*24*365)/1000000</f>
        <v>0.22937286710312654</v>
      </c>
      <c r="EQ29" s="199">
        <f>EM29*($AT29*Basicinfo!$P29*1000+$AW29*3600*24*365)/1000000</f>
        <v>0.45874573420625309</v>
      </c>
      <c r="ER29" s="199">
        <f t="shared" si="12"/>
        <v>0.19042451458862111</v>
      </c>
      <c r="ES29" s="199">
        <f t="shared" si="13"/>
        <v>0.38084902917724223</v>
      </c>
      <c r="ET29" s="181">
        <f t="shared" si="14"/>
        <v>4.8796342464762743</v>
      </c>
      <c r="EU29" s="147">
        <f>Intermediate!F29*(Parameters!$C$150)/1000*100</f>
        <v>2.6331118742205326E-2</v>
      </c>
      <c r="EV29" s="147">
        <f>Intermediate!F29*(Parameters!$C$151)/1000*100</f>
        <v>5.2662237484410651E-2</v>
      </c>
      <c r="EW29" s="181">
        <f>'Local emissions'!$S29*Basicinfo!AZ29/(Basicinfo!$AZ29+Basicinfo!$BA29)-Intermediate!EU29</f>
        <v>0.18984713750498844</v>
      </c>
      <c r="EX29" s="147">
        <f>'Local emissions'!$S29*Basicinfo!BA29/(Basicinfo!$AZ29+Basicinfo!$BA29)-Intermediate!EV29</f>
        <v>0.10290787481171298</v>
      </c>
      <c r="EY29" s="188">
        <f t="shared" si="15"/>
        <v>1.6133789454469127</v>
      </c>
      <c r="EZ29" s="188">
        <f t="shared" si="16"/>
        <v>0.8673687020416172</v>
      </c>
      <c r="FA29" s="188">
        <f t="shared" si="17"/>
        <v>1.339421294307229</v>
      </c>
      <c r="FB29" s="181">
        <f t="shared" si="18"/>
        <v>0.72008632120109173</v>
      </c>
      <c r="FC29" s="181">
        <f>'Local emissions'!Y29-Intermediate!ET29</f>
        <v>30.158650703528519</v>
      </c>
      <c r="FD29" s="188">
        <f t="shared" si="19"/>
        <v>4.6550999072984709</v>
      </c>
      <c r="FE29" s="188">
        <f t="shared" si="20"/>
        <v>3.0652043334310952</v>
      </c>
      <c r="FF29" s="181">
        <f t="shared" si="21"/>
        <v>1.8635805614328731</v>
      </c>
      <c r="FG29" s="201">
        <f t="shared" si="22"/>
        <v>1.2723607083093349</v>
      </c>
      <c r="FH29" s="181">
        <f t="shared" si="23"/>
        <v>19.302405193056746</v>
      </c>
      <c r="FJ29" s="147">
        <f>AVERAGE(Parameters!$C$132:$C$134)*'Local emissions'!J29*3600*24*365/1000000</f>
        <v>8.8676612247634984E-3</v>
      </c>
      <c r="FK29" s="147">
        <f>'Local emissions'!AJ29+CT29*BJ29/100*Intermediate!X29*100/1000000</f>
        <v>0.18596748625734794</v>
      </c>
      <c r="FL29" s="31">
        <f>(Parameters!$C$18*(Basicinfo!AH29+Basicinfo!AI29)+Parameters!$C$19*Basicinfo!AJ29+Parameters!$C$20*Basicinfo!AK29)/Basicinfo!G29</f>
        <v>2.6505426168983878E-2</v>
      </c>
      <c r="FM29" s="181">
        <f t="shared" si="32"/>
        <v>7.0882137666794034E-2</v>
      </c>
    </row>
    <row r="30" spans="1:169">
      <c r="A30" s="39" t="str">
        <f>Basicinfo!A30</f>
        <v>Gosaubach</v>
      </c>
      <c r="B30" s="63">
        <f>Basicinfo!B30</f>
        <v>1220</v>
      </c>
      <c r="C30" s="63">
        <f>Basicinfo!C30</f>
        <v>4010</v>
      </c>
      <c r="D30" s="61">
        <f>Basicinfo!U30*Basicinfo!V30/1000+Basicinfo!Y30</f>
        <v>2.2690145717942478</v>
      </c>
      <c r="E30" s="19">
        <f>Basicinfo!W30*Basicinfo!X30/1000+Basicinfo!Z30</f>
        <v>0</v>
      </c>
      <c r="F30" s="19">
        <f t="shared" si="0"/>
        <v>2.2690145717942478</v>
      </c>
      <c r="G30" s="19">
        <f>SUM(Basicinfo!H30:L30)</f>
        <v>8.1880695573189062E-6</v>
      </c>
      <c r="H30" s="19">
        <f>IF(Basicinfo!N30&lt;Parameters!$C$68,Parameters!$C$69,Basicinfo!BS30/(Basicinfo!N30*100))</f>
        <v>13.98223087492995</v>
      </c>
      <c r="I30" s="19">
        <f>IF(Basicinfo!N30=0,0,Basicinfo!BU30*(1-Basicinfo!BX30/100))</f>
        <v>825.05032822486203</v>
      </c>
      <c r="J30" s="19">
        <f>IF(Basicinfo!N30=0,0,Basicinfo!BU30*Basicinfo!BX30/100)</f>
        <v>825.05032822486203</v>
      </c>
      <c r="K30" s="19">
        <f>IF(Basicinfo!N30=0,0,Basicinfo!BT30-Basicinfo!BU30)</f>
        <v>0</v>
      </c>
      <c r="L30" s="27">
        <f>Basicinfo!BV30*Basicinfo!BW30/100</f>
        <v>74.359999999999971</v>
      </c>
      <c r="M30" s="27">
        <f>Basicinfo!BV30-Intermediate!L30</f>
        <v>74.359999999999971</v>
      </c>
      <c r="N30" s="73">
        <f>Basicinfo!BS30-SUM(I30:K30)-Basicinfo!BV30</f>
        <v>0</v>
      </c>
      <c r="O30" s="19">
        <f>IF(Basicinfo!AH30+Basicinfo!AI30+Basicinfo!AJ30+Basicinfo!AK30=0,0,N30*(Basicinfo!AH30+Basicinfo!AI30)/SUM(Basicinfo!AH30:AK30))</f>
        <v>0</v>
      </c>
      <c r="P30" s="73">
        <f t="shared" si="25"/>
        <v>0</v>
      </c>
      <c r="Q30" s="19">
        <f>IF(Basicinfo!BS30=0,Basicinfo!N30,IF(H30&gt;Parameters!$C$70,Parameters!$C$64*(Parameters!$C$65*Parameters!$C$70)^(Parameters!$C$66-Parameters!$C$67*LOG(Parameters!$C$65*Parameters!$C$70,10))/100*Basicinfo!N30,Parameters!$C$64*(Parameters!$C$65*H30)^(Parameters!$C$66-Parameters!$C$67*LOG(Parameters!$C$65*H30,10))/100*Basicinfo!N30))</f>
        <v>0.31683438903541161</v>
      </c>
      <c r="R30" s="19">
        <f>IF(Basicinfo!BS30=0,Q30*(1-Basicinfo!BX30/100),IF(H30&lt;Parameters!$C$75,Q30*Basicinfo!BU30/Basicinfo!BS30*(1-Basicinfo!BX30/100)*(-Parameters!$C$74+Parameters!$C$73*LN(H30*100)),Q30*Basicinfo!BU30/Basicinfo!BS30*(1-Basicinfo!BX30/100)))</f>
        <v>7.8090472780005221E-2</v>
      </c>
      <c r="S30" s="19">
        <f>IF(Basicinfo!BS30=0,Q30*Basicinfo!BX30/100,Q30*Basicinfo!BU30/Basicinfo!BS30*Basicinfo!BX30/100)</f>
        <v>0.14531983259660552</v>
      </c>
      <c r="T30" s="19">
        <f>IF(Basicinfo!BS30=0,0,IF(H30&lt;Parameters!$C$75,Q30*K30/Basicinfo!BS30*(-Parameters!$C$74+Parameters!$C$73*LN(H30*100)),Q30*K30/Basicinfo!BS30))</f>
        <v>0</v>
      </c>
      <c r="U30" s="19">
        <f t="shared" si="26"/>
        <v>9.3424083658800866E-2</v>
      </c>
      <c r="V30" s="19">
        <f>IF(Basicinfo!AL30&gt;Parameters!$C$14,Basicinfo!Q30,0)</f>
        <v>13.8980531968778</v>
      </c>
      <c r="W30" s="19">
        <f>IF(Basicinfo!AL30&gt;Parameters!$C$14,0,Basicinfo!Q30)</f>
        <v>0</v>
      </c>
      <c r="X30" s="19">
        <f>G30+Basicinfo!M30</f>
        <v>10.571221141270113</v>
      </c>
      <c r="Y30" s="19">
        <f>IF(Basicinfo!G30-F30-Q30-V30-Basicinfo!O30-Basicinfo!R30-Basicinfo!S30&lt;0,0,Basicinfo!G30-F30-Q30-V30-Basicinfo!O30-Basicinfo!R30-Basicinfo!S30)</f>
        <v>92.127164098614429</v>
      </c>
      <c r="Z30" s="19">
        <f>Basicinfo!G30-F30-Basicinfo!BO30-Q30-Basicinfo!O30</f>
        <v>107.13116067454847</v>
      </c>
      <c r="AA30" s="53">
        <f>IF(Z30+Basicinfo!BO30-X30&gt;0,Z30+Basicinfo!BO30-X30,0)</f>
        <v>97.728966336900228</v>
      </c>
      <c r="AB30" s="56">
        <f>IF(Basicinfo!N30=0,0,Parameters!$C$71+Parameters!$C$72*Q30/Basicinfo!N30)</f>
        <v>0.33470650036982924</v>
      </c>
      <c r="AC30" s="43">
        <f>Basicinfo!AU30*AB30*R30/1000/86.4/0.365</f>
        <v>1.5839445743969049E-3</v>
      </c>
      <c r="AD30" s="43">
        <f>Basicinfo!AU30*AB30*S30/1000/86.4/0.365</f>
        <v>2.9475882549989652E-3</v>
      </c>
      <c r="AE30" s="43">
        <f>Basicinfo!AU30*AB30*T30/1000/86.4/0.365</f>
        <v>0</v>
      </c>
      <c r="AF30" s="43">
        <f>Basicinfo!AU30*AB30*U30/1000/86.4/0.365</f>
        <v>1.8949631774703446E-3</v>
      </c>
      <c r="AG30" s="43">
        <f>((Parameters!$C$80+Parameters!$C$81*Parameters!$C$89)/(Parameters!$C$82+Parameters!$C$89)/(Parameters!$C$90/100*Parameters!$C$91+(Parameters!$C$83+Parameters!$C$84*Parameters!$C$89)/(Parameters!$C$85+Parameters!$C$89)))-Parameters!$C$86+(Basicinfo!AU30-Parameters!$C$88)/Parameters!$C$87</f>
        <v>99.166273439172926</v>
      </c>
      <c r="AH30" s="43">
        <f>((Parameters!$C$80+Parameters!$C$81*Parameters!$C$89)/(Parameters!$C$82+Parameters!$C$89)/(Basicinfo!BY30/100*Parameters!$C$91+(Parameters!$C$83+Parameters!$C$84*Parameters!$C$89)/(Parameters!$C$85+Parameters!$C$89)))-Parameters!$C$86+(Basicinfo!AU30-Parameters!$C$88)/Parameters!$C$87</f>
        <v>81.363391572557362</v>
      </c>
      <c r="AI30" s="43">
        <f>Basicinfo!AU30^Parameters!$C$79*Parameters!$C$78*AH30/AG30</f>
        <v>157.20171060670737</v>
      </c>
      <c r="AJ30" s="43">
        <f>(J30*Parameters!$C$92/1000+Parameters!$C$94/100*S30*100*Parameters!$C$93/1000*86400*Parameters!$C$95/24)/86400</f>
        <v>1.2462391642026655E-3</v>
      </c>
      <c r="AK30" s="43">
        <f t="shared" si="1"/>
        <v>2.8349694884867915E-3</v>
      </c>
      <c r="AL30" s="43">
        <f>(K30*Parameters!$C$92/1000+Parameters!$C$94/100*T30*100*Parameters!$C$93/1000*86400*Parameters!$C$95/24)/86400</f>
        <v>0</v>
      </c>
      <c r="AM30" s="43">
        <f>(Intermediate!N30+Basicinfo!BV30-Intermediate!L30)*Parameters!$C$92/1000/86400</f>
        <v>1.118842592592592E-4</v>
      </c>
      <c r="AN30" s="43">
        <f t="shared" si="2"/>
        <v>3.9822023482584236E-3</v>
      </c>
      <c r="AO30" s="43">
        <f t="shared" si="27"/>
        <v>2.8349694884867915E-3</v>
      </c>
      <c r="AP30" s="43">
        <f t="shared" si="28"/>
        <v>2.0068474367296038E-3</v>
      </c>
      <c r="AQ30" s="43">
        <f t="shared" si="3"/>
        <v>6.4257614996132998E-3</v>
      </c>
      <c r="AR30" s="61">
        <f>(Basicinfo!AU30-Basicinfo!AY30)*F30/1000/86.4/0.365</f>
        <v>9.3844212998585974E-2</v>
      </c>
      <c r="AS30" s="19">
        <f>IF(Basicinfo!AP30-Basicinfo!CB30-Basicinfo!CG30&lt;0,0,(Basicinfo!AP30-Basicinfo!CB30-Basicinfo!CG30)/Basicinfo!G30*1000)</f>
        <v>61.085111292410673</v>
      </c>
      <c r="AT30" s="19">
        <f>Parameters!$C$3*((AS30*86.4*0.365)^Parameters!$C$4)</f>
        <v>527.86950784967587</v>
      </c>
      <c r="AU30" s="19">
        <f>IF(AT30/86.4/0.365*(Basicinfo!G30/1000)-AN30&lt;0,0,AT30/86.4/0.365*(Basicinfo!G30/1000)-AN30)</f>
        <v>1.8520983875317565</v>
      </c>
      <c r="AV30" s="19">
        <f>IF(Basicinfo!AU30&gt;Parameters!$C$13,Parameters!$C$11*(Basicinfo!AU30-Parameters!$C$13)^Parameters!$C$12,0)</f>
        <v>268.85176200165489</v>
      </c>
      <c r="AW30" s="19">
        <f>IF(AV30*V30/1000/86.4/0.365&gt;Basicinfo!AP30*Parameters!$C$15,Basicinfo!AP30*Parameters!$C$15,AV30*V30/1000/86.4/0.365)</f>
        <v>0.1184841479697276</v>
      </c>
      <c r="AX30" s="19">
        <f>Basicinfo!AU30-Basicinfo!AW30</f>
        <v>743.21886762985696</v>
      </c>
      <c r="AY30" s="19">
        <f>Parameters!$C$56*AX30+Parameters!$C$57*Basicinfo!AW30</f>
        <v>488.39797653124276</v>
      </c>
      <c r="AZ30" s="19">
        <f>AY30*Basicinfo!BO30/1000/86.4/0.365</f>
        <v>1.8104716051487516E-2</v>
      </c>
      <c r="BA30" s="19">
        <f>IF(Basicinfo!AP30-AQ30-AR30-AU30-AW30-AZ30-Basicinfo!CB30-Basicinfo!CG30&lt;0,0,Basicinfo!AP30-AQ30-AR30-AU30-AW30-AZ30-Basicinfo!CB30-Basicinfo!CG30)</f>
        <v>4.6845286505994483</v>
      </c>
      <c r="BB30" s="53">
        <f t="shared" si="4"/>
        <v>1378.9759636236374</v>
      </c>
      <c r="BC30" s="56">
        <f>IF(G30=0,0,((Basicinfo!H30*Basicinfo!BE30+Basicinfo!I30*Basicinfo!BF30+Basicinfo!J30*Basicinfo!BG30+Basicinfo!K30*Basicinfo!BH30+Basicinfo!L30*Basicinfo!BI30)*(1-Basicinfo!BN30/G30*Parameters!$C$26/100)/G30)*Basicinfo!BM30)</f>
        <v>10.958460724455293</v>
      </c>
      <c r="BD30" s="43">
        <f>IF(Basicinfo!AW30*Parameters!$C$39-Parameters!$C$40&lt;0,0.001,(Basicinfo!AW30*Parameters!$C$39-Parameters!$C$40)/(Basicinfo!AX30*Parameters!$C$39-Parameters!$C$40))</f>
        <v>1.1423869224170768</v>
      </c>
      <c r="BE30" s="43">
        <f>(BC30*G30*100+Basicinfo!BJ30*Basicinfo!M30*100)*Parameters!$C$29*BD30</f>
        <v>484.63490269182211</v>
      </c>
      <c r="BF30" s="43">
        <f>(Basicinfo!BK30*Basicinfo!P30*100)*BD30*Parameters!$C$29</f>
        <v>688.75768009422529</v>
      </c>
      <c r="BG30" s="43">
        <f>Parameters!$C$27*(V30+W30)*100</f>
        <v>277.96106393755605</v>
      </c>
      <c r="BH30" s="43">
        <f>Parameters!$C$28*Basicinfo!R30*100</f>
        <v>6664.3337102073192</v>
      </c>
      <c r="BI30" s="43">
        <f t="shared" si="29"/>
        <v>7631.0524542391004</v>
      </c>
      <c r="BJ30" s="43">
        <f>IF(Basicinfo!AM30&lt;Parameters!$C$33,0,Parameters!$C$30*(((Basicinfo!AM30-Parameters!$C$33)^Parameters!$C$31)*(((G30-Basicinfo!BN30)/Basicinfo!G30*100+Parameters!$C$34))^Parameters!$C$32))</f>
        <v>1.4965838739786443</v>
      </c>
      <c r="BK30" s="58">
        <f t="shared" si="30"/>
        <v>7638.3054220404583</v>
      </c>
      <c r="BL30" s="61">
        <f>Basicinfo!AZ30+Basicinfo!BA30</f>
        <v>1265.7564943667371</v>
      </c>
      <c r="BM30" s="19">
        <f>Basicinfo!BB30+Basicinfo!BC30</f>
        <v>1804.9763719113723</v>
      </c>
      <c r="BN30" s="172">
        <f>IF(Basicinfo!AO30=0,0,IF(Basicinfo!AO30="NA",1,IF(OR(Basicinfo!AO30="SA",Basicinfo!AN30="S"),3,IF(Basicinfo!AN30="N",1,IF(Basicinfo!AO30="ZA",2,0)))))</f>
        <v>1</v>
      </c>
      <c r="BO30" s="27">
        <f>IF($BN30=1,(BL30)*(1+Parameters!$C$21*Parameters!$C$22-Parameters!$C$22*Basicinfo!$AL30),IF($BN30=2,(BL30)*(1+Parameters!$C$21*Parameters!$C$23-Parameters!$C$23*Basicinfo!$AL30),IF($BN30=3,(BL30)*(1+Parameters!$C$21*Parameters!$C$24-Parameters!$C$24*Basicinfo!$AL30),BL30)))</f>
        <v>1034.9802785726133</v>
      </c>
      <c r="BP30" s="27">
        <f>IF($BN30=1,(BM30)*(1+Parameters!$C$21*Parameters!$C$22-Parameters!$C$22*Basicinfo!$AL30),IF($BN30=2,(BM30)*(1+Parameters!$C$21*Parameters!$C$23-Parameters!$C$23*Basicinfo!$AL30),IF($BN30=3,(BM30)*(1+Parameters!$C$21*Parameters!$C$24-Parameters!$C$24*Basicinfo!$AL30),BM30)))</f>
        <v>1475.8881005405719</v>
      </c>
      <c r="BQ30" s="27">
        <f>IF(Basicinfo!AU30=0,0,IF(G30+Basicinfo!M30=0,0,(Parameters!$C$16+BO30/Basicinfo!AU30)*G30+(Parameters!$C$17+BO30/Basicinfo!AU30)*Basicinfo!M30)/(G30+Basicinfo!M30))</f>
        <v>0.54156161203411923</v>
      </c>
      <c r="BR30" s="27">
        <f>IF(Basicinfo!AU30=0,0,IF(G30+Basicinfo!M30=0,0,(Parameters!$C$16+BP30/Basicinfo!AU30)*G30+(Parameters!$C$17+BP30/Basicinfo!AU30)*Basicinfo!M30)/(G30+Basicinfo!M30))</f>
        <v>0.77227001615903124</v>
      </c>
      <c r="BS30" s="27">
        <f>IF(Basicinfo!AU30=0,0,BO30/Basicinfo!AU30)</f>
        <v>0.54156137966542361</v>
      </c>
      <c r="BT30" s="27">
        <f>IF(Basicinfo!AU30=0,0,BP30/Basicinfo!AU30)</f>
        <v>0.77226978379033573</v>
      </c>
      <c r="BU30" s="27">
        <f>IF(SUM(G30,Basicinfo!M30,Basicinfo!P30,W30)=0,0,(BQ30*(G30+Basicinfo!M30)+BS30*(Basicinfo!P30+W30))/SUM(G30,Basicinfo!M30,Basicinfo!P30,W30))</f>
        <v>0.54156140661242225</v>
      </c>
      <c r="BV30" s="19">
        <f>IF(Basicinfo!BR30/Parameters!$C$10&gt;1,1,Basicinfo!BR30/Parameters!$C$10)</f>
        <v>0.13958895902422191</v>
      </c>
      <c r="BW30" s="19">
        <f>Parameters!$C$5+Parameters!$C$6*EXP(BV30*Parameters!$C$8*Parameters!$C$7)</f>
        <v>3.5004331869295677E-2</v>
      </c>
      <c r="BX30" s="19">
        <f>Parameters!$C$5+Parameters!$C$6*EXP(BV30*Parameters!$C$9*Parameters!$C$7)</f>
        <v>3.5003489073647191E-2</v>
      </c>
      <c r="BY30" s="19">
        <f>IF(Basicinfo!AH30+Basicinfo!AI30+Basicinfo!AJ30+Basicinfo!AK30=0,0,(Parameters!$C$18*(Basicinfo!AH30+Basicinfo!AI30)+Parameters!$C$19*Basicinfo!AJ30+Parameters!$C$20*Basicinfo!AK30)/(Basicinfo!AH30+Basicinfo!AI30+Basicinfo!AJ30+Basicinfo!AK30))</f>
        <v>1.2329956041658627E-2</v>
      </c>
      <c r="BZ30" s="19">
        <f>IF(Basicinfo!AJ30+Basicinfo!AK30=0,Parameters!$C$18,(Parameters!$C$19*Basicinfo!AJ30+Parameters!$C$20*Basicinfo!AK30)/(Basicinfo!AJ30+Basicinfo!AK30))</f>
        <v>7.7120322455211179E-3</v>
      </c>
      <c r="CA30" s="19">
        <f>IF(SUM(G30,Basicinfo!M30,Basicinfo!P30,W30)=0,0,(BW30*G30+BX30*Basicinfo!M30+BY30*Basicinfo!P30+BZ30*W30)/(SUM(G30,Basicinfo!M30,Basicinfo!P30,W30)))</f>
        <v>1.4959327714116935E-2</v>
      </c>
      <c r="CB30" s="19">
        <f>IF(Y30=0,Basicinfo!BP30,Basicinfo!BP30-(AU30*X30/Y30*Intermediate!BQ30*86400*365/1000000)*1000/(X30*100))</f>
        <v>6.5789006107676942</v>
      </c>
      <c r="CC30" s="19">
        <f>IF(Y30=0,Basicinfo!BQ30,Basicinfo!BQ30-(AU30*Basicinfo!AV30/Basicinfo!AU30*X30/Y30*Intermediate!BR30*86400*365/1000000)*1000/(X30*100))</f>
        <v>16.879474574135635</v>
      </c>
      <c r="CD30" s="19">
        <f>IF(OR(Y30=0,AA30=0),BP30/100,BP30/100-(AU30*Basicinfo!AV30/Basicinfo!AU30*(Basicinfo!P30+W30)/Y30*Intermediate!BT30*86400*365/1000000+AW30*Basicinfo!AV30/Basicinfo!AU30*Intermediate!BT30*86400*365/1000000)*1000/(AA30*100))</f>
        <v>10.623478713798162</v>
      </c>
      <c r="CE30" s="19">
        <f t="shared" si="5"/>
        <v>15870.410026341549</v>
      </c>
      <c r="CF30" s="19">
        <f t="shared" si="6"/>
        <v>103822.15936015568</v>
      </c>
      <c r="CG30" s="19">
        <f>IF(AY30=0,0,((CB30^Parameters!$C$58))/AY30*100)</f>
        <v>1.0154451523799648</v>
      </c>
      <c r="CH30" s="19">
        <f>IF(SUM(Basicinfo!AB30:AG30)=0,0,(Parameters!$C$59*Basicinfo!AB30+Parameters!$C$60*SUM(Basicinfo!AC30:AE30)+Parameters!$C$61*Basicinfo!AF30+Parameters!$C$62*Basicinfo!AG30)/SUM(Basicinfo!AB30:AG30))</f>
        <v>0.18070358930151306</v>
      </c>
      <c r="CI30" s="19">
        <f t="shared" si="31"/>
        <v>2</v>
      </c>
      <c r="CJ30" s="19">
        <f t="shared" si="8"/>
        <v>11.172526147654537</v>
      </c>
      <c r="CK30" s="19">
        <f t="shared" si="9"/>
        <v>0.81020456065787116</v>
      </c>
      <c r="CL30" s="19">
        <f>IF($BB30=0,0,$CJ30^Parameters!$C$58*100/$BB30)</f>
        <v>0.56412062259333384</v>
      </c>
      <c r="CM30" s="19">
        <f>IF(CK30=0,0,(1/(1+Parameters!$C$116*BB30^Parameters!$C$120)*Basicinfo!AH30/Basicinfo!G30+1/(1+Parameters!$C$117*BB30^Parameters!$C$121)*Basicinfo!AI30/Basicinfo!G30)*(CK30)^Parameters!$C$124+(1/(1+Parameters!$C$118*BB30^Parameters!$C$122)*Basicinfo!AJ30/Basicinfo!G30+1/(1+Parameters!$C$119*BB30^Parameters!$C$123)*Basicinfo!AK30/Basicinfo!G30)*(CK30)^Parameters!$C$125)</f>
        <v>0.50241789992619013</v>
      </c>
      <c r="CN30" s="19">
        <f>IF(SUM(Basicinfo!AB30:AG30)=0,0,(Parameters!$C$128*Basicinfo!AB30+Parameters!$C$129*(SUM(Basicinfo!AC30:AE30))+Parameters!$C$130*Basicinfo!AF30+Parameters!$C$131*Basicinfo!AG30)/SUM(Basicinfo!AB30:AG30))</f>
        <v>2.5080507417080743E-2</v>
      </c>
      <c r="CO30" s="19">
        <f>IF(Basicinfo!AH30+Basicinfo!AI30+Basicinfo!AJ30+Basicinfo!AK30=0,0,(Parameters!$C$132*(Basicinfo!AH30+Basicinfo!AI30)+Parameters!$C$133*Basicinfo!AJ30+Parameters!$C$134*Basicinfo!AK30)/(Basicinfo!AH30+Basicinfo!AI30+Basicinfo!AJ30+Basicinfo!AK30))</f>
        <v>5.0000000000000001E-4</v>
      </c>
      <c r="CP30" s="19">
        <f>IF(Basicinfo!AJ30+Basicinfo!AK30=0,0,(Parameters!$C$133*Basicinfo!AJ30+Parameters!$C$134*Basicinfo!AK30)/(Basicinfo!AJ30+Basicinfo!AK30))</f>
        <v>5.0000000000000001E-4</v>
      </c>
      <c r="CQ30" s="19">
        <f>IF(Z30=0,0,(CN30*(Z30-AA30)+CO30*Basicinfo!P30+CP30*(Basicinfo!Q30+Basicinfo!R30))/Z30)</f>
        <v>2.6510122134298974E-3</v>
      </c>
      <c r="CR30" s="289">
        <f>Basicinfo!EI30</f>
        <v>4.0358736842105265E-3</v>
      </c>
      <c r="CS30" s="19">
        <f>IF(SUM(Basicinfo!AB30:AG30)=0,0,(Basicinfo!AB30*Parameters!$C$43+(Basicinfo!AC30+Basicinfo!AD30)*Parameters!$C$44+Basicinfo!AE30*Parameters!$C$45+(Basicinfo!AF30+Basicinfo!AG30)*Parameters!$C$46)/SUM(Basicinfo!AB30:AG30))</f>
        <v>25.680505248322355</v>
      </c>
      <c r="CT30" s="19">
        <f>(Parameters!$C$41*CS30+Parameters!$C$42)</f>
        <v>536.94115353288794</v>
      </c>
      <c r="CU30" s="19">
        <f>CT30+Basicinfo!BR30/(Parameters!$C$47*Parameters!$C$49*Parameters!$C$48*10000/1000000)</f>
        <v>586.10456048481512</v>
      </c>
      <c r="CV30" s="19">
        <f>IF(BK30/Basicinfo!G30&lt;Parameters!$C$35,Parameters!$C$35,Parameters!$C$37*(BK30/Basicinfo!G30)^Parameters!$C$38)</f>
        <v>1.0478235805981333</v>
      </c>
      <c r="CW30" s="19">
        <f>IF(BK30/Basicinfo!G30&lt;Parameters!$C$35,Parameters!$C$36,Parameters!$C$36*(BK30/Basicinfo!G30)^Parameters!$C$38)</f>
        <v>2.4623854144056132</v>
      </c>
      <c r="CX30" s="27">
        <f>IF(Basicinfo!AJ30+Basicinfo!AK30=0,0,(Parameters!$C$53*Basicinfo!AJ30+Parameters!$C$54*Basicinfo!AK30)/(Basicinfo!AJ30+Basicinfo!AK30))</f>
        <v>595.51177751316743</v>
      </c>
      <c r="CY30" s="56">
        <f>IF(Basicinfo!AU30*AB30=0,0,((Basicinfo!AZ30+Basicinfo!BA30)/Basicinfo!AU30+Parameters!$C$76/(Basicinfo!AU30*AB30)*100))</f>
        <v>1.2876499626632805</v>
      </c>
      <c r="CZ30" s="43">
        <f>IF(Basicinfo!AU30*AB30=0,0,(Parameters!$C$77)/(Basicinfo!AU30*AB30)*100)</f>
        <v>0.39083322229103801</v>
      </c>
      <c r="DA30" s="43">
        <f>IF(AD30+AJ30=0,0,((J30*Parameters!$C$96+Parameters!$C$94/100*S30*100*Parameters!$C$93/1000*86400*Parameters!$C$95/24*Parameters!$C$98)*AI30+AD30*CY30*86400*365)/((AD30+AJ30*AI30/365)*86400*365))</f>
        <v>15.254723010332764</v>
      </c>
      <c r="DB30" s="43">
        <f>IF(AD30+AJ30=0,0,((J30*Parameters!$C$97+Parameters!$C$94/100*S30*100*Parameters!$C$93/1000*86400*Parameters!$C$95/24*Parameters!$C$99)*AI30+AD30*CZ30*86400*365)/((AD30+AJ30*AI30/365)*86400*365))</f>
        <v>2.6350591623194006</v>
      </c>
      <c r="DC30" s="42">
        <f>IF(AE30+AL30=0,0,((K30*Parameters!$C$96+Parameters!$C$94/100*T30*100*Parameters!$C$93/1000*86400*Parameters!$C$95/24*Parameters!$C$98)*365+AE30*CY30*86400*365)/((AE30+AL30)*86400*365))</f>
        <v>0</v>
      </c>
      <c r="DD30" s="42">
        <f>IF(AE30+AL30=0,0,((K30*Parameters!$C$97+Parameters!$C$94/100*T30*100*Parameters!$C$93/1000*86400*Parameters!$C$95/24*Parameters!$C$99)*365+AE30*CZ30*86400*365)/((AE30+AL30)*86400*365))</f>
        <v>0</v>
      </c>
      <c r="DE30" s="42">
        <f>IF(Basicinfo!AH30+Basicinfo!AI30+Basicinfo!AJ30+Basicinfo!AK30=0,0,((Basicinfo!AH30+Basicinfo!AI30)*Parameters!$C$107+(Basicinfo!AJ30+Basicinfo!AK30)*Parameters!$C$106)/(Basicinfo!AH30+Basicinfo!AI30+Basicinfo!AJ30+Basicinfo!AK30))</f>
        <v>56.769172168022003</v>
      </c>
      <c r="DF30" s="42">
        <f>IF(Basicinfo!AH30+Basicinfo!AI30+Basicinfo!AJ30+Basicinfo!AK30=0,0,((Basicinfo!AH30+Basicinfo!AI30)*Parameters!$C$109+(Basicinfo!AJ30+Basicinfo!AK30)*Parameters!$C$108)/(Basicinfo!AH30+Basicinfo!AI30+Basicinfo!AJ30+Basicinfo!AK30))</f>
        <v>56.769172168022003</v>
      </c>
      <c r="DG30" s="42">
        <f>Intermediate!AC30*Intermediate!CY30*(1-Parameters!$C$102/100*Basicinfo!BZ30/100)*(1-Parameters!$C$104/100*Basicinfo!CA30/100)*86400*365/1000000</f>
        <v>6.4319758802805702E-2</v>
      </c>
      <c r="DH30" s="42">
        <f>Intermediate!AC30*Intermediate!CZ30*(1-Parameters!$C$103/100*Basicinfo!BZ30/100)*(1-Parameters!$C$105/100*Basicinfo!CA30/100)*86400*365/1000000</f>
        <v>1.9522618195001309E-2</v>
      </c>
      <c r="DI30" s="42">
        <f>(Intermediate!AK30*Intermediate!DA30+(Intermediate!AE30+Intermediate!AL30)*Intermediate!DC30)*86400*365/1000000</f>
        <v>1.3638271203971652</v>
      </c>
      <c r="DJ30" s="42">
        <f>(Intermediate!AK30*Intermediate!DB30+(Intermediate!AE30+Intermediate!AL30)*Intermediate!DD30)*86400*365/1000000</f>
        <v>0.23558376949801074</v>
      </c>
      <c r="DK30" s="42">
        <f>((Basicinfo!AZ30+Basicinfo!BA30)*Intermediate!AB30+Parameters!$C$76*100)/1000*Intermediate!U30*(1-Intermediate!DE30/100)+(1-Parameters!$C$110/100)*M30*Parameters!$C$100*(1-DE30/100)*365/1000000+(1-Parameters!$C$112/100)*P30*Parameters!$C$96*365/1000000+(1-Parameters!$C$112/100)*O30*Parameters!$C$96*(1-DE30/100)*365/1000000</f>
        <v>0.12830682030224466</v>
      </c>
      <c r="DL30" s="42">
        <f>Parameters!$C$77*100/1000*Intermediate!U30*(1-Intermediate!DF30/100)+(1-Parameters!$C$111/100)*M30*Parameters!$C$101*(1-DF30/100)*365/1000000+(1-Parameters!$C$113/100)*P30*Parameters!$C$97*365/1000000+(1-Parameters!$C$113/100)*O30*Parameters!$C$97*(1-DF30/100)*365/1000000</f>
        <v>2.2791001471679766E-2</v>
      </c>
      <c r="DM30" s="31"/>
      <c r="DN30" s="31"/>
      <c r="DO30" s="31"/>
      <c r="DP30" s="31"/>
      <c r="DQ30" s="31"/>
      <c r="DR30" s="31"/>
      <c r="DS30" s="31"/>
      <c r="DT30" s="188">
        <f>BO30*(Basicinfo!$P30+Basicinfo!$Q30)/1000</f>
        <v>97.789413820754092</v>
      </c>
      <c r="DU30" s="188">
        <f>DT30*Basicinfo!$AZ30/(Basicinfo!$AZ30+Basicinfo!$BA30)</f>
        <v>52.340360277548712</v>
      </c>
      <c r="DV30" s="188">
        <f>DT30*Basicinfo!$BC30/(Basicinfo!$BB30+Basicinfo!$BC30)</f>
        <v>43.469741414173889</v>
      </c>
      <c r="DW30" s="188">
        <f>BP30*(Basicinfo!$P30+Basicinfo!$Q30)/1000</f>
        <v>139.44829211232445</v>
      </c>
      <c r="DX30" s="188">
        <f>DW30*Basicinfo!$BB30/(Basicinfo!$BB30+Basicinfo!$BC30)</f>
        <v>77.460179473853742</v>
      </c>
      <c r="DY30" s="188">
        <f>DW30*Basicinfo!$BC30/(Basicinfo!$BB30+Basicinfo!$BC30)</f>
        <v>61.988112638470703</v>
      </c>
      <c r="DZ30" s="188">
        <f t="shared" si="10"/>
        <v>10.941005401644441</v>
      </c>
      <c r="EA30" s="188">
        <f>DZ30*Basicinfo!$AZ30/(Basicinfo!$AZ30+Basicinfo!$BA30)</f>
        <v>5.8560138786632168</v>
      </c>
      <c r="EB30" s="188">
        <f>DZ30*Basicinfo!$BC30/(Basicinfo!$BB30+Basicinfo!$BC30)</f>
        <v>4.8635394879483904</v>
      </c>
      <c r="EC30" s="188">
        <f t="shared" si="11"/>
        <v>15.601939490583485</v>
      </c>
      <c r="ED30" s="188">
        <f>EC30*Basicinfo!$AZ30/(Basicinfo!$AZ30+Basicinfo!$BA30)</f>
        <v>8.35071100295667</v>
      </c>
      <c r="EE30" s="188">
        <f>EC30*Basicinfo!$BC30/(Basicinfo!$BB30+Basicinfo!$BC30)</f>
        <v>6.9354365540875484</v>
      </c>
      <c r="EF30" s="190">
        <f>(Basicinfo!BP30-BL30/100)*Intermediate!X30/10</f>
        <v>-2.7963137083444884</v>
      </c>
      <c r="EG30" s="191">
        <f>(Basicinfo!BQ30-BM30/100)*Intermediate!X30/10</f>
        <v>3.7031361406160253</v>
      </c>
      <c r="EH30" s="197">
        <f>IF(AU30=0,0,$BS30*((Basicinfo!$P30+Basicinfo!$Q30)*Intermediate!$AT30*1000+$AW30*3600*24*365)/1000000*Basicinfo!AZ30/(Basicinfo!$AZ30+Basicinfo!$BA30))</f>
        <v>15.540100957118092</v>
      </c>
      <c r="EI30" s="197">
        <f>IF(AU30=0,0,$BS30*((Basicinfo!$P30+Basicinfo!$Q30)*Intermediate!$AT30*1000+$AW30*3600*24*365)/1000000*Basicinfo!BA30/(Basicinfo!$AZ30+Basicinfo!$BA30))</f>
        <v>13.494039336405486</v>
      </c>
      <c r="EJ30" s="198">
        <f>IF(AU30=0,0,$BS30*($AT30*$X30*1000)/1000000*Basicinfo!AZ30/(Basicinfo!$AZ30+Basicinfo!$BA30))</f>
        <v>1.6174999828701901</v>
      </c>
      <c r="EK30" s="198">
        <f>IF(AU30=0,0,$BS30*($AT30*$X30*1000)/1000000*Basicinfo!BA30/(Basicinfo!$AZ30+Basicinfo!$BA30))</f>
        <v>1.4045345300982706</v>
      </c>
      <c r="EL30" s="147">
        <f>Parameters!$C$150/Basicinfo!$AV30*100</f>
        <v>5.4820350100540254E-2</v>
      </c>
      <c r="EM30" s="147">
        <f>Parameters!$C$151/Basicinfo!$AV30*100</f>
        <v>0.10964070020108051</v>
      </c>
      <c r="EN30" s="147">
        <f>(Parameters!$C$150+Parameters!$C$151)/Intermediate!$BB30*100</f>
        <v>0.21755274052179108</v>
      </c>
      <c r="EO30" s="193">
        <f>IF(EN30=0,0,(1/(1+Parameters!$C$116*$BB30^Parameters!$C$120)*Basicinfo!$AH30/Basicinfo!$G30+1/(1+Parameters!$C$117*$BB30^Parameters!$C$121)*Basicinfo!$AI30/Basicinfo!$G30)*(EN30)^Parameters!$C$124+(1/(1+Parameters!$C$118*$BB30^Parameters!$C$122)*Basicinfo!$AJ30/Basicinfo!AW30+1/(1+Parameters!$C$119*$BB30^Parameters!$C$123)*Basicinfo!$AK30/Basicinfo!$G30)*(EN30)^Parameters!$C$125)</f>
        <v>8.5686690817204411E-2</v>
      </c>
      <c r="EP30" s="199">
        <f>EL30*($AT30*Basicinfo!$P30*1000+$AW30*3600*24*365)/1000000</f>
        <v>2.5368419694336461</v>
      </c>
      <c r="EQ30" s="199">
        <f>EM30*($AT30*Basicinfo!$P30*1000+$AW30*3600*24*365)/1000000</f>
        <v>5.0736839388672923</v>
      </c>
      <c r="ER30" s="199">
        <f t="shared" si="12"/>
        <v>0.3059099046523534</v>
      </c>
      <c r="ES30" s="199">
        <f t="shared" si="13"/>
        <v>0.61181980930470681</v>
      </c>
      <c r="ET30" s="181">
        <f t="shared" si="14"/>
        <v>12.658605843701796</v>
      </c>
      <c r="EU30" s="147">
        <f>Intermediate!F30*(Parameters!$C$150)/1000*100</f>
        <v>0.22690145717942481</v>
      </c>
      <c r="EV30" s="147">
        <f>Intermediate!F30*(Parameters!$C$151)/1000*100</f>
        <v>0.45380291435884962</v>
      </c>
      <c r="EW30" s="181">
        <f>'Local emissions'!$S30*Basicinfo!AZ30/(Basicinfo!$AZ30+Basicinfo!$BA30)-Intermediate!EU30</f>
        <v>1.0300376083976044</v>
      </c>
      <c r="EX30" s="147">
        <f>'Local emissions'!$S30*Basicinfo!BA30/(Basicinfo!$AZ30+Basicinfo!$BA30)-Intermediate!EV30</f>
        <v>0.63764335366505076</v>
      </c>
      <c r="EY30" s="188">
        <f t="shared" si="15"/>
        <v>13.003258987684447</v>
      </c>
      <c r="EZ30" s="188">
        <f t="shared" si="16"/>
        <v>8.4203553975381933</v>
      </c>
      <c r="FA30" s="188">
        <f t="shared" si="17"/>
        <v>1.3115900782178367</v>
      </c>
      <c r="FB30" s="181">
        <f t="shared" si="18"/>
        <v>0.79271472079356375</v>
      </c>
      <c r="FC30" s="181">
        <f>'Local emissions'!Y30-Intermediate!ET30</f>
        <v>64.121378835518229</v>
      </c>
      <c r="FD30" s="188">
        <f t="shared" si="19"/>
        <v>31.286602503667652</v>
      </c>
      <c r="FE30" s="188">
        <f t="shared" si="20"/>
        <v>25.037347618424292</v>
      </c>
      <c r="FF30" s="181">
        <f t="shared" si="21"/>
        <v>1.6864495896288096</v>
      </c>
      <c r="FG30" s="201">
        <f t="shared" si="22"/>
        <v>1.4006309314735461</v>
      </c>
      <c r="FH30" s="181">
        <f t="shared" si="23"/>
        <v>4.7103481923239299</v>
      </c>
      <c r="FJ30" s="147">
        <f>AVERAGE(Parameters!$C$132:$C$134)*'Local emissions'!J30*3600*24*365/1000000</f>
        <v>7.3865647762652115E-2</v>
      </c>
      <c r="FK30" s="147">
        <f>'Local emissions'!AJ30+CT30*BJ30/100*Intermediate!X30*100/1000000</f>
        <v>4.4526540521707734</v>
      </c>
      <c r="FL30" s="31">
        <f>(Parameters!$C$18*(Basicinfo!AH30+Basicinfo!AI30)+Parameters!$C$19*Basicinfo!AJ30+Parameters!$C$20*Basicinfo!AK30)/Basicinfo!G30</f>
        <v>1.2329956041658627E-2</v>
      </c>
      <c r="FM30" s="181">
        <f t="shared" si="32"/>
        <v>0.76623637429200631</v>
      </c>
    </row>
    <row r="31" spans="1:169">
      <c r="A31" s="39" t="str">
        <f>Basicinfo!A31</f>
        <v>Ischler Ache</v>
      </c>
      <c r="B31" s="63">
        <f>Basicinfo!B31</f>
        <v>1230</v>
      </c>
      <c r="C31" s="63">
        <f>Basicinfo!C31</f>
        <v>4010</v>
      </c>
      <c r="D31" s="61">
        <f>Basicinfo!U31*Basicinfo!V31/1000+Basicinfo!Y31</f>
        <v>15.540244937163491</v>
      </c>
      <c r="E31" s="19">
        <f>Basicinfo!W31*Basicinfo!X31/1000+Basicinfo!Z31</f>
        <v>0</v>
      </c>
      <c r="F31" s="19">
        <f t="shared" si="0"/>
        <v>15.540244937163491</v>
      </c>
      <c r="G31" s="19">
        <f>SUM(Basicinfo!H31:L31)</f>
        <v>1.5095516988231542E-2</v>
      </c>
      <c r="H31" s="19">
        <f>IF(Basicinfo!N31&lt;Parameters!$C$68,Parameters!$C$69,Basicinfo!BS31/(Basicinfo!N31*100))</f>
        <v>16.550441286860238</v>
      </c>
      <c r="I31" s="19">
        <f>IF(Basicinfo!N31=0,0,Basicinfo!BU31*(1-Basicinfo!BX31/100))</f>
        <v>5379.8497079493736</v>
      </c>
      <c r="J31" s="19">
        <f>IF(Basicinfo!N31=0,0,Basicinfo!BU31*Basicinfo!BX31/100)</f>
        <v>5379.8497079493736</v>
      </c>
      <c r="K31" s="19">
        <f>IF(Basicinfo!N31=0,0,Basicinfo!BT31-Basicinfo!BU31)</f>
        <v>0</v>
      </c>
      <c r="L31" s="27">
        <f>Basicinfo!BV31*Basicinfo!BW31/100</f>
        <v>467.87999999999977</v>
      </c>
      <c r="M31" s="27">
        <f>Basicinfo!BV31-Intermediate!L31</f>
        <v>467.87999999999977</v>
      </c>
      <c r="N31" s="73">
        <f>Basicinfo!BS31-SUM(I31:K31)-Basicinfo!BV31</f>
        <v>0</v>
      </c>
      <c r="O31" s="19">
        <f>IF(Basicinfo!AH31+Basicinfo!AI31+Basicinfo!AJ31+Basicinfo!AK31=0,0,N31*(Basicinfo!AH31+Basicinfo!AI31)/SUM(Basicinfo!AH31:AK31))</f>
        <v>0</v>
      </c>
      <c r="P31" s="73">
        <f t="shared" si="25"/>
        <v>0</v>
      </c>
      <c r="Q31" s="19">
        <f>IF(Basicinfo!BS31=0,Basicinfo!N31,IF(H31&gt;Parameters!$C$70,Parameters!$C$64*(Parameters!$C$65*Parameters!$C$70)^(Parameters!$C$66-Parameters!$C$67*LOG(Parameters!$C$65*Parameters!$C$70,10))/100*Basicinfo!N31,Parameters!$C$64*(Parameters!$C$65*H31)^(Parameters!$C$66-Parameters!$C$67*LOG(Parameters!$C$65*H31,10))/100*Basicinfo!N31))</f>
        <v>1.8970154142432258</v>
      </c>
      <c r="R31" s="19">
        <f>IF(Basicinfo!BS31=0,Q31*(1-Basicinfo!BX31/100),IF(H31&lt;Parameters!$C$75,Q31*Basicinfo!BU31/Basicinfo!BS31*(1-Basicinfo!BX31/100)*(-Parameters!$C$74+Parameters!$C$73*LN(H31*100)),Q31*Basicinfo!BU31/Basicinfo!BS31*(1-Basicinfo!BX31/100)))</f>
        <v>0.487311157181197</v>
      </c>
      <c r="S31" s="19">
        <f>IF(Basicinfo!BS31=0,Q31*Basicinfo!BX31/100,Q31*Basicinfo!BU31/Basicinfo!BS31*Basicinfo!BX31/100)</f>
        <v>0.87261709517954966</v>
      </c>
      <c r="T31" s="19">
        <f>IF(Basicinfo!BS31=0,0,IF(H31&lt;Parameters!$C$75,Q31*K31/Basicinfo!BS31*(-Parameters!$C$74+Parameters!$C$73*LN(H31*100)),Q31*K31/Basicinfo!BS31))</f>
        <v>0</v>
      </c>
      <c r="U31" s="19">
        <f t="shared" si="26"/>
        <v>0.53708716188247918</v>
      </c>
      <c r="V31" s="19">
        <f>IF(Basicinfo!AL31&gt;Parameters!$C$14,Basicinfo!Q31,0)</f>
        <v>1.9977770205476602</v>
      </c>
      <c r="W31" s="19">
        <f>IF(Basicinfo!AL31&gt;Parameters!$C$14,0,Basicinfo!Q31)</f>
        <v>0</v>
      </c>
      <c r="X31" s="19">
        <f>G31+Basicinfo!M31</f>
        <v>42.49428039125813</v>
      </c>
      <c r="Y31" s="19">
        <f>IF(Basicinfo!G31-F31-Q31-V31-Basicinfo!O31-Basicinfo!R31-Basicinfo!S31&lt;0,0,Basicinfo!G31-F31-Q31-V31-Basicinfo!O31-Basicinfo!R31-Basicinfo!S31)</f>
        <v>234.14634590274898</v>
      </c>
      <c r="Z31" s="19">
        <f>Basicinfo!G31-F31-Basicinfo!BO31-Q31-Basicinfo!O31</f>
        <v>233.88475692125971</v>
      </c>
      <c r="AA31" s="53">
        <f>IF(Z31+Basicinfo!BO31-X31&gt;0,Z31+Basicinfo!BO31-X31,0)</f>
        <v>193.69436068533514</v>
      </c>
      <c r="AB31" s="56">
        <f>IF(Basicinfo!N31=0,0,Parameters!$C$71+Parameters!$C$72*Q31/Basicinfo!N31)</f>
        <v>0.35133738092636102</v>
      </c>
      <c r="AC31" s="43">
        <f>Basicinfo!AU31*AB31*R31/1000/86.4/0.365</f>
        <v>9.3887829123465733E-3</v>
      </c>
      <c r="AD31" s="43">
        <f>Basicinfo!AU31*AB31*S31/1000/86.4/0.365</f>
        <v>1.6812281745474014E-2</v>
      </c>
      <c r="AE31" s="43">
        <f>Basicinfo!AU31*AB31*T31/1000/86.4/0.365</f>
        <v>0</v>
      </c>
      <c r="AF31" s="43">
        <f>Basicinfo!AU31*AB31*U31/1000/86.4/0.365</f>
        <v>1.0347792562541204E-2</v>
      </c>
      <c r="AG31" s="43">
        <f>((Parameters!$C$80+Parameters!$C$81*Parameters!$C$89)/(Parameters!$C$82+Parameters!$C$89)/(Parameters!$C$90/100*Parameters!$C$91+(Parameters!$C$83+Parameters!$C$84*Parameters!$C$89)/(Parameters!$C$85+Parameters!$C$89)))-Parameters!$C$86+(Basicinfo!AU31-Parameters!$C$88)/Parameters!$C$87</f>
        <v>94.622644214976503</v>
      </c>
      <c r="AH31" s="43">
        <f>((Parameters!$C$80+Parameters!$C$81*Parameters!$C$89)/(Parameters!$C$82+Parameters!$C$89)/(Basicinfo!BY31/100*Parameters!$C$91+(Parameters!$C$83+Parameters!$C$84*Parameters!$C$89)/(Parameters!$C$85+Parameters!$C$89)))-Parameters!$C$86+(Basicinfo!AU31-Parameters!$C$88)/Parameters!$C$87</f>
        <v>76.819762348360939</v>
      </c>
      <c r="AI31" s="43">
        <f>Basicinfo!AU31^Parameters!$C$79*Parameters!$C$78*AH31/AG31</f>
        <v>121.16358092801539</v>
      </c>
      <c r="AJ31" s="43">
        <f>(J31*Parameters!$C$92/1000+Parameters!$C$94/100*S31*100*Parameters!$C$93/1000*86400*Parameters!$C$95/24)/86400</f>
        <v>8.1237685100409227E-3</v>
      </c>
      <c r="AK31" s="43">
        <f t="shared" si="1"/>
        <v>1.4986773162044527E-2</v>
      </c>
      <c r="AL31" s="43">
        <f>(K31*Parameters!$C$92/1000+Parameters!$C$94/100*T31*100*Parameters!$C$93/1000*86400*Parameters!$C$95/24)/86400</f>
        <v>0</v>
      </c>
      <c r="AM31" s="43">
        <f>(Intermediate!N31+Basicinfo!BV31-Intermediate!L31)*Parameters!$C$92/1000/86400</f>
        <v>7.0398611111111085E-4</v>
      </c>
      <c r="AN31" s="43">
        <f t="shared" si="2"/>
        <v>2.230393779455658E-2</v>
      </c>
      <c r="AO31" s="43">
        <f t="shared" si="27"/>
        <v>1.4986773162044527E-2</v>
      </c>
      <c r="AP31" s="43">
        <f t="shared" si="28"/>
        <v>1.1051778673652314E-2</v>
      </c>
      <c r="AQ31" s="43">
        <f t="shared" si="3"/>
        <v>3.5427334748043417E-2</v>
      </c>
      <c r="AR31" s="61">
        <f>(Basicinfo!AU31-Basicinfo!AY31)*F31/1000/86.4/0.365</f>
        <v>0.52943352385054721</v>
      </c>
      <c r="AS31" s="19">
        <f>IF(Basicinfo!AP31-Basicinfo!CB31-Basicinfo!CG31&lt;0,0,(Basicinfo!AP31-Basicinfo!CB31-Basicinfo!CG31)/Basicinfo!G31*1000)</f>
        <v>45.300835392383071</v>
      </c>
      <c r="AT31" s="19">
        <f>Parameters!$C$3*((AS31*86.4*0.365)^Parameters!$C$4)</f>
        <v>363.70264665607323</v>
      </c>
      <c r="AU31" s="19">
        <f>IF(AT31/86.4/0.365*(Basicinfo!G31/1000)-AN31&lt;0,0,AT31/86.4/0.365*(Basicinfo!G31/1000)-AN31)</f>
        <v>2.9027471660200033</v>
      </c>
      <c r="AV31" s="19">
        <f>IF(Basicinfo!AU31&gt;Parameters!$C$13,Parameters!$C$11*(Basicinfo!AU31-Parameters!$C$13)^Parameters!$C$12,0)</f>
        <v>241.52947203787812</v>
      </c>
      <c r="AW31" s="19">
        <f>IF(AV31*V31/1000/86.4/0.365&gt;Basicinfo!AP31*Parameters!$C$15,Basicinfo!AP31*Parameters!$C$15,AV31*V31/1000/86.4/0.365)</f>
        <v>1.5300673167880566E-2</v>
      </c>
      <c r="AX31" s="19">
        <f>Basicinfo!AU31-Basicinfo!AW31</f>
        <v>676.37112061728567</v>
      </c>
      <c r="AY31" s="19">
        <f>Parameters!$C$56*AX31+Parameters!$C$57*Basicinfo!AW31</f>
        <v>443.48436082942857</v>
      </c>
      <c r="AZ31" s="19">
        <f>AY31*Basicinfo!BO31/1000/86.4/0.365</f>
        <v>3.2399054796206188E-2</v>
      </c>
      <c r="BA31" s="19">
        <f>IF(Basicinfo!AP31-AQ31-AR31-AU31-AW31-AZ31-Basicinfo!CB31-Basicinfo!CG31&lt;0,0,Basicinfo!AP31-AQ31-AR31-AU31-AW31-AZ31-Basicinfo!CB31-Basicinfo!CG31)</f>
        <v>7.97415745925192</v>
      </c>
      <c r="BB31" s="53">
        <f t="shared" si="4"/>
        <v>1075.2005942808414</v>
      </c>
      <c r="BC31" s="56">
        <f>IF(G31=0,0,((Basicinfo!H31*Basicinfo!BE31+Basicinfo!I31*Basicinfo!BF31+Basicinfo!J31*Basicinfo!BG31+Basicinfo!K31*Basicinfo!BH31+Basicinfo!L31*Basicinfo!BI31)*(1-Basicinfo!BN31/G31*Parameters!$C$26/100)/G31)*Basicinfo!BM31)</f>
        <v>4.0860707339074374</v>
      </c>
      <c r="BD31" s="43">
        <f>IF(Basicinfo!AW31*Parameters!$C$39-Parameters!$C$40&lt;0,0.001,(Basicinfo!AW31*Parameters!$C$39-Parameters!$C$40)/(Basicinfo!AX31*Parameters!$C$39-Parameters!$C$40))</f>
        <v>1.0473184502349295</v>
      </c>
      <c r="BE31" s="43">
        <f>(BC31*G31*100+Basicinfo!BJ31*Basicinfo!M31*100)*Parameters!$C$29*BD31</f>
        <v>1201.128022937017</v>
      </c>
      <c r="BF31" s="43">
        <f>(Basicinfo!BK31*Basicinfo!P31*100)*BD31*Parameters!$C$29</f>
        <v>1777.448173231852</v>
      </c>
      <c r="BG31" s="43">
        <f>Parameters!$C$27*(V31+W31)*100</f>
        <v>39.955540410953205</v>
      </c>
      <c r="BH31" s="43">
        <f>Parameters!$C$28*Basicinfo!R31*100</f>
        <v>0</v>
      </c>
      <c r="BI31" s="43">
        <f t="shared" si="29"/>
        <v>1817.4037136428053</v>
      </c>
      <c r="BJ31" s="43">
        <f>IF(Basicinfo!AM31&lt;Parameters!$C$33,0,Parameters!$C$30*(((Basicinfo!AM31-Parameters!$C$33)^Parameters!$C$31)*(((G31-Basicinfo!BN31)/Basicinfo!G31*100+Parameters!$C$34))^Parameters!$C$32))</f>
        <v>1.3807334011069847</v>
      </c>
      <c r="BK31" s="58">
        <f t="shared" si="30"/>
        <v>1833.9880894455528</v>
      </c>
      <c r="BL31" s="61">
        <f>Basicinfo!AZ31+Basicinfo!BA31</f>
        <v>1589.9142321804547</v>
      </c>
      <c r="BM31" s="19">
        <f>Basicinfo!BB31+Basicinfo!BC31</f>
        <v>1930.9845565283395</v>
      </c>
      <c r="BN31" s="172">
        <f>IF(Basicinfo!AO31=0,0,IF(Basicinfo!AO31="NA",1,IF(OR(Basicinfo!AO31="SA",Basicinfo!AN31="S"),3,IF(Basicinfo!AN31="N",1,IF(Basicinfo!AO31="ZA",2,0)))))</f>
        <v>1</v>
      </c>
      <c r="BO31" s="27">
        <f>IF($BN31=1,(BL31)*(1+Parameters!$C$21*Parameters!$C$22-Parameters!$C$22*Basicinfo!$AL31),IF($BN31=2,(BL31)*(1+Parameters!$C$21*Parameters!$C$23-Parameters!$C$23*Basicinfo!$AL31),IF($BN31=3,(BL31)*(1+Parameters!$C$21*Parameters!$C$24-Parameters!$C$24*Basicinfo!$AL31),BL31)))</f>
        <v>1442.7366976371095</v>
      </c>
      <c r="BP31" s="27">
        <f>IF($BN31=1,(BM31)*(1+Parameters!$C$21*Parameters!$C$22-Parameters!$C$22*Basicinfo!$AL31),IF($BN31=2,(BM31)*(1+Parameters!$C$21*Parameters!$C$23-Parameters!$C$23*Basicinfo!$AL31),IF($BN31=3,(BM31)*(1+Parameters!$C$21*Parameters!$C$24-Parameters!$C$24*Basicinfo!$AL31),BM31)))</f>
        <v>1752.2343192395272</v>
      </c>
      <c r="BQ31" s="27">
        <f>IF(Basicinfo!AU31=0,0,IF(G31+Basicinfo!M31=0,0,(Parameters!$C$16+BO31/Basicinfo!AU31)*G31+(Parameters!$C$17+BO31/Basicinfo!AU31)*Basicinfo!M31)/(G31+Basicinfo!M31))</f>
        <v>0.83436746914188842</v>
      </c>
      <c r="BR31" s="27">
        <f>IF(Basicinfo!AU31=0,0,IF(G31+Basicinfo!M31=0,0,(Parameters!$C$16+BP31/Basicinfo!AU31)*G31+(Parameters!$C$17+BP31/Basicinfo!AU31)*Basicinfo!M31)/(G31+Basicinfo!M31))</f>
        <v>1.0133341262003199</v>
      </c>
      <c r="BS31" s="27">
        <f>IF(Basicinfo!AU31=0,0,BO31/Basicinfo!AU31)</f>
        <v>0.83426089820917049</v>
      </c>
      <c r="BT31" s="27">
        <f>IF(Basicinfo!AU31=0,0,BP31/Basicinfo!AU31)</f>
        <v>1.0132275552676022</v>
      </c>
      <c r="BU31" s="27">
        <f>IF(SUM(G31,Basicinfo!M31,Basicinfo!P31,W31)=0,0,(BQ31*(G31+Basicinfo!M31)+BS31*(Basicinfo!P31+W31))/SUM(G31,Basicinfo!M31,Basicinfo!P31,W31))</f>
        <v>0.83428067599871181</v>
      </c>
      <c r="BV31" s="19">
        <f>IF(Basicinfo!BR31/Parameters!$C$10&gt;1,1,Basicinfo!BR31/Parameters!$C$10)</f>
        <v>0.24239439936782373</v>
      </c>
      <c r="BW31" s="19">
        <f>Parameters!$C$5+Parameters!$C$6*EXP(BV31*Parameters!$C$8*Parameters!$C$7)</f>
        <v>3.5018176599947277E-2</v>
      </c>
      <c r="BX31" s="19">
        <f>Parameters!$C$5+Parameters!$C$6*EXP(BV31*Parameters!$C$9*Parameters!$C$7)</f>
        <v>3.501248369921698E-2</v>
      </c>
      <c r="BY31" s="19">
        <f>IF(Basicinfo!AH31+Basicinfo!AI31+Basicinfo!AJ31+Basicinfo!AK31=0,0,(Parameters!$C$18*(Basicinfo!AH31+Basicinfo!AI31)+Parameters!$C$19*Basicinfo!AJ31+Parameters!$C$20*Basicinfo!AK31)/(Basicinfo!AH31+Basicinfo!AI31+Basicinfo!AJ31+Basicinfo!AK31))</f>
        <v>1.2218523930995656E-2</v>
      </c>
      <c r="BZ31" s="19">
        <f>IF(Basicinfo!AJ31+Basicinfo!AK31=0,Parameters!$C$18,(Parameters!$C$19*Basicinfo!AJ31+Parameters!$C$20*Basicinfo!AK31)/(Basicinfo!AJ31+Basicinfo!AK31))</f>
        <v>6.1266573488590569E-3</v>
      </c>
      <c r="CA31" s="19">
        <f>IF(SUM(G31,Basicinfo!M31,Basicinfo!P31,W31)=0,0,(BW31*G31+BX31*Basicinfo!M31+BY31*Basicinfo!P31+BZ31*W31)/(SUM(G31,Basicinfo!M31,Basicinfo!P31,W31)))</f>
        <v>1.6448703470638718E-2</v>
      </c>
      <c r="CB31" s="19">
        <f>IF(Y31=0,Basicinfo!BP31,Basicinfo!BP31-(AU31*X31/Y31*Intermediate!BQ31*86400*365/1000000)*1000/(X31*100))</f>
        <v>15.588267757627527</v>
      </c>
      <c r="CC31" s="19">
        <f>IF(Y31=0,Basicinfo!BQ31,Basicinfo!BQ31-(AU31*Basicinfo!AV31/Basicinfo!AU31*X31/Y31*Intermediate!BR31*86400*365/1000000)*1000/(X31*100))</f>
        <v>23.150139198678225</v>
      </c>
      <c r="CD31" s="19">
        <f>IF(OR(Y31=0,AA31=0),BP31/100,BP31/100-(AU31*Basicinfo!AV31/Basicinfo!AU31*(Basicinfo!P31+W31)/Y31*Intermediate!BT31*86400*365/1000000+AW31*Basicinfo!AV31/Basicinfo!AU31*Intermediate!BT31*86400*365/1000000)*1000/(AA31*100))</f>
        <v>13.434413026979151</v>
      </c>
      <c r="CE31" s="19">
        <f t="shared" si="5"/>
        <v>93041.326731168709</v>
      </c>
      <c r="CF31" s="19">
        <f t="shared" si="6"/>
        <v>260217.00424434649</v>
      </c>
      <c r="CG31" s="19">
        <f>IF(AY31=0,0,((CB31^Parameters!$C$58))/AY31*100)</f>
        <v>2.3280905560201584</v>
      </c>
      <c r="CH31" s="19">
        <f>IF(SUM(Basicinfo!AB31:AG31)=0,0,(Parameters!$C$59*Basicinfo!AB31+Parameters!$C$60*SUM(Basicinfo!AC31:AE31)+Parameters!$C$61*Basicinfo!AF31+Parameters!$C$62*Basicinfo!AG31)/SUM(Basicinfo!AB31:AG31))</f>
        <v>0.53042899213440509</v>
      </c>
      <c r="CI31" s="19">
        <f t="shared" si="31"/>
        <v>3</v>
      </c>
      <c r="CJ31" s="19">
        <f t="shared" si="8"/>
        <v>15.10394844134473</v>
      </c>
      <c r="CK31" s="19">
        <f t="shared" si="9"/>
        <v>1.4047563330679849</v>
      </c>
      <c r="CL31" s="19">
        <f>IF($BB31=0,0,$CJ31^Parameters!$C$58*100/$BB31)</f>
        <v>0.9348402966079955</v>
      </c>
      <c r="CM31" s="19">
        <f>IF(CK31=0,0,(1/(1+Parameters!$C$116*BB31^Parameters!$C$120)*Basicinfo!AH31/Basicinfo!G31+1/(1+Parameters!$C$117*BB31^Parameters!$C$121)*Basicinfo!AI31/Basicinfo!G31)*(CK31)^Parameters!$C$124+(1/(1+Parameters!$C$118*BB31^Parameters!$C$122)*Basicinfo!AJ31/Basicinfo!G31+1/(1+Parameters!$C$119*BB31^Parameters!$C$123)*Basicinfo!AK31/Basicinfo!G31)*(CK31)^Parameters!$C$125)</f>
        <v>0.78744563411112189</v>
      </c>
      <c r="CN31" s="19">
        <f>IF(SUM(Basicinfo!AB31:AG31)=0,0,(Parameters!$C$128*Basicinfo!AB31+Parameters!$C$129*(SUM(Basicinfo!AC31:AE31))+Parameters!$C$130*Basicinfo!AF31+Parameters!$C$131*Basicinfo!AG31)/SUM(Basicinfo!AB31:AG31))</f>
        <v>8.6674609306126763E-2</v>
      </c>
      <c r="CO31" s="19">
        <f>IF(Basicinfo!AH31+Basicinfo!AI31+Basicinfo!AJ31+Basicinfo!AK31=0,0,(Parameters!$C$132*(Basicinfo!AH31+Basicinfo!AI31)+Parameters!$C$133*Basicinfo!AJ31+Parameters!$C$134*Basicinfo!AK31)/(Basicinfo!AH31+Basicinfo!AI31+Basicinfo!AJ31+Basicinfo!AK31))</f>
        <v>5.0000000000000012E-4</v>
      </c>
      <c r="CP31" s="19">
        <f>IF(Basicinfo!AJ31+Basicinfo!AK31=0,0,(Parameters!$C$133*Basicinfo!AJ31+Parameters!$C$134*Basicinfo!AK31)/(Basicinfo!AJ31+Basicinfo!AK31))</f>
        <v>5.0000000000000001E-4</v>
      </c>
      <c r="CQ31" s="19">
        <f>IF(Z31=0,0,(CN31*(Z31-AA31)+CO31*Basicinfo!P31+CP31*(Basicinfo!Q31+Basicinfo!R31))/Z31)</f>
        <v>1.5296965439140948E-2</v>
      </c>
      <c r="CR31" s="289">
        <f>Basicinfo!EI31</f>
        <v>4.9986357894736839E-3</v>
      </c>
      <c r="CS31" s="19">
        <f>IF(SUM(Basicinfo!AB31:AG31)=0,0,(Basicinfo!AB31*Parameters!$C$43+(Basicinfo!AC31+Basicinfo!AD31)*Parameters!$C$44+Basicinfo!AE31*Parameters!$C$45+(Basicinfo!AF31+Basicinfo!AG31)*Parameters!$C$46)/SUM(Basicinfo!AB31:AG31))</f>
        <v>23.966075288199701</v>
      </c>
      <c r="CT31" s="19">
        <f>(Parameters!$C$41*CS31+Parameters!$C$42)</f>
        <v>519.45396793963687</v>
      </c>
      <c r="CU31" s="19">
        <f>CT31+Basicinfo!BR31/(Parameters!$C$47*Parameters!$C$49*Parameters!$C$48*10000/1000000)</f>
        <v>604.82558029559993</v>
      </c>
      <c r="CV31" s="19">
        <f>IF(BK31/Basicinfo!G31&lt;Parameters!$C$35,Parameters!$C$35,Parameters!$C$37*(BK31/Basicinfo!G31)^Parameters!$C$38)</f>
        <v>3.022590245130687</v>
      </c>
      <c r="CW31" s="19">
        <f>IF(BK31/Basicinfo!G31&lt;Parameters!$C$35,Parameters!$C$36,Parameters!$C$36*(BK31/Basicinfo!G31)^Parameters!$C$38)</f>
        <v>7.1030870760571148</v>
      </c>
      <c r="CX31" s="27">
        <f>IF(Basicinfo!AJ31+Basicinfo!AK31=0,0,(Parameters!$C$53*Basicinfo!AJ31+Parameters!$C$54*Basicinfo!AK31)/(Basicinfo!AJ31+Basicinfo!AK31))</f>
        <v>581.34459758554897</v>
      </c>
      <c r="CY31" s="56">
        <f>IF(Basicinfo!AU31*AB31=0,0,((Basicinfo!AZ31+Basicinfo!BA31)/Basicinfo!AU31+Parameters!$C$76/(Basicinfo!AU31*AB31)*100))</f>
        <v>1.5777064458047338</v>
      </c>
      <c r="CZ31" s="43">
        <f>IF(Basicinfo!AU31*AB31=0,0,(Parameters!$C$77)/(Basicinfo!AU31*AB31)*100)</f>
        <v>0.41146268823786386</v>
      </c>
      <c r="DA31" s="43">
        <f>IF(AD31+AJ31=0,0,((J31*Parameters!$C$96+Parameters!$C$94/100*S31*100*Parameters!$C$93/1000*86400*Parameters!$C$95/24*Parameters!$C$98)*AI31+AD31*CY31*86400*365)/((AD31+AJ31*AI31/365)*86400*365))</f>
        <v>14.074595694573913</v>
      </c>
      <c r="DB31" s="43">
        <f>IF(AD31+AJ31=0,0,((J31*Parameters!$C$97+Parameters!$C$94/100*S31*100*Parameters!$C$93/1000*86400*Parameters!$C$95/24*Parameters!$C$99)*AI31+AD31*CZ31*86400*365)/((AD31+AJ31*AI31/365)*86400*365))</f>
        <v>2.4230508328317697</v>
      </c>
      <c r="DC31" s="42">
        <f>IF(AE31+AL31=0,0,((K31*Parameters!$C$96+Parameters!$C$94/100*T31*100*Parameters!$C$93/1000*86400*Parameters!$C$95/24*Parameters!$C$98)*365+AE31*CY31*86400*365)/((AE31+AL31)*86400*365))</f>
        <v>0</v>
      </c>
      <c r="DD31" s="42">
        <f>IF(AE31+AL31=0,0,((K31*Parameters!$C$97+Parameters!$C$94/100*T31*100*Parameters!$C$93/1000*86400*Parameters!$C$95/24*Parameters!$C$99)*365+AE31*CZ31*86400*365)/((AE31+AL31)*86400*365))</f>
        <v>0</v>
      </c>
      <c r="DE31" s="42">
        <f>IF(Basicinfo!AH31+Basicinfo!AI31+Basicinfo!AJ31+Basicinfo!AK31=0,0,((Basicinfo!AH31+Basicinfo!AI31)*Parameters!$C$107+(Basicinfo!AJ31+Basicinfo!AK31)*Parameters!$C$106)/(Basicinfo!AH31+Basicinfo!AI31+Basicinfo!AJ31+Basicinfo!AK31))</f>
        <v>58.439433779096412</v>
      </c>
      <c r="DF31" s="42">
        <f>IF(Basicinfo!AH31+Basicinfo!AI31+Basicinfo!AJ31+Basicinfo!AK31=0,0,((Basicinfo!AH31+Basicinfo!AI31)*Parameters!$C$109+(Basicinfo!AJ31+Basicinfo!AK31)*Parameters!$C$108)/(Basicinfo!AH31+Basicinfo!AI31+Basicinfo!AJ31+Basicinfo!AK31))</f>
        <v>58.439433779096412</v>
      </c>
      <c r="DG31" s="42">
        <f>Intermediate!AC31*Intermediate!CY31*(1-Parameters!$C$102/100*Basicinfo!BZ31/100)*(1-Parameters!$C$104/100*Basicinfo!CA31/100)*86400*365/1000000</f>
        <v>0.46713467331020825</v>
      </c>
      <c r="DH31" s="42">
        <f>Intermediate!AC31*Intermediate!CZ31*(1-Parameters!$C$103/100*Basicinfo!BZ31/100)*(1-Parameters!$C$105/100*Basicinfo!CA31/100)*86400*365/1000000</f>
        <v>0.12182778929529926</v>
      </c>
      <c r="DI31" s="42">
        <f>(Intermediate!AK31*Intermediate!DA31+(Intermediate!AE31+Intermediate!AL31)*Intermediate!DC31)*86400*365/1000000</f>
        <v>6.6519759300239301</v>
      </c>
      <c r="DJ31" s="42">
        <f>(Intermediate!AK31*Intermediate!DB31+(Intermediate!AE31+Intermediate!AL31)*Intermediate!DD31)*86400*365/1000000</f>
        <v>1.1451892592151165</v>
      </c>
      <c r="DK31" s="42">
        <f>((Basicinfo!AZ31+Basicinfo!BA31)*Intermediate!AB31+Parameters!$C$76*100)/1000*Intermediate!U31*(1-Intermediate!DE31/100)+(1-Parameters!$C$110/100)*M31*Parameters!$C$100*(1-DE31/100)*365/1000000+(1-Parameters!$C$112/100)*P31*Parameters!$C$96*365/1000000+(1-Parameters!$C$112/100)*O31*Parameters!$C$96*(1-DE31/100)*365/1000000</f>
        <v>0.7888764795938582</v>
      </c>
      <c r="DL31" s="42">
        <f>Parameters!$C$77*100/1000*Intermediate!U31*(1-Intermediate!DF31/100)+(1-Parameters!$C$111/100)*M31*Parameters!$C$101*(1-DF31/100)*365/1000000+(1-Parameters!$C$113/100)*P31*Parameters!$C$97*365/1000000+(1-Parameters!$C$113/100)*O31*Parameters!$C$97*(1-DF31/100)*365/1000000</f>
        <v>0.13259002144667503</v>
      </c>
      <c r="DM31" s="31"/>
      <c r="DN31" s="31"/>
      <c r="DO31" s="31"/>
      <c r="DP31" s="31"/>
      <c r="DQ31" s="31"/>
      <c r="DR31" s="31"/>
      <c r="DS31" s="31"/>
      <c r="DT31" s="188">
        <f>BO31*(Basicinfo!$P31+Basicinfo!$Q31)/1000</f>
        <v>271.92745066778269</v>
      </c>
      <c r="DU31" s="188">
        <f>DT31*Basicinfo!$AZ31/(Basicinfo!$AZ31+Basicinfo!$BA31)</f>
        <v>155.72477698589105</v>
      </c>
      <c r="DV31" s="188">
        <f>DT31*Basicinfo!$BC31/(Basicinfo!$BB31+Basicinfo!$BC31)</f>
        <v>111.25338377627638</v>
      </c>
      <c r="DW31" s="188">
        <f>BP31*(Basicinfo!$P31+Basicinfo!$Q31)/1000</f>
        <v>330.26165632563061</v>
      </c>
      <c r="DX31" s="188">
        <f>DW31*Basicinfo!$BB31/(Basicinfo!$BB31+Basicinfo!$BC31)</f>
        <v>195.14206208255752</v>
      </c>
      <c r="DY31" s="188">
        <f>DW31*Basicinfo!$BC31/(Basicinfo!$BB31+Basicinfo!$BC31)</f>
        <v>135.1195942430731</v>
      </c>
      <c r="DZ31" s="188">
        <f t="shared" si="10"/>
        <v>61.308057760149133</v>
      </c>
      <c r="EA31" s="188">
        <f>DZ31*Basicinfo!$AZ31/(Basicinfo!$AZ31+Basicinfo!$BA31)</f>
        <v>35.109304333534425</v>
      </c>
      <c r="EB31" s="188">
        <f>DZ31*Basicinfo!$BC31/(Basicinfo!$BB31+Basicinfo!$BC31)</f>
        <v>25.082899360906978</v>
      </c>
      <c r="EC31" s="188">
        <f t="shared" si="11"/>
        <v>74.459936472949778</v>
      </c>
      <c r="ED31" s="188">
        <f>EC31*Basicinfo!$AZ31/(Basicinfo!$AZ31+Basicinfo!$BA31)</f>
        <v>42.640994769593142</v>
      </c>
      <c r="EE31" s="188">
        <f>EC31*Basicinfo!$BC31/(Basicinfo!$BB31+Basicinfo!$BC31)</f>
        <v>30.463713273665828</v>
      </c>
      <c r="EF31" s="190">
        <f>(Basicinfo!BP31-BL31/100)*Intermediate!X31/10</f>
        <v>12.540653857709227</v>
      </c>
      <c r="EG31" s="191">
        <f>(Basicinfo!BQ31-BM31/100)*Intermediate!X31/10</f>
        <v>34.245473100051996</v>
      </c>
      <c r="EH31" s="197">
        <f>IF(AU31=0,0,$BS31*((Basicinfo!$P31+Basicinfo!$Q31)*Intermediate!$AT31*1000+$AW31*3600*24*365)/1000000*Basicinfo!AZ31/(Basicinfo!$AZ31+Basicinfo!$BA31))</f>
        <v>32.981107512631475</v>
      </c>
      <c r="EI31" s="197">
        <f>IF(AU31=0,0,$BS31*((Basicinfo!$P31+Basicinfo!$Q31)*Intermediate!$AT31*1000+$AW31*3600*24*365)/1000000*Basicinfo!BA31/(Basicinfo!$AZ31+Basicinfo!$BA31))</f>
        <v>24.610681409451818</v>
      </c>
      <c r="EJ31" s="198">
        <f>IF(AU31=0,0,$BS31*($AT31*$X31*1000)/1000000*Basicinfo!AZ31/(Basicinfo!$AZ31+Basicinfo!$BA31))</f>
        <v>7.3838607132958991</v>
      </c>
      <c r="EK31" s="198">
        <f>IF(AU31=0,0,$BS31*($AT31*$X31*1000)/1000000*Basicinfo!BA31/(Basicinfo!$AZ31+Basicinfo!$BA31))</f>
        <v>5.5098769353665622</v>
      </c>
      <c r="EL31" s="147">
        <f>Parameters!$C$150/Basicinfo!$AV31*100</f>
        <v>5.4304120273659807E-2</v>
      </c>
      <c r="EM31" s="147">
        <f>Parameters!$C$151/Basicinfo!$AV31*100</f>
        <v>0.10860824054731961</v>
      </c>
      <c r="EN31" s="147">
        <f>(Parameters!$C$150+Parameters!$C$151)/Intermediate!$BB31*100</f>
        <v>0.27901770292515321</v>
      </c>
      <c r="EO31" s="193">
        <f>IF(EN31=0,0,(1/(1+Parameters!$C$116*$BB31^Parameters!$C$120)*Basicinfo!$AH31/Basicinfo!$G31+1/(1+Parameters!$C$117*$BB31^Parameters!$C$121)*Basicinfo!$AI31/Basicinfo!$G31)*(EN31)^Parameters!$C$124+(1/(1+Parameters!$C$118*$BB31^Parameters!$C$122)*Basicinfo!$AJ31/Basicinfo!AW31+1/(1+Parameters!$C$119*$BB31^Parameters!$C$123)*Basicinfo!$AK31/Basicinfo!$G31)*(EN31)^Parameters!$C$125)</f>
        <v>0.13091279543181392</v>
      </c>
      <c r="EP31" s="199">
        <f>EL31*($AT31*Basicinfo!$P31*1000+$AW31*3600*24*365)/1000000</f>
        <v>3.7093358209371834</v>
      </c>
      <c r="EQ31" s="199">
        <f>EM31*($AT31*Basicinfo!$P31*1000+$AW31*3600*24*365)/1000000</f>
        <v>7.4186716418743668</v>
      </c>
      <c r="ER31" s="199">
        <f t="shared" si="12"/>
        <v>0.83928550595263329</v>
      </c>
      <c r="ES31" s="199">
        <f t="shared" si="13"/>
        <v>1.6785710119052666</v>
      </c>
      <c r="ET31" s="181">
        <f t="shared" si="14"/>
        <v>32.921037285221118</v>
      </c>
      <c r="EU31" s="147">
        <f>Intermediate!F31*(Parameters!$C$150)/1000*100</f>
        <v>1.554024493716349</v>
      </c>
      <c r="EV31" s="147">
        <f>Intermediate!F31*(Parameters!$C$151)/1000*100</f>
        <v>3.108048987432698</v>
      </c>
      <c r="EW31" s="181">
        <f>'Local emissions'!$S31*Basicinfo!AZ31/(Basicinfo!$AZ31+Basicinfo!$BA31)-Intermediate!EU31</f>
        <v>11.285519649471031</v>
      </c>
      <c r="EX31" s="147">
        <f>'Local emissions'!$S31*Basicinfo!BA31/(Basicinfo!$AZ31+Basicinfo!$BA31)-Intermediate!EV31</f>
        <v>6.4728885304949912</v>
      </c>
      <c r="EY31" s="188">
        <f t="shared" si="15"/>
        <v>29.27177169169429</v>
      </c>
      <c r="EZ31" s="188">
        <f t="shared" si="16"/>
        <v>17.192009767577453</v>
      </c>
      <c r="FA31" s="188">
        <f t="shared" si="17"/>
        <v>6.5445752073432661</v>
      </c>
      <c r="FB31" s="181">
        <f t="shared" si="18"/>
        <v>3.8313059234612954</v>
      </c>
      <c r="FC31" s="181">
        <f>'Local emissions'!Y31-Intermediate!ET31</f>
        <v>165.33963172193592</v>
      </c>
      <c r="FD31" s="188">
        <f t="shared" si="19"/>
        <v>73.501451896256569</v>
      </c>
      <c r="FE31" s="188">
        <f t="shared" si="20"/>
        <v>50.893622064408092</v>
      </c>
      <c r="FF31" s="181">
        <f t="shared" si="21"/>
        <v>8.0304958152482335</v>
      </c>
      <c r="FG31" s="201">
        <f t="shared" si="22"/>
        <v>5.7371720168110354</v>
      </c>
      <c r="FH31" s="181">
        <f t="shared" si="23"/>
        <v>27.176889929211988</v>
      </c>
      <c r="FJ31" s="147">
        <f>AVERAGE(Parameters!$C$132:$C$134)*'Local emissions'!J31*3600*24*365/1000000</f>
        <v>0.12573651481748427</v>
      </c>
      <c r="FK31" s="147">
        <f>'Local emissions'!AJ31+CT31*BJ31/100*Intermediate!X31*100/1000000</f>
        <v>0.85355767962004625</v>
      </c>
      <c r="FL31" s="31">
        <f>(Parameters!$C$18*(Basicinfo!AH31+Basicinfo!AI31)+Parameters!$C$19*Basicinfo!AJ31+Parameters!$C$20*Basicinfo!AK31)/Basicinfo!G31</f>
        <v>1.2218523930995656E-2</v>
      </c>
      <c r="FM31" s="181">
        <f t="shared" si="32"/>
        <v>1.124392029224357</v>
      </c>
    </row>
    <row r="32" spans="1:169">
      <c r="A32" s="39" t="str">
        <f>Basicinfo!A32</f>
        <v>Fuschler Ache</v>
      </c>
      <c r="B32" s="63">
        <f>Basicinfo!B32</f>
        <v>1240</v>
      </c>
      <c r="C32" s="63">
        <f>Basicinfo!C32</f>
        <v>1280</v>
      </c>
      <c r="D32" s="61">
        <f>Basicinfo!U32*Basicinfo!V32/1000+Basicinfo!Y32</f>
        <v>3.4823796721668332</v>
      </c>
      <c r="E32" s="19">
        <f>Basicinfo!W32*Basicinfo!X32/1000+Basicinfo!Z32</f>
        <v>0</v>
      </c>
      <c r="F32" s="19">
        <f t="shared" si="0"/>
        <v>3.4823796721668332</v>
      </c>
      <c r="G32" s="19">
        <f>SUM(Basicinfo!H32:L32)</f>
        <v>0.20712353733876326</v>
      </c>
      <c r="H32" s="19">
        <f>IF(Basicinfo!N32&lt;Parameters!$C$68,Parameters!$C$69,Basicinfo!BS32/(Basicinfo!N32*100))</f>
        <v>18.568423857625348</v>
      </c>
      <c r="I32" s="19">
        <f>IF(Basicinfo!N32=0,0,Basicinfo!BU32*(1-Basicinfo!BX32/100))</f>
        <v>6332.8808253402512</v>
      </c>
      <c r="J32" s="19">
        <f>IF(Basicinfo!N32=0,0,Basicinfo!BU32*Basicinfo!BX32/100)</f>
        <v>6332.8808253402503</v>
      </c>
      <c r="K32" s="19">
        <f>IF(Basicinfo!N32=0,0,Basicinfo!BT32-Basicinfo!BU32)</f>
        <v>0</v>
      </c>
      <c r="L32" s="27">
        <f>Basicinfo!BV32*Basicinfo!BW32/100</f>
        <v>533.31999999999971</v>
      </c>
      <c r="M32" s="27">
        <f>Basicinfo!BV32-Intermediate!L32</f>
        <v>533.31999999999971</v>
      </c>
      <c r="N32" s="73">
        <f>Basicinfo!BS32-SUM(I32:K32)-Basicinfo!BV32</f>
        <v>0</v>
      </c>
      <c r="O32" s="19">
        <f>IF(Basicinfo!AH32+Basicinfo!AI32+Basicinfo!AJ32+Basicinfo!AK32=0,0,N32*(Basicinfo!AH32+Basicinfo!AI32)/SUM(Basicinfo!AH32:AK32))</f>
        <v>0</v>
      </c>
      <c r="P32" s="73">
        <f t="shared" si="25"/>
        <v>0</v>
      </c>
      <c r="Q32" s="19">
        <f>IF(Basicinfo!BS32=0,Basicinfo!N32,IF(H32&gt;Parameters!$C$70,Parameters!$C$64*(Parameters!$C$65*Parameters!$C$70)^(Parameters!$C$66-Parameters!$C$67*LOG(Parameters!$C$65*Parameters!$C$70,10))/100*Basicinfo!N32,Parameters!$C$64*(Parameters!$C$65*H32)^(Parameters!$C$66-Parameters!$C$67*LOG(Parameters!$C$65*H32,10))/100*Basicinfo!N32))</f>
        <v>2.1044567150323976</v>
      </c>
      <c r="R32" s="19">
        <f>IF(Basicinfo!BS32=0,Q32*(1-Basicinfo!BX32/100),IF(H32&lt;Parameters!$C$75,Q32*Basicinfo!BU32/Basicinfo!BS32*(1-Basicinfo!BX32/100)*(-Parameters!$C$74+Parameters!$C$73*LN(H32*100)),Q32*Basicinfo!BU32/Basicinfo!BS32*(1-Basicinfo!BX32/100)))</f>
        <v>0.55592970020898136</v>
      </c>
      <c r="S32" s="19">
        <f>IF(Basicinfo!BS32=0,Q32*Basicinfo!BX32/100,Q32*Basicinfo!BU32/Basicinfo!BS32*Basicinfo!BX32/100)</f>
        <v>0.97049838166703917</v>
      </c>
      <c r="T32" s="19">
        <f>IF(Basicinfo!BS32=0,0,IF(H32&lt;Parameters!$C$75,Q32*K32/Basicinfo!BS32*(-Parameters!$C$74+Parameters!$C$73*LN(H32*100)),Q32*K32/Basicinfo!BS32))</f>
        <v>0</v>
      </c>
      <c r="U32" s="19">
        <f t="shared" si="26"/>
        <v>0.57802863315637709</v>
      </c>
      <c r="V32" s="19">
        <f>IF(Basicinfo!AL32&gt;Parameters!$C$14,Basicinfo!Q32,0)</f>
        <v>0</v>
      </c>
      <c r="W32" s="19">
        <f>IF(Basicinfo!AL32&gt;Parameters!$C$14,0,Basicinfo!Q32)</f>
        <v>4.6971801556102998E-2</v>
      </c>
      <c r="X32" s="19">
        <f>G32+Basicinfo!M32</f>
        <v>42.00621430363001</v>
      </c>
      <c r="Y32" s="19">
        <f>IF(Basicinfo!G32-F32-Q32-V32-Basicinfo!O32-Basicinfo!R32-Basicinfo!S32&lt;0,0,Basicinfo!G32-F32-Q32-V32-Basicinfo!O32-Basicinfo!R32-Basicinfo!S32)</f>
        <v>108.46288647093512</v>
      </c>
      <c r="Z32" s="19">
        <f>Basicinfo!G32-F32-Basicinfo!BO32-Q32-Basicinfo!O32</f>
        <v>107.80592468493944</v>
      </c>
      <c r="AA32" s="53">
        <f>IF(Z32+Basicinfo!BO32-X32&gt;0,Z32+Basicinfo!BO32-X32,0)</f>
        <v>66.53245195382587</v>
      </c>
      <c r="AB32" s="56">
        <f>IF(Basicinfo!N32=0,0,Parameters!$C$71+Parameters!$C$72*Q32/Basicinfo!N32)</f>
        <v>0.36341739013734914</v>
      </c>
      <c r="AC32" s="43">
        <f>Basicinfo!AU32*AB32*R32/1000/86.4/0.365</f>
        <v>1.0659347330864872E-2</v>
      </c>
      <c r="AD32" s="43">
        <f>Basicinfo!AU32*AB32*S32/1000/86.4/0.365</f>
        <v>1.8608250881977439E-2</v>
      </c>
      <c r="AE32" s="43">
        <f>Basicinfo!AU32*AB32*T32/1000/86.4/0.365</f>
        <v>0</v>
      </c>
      <c r="AF32" s="43">
        <f>Basicinfo!AU32*AB32*U32/1000/86.4/0.365</f>
        <v>1.1083070333682015E-2</v>
      </c>
      <c r="AG32" s="43">
        <f>((Parameters!$C$80+Parameters!$C$81*Parameters!$C$89)/(Parameters!$C$82+Parameters!$C$89)/(Parameters!$C$90/100*Parameters!$C$91+(Parameters!$C$83+Parameters!$C$84*Parameters!$C$89)/(Parameters!$C$85+Parameters!$C$89)))-Parameters!$C$86+(Basicinfo!AU32-Parameters!$C$88)/Parameters!$C$87</f>
        <v>92.984673546019366</v>
      </c>
      <c r="AH32" s="43">
        <f>((Parameters!$C$80+Parameters!$C$81*Parameters!$C$89)/(Parameters!$C$82+Parameters!$C$89)/(Basicinfo!BY32/100*Parameters!$C$91+(Parameters!$C$83+Parameters!$C$84*Parameters!$C$89)/(Parameters!$C$85+Parameters!$C$89)))-Parameters!$C$86+(Basicinfo!AU32-Parameters!$C$88)/Parameters!$C$87</f>
        <v>75.181791679403787</v>
      </c>
      <c r="AI32" s="43">
        <f>Basicinfo!AU32^Parameters!$C$79*Parameters!$C$78*AH32/AG32</f>
        <v>109.56242697804169</v>
      </c>
      <c r="AJ32" s="43">
        <f>(J32*Parameters!$C$92/1000+Parameters!$C$94/100*S32*100*Parameters!$C$93/1000*86400*Parameters!$C$95/24)/86400</f>
        <v>9.5609900767758514E-3</v>
      </c>
      <c r="AK32" s="43">
        <f t="shared" si="1"/>
        <v>1.6147682910904345E-2</v>
      </c>
      <c r="AL32" s="43">
        <f>(K32*Parameters!$C$92/1000+Parameters!$C$94/100*T32*100*Parameters!$C$93/1000*86400*Parameters!$C$95/24)/86400</f>
        <v>0</v>
      </c>
      <c r="AM32" s="43">
        <f>(Intermediate!N32+Basicinfo!BV32-Intermediate!L32)*Parameters!$C$92/1000/86400</f>
        <v>8.024490740740737E-4</v>
      </c>
      <c r="AN32" s="43">
        <f t="shared" si="2"/>
        <v>2.4649363744133967E-2</v>
      </c>
      <c r="AO32" s="43">
        <f t="shared" si="27"/>
        <v>1.6147682910904345E-2</v>
      </c>
      <c r="AP32" s="43">
        <f t="shared" si="28"/>
        <v>1.1885519407756088E-2</v>
      </c>
      <c r="AQ32" s="43">
        <f t="shared" si="3"/>
        <v>3.8692549649525308E-2</v>
      </c>
      <c r="AR32" s="61">
        <f>(Basicinfo!AU32-Basicinfo!AY32)*F32/1000/86.4/0.365</f>
        <v>0.1088279543953567</v>
      </c>
      <c r="AS32" s="19">
        <f>IF(Basicinfo!AP32-Basicinfo!CB32-Basicinfo!CG32&lt;0,0,(Basicinfo!AP32-Basicinfo!CB32-Basicinfo!CG32)/Basicinfo!G32*1000)</f>
        <v>33.798161183076495</v>
      </c>
      <c r="AT32" s="19">
        <f>Parameters!$C$3*((AS32*86.4*0.365)^Parameters!$C$4)</f>
        <v>252.4795282027259</v>
      </c>
      <c r="AU32" s="19">
        <f>IF(AT32/86.4/0.365*(Basicinfo!G32/1000)-AN32&lt;0,0,AT32/86.4/0.365*(Basicinfo!G32/1000)-AN32)</f>
        <v>0.89140402434742683</v>
      </c>
      <c r="AV32" s="19">
        <f>IF(Basicinfo!AU32&gt;Parameters!$C$13,Parameters!$C$11*(Basicinfo!AU32-Parameters!$C$13)^Parameters!$C$12,0)</f>
        <v>231.16392912372336</v>
      </c>
      <c r="AW32" s="19">
        <f>IF(AV32*V32/1000/86.4/0.365&gt;Basicinfo!AP32*Parameters!$C$15,Basicinfo!AP32*Parameters!$C$15,AV32*V32/1000/86.4/0.365)</f>
        <v>0</v>
      </c>
      <c r="AX32" s="19">
        <f>Basicinfo!AU32-Basicinfo!AW32</f>
        <v>641.88370209899983</v>
      </c>
      <c r="AY32" s="19">
        <f>Parameters!$C$56*AX32+Parameters!$C$57*Basicinfo!AW32</f>
        <v>423.13751074628561</v>
      </c>
      <c r="AZ32" s="19">
        <f>AY32*Basicinfo!BO32/1000/86.4/0.365</f>
        <v>9.8316351158970142E-3</v>
      </c>
      <c r="BA32" s="19">
        <f>IF(Basicinfo!AP32-AQ32-AR32-AU32-AW32-AZ32-Basicinfo!CB32-Basicinfo!CG32&lt;0,0,Basicinfo!AP32-AQ32-AR32-AU32-AW32-AZ32-Basicinfo!CB32-Basicinfo!CG32)</f>
        <v>2.8184230175439744</v>
      </c>
      <c r="BB32" s="53">
        <f t="shared" si="4"/>
        <v>824.46107244125915</v>
      </c>
      <c r="BC32" s="56">
        <f>IF(G32=0,0,((Basicinfo!H32*Basicinfo!BE32+Basicinfo!I32*Basicinfo!BF32+Basicinfo!J32*Basicinfo!BG32+Basicinfo!K32*Basicinfo!BH32+Basicinfo!L32*Basicinfo!BI32)*(1-Basicinfo!BN32/G32*Parameters!$C$26/100)/G32)*Basicinfo!BM32)</f>
        <v>7.5170885475329481</v>
      </c>
      <c r="BD32" s="43">
        <f>IF(Basicinfo!AW32*Parameters!$C$39-Parameters!$C$40&lt;0,0.001,(Basicinfo!AW32*Parameters!$C$39-Parameters!$C$40)/(Basicinfo!AX32*Parameters!$C$39-Parameters!$C$40))</f>
        <v>1.0350787447988012</v>
      </c>
      <c r="BE32" s="43">
        <f>(BC32*G32*100+Basicinfo!BJ32*Basicinfo!M32*100)*Parameters!$C$29*BD32</f>
        <v>2072.4743031885046</v>
      </c>
      <c r="BF32" s="43">
        <f>(Basicinfo!BK32*Basicinfo!P32*100)*BD32*Parameters!$C$29</f>
        <v>751.13528064180275</v>
      </c>
      <c r="BG32" s="43">
        <f>Parameters!$C$27*(V32+W32)*100</f>
        <v>0.93943603112206009</v>
      </c>
      <c r="BH32" s="43">
        <f>Parameters!$C$28*Basicinfo!R32*100</f>
        <v>0</v>
      </c>
      <c r="BI32" s="43">
        <f t="shared" si="29"/>
        <v>752.07471667292486</v>
      </c>
      <c r="BJ32" s="43">
        <f>IF(Basicinfo!AM32&lt;Parameters!$C$33,0,Parameters!$C$30*(((Basicinfo!AM32-Parameters!$C$33)^Parameters!$C$31)*(((G32-Basicinfo!BN32)/Basicinfo!G32*100+Parameters!$C$34))^Parameters!$C$32))</f>
        <v>1.1403491267814609</v>
      </c>
      <c r="BK32" s="58">
        <f t="shared" si="30"/>
        <v>775.70815929210517</v>
      </c>
      <c r="BL32" s="61">
        <f>Basicinfo!AZ32+Basicinfo!BA32</f>
        <v>1943.0839999825205</v>
      </c>
      <c r="BM32" s="19">
        <f>Basicinfo!BB32+Basicinfo!BC32</f>
        <v>2183.07365482977</v>
      </c>
      <c r="BN32" s="172">
        <f>IF(Basicinfo!AO32=0,0,IF(Basicinfo!AO32="NA",1,IF(OR(Basicinfo!AO32="SA",Basicinfo!AN32="S"),3,IF(Basicinfo!AN32="N",1,IF(Basicinfo!AO32="ZA",2,0)))))</f>
        <v>1</v>
      </c>
      <c r="BO32" s="27">
        <f>IF($BN32=1,(BL32)*(1+Parameters!$C$21*Parameters!$C$22-Parameters!$C$22*Basicinfo!$AL32),IF($BN32=2,(BL32)*(1+Parameters!$C$21*Parameters!$C$23-Parameters!$C$23*Basicinfo!$AL32),IF($BN32=3,(BL32)*(1+Parameters!$C$21*Parameters!$C$24-Parameters!$C$24*Basicinfo!$AL32),BL32)))</f>
        <v>1848.7709038861453</v>
      </c>
      <c r="BP32" s="27">
        <f>IF($BN32=1,(BM32)*(1+Parameters!$C$21*Parameters!$C$22-Parameters!$C$22*Basicinfo!$AL32),IF($BN32=2,(BM32)*(1+Parameters!$C$21*Parameters!$C$23-Parameters!$C$23*Basicinfo!$AL32),IF($BN32=3,(BM32)*(1+Parameters!$C$21*Parameters!$C$24-Parameters!$C$24*Basicinfo!$AL32),BM32)))</f>
        <v>2077.1119797836695</v>
      </c>
      <c r="BQ32" s="27">
        <f>IF(Basicinfo!AU32=0,0,IF(G32+Basicinfo!M32=0,0,(Parameters!$C$16+BO32/Basicinfo!AU32)*G32+(Parameters!$C$17+BO32/Basicinfo!AU32)*Basicinfo!M32)/(G32+Basicinfo!M32))</f>
        <v>1.1126260829726848</v>
      </c>
      <c r="BR32" s="27">
        <f>IF(Basicinfo!AU32=0,0,IF(G32+Basicinfo!M32=0,0,(Parameters!$C$16+BP32/Basicinfo!AU32)*G32+(Parameters!$C$17+BP32/Basicinfo!AU32)*Basicinfo!M32)/(G32+Basicinfo!M32))</f>
        <v>1.2498634584741595</v>
      </c>
      <c r="BS32" s="27">
        <f>IF(Basicinfo!AU32=0,0,BO32/Basicinfo!AU32)</f>
        <v>1.1111468480015807</v>
      </c>
      <c r="BT32" s="27">
        <f>IF(Basicinfo!AU32=0,0,BP32/Basicinfo!AU32)</f>
        <v>1.2483842235030553</v>
      </c>
      <c r="BU32" s="27">
        <f>IF(SUM(G32,Basicinfo!M32,Basicinfo!P32,W32)=0,0,(BQ32*(G32+Basicinfo!M32)+BS32*(Basicinfo!P32+W32))/SUM(G32,Basicinfo!M32,Basicinfo!P32,W32))</f>
        <v>1.1117491160180581</v>
      </c>
      <c r="BV32" s="19">
        <f>IF(Basicinfo!BR32/Parameters!$C$10&gt;1,1,Basicinfo!BR32/Parameters!$C$10)</f>
        <v>0.19925322015130328</v>
      </c>
      <c r="BW32" s="19">
        <f>Parameters!$C$5+Parameters!$C$6*EXP(BV32*Parameters!$C$8*Parameters!$C$7)</f>
        <v>3.5009957396079219E-2</v>
      </c>
      <c r="BX32" s="19">
        <f>Parameters!$C$5+Parameters!$C$6*EXP(BV32*Parameters!$C$9*Parameters!$C$7)</f>
        <v>3.500731168028394E-2</v>
      </c>
      <c r="BY32" s="19">
        <f>IF(Basicinfo!AH32+Basicinfo!AI32+Basicinfo!AJ32+Basicinfo!AK32=0,0,(Parameters!$C$18*(Basicinfo!AH32+Basicinfo!AI32)+Parameters!$C$19*Basicinfo!AJ32+Parameters!$C$20*Basicinfo!AK32)/(Basicinfo!AH32+Basicinfo!AI32+Basicinfo!AJ32+Basicinfo!AK32))</f>
        <v>2.6225094952652978E-2</v>
      </c>
      <c r="BZ32" s="19">
        <f>IF(Basicinfo!AJ32+Basicinfo!AK32=0,Parameters!$C$18,(Parameters!$C$19*Basicinfo!AJ32+Parameters!$C$20*Basicinfo!AK32)/(Basicinfo!AJ32+Basicinfo!AK32))</f>
        <v>1.4557352857824163E-2</v>
      </c>
      <c r="CA32" s="19">
        <f>IF(SUM(G32,Basicinfo!M32,Basicinfo!P32,W32)=0,0,(BW32*G32+BX32*Basicinfo!M32+BY32*Basicinfo!P32+BZ32*W32)/(SUM(G32,Basicinfo!M32,Basicinfo!P32,W32)))</f>
        <v>2.9795452888395024E-2</v>
      </c>
      <c r="CB32" s="19">
        <f>IF(Y32=0,Basicinfo!BP32,Basicinfo!BP32-(AU32*X32/Y32*Intermediate!BQ32*86400*365/1000000)*1000/(X32*100))</f>
        <v>37.791493150497296</v>
      </c>
      <c r="CC32" s="19">
        <f>IF(Y32=0,Basicinfo!BQ32,Basicinfo!BQ32-(AU32*Basicinfo!AV32/Basicinfo!AU32*X32/Y32*Intermediate!BR32*86400*365/1000000)*1000/(X32*100))</f>
        <v>36.585772490819778</v>
      </c>
      <c r="CD32" s="19">
        <f>IF(OR(Y32=0,AA32=0),BP32/100,BP32/100-(AU32*Basicinfo!AV32/Basicinfo!AU32*(Basicinfo!P32+W32)/Y32*Intermediate!BT32*86400*365/1000000+AW32*Basicinfo!AV32/Basicinfo!AU32*Intermediate!BT32*86400*365/1000000)*1000/(AA32*100))</f>
        <v>17.707420700631449</v>
      </c>
      <c r="CE32" s="19">
        <f t="shared" si="5"/>
        <v>151002.1883246575</v>
      </c>
      <c r="CF32" s="19">
        <f t="shared" si="6"/>
        <v>117811.81169909435</v>
      </c>
      <c r="CG32" s="19">
        <f>IF(AY32=0,0,((CB32^Parameters!$C$58))/AY32*100)</f>
        <v>5.1796858068207889</v>
      </c>
      <c r="CH32" s="19">
        <f>IF(SUM(Basicinfo!AB32:AG32)=0,0,(Parameters!$C$59*Basicinfo!AB32+Parameters!$C$60*SUM(Basicinfo!AC32:AE32)+Parameters!$C$61*Basicinfo!AF32+Parameters!$C$62*Basicinfo!AG32)/SUM(Basicinfo!AB32:AG32))</f>
        <v>0.12217520772591481</v>
      </c>
      <c r="CI32" s="19">
        <f t="shared" si="31"/>
        <v>4</v>
      </c>
      <c r="CJ32" s="19">
        <f t="shared" si="8"/>
        <v>24.934993212047964</v>
      </c>
      <c r="CK32" s="19">
        <f t="shared" si="9"/>
        <v>3.0243990948189392</v>
      </c>
      <c r="CL32" s="19">
        <f>IF($BB32=0,0,$CJ32^Parameters!$C$58*100/$BB32)</f>
        <v>1.8668856233052398</v>
      </c>
      <c r="CM32" s="19">
        <f>IF(CK32=0,0,(1/(1+Parameters!$C$116*BB32^Parameters!$C$120)*Basicinfo!AH32/Basicinfo!G32+1/(1+Parameters!$C$117*BB32^Parameters!$C$121)*Basicinfo!AI32/Basicinfo!G32)*(CK32)^Parameters!$C$124+(1/(1+Parameters!$C$118*BB32^Parameters!$C$122)*Basicinfo!AJ32/Basicinfo!G32+1/(1+Parameters!$C$119*BB32^Parameters!$C$123)*Basicinfo!AK32/Basicinfo!G32)*(CK32)^Parameters!$C$125)</f>
        <v>1.471959553231722</v>
      </c>
      <c r="CN32" s="19">
        <f>IF(SUM(Basicinfo!AB32:AG32)=0,0,(Parameters!$C$128*Basicinfo!AB32+Parameters!$C$129*(SUM(Basicinfo!AC32:AE32))+Parameters!$C$130*Basicinfo!AF32+Parameters!$C$131*Basicinfo!AG32)/SUM(Basicinfo!AB32:AG32))</f>
        <v>4.1031667979565124E-2</v>
      </c>
      <c r="CO32" s="19">
        <f>IF(Basicinfo!AH32+Basicinfo!AI32+Basicinfo!AJ32+Basicinfo!AK32=0,0,(Parameters!$C$132*(Basicinfo!AH32+Basicinfo!AI32)+Parameters!$C$133*Basicinfo!AJ32+Parameters!$C$134*Basicinfo!AK32)/(Basicinfo!AH32+Basicinfo!AI32+Basicinfo!AJ32+Basicinfo!AK32))</f>
        <v>5.0000000000000001E-4</v>
      </c>
      <c r="CP32" s="19">
        <f>IF(Basicinfo!AJ32+Basicinfo!AK32=0,0,(Parameters!$C$133*Basicinfo!AJ32+Parameters!$C$134*Basicinfo!AK32)/(Basicinfo!AJ32+Basicinfo!AK32))</f>
        <v>5.0000000000000001E-4</v>
      </c>
      <c r="CQ32" s="19">
        <f>IF(Z32=0,0,(CN32*(Z32-AA32)+CO32*Basicinfo!P32+CP32*(Basicinfo!Q32+Basicinfo!R32))/Z32)</f>
        <v>1.5992648044287985E-2</v>
      </c>
      <c r="CR32" s="289">
        <f>Basicinfo!EI32</f>
        <v>5.0053578947368412E-3</v>
      </c>
      <c r="CS32" s="19">
        <f>IF(SUM(Basicinfo!AB32:AG32)=0,0,(Basicinfo!AB32*Parameters!$C$43+(Basicinfo!AC32+Basicinfo!AD32)*Parameters!$C$44+Basicinfo!AE32*Parameters!$C$45+(Basicinfo!AF32+Basicinfo!AG32)*Parameters!$C$46)/SUM(Basicinfo!AB32:AG32))</f>
        <v>23.958518835504048</v>
      </c>
      <c r="CT32" s="19">
        <f>(Parameters!$C$41*CS32+Parameters!$C$42)</f>
        <v>519.37689212214127</v>
      </c>
      <c r="CU32" s="19">
        <f>CT32+Basicinfo!BR32/(Parameters!$C$47*Parameters!$C$49*Parameters!$C$48*10000/1000000)</f>
        <v>589.55412689241166</v>
      </c>
      <c r="CV32" s="19">
        <f>IF(BK32/Basicinfo!G32&lt;Parameters!$C$35,Parameters!$C$35,Parameters!$C$37*(BK32/Basicinfo!G32)^Parameters!$C$38)</f>
        <v>3.1156021028475109</v>
      </c>
      <c r="CW32" s="19">
        <f>IF(BK32/Basicinfo!G32&lt;Parameters!$C$35,Parameters!$C$36,Parameters!$C$36*(BK32/Basicinfo!G32)^Parameters!$C$38)</f>
        <v>7.3216649416916511</v>
      </c>
      <c r="CX32" s="27">
        <f>IF(Basicinfo!AJ32+Basicinfo!AK32=0,0,(Parameters!$C$53*Basicinfo!AJ32+Parameters!$C$54*Basicinfo!AK32)/(Basicinfo!AJ32+Basicinfo!AK32))</f>
        <v>656.6827276656627</v>
      </c>
      <c r="CY32" s="56">
        <f>IF(Basicinfo!AU32*AB32=0,0,((Basicinfo!AZ32+Basicinfo!BA32)/Basicinfo!AU32+Parameters!$C$76/(Basicinfo!AU32*AB32)*100))</f>
        <v>1.8293503262563366</v>
      </c>
      <c r="CZ32" s="43">
        <f>IF(Basicinfo!AU32*AB32=0,0,(Parameters!$C$77)/(Basicinfo!AU32*AB32)*100)</f>
        <v>0.41344968420766071</v>
      </c>
      <c r="DA32" s="43">
        <f>IF(AD32+AJ32=0,0,((J32*Parameters!$C$96+Parameters!$C$94/100*S32*100*Parameters!$C$93/1000*86400*Parameters!$C$95/24*Parameters!$C$98)*AI32+AD32*CY32*86400*365)/((AD32+AJ32*AI32/365)*86400*365))</f>
        <v>13.87831074786828</v>
      </c>
      <c r="DB32" s="43">
        <f>IF(AD32+AJ32=0,0,((J32*Parameters!$C$97+Parameters!$C$94/100*S32*100*Parameters!$C$93/1000*86400*Parameters!$C$95/24*Parameters!$C$99)*AI32+AD32*CZ32*86400*365)/((AD32+AJ32*AI32/365)*86400*365))</f>
        <v>2.3580824693867601</v>
      </c>
      <c r="DC32" s="42">
        <f>IF(AE32+AL32=0,0,((K32*Parameters!$C$96+Parameters!$C$94/100*T32*100*Parameters!$C$93/1000*86400*Parameters!$C$95/24*Parameters!$C$98)*365+AE32*CY32*86400*365)/((AE32+AL32)*86400*365))</f>
        <v>0</v>
      </c>
      <c r="DD32" s="42">
        <f>IF(AE32+AL32=0,0,((K32*Parameters!$C$97+Parameters!$C$94/100*T32*100*Parameters!$C$93/1000*86400*Parameters!$C$95/24*Parameters!$C$99)*365+AE32*CZ32*86400*365)/((AE32+AL32)*86400*365))</f>
        <v>0</v>
      </c>
      <c r="DE32" s="42">
        <f>IF(Basicinfo!AH32+Basicinfo!AI32+Basicinfo!AJ32+Basicinfo!AK32=0,0,((Basicinfo!AH32+Basicinfo!AI32)*Parameters!$C$107+(Basicinfo!AJ32+Basicinfo!AK32)*Parameters!$C$106)/(Basicinfo!AH32+Basicinfo!AI32+Basicinfo!AJ32+Basicinfo!AK32))</f>
        <v>72.830198092607574</v>
      </c>
      <c r="DF32" s="42">
        <f>IF(Basicinfo!AH32+Basicinfo!AI32+Basicinfo!AJ32+Basicinfo!AK32=0,0,((Basicinfo!AH32+Basicinfo!AI32)*Parameters!$C$109+(Basicinfo!AJ32+Basicinfo!AK32)*Parameters!$C$108)/(Basicinfo!AH32+Basicinfo!AI32+Basicinfo!AJ32+Basicinfo!AK32))</f>
        <v>72.830198092607574</v>
      </c>
      <c r="DG32" s="42">
        <f>Intermediate!AC32*Intermediate!CY32*(1-Parameters!$C$102/100*Basicinfo!BZ32/100)*(1-Parameters!$C$104/100*Basicinfo!CA32/100)*86400*365/1000000</f>
        <v>0.61494192479664</v>
      </c>
      <c r="DH32" s="42">
        <f>Intermediate!AC32*Intermediate!CZ32*(1-Parameters!$C$103/100*Basicinfo!BZ32/100)*(1-Parameters!$C$105/100*Basicinfo!CA32/100)*86400*365/1000000</f>
        <v>0.13898242505224534</v>
      </c>
      <c r="DI32" s="42">
        <f>(Intermediate!AK32*Intermediate!DA32+(Intermediate!AE32+Intermediate!AL32)*Intermediate!DC32)*86400*365/1000000</f>
        <v>7.0672983730171826</v>
      </c>
      <c r="DJ32" s="42">
        <f>(Intermediate!AK32*Intermediate!DB32+(Intermediate!AE32+Intermediate!AL32)*Intermediate!DD32)*86400*365/1000000</f>
        <v>1.2008141842404838</v>
      </c>
      <c r="DK32" s="42">
        <f>((Basicinfo!AZ32+Basicinfo!BA32)*Intermediate!AB32+Parameters!$C$76*100)/1000*Intermediate!U32*(1-Intermediate!DE32/100)+(1-Parameters!$C$110/100)*M32*Parameters!$C$100*(1-DE32/100)*365/1000000+(1-Parameters!$C$112/100)*P32*Parameters!$C$96*365/1000000+(1-Parameters!$C$112/100)*O32*Parameters!$C$96*(1-DE32/100)*365/1000000</f>
        <v>0.60212281804061774</v>
      </c>
      <c r="DL32" s="42">
        <f>Parameters!$C$77*100/1000*Intermediate!U32*(1-Intermediate!DF32/100)+(1-Parameters!$C$111/100)*M32*Parameters!$C$101*(1-DF32/100)*365/1000000+(1-Parameters!$C$113/100)*P32*Parameters!$C$97*365/1000000+(1-Parameters!$C$113/100)*O32*Parameters!$C$97*(1-DF32/100)*365/1000000</f>
        <v>9.6481262472391277E-2</v>
      </c>
      <c r="DM32" s="31"/>
      <c r="DN32" s="31"/>
      <c r="DO32" s="31"/>
      <c r="DP32" s="31"/>
      <c r="DQ32" s="31"/>
      <c r="DR32" s="31"/>
      <c r="DS32" s="31"/>
      <c r="DT32" s="188">
        <f>BO32*(Basicinfo!$P32+Basicinfo!$Q32)/1000</f>
        <v>113.08111174687696</v>
      </c>
      <c r="DU32" s="188">
        <f>DT32*Basicinfo!$AZ32/(Basicinfo!$AZ32+Basicinfo!$BA32)</f>
        <v>69.165155912787966</v>
      </c>
      <c r="DV32" s="188">
        <f>DT32*Basicinfo!$BC32/(Basicinfo!$BB32+Basicinfo!$BC32)</f>
        <v>41.667287310917487</v>
      </c>
      <c r="DW32" s="188">
        <f>BP32*(Basicinfo!$P32+Basicinfo!$Q32)/1000</f>
        <v>127.04772203141452</v>
      </c>
      <c r="DX32" s="188">
        <f>DW32*Basicinfo!$BB32/(Basicinfo!$BB32+Basicinfo!$BC32)</f>
        <v>80.234122003054978</v>
      </c>
      <c r="DY32" s="188">
        <f>DW32*Basicinfo!$BC32/(Basicinfo!$BB32+Basicinfo!$BC32)</f>
        <v>46.813600028359559</v>
      </c>
      <c r="DZ32" s="188">
        <f t="shared" si="10"/>
        <v>77.659866786957181</v>
      </c>
      <c r="EA32" s="188">
        <f>DZ32*Basicinfo!$AZ32/(Basicinfo!$AZ32+Basicinfo!$BA32)</f>
        <v>47.500035253540744</v>
      </c>
      <c r="EB32" s="188">
        <f>DZ32*Basicinfo!$BC32/(Basicinfo!$BB32+Basicinfo!$BC32)</f>
        <v>28.615530321128901</v>
      </c>
      <c r="EC32" s="188">
        <f t="shared" si="11"/>
        <v>87.251610955430039</v>
      </c>
      <c r="ED32" s="188">
        <f>EC32*Basicinfo!$AZ32/(Basicinfo!$AZ32+Basicinfo!$BA32)</f>
        <v>53.366748718235016</v>
      </c>
      <c r="EE32" s="188">
        <f>EC32*Basicinfo!$BC32/(Basicinfo!$BB32+Basicinfo!$BC32)</f>
        <v>32.149824898769658</v>
      </c>
      <c r="EF32" s="190">
        <f>(Basicinfo!BP32-BL32/100)*Intermediate!X32/10</f>
        <v>89.239462771020186</v>
      </c>
      <c r="EG32" s="191">
        <f>(Basicinfo!BQ32-BM32/100)*Intermediate!X32/10</f>
        <v>75.995559204734079</v>
      </c>
      <c r="EH32" s="197">
        <f>IF(AU32=0,0,$BS32*((Basicinfo!$P32+Basicinfo!$Q32)*Intermediate!$AT32*1000+$AW32*3600*24*365)/1000000*Basicinfo!AZ32/(Basicinfo!$AZ32+Basicinfo!$BA32))</f>
        <v>10.495469993557951</v>
      </c>
      <c r="EI32" s="197">
        <f>IF(AU32=0,0,$BS32*((Basicinfo!$P32+Basicinfo!$Q32)*Intermediate!$AT32*1000+$AW32*3600*24*365)/1000000*Basicinfo!BA32/(Basicinfo!$AZ32+Basicinfo!$BA32))</f>
        <v>6.6640288829288679</v>
      </c>
      <c r="EJ32" s="198">
        <f>IF(AU32=0,0,$BS32*($AT32*$X32*1000)/1000000*Basicinfo!AZ32/(Basicinfo!$AZ32+Basicinfo!$BA32))</f>
        <v>7.2078951911146847</v>
      </c>
      <c r="EK32" s="198">
        <f>IF(AU32=0,0,$BS32*($AT32*$X32*1000)/1000000*Basicinfo!BA32/(Basicinfo!$AZ32+Basicinfo!$BA32))</f>
        <v>4.576605122800129</v>
      </c>
      <c r="EL32" s="147">
        <f>Parameters!$C$150/Basicinfo!$AV32*100</f>
        <v>5.8353109902440942E-2</v>
      </c>
      <c r="EM32" s="147">
        <f>Parameters!$C$151/Basicinfo!$AV32*100</f>
        <v>0.11670621980488188</v>
      </c>
      <c r="EN32" s="147">
        <f>(Parameters!$C$150+Parameters!$C$151)/Intermediate!$BB32*100</f>
        <v>0.36387406273978362</v>
      </c>
      <c r="EO32" s="193">
        <f>IF(EN32=0,0,(1/(1+Parameters!$C$116*$BB32^Parameters!$C$120)*Basicinfo!$AH32/Basicinfo!$G32+1/(1+Parameters!$C$117*$BB32^Parameters!$C$121)*Basicinfo!$AI32/Basicinfo!$G32)*(EN32)^Parameters!$C$124+(1/(1+Parameters!$C$118*$BB32^Parameters!$C$122)*Basicinfo!$AJ32/Basicinfo!AW32+1/(1+Parameters!$C$119*$BB32^Parameters!$C$123)*Basicinfo!$AK32/Basicinfo!$G32)*(EN32)^Parameters!$C$125)</f>
        <v>0.30495174052636015</v>
      </c>
      <c r="EP32" s="199">
        <f>EL32*($AT32*Basicinfo!$P32*1000+$AW32*3600*24*365)/1000000</f>
        <v>0.90045809361714868</v>
      </c>
      <c r="EQ32" s="199">
        <f>EM32*($AT32*Basicinfo!$P32*1000+$AW32*3600*24*365)/1000000</f>
        <v>1.8009161872342974</v>
      </c>
      <c r="ER32" s="199">
        <f t="shared" si="12"/>
        <v>0.61887611272982934</v>
      </c>
      <c r="ES32" s="199">
        <f t="shared" si="13"/>
        <v>1.2377522254596587</v>
      </c>
      <c r="ET32" s="181">
        <f t="shared" si="14"/>
        <v>27.104656037467745</v>
      </c>
      <c r="EU32" s="147">
        <f>Intermediate!F32*(Parameters!$C$150)/1000*100</f>
        <v>0.34823796721668332</v>
      </c>
      <c r="EV32" s="147">
        <f>Intermediate!F32*(Parameters!$C$151)/1000*100</f>
        <v>0.69647593443336664</v>
      </c>
      <c r="EW32" s="181">
        <f>'Local emissions'!$S32*Basicinfo!AZ32/(Basicinfo!$AZ32+Basicinfo!$BA32)-Intermediate!EU32</f>
        <v>3.5895878982254192</v>
      </c>
      <c r="EX32" s="147">
        <f>'Local emissions'!$S32*Basicinfo!BA32/(Basicinfo!$AZ32+Basicinfo!$BA32)-Intermediate!EV32</f>
        <v>1.8038204143111458</v>
      </c>
      <c r="EY32" s="188">
        <f t="shared" si="15"/>
        <v>9.5950118999408023</v>
      </c>
      <c r="EZ32" s="188">
        <f t="shared" si="16"/>
        <v>4.8631126956945705</v>
      </c>
      <c r="FA32" s="188">
        <f t="shared" si="17"/>
        <v>6.5890190783848555</v>
      </c>
      <c r="FB32" s="181">
        <f t="shared" si="18"/>
        <v>3.3388528973404705</v>
      </c>
      <c r="FC32" s="181">
        <f>'Local emissions'!Y32-Intermediate!ET32</f>
        <v>104.03812875178357</v>
      </c>
      <c r="FD32" s="188">
        <f t="shared" si="19"/>
        <v>28.754925214913239</v>
      </c>
      <c r="FE32" s="188">
        <f t="shared" si="20"/>
        <v>16.777420058327362</v>
      </c>
      <c r="FF32" s="181">
        <f t="shared" si="21"/>
        <v>9.5629940855929441</v>
      </c>
      <c r="FG32" s="201">
        <f t="shared" si="22"/>
        <v>5.7610514551494525</v>
      </c>
      <c r="FH32" s="181">
        <f t="shared" si="23"/>
        <v>43.181737937800563</v>
      </c>
      <c r="FJ32" s="147">
        <f>AVERAGE(Parameters!$C$132:$C$134)*'Local emissions'!J32*3600*24*365/1000000</f>
        <v>4.4440894140633388E-2</v>
      </c>
      <c r="FK32" s="147">
        <f>'Local emissions'!AJ32+CT32*BJ32/100*Intermediate!X32*100/1000000</f>
        <v>0.36350684964281238</v>
      </c>
      <c r="FL32" s="31">
        <f>(Parameters!$C$18*(Basicinfo!AH32+Basicinfo!AI32)+Parameters!$C$19*Basicinfo!AJ32+Parameters!$C$20*Basicinfo!AK32)/Basicinfo!G32</f>
        <v>2.6225094952652982E-2</v>
      </c>
      <c r="FM32" s="181">
        <f t="shared" si="32"/>
        <v>0.737221965746649</v>
      </c>
    </row>
    <row r="33" spans="1:169">
      <c r="A33" s="39" t="str">
        <f>Basicinfo!A33</f>
        <v>Dürre Ager</v>
      </c>
      <c r="B33" s="63">
        <f>Basicinfo!B33</f>
        <v>1250</v>
      </c>
      <c r="C33" s="63">
        <f>Basicinfo!C33</f>
        <v>1270</v>
      </c>
      <c r="D33" s="61">
        <f>Basicinfo!U33*Basicinfo!V33/1000+Basicinfo!Y33</f>
        <v>0.55421109916178224</v>
      </c>
      <c r="E33" s="19">
        <f>Basicinfo!W33*Basicinfo!X33/1000+Basicinfo!Z33</f>
        <v>0</v>
      </c>
      <c r="F33" s="19">
        <f t="shared" si="0"/>
        <v>0.55421109916178224</v>
      </c>
      <c r="G33" s="19">
        <f>SUM(Basicinfo!H33:L33)</f>
        <v>18.41221056884531</v>
      </c>
      <c r="H33" s="19">
        <f>IF(Basicinfo!N33&lt;Parameters!$C$68,Parameters!$C$69,Basicinfo!BS33/(Basicinfo!N33*100))</f>
        <v>24.992611106092895</v>
      </c>
      <c r="I33" s="19">
        <f>IF(Basicinfo!N33=0,0,Basicinfo!BU33*(1-Basicinfo!BX33/100))</f>
        <v>6580.7357975109671</v>
      </c>
      <c r="J33" s="19">
        <f>IF(Basicinfo!N33=0,0,Basicinfo!BU33*Basicinfo!BX33/100)</f>
        <v>2820.3153417904145</v>
      </c>
      <c r="K33" s="19">
        <f>IF(Basicinfo!N33=0,0,Basicinfo!BT33-Basicinfo!BU33)</f>
        <v>0</v>
      </c>
      <c r="L33" s="27">
        <f>Basicinfo!BV33*Basicinfo!BW33/100</f>
        <v>367.65666666666641</v>
      </c>
      <c r="M33" s="27">
        <f>Basicinfo!BV33-Intermediate!L33</f>
        <v>367.65666666666641</v>
      </c>
      <c r="N33" s="73">
        <f>Basicinfo!BS33-SUM(I33:K33)-Basicinfo!BV33</f>
        <v>0</v>
      </c>
      <c r="O33" s="19">
        <f>IF(Basicinfo!AH33+Basicinfo!AI33+Basicinfo!AJ33+Basicinfo!AK33=0,0,N33*(Basicinfo!AH33+Basicinfo!AI33)/SUM(Basicinfo!AH33:AK33))</f>
        <v>0</v>
      </c>
      <c r="P33" s="73">
        <f t="shared" si="25"/>
        <v>0</v>
      </c>
      <c r="Q33" s="19">
        <f>IF(Basicinfo!BS33=0,Basicinfo!N33,IF(H33&gt;Parameters!$C$70,Parameters!$C$64*(Parameters!$C$65*Parameters!$C$70)^(Parameters!$C$66-Parameters!$C$67*LOG(Parameters!$C$65*Parameters!$C$70,10))/100*Basicinfo!N33,Parameters!$C$64*(Parameters!$C$65*H33)^(Parameters!$C$66-Parameters!$C$67*LOG(Parameters!$C$65*H33,10))/100*Basicinfo!N33))</f>
        <v>1.3387132700220759</v>
      </c>
      <c r="R33" s="19">
        <f>IF(Basicinfo!BS33=0,Q33*(1-Basicinfo!BX33/100),IF(H33&lt;Parameters!$C$75,Q33*Basicinfo!BU33/Basicinfo!BS33*(1-Basicinfo!BX33/100)*(-Parameters!$C$74+Parameters!$C$73*LN(H33*100)),Q33*Basicinfo!BU33/Basicinfo!BS33*(1-Basicinfo!BX33/100)))</f>
        <v>0.53013615980700202</v>
      </c>
      <c r="S33" s="19">
        <f>IF(Basicinfo!BS33=0,Q33*Basicinfo!BX33/100,Q33*Basicinfo!BU33/Basicinfo!BS33*Basicinfo!BX33/100)</f>
        <v>0.37248005277382212</v>
      </c>
      <c r="T33" s="19">
        <f>IF(Basicinfo!BS33=0,0,IF(H33&lt;Parameters!$C$75,Q33*K33/Basicinfo!BS33*(-Parameters!$C$74+Parameters!$C$73*LN(H33*100)),Q33*K33/Basicinfo!BS33))</f>
        <v>0</v>
      </c>
      <c r="U33" s="19">
        <f t="shared" si="26"/>
        <v>0.43609705744125171</v>
      </c>
      <c r="V33" s="19">
        <f>IF(Basicinfo!AL33&gt;Parameters!$C$14,Basicinfo!Q33,0)</f>
        <v>0</v>
      </c>
      <c r="W33" s="19">
        <f>IF(Basicinfo!AL33&gt;Parameters!$C$14,0,Basicinfo!Q33)</f>
        <v>1.1063766434903999E-4</v>
      </c>
      <c r="X33" s="19">
        <f>G33+Basicinfo!M33</f>
        <v>45.172065932918734</v>
      </c>
      <c r="Y33" s="19">
        <f>IF(Basicinfo!G33-F33-Q33-V33-Basicinfo!O33-Basicinfo!R33-Basicinfo!S33&lt;0,0,Basicinfo!G33-F33-Q33-V33-Basicinfo!O33-Basicinfo!R33-Basicinfo!S33)</f>
        <v>92.774611683816161</v>
      </c>
      <c r="Z33" s="19">
        <f>Basicinfo!G33-F33-Basicinfo!BO33-Q33-Basicinfo!O33</f>
        <v>91.558532965340547</v>
      </c>
      <c r="AA33" s="53">
        <f>IF(Z33+Basicinfo!BO33-X33&gt;0,Z33+Basicinfo!BO33-X33,0)</f>
        <v>47.602545750897427</v>
      </c>
      <c r="AB33" s="56">
        <f>IF(Basicinfo!N33=0,0,Parameters!$C$71+Parameters!$C$72*Q33/Basicinfo!N33)</f>
        <v>0.3975587294923727</v>
      </c>
      <c r="AC33" s="43">
        <f>Basicinfo!AU33*AB33*R33/1000/86.4/0.365</f>
        <v>8.9357790240541749E-3</v>
      </c>
      <c r="AD33" s="43">
        <f>Basicinfo!AU33*AB33*S33/1000/86.4/0.365</f>
        <v>6.2783859974136231E-3</v>
      </c>
      <c r="AE33" s="43">
        <f>Basicinfo!AU33*AB33*T33/1000/86.4/0.365</f>
        <v>0</v>
      </c>
      <c r="AF33" s="43">
        <f>Basicinfo!AU33*AB33*U33/1000/86.4/0.365</f>
        <v>7.3506906975633482E-3</v>
      </c>
      <c r="AG33" s="43">
        <f>((Parameters!$C$80+Parameters!$C$81*Parameters!$C$89)/(Parameters!$C$82+Parameters!$C$89)/(Parameters!$C$90/100*Parameters!$C$91+(Parameters!$C$83+Parameters!$C$84*Parameters!$C$89)/(Parameters!$C$85+Parameters!$C$89)))-Parameters!$C$86+(Basicinfo!AU33-Parameters!$C$88)/Parameters!$C$87</f>
        <v>84.81512058394793</v>
      </c>
      <c r="AH33" s="43">
        <f>((Parameters!$C$80+Parameters!$C$81*Parameters!$C$89)/(Parameters!$C$82+Parameters!$C$89)/(Basicinfo!BY33/100*Parameters!$C$91+(Parameters!$C$83+Parameters!$C$84*Parameters!$C$89)/(Parameters!$C$85+Parameters!$C$89)))-Parameters!$C$86+(Basicinfo!AU33-Parameters!$C$88)/Parameters!$C$87</f>
        <v>67.012238717332366</v>
      </c>
      <c r="AI33" s="43">
        <f>Basicinfo!AU33^Parameters!$C$79*Parameters!$C$78*AH33/AG33</f>
        <v>61.978042128498068</v>
      </c>
      <c r="AJ33" s="43">
        <f>(J33*Parameters!$C$92/1000+Parameters!$C$94/100*S33*100*Parameters!$C$93/1000*86400*Parameters!$C$95/24)/86400</f>
        <v>4.2559460299160011E-3</v>
      </c>
      <c r="AK33" s="43">
        <f t="shared" si="1"/>
        <v>4.6915655553833955E-3</v>
      </c>
      <c r="AL33" s="43">
        <f>(K33*Parameters!$C$92/1000+Parameters!$C$94/100*T33*100*Parameters!$C$93/1000*86400*Parameters!$C$95/24)/86400</f>
        <v>0</v>
      </c>
      <c r="AM33" s="43">
        <f>(Intermediate!N33+Basicinfo!BV33-Intermediate!L33)*Parameters!$C$92/1000/86400</f>
        <v>5.5318711419753046E-4</v>
      </c>
      <c r="AN33" s="43">
        <f t="shared" si="2"/>
        <v>1.3143066036236561E-2</v>
      </c>
      <c r="AO33" s="43">
        <f t="shared" si="27"/>
        <v>4.6915655553833955E-3</v>
      </c>
      <c r="AP33" s="43">
        <f t="shared" si="28"/>
        <v>7.9038778117608791E-3</v>
      </c>
      <c r="AQ33" s="43">
        <f t="shared" si="3"/>
        <v>2.1531222391198451E-2</v>
      </c>
      <c r="AR33" s="61">
        <f>(Basicinfo!AU33-Basicinfo!AY33)*F33/1000/86.4/0.365</f>
        <v>1.1407851327659339E-2</v>
      </c>
      <c r="AS33" s="19">
        <f>IF(Basicinfo!AP33-Basicinfo!CB33-Basicinfo!CG33&lt;0,0,(Basicinfo!AP33-Basicinfo!CB33-Basicinfo!CG33)/Basicinfo!G33*1000)</f>
        <v>18.159975701563958</v>
      </c>
      <c r="AT33" s="19">
        <f>Parameters!$C$3*((AS33*86.4*0.365)^Parameters!$C$4)</f>
        <v>116.42762578764462</v>
      </c>
      <c r="AU33" s="19">
        <f>IF(AT33/86.4/0.365*(Basicinfo!G33/1000)-AN33&lt;0,0,AT33/86.4/0.365*(Basicinfo!G33/1000)-AN33)</f>
        <v>0.33635961223041233</v>
      </c>
      <c r="AV33" s="19">
        <f>IF(Basicinfo!AU33&gt;Parameters!$C$13,Parameters!$C$11*(Basicinfo!AU33-Parameters!$C$13)^Parameters!$C$12,0)</f>
        <v>173.80921298448285</v>
      </c>
      <c r="AW33" s="19">
        <f>IF(AV33*V33/1000/86.4/0.365&gt;Basicinfo!AP33*Parameters!$C$15,Basicinfo!AP33*Parameters!$C$15,AV33*V33/1000/86.4/0.365)</f>
        <v>0</v>
      </c>
      <c r="AX33" s="19">
        <f>Basicinfo!AU33-Basicinfo!AW33</f>
        <v>533.95625761171425</v>
      </c>
      <c r="AY33" s="19">
        <f>Parameters!$C$56*AX33+Parameters!$C$57*Basicinfo!AW33</f>
        <v>347.28832110308571</v>
      </c>
      <c r="AZ33" s="19">
        <f>AY33*Basicinfo!BO33/1000/86.4/0.365</f>
        <v>1.3391994433935466E-2</v>
      </c>
      <c r="BA33" s="19">
        <f>IF(Basicinfo!AP33-AQ33-AR33-AU33-AW33-AZ33-Basicinfo!CB33-Basicinfo!CG33&lt;0,0,Basicinfo!AP33-AQ33-AR33-AU33-AW33-AZ33-Basicinfo!CB33-Basicinfo!CG33)</f>
        <v>1.3364694740662042</v>
      </c>
      <c r="BB33" s="53">
        <f t="shared" si="4"/>
        <v>460.32739897772848</v>
      </c>
      <c r="BC33" s="56">
        <f>IF(G33=0,0,((Basicinfo!H33*Basicinfo!BE33+Basicinfo!I33*Basicinfo!BF33+Basicinfo!J33*Basicinfo!BG33+Basicinfo!K33*Basicinfo!BH33+Basicinfo!L33*Basicinfo!BI33)*(1-Basicinfo!BN33/G33*Parameters!$C$26/100)/G33)*Basicinfo!BM33)</f>
        <v>6.3763573305816594</v>
      </c>
      <c r="BD33" s="43">
        <f>IF(Basicinfo!AW33*Parameters!$C$39-Parameters!$C$40&lt;0,0.001,(Basicinfo!AW33*Parameters!$C$39-Parameters!$C$40)/(Basicinfo!AX33*Parameters!$C$39-Parameters!$C$40))</f>
        <v>1.0130852307055696</v>
      </c>
      <c r="BE33" s="43">
        <f>(BC33*G33*100+Basicinfo!BJ33*Basicinfo!M33*100)*Parameters!$C$29*BD33</f>
        <v>12621.267170751949</v>
      </c>
      <c r="BF33" s="43">
        <f>(Basicinfo!BK33*Basicinfo!P33*100)*BD33*Parameters!$C$29</f>
        <v>571.77877702700619</v>
      </c>
      <c r="BG33" s="43">
        <f>Parameters!$C$27*(V33+W33)*100</f>
        <v>2.2127532869807998E-3</v>
      </c>
      <c r="BH33" s="43">
        <f>Parameters!$C$28*Basicinfo!R33*100</f>
        <v>0</v>
      </c>
      <c r="BI33" s="43">
        <f t="shared" si="29"/>
        <v>571.78098978029311</v>
      </c>
      <c r="BJ33" s="43">
        <f>IF(Basicinfo!AM33&lt;Parameters!$C$33,0,Parameters!$C$30*(((Basicinfo!AM33-Parameters!$C$33)^Parameters!$C$31)*(((G33-Basicinfo!BN33)/Basicinfo!G33*100+Parameters!$C$34))^Parameters!$C$32))</f>
        <v>2.3937507000072444</v>
      </c>
      <c r="BK33" s="58">
        <f t="shared" si="30"/>
        <v>873.90266102995247</v>
      </c>
      <c r="BL33" s="61">
        <f>Basicinfo!AZ33+Basicinfo!BA33</f>
        <v>1848.1078870457127</v>
      </c>
      <c r="BM33" s="19">
        <f>Basicinfo!BB33+Basicinfo!BC33</f>
        <v>1983.9809179808167</v>
      </c>
      <c r="BN33" s="172">
        <f>IF(Basicinfo!AO33=0,0,IF(Basicinfo!AO33="NA",1,IF(OR(Basicinfo!AO33="SA",Basicinfo!AN33="S"),3,IF(Basicinfo!AN33="N",1,IF(Basicinfo!AO33="ZA",2,0)))))</f>
        <v>1</v>
      </c>
      <c r="BO33" s="27">
        <f>IF($BN33=1,(BL33)*(1+Parameters!$C$21*Parameters!$C$22-Parameters!$C$22*Basicinfo!$AL33),IF($BN33=2,(BL33)*(1+Parameters!$C$21*Parameters!$C$23-Parameters!$C$23*Basicinfo!$AL33),IF($BN33=3,(BL33)*(1+Parameters!$C$21*Parameters!$C$24-Parameters!$C$24*Basicinfo!$AL33),BL33)))</f>
        <v>1797.0326601702286</v>
      </c>
      <c r="BP33" s="27">
        <f>IF($BN33=1,(BM33)*(1+Parameters!$C$21*Parameters!$C$22-Parameters!$C$22*Basicinfo!$AL33),IF($BN33=2,(BM33)*(1+Parameters!$C$21*Parameters!$C$23-Parameters!$C$23*Basicinfo!$AL33),IF($BN33=3,(BM33)*(1+Parameters!$C$21*Parameters!$C$24-Parameters!$C$24*Basicinfo!$AL33),BM33)))</f>
        <v>1929.1506365817768</v>
      </c>
      <c r="BQ33" s="27">
        <f>IF(Basicinfo!AU33=0,0,IF(G33+Basicinfo!M33=0,0,(Parameters!$C$16+BO33/Basicinfo!AU33)*G33+(Parameters!$C$17+BO33/Basicinfo!AU33)*Basicinfo!M33)/(G33+Basicinfo!M33))</f>
        <v>1.4663003018237344</v>
      </c>
      <c r="BR33" s="27">
        <f>IF(Basicinfo!AU33=0,0,IF(G33+Basicinfo!M33=0,0,(Parameters!$C$16+BP33/Basicinfo!AU33)*G33+(Parameters!$C$17+BP33/Basicinfo!AU33)*Basicinfo!M33)/(G33+Basicinfo!M33))</f>
        <v>1.565112738208396</v>
      </c>
      <c r="BS33" s="27">
        <f>IF(Basicinfo!AU33=0,0,BO33/Basicinfo!AU33)</f>
        <v>1.3440197938023319</v>
      </c>
      <c r="BT33" s="27">
        <f>IF(Basicinfo!AU33=0,0,BP33/Basicinfo!AU33)</f>
        <v>1.4428322301869936</v>
      </c>
      <c r="BU33" s="27">
        <f>IF(SUM(G33,Basicinfo!M33,Basicinfo!P33,W33)=0,0,(BQ33*(G33+Basicinfo!M33)+BS33*(Basicinfo!P33+W33))/SUM(G33,Basicinfo!M33,Basicinfo!P33,W33))</f>
        <v>1.4053545880757521</v>
      </c>
      <c r="BV33" s="19">
        <f>IF(Basicinfo!BR33/Parameters!$C$10&gt;1,1,Basicinfo!BR33/Parameters!$C$10)</f>
        <v>0.28059742974083796</v>
      </c>
      <c r="BW33" s="19">
        <f>Parameters!$C$5+Parameters!$C$6*EXP(BV33*Parameters!$C$8*Parameters!$C$7)</f>
        <v>3.5030971496796917E-2</v>
      </c>
      <c r="BX33" s="19">
        <f>Parameters!$C$5+Parameters!$C$6*EXP(BV33*Parameters!$C$9*Parameters!$C$7)</f>
        <v>3.5020048238755229E-2</v>
      </c>
      <c r="BY33" s="19">
        <f>IF(Basicinfo!AH33+Basicinfo!AI33+Basicinfo!AJ33+Basicinfo!AK33=0,0,(Parameters!$C$18*(Basicinfo!AH33+Basicinfo!AI33)+Parameters!$C$19*Basicinfo!AJ33+Parameters!$C$20*Basicinfo!AK33)/(Basicinfo!AH33+Basicinfo!AI33+Basicinfo!AJ33+Basicinfo!AK33))</f>
        <v>3.1995548058667049E-2</v>
      </c>
      <c r="BZ33" s="19">
        <f>IF(Basicinfo!AJ33+Basicinfo!AK33=0,Parameters!$C$18,(Parameters!$C$19*Basicinfo!AJ33+Parameters!$C$20*Basicinfo!AK33)/(Basicinfo!AJ33+Basicinfo!AK33))</f>
        <v>2.5000000000000001E-2</v>
      </c>
      <c r="CA33" s="19">
        <f>IF(SUM(G33,Basicinfo!M33,Basicinfo!P33,W33)=0,0,(BW33*G33+BX33*Basicinfo!M33+BY33*Basicinfo!P33+BZ33*W33)/(SUM(G33,Basicinfo!M33,Basicinfo!P33,W33)))</f>
        <v>3.3514834588428431E-2</v>
      </c>
      <c r="CB33" s="19">
        <f>IF(Y33=0,Basicinfo!BP33,Basicinfo!BP33-(AU33*X33/Y33*Intermediate!BQ33*86400*365/1000000)*1000/(X33*100))</f>
        <v>53.2877735837844</v>
      </c>
      <c r="CC33" s="19">
        <f>IF(Y33=0,Basicinfo!BQ33,Basicinfo!BQ33-(AU33*Basicinfo!AV33/Basicinfo!AU33*X33/Y33*Intermediate!BR33*86400*365/1000000)*1000/(X33*100))</f>
        <v>51.662660822288949</v>
      </c>
      <c r="CD33" s="19">
        <f>IF(OR(Y33=0,AA33=0),BP33/100,BP33/100-(AU33*Basicinfo!AV33/Basicinfo!AU33*(Basicinfo!P33+W33)/Y33*Intermediate!BT33*86400*365/1000000+AW33*Basicinfo!AV33/Basicinfo!AU33*Intermediate!BT33*86400*365/1000000)*1000/(AA33*100))</f>
        <v>17.66469788686755</v>
      </c>
      <c r="CE33" s="19">
        <f t="shared" si="5"/>
        <v>227088.32585686445</v>
      </c>
      <c r="CF33" s="19">
        <f t="shared" si="6"/>
        <v>84088.458933539368</v>
      </c>
      <c r="CG33" s="19">
        <f>IF(AY33=0,0,((CB33^Parameters!$C$58))/AY33*100)</f>
        <v>8.4516841842296824</v>
      </c>
      <c r="CH33" s="19">
        <f>IF(SUM(Basicinfo!AB33:AG33)=0,0,(Parameters!$C$59*Basicinfo!AB33+Parameters!$C$60*SUM(Basicinfo!AC33:AE33)+Parameters!$C$61*Basicinfo!AF33+Parameters!$C$62*Basicinfo!AG33)/SUM(Basicinfo!AB33:AG33))</f>
        <v>6.5688634637332211E-2</v>
      </c>
      <c r="CI33" s="19">
        <f t="shared" si="31"/>
        <v>7</v>
      </c>
      <c r="CJ33" s="19">
        <f t="shared" si="8"/>
        <v>33.986650365859362</v>
      </c>
      <c r="CK33" s="19">
        <f t="shared" si="9"/>
        <v>7.3831473949487201</v>
      </c>
      <c r="CL33" s="19">
        <f>IF($BB33=0,0,$CJ33^Parameters!$C$58*100/$BB33)</f>
        <v>4.3505612174959651</v>
      </c>
      <c r="CM33" s="19">
        <f>IF(CK33=0,0,(1/(1+Parameters!$C$116*BB33^Parameters!$C$120)*Basicinfo!AH33/Basicinfo!G33+1/(1+Parameters!$C$117*BB33^Parameters!$C$121)*Basicinfo!AI33/Basicinfo!G33)*(CK33)^Parameters!$C$124+(1/(1+Parameters!$C$118*BB33^Parameters!$C$122)*Basicinfo!AJ33/Basicinfo!G33+1/(1+Parameters!$C$119*BB33^Parameters!$C$123)*Basicinfo!AK33/Basicinfo!G33)*(CK33)^Parameters!$C$125)</f>
        <v>2.2891737057770527</v>
      </c>
      <c r="CN33" s="19">
        <f>IF(SUM(Basicinfo!AB33:AG33)=0,0,(Parameters!$C$128*Basicinfo!AB33+Parameters!$C$129*(SUM(Basicinfo!AC33:AE33))+Parameters!$C$130*Basicinfo!AF33+Parameters!$C$131*Basicinfo!AG33)/SUM(Basicinfo!AB33:AG33))</f>
        <v>1.2003908657457629E-2</v>
      </c>
      <c r="CO33" s="19">
        <f>IF(Basicinfo!AH33+Basicinfo!AI33+Basicinfo!AJ33+Basicinfo!AK33=0,0,(Parameters!$C$132*(Basicinfo!AH33+Basicinfo!AI33)+Parameters!$C$133*Basicinfo!AJ33+Parameters!$C$134*Basicinfo!AK33)/(Basicinfo!AH33+Basicinfo!AI33+Basicinfo!AJ33+Basicinfo!AK33))</f>
        <v>5.0000000000000001E-4</v>
      </c>
      <c r="CP33" s="19">
        <f>IF(Basicinfo!AJ33+Basicinfo!AK33=0,0,(Parameters!$C$133*Basicinfo!AJ33+Parameters!$C$134*Basicinfo!AK33)/(Basicinfo!AJ33+Basicinfo!AK33))</f>
        <v>5.0000000000000001E-4</v>
      </c>
      <c r="CQ33" s="19">
        <f>IF(Z33=0,0,(CN33*(Z33-AA33)+CO33*Basicinfo!P33+CP33*(Basicinfo!Q33+Basicinfo!R33))/Z33)</f>
        <v>6.0080299991853714E-3</v>
      </c>
      <c r="CR33" s="289">
        <f>Basicinfo!EI33</f>
        <v>6.1619298245614027E-3</v>
      </c>
      <c r="CS33" s="19">
        <f>IF(SUM(Basicinfo!AB33:AG33)=0,0,(Basicinfo!AB33*Parameters!$C$43+(Basicinfo!AC33+Basicinfo!AD33)*Parameters!$C$44+Basicinfo!AE33*Parameters!$C$45+(Basicinfo!AF33+Basicinfo!AG33)*Parameters!$C$46)/SUM(Basicinfo!AB33:AG33))</f>
        <v>23.056004082180969</v>
      </c>
      <c r="CT33" s="19">
        <f>(Parameters!$C$41*CS33+Parameters!$C$42)</f>
        <v>510.17124163824587</v>
      </c>
      <c r="CU33" s="19">
        <f>CT33+Basicinfo!BR33/(Parameters!$C$47*Parameters!$C$49*Parameters!$C$48*10000/1000000)</f>
        <v>608.99800934571078</v>
      </c>
      <c r="CV33" s="19">
        <f>IF(BK33/Basicinfo!G33&lt;Parameters!$C$35,Parameters!$C$35,Parameters!$C$37*(BK33/Basicinfo!G33)^Parameters!$C$38)</f>
        <v>2.6948308376060113</v>
      </c>
      <c r="CW33" s="19">
        <f>IF(BK33/Basicinfo!G33&lt;Parameters!$C$35,Parameters!$C$36,Parameters!$C$36*(BK33/Basicinfo!G33)^Parameters!$C$38)</f>
        <v>6.332852468374127</v>
      </c>
      <c r="CX33" s="27">
        <f>IF(Basicinfo!AJ33+Basicinfo!AK33=0,0,(Parameters!$C$53*Basicinfo!AJ33+Parameters!$C$54*Basicinfo!AK33)/(Basicinfo!AJ33+Basicinfo!AK33))</f>
        <v>749.99999999999989</v>
      </c>
      <c r="CY33" s="56">
        <f>IF(Basicinfo!AU33*AB33=0,0,((Basicinfo!AZ33+Basicinfo!BA33)/Basicinfo!AU33+Parameters!$C$76/(Basicinfo!AU33*AB33)*100))</f>
        <v>2.1347227684291314</v>
      </c>
      <c r="CZ33" s="43">
        <f>IF(Basicinfo!AU33*AB33=0,0,(Parameters!$C$77)/(Basicinfo!AU33*AB33)*100)</f>
        <v>0.47031454407331746</v>
      </c>
      <c r="DA33" s="43">
        <f>IF(AD33+AJ33=0,0,((J33*Parameters!$C$96+Parameters!$C$94/100*S33*100*Parameters!$C$93/1000*86400*Parameters!$C$95/24*Parameters!$C$98)*AI33+AD33*CY33*86400*365)/((AD33+AJ33*AI33/365)*86400*365))</f>
        <v>11.415472881742806</v>
      </c>
      <c r="DB33" s="43">
        <f>IF(AD33+AJ33=0,0,((J33*Parameters!$C$97+Parameters!$C$94/100*S33*100*Parameters!$C$93/1000*86400*Parameters!$C$95/24*Parameters!$C$99)*AI33+AD33*CZ33*86400*365)/((AD33+AJ33*AI33/365)*86400*365))</f>
        <v>1.9673889055722595</v>
      </c>
      <c r="DC33" s="42">
        <f>IF(AE33+AL33=0,0,((K33*Parameters!$C$96+Parameters!$C$94/100*T33*100*Parameters!$C$93/1000*86400*Parameters!$C$95/24*Parameters!$C$98)*365+AE33*CY33*86400*365)/((AE33+AL33)*86400*365))</f>
        <v>0</v>
      </c>
      <c r="DD33" s="42">
        <f>IF(AE33+AL33=0,0,((K33*Parameters!$C$97+Parameters!$C$94/100*T33*100*Parameters!$C$93/1000*86400*Parameters!$C$95/24*Parameters!$C$99)*365+AE33*CZ33*86400*365)/((AE33+AL33)*86400*365))</f>
        <v>0</v>
      </c>
      <c r="DE33" s="42">
        <f>IF(Basicinfo!AH33+Basicinfo!AI33+Basicinfo!AJ33+Basicinfo!AK33=0,0,((Basicinfo!AH33+Basicinfo!AI33)*Parameters!$C$107+(Basicinfo!AJ33+Basicinfo!AK33)*Parameters!$C$106)/(Basicinfo!AH33+Basicinfo!AI33+Basicinfo!AJ33+Basicinfo!AK33))</f>
        <v>77.982192234668162</v>
      </c>
      <c r="DF33" s="42">
        <f>IF(Basicinfo!AH33+Basicinfo!AI33+Basicinfo!AJ33+Basicinfo!AK33=0,0,((Basicinfo!AH33+Basicinfo!AI33)*Parameters!$C$109+(Basicinfo!AJ33+Basicinfo!AK33)*Parameters!$C$108)/(Basicinfo!AH33+Basicinfo!AI33+Basicinfo!AJ33+Basicinfo!AK33))</f>
        <v>77.982192234668162</v>
      </c>
      <c r="DG33" s="42">
        <f>Intermediate!AC33*Intermediate!CY33*(1-Parameters!$C$102/100*Basicinfo!BZ33/100)*(1-Parameters!$C$104/100*Basicinfo!CA33/100)*86400*365/1000000</f>
        <v>0.6015621592871534</v>
      </c>
      <c r="DH33" s="42">
        <f>Intermediate!AC33*Intermediate!CZ33*(1-Parameters!$C$103/100*Basicinfo!BZ33/100)*(1-Parameters!$C$105/100*Basicinfo!CA33/100)*86400*365/1000000</f>
        <v>0.13253403995175048</v>
      </c>
      <c r="DI33" s="42">
        <f>(Intermediate!AK33*Intermediate!DA33+(Intermediate!AE33+Intermediate!AL33)*Intermediate!DC33)*86400*365/1000000</f>
        <v>1.6889558719848645</v>
      </c>
      <c r="DJ33" s="42">
        <f>(Intermediate!AK33*Intermediate!DB33+(Intermediate!AE33+Intermediate!AL33)*Intermediate!DD33)*86400*365/1000000</f>
        <v>0.29108150656277015</v>
      </c>
      <c r="DK33" s="42">
        <f>((Basicinfo!AZ33+Basicinfo!BA33)*Intermediate!AB33+Parameters!$C$76*100)/1000*Intermediate!U33*(1-Intermediate!DE33/100)+(1-Parameters!$C$110/100)*M33*Parameters!$C$100*(1-DE33/100)*365/1000000+(1-Parameters!$C$112/100)*P33*Parameters!$C$96*365/1000000+(1-Parameters!$C$112/100)*O33*Parameters!$C$96*(1-DE33/100)*365/1000000</f>
        <v>0.34828428192306859</v>
      </c>
      <c r="DL33" s="42">
        <f>Parameters!$C$77*100/1000*Intermediate!U33*(1-Intermediate!DF33/100)+(1-Parameters!$C$111/100)*M33*Parameters!$C$101*(1-DF33/100)*365/1000000+(1-Parameters!$C$113/100)*P33*Parameters!$C$97*365/1000000+(1-Parameters!$C$113/100)*O33*Parameters!$C$97*(1-DF33/100)*365/1000000</f>
        <v>5.5970296338200692E-2</v>
      </c>
      <c r="DM33" s="31"/>
      <c r="DN33" s="31"/>
      <c r="DO33" s="31"/>
      <c r="DP33" s="31"/>
      <c r="DQ33" s="31"/>
      <c r="DR33" s="31"/>
      <c r="DS33" s="31"/>
      <c r="DT33" s="188">
        <f>BO33*(Basicinfo!$P33+Basicinfo!$Q33)/1000</f>
        <v>80.660735584771004</v>
      </c>
      <c r="DU33" s="188">
        <f>DT33*Basicinfo!$AZ33/(Basicinfo!$AZ33+Basicinfo!$BA33)</f>
        <v>49.637220635694966</v>
      </c>
      <c r="DV33" s="188">
        <f>DT33*Basicinfo!$BC33/(Basicinfo!$BB33+Basicinfo!$BC33)</f>
        <v>29.458249308314684</v>
      </c>
      <c r="DW33" s="188">
        <f>BP33*(Basicinfo!$P33+Basicinfo!$Q33)/1000</f>
        <v>86.590918935093313</v>
      </c>
      <c r="DX33" s="188">
        <f>DW33*Basicinfo!$BB33/(Basicinfo!$BB33+Basicinfo!$BC33)</f>
        <v>54.966896920748482</v>
      </c>
      <c r="DY33" s="188">
        <f>DW33*Basicinfo!$BC33/(Basicinfo!$BB33+Basicinfo!$BC33)</f>
        <v>31.624022014344824</v>
      </c>
      <c r="DZ33" s="188">
        <f t="shared" si="10"/>
        <v>81.175677808817909</v>
      </c>
      <c r="EA33" s="188">
        <f>DZ33*Basicinfo!$AZ33/(Basicinfo!$AZ33+Basicinfo!$BA33)</f>
        <v>49.954107167963059</v>
      </c>
      <c r="EB33" s="188">
        <f>DZ33*Basicinfo!$BC33/(Basicinfo!$BB33+Basicinfo!$BC33)</f>
        <v>29.646312264911568</v>
      </c>
      <c r="EC33" s="188">
        <f t="shared" si="11"/>
        <v>87.14371975020417</v>
      </c>
      <c r="ED33" s="188">
        <f>EC33*Basicinfo!$AZ33/(Basicinfo!$AZ33+Basicinfo!$BA33)</f>
        <v>53.62673688625194</v>
      </c>
      <c r="EE33" s="188">
        <f>EC33*Basicinfo!$BC33/(Basicinfo!$BB33+Basicinfo!$BC33)</f>
        <v>31.825911373663409</v>
      </c>
      <c r="EF33" s="190">
        <f>(Basicinfo!BP33-BL33/100)*Intermediate!X33/10</f>
        <v>164.80213940454684</v>
      </c>
      <c r="EG33" s="191">
        <f>(Basicinfo!BQ33-BM33/100)*Intermediate!X33/10</f>
        <v>152.20435436497215</v>
      </c>
      <c r="EH33" s="197">
        <f>IF(AU33=0,0,$BS33*((Basicinfo!$P33+Basicinfo!$Q33)*Intermediate!$AT33*1000+$AW33*3600*24*365)/1000000*Basicinfo!AZ33/(Basicinfo!$AZ33+Basicinfo!$BA33))</f>
        <v>4.3222829292194547</v>
      </c>
      <c r="EI33" s="197">
        <f>IF(AU33=0,0,$BS33*((Basicinfo!$P33+Basicinfo!$Q33)*Intermediate!$AT33*1000+$AW33*3600*24*365)/1000000*Basicinfo!BA33/(Basicinfo!$AZ33+Basicinfo!$BA33))</f>
        <v>2.7014487787889512</v>
      </c>
      <c r="EJ33" s="198">
        <f>IF(AU33=0,0,$BS33*($AT33*$X33*1000)/1000000*Basicinfo!AZ33/(Basicinfo!$AZ33+Basicinfo!$BA33))</f>
        <v>4.3498766025029454</v>
      </c>
      <c r="EK33" s="198">
        <f>IF(AU33=0,0,$BS33*($AT33*$X33*1000)/1000000*Basicinfo!BA33/(Basicinfo!$AZ33+Basicinfo!$BA33))</f>
        <v>2.7186949647084484</v>
      </c>
      <c r="EL33" s="147">
        <f>Parameters!$C$150/Basicinfo!$AV33*100</f>
        <v>7.1513236906132552E-2</v>
      </c>
      <c r="EM33" s="147">
        <f>Parameters!$C$151/Basicinfo!$AV33*100</f>
        <v>0.1430264738122651</v>
      </c>
      <c r="EN33" s="147">
        <f>(Parameters!$C$150+Parameters!$C$151)/Intermediate!$BB33*100</f>
        <v>0.65171006693545641</v>
      </c>
      <c r="EO33" s="193">
        <f>IF(EN33=0,0,(1/(1+Parameters!$C$116*$BB33^Parameters!$C$120)*Basicinfo!$AH33/Basicinfo!$G33+1/(1+Parameters!$C$117*$BB33^Parameters!$C$121)*Basicinfo!$AI33/Basicinfo!$G33)*(EN33)^Parameters!$C$124+(1/(1+Parameters!$C$118*$BB33^Parameters!$C$122)*Basicinfo!$AJ33/Basicinfo!AW33+1/(1+Parameters!$C$119*$BB33^Parameters!$C$123)*Basicinfo!$AK33/Basicinfo!$G33)*(EN33)^Parameters!$C$125)</f>
        <v>0.45204515717371996</v>
      </c>
      <c r="EP33" s="199">
        <f>EL33*($AT33*Basicinfo!$P33*1000+$AW33*3600*24*365)/1000000</f>
        <v>0.3737210968388886</v>
      </c>
      <c r="EQ33" s="199">
        <f>EM33*($AT33*Basicinfo!$P33*1000+$AW33*3600*24*365)/1000000</f>
        <v>0.7474421936777772</v>
      </c>
      <c r="ER33" s="199">
        <f t="shared" si="12"/>
        <v>0.37610787832510567</v>
      </c>
      <c r="ES33" s="199">
        <f t="shared" si="13"/>
        <v>0.75221575665021134</v>
      </c>
      <c r="ET33" s="181">
        <f t="shared" si="14"/>
        <v>19.052302637981924</v>
      </c>
      <c r="EU33" s="147">
        <f>Intermediate!F33*(Parameters!$C$150)/1000*100</f>
        <v>5.5421109916178227E-2</v>
      </c>
      <c r="EV33" s="147">
        <f>Intermediate!F33*(Parameters!$C$151)/1000*100</f>
        <v>0.11084221983235645</v>
      </c>
      <c r="EW33" s="181">
        <f>'Local emissions'!$S33*Basicinfo!AZ33/(Basicinfo!$AZ33+Basicinfo!$BA33)-Intermediate!EU33</f>
        <v>0.55746032619779406</v>
      </c>
      <c r="EX33" s="147">
        <f>'Local emissions'!$S33*Basicinfo!BA33/(Basicinfo!$AZ33+Basicinfo!$BA33)-Intermediate!EV33</f>
        <v>0.27221178987623518</v>
      </c>
      <c r="EY33" s="188">
        <f t="shared" si="15"/>
        <v>3.948561832380566</v>
      </c>
      <c r="EZ33" s="188">
        <f t="shared" si="16"/>
        <v>1.9540065851111739</v>
      </c>
      <c r="FA33" s="188">
        <f t="shared" si="17"/>
        <v>3.9737687241778397</v>
      </c>
      <c r="FB33" s="181">
        <f t="shared" si="18"/>
        <v>1.9664792080582369</v>
      </c>
      <c r="FC33" s="181">
        <f>'Local emissions'!Y33-Intermediate!ET33</f>
        <v>77.42927567613819</v>
      </c>
      <c r="FD33" s="188">
        <f t="shared" si="19"/>
        <v>13.05780255043647</v>
      </c>
      <c r="FE33" s="188">
        <f t="shared" si="20"/>
        <v>7.5125258736972178</v>
      </c>
      <c r="FF33" s="181">
        <f t="shared" si="21"/>
        <v>6.3697186935484629</v>
      </c>
      <c r="FG33" s="201">
        <f t="shared" si="22"/>
        <v>3.7802431098135947</v>
      </c>
      <c r="FH33" s="181">
        <f t="shared" si="23"/>
        <v>46.708985448642451</v>
      </c>
      <c r="FJ33" s="147">
        <f>AVERAGE(Parameters!$C$132:$C$134)*'Local emissions'!J33*3600*24*365/1000000</f>
        <v>2.1073450667075916E-2</v>
      </c>
      <c r="FK33" s="147">
        <f>'Local emissions'!AJ33+CT33*BJ33/100*Intermediate!X33*100/1000000</f>
        <v>0.31246726456756846</v>
      </c>
      <c r="FL33" s="31">
        <f>(Parameters!$C$18*(Basicinfo!AH33+Basicinfo!AI33)+Parameters!$C$19*Basicinfo!AJ33+Parameters!$C$20*Basicinfo!AK33)/Basicinfo!G33</f>
        <v>3.1995548058667042E-2</v>
      </c>
      <c r="FM33" s="181">
        <f t="shared" si="32"/>
        <v>0.33939075171552424</v>
      </c>
    </row>
    <row r="34" spans="1:169">
      <c r="A34" s="39" t="str">
        <f>Basicinfo!A34</f>
        <v>Vökla</v>
      </c>
      <c r="B34" s="63">
        <f>Basicinfo!B34</f>
        <v>1260</v>
      </c>
      <c r="C34" s="63">
        <f>Basicinfo!C34</f>
        <v>1270</v>
      </c>
      <c r="D34" s="61">
        <f>Basicinfo!U34*Basicinfo!V34/1000+Basicinfo!Y34</f>
        <v>1.4599941694993661</v>
      </c>
      <c r="E34" s="19">
        <f>Basicinfo!W34*Basicinfo!X34/1000+Basicinfo!Z34</f>
        <v>0</v>
      </c>
      <c r="F34" s="19">
        <f t="shared" si="0"/>
        <v>1.4599941694993661</v>
      </c>
      <c r="G34" s="19">
        <f>SUM(Basicinfo!H34:L34)</f>
        <v>22.911092859088726</v>
      </c>
      <c r="H34" s="19">
        <f>IF(Basicinfo!N34&lt;Parameters!$C$68,Parameters!$C$69,Basicinfo!BS34/(Basicinfo!N34*100))</f>
        <v>22.179757578924811</v>
      </c>
      <c r="I34" s="19">
        <f>IF(Basicinfo!N34=0,0,Basicinfo!BU34*(1-Basicinfo!BX34/100))</f>
        <v>13512.39694718532</v>
      </c>
      <c r="J34" s="19">
        <f>IF(Basicinfo!N34=0,0,Basicinfo!BU34*Basicinfo!BX34/100)</f>
        <v>5791.0272630794234</v>
      </c>
      <c r="K34" s="19">
        <f>IF(Basicinfo!N34=0,0,Basicinfo!BT34-Basicinfo!BU34)</f>
        <v>0</v>
      </c>
      <c r="L34" s="27">
        <f>Basicinfo!BV34*Basicinfo!BW34/100</f>
        <v>1657.333333333333</v>
      </c>
      <c r="M34" s="27">
        <f>Basicinfo!BV34-Intermediate!L34</f>
        <v>1657.3333333333335</v>
      </c>
      <c r="N34" s="73">
        <f>Basicinfo!BS34-SUM(I34:K34)-Basicinfo!BV34</f>
        <v>0</v>
      </c>
      <c r="O34" s="19">
        <f>IF(Basicinfo!AH34+Basicinfo!AI34+Basicinfo!AJ34+Basicinfo!AK34=0,0,N34*(Basicinfo!AH34+Basicinfo!AI34)/SUM(Basicinfo!AH34:AK34))</f>
        <v>0</v>
      </c>
      <c r="P34" s="73">
        <f t="shared" si="25"/>
        <v>0</v>
      </c>
      <c r="Q34" s="19">
        <f>IF(Basicinfo!BS34=0,Basicinfo!N34,IF(H34&gt;Parameters!$C$70,Parameters!$C$64*(Parameters!$C$65*Parameters!$C$70)^(Parameters!$C$66-Parameters!$C$67*LOG(Parameters!$C$65*Parameters!$C$70,10))/100*Basicinfo!N34,Parameters!$C$64*(Parameters!$C$65*H34)^(Parameters!$C$66-Parameters!$C$67*LOG(Parameters!$C$65*H34,10))/100*Basicinfo!N34))</f>
        <v>3.1722928543116478</v>
      </c>
      <c r="R34" s="19">
        <f>IF(Basicinfo!BS34=0,Q34*(1-Basicinfo!BX34/100),IF(H34&lt;Parameters!$C$75,Q34*Basicinfo!BU34/Basicinfo!BS34*(1-Basicinfo!BX34/100)*(-Parameters!$C$74+Parameters!$C$73*LN(H34*100)),Q34*Basicinfo!BU34/Basicinfo!BS34*(1-Basicinfo!BX34/100)))</f>
        <v>1.1277131450869993</v>
      </c>
      <c r="S34" s="19">
        <f>IF(Basicinfo!BS34=0,Q34*Basicinfo!BX34/100,Q34*Basicinfo!BU34/Basicinfo!BS34*Basicinfo!BX34/100)</f>
        <v>0.81221861322201727</v>
      </c>
      <c r="T34" s="19">
        <f>IF(Basicinfo!BS34=0,0,IF(H34&lt;Parameters!$C$75,Q34*K34/Basicinfo!BS34*(-Parameters!$C$74+Parameters!$C$73*LN(H34*100)),Q34*K34/Basicinfo!BS34))</f>
        <v>0</v>
      </c>
      <c r="U34" s="19">
        <f t="shared" si="26"/>
        <v>1.2323610960026312</v>
      </c>
      <c r="V34" s="19">
        <f>IF(Basicinfo!AL34&gt;Parameters!$C$14,Basicinfo!Q34,0)</f>
        <v>0</v>
      </c>
      <c r="W34" s="19">
        <f>IF(Basicinfo!AL34&gt;Parameters!$C$14,0,Basicinfo!Q34)</f>
        <v>0</v>
      </c>
      <c r="X34" s="19">
        <f>G34+Basicinfo!M34</f>
        <v>111.72463464275668</v>
      </c>
      <c r="Y34" s="19">
        <f>IF(Basicinfo!G34-F34-Q34-V34-Basicinfo!O34-Basicinfo!R34-Basicinfo!S34&lt;0,0,Basicinfo!G34-F34-Q34-V34-Basicinfo!O34-Basicinfo!R34-Basicinfo!S34)</f>
        <v>241.45633688374929</v>
      </c>
      <c r="Z34" s="19">
        <f>Basicinfo!G34-F34-Basicinfo!BO34-Q34-Basicinfo!O34</f>
        <v>237.13732212793019</v>
      </c>
      <c r="AA34" s="53">
        <f>IF(Z34+Basicinfo!BO34-X34&gt;0,Z34+Basicinfo!BO34-X34,0)</f>
        <v>129.73224204802437</v>
      </c>
      <c r="AB34" s="56">
        <f>IF(Basicinfo!N34=0,0,Parameters!$C$71+Parameters!$C$72*Q34/Basicinfo!N34)</f>
        <v>0.38331109219440096</v>
      </c>
      <c r="AC34" s="43">
        <f>Basicinfo!AU34*AB34*R34/1000/86.4/0.365</f>
        <v>1.845524967694491E-2</v>
      </c>
      <c r="AD34" s="43">
        <f>Basicinfo!AU34*AB34*S34/1000/86.4/0.365</f>
        <v>1.3292118979528143E-2</v>
      </c>
      <c r="AE34" s="43">
        <f>Basicinfo!AU34*AB34*T34/1000/86.4/0.365</f>
        <v>0</v>
      </c>
      <c r="AF34" s="43">
        <f>Basicinfo!AU34*AB34*U34/1000/86.4/0.365</f>
        <v>2.0167834185463404E-2</v>
      </c>
      <c r="AG34" s="43">
        <f>((Parameters!$C$80+Parameters!$C$81*Parameters!$C$89)/(Parameters!$C$82+Parameters!$C$89)/(Parameters!$C$90/100*Parameters!$C$91+(Parameters!$C$83+Parameters!$C$84*Parameters!$C$89)/(Parameters!$C$85+Parameters!$C$89)))-Parameters!$C$86+(Basicinfo!AU34-Parameters!$C$88)/Parameters!$C$87</f>
        <v>85.048852024126504</v>
      </c>
      <c r="AH34" s="43">
        <f>((Parameters!$C$80+Parameters!$C$81*Parameters!$C$89)/(Parameters!$C$82+Parameters!$C$89)/(Basicinfo!BY34/100*Parameters!$C$91+(Parameters!$C$83+Parameters!$C$84*Parameters!$C$89)/(Parameters!$C$85+Parameters!$C$89)))-Parameters!$C$86+(Basicinfo!AU34-Parameters!$C$88)/Parameters!$C$87</f>
        <v>67.245970157510925</v>
      </c>
      <c r="AI34" s="43">
        <f>Basicinfo!AU34^Parameters!$C$79*Parameters!$C$78*AH34/AG34</f>
        <v>63.113215784510651</v>
      </c>
      <c r="AJ34" s="43">
        <f>(J34*Parameters!$C$92/1000+Parameters!$C$94/100*S34*100*Parameters!$C$93/1000*86400*Parameters!$C$95/24)/86400</f>
        <v>8.7404251597963476E-3</v>
      </c>
      <c r="AK34" s="43">
        <f t="shared" si="1"/>
        <v>9.9547245212019391E-3</v>
      </c>
      <c r="AL34" s="43">
        <f>(K34*Parameters!$C$92/1000+Parameters!$C$94/100*T34*100*Parameters!$C$93/1000*86400*Parameters!$C$95/24)/86400</f>
        <v>0</v>
      </c>
      <c r="AM34" s="43">
        <f>(Intermediate!N34+Basicinfo!BV34-Intermediate!L34)*Parameters!$C$92/1000/86400</f>
        <v>2.4936728395061731E-3</v>
      </c>
      <c r="AN34" s="43">
        <f t="shared" si="2"/>
        <v>2.7393664039219251E-2</v>
      </c>
      <c r="AO34" s="43">
        <f t="shared" si="27"/>
        <v>9.9547245212019391E-3</v>
      </c>
      <c r="AP34" s="43">
        <f t="shared" si="28"/>
        <v>2.2661507024969576E-2</v>
      </c>
      <c r="AQ34" s="43">
        <f t="shared" si="3"/>
        <v>5.107148122311643E-2</v>
      </c>
      <c r="AR34" s="61">
        <f>(Basicinfo!AU34-Basicinfo!AY34)*F34/1000/86.4/0.365</f>
        <v>3.0343981202311479E-2</v>
      </c>
      <c r="AS34" s="19">
        <f>IF(Basicinfo!AP34-Basicinfo!CB34-Basicinfo!CG34&lt;0,0,(Basicinfo!AP34-Basicinfo!CB34-Basicinfo!CG34)/Basicinfo!G34*1000)</f>
        <v>19.94080211480264</v>
      </c>
      <c r="AT34" s="19">
        <f>Parameters!$C$3*((AS34*86.4*0.365)^Parameters!$C$4)</f>
        <v>130.82230458007862</v>
      </c>
      <c r="AU34" s="19">
        <f>IF(AT34/86.4/0.365*(Basicinfo!G34/1000)-AN34&lt;0,0,AT34/86.4/0.365*(Basicinfo!G34/1000)-AN34)</f>
        <v>0.99482962076690817</v>
      </c>
      <c r="AV34" s="19">
        <f>IF(Basicinfo!AU34&gt;Parameters!$C$13,Parameters!$C$11*(Basicinfo!AU34-Parameters!$C$13)^Parameters!$C$12,0)</f>
        <v>175.61837445809743</v>
      </c>
      <c r="AW34" s="19">
        <f>IF(AV34*V34/1000/86.4/0.365&gt;Basicinfo!AP34*Parameters!$C$15,Basicinfo!AP34*Parameters!$C$15,AV34*V34/1000/86.4/0.365)</f>
        <v>0</v>
      </c>
      <c r="AX34" s="19">
        <f>Basicinfo!AU34-Basicinfo!AW34</f>
        <v>537.88042185642848</v>
      </c>
      <c r="AY34" s="19">
        <f>Parameters!$C$56*AX34+Parameters!$C$57*Basicinfo!AW34</f>
        <v>349.79291256168568</v>
      </c>
      <c r="AZ34" s="19">
        <f>AY34*Basicinfo!BO34/1000/86.4/0.365</f>
        <v>4.7911896610499854E-2</v>
      </c>
      <c r="BA34" s="19">
        <f>IF(Basicinfo!AP34-AQ34-AR34-AU34-AW34-AZ34-Basicinfo!CB34-Basicinfo!CG34&lt;0,0,Basicinfo!AP34-AQ34-AR34-AU34-AW34-AZ34-Basicinfo!CB34-Basicinfo!CG34)</f>
        <v>3.7895946918794481</v>
      </c>
      <c r="BB34" s="53">
        <f t="shared" si="4"/>
        <v>503.96393587778675</v>
      </c>
      <c r="BC34" s="56">
        <f>IF(G34=0,0,((Basicinfo!H34*Basicinfo!BE34+Basicinfo!I34*Basicinfo!BF34+Basicinfo!J34*Basicinfo!BG34+Basicinfo!K34*Basicinfo!BH34+Basicinfo!L34*Basicinfo!BI34)*(1-Basicinfo!BN34/G34*Parameters!$C$26/100)/G34)*Basicinfo!BM34)</f>
        <v>8.8470890466391552</v>
      </c>
      <c r="BD34" s="43">
        <f>IF(Basicinfo!AW34*Parameters!$C$39-Parameters!$C$40&lt;0,0.001,(Basicinfo!AW34*Parameters!$C$39-Parameters!$C$40)/(Basicinfo!AX34*Parameters!$C$39-Parameters!$C$40))</f>
        <v>1.057935958527034</v>
      </c>
      <c r="BE34" s="43">
        <f>(BC34*G34*100+Basicinfo!BJ34*Basicinfo!M34*100)*Parameters!$C$29*BD34</f>
        <v>24216.694703162324</v>
      </c>
      <c r="BF34" s="43">
        <f>(Basicinfo!BK34*Basicinfo!P34*100)*BD34*Parameters!$C$29</f>
        <v>1409.9388933095381</v>
      </c>
      <c r="BG34" s="43">
        <f>Parameters!$C$27*(V34+W34)*100</f>
        <v>0</v>
      </c>
      <c r="BH34" s="43">
        <f>Parameters!$C$28*Basicinfo!R34*100</f>
        <v>0</v>
      </c>
      <c r="BI34" s="43">
        <f t="shared" si="29"/>
        <v>1409.9388933095381</v>
      </c>
      <c r="BJ34" s="43">
        <f>IF(Basicinfo!AM34&lt;Parameters!$C$33,0,Parameters!$C$30*(((Basicinfo!AM34-Parameters!$C$33)^Parameters!$C$31)*(((G34-Basicinfo!BN34)/Basicinfo!G34*100+Parameters!$C$34))^Parameters!$C$32))</f>
        <v>1.4520670624001411</v>
      </c>
      <c r="BK34" s="58">
        <f t="shared" si="30"/>
        <v>1761.5815406961578</v>
      </c>
      <c r="BL34" s="61">
        <f>Basicinfo!AZ34+Basicinfo!BA34</f>
        <v>1848.1082284400022</v>
      </c>
      <c r="BM34" s="19">
        <f>Basicinfo!BB34+Basicinfo!BC34</f>
        <v>1983.9817276872629</v>
      </c>
      <c r="BN34" s="172">
        <f>IF(Basicinfo!AO34=0,0,IF(Basicinfo!AO34="NA",1,IF(OR(Basicinfo!AO34="SA",Basicinfo!AN34="S"),3,IF(Basicinfo!AN34="N",1,IF(Basicinfo!AO34="ZA",2,0)))))</f>
        <v>1</v>
      </c>
      <c r="BO34" s="27">
        <f>IF($BN34=1,(BL34)*(1+Parameters!$C$21*Parameters!$C$22-Parameters!$C$22*Basicinfo!$AL34),IF($BN34=2,(BL34)*(1+Parameters!$C$21*Parameters!$C$23-Parameters!$C$23*Basicinfo!$AL34),IF($BN34=3,(BL34)*(1+Parameters!$C$21*Parameters!$C$24-Parameters!$C$24*Basicinfo!$AL34),BL34)))</f>
        <v>1803.3393570324567</v>
      </c>
      <c r="BP34" s="27">
        <f>IF($BN34=1,(BM34)*(1+Parameters!$C$21*Parameters!$C$22-Parameters!$C$22*Basicinfo!$AL34),IF($BN34=2,(BM34)*(1+Parameters!$C$21*Parameters!$C$23-Parameters!$C$23*Basicinfo!$AL34),IF($BN34=3,(BM34)*(1+Parameters!$C$21*Parameters!$C$24-Parameters!$C$24*Basicinfo!$AL34),BM34)))</f>
        <v>1935.9214347482909</v>
      </c>
      <c r="BQ34" s="27">
        <f>IF(Basicinfo!AU34=0,0,IF(G34+Basicinfo!M34=0,0,(Parameters!$C$16+BO34/Basicinfo!AU34)*G34+(Parameters!$C$17+BO34/Basicinfo!AU34)*Basicinfo!M34)/(G34+Basicinfo!M34))</f>
        <v>1.4008914616712274</v>
      </c>
      <c r="BR34" s="27">
        <f>IF(Basicinfo!AU34=0,0,IF(G34+Basicinfo!M34=0,0,(Parameters!$C$16+BP34/Basicinfo!AU34)*G34+(Parameters!$C$17+BP34/Basicinfo!AU34)*Basicinfo!M34)/(G34+Basicinfo!M34))</f>
        <v>1.4993624548900069</v>
      </c>
      <c r="BS34" s="27">
        <f>IF(Basicinfo!AU34=0,0,BO34/Basicinfo!AU34)</f>
        <v>1.3393712080610518</v>
      </c>
      <c r="BT34" s="27">
        <f>IF(Basicinfo!AU34=0,0,BP34/Basicinfo!AU34)</f>
        <v>1.4378422012798311</v>
      </c>
      <c r="BU34" s="27">
        <f>IF(SUM(G34,Basicinfo!M34,Basicinfo!P34,W34)=0,0,(BQ34*(G34+Basicinfo!M34)+BS34*(Basicinfo!P34+W34))/SUM(G34,Basicinfo!M34,Basicinfo!P34,W34))</f>
        <v>1.3686904013247143</v>
      </c>
      <c r="BV34" s="19">
        <f>IF(Basicinfo!BR34/Parameters!$C$10&gt;1,1,Basicinfo!BR34/Parameters!$C$10)</f>
        <v>0.19483999149471748</v>
      </c>
      <c r="BW34" s="19">
        <f>Parameters!$C$5+Parameters!$C$6*EXP(BV34*Parameters!$C$8*Parameters!$C$7)</f>
        <v>3.5009362862438602E-2</v>
      </c>
      <c r="BX34" s="19">
        <f>Parameters!$C$5+Parameters!$C$6*EXP(BV34*Parameters!$C$9*Parameters!$C$7)</f>
        <v>3.5006922306843817E-2</v>
      </c>
      <c r="BY34" s="19">
        <f>IF(Basicinfo!AH34+Basicinfo!AI34+Basicinfo!AJ34+Basicinfo!AK34=0,0,(Parameters!$C$18*(Basicinfo!AH34+Basicinfo!AI34)+Parameters!$C$19*Basicinfo!AJ34+Parameters!$C$20*Basicinfo!AK34)/(Basicinfo!AH34+Basicinfo!AI34+Basicinfo!AJ34+Basicinfo!AK34))</f>
        <v>3.3806953679469606E-2</v>
      </c>
      <c r="BZ34" s="19">
        <f>IF(Basicinfo!AJ34+Basicinfo!AK34=0,Parameters!$C$18,(Parameters!$C$19*Basicinfo!AJ34+Parameters!$C$20*Basicinfo!AK34)/(Basicinfo!AJ34+Basicinfo!AK34))</f>
        <v>2.4902304020435397E-2</v>
      </c>
      <c r="CA34" s="19">
        <f>IF(SUM(G34,Basicinfo!M34,Basicinfo!P34,W34)=0,0,(BW34*G34+BX34*Basicinfo!M34+BY34*Basicinfo!P34+BZ34*W34)/(SUM(G34,Basicinfo!M34,Basicinfo!P34,W34)))</f>
        <v>3.4379070724857783E-2</v>
      </c>
      <c r="CB34" s="19">
        <f>IF(Y34=0,Basicinfo!BP34,Basicinfo!BP34-(AU34*X34/Y34*Intermediate!BQ34*86400*365/1000000)*1000/(X34*100))</f>
        <v>49.745257520803996</v>
      </c>
      <c r="CC34" s="19">
        <f>IF(Y34=0,Basicinfo!BQ34,Basicinfo!BQ34-(AU34*Basicinfo!AV34/Basicinfo!AU34*X34/Y34*Intermediate!BR34*86400*365/1000000)*1000/(X34*100))</f>
        <v>49.320244504651107</v>
      </c>
      <c r="CD34" s="19">
        <f>IF(OR(Y34=0,AA34=0),BP34/100,BP34/100-(AU34*Basicinfo!AV34/Basicinfo!AU34*(Basicinfo!P34+W34)/Y34*Intermediate!BT34*86400*365/1000000+AW34*Basicinfo!AV34/Basicinfo!AU34*Intermediate!BT34*86400*365/1000000)*1000/(AA34*100))</f>
        <v>17.595279320429995</v>
      </c>
      <c r="CE34" s="19">
        <f t="shared" si="5"/>
        <v>529724.48105825868</v>
      </c>
      <c r="CF34" s="19">
        <f t="shared" si="6"/>
        <v>228267.50357006222</v>
      </c>
      <c r="CG34" s="19">
        <f>IF(AY34=0,0,((CB34^Parameters!$C$58))/AY34*100)</f>
        <v>7.91458094822472</v>
      </c>
      <c r="CH34" s="19">
        <f>IF(SUM(Basicinfo!AB34:AG34)=0,0,(Parameters!$C$59*Basicinfo!AB34+Parameters!$C$60*SUM(Basicinfo!AC34:AE34)+Parameters!$C$61*Basicinfo!AF34+Parameters!$C$62*Basicinfo!AG34)/SUM(Basicinfo!AB34:AG34))</f>
        <v>7.8252689791659766E-2</v>
      </c>
      <c r="CI34" s="19">
        <f t="shared" si="31"/>
        <v>6</v>
      </c>
      <c r="CJ34" s="19">
        <f t="shared" si="8"/>
        <v>31.964263483560863</v>
      </c>
      <c r="CK34" s="19">
        <f t="shared" si="9"/>
        <v>6.342569618178457</v>
      </c>
      <c r="CL34" s="19">
        <f>IF($BB34=0,0,$CJ34^Parameters!$C$58*100/$BB34)</f>
        <v>3.7719466161100157</v>
      </c>
      <c r="CM34" s="19">
        <f>IF(CK34=0,0,(1/(1+Parameters!$C$116*BB34^Parameters!$C$120)*Basicinfo!AH34/Basicinfo!G34+1/(1+Parameters!$C$117*BB34^Parameters!$C$121)*Basicinfo!AI34/Basicinfo!G34)*(CK34)^Parameters!$C$124+(1/(1+Parameters!$C$118*BB34^Parameters!$C$122)*Basicinfo!AJ34/Basicinfo!G34+1/(1+Parameters!$C$119*BB34^Parameters!$C$123)*Basicinfo!AK34/Basicinfo!G34)*(CK34)^Parameters!$C$125)</f>
        <v>2.3084238011235891</v>
      </c>
      <c r="CN34" s="19">
        <f>IF(SUM(Basicinfo!AB34:AG34)=0,0,(Parameters!$C$128*Basicinfo!AB34+Parameters!$C$129*(SUM(Basicinfo!AC34:AE34))+Parameters!$C$130*Basicinfo!AF34+Parameters!$C$131*Basicinfo!AG34)/SUM(Basicinfo!AB34:AG34))</f>
        <v>1.952813201332031E-2</v>
      </c>
      <c r="CO34" s="19">
        <f>IF(Basicinfo!AH34+Basicinfo!AI34+Basicinfo!AJ34+Basicinfo!AK34=0,0,(Parameters!$C$132*(Basicinfo!AH34+Basicinfo!AI34)+Parameters!$C$133*Basicinfo!AJ34+Parameters!$C$134*Basicinfo!AK34)/(Basicinfo!AH34+Basicinfo!AI34+Basicinfo!AJ34+Basicinfo!AK34))</f>
        <v>5.0000000000000001E-4</v>
      </c>
      <c r="CP34" s="19">
        <f>IF(Basicinfo!AJ34+Basicinfo!AK34=0,0,(Parameters!$C$133*Basicinfo!AJ34+Parameters!$C$134*Basicinfo!AK34)/(Basicinfo!AJ34+Basicinfo!AK34))</f>
        <v>5.0000000000000001E-4</v>
      </c>
      <c r="CQ34" s="19">
        <f>IF(Z34=0,0,(CN34*(Z34-AA34)+CO34*Basicinfo!P34+CP34*(Basicinfo!Q34+Basicinfo!R34))/Z34)</f>
        <v>9.1034753494788397E-3</v>
      </c>
      <c r="CR34" s="289">
        <f>Basicinfo!EI34</f>
        <v>1.2592591578947369E-2</v>
      </c>
      <c r="CS34" s="19">
        <f>IF(SUM(Basicinfo!AB34:AG34)=0,0,(Basicinfo!AB34*Parameters!$C$43+(Basicinfo!AC34+Basicinfo!AD34)*Parameters!$C$44+Basicinfo!AE34*Parameters!$C$45+(Basicinfo!AF34+Basicinfo!AG34)*Parameters!$C$46)/SUM(Basicinfo!AB34:AG34))</f>
        <v>22.163967921844218</v>
      </c>
      <c r="CT34" s="19">
        <f>(Parameters!$C$41*CS34+Parameters!$C$42)</f>
        <v>501.07247280281103</v>
      </c>
      <c r="CU34" s="19">
        <f>CT34+Basicinfo!BR34/(Parameters!$C$47*Parameters!$C$49*Parameters!$C$48*10000/1000000)</f>
        <v>569.69536288900088</v>
      </c>
      <c r="CV34" s="19">
        <f>IF(BK34/Basicinfo!G34&lt;Parameters!$C$35,Parameters!$C$35,Parameters!$C$37*(BK34/Basicinfo!G34)^Parameters!$C$38)</f>
        <v>3.0388937991887</v>
      </c>
      <c r="CW34" s="19">
        <f>IF(BK34/Basicinfo!G34&lt;Parameters!$C$35,Parameters!$C$36,Parameters!$C$36*(BK34/Basicinfo!G34)^Parameters!$C$38)</f>
        <v>7.1414004280934451</v>
      </c>
      <c r="CX34" s="27">
        <f>IF(Basicinfo!AJ34+Basicinfo!AK34=0,0,(Parameters!$C$53*Basicinfo!AJ34+Parameters!$C$54*Basicinfo!AK34)/(Basicinfo!AJ34+Basicinfo!AK34))</f>
        <v>749.12697209750775</v>
      </c>
      <c r="CY34" s="56">
        <f>IF(Basicinfo!AU34*AB34=0,0,((Basicinfo!AZ34+Basicinfo!BA34)/Basicinfo!AU34+Parameters!$C$76/(Basicinfo!AU34*AB34)*100))</f>
        <v>2.1476760702497475</v>
      </c>
      <c r="CZ34" s="43">
        <f>IF(Basicinfo!AU34*AB34=0,0,(Parameters!$C$77)/(Basicinfo!AU34*AB34)*100)</f>
        <v>0.48440890632785699</v>
      </c>
      <c r="DA34" s="43">
        <f>IF(AD34+AJ34=0,0,((J34*Parameters!$C$96+Parameters!$C$94/100*S34*100*Parameters!$C$93/1000*86400*Parameters!$C$95/24*Parameters!$C$98)*AI34+AD34*CY34*86400*365)/((AD34+AJ34*AI34/365)*86400*365))</f>
        <v>11.323846102694471</v>
      </c>
      <c r="DB34" s="43">
        <f>IF(AD34+AJ34=0,0,((J34*Parameters!$C$97+Parameters!$C$94/100*S34*100*Parameters!$C$93/1000*86400*Parameters!$C$95/24*Parameters!$C$99)*AI34+AD34*CZ34*86400*365)/((AD34+AJ34*AI34/365)*86400*365))</f>
        <v>1.9633888264124775</v>
      </c>
      <c r="DC34" s="42">
        <f>IF(AE34+AL34=0,0,((K34*Parameters!$C$96+Parameters!$C$94/100*T34*100*Parameters!$C$93/1000*86400*Parameters!$C$95/24*Parameters!$C$98)*365+AE34*CY34*86400*365)/((AE34+AL34)*86400*365))</f>
        <v>0</v>
      </c>
      <c r="DD34" s="42">
        <f>IF(AE34+AL34=0,0,((K34*Parameters!$C$97+Parameters!$C$94/100*T34*100*Parameters!$C$93/1000*86400*Parameters!$C$95/24*Parameters!$C$99)*365+AE34*CZ34*86400*365)/((AE34+AL34)*86400*365))</f>
        <v>0</v>
      </c>
      <c r="DE34" s="42">
        <f>IF(Basicinfo!AH34+Basicinfo!AI34+Basicinfo!AJ34+Basicinfo!AK34=0,0,((Basicinfo!AH34+Basicinfo!AI34)*Parameters!$C$107+(Basicinfo!AJ34+Basicinfo!AK34)*Parameters!$C$106)/(Basicinfo!AH34+Basicinfo!AI34+Basicinfo!AJ34+Basicinfo!AK34))</f>
        <v>85.273985974840784</v>
      </c>
      <c r="DF34" s="42">
        <f>IF(Basicinfo!AH34+Basicinfo!AI34+Basicinfo!AJ34+Basicinfo!AK34=0,0,((Basicinfo!AH34+Basicinfo!AI34)*Parameters!$C$109+(Basicinfo!AJ34+Basicinfo!AK34)*Parameters!$C$108)/(Basicinfo!AH34+Basicinfo!AI34+Basicinfo!AJ34+Basicinfo!AK34))</f>
        <v>85.273985974840784</v>
      </c>
      <c r="DG34" s="42">
        <f>Intermediate!AC34*Intermediate!CY34*(1-Parameters!$C$102/100*Basicinfo!BZ34/100)*(1-Parameters!$C$104/100*Basicinfo!CA34/100)*86400*365/1000000</f>
        <v>1.2499576825339171</v>
      </c>
      <c r="DH34" s="42">
        <f>Intermediate!AC34*Intermediate!CZ34*(1-Parameters!$C$103/100*Basicinfo!BZ34/100)*(1-Parameters!$C$105/100*Basicinfo!CA34/100)*86400*365/1000000</f>
        <v>0.28192828627174982</v>
      </c>
      <c r="DI34" s="42">
        <f>(Intermediate!AK34*Intermediate!DA34+(Intermediate!AE34+Intermediate!AL34)*Intermediate!DC34)*86400*365/1000000</f>
        <v>3.5549198345585262</v>
      </c>
      <c r="DJ34" s="42">
        <f>(Intermediate!AK34*Intermediate!DB34+(Intermediate!AE34+Intermediate!AL34)*Intermediate!DD34)*86400*365/1000000</f>
        <v>0.61637095900689687</v>
      </c>
      <c r="DK34" s="42">
        <f>((Basicinfo!AZ34+Basicinfo!BA34)*Intermediate!AB34+Parameters!$C$76*100)/1000*Intermediate!U34*(1-Intermediate!DE34/100)+(1-Parameters!$C$110/100)*M34*Parameters!$C$100*(1-DE34/100)*365/1000000+(1-Parameters!$C$112/100)*P34*Parameters!$C$96*365/1000000+(1-Parameters!$C$112/100)*O34*Parameters!$C$96*(1-DE34/100)*365/1000000</f>
        <v>0.92271076141456898</v>
      </c>
      <c r="DL34" s="42">
        <f>Parameters!$C$77*100/1000*Intermediate!U34*(1-Intermediate!DF34/100)+(1-Parameters!$C$111/100)*M34*Parameters!$C$101*(1-DF34/100)*365/1000000+(1-Parameters!$C$113/100)*P34*Parameters!$C$97*365/1000000+(1-Parameters!$C$113/100)*O34*Parameters!$C$97*(1-DF34/100)*365/1000000</f>
        <v>0.14174358579385432</v>
      </c>
      <c r="DM34" s="31"/>
      <c r="DN34" s="31"/>
      <c r="DO34" s="31"/>
      <c r="DP34" s="31"/>
      <c r="DQ34" s="31"/>
      <c r="DR34" s="31"/>
      <c r="DS34" s="31"/>
      <c r="DT34" s="188">
        <f>BO34*(Basicinfo!$P34+Basicinfo!$Q34)/1000</f>
        <v>221.28122180413584</v>
      </c>
      <c r="DU34" s="188">
        <f>DT34*Basicinfo!$AZ34/(Basicinfo!$AZ34+Basicinfo!$BA34)</f>
        <v>136.17257164389738</v>
      </c>
      <c r="DV34" s="188">
        <f>DT34*Basicinfo!$BC34/(Basicinfo!$BB34+Basicinfo!$BC34)</f>
        <v>80.814644386139904</v>
      </c>
      <c r="DW34" s="188">
        <f>BP34*(Basicinfo!$P34+Basicinfo!$Q34)/1000</f>
        <v>237.54988695131516</v>
      </c>
      <c r="DX34" s="188">
        <f>DW34*Basicinfo!$BB34/(Basicinfo!$BB34+Basicinfo!$BC34)</f>
        <v>150.7937244472474</v>
      </c>
      <c r="DY34" s="188">
        <f>DW34*Basicinfo!$BC34/(Basicinfo!$BB34+Basicinfo!$BC34)</f>
        <v>86.75616250406776</v>
      </c>
      <c r="DZ34" s="188">
        <f t="shared" si="10"/>
        <v>201.47743080135498</v>
      </c>
      <c r="EA34" s="188">
        <f>DZ34*Basicinfo!$AZ34/(Basicinfo!$AZ34+Basicinfo!$BA34)</f>
        <v>123.98566700210215</v>
      </c>
      <c r="EB34" s="188">
        <f>DZ34*Basicinfo!$BC34/(Basicinfo!$BB34+Basicinfo!$BC34)</f>
        <v>73.582054497406475</v>
      </c>
      <c r="EC34" s="188">
        <f t="shared" si="11"/>
        <v>216.29011499433412</v>
      </c>
      <c r="ED34" s="188">
        <f>EC34*Basicinfo!$AZ34/(Basicinfo!$AZ34+Basicinfo!$BA34)</f>
        <v>133.10113230485734</v>
      </c>
      <c r="EE34" s="188">
        <f>EC34*Basicinfo!$BC34/(Basicinfo!$BB34+Basicinfo!$BC34)</f>
        <v>78.991830327907749</v>
      </c>
      <c r="EF34" s="190">
        <f>(Basicinfo!BP34-BL34/100)*Intermediate!X34/10</f>
        <v>369.63407121258149</v>
      </c>
      <c r="EG34" s="191">
        <f>(Basicinfo!BQ34-BM34/100)*Intermediate!X34/10</f>
        <v>351.09639596507878</v>
      </c>
      <c r="EH34" s="197">
        <f>IF(AU34=0,0,$BS34*((Basicinfo!$P34+Basicinfo!$Q34)*Intermediate!$AT34*1000+$AW34*3600*24*365)/1000000*Basicinfo!AZ34/(Basicinfo!$AZ34+Basicinfo!$BA34))</f>
        <v>13.231068945209953</v>
      </c>
      <c r="EI34" s="197">
        <f>IF(AU34=0,0,$BS34*((Basicinfo!$P34+Basicinfo!$Q34)*Intermediate!$AT34*1000+$AW34*3600*24*365)/1000000*Basicinfo!BA34/(Basicinfo!$AZ34+Basicinfo!$BA34))</f>
        <v>8.269495130404513</v>
      </c>
      <c r="EJ34" s="198">
        <f>IF(AU34=0,0,$BS34*($AT34*$X34*1000)/1000000*Basicinfo!AZ34/(Basicinfo!$AZ34+Basicinfo!$BA34))</f>
        <v>12.04694079372022</v>
      </c>
      <c r="EK34" s="198">
        <f>IF(AU34=0,0,$BS34*($AT34*$X34*1000)/1000000*Basicinfo!BA34/(Basicinfo!$AZ34+Basicinfo!$BA34))</f>
        <v>7.5294081409807054</v>
      </c>
      <c r="EL34" s="147">
        <f>Parameters!$C$150/Basicinfo!$AV34*100</f>
        <v>7.4402584664952587E-2</v>
      </c>
      <c r="EM34" s="147">
        <f>Parameters!$C$151/Basicinfo!$AV34*100</f>
        <v>0.14880516932990517</v>
      </c>
      <c r="EN34" s="147">
        <f>(Parameters!$C$150+Parameters!$C$151)/Intermediate!$BB34*100</f>
        <v>0.59528069102300052</v>
      </c>
      <c r="EO34" s="193">
        <f>IF(EN34=0,0,(1/(1+Parameters!$C$116*$BB34^Parameters!$C$120)*Basicinfo!$AH34/Basicinfo!$G34+1/(1+Parameters!$C$117*$BB34^Parameters!$C$121)*Basicinfo!$AI34/Basicinfo!$G34)*(EN34)^Parameters!$C$124+(1/(1+Parameters!$C$118*$BB34^Parameters!$C$122)*Basicinfo!$AJ34/Basicinfo!AW34+1/(1+Parameters!$C$119*$BB34^Parameters!$C$123)*Basicinfo!$AK34/Basicinfo!$G34)*(EN34)^Parameters!$C$125)</f>
        <v>0.498946115957626</v>
      </c>
      <c r="EP34" s="199">
        <f>EL34*($AT34*Basicinfo!$P34*1000+$AW34*3600*24*365)/1000000</f>
        <v>1.1943645864210823</v>
      </c>
      <c r="EQ34" s="199">
        <f>EM34*($AT34*Basicinfo!$P34*1000+$AW34*3600*24*365)/1000000</f>
        <v>2.3887291728421647</v>
      </c>
      <c r="ER34" s="199">
        <f t="shared" si="12"/>
        <v>1.0874736968202376</v>
      </c>
      <c r="ES34" s="199">
        <f t="shared" si="13"/>
        <v>2.1749473936404753</v>
      </c>
      <c r="ET34" s="181">
        <f t="shared" si="14"/>
        <v>59.628380833749361</v>
      </c>
      <c r="EU34" s="147">
        <f>Intermediate!F34*(Parameters!$C$150)/1000*100</f>
        <v>0.14599941694993662</v>
      </c>
      <c r="EV34" s="147">
        <f>Intermediate!F34*(Parameters!$C$151)/1000*100</f>
        <v>0.29199883389987324</v>
      </c>
      <c r="EW34" s="181">
        <f>'Local emissions'!$S34*Basicinfo!AZ34/(Basicinfo!$AZ34+Basicinfo!$BA34)-Intermediate!EU34</f>
        <v>1.4742193602550318</v>
      </c>
      <c r="EX34" s="147">
        <f>'Local emissions'!$S34*Basicinfo!BA34/(Basicinfo!$AZ34+Basicinfo!$BA34)-Intermediate!EV34</f>
        <v>0.72064733579128071</v>
      </c>
      <c r="EY34" s="188">
        <f t="shared" si="15"/>
        <v>12.036704358788871</v>
      </c>
      <c r="EZ34" s="188">
        <f t="shared" si="16"/>
        <v>5.8807659575623479</v>
      </c>
      <c r="FA34" s="188">
        <f t="shared" si="17"/>
        <v>10.959467096899981</v>
      </c>
      <c r="FB34" s="181">
        <f t="shared" si="18"/>
        <v>5.3544607473402301</v>
      </c>
      <c r="FC34" s="181">
        <f>'Local emissions'!Y34-Intermediate!ET34</f>
        <v>216.249610419036</v>
      </c>
      <c r="FD34" s="188">
        <f t="shared" si="19"/>
        <v>40.511379843167738</v>
      </c>
      <c r="FE34" s="188">
        <f t="shared" si="20"/>
        <v>23.307414587849124</v>
      </c>
      <c r="FF34" s="181">
        <f t="shared" si="21"/>
        <v>17.879094598012056</v>
      </c>
      <c r="FG34" s="201">
        <f t="shared" si="22"/>
        <v>10.610746749081116</v>
      </c>
      <c r="FH34" s="181">
        <f t="shared" si="23"/>
        <v>123.940974640926</v>
      </c>
      <c r="FJ34" s="147">
        <f>AVERAGE(Parameters!$C$132:$C$134)*'Local emissions'!J34*3600*24*365/1000000</f>
        <v>5.9754329101555127E-2</v>
      </c>
      <c r="FK34" s="147">
        <f>'Local emissions'!AJ34+CT34*BJ34/100*Intermediate!X34*100/1000000</f>
        <v>0.71576232204628543</v>
      </c>
      <c r="FL34" s="31">
        <f>(Parameters!$C$18*(Basicinfo!AH34+Basicinfo!AI34)+Parameters!$C$19*Basicinfo!AJ34+Parameters!$C$20*Basicinfo!AK34)/Basicinfo!G34</f>
        <v>3.3806953679469606E-2</v>
      </c>
      <c r="FM34" s="181">
        <f t="shared" si="32"/>
        <v>1.0606237633299787</v>
      </c>
    </row>
    <row r="35" spans="1:169">
      <c r="A35" s="39" t="str">
        <f>Basicinfo!A35</f>
        <v>Vökla</v>
      </c>
      <c r="B35" s="63">
        <f>Basicinfo!B35</f>
        <v>1270</v>
      </c>
      <c r="C35" s="63">
        <f>Basicinfo!C35</f>
        <v>1290</v>
      </c>
      <c r="D35" s="61">
        <f>Basicinfo!U35*Basicinfo!V35/1000+Basicinfo!Y35</f>
        <v>0.74162146945392637</v>
      </c>
      <c r="E35" s="19">
        <f>Basicinfo!W35*Basicinfo!X35/1000+Basicinfo!Z35</f>
        <v>0.14967379127638938</v>
      </c>
      <c r="F35" s="19">
        <f t="shared" si="0"/>
        <v>0.89129526073031573</v>
      </c>
      <c r="G35" s="19">
        <f>SUM(Basicinfo!H35:L35)</f>
        <v>18.796166661287906</v>
      </c>
      <c r="H35" s="19">
        <f>IF(Basicinfo!N35&lt;Parameters!$C$68,Parameters!$C$69,Basicinfo!BS35/(Basicinfo!N35*100))</f>
        <v>30.553375864259326</v>
      </c>
      <c r="I35" s="19">
        <f>IF(Basicinfo!N35=0,0,Basicinfo!BU35*(1-Basicinfo!BX35/100))</f>
        <v>12036.342127538952</v>
      </c>
      <c r="J35" s="19">
        <f>IF(Basicinfo!N35=0,0,Basicinfo!BU35*Basicinfo!BX35/100)</f>
        <v>5158.4323403738372</v>
      </c>
      <c r="K35" s="19">
        <f>IF(Basicinfo!N35=0,0,Basicinfo!BT35-Basicinfo!BU35)</f>
        <v>0</v>
      </c>
      <c r="L35" s="27">
        <f>Basicinfo!BV35*Basicinfo!BW35/100</f>
        <v>1478.6933333333332</v>
      </c>
      <c r="M35" s="27">
        <f>Basicinfo!BV35-Intermediate!L35</f>
        <v>1478.6933333333332</v>
      </c>
      <c r="N35" s="73">
        <f>Basicinfo!BS35-SUM(I35:K35)-Basicinfo!BV35</f>
        <v>0</v>
      </c>
      <c r="O35" s="19">
        <f>IF(Basicinfo!AH35+Basicinfo!AI35+Basicinfo!AJ35+Basicinfo!AK35=0,0,N35*(Basicinfo!AH35+Basicinfo!AI35)/SUM(Basicinfo!AH35:AK35))</f>
        <v>0</v>
      </c>
      <c r="P35" s="73">
        <f t="shared" si="25"/>
        <v>0</v>
      </c>
      <c r="Q35" s="19">
        <f>IF(Basicinfo!BS35=0,Basicinfo!N35,IF(H35&gt;Parameters!$C$70,Parameters!$C$64*(Parameters!$C$65*Parameters!$C$70)^(Parameters!$C$66-Parameters!$C$67*LOG(Parameters!$C$65*Parameters!$C$70,10))/100*Basicinfo!N35,Parameters!$C$64*(Parameters!$C$65*H35)^(Parameters!$C$66-Parameters!$C$67*LOG(Parameters!$C$65*H35,10))/100*Basicinfo!N35))</f>
        <v>2.4028028164022395</v>
      </c>
      <c r="R35" s="19">
        <f>IF(Basicinfo!BS35=0,Q35*(1-Basicinfo!BX35/100),IF(H35&lt;Parameters!$C$75,Q35*Basicinfo!BU35/Basicinfo!BS35*(1-Basicinfo!BX35/100)*(-Parameters!$C$74+Parameters!$C$73*LN(H35*100)),Q35*Basicinfo!BU35/Basicinfo!BS35*(1-Basicinfo!BX35/100)))</f>
        <v>0.91142287450082626</v>
      </c>
      <c r="S35" s="19">
        <f>IF(Basicinfo!BS35=0,Q35*Basicinfo!BX35/100,Q35*Basicinfo!BU35/Basicinfo!BS35*Basicinfo!BX35/100)</f>
        <v>0.61505541132272756</v>
      </c>
      <c r="T35" s="19">
        <f>IF(Basicinfo!BS35=0,0,IF(H35&lt;Parameters!$C$75,Q35*K35/Basicinfo!BS35*(-Parameters!$C$74+Parameters!$C$73*LN(H35*100)),Q35*K35/Basicinfo!BS35))</f>
        <v>0</v>
      </c>
      <c r="U35" s="19">
        <f t="shared" si="26"/>
        <v>0.87632453057868553</v>
      </c>
      <c r="V35" s="19">
        <f>IF(Basicinfo!AL35&gt;Parameters!$C$14,Basicinfo!Q35,0)</f>
        <v>0</v>
      </c>
      <c r="W35" s="19">
        <f>IF(Basicinfo!AL35&gt;Parameters!$C$14,0,Basicinfo!Q35)</f>
        <v>0</v>
      </c>
      <c r="X35" s="19">
        <f>G35+Basicinfo!M35</f>
        <v>48.502888413056326</v>
      </c>
      <c r="Y35" s="19">
        <f>IF(Basicinfo!G35-F35-Q35-V35-Basicinfo!O35-Basicinfo!R35-Basicinfo!S35&lt;0,0,Basicinfo!G35-F35-Q35-V35-Basicinfo!O35-Basicinfo!R35-Basicinfo!S35)</f>
        <v>95.337734410967442</v>
      </c>
      <c r="Z35" s="19">
        <f>Basicinfo!G35-F35-Basicinfo!BO35-Q35-Basicinfo!O35</f>
        <v>94.291688812920782</v>
      </c>
      <c r="AA35" s="53">
        <f>IF(Z35+Basicinfo!BO35-X35&gt;0,Z35+Basicinfo!BO35-X35,0)</f>
        <v>46.834845997911117</v>
      </c>
      <c r="AB35" s="56">
        <f>IF(Basicinfo!N35=0,0,Parameters!$C$71+Parameters!$C$72*Q35/Basicinfo!N35)</f>
        <v>0.42322282119137056</v>
      </c>
      <c r="AC35" s="43">
        <f>Basicinfo!AU35*AB35*R35/1000/86.4/0.365</f>
        <v>1.3517431153949768E-2</v>
      </c>
      <c r="AD35" s="43">
        <f>Basicinfo!AU35*AB35*S35/1000/86.4/0.365</f>
        <v>9.1219667741745808E-3</v>
      </c>
      <c r="AE35" s="43">
        <f>Basicinfo!AU35*AB35*T35/1000/86.4/0.365</f>
        <v>0</v>
      </c>
      <c r="AF35" s="43">
        <f>Basicinfo!AU35*AB35*U35/1000/86.4/0.365</f>
        <v>1.2996883051791336E-2</v>
      </c>
      <c r="AG35" s="43">
        <f>((Parameters!$C$80+Parameters!$C$81*Parameters!$C$89)/(Parameters!$C$82+Parameters!$C$89)/(Parameters!$C$90/100*Parameters!$C$91+(Parameters!$C$83+Parameters!$C$84*Parameters!$C$89)/(Parameters!$C$85+Parameters!$C$89)))-Parameters!$C$86+(Basicinfo!AU35-Parameters!$C$88)/Parameters!$C$87</f>
        <v>79.016814461747941</v>
      </c>
      <c r="AH35" s="43">
        <f>((Parameters!$C$80+Parameters!$C$81*Parameters!$C$89)/(Parameters!$C$82+Parameters!$C$89)/(Basicinfo!BY35/100*Parameters!$C$91+(Parameters!$C$83+Parameters!$C$84*Parameters!$C$89)/(Parameters!$C$85+Parameters!$C$89)))-Parameters!$C$86+(Basicinfo!AU35-Parameters!$C$88)/Parameters!$C$87</f>
        <v>61.21393259513237</v>
      </c>
      <c r="AI35" s="43">
        <f>Basicinfo!AU35^Parameters!$C$79*Parameters!$C$78*AH35/AG35</f>
        <v>37.743436353518675</v>
      </c>
      <c r="AJ35" s="43">
        <f>(J35*Parameters!$C$92/1000+Parameters!$C$94/100*S35*100*Parameters!$C$93/1000*86400*Parameters!$C$95/24)/86400</f>
        <v>7.7820319888102793E-3</v>
      </c>
      <c r="AK35" s="43">
        <f t="shared" si="1"/>
        <v>6.0765117100205612E-3</v>
      </c>
      <c r="AL35" s="43">
        <f>(K35*Parameters!$C$92/1000+Parameters!$C$94/100*T35*100*Parameters!$C$93/1000*86400*Parameters!$C$95/24)/86400</f>
        <v>0</v>
      </c>
      <c r="AM35" s="43">
        <f>(Intermediate!N35+Basicinfo!BV35-Intermediate!L35)*Parameters!$C$92/1000/86400</f>
        <v>2.2248858024691352E-3</v>
      </c>
      <c r="AN35" s="43">
        <f t="shared" si="2"/>
        <v>1.9101345746443364E-2</v>
      </c>
      <c r="AO35" s="43">
        <f t="shared" si="27"/>
        <v>6.0765117100205612E-3</v>
      </c>
      <c r="AP35" s="43">
        <f t="shared" si="28"/>
        <v>1.5221768854260471E-2</v>
      </c>
      <c r="AQ35" s="43">
        <f t="shared" si="3"/>
        <v>3.48157117182308E-2</v>
      </c>
      <c r="AR35" s="61">
        <f>(Basicinfo!AU35-Basicinfo!AY35)*F35/1000/86.4/0.365</f>
        <v>1.1363914756966142E-2</v>
      </c>
      <c r="AS35" s="19">
        <f>IF(Basicinfo!AP35-Basicinfo!CB35-Basicinfo!CG35&lt;0,0,(Basicinfo!AP35-Basicinfo!CB35-Basicinfo!CG35)/Basicinfo!G35*1000)</f>
        <v>17.94970650255777</v>
      </c>
      <c r="AT35" s="19">
        <f>Parameters!$C$3*((AS35*86.4*0.365)^Parameters!$C$4)</f>
        <v>114.75018068774497</v>
      </c>
      <c r="AU35" s="19">
        <f>IF(AT35/86.4/0.365*(Basicinfo!G35/1000)-AN35&lt;0,0,AT35/86.4/0.365*(Basicinfo!G35/1000)-AN35)</f>
        <v>0.3397907331339749</v>
      </c>
      <c r="AV35" s="19">
        <f>IF(Basicinfo!AU35&gt;Parameters!$C$13,Parameters!$C$11*(Basicinfo!AU35-Parameters!$C$13)^Parameters!$C$12,0)</f>
        <v>123.8076458831566</v>
      </c>
      <c r="AW35" s="19">
        <f>IF(AV35*V35/1000/86.4/0.365&gt;Basicinfo!AP35*Parameters!$C$15,Basicinfo!AP35*Parameters!$C$15,AV35*V35/1000/86.4/0.365)</f>
        <v>0</v>
      </c>
      <c r="AX35" s="19">
        <f>Basicinfo!AU35-Basicinfo!AW35</f>
        <v>422.83149646571439</v>
      </c>
      <c r="AY35" s="19">
        <f>Parameters!$C$56*AX35+Parameters!$C$57*Basicinfo!AW35</f>
        <v>279.64519215588575</v>
      </c>
      <c r="AZ35" s="19">
        <f>AY35*Basicinfo!BO35/1000/86.4/0.365</f>
        <v>9.2757997929216861E-3</v>
      </c>
      <c r="BA35" s="19">
        <f>IF(Basicinfo!AP35-AQ35-AR35-AU35-AW35-AZ35-Basicinfo!CB35-Basicinfo!CG35&lt;0,0,Basicinfo!AP35-AQ35-AR35-AU35-AW35-AZ35-Basicinfo!CB35-Basicinfo!CG35)</f>
        <v>1.3751662855687437</v>
      </c>
      <c r="BB35" s="53">
        <f t="shared" si="4"/>
        <v>459.92647419581795</v>
      </c>
      <c r="BC35" s="56">
        <f>IF(G35=0,0,((Basicinfo!H35*Basicinfo!BE35+Basicinfo!I35*Basicinfo!BF35+Basicinfo!J35*Basicinfo!BG35+Basicinfo!K35*Basicinfo!BH35+Basicinfo!L35*Basicinfo!BI35)*(1-Basicinfo!BN35/G35*Parameters!$C$26/100)/G35)*Basicinfo!BM35)</f>
        <v>6.0259713951930074</v>
      </c>
      <c r="BD35" s="43">
        <f>IF(Basicinfo!AW35*Parameters!$C$39-Parameters!$C$40&lt;0,0.001,(Basicinfo!AW35*Parameters!$C$39-Parameters!$C$40)/(Basicinfo!AX35*Parameters!$C$39-Parameters!$C$40))</f>
        <v>1.0429773023971973</v>
      </c>
      <c r="BE35" s="43">
        <f>(BC35*G35*100+Basicinfo!BJ35*Basicinfo!M35*100)*Parameters!$C$29*BD35</f>
        <v>12364.093744766646</v>
      </c>
      <c r="BF35" s="43">
        <f>(Basicinfo!BK35*Basicinfo!P35*100)*BD35*Parameters!$C$29</f>
        <v>444.138527261089</v>
      </c>
      <c r="BG35" s="43">
        <f>Parameters!$C$27*(V35+W35)*100</f>
        <v>0</v>
      </c>
      <c r="BH35" s="43">
        <f>Parameters!$C$28*Basicinfo!R35*100</f>
        <v>0</v>
      </c>
      <c r="BI35" s="43">
        <f t="shared" si="29"/>
        <v>444.138527261089</v>
      </c>
      <c r="BJ35" s="43">
        <f>IF(Basicinfo!AM35&lt;Parameters!$C$33,0,Parameters!$C$30*(((Basicinfo!AM35-Parameters!$C$33)^Parameters!$C$31)*(((G35-Basicinfo!BN35)/Basicinfo!G35*100+Parameters!$C$34))^Parameters!$C$32))</f>
        <v>2.1794487024929592</v>
      </c>
      <c r="BK35" s="58">
        <f t="shared" si="30"/>
        <v>713.60760795641886</v>
      </c>
      <c r="BL35" s="61">
        <f>Basicinfo!AZ35+Basicinfo!BA35</f>
        <v>1848.1074929028975</v>
      </c>
      <c r="BM35" s="19">
        <f>Basicinfo!BB35+Basicinfo!BC35</f>
        <v>1983.9799831673527</v>
      </c>
      <c r="BN35" s="172">
        <f>IF(Basicinfo!AO35=0,0,IF(Basicinfo!AO35="NA",1,IF(OR(Basicinfo!AO35="SA",Basicinfo!AN35="S"),3,IF(Basicinfo!AN35="N",1,IF(Basicinfo!AO35="ZA",2,0)))))</f>
        <v>1</v>
      </c>
      <c r="BO35" s="27">
        <f>IF($BN35=1,(BL35)*(1+Parameters!$C$21*Parameters!$C$22-Parameters!$C$22*Basicinfo!$AL35),IF($BN35=2,(BL35)*(1+Parameters!$C$21*Parameters!$C$23-Parameters!$C$23*Basicinfo!$AL35),IF($BN35=3,(BL35)*(1+Parameters!$C$21*Parameters!$C$24-Parameters!$C$24*Basicinfo!$AL35),BL35)))</f>
        <v>1833.2246272593495</v>
      </c>
      <c r="BP35" s="27">
        <f>IF($BN35=1,(BM35)*(1+Parameters!$C$21*Parameters!$C$22-Parameters!$C$22*Basicinfo!$AL35),IF($BN35=2,(BM35)*(1+Parameters!$C$21*Parameters!$C$23-Parameters!$C$23*Basicinfo!$AL35),IF($BN35=3,(BM35)*(1+Parameters!$C$21*Parameters!$C$24-Parameters!$C$24*Basicinfo!$AL35),BM35)))</f>
        <v>1968.0029322423609</v>
      </c>
      <c r="BQ35" s="27">
        <f>IF(Basicinfo!AU35=0,0,IF(G35+Basicinfo!M35=0,0,(Parameters!$C$16+BO35/Basicinfo!AU35)*G35+(Parameters!$C$17+BO35/Basicinfo!AU35)*Basicinfo!M35)/(G35+Basicinfo!M35))</f>
        <v>1.7750957806770868</v>
      </c>
      <c r="BR35" s="27">
        <f>IF(Basicinfo!AU35=0,0,IF(G35+Basicinfo!M35=0,0,(Parameters!$C$16+BP35/Basicinfo!AU35)*G35+(Parameters!$C$17+BP35/Basicinfo!AU35)*Basicinfo!M35)/(G35+Basicinfo!M35))</f>
        <v>1.8970531980443022</v>
      </c>
      <c r="BS35" s="27">
        <f>IF(Basicinfo!AU35=0,0,BO35/Basicinfo!AU35)</f>
        <v>1.6588377559927576</v>
      </c>
      <c r="BT35" s="27">
        <f>IF(Basicinfo!AU35=0,0,BP35/Basicinfo!AU35)</f>
        <v>1.7807951733599729</v>
      </c>
      <c r="BU35" s="27">
        <f>IF(SUM(G35,Basicinfo!M35,Basicinfo!P35,W35)=0,0,(BQ35*(G35+Basicinfo!M35)+BS35*(Basicinfo!P35+W35))/SUM(G35,Basicinfo!M35,Basicinfo!P35,W35))</f>
        <v>1.7207046878772758</v>
      </c>
      <c r="BV35" s="19">
        <f>IF(Basicinfo!BR35/Parameters!$C$10&gt;1,1,Basicinfo!BR35/Parameters!$C$10)</f>
        <v>0.28024843514734532</v>
      </c>
      <c r="BW35" s="19">
        <f>Parameters!$C$5+Parameters!$C$6*EXP(BV35*Parameters!$C$8*Parameters!$C$7)</f>
        <v>3.5030821079301062E-2</v>
      </c>
      <c r="BX35" s="19">
        <f>Parameters!$C$5+Parameters!$C$6*EXP(BV35*Parameters!$C$9*Parameters!$C$7)</f>
        <v>3.5019961666797841E-2</v>
      </c>
      <c r="BY35" s="19">
        <f>IF(Basicinfo!AH35+Basicinfo!AI35+Basicinfo!AJ35+Basicinfo!AK35=0,0,(Parameters!$C$18*(Basicinfo!AH35+Basicinfo!AI35)+Parameters!$C$19*Basicinfo!AJ35+Parameters!$C$20*Basicinfo!AK35)/(Basicinfo!AH35+Basicinfo!AI35+Basicinfo!AJ35+Basicinfo!AK35))</f>
        <v>3.4822246170696035E-2</v>
      </c>
      <c r="BZ35" s="19">
        <f>IF(Basicinfo!AJ35+Basicinfo!AK35=0,Parameters!$C$18,(Parameters!$C$19*Basicinfo!AJ35+Parameters!$C$20*Basicinfo!AK35)/(Basicinfo!AJ35+Basicinfo!AK35))</f>
        <v>2.5000000000000001E-2</v>
      </c>
      <c r="CA35" s="19">
        <f>IF(SUM(G35,Basicinfo!M35,Basicinfo!P35,W35)=0,0,(BW35*G35+BX35*Basicinfo!M35+BY35*Basicinfo!P35+BZ35*W35)/(SUM(G35,Basicinfo!M35,Basicinfo!P35,W35)))</f>
        <v>3.4929700314756409E-2</v>
      </c>
      <c r="CB35" s="19">
        <f>IF(Y35=0,Basicinfo!BP35,Basicinfo!BP35-(AU35*X35/Y35*Intermediate!BQ35*86400*365/1000000)*1000/(X35*100))</f>
        <v>52.027495326142635</v>
      </c>
      <c r="CC35" s="19">
        <f>IF(Y35=0,Basicinfo!BQ35,Basicinfo!BQ35-(AU35*Basicinfo!AV35/Basicinfo!AU35*X35/Y35*Intermediate!BR35*86400*365/1000000)*1000/(X35*100))</f>
        <v>51.453729550833117</v>
      </c>
      <c r="CD35" s="19">
        <f>IF(OR(Y35=0,AA35=0),BP35/100,BP35/100-(AU35*Basicinfo!AV35/Basicinfo!AU35*(Basicinfo!P35+W35)/Y35*Intermediate!BT35*86400*365/1000000+AW35*Basicinfo!AV35/Basicinfo!AU35*Intermediate!BT35*86400*365/1000000)*1000/(AA35*100))</f>
        <v>17.81026286989805</v>
      </c>
      <c r="CE35" s="19">
        <f t="shared" si="5"/>
        <v>244183.15555399051</v>
      </c>
      <c r="CF35" s="19">
        <f t="shared" si="6"/>
        <v>83414.091869398966</v>
      </c>
      <c r="CG35" s="19">
        <f>IF(AY35=0,0,((CB35^Parameters!$C$58))/AY35*100)</f>
        <v>10.284676222703471</v>
      </c>
      <c r="CH35" s="19">
        <f>IF(SUM(Basicinfo!AB35:AG35)=0,0,(Parameters!$C$59*Basicinfo!AB35+Parameters!$C$60*SUM(Basicinfo!AC35:AE35)+Parameters!$C$61*Basicinfo!AF35+Parameters!$C$62*Basicinfo!AG35)/SUM(Basicinfo!AB35:AG35))</f>
        <v>9.7422297689166035E-2</v>
      </c>
      <c r="CI35" s="19">
        <f t="shared" si="31"/>
        <v>7</v>
      </c>
      <c r="CJ35" s="19">
        <f t="shared" si="8"/>
        <v>34.742961076172691</v>
      </c>
      <c r="CK35" s="19">
        <f t="shared" si="9"/>
        <v>7.5540250508346594</v>
      </c>
      <c r="CL35" s="19">
        <f>IF($BB35=0,0,$CJ35^Parameters!$C$58*100/$BB35)</f>
        <v>4.4365808086811906</v>
      </c>
      <c r="CM35" s="19">
        <f>IF(CK35=0,0,(1/(1+Parameters!$C$116*BB35^Parameters!$C$120)*Basicinfo!AH35/Basicinfo!G35+1/(1+Parameters!$C$117*BB35^Parameters!$C$121)*Basicinfo!AI35/Basicinfo!G35)*(CK35)^Parameters!$C$124+(1/(1+Parameters!$C$118*BB35^Parameters!$C$122)*Basicinfo!AJ35/Basicinfo!G35+1/(1+Parameters!$C$119*BB35^Parameters!$C$123)*Basicinfo!AK35/Basicinfo!G35)*(CK35)^Parameters!$C$125)</f>
        <v>2.5422882052865727</v>
      </c>
      <c r="CN35" s="19">
        <f>IF(SUM(Basicinfo!AB35:AG35)=0,0,(Parameters!$C$128*Basicinfo!AB35+Parameters!$C$129*(SUM(Basicinfo!AC35:AE35))+Parameters!$C$130*Basicinfo!AF35+Parameters!$C$131*Basicinfo!AG35)/SUM(Basicinfo!AB35:AG35))</f>
        <v>1.697326156591282E-2</v>
      </c>
      <c r="CO35" s="19">
        <f>IF(Basicinfo!AH35+Basicinfo!AI35+Basicinfo!AJ35+Basicinfo!AK35=0,0,(Parameters!$C$132*(Basicinfo!AH35+Basicinfo!AI35)+Parameters!$C$133*Basicinfo!AJ35+Parameters!$C$134*Basicinfo!AK35)/(Basicinfo!AH35+Basicinfo!AI35+Basicinfo!AJ35+Basicinfo!AK35))</f>
        <v>5.0000000000000001E-4</v>
      </c>
      <c r="CP35" s="19">
        <f>IF(Basicinfo!AJ35+Basicinfo!AK35=0,0,(Parameters!$C$133*Basicinfo!AJ35+Parameters!$C$134*Basicinfo!AK35)/(Basicinfo!AJ35+Basicinfo!AK35))</f>
        <v>5.0000000000000001E-4</v>
      </c>
      <c r="CQ35" s="19">
        <f>IF(Z35=0,0,(CN35*(Z35-AA35)+CO35*Basicinfo!P35+CP35*(Basicinfo!Q35+Basicinfo!R35))/Z35)</f>
        <v>8.7687300904916304E-3</v>
      </c>
      <c r="CR35" s="289">
        <f>Basicinfo!EI35</f>
        <v>3.4716410526315786E-2</v>
      </c>
      <c r="CS35" s="19">
        <f>IF(SUM(Basicinfo!AB35:AG35)=0,0,(Basicinfo!AB35*Parameters!$C$43+(Basicinfo!AC35+Basicinfo!AD35)*Parameters!$C$44+Basicinfo!AE35*Parameters!$C$45+(Basicinfo!AF35+Basicinfo!AG35)*Parameters!$C$46)/SUM(Basicinfo!AB35:AG35))</f>
        <v>18.724606405224012</v>
      </c>
      <c r="CT35" s="19">
        <f>(Parameters!$C$41*CS35+Parameters!$C$42)</f>
        <v>465.99098533328493</v>
      </c>
      <c r="CU35" s="19">
        <f>CT35+Basicinfo!BR35/(Parameters!$C$47*Parameters!$C$49*Parameters!$C$48*10000/1000000)</f>
        <v>564.69483670593479</v>
      </c>
      <c r="CV35" s="19">
        <f>IF(BK35/Basicinfo!G35&lt;Parameters!$C$35,Parameters!$C$35,Parameters!$C$37*(BK35/Basicinfo!G35)^Parameters!$C$38)</f>
        <v>3.0218070434684843</v>
      </c>
      <c r="CW35" s="19">
        <f>IF(BK35/Basicinfo!G35&lt;Parameters!$C$35,Parameters!$C$36,Parameters!$C$36*(BK35/Basicinfo!G35)^Parameters!$C$38)</f>
        <v>7.1012465521509389</v>
      </c>
      <c r="CX35" s="27">
        <f>IF(Basicinfo!AJ35+Basicinfo!AK35=0,0,(Parameters!$C$53*Basicinfo!AJ35+Parameters!$C$54*Basicinfo!AK35)/(Basicinfo!AJ35+Basicinfo!AK35))</f>
        <v>750</v>
      </c>
      <c r="CY35" s="56">
        <f>IF(Basicinfo!AU35*AB35=0,0,((Basicinfo!AZ35+Basicinfo!BA35)/Basicinfo!AU35+Parameters!$C$76/(Basicinfo!AU35*AB35)*100))</f>
        <v>2.5275274251079987</v>
      </c>
      <c r="CZ35" s="43">
        <f>IF(Basicinfo!AU35*AB35=0,0,(Parameters!$C$77)/(Basicinfo!AU35*AB35)*100)</f>
        <v>0.53451409203628808</v>
      </c>
      <c r="DA35" s="43">
        <f>IF(AD35+AJ35=0,0,((J35*Parameters!$C$96+Parameters!$C$94/100*S35*100*Parameters!$C$93/1000*86400*Parameters!$C$95/24*Parameters!$C$98)*AI35+AD35*CY35*86400*365)/((AD35+AJ35*AI35/365)*86400*365))</f>
        <v>9.7863389788329016</v>
      </c>
      <c r="DB35" s="43">
        <f>IF(AD35+AJ35=0,0,((J35*Parameters!$C$97+Parameters!$C$94/100*S35*100*Parameters!$C$93/1000*86400*Parameters!$C$95/24*Parameters!$C$99)*AI35+AD35*CZ35*86400*365)/((AD35+AJ35*AI35/365)*86400*365))</f>
        <v>1.705361310148696</v>
      </c>
      <c r="DC35" s="42">
        <f>IF(AE35+AL35=0,0,((K35*Parameters!$C$96+Parameters!$C$94/100*T35*100*Parameters!$C$93/1000*86400*Parameters!$C$95/24*Parameters!$C$98)*365+AE35*CY35*86400*365)/((AE35+AL35)*86400*365))</f>
        <v>0</v>
      </c>
      <c r="DD35" s="42">
        <f>IF(AE35+AL35=0,0,((K35*Parameters!$C$97+Parameters!$C$94/100*T35*100*Parameters!$C$93/1000*86400*Parameters!$C$95/24*Parameters!$C$99)*365+AE35*CZ35*86400*365)/((AE35+AL35)*86400*365))</f>
        <v>0</v>
      </c>
      <c r="DE35" s="42">
        <f>IF(Basicinfo!AH35+Basicinfo!AI35+Basicinfo!AJ35+Basicinfo!AK35=0,0,((Basicinfo!AH35+Basicinfo!AI35)*Parameters!$C$107+(Basicinfo!AJ35+Basicinfo!AK35)*Parameters!$C$106)/(Basicinfo!AH35+Basicinfo!AI35+Basicinfo!AJ35+Basicinfo!AK35))</f>
        <v>89.288984682784118</v>
      </c>
      <c r="DF35" s="42">
        <f>IF(Basicinfo!AH35+Basicinfo!AI35+Basicinfo!AJ35+Basicinfo!AK35=0,0,((Basicinfo!AH35+Basicinfo!AI35)*Parameters!$C$109+(Basicinfo!AJ35+Basicinfo!AK35)*Parameters!$C$108)/(Basicinfo!AH35+Basicinfo!AI35+Basicinfo!AJ35+Basicinfo!AK35))</f>
        <v>89.288984682784118</v>
      </c>
      <c r="DG35" s="42">
        <f>Intermediate!AC35*Intermediate!CY35*(1-Parameters!$C$102/100*Basicinfo!BZ35/100)*(1-Parameters!$C$104/100*Basicinfo!CA35/100)*86400*365/1000000</f>
        <v>1.0774488201029553</v>
      </c>
      <c r="DH35" s="42">
        <f>Intermediate!AC35*Intermediate!CZ35*(1-Parameters!$C$103/100*Basicinfo!BZ35/100)*(1-Parameters!$C$105/100*Basicinfo!CA35/100)*86400*365/1000000</f>
        <v>0.22785571862520654</v>
      </c>
      <c r="DI35" s="42">
        <f>(Intermediate!AK35*Intermediate!DA35+(Intermediate!AE35+Intermediate!AL35)*Intermediate!DC35)*86400*365/1000000</f>
        <v>1.8753451121204388</v>
      </c>
      <c r="DJ35" s="42">
        <f>(Intermediate!AK35*Intermediate!DB35+(Intermediate!AE35+Intermediate!AL35)*Intermediate!DD35)*86400*365/1000000</f>
        <v>0.32679646641139221</v>
      </c>
      <c r="DK35" s="42">
        <f>((Basicinfo!AZ35+Basicinfo!BA35)*Intermediate!AB35+Parameters!$C$76*100)/1000*Intermediate!U35*(1-Intermediate!DE35/100)+(1-Parameters!$C$110/100)*M35*Parameters!$C$100*(1-DE35/100)*365/1000000+(1-Parameters!$C$112/100)*P35*Parameters!$C$96*365/1000000+(1-Parameters!$C$112/100)*O35*Parameters!$C$96*(1-DE35/100)*365/1000000</f>
        <v>0.57922104886437198</v>
      </c>
      <c r="DL35" s="42">
        <f>Parameters!$C$77*100/1000*Intermediate!U35*(1-Intermediate!DF35/100)+(1-Parameters!$C$111/100)*M35*Parameters!$C$101*(1-DF35/100)*365/1000000+(1-Parameters!$C$113/100)*P35*Parameters!$C$97*365/1000000+(1-Parameters!$C$113/100)*O35*Parameters!$C$97*(1-DF35/100)*365/1000000</f>
        <v>8.6008182418609261E-2</v>
      </c>
      <c r="DM35" s="31"/>
      <c r="DN35" s="31"/>
      <c r="DO35" s="31"/>
      <c r="DP35" s="31"/>
      <c r="DQ35" s="31"/>
      <c r="DR35" s="31"/>
      <c r="DS35" s="31"/>
      <c r="DT35" s="188">
        <f>BO35*(Basicinfo!$P35+Basicinfo!$Q35)/1000</f>
        <v>78.172228110744811</v>
      </c>
      <c r="DU35" s="188">
        <f>DT35*Basicinfo!$AZ35/(Basicinfo!$AZ35+Basicinfo!$BA35)</f>
        <v>48.105826863753819</v>
      </c>
      <c r="DV35" s="188">
        <f>DT35*Basicinfo!$BC35/(Basicinfo!$BB35+Basicinfo!$BC35)</f>
        <v>28.549437036718309</v>
      </c>
      <c r="DW35" s="188">
        <f>BP35*(Basicinfo!$P35+Basicinfo!$Q35)/1000</f>
        <v>83.919434560432634</v>
      </c>
      <c r="DX35" s="188">
        <f>DW35*Basicinfo!$BB35/(Basicinfo!$BB35+Basicinfo!$BC35)</f>
        <v>53.271048668886543</v>
      </c>
      <c r="DY35" s="188">
        <f>DW35*Basicinfo!$BC35/(Basicinfo!$BB35+Basicinfo!$BC35)</f>
        <v>30.648385891546088</v>
      </c>
      <c r="DZ35" s="188">
        <f t="shared" si="10"/>
        <v>88.916689532027007</v>
      </c>
      <c r="EA35" s="188">
        <f>DZ35*Basicinfo!$AZ35/(Basicinfo!$AZ35+Basicinfo!$BA35)</f>
        <v>54.717781177557491</v>
      </c>
      <c r="EB35" s="188">
        <f>DZ35*Basicinfo!$BC35/(Basicinfo!$BB35+Basicinfo!$BC35)</f>
        <v>32.473443455030726</v>
      </c>
      <c r="EC35" s="188">
        <f t="shared" si="11"/>
        <v>95.453826619118871</v>
      </c>
      <c r="ED35" s="188">
        <f>EC35*Basicinfo!$AZ35/(Basicinfo!$AZ35+Basicinfo!$BA35)</f>
        <v>58.740621417581821</v>
      </c>
      <c r="EE35" s="188">
        <f>EC35*Basicinfo!$BC35/(Basicinfo!$BB35+Basicinfo!$BC35)</f>
        <v>34.860884470578199</v>
      </c>
      <c r="EF35" s="190">
        <f>(Basicinfo!BP35-BL35/100)*Intermediate!X35/10</f>
        <v>172.38687225920381</v>
      </c>
      <c r="EG35" s="191">
        <f>(Basicinfo!BQ35-BM35/100)*Intermediate!X35/10</f>
        <v>163.94760453477161</v>
      </c>
      <c r="EH35" s="197">
        <f>IF(AU35=0,0,$BS35*((Basicinfo!$P35+Basicinfo!$Q35)*Intermediate!$AT35*1000+$AW35*3600*24*365)/1000000*Basicinfo!AZ35/(Basicinfo!$AZ35+Basicinfo!$BA35))</f>
        <v>4.9950436836617857</v>
      </c>
      <c r="EI35" s="197">
        <f>IF(AU35=0,0,$BS35*((Basicinfo!$P35+Basicinfo!$Q35)*Intermediate!$AT35*1000+$AW35*3600*24*365)/1000000*Basicinfo!BA35/(Basicinfo!$AZ35+Basicinfo!$BA35))</f>
        <v>3.1219292428872305</v>
      </c>
      <c r="EJ35" s="198">
        <f>IF(AU35=0,0,$BS35*($AT35*$X35*1000)/1000000*Basicinfo!AZ35/(Basicinfo!$AZ35+Basicinfo!$BA35))</f>
        <v>5.6815925444757784</v>
      </c>
      <c r="EK35" s="198">
        <f>IF(AU35=0,0,$BS35*($AT35*$X35*1000)/1000000*Basicinfo!BA35/(Basicinfo!$AZ35+Basicinfo!$BA35))</f>
        <v>3.5510259837739611</v>
      </c>
      <c r="EL35" s="147">
        <f>Parameters!$C$150/Basicinfo!$AV35*100</f>
        <v>8.8193353500026259E-2</v>
      </c>
      <c r="EM35" s="147">
        <f>Parameters!$C$151/Basicinfo!$AV35*100</f>
        <v>0.17638670700005252</v>
      </c>
      <c r="EN35" s="147">
        <f>(Parameters!$C$150+Parameters!$C$151)/Intermediate!$BB35*100</f>
        <v>0.65227817234167784</v>
      </c>
      <c r="EO35" s="193">
        <f>IF(EN35=0,0,(1/(1+Parameters!$C$116*$BB35^Parameters!$C$120)*Basicinfo!$AH35/Basicinfo!$G35+1/(1+Parameters!$C$117*$BB35^Parameters!$C$121)*Basicinfo!$AI35/Basicinfo!$G35)*(EN35)^Parameters!$C$124+(1/(1+Parameters!$C$118*$BB35^Parameters!$C$122)*Basicinfo!$AJ35/Basicinfo!AW35+1/(1+Parameters!$C$119*$BB35^Parameters!$C$123)*Basicinfo!$AK35/Basicinfo!$G35)*(EN35)^Parameters!$C$125)</f>
        <v>0.53223373637030857</v>
      </c>
      <c r="EP35" s="199">
        <f>EL35*($AT35*Basicinfo!$P35*1000+$AW35*3600*24*365)/1000000</f>
        <v>0.43154495373350149</v>
      </c>
      <c r="EQ35" s="199">
        <f>EM35*($AT35*Basicinfo!$P35*1000+$AW35*3600*24*365)/1000000</f>
        <v>0.86308990746700298</v>
      </c>
      <c r="ER35" s="199">
        <f t="shared" si="12"/>
        <v>0.49085908893212837</v>
      </c>
      <c r="ES35" s="199">
        <f t="shared" si="13"/>
        <v>0.98171817786425675</v>
      </c>
      <c r="ET35" s="181">
        <f t="shared" si="14"/>
        <v>23.081510300460785</v>
      </c>
      <c r="EU35" s="147">
        <f>Intermediate!F35*(Parameters!$C$150)/1000*100</f>
        <v>8.9129526073031581E-2</v>
      </c>
      <c r="EV35" s="147">
        <f>Intermediate!F35*(Parameters!$C$151)/1000*100</f>
        <v>0.17825905214606316</v>
      </c>
      <c r="EW35" s="181">
        <f>'Local emissions'!$S35*Basicinfo!AZ35/(Basicinfo!$AZ35+Basicinfo!$BA35)-Intermediate!EU35</f>
        <v>0.91637139638558462</v>
      </c>
      <c r="EX35" s="147">
        <f>'Local emissions'!$S35*Basicinfo!BA35/(Basicinfo!$AZ35+Basicinfo!$BA35)-Intermediate!EV35</f>
        <v>0.45018444752567843</v>
      </c>
      <c r="EY35" s="188">
        <f t="shared" si="15"/>
        <v>4.5634987299282841</v>
      </c>
      <c r="EZ35" s="188">
        <f t="shared" si="16"/>
        <v>2.2588393354202276</v>
      </c>
      <c r="FA35" s="188">
        <f t="shared" si="17"/>
        <v>5.1907334555436497</v>
      </c>
      <c r="FB35" s="181">
        <f t="shared" si="18"/>
        <v>2.5693078059097045</v>
      </c>
      <c r="FC35" s="181">
        <f>'Local emissions'!Y35-Intermediate!ET35</f>
        <v>87.170522569989828</v>
      </c>
      <c r="FD35" s="188">
        <f t="shared" si="19"/>
        <v>13.525729467844782</v>
      </c>
      <c r="FE35" s="188">
        <f t="shared" si="20"/>
        <v>7.7817461182678054</v>
      </c>
      <c r="FF35" s="181">
        <f t="shared" si="21"/>
        <v>7.457237786003466</v>
      </c>
      <c r="FG35" s="201">
        <f t="shared" si="22"/>
        <v>4.42565806513048</v>
      </c>
      <c r="FH35" s="181">
        <f t="shared" si="23"/>
        <v>53.980151132743295</v>
      </c>
      <c r="FJ35" s="147">
        <f>AVERAGE(Parameters!$C$132:$C$134)*'Local emissions'!J35*3600*24*365/1000000</f>
        <v>2.1683621990847949E-2</v>
      </c>
      <c r="FK35" s="147">
        <f>'Local emissions'!AJ35+CT35*BJ35/100*Intermediate!X35*100/1000000</f>
        <v>0.24912203799511545</v>
      </c>
      <c r="FL35" s="31">
        <f>(Parameters!$C$18*(Basicinfo!AH35+Basicinfo!AI35)+Parameters!$C$19*Basicinfo!AJ35+Parameters!$C$20*Basicinfo!AK35)/Basicinfo!G35</f>
        <v>3.4822246170696035E-2</v>
      </c>
      <c r="FM35" s="181">
        <f t="shared" si="32"/>
        <v>0.37314267346095115</v>
      </c>
    </row>
    <row r="36" spans="1:169">
      <c r="A36" s="39" t="str">
        <f>Basicinfo!A36</f>
        <v>Ager</v>
      </c>
      <c r="B36" s="63">
        <f>Basicinfo!B36</f>
        <v>1280</v>
      </c>
      <c r="C36" s="63">
        <f>Basicinfo!C36</f>
        <v>1290</v>
      </c>
      <c r="D36" s="61">
        <f>Basicinfo!U36*Basicinfo!V36/1000+Basicinfo!Y36</f>
        <v>1.64627874937298</v>
      </c>
      <c r="E36" s="19">
        <f>Basicinfo!W36*Basicinfo!X36/1000+Basicinfo!Z36</f>
        <v>37.417989267098939</v>
      </c>
      <c r="F36" s="19">
        <f t="shared" si="0"/>
        <v>39.064268016471921</v>
      </c>
      <c r="G36" s="19">
        <f>SUM(Basicinfo!H36:L36)</f>
        <v>12.308713434193836</v>
      </c>
      <c r="H36" s="19">
        <f>IF(Basicinfo!N36&lt;Parameters!$C$68,Parameters!$C$69,Basicinfo!BS36/(Basicinfo!N36*100))</f>
        <v>17.013530511455773</v>
      </c>
      <c r="I36" s="19">
        <f>IF(Basicinfo!N36=0,0,Basicinfo!BU36*(1-Basicinfo!BX36/100))</f>
        <v>17620.954635824095</v>
      </c>
      <c r="J36" s="19">
        <f>IF(Basicinfo!N36=0,0,Basicinfo!BU36*Basicinfo!BX36/100)</f>
        <v>7551.8377010674694</v>
      </c>
      <c r="K36" s="19">
        <f>IF(Basicinfo!N36=0,0,Basicinfo!BT36-Basicinfo!BU36)</f>
        <v>0</v>
      </c>
      <c r="L36" s="27">
        <f>Basicinfo!BV36*Basicinfo!BW36/100</f>
        <v>975.59000000000015</v>
      </c>
      <c r="M36" s="27">
        <f>Basicinfo!BV36-Intermediate!L36</f>
        <v>975.59000000000015</v>
      </c>
      <c r="N36" s="73">
        <f>Basicinfo!BS36-SUM(I36:K36)-Basicinfo!BV36</f>
        <v>0</v>
      </c>
      <c r="O36" s="19">
        <f>IF(Basicinfo!AH36+Basicinfo!AI36+Basicinfo!AJ36+Basicinfo!AK36=0,0,N36*(Basicinfo!AH36+Basicinfo!AI36)/SUM(Basicinfo!AH36:AK36))</f>
        <v>0</v>
      </c>
      <c r="P36" s="73">
        <f t="shared" si="25"/>
        <v>0</v>
      </c>
      <c r="Q36" s="19">
        <f>IF(Basicinfo!BS36=0,Basicinfo!N36,IF(H36&gt;Parameters!$C$70,Parameters!$C$64*(Parameters!$C$65*Parameters!$C$70)^(Parameters!$C$66-Parameters!$C$67*LOG(Parameters!$C$65*Parameters!$C$70,10))/100*Basicinfo!N36,Parameters!$C$64*(Parameters!$C$65*H36)^(Parameters!$C$66-Parameters!$C$67*LOG(Parameters!$C$65*H36,10))/100*Basicinfo!N36))</f>
        <v>4.3401988237591373</v>
      </c>
      <c r="R36" s="19">
        <f>IF(Basicinfo!BS36=0,Q36*(1-Basicinfo!BX36/100),IF(H36&lt;Parameters!$C$75,Q36*Basicinfo!BU36/Basicinfo!BS36*(1-Basicinfo!BX36/100)*(-Parameters!$C$74+Parameters!$C$73*LN(H36*100)),Q36*Basicinfo!BU36/Basicinfo!BS36*(1-Basicinfo!BX36/100)))</f>
        <v>1.5843195476509173</v>
      </c>
      <c r="S36" s="19">
        <f>IF(Basicinfo!BS36=0,Q36*Basicinfo!BX36/100,Q36*Basicinfo!BU36/Basicinfo!BS36*Basicinfo!BX36/100)</f>
        <v>1.2083951679457123</v>
      </c>
      <c r="T36" s="19">
        <f>IF(Basicinfo!BS36=0,0,IF(H36&lt;Parameters!$C$75,Q36*K36/Basicinfo!BS36*(-Parameters!$C$74+Parameters!$C$73*LN(H36*100)),Q36*K36/Basicinfo!BS36))</f>
        <v>0</v>
      </c>
      <c r="U36" s="19">
        <f t="shared" si="26"/>
        <v>1.5474841081625077</v>
      </c>
      <c r="V36" s="19">
        <f>IF(Basicinfo!AL36&gt;Parameters!$C$14,Basicinfo!Q36,0)</f>
        <v>0</v>
      </c>
      <c r="W36" s="19">
        <f>IF(Basicinfo!AL36&gt;Parameters!$C$14,0,Basicinfo!Q36)</f>
        <v>10.076644422931</v>
      </c>
      <c r="X36" s="19">
        <f>G36+Basicinfo!M36</f>
        <v>81.359773236303326</v>
      </c>
      <c r="Y36" s="19">
        <f>IF(Basicinfo!G36-F36-Q36-V36-Basicinfo!O36-Basicinfo!R36-Basicinfo!S36&lt;0,0,Basicinfo!G36-F36-Q36-V36-Basicinfo!O36-Basicinfo!R36-Basicinfo!S36)</f>
        <v>332.98568462536798</v>
      </c>
      <c r="Z36" s="19">
        <f>Basicinfo!G36-F36-Basicinfo!BO36-Q36-Basicinfo!O36</f>
        <v>327.81011247879786</v>
      </c>
      <c r="AA36" s="53">
        <f>IF(Z36+Basicinfo!BO36-X36&gt;0,Z36+Basicinfo!BO36-X36,0)</f>
        <v>251.64088772546557</v>
      </c>
      <c r="AB36" s="56">
        <f>IF(Basicinfo!N36=0,0,Parameters!$C$71+Parameters!$C$72*Q36/Basicinfo!N36)</f>
        <v>0.35417945479185181</v>
      </c>
      <c r="AC36" s="43">
        <f>Basicinfo!AU36*AB36*R36/1000/86.4/0.365</f>
        <v>2.6947926555979863E-2</v>
      </c>
      <c r="AD36" s="43">
        <f>Basicinfo!AU36*AB36*S36/1000/86.4/0.365</f>
        <v>2.055377293342402E-2</v>
      </c>
      <c r="AE36" s="43">
        <f>Basicinfo!AU36*AB36*T36/1000/86.4/0.365</f>
        <v>0</v>
      </c>
      <c r="AF36" s="43">
        <f>Basicinfo!AU36*AB36*U36/1000/86.4/0.365</f>
        <v>2.6321387093367857E-2</v>
      </c>
      <c r="AG36" s="43">
        <f>((Parameters!$C$80+Parameters!$C$81*Parameters!$C$89)/(Parameters!$C$82+Parameters!$C$89)/(Parameters!$C$90/100*Parameters!$C$91+(Parameters!$C$83+Parameters!$C$84*Parameters!$C$89)/(Parameters!$C$85+Parameters!$C$89)))-Parameters!$C$86+(Basicinfo!AU36-Parameters!$C$88)/Parameters!$C$87</f>
        <v>89.250864299658645</v>
      </c>
      <c r="AH36" s="43">
        <f>((Parameters!$C$80+Parameters!$C$81*Parameters!$C$89)/(Parameters!$C$82+Parameters!$C$89)/(Basicinfo!BY36/100*Parameters!$C$91+(Parameters!$C$83+Parameters!$C$84*Parameters!$C$89)/(Parameters!$C$85+Parameters!$C$89)))-Parameters!$C$86+(Basicinfo!AU36-Parameters!$C$88)/Parameters!$C$87</f>
        <v>71.44798243304308</v>
      </c>
      <c r="AI36" s="43">
        <f>Basicinfo!AU36^Parameters!$C$79*Parameters!$C$78*AH36/AG36</f>
        <v>85.747867027301368</v>
      </c>
      <c r="AJ36" s="43">
        <f>(J36*Parameters!$C$92/1000+Parameters!$C$94/100*S36*100*Parameters!$C$93/1000*86400*Parameters!$C$95/24)/86400</f>
        <v>1.1402998602111743E-2</v>
      </c>
      <c r="AK36" s="43">
        <f t="shared" si="1"/>
        <v>1.6599245359138433E-2</v>
      </c>
      <c r="AL36" s="43">
        <f>(K36*Parameters!$C$92/1000+Parameters!$C$94/100*T36*100*Parameters!$C$93/1000*86400*Parameters!$C$95/24)/86400</f>
        <v>0</v>
      </c>
      <c r="AM36" s="43">
        <f>(Intermediate!N36+Basicinfo!BV36-Intermediate!L36)*Parameters!$C$92/1000/86400</f>
        <v>1.4679016203703705E-3</v>
      </c>
      <c r="AN36" s="43">
        <f t="shared" si="2"/>
        <v>4.1633182630780224E-2</v>
      </c>
      <c r="AO36" s="43">
        <f t="shared" si="27"/>
        <v>1.6599245359138433E-2</v>
      </c>
      <c r="AP36" s="43">
        <f t="shared" si="28"/>
        <v>2.7789288713738227E-2</v>
      </c>
      <c r="AQ36" s="43">
        <f t="shared" ref="AQ36:AQ67" si="33">AC36+AO36+AP36</f>
        <v>7.1336460628856527E-2</v>
      </c>
      <c r="AR36" s="61">
        <f>(Basicinfo!AU36-Basicinfo!AY36)*F36/1000/86.4/0.365</f>
        <v>1.0115730752188743</v>
      </c>
      <c r="AS36" s="19">
        <f>IF(Basicinfo!AP36-Basicinfo!CB36-Basicinfo!CG36&lt;0,0,(Basicinfo!AP36-Basicinfo!CB36-Basicinfo!CG36)/Basicinfo!G36*1000)</f>
        <v>32.655359461095429</v>
      </c>
      <c r="AT36" s="19">
        <f>Parameters!$C$3*((AS36*86.4*0.365)^Parameters!$C$4)</f>
        <v>241.88624656628048</v>
      </c>
      <c r="AU36" s="19">
        <f>IF(AT36/86.4/0.365*(Basicinfo!G36/1000)-AN36&lt;0,0,AT36/86.4/0.365*(Basicinfo!G36/1000)-AN36)</f>
        <v>2.845455336912817</v>
      </c>
      <c r="AV36" s="19">
        <f>IF(Basicinfo!AU36&gt;Parameters!$C$13,Parameters!$C$11*(Basicinfo!AU36-Parameters!$C$13)^Parameters!$C$12,0)</f>
        <v>206.27990796878188</v>
      </c>
      <c r="AW36" s="19">
        <f>IF(AV36*V36/1000/86.4/0.365&gt;Basicinfo!AP36*Parameters!$C$15,Basicinfo!AP36*Parameters!$C$15,AV36*V36/1000/86.4/0.365)</f>
        <v>0</v>
      </c>
      <c r="AX36" s="19">
        <f>Basicinfo!AU36-Basicinfo!AW36</f>
        <v>579.83489114814267</v>
      </c>
      <c r="AY36" s="19">
        <f>Parameters!$C$56*AX36+Parameters!$C$57*Basicinfo!AW36</f>
        <v>383.38274938049994</v>
      </c>
      <c r="AZ36" s="19">
        <f>AY36*Basicinfo!BO36/1000/86.4/0.365</f>
        <v>6.3101431639847522E-2</v>
      </c>
      <c r="BA36" s="19">
        <f>IF(Basicinfo!AP36-AQ36-AR36-AU36-AW36-AZ36-Basicinfo!CB36-Basicinfo!CG36&lt;0,0,Basicinfo!AP36-AQ36-AR36-AU36-AW36-AZ36-Basicinfo!CB36-Basicinfo!CG36)</f>
        <v>8.3001784469734776</v>
      </c>
      <c r="BB36" s="53">
        <f t="shared" ref="BB36:BB67" si="34">IF(Z36=0,0,BA36*86.4*0.365/Z36*1000)</f>
        <v>798.49405963852143</v>
      </c>
      <c r="BC36" s="56">
        <f>IF(G36=0,0,((Basicinfo!H36*Basicinfo!BE36+Basicinfo!I36*Basicinfo!BF36+Basicinfo!J36*Basicinfo!BG36+Basicinfo!K36*Basicinfo!BH36+Basicinfo!L36*Basicinfo!BI36)*(1-Basicinfo!BN36/G36*Parameters!$C$26/100)/G36)*Basicinfo!BM36)</f>
        <v>7.5266498351244993</v>
      </c>
      <c r="BD36" s="43">
        <f>IF(Basicinfo!AW36*Parameters!$C$39-Parameters!$C$40&lt;0,0.001,(Basicinfo!AW36*Parameters!$C$39-Parameters!$C$40)/(Basicinfo!AX36*Parameters!$C$39-Parameters!$C$40))</f>
        <v>1.0613336144690642</v>
      </c>
      <c r="BE36" s="43">
        <f>(BC36*G36*100+Basicinfo!BJ36*Basicinfo!M36*100)*Parameters!$C$29*BD36</f>
        <v>13357.521545135067</v>
      </c>
      <c r="BF36" s="43">
        <f>(Basicinfo!BK36*Basicinfo!P36*100)*BD36*Parameters!$C$29</f>
        <v>2416.3507913141812</v>
      </c>
      <c r="BG36" s="43">
        <f>Parameters!$C$27*(V36+W36)*100</f>
        <v>201.53288845861999</v>
      </c>
      <c r="BH36" s="43">
        <f>Parameters!$C$28*Basicinfo!R36*100</f>
        <v>0</v>
      </c>
      <c r="BI36" s="43">
        <f t="shared" si="29"/>
        <v>2617.8836797728013</v>
      </c>
      <c r="BJ36" s="43">
        <f>IF(Basicinfo!AM36&lt;Parameters!$C$33,0,Parameters!$C$30*(((Basicinfo!AM36-Parameters!$C$33)^Parameters!$C$31)*(((G36-Basicinfo!BN36)/Basicinfo!G36*100+Parameters!$C$34))^Parameters!$C$32))</f>
        <v>1.539624740782132</v>
      </c>
      <c r="BK36" s="58">
        <f t="shared" si="30"/>
        <v>2823.5393862370047</v>
      </c>
      <c r="BL36" s="61">
        <f>Basicinfo!AZ36+Basicinfo!BA36</f>
        <v>1813.1946655158672</v>
      </c>
      <c r="BM36" s="19">
        <f>Basicinfo!BB36+Basicinfo!BC36</f>
        <v>1965.6527695294021</v>
      </c>
      <c r="BN36" s="172">
        <f>IF(Basicinfo!AO36=0,0,IF(Basicinfo!AO36="NA",1,IF(OR(Basicinfo!AO36="SA",Basicinfo!AN36="S"),3,IF(Basicinfo!AN36="N",1,IF(Basicinfo!AO36="ZA",2,0)))))</f>
        <v>1</v>
      </c>
      <c r="BO36" s="27">
        <f>IF($BN36=1,(BL36)*(1+Parameters!$C$21*Parameters!$C$22-Parameters!$C$22*Basicinfo!$AL36),IF($BN36=2,(BL36)*(1+Parameters!$C$21*Parameters!$C$23-Parameters!$C$23*Basicinfo!$AL36),IF($BN36=3,(BL36)*(1+Parameters!$C$21*Parameters!$C$24-Parameters!$C$24*Basicinfo!$AL36),BL36)))</f>
        <v>1731.8348661695384</v>
      </c>
      <c r="BP36" s="27">
        <f>IF($BN36=1,(BM36)*(1+Parameters!$C$21*Parameters!$C$22-Parameters!$C$22*Basicinfo!$AL36),IF($BN36=2,(BM36)*(1+Parameters!$C$21*Parameters!$C$23-Parameters!$C$23*Basicinfo!$AL36),IF($BN36=3,(BM36)*(1+Parameters!$C$21*Parameters!$C$24-Parameters!$C$24*Basicinfo!$AL36),BM36)))</f>
        <v>1877.4520275158754</v>
      </c>
      <c r="BQ36" s="27">
        <f>IF(Basicinfo!AU36=0,0,IF(G36+Basicinfo!M36=0,0,(Parameters!$C$16+BO36/Basicinfo!AU36)*G36+(Parameters!$C$17+BO36/Basicinfo!AU36)*Basicinfo!M36)/(G36+Basicinfo!M36))</f>
        <v>1.1888980697798401</v>
      </c>
      <c r="BR36" s="27">
        <f>IF(Basicinfo!AU36=0,0,IF(G36+Basicinfo!M36=0,0,(Parameters!$C$16+BP36/Basicinfo!AU36)*G36+(Parameters!$C$17+BP36/Basicinfo!AU36)*Basicinfo!M36)/(G36+Basicinfo!M36))</f>
        <v>1.2850475065218427</v>
      </c>
      <c r="BS36" s="27">
        <f>IF(Basicinfo!AU36=0,0,BO36/Basicinfo!AU36)</f>
        <v>1.1435118317979172</v>
      </c>
      <c r="BT36" s="27">
        <f>IF(Basicinfo!AU36=0,0,BP36/Basicinfo!AU36)</f>
        <v>1.2396612685399198</v>
      </c>
      <c r="BU36" s="27">
        <f>IF(SUM(G36,Basicinfo!M36,Basicinfo!P36,W36)=0,0,(BQ36*(G36+Basicinfo!M36)+BS36*(Basicinfo!P36+W36))/SUM(G36,Basicinfo!M36,Basicinfo!P36,W36))</f>
        <v>1.1560642019824141</v>
      </c>
      <c r="BV36" s="19">
        <f>IF(Basicinfo!BR36/Parameters!$C$10&gt;1,1,Basicinfo!BR36/Parameters!$C$10)</f>
        <v>0.17710325825290824</v>
      </c>
      <c r="BW36" s="19">
        <f>Parameters!$C$5+Parameters!$C$6*EXP(BV36*Parameters!$C$8*Parameters!$C$7)</f>
        <v>3.5007310587435773E-2</v>
      </c>
      <c r="BX36" s="19">
        <f>Parameters!$C$5+Parameters!$C$6*EXP(BV36*Parameters!$C$9*Parameters!$C$7)</f>
        <v>3.5005555639737972E-2</v>
      </c>
      <c r="BY36" s="19">
        <f>IF(Basicinfo!AH36+Basicinfo!AI36+Basicinfo!AJ36+Basicinfo!AK36=0,0,(Parameters!$C$18*(Basicinfo!AH36+Basicinfo!AI36)+Parameters!$C$19*Basicinfo!AJ36+Parameters!$C$20*Basicinfo!AK36)/(Basicinfo!AH36+Basicinfo!AI36+Basicinfo!AJ36+Basicinfo!AK36))</f>
        <v>2.5227140473910663E-2</v>
      </c>
      <c r="BZ36" s="19">
        <f>IF(Basicinfo!AJ36+Basicinfo!AK36=0,Parameters!$C$18,(Parameters!$C$19*Basicinfo!AJ36+Parameters!$C$20*Basicinfo!AK36)/(Basicinfo!AJ36+Basicinfo!AK36))</f>
        <v>1.7490328366384481E-2</v>
      </c>
      <c r="CA36" s="19">
        <f>IF(SUM(G36,Basicinfo!M36,Basicinfo!P36,W36)=0,0,(BW36*G36+BX36*Basicinfo!M36+BY36*Basicinfo!P36+BZ36*W36)/(SUM(G36,Basicinfo!M36,Basicinfo!P36,W36)))</f>
        <v>2.7666593680315207E-2</v>
      </c>
      <c r="CB36" s="19">
        <f>IF(Y36=0,Basicinfo!BP36,Basicinfo!BP36-(AU36*X36/Y36*Intermediate!BQ36*86400*365/1000000)*1000/(X36*100))</f>
        <v>38.742003149760201</v>
      </c>
      <c r="CC36" s="19">
        <f>IF(Y36=0,Basicinfo!BQ36,Basicinfo!BQ36-(AU36*Basicinfo!AV36/Basicinfo!AU36*X36/Y36*Intermediate!BR36*86400*365/1000000)*1000/(X36*100))</f>
        <v>38.118613361010404</v>
      </c>
      <c r="CD36" s="19">
        <f>IF(OR(Y36=0,AA36=0),BP36/100,BP36/100-(AU36*Basicinfo!AV36/Basicinfo!AU36*(Basicinfo!P36+W36)/Y36*Intermediate!BT36*86400*365/1000000+AW36*Basicinfo!AV36/Basicinfo!AU36*Intermediate!BT36*86400*365/1000000)*1000/(AA36*100))</f>
        <v>15.895147403992315</v>
      </c>
      <c r="CE36" s="19">
        <f t="shared" ref="CE36:CE67" si="35">(Z36-AA36)*100*CC36</f>
        <v>290346.52283801767</v>
      </c>
      <c r="CF36" s="19">
        <f t="shared" ref="CF36:CF67" si="36">CD36*AA36*100</f>
        <v>399986.90032677556</v>
      </c>
      <c r="CG36" s="19">
        <f>IF(AY36=0,0,((CB36^Parameters!$C$58))/AY36*100)</f>
        <v>5.8387811024793601</v>
      </c>
      <c r="CH36" s="19">
        <f>IF(SUM(Basicinfo!AB36:AG36)=0,0,(Parameters!$C$59*Basicinfo!AB36+Parameters!$C$60*SUM(Basicinfo!AC36:AE36)+Parameters!$C$61*Basicinfo!AF36+Parameters!$C$62*Basicinfo!AG36)/SUM(Basicinfo!AB36:AG36))</f>
        <v>8.4972343540581155E-2</v>
      </c>
      <c r="CI36" s="19">
        <f t="shared" si="31"/>
        <v>4</v>
      </c>
      <c r="CJ36" s="19">
        <f t="shared" ref="CJ36:CJ67" si="37">IF(Z36=0,0,(CE36+CF36)/(Z36*100))</f>
        <v>21.058942262174497</v>
      </c>
      <c r="CK36" s="19">
        <f t="shared" si="9"/>
        <v>2.6373323643394277</v>
      </c>
      <c r="CL36" s="19">
        <f>IF($BB36=0,0,$CJ36^Parameters!$C$58*100/$BB36)</f>
        <v>1.6697420378876953</v>
      </c>
      <c r="CM36" s="19">
        <f>IF(CK36=0,0,(1/(1+Parameters!$C$116*BB36^Parameters!$C$120)*Basicinfo!AH36/Basicinfo!G36+1/(1+Parameters!$C$117*BB36^Parameters!$C$121)*Basicinfo!AI36/Basicinfo!G36)*(CK36)^Parameters!$C$124+(1/(1+Parameters!$C$118*BB36^Parameters!$C$122)*Basicinfo!AJ36/Basicinfo!G36+1/(1+Parameters!$C$119*BB36^Parameters!$C$123)*Basicinfo!AK36/Basicinfo!G36)*(CK36)^Parameters!$C$125)</f>
        <v>1.1749566856411899</v>
      </c>
      <c r="CN36" s="19">
        <f>IF(SUM(Basicinfo!AB36:AG36)=0,0,(Parameters!$C$128*Basicinfo!AB36+Parameters!$C$129*(SUM(Basicinfo!AC36:AE36))+Parameters!$C$130*Basicinfo!AF36+Parameters!$C$131*Basicinfo!AG36)/SUM(Basicinfo!AB36:AG36))</f>
        <v>3.4725764099872519E-2</v>
      </c>
      <c r="CO36" s="19">
        <f>IF(Basicinfo!AH36+Basicinfo!AI36+Basicinfo!AJ36+Basicinfo!AK36=0,0,(Parameters!$C$132*(Basicinfo!AH36+Basicinfo!AI36)+Parameters!$C$133*Basicinfo!AJ36+Parameters!$C$134*Basicinfo!AK36)/(Basicinfo!AH36+Basicinfo!AI36+Basicinfo!AJ36+Basicinfo!AK36))</f>
        <v>5.0000000000000001E-4</v>
      </c>
      <c r="CP36" s="19">
        <f>IF(Basicinfo!AJ36+Basicinfo!AK36=0,0,(Parameters!$C$133*Basicinfo!AJ36+Parameters!$C$134*Basicinfo!AK36)/(Basicinfo!AJ36+Basicinfo!AK36))</f>
        <v>4.999999999999999E-4</v>
      </c>
      <c r="CQ36" s="19">
        <f>IF(Z36=0,0,(CN36*(Z36-AA36)+CO36*Basicinfo!P36+CP36*(Basicinfo!Q36+Basicinfo!R36))/Z36)</f>
        <v>8.3934047697725653E-3</v>
      </c>
      <c r="CR36" s="289">
        <f>Basicinfo!EI36</f>
        <v>8.6318684210526311E-3</v>
      </c>
      <c r="CS36" s="19">
        <f>IF(SUM(Basicinfo!AB36:AG36)=0,0,(Basicinfo!AB36*Parameters!$C$43+(Basicinfo!AC36+Basicinfo!AD36)*Parameters!$C$44+Basicinfo!AE36*Parameters!$C$45+(Basicinfo!AF36+Basicinfo!AG36)*Parameters!$C$46)/SUM(Basicinfo!AB36:AG36))</f>
        <v>23.870503037068051</v>
      </c>
      <c r="CT36" s="19">
        <f>(Parameters!$C$41*CS36+Parameters!$C$42)</f>
        <v>518.47913097809408</v>
      </c>
      <c r="CU36" s="19">
        <f>CT36+Basicinfo!BR36/(Parameters!$C$47*Parameters!$C$49*Parameters!$C$48*10000/1000000)</f>
        <v>580.85512130616235</v>
      </c>
      <c r="CV36" s="19">
        <f>IF(BK36/Basicinfo!G36&lt;Parameters!$C$35,Parameters!$C$35,Parameters!$C$37*(BK36/Basicinfo!G36)^Parameters!$C$38)</f>
        <v>2.9709109393950239</v>
      </c>
      <c r="CW36" s="19">
        <f>IF(BK36/Basicinfo!G36&lt;Parameters!$C$35,Parameters!$C$36,Parameters!$C$36*(BK36/Basicinfo!G36)^Parameters!$C$38)</f>
        <v>6.9816407075783067</v>
      </c>
      <c r="CX36" s="27">
        <f>IF(Basicinfo!AJ36+Basicinfo!AK36=0,0,(Parameters!$C$53*Basicinfo!AJ36+Parameters!$C$54*Basicinfo!AK36)/(Basicinfo!AJ36+Basicinfo!AK36))</f>
        <v>682.89229604003151</v>
      </c>
      <c r="CY36" s="56">
        <f>IF(Basicinfo!AU36*AB36=0,0,((Basicinfo!AZ36+Basicinfo!BA36)/Basicinfo!AU36+Parameters!$C$76/(Basicinfo!AU36*AB36)*100))</f>
        <v>1.9429442747836316</v>
      </c>
      <c r="CZ36" s="43">
        <f>IF(Basicinfo!AU36*AB36=0,0,(Parameters!$C$77)/(Basicinfo!AU36*AB36)*100)</f>
        <v>0.46606965463057548</v>
      </c>
      <c r="DA36" s="43">
        <f>IF(AD36+AJ36=0,0,((J36*Parameters!$C$96+Parameters!$C$94/100*S36*100*Parameters!$C$93/1000*86400*Parameters!$C$95/24*Parameters!$C$98)*AI36+AD36*CY36*86400*365)/((AD36+AJ36*AI36/365)*86400*365))</f>
        <v>12.325741160326562</v>
      </c>
      <c r="DB36" s="43">
        <f>IF(AD36+AJ36=0,0,((J36*Parameters!$C$97+Parameters!$C$94/100*S36*100*Parameters!$C$93/1000*86400*Parameters!$C$95/24*Parameters!$C$99)*AI36+AD36*CZ36*86400*365)/((AD36+AJ36*AI36/365)*86400*365))</f>
        <v>2.1378408224160186</v>
      </c>
      <c r="DC36" s="42">
        <f>IF(AE36+AL36=0,0,((K36*Parameters!$C$96+Parameters!$C$94/100*T36*100*Parameters!$C$93/1000*86400*Parameters!$C$95/24*Parameters!$C$98)*365+AE36*CY36*86400*365)/((AE36+AL36)*86400*365))</f>
        <v>0</v>
      </c>
      <c r="DD36" s="42">
        <f>IF(AE36+AL36=0,0,((K36*Parameters!$C$97+Parameters!$C$94/100*T36*100*Parameters!$C$93/1000*86400*Parameters!$C$95/24*Parameters!$C$99)*365+AE36*CZ36*86400*365)/((AE36+AL36)*86400*365))</f>
        <v>0</v>
      </c>
      <c r="DE36" s="42">
        <f>IF(Basicinfo!AH36+Basicinfo!AI36+Basicinfo!AJ36+Basicinfo!AK36=0,0,((Basicinfo!AH36+Basicinfo!AI36)*Parameters!$C$107+(Basicinfo!AJ36+Basicinfo!AK36)*Parameters!$C$106)/(Basicinfo!AH36+Basicinfo!AI36+Basicinfo!AJ36+Basicinfo!AK36))</f>
        <v>67.674373956100581</v>
      </c>
      <c r="DF36" s="42">
        <f>IF(Basicinfo!AH36+Basicinfo!AI36+Basicinfo!AJ36+Basicinfo!AK36=0,0,((Basicinfo!AH36+Basicinfo!AI36)*Parameters!$C$109+(Basicinfo!AJ36+Basicinfo!AK36)*Parameters!$C$108)/(Basicinfo!AH36+Basicinfo!AI36+Basicinfo!AJ36+Basicinfo!AK36))</f>
        <v>67.674373956100581</v>
      </c>
      <c r="DG36" s="42">
        <f>Intermediate!AC36*Intermediate!CY36*(1-Parameters!$C$102/100*Basicinfo!BZ36/100)*(1-Parameters!$C$104/100*Basicinfo!CA36/100)*86400*365/1000000</f>
        <v>1.6511719675120644</v>
      </c>
      <c r="DH36" s="42">
        <f>Intermediate!AC36*Intermediate!CZ36*(1-Parameters!$C$103/100*Basicinfo!BZ36/100)*(1-Parameters!$C$105/100*Basicinfo!CA36/100)*86400*365/1000000</f>
        <v>0.39607988691272938</v>
      </c>
      <c r="DI36" s="42">
        <f>(Intermediate!AK36*Intermediate!DA36+(Intermediate!AE36+Intermediate!AL36)*Intermediate!DC36)*86400*365/1000000</f>
        <v>6.4522025832981322</v>
      </c>
      <c r="DJ36" s="42">
        <f>(Intermediate!AK36*Intermediate!DB36+(Intermediate!AE36+Intermediate!AL36)*Intermediate!DD36)*86400*365/1000000</f>
        <v>1.1191036626236746</v>
      </c>
      <c r="DK36" s="42">
        <f>((Basicinfo!AZ36+Basicinfo!BA36)*Intermediate!AB36+Parameters!$C$76*100)/1000*Intermediate!U36*(1-Intermediate!DE36/100)+(1-Parameters!$C$110/100)*M36*Parameters!$C$100*(1-DE36/100)*365/1000000+(1-Parameters!$C$112/100)*P36*Parameters!$C$96*365/1000000+(1-Parameters!$C$112/100)*O36*Parameters!$C$96*(1-DE36/100)*365/1000000</f>
        <v>1.4537202685793003</v>
      </c>
      <c r="DL36" s="42">
        <f>Parameters!$C$77*100/1000*Intermediate!U36*(1-Intermediate!DF36/100)+(1-Parameters!$C$111/100)*M36*Parameters!$C$101*(1-DF36/100)*365/1000000+(1-Parameters!$C$113/100)*P36*Parameters!$C$97*365/1000000+(1-Parameters!$C$113/100)*O36*Parameters!$C$97*(1-DF36/100)*365/1000000</f>
        <v>0.24959016380295973</v>
      </c>
      <c r="DM36" s="31"/>
      <c r="DN36" s="31"/>
      <c r="DO36" s="31"/>
      <c r="DP36" s="31"/>
      <c r="DQ36" s="31"/>
      <c r="DR36" s="31"/>
      <c r="DS36" s="31"/>
      <c r="DT36" s="188">
        <f>BO36*(Basicinfo!$P36+Basicinfo!$Q36)/1000</f>
        <v>368.56366242987383</v>
      </c>
      <c r="DU36" s="188">
        <f>DT36*Basicinfo!$AZ36/(Basicinfo!$AZ36+Basicinfo!$BA36)</f>
        <v>224.93516989787724</v>
      </c>
      <c r="DV36" s="188">
        <f>DT36*Basicinfo!$BC36/(Basicinfo!$BB36+Basicinfo!$BC36)</f>
        <v>136.6027826880381</v>
      </c>
      <c r="DW36" s="188">
        <f>BP36*(Basicinfo!$P36+Basicinfo!$Q36)/1000</f>
        <v>399.5534498206041</v>
      </c>
      <c r="DX36" s="188">
        <f>DW36*Basicinfo!$BB36/(Basicinfo!$BB36+Basicinfo!$BC36)</f>
        <v>251.46475133561765</v>
      </c>
      <c r="DY36" s="188">
        <f>DW36*Basicinfo!$BC36/(Basicinfo!$BB36+Basicinfo!$BC36)</f>
        <v>148.08869848498648</v>
      </c>
      <c r="DZ36" s="188">
        <f t="shared" ref="DZ36:DZ67" si="38">BO36*X36/1000</f>
        <v>140.90169199427734</v>
      </c>
      <c r="EA36" s="188">
        <f>DZ36*Basicinfo!$AZ36/(Basicinfo!$AZ36+Basicinfo!$BA36)</f>
        <v>85.992595739579926</v>
      </c>
      <c r="EB36" s="188">
        <f>DZ36*Basicinfo!$BC36/(Basicinfo!$BB36+Basicinfo!$BC36)</f>
        <v>52.223171120493625</v>
      </c>
      <c r="EC36" s="188">
        <f t="shared" ref="EC36:EC67" si="39">BP36*X36/1000</f>
        <v>152.74907122072952</v>
      </c>
      <c r="ED36" s="188">
        <f>EC36*Basicinfo!$AZ36/(Basicinfo!$AZ36+Basicinfo!$BA36)</f>
        <v>93.223075927391847</v>
      </c>
      <c r="EE36" s="188">
        <f>EC36*Basicinfo!$BC36/(Basicinfo!$BB36+Basicinfo!$BC36)</f>
        <v>56.614230616766541</v>
      </c>
      <c r="EF36" s="190">
        <f>(Basicinfo!BP36-BL36/100)*Intermediate!X36/10</f>
        <v>193.74971918239481</v>
      </c>
      <c r="EG36" s="191">
        <f>(Basicinfo!BQ36-BM36/100)*Intermediate!X36/10</f>
        <v>178.9214584444953</v>
      </c>
      <c r="EH36" s="197">
        <f>IF(AU36=0,0,$BS36*((Basicinfo!$P36+Basicinfo!$Q36)*Intermediate!$AT36*1000+$AW36*3600*24*365)/1000000*Basicinfo!AZ36/(Basicinfo!$AZ36+Basicinfo!$BA36))</f>
        <v>35.925491988331679</v>
      </c>
      <c r="EI36" s="197">
        <f>IF(AU36=0,0,$BS36*((Basicinfo!$P36+Basicinfo!$Q36)*Intermediate!$AT36*1000+$AW36*3600*24*365)/1000000*Basicinfo!BA36/(Basicinfo!$AZ36+Basicinfo!$BA36))</f>
        <v>22.939606376793165</v>
      </c>
      <c r="EJ36" s="198">
        <f>IF(AU36=0,0,$BS36*($AT36*$X36*1000)/1000000*Basicinfo!AZ36/(Basicinfo!$AZ36+Basicinfo!$BA36))</f>
        <v>13.734296467291919</v>
      </c>
      <c r="EK36" s="198">
        <f>IF(AU36=0,0,$BS36*($AT36*$X36*1000)/1000000*Basicinfo!BA36/(Basicinfo!$AZ36+Basicinfo!$BA36))</f>
        <v>8.7697993091976709</v>
      </c>
      <c r="EL36" s="147">
        <f>Parameters!$C$150/Basicinfo!$AV36*100</f>
        <v>6.4788354840440085E-2</v>
      </c>
      <c r="EM36" s="147">
        <f>Parameters!$C$151/Basicinfo!$AV36*100</f>
        <v>0.12957670968088017</v>
      </c>
      <c r="EN36" s="147">
        <f>(Parameters!$C$150+Parameters!$C$151)/Intermediate!$BB36*100</f>
        <v>0.37570724087266233</v>
      </c>
      <c r="EO36" s="193">
        <f>IF(EN36=0,0,(1/(1+Parameters!$C$116*$BB36^Parameters!$C$120)*Basicinfo!$AH36/Basicinfo!$G36+1/(1+Parameters!$C$117*$BB36^Parameters!$C$121)*Basicinfo!$AI36/Basicinfo!$G36)*(EN36)^Parameters!$C$124+(1/(1+Parameters!$C$118*$BB36^Parameters!$C$122)*Basicinfo!$AJ36/Basicinfo!AW36+1/(1+Parameters!$C$119*$BB36^Parameters!$C$123)*Basicinfo!$AK36/Basicinfo!$G36)*(EN36)^Parameters!$C$125)</f>
        <v>0.27303395528130314</v>
      </c>
      <c r="EP36" s="199">
        <f>EL36*($AT36*Basicinfo!$P36*1000+$AW36*3600*24*365)/1000000</f>
        <v>3.1772254796792314</v>
      </c>
      <c r="EQ36" s="199">
        <f>EM36*($AT36*Basicinfo!$P36*1000+$AW36*3600*24*365)/1000000</f>
        <v>6.3544509593584628</v>
      </c>
      <c r="ER36" s="199">
        <f t="shared" ref="ER36:ER67" si="40">EL36*($AT36*$X36*1000)/1000000</f>
        <v>1.2750225244613973</v>
      </c>
      <c r="ES36" s="199">
        <f t="shared" ref="ES36:ES67" si="41">EM36*($AT36*$X36*1000)/1000000</f>
        <v>2.5500450489227946</v>
      </c>
      <c r="ET36" s="181">
        <f t="shared" si="14"/>
        <v>71.467846653743493</v>
      </c>
      <c r="EU36" s="147">
        <f>Intermediate!F36*(Parameters!$C$150)/1000*100</f>
        <v>3.9064268016471919</v>
      </c>
      <c r="EV36" s="147">
        <f>Intermediate!F36*(Parameters!$C$151)/1000*100</f>
        <v>7.8128536032943838</v>
      </c>
      <c r="EW36" s="181">
        <f>'Local emissions'!$S36*Basicinfo!AZ36/(Basicinfo!$AZ36+Basicinfo!$BA36)-Intermediate!EU36</f>
        <v>37.382255231013097</v>
      </c>
      <c r="EX36" s="147">
        <f>'Local emissions'!$S36*Basicinfo!BA36/(Basicinfo!$AZ36+Basicinfo!$BA36)-Intermediate!EV36</f>
        <v>18.551325736362962</v>
      </c>
      <c r="EY36" s="188">
        <f t="shared" si="15"/>
        <v>32.748266508652449</v>
      </c>
      <c r="EZ36" s="188">
        <f t="shared" si="16"/>
        <v>16.585155417434702</v>
      </c>
      <c r="FA36" s="188">
        <f t="shared" si="17"/>
        <v>12.459273942830523</v>
      </c>
      <c r="FB36" s="181">
        <f t="shared" si="18"/>
        <v>6.2197542602748763</v>
      </c>
      <c r="FC36" s="181">
        <f>'Local emissions'!Y36-Intermediate!ET36</f>
        <v>236.14206051623285</v>
      </c>
      <c r="FD36" s="188">
        <f t="shared" si="19"/>
        <v>81.208229206801704</v>
      </c>
      <c r="FE36" s="188">
        <f t="shared" si="20"/>
        <v>47.823883489162235</v>
      </c>
      <c r="FF36" s="181">
        <f t="shared" si="21"/>
        <v>15.052767588827521</v>
      </c>
      <c r="FG36" s="201">
        <f t="shared" si="22"/>
        <v>9.1415226028179895</v>
      </c>
      <c r="FH36" s="181">
        <f t="shared" si="23"/>
        <v>82.915657628623393</v>
      </c>
      <c r="FJ36" s="147">
        <f>AVERAGE(Parameters!$C$132:$C$134)*'Local emissions'!J36*3600*24*365/1000000</f>
        <v>0.13087721375187777</v>
      </c>
      <c r="FK36" s="147">
        <f>'Local emissions'!AJ36+CT36*BJ36/100*Intermediate!X36*100/1000000</f>
        <v>1.2899296338967603</v>
      </c>
      <c r="FL36" s="31">
        <f>(Parameters!$C$18*(Basicinfo!AH36+Basicinfo!AI36)+Parameters!$C$19*Basicinfo!AJ36+Parameters!$C$20*Basicinfo!AK36)/Basicinfo!G36</f>
        <v>2.5227140473910659E-2</v>
      </c>
      <c r="FM36" s="181">
        <f t="shared" si="32"/>
        <v>2.2637392743948355</v>
      </c>
    </row>
    <row r="37" spans="1:169">
      <c r="A37" s="39" t="str">
        <f>Basicinfo!A37</f>
        <v>Ager</v>
      </c>
      <c r="B37" s="63">
        <f>Basicinfo!B37</f>
        <v>1290</v>
      </c>
      <c r="C37" s="63">
        <f>Basicinfo!C37</f>
        <v>4020</v>
      </c>
      <c r="D37" s="61">
        <f>Basicinfo!U37*Basicinfo!V37/1000+Basicinfo!Y37</f>
        <v>2.9964236754736819</v>
      </c>
      <c r="E37" s="19">
        <f>Basicinfo!W37*Basicinfo!X37/1000+Basicinfo!Z37</f>
        <v>0.31334172426612594</v>
      </c>
      <c r="F37" s="19">
        <f t="shared" si="0"/>
        <v>3.309765399739808</v>
      </c>
      <c r="G37" s="19">
        <f>SUM(Basicinfo!H37:L37)</f>
        <v>86.188613035783931</v>
      </c>
      <c r="H37" s="19">
        <f>IF(Basicinfo!N37&lt;Parameters!$C$68,Parameters!$C$69,Basicinfo!BS37/(Basicinfo!N37*100))</f>
        <v>27.991342427748904</v>
      </c>
      <c r="I37" s="19">
        <f>IF(Basicinfo!N37=0,0,Basicinfo!BU37*(1-Basicinfo!BX37/100))</f>
        <v>39551.480102727517</v>
      </c>
      <c r="J37" s="19">
        <f>IF(Basicinfo!N37=0,0,Basicinfo!BU37*Basicinfo!BX37/100)</f>
        <v>16950.634329740369</v>
      </c>
      <c r="K37" s="19">
        <f>IF(Basicinfo!N37=0,0,Basicinfo!BT37-Basicinfo!BU37)</f>
        <v>0</v>
      </c>
      <c r="L37" s="27">
        <f>Basicinfo!BV37*Basicinfo!BW37/100</f>
        <v>2220.8266666666677</v>
      </c>
      <c r="M37" s="27">
        <f>Basicinfo!BV37-Intermediate!L37</f>
        <v>2220.8266666666677</v>
      </c>
      <c r="N37" s="73">
        <f>Basicinfo!BS37-SUM(I37:K37)-Basicinfo!BV37</f>
        <v>0</v>
      </c>
      <c r="O37" s="19">
        <f>IF(Basicinfo!AH37+Basicinfo!AI37+Basicinfo!AJ37+Basicinfo!AK37=0,0,N37*(Basicinfo!AH37+Basicinfo!AI37)/SUM(Basicinfo!AH37:AK37))</f>
        <v>0</v>
      </c>
      <c r="P37" s="73">
        <f t="shared" si="25"/>
        <v>0</v>
      </c>
      <c r="Q37" s="19">
        <f>IF(Basicinfo!BS37=0,Basicinfo!N37,IF(H37&gt;Parameters!$C$70,Parameters!$C$64*(Parameters!$C$65*Parameters!$C$70)^(Parameters!$C$66-Parameters!$C$67*LOG(Parameters!$C$65*Parameters!$C$70,10))/100*Basicinfo!N37,Parameters!$C$64*(Parameters!$C$65*H37)^(Parameters!$C$66-Parameters!$C$67*LOG(Parameters!$C$65*H37,10))/100*Basicinfo!N37))</f>
        <v>7.599044307508243</v>
      </c>
      <c r="R37" s="19">
        <f>IF(Basicinfo!BS37=0,Q37*(1-Basicinfo!BX37/100),IF(H37&lt;Parameters!$C$75,Q37*Basicinfo!BU37/Basicinfo!BS37*(1-Basicinfo!BX37/100)*(-Parameters!$C$74+Parameters!$C$73*LN(H37*100)),Q37*Basicinfo!BU37/Basicinfo!BS37*(1-Basicinfo!BX37/100)))</f>
        <v>3.0780076054808254</v>
      </c>
      <c r="S37" s="19">
        <f>IF(Basicinfo!BS37=0,Q37*Basicinfo!BX37/100,Q37*Basicinfo!BU37/Basicinfo!BS37*Basicinfo!BX37/100)</f>
        <v>2.1135651114821403</v>
      </c>
      <c r="T37" s="19">
        <f>IF(Basicinfo!BS37=0,0,IF(H37&lt;Parameters!$C$75,Q37*K37/Basicinfo!BS37*(-Parameters!$C$74+Parameters!$C$73*LN(H37*100)),Q37*K37/Basicinfo!BS37))</f>
        <v>0</v>
      </c>
      <c r="U37" s="19">
        <f t="shared" si="26"/>
        <v>2.4074715905452777</v>
      </c>
      <c r="V37" s="19">
        <f>IF(Basicinfo!AL37&gt;Parameters!$C$14,Basicinfo!Q37,0)</f>
        <v>0</v>
      </c>
      <c r="W37" s="19">
        <f>IF(Basicinfo!AL37&gt;Parameters!$C$14,0,Basicinfo!Q37)</f>
        <v>8.5803392196515088E-2</v>
      </c>
      <c r="X37" s="19">
        <f>G37+Basicinfo!M37</f>
        <v>145.6450474607191</v>
      </c>
      <c r="Y37" s="19">
        <f>IF(Basicinfo!G37-F37-Q37-V37-Basicinfo!O37-Basicinfo!R37-Basicinfo!S37&lt;0,0,Basicinfo!G37-F37-Q37-V37-Basicinfo!O37-Basicinfo!R37-Basicinfo!S37)</f>
        <v>313.29312250161178</v>
      </c>
      <c r="Z37" s="19">
        <f>Basicinfo!G37-F37-Basicinfo!BO37-Q37-Basicinfo!O37</f>
        <v>311.14672082367991</v>
      </c>
      <c r="AA37" s="53">
        <f>IF(Z37+Basicinfo!BO37-X37&gt;0,Z37+Basicinfo!BO37-X37,0)</f>
        <v>167.65032351252179</v>
      </c>
      <c r="AB37" s="56">
        <f>IF(Basicinfo!N37=0,0,Parameters!$C$71+Parameters!$C$72*Q37/Basicinfo!N37)</f>
        <v>0.41176686205943036</v>
      </c>
      <c r="AC37" s="43">
        <f>Basicinfo!AU37*AB37*R37/1000/86.4/0.365</f>
        <v>4.6985311722579699E-2</v>
      </c>
      <c r="AD37" s="43">
        <f>Basicinfo!AU37*AB37*S37/1000/86.4/0.365</f>
        <v>3.2263245689233541E-2</v>
      </c>
      <c r="AE37" s="43">
        <f>Basicinfo!AU37*AB37*T37/1000/86.4/0.365</f>
        <v>0</v>
      </c>
      <c r="AF37" s="43">
        <f>Basicinfo!AU37*AB37*U37/1000/86.4/0.365</f>
        <v>3.6749682795976867E-2</v>
      </c>
      <c r="AG37" s="43">
        <f>((Parameters!$C$80+Parameters!$C$81*Parameters!$C$89)/(Parameters!$C$82+Parameters!$C$89)/(Parameters!$C$90/100*Parameters!$C$91+(Parameters!$C$83+Parameters!$C$84*Parameters!$C$89)/(Parameters!$C$85+Parameters!$C$89)))-Parameters!$C$86+(Basicinfo!AU37-Parameters!$C$88)/Parameters!$C$87</f>
        <v>80.61589536484793</v>
      </c>
      <c r="AH37" s="43">
        <f>((Parameters!$C$80+Parameters!$C$81*Parameters!$C$89)/(Parameters!$C$82+Parameters!$C$89)/(Basicinfo!BY37/100*Parameters!$C$91+(Parameters!$C$83+Parameters!$C$84*Parameters!$C$89)/(Parameters!$C$85+Parameters!$C$89)))-Parameters!$C$86+(Basicinfo!AU37-Parameters!$C$88)/Parameters!$C$87</f>
        <v>62.813013498232358</v>
      </c>
      <c r="AI37" s="43">
        <f>Basicinfo!AU37^Parameters!$C$79*Parameters!$C$78*AH37/AG37</f>
        <v>43.694753015182499</v>
      </c>
      <c r="AJ37" s="43">
        <f>(J37*Parameters!$C$92/1000+Parameters!$C$94/100*S37*100*Parameters!$C$93/1000*86400*Parameters!$C$95/24)/86400</f>
        <v>2.5574878823927276E-2</v>
      </c>
      <c r="AK37" s="43">
        <f t="shared" si="1"/>
        <v>2.2188606998038363E-2</v>
      </c>
      <c r="AL37" s="43">
        <f>(K37*Parameters!$C$92/1000+Parameters!$C$94/100*T37*100*Parameters!$C$93/1000*86400*Parameters!$C$95/24)/86400</f>
        <v>0</v>
      </c>
      <c r="AM37" s="43">
        <f>(Intermediate!N37+Basicinfo!BV37-Intermediate!L37)*Parameters!$C$92/1000/86400</f>
        <v>3.3415216049382732E-3</v>
      </c>
      <c r="AN37" s="43">
        <f t="shared" si="2"/>
        <v>6.725082859232584E-2</v>
      </c>
      <c r="AO37" s="43">
        <f t="shared" si="27"/>
        <v>2.2188606998038363E-2</v>
      </c>
      <c r="AP37" s="43">
        <f t="shared" si="28"/>
        <v>4.009120440091514E-2</v>
      </c>
      <c r="AQ37" s="43">
        <f t="shared" si="33"/>
        <v>0.10926512312153321</v>
      </c>
      <c r="AR37" s="61">
        <f>(Basicinfo!AU37-Basicinfo!AY37)*F37/1000/86.4/0.365</f>
        <v>4.8654487812697191E-2</v>
      </c>
      <c r="AS37" s="19">
        <f>IF(Basicinfo!AP37-Basicinfo!CB37-Basicinfo!CG37&lt;0,0,(Basicinfo!AP37-Basicinfo!CB37-Basicinfo!CG37)/Basicinfo!G37*1000)</f>
        <v>24.673530996541764</v>
      </c>
      <c r="AT37" s="19">
        <f>Parameters!$C$3*((AS37*86.4*0.365)^Parameters!$C$4)</f>
        <v>170.58150488524595</v>
      </c>
      <c r="AU37" s="19">
        <f>IF(AT37/86.4/0.365*(Basicinfo!G37/1000)-AN37&lt;0,0,AT37/86.4/0.365*(Basicinfo!G37/1000)-AN37)</f>
        <v>1.689417171209382</v>
      </c>
      <c r="AV37" s="19">
        <f>IF(Basicinfo!AU37&gt;Parameters!$C$13,Parameters!$C$11*(Basicinfo!AU37-Parameters!$C$13)^Parameters!$C$12,0)</f>
        <v>138.78379976311072</v>
      </c>
      <c r="AW37" s="19">
        <f>IF(AV37*V37/1000/86.4/0.365&gt;Basicinfo!AP37*Parameters!$C$15,Basicinfo!AP37*Parameters!$C$15,AV37*V37/1000/86.4/0.365)</f>
        <v>0</v>
      </c>
      <c r="AX37" s="19">
        <f>Basicinfo!AU37-Basicinfo!AW37</f>
        <v>434.36909800628541</v>
      </c>
      <c r="AY37" s="19">
        <f>Parameters!$C$56*AX37+Parameters!$C$57*Basicinfo!AW37</f>
        <v>290.65655638451415</v>
      </c>
      <c r="AZ37" s="19">
        <f>AY37*Basicinfo!BO37/1000/86.4/0.365</f>
        <v>1.9803375613472448E-2</v>
      </c>
      <c r="BA37" s="19">
        <f>IF(Basicinfo!AP37-AQ37-AR37-AU37-AW37-AZ37-Basicinfo!CB37-Basicinfo!CG37&lt;0,0,Basicinfo!AP37-AQ37-AR37-AU37-AW37-AZ37-Basicinfo!CB37-Basicinfo!CG37)</f>
        <v>6.1458694005284089</v>
      </c>
      <c r="BB37" s="53">
        <f t="shared" si="34"/>
        <v>622.90914364125763</v>
      </c>
      <c r="BC37" s="56">
        <f>IF(G37=0,0,((Basicinfo!H37*Basicinfo!BE37+Basicinfo!I37*Basicinfo!BF37+Basicinfo!J37*Basicinfo!BG37+Basicinfo!K37*Basicinfo!BH37+Basicinfo!L37*Basicinfo!BI37)*(1-Basicinfo!BN37/G37*Parameters!$C$26/100)/G37)*Basicinfo!BM37)</f>
        <v>8.1164804023511099</v>
      </c>
      <c r="BD37" s="43">
        <f>IF(Basicinfo!AW37*Parameters!$C$39-Parameters!$C$40&lt;0,0.001,(Basicinfo!AW37*Parameters!$C$39-Parameters!$C$40)/(Basicinfo!AX37*Parameters!$C$39-Parameters!$C$40))</f>
        <v>1.0518114279754729</v>
      </c>
      <c r="BE37" s="43">
        <f>(BC37*G37*100+Basicinfo!BJ37*Basicinfo!M37*100)*Parameters!$C$29*BD37</f>
        <v>75206.759586155575</v>
      </c>
      <c r="BF37" s="43">
        <f>(Basicinfo!BK37*Basicinfo!P37*100)*BD37*Parameters!$C$29</f>
        <v>2294.5403279002744</v>
      </c>
      <c r="BG37" s="43">
        <f>Parameters!$C$27*(V37+W37)*100</f>
        <v>1.7160678439303019</v>
      </c>
      <c r="BH37" s="43">
        <f>Parameters!$C$28*Basicinfo!R37*100</f>
        <v>0</v>
      </c>
      <c r="BI37" s="43">
        <f t="shared" si="29"/>
        <v>2296.2563957442048</v>
      </c>
      <c r="BJ37" s="43">
        <f>IF(Basicinfo!AM37&lt;Parameters!$C$33,0,Parameters!$C$30*(((Basicinfo!AM37-Parameters!$C$33)^Parameters!$C$31)*(((G37-Basicinfo!BN37)/Basicinfo!G37*100+Parameters!$C$34))^Parameters!$C$32))</f>
        <v>3.1343570688696611</v>
      </c>
      <c r="BK37" s="58">
        <f t="shared" si="30"/>
        <v>4653.5047811006834</v>
      </c>
      <c r="BL37" s="61">
        <f>Basicinfo!AZ37+Basicinfo!BA37</f>
        <v>1799.2093934724305</v>
      </c>
      <c r="BM37" s="19">
        <f>Basicinfo!BB37+Basicinfo!BC37</f>
        <v>1956.6680674958275</v>
      </c>
      <c r="BN37" s="172">
        <f>IF(Basicinfo!AO37=0,0,IF(Basicinfo!AO37="NA",1,IF(OR(Basicinfo!AO37="SA",Basicinfo!AN37="S"),3,IF(Basicinfo!AN37="N",1,IF(Basicinfo!AO37="ZA",2,0)))))</f>
        <v>1</v>
      </c>
      <c r="BO37" s="27">
        <f>IF($BN37=1,(BL37)*(1+Parameters!$C$21*Parameters!$C$22-Parameters!$C$22*Basicinfo!$AL37),IF($BN37=2,(BL37)*(1+Parameters!$C$21*Parameters!$C$23-Parameters!$C$23*Basicinfo!$AL37),IF($BN37=3,(BL37)*(1+Parameters!$C$21*Parameters!$C$24-Parameters!$C$24*Basicinfo!$AL37),BL37)))</f>
        <v>1777.5099459883099</v>
      </c>
      <c r="BP37" s="27">
        <f>IF($BN37=1,(BM37)*(1+Parameters!$C$21*Parameters!$C$22-Parameters!$C$22*Basicinfo!$AL37),IF($BN37=2,(BM37)*(1+Parameters!$C$21*Parameters!$C$23-Parameters!$C$23*Basicinfo!$AL37),IF($BN37=3,(BM37)*(1+Parameters!$C$21*Parameters!$C$24-Parameters!$C$24*Basicinfo!$AL37),BM37)))</f>
        <v>1933.0695824453815</v>
      </c>
      <c r="BQ37" s="27">
        <f>IF(Basicinfo!AU37=0,0,IF(G37+Basicinfo!M37=0,0,(Parameters!$C$16+BO37/Basicinfo!AU37)*G37+(Parameters!$C$17+BO37/Basicinfo!AU37)*Basicinfo!M37)/(G37+Basicinfo!M37))</f>
        <v>1.6979543985932342</v>
      </c>
      <c r="BR37" s="27">
        <f>IF(Basicinfo!AU37=0,0,IF(G37+Basicinfo!M37=0,0,(Parameters!$C$16+BP37/Basicinfo!AU37)*G37+(Parameters!$C$17+BP37/Basicinfo!AU37)*Basicinfo!M37)/(G37+Basicinfo!M37))</f>
        <v>1.8310149385475143</v>
      </c>
      <c r="BS37" s="27">
        <f>IF(Basicinfo!AU37=0,0,BO37/Basicinfo!AU37)</f>
        <v>1.5204228974434351</v>
      </c>
      <c r="BT37" s="27">
        <f>IF(Basicinfo!AU37=0,0,BP37/Basicinfo!AU37)</f>
        <v>1.6534834373977152</v>
      </c>
      <c r="BU37" s="27">
        <f>IF(SUM(G37,Basicinfo!M37,Basicinfo!P37,W37)=0,0,(BQ37*(G37+Basicinfo!M37)+BS37*(Basicinfo!P37+W37))/SUM(G37,Basicinfo!M37,Basicinfo!P37,W37))</f>
        <v>1.6068651309923079</v>
      </c>
      <c r="BV37" s="19">
        <f>IF(Basicinfo!BR37/Parameters!$C$10&gt;1,1,Basicinfo!BR37/Parameters!$C$10)</f>
        <v>0.3748733540736332</v>
      </c>
      <c r="BW37" s="19">
        <f>Parameters!$C$5+Parameters!$C$6*EXP(BV37*Parameters!$C$8*Parameters!$C$7)</f>
        <v>3.5115378319961053E-2</v>
      </c>
      <c r="BX37" s="19">
        <f>Parameters!$C$5+Parameters!$C$6*EXP(BV37*Parameters!$C$9*Parameters!$C$7)</f>
        <v>3.5064532099649409E-2</v>
      </c>
      <c r="BY37" s="19">
        <f>IF(Basicinfo!AH37+Basicinfo!AI37+Basicinfo!AJ37+Basicinfo!AK37=0,0,(Parameters!$C$18*(Basicinfo!AH37+Basicinfo!AI37)+Parameters!$C$19*Basicinfo!AJ37+Parameters!$C$20*Basicinfo!AK37)/(Basicinfo!AH37+Basicinfo!AI37+Basicinfo!AJ37+Basicinfo!AK37))</f>
        <v>3.2122388803530327E-2</v>
      </c>
      <c r="BZ37" s="19">
        <f>IF(Basicinfo!AJ37+Basicinfo!AK37=0,Parameters!$C$18,(Parameters!$C$19*Basicinfo!AJ37+Parameters!$C$20*Basicinfo!AK37)/(Basicinfo!AJ37+Basicinfo!AK37))</f>
        <v>2.3322815120972749E-2</v>
      </c>
      <c r="CA37" s="19">
        <f>IF(SUM(G37,Basicinfo!M37,Basicinfo!P37,W37)=0,0,(BW37*G37+BX37*Basicinfo!M37+BY37*Basicinfo!P37+BZ37*W37)/(SUM(G37,Basicinfo!M37,Basicinfo!P37,W37)))</f>
        <v>3.3567080619049949E-2</v>
      </c>
      <c r="CB37" s="19">
        <f>IF(Y37=0,Basicinfo!BP37,Basicinfo!BP37-(AU37*X37/Y37*Intermediate!BQ37*86400*365/1000000)*1000/(X37*100))</f>
        <v>48.694230970254473</v>
      </c>
      <c r="CC37" s="19">
        <f>IF(Y37=0,Basicinfo!BQ37,Basicinfo!BQ37-(AU37*Basicinfo!AV37/Basicinfo!AU37*X37/Y37*Intermediate!BR37*86400*365/1000000)*1000/(X37*100))</f>
        <v>48.956714133981045</v>
      </c>
      <c r="CD37" s="19">
        <f>IF(OR(Y37=0,AA37=0),BP37/100,BP37/100-(AU37*Basicinfo!AV37/Basicinfo!AU37*(Basicinfo!P37+W37)/Y37*Intermediate!BT37*86400*365/1000000+AW37*Basicinfo!AV37/Basicinfo!AU37*Intermediate!BT37*86400*365/1000000)*1000/(AA37*100))</f>
        <v>16.701095036400396</v>
      </c>
      <c r="CE37" s="19">
        <f t="shared" si="35"/>
        <v>702511.21024185349</v>
      </c>
      <c r="CF37" s="19">
        <f t="shared" si="36"/>
        <v>279994.39858658984</v>
      </c>
      <c r="CG37" s="19">
        <f>IF(AY37=0,0,((CB37^Parameters!$C$58))/AY37*100)</f>
        <v>9.3535346805290391</v>
      </c>
      <c r="CH37" s="19">
        <f>IF(SUM(Basicinfo!AB37:AG37)=0,0,(Parameters!$C$59*Basicinfo!AB37+Parameters!$C$60*SUM(Basicinfo!AC37:AE37)+Parameters!$C$61*Basicinfo!AF37+Parameters!$C$62*Basicinfo!AG37)/SUM(Basicinfo!AB37:AG37))</f>
        <v>9.5625384101889685E-2</v>
      </c>
      <c r="CI37" s="19">
        <f t="shared" si="31"/>
        <v>5</v>
      </c>
      <c r="CJ37" s="19">
        <f t="shared" si="37"/>
        <v>31.576923138624622</v>
      </c>
      <c r="CK37" s="19">
        <f t="shared" si="9"/>
        <v>5.0692662743782462</v>
      </c>
      <c r="CL37" s="19">
        <f>IF($BB37=0,0,$CJ37^Parameters!$C$58*100/$BB37)</f>
        <v>3.0202273260035843</v>
      </c>
      <c r="CM37" s="19">
        <f>IF(CK37=0,0,(1/(1+Parameters!$C$116*BB37^Parameters!$C$120)*Basicinfo!AH37/Basicinfo!G37+1/(1+Parameters!$C$117*BB37^Parameters!$C$121)*Basicinfo!AI37/Basicinfo!G37)*(CK37)^Parameters!$C$124+(1/(1+Parameters!$C$118*BB37^Parameters!$C$122)*Basicinfo!AJ37/Basicinfo!G37+1/(1+Parameters!$C$119*BB37^Parameters!$C$123)*Basicinfo!AK37/Basicinfo!G37)*(CK37)^Parameters!$C$125)</f>
        <v>1.9966381701406009</v>
      </c>
      <c r="CN37" s="19">
        <f>IF(SUM(Basicinfo!AB37:AG37)=0,0,(Parameters!$C$128*Basicinfo!AB37+Parameters!$C$129*(SUM(Basicinfo!AC37:AE37))+Parameters!$C$130*Basicinfo!AF37+Parameters!$C$131*Basicinfo!AG37)/SUM(Basicinfo!AB37:AG37))</f>
        <v>1.7088395288544896E-2</v>
      </c>
      <c r="CO37" s="19">
        <f>IF(Basicinfo!AH37+Basicinfo!AI37+Basicinfo!AJ37+Basicinfo!AK37=0,0,(Parameters!$C$132*(Basicinfo!AH37+Basicinfo!AI37)+Parameters!$C$133*Basicinfo!AJ37+Parameters!$C$134*Basicinfo!AK37)/(Basicinfo!AH37+Basicinfo!AI37+Basicinfo!AJ37+Basicinfo!AK37))</f>
        <v>5.0000000000000001E-4</v>
      </c>
      <c r="CP37" s="19">
        <f>IF(Basicinfo!AJ37+Basicinfo!AK37=0,0,(Parameters!$C$133*Basicinfo!AJ37+Parameters!$C$134*Basicinfo!AK37)/(Basicinfo!AJ37+Basicinfo!AK37))</f>
        <v>5.0000000000000001E-4</v>
      </c>
      <c r="CQ37" s="19">
        <f>IF(Z37=0,0,(CN37*(Z37-AA37)+CO37*Basicinfo!P37+CP37*(Basicinfo!Q37+Basicinfo!R37))/Z37)</f>
        <v>8.1275500222075733E-3</v>
      </c>
      <c r="CR37" s="289">
        <f>Basicinfo!EI37</f>
        <v>3.631576099071207E-2</v>
      </c>
      <c r="CS37" s="19">
        <f>IF(SUM(Basicinfo!AB37:AG37)=0,0,(Basicinfo!AB37*Parameters!$C$43+(Basicinfo!AC37+Basicinfo!AD37)*Parameters!$C$44+Basicinfo!AE37*Parameters!$C$45+(Basicinfo!AF37+Basicinfo!AG37)*Parameters!$C$46)/SUM(Basicinfo!AB37:AG37))</f>
        <v>19.419693861758514</v>
      </c>
      <c r="CT37" s="19">
        <f>(Parameters!$C$41*CS37+Parameters!$C$42)</f>
        <v>473.08087738993686</v>
      </c>
      <c r="CU37" s="19">
        <f>CT37+Basicinfo!BR37/(Parameters!$C$47*Parameters!$C$49*Parameters!$C$48*10000/1000000)</f>
        <v>605.11174423348064</v>
      </c>
      <c r="CV37" s="19">
        <f>IF(BK37/Basicinfo!G37&lt;Parameters!$C$35,Parameters!$C$35,Parameters!$C$37*(BK37/Basicinfo!G37)^Parameters!$C$38)</f>
        <v>2.1917106231249215</v>
      </c>
      <c r="CW37" s="19">
        <f>IF(BK37/Basicinfo!G37&lt;Parameters!$C$35,Parameters!$C$36,Parameters!$C$36*(BK37/Basicinfo!G37)^Parameters!$C$38)</f>
        <v>5.150519964343566</v>
      </c>
      <c r="CX37" s="27">
        <f>IF(Basicinfo!AJ37+Basicinfo!AK37=0,0,(Parameters!$C$53*Basicinfo!AJ37+Parameters!$C$54*Basicinfo!AK37)/(Basicinfo!AJ37+Basicinfo!AK37))</f>
        <v>735.0123904427353</v>
      </c>
      <c r="CY37" s="56">
        <f>IF(Basicinfo!AU37*AB37=0,0,((Basicinfo!AZ37+Basicinfo!BA37)/Basicinfo!AU37+Parameters!$C$76/(Basicinfo!AU37*AB37)*100))</f>
        <v>2.3699072276896125</v>
      </c>
      <c r="CZ37" s="43">
        <f>IF(Basicinfo!AU37*AB37=0,0,(Parameters!$C$77)/(Basicinfo!AU37*AB37)*100)</f>
        <v>0.51932709029648361</v>
      </c>
      <c r="DA37" s="43">
        <f>IF(AD37+AJ37=0,0,((J37*Parameters!$C$96+Parameters!$C$94/100*S37*100*Parameters!$C$93/1000*86400*Parameters!$C$95/24*Parameters!$C$98)*AI37+AD37*CY37*86400*365)/((AD37+AJ37*AI37/365)*86400*365))</f>
        <v>10.14326817983838</v>
      </c>
      <c r="DB37" s="43">
        <f>IF(AD37+AJ37=0,0,((J37*Parameters!$C$97+Parameters!$C$94/100*S37*100*Parameters!$C$93/1000*86400*Parameters!$C$95/24*Parameters!$C$99)*AI37+AD37*CZ37*86400*365)/((AD37+AJ37*AI37/365)*86400*365))</f>
        <v>1.7722844636652932</v>
      </c>
      <c r="DC37" s="42">
        <f>IF(AE37+AL37=0,0,((K37*Parameters!$C$96+Parameters!$C$94/100*T37*100*Parameters!$C$93/1000*86400*Parameters!$C$95/24*Parameters!$C$98)*365+AE37*CY37*86400*365)/((AE37+AL37)*86400*365))</f>
        <v>0</v>
      </c>
      <c r="DD37" s="42">
        <f>IF(AE37+AL37=0,0,((K37*Parameters!$C$97+Parameters!$C$94/100*T37*100*Parameters!$C$93/1000*86400*Parameters!$C$95/24*Parameters!$C$99)*365+AE37*CZ37*86400*365)/((AE37+AL37)*86400*365))</f>
        <v>0</v>
      </c>
      <c r="DE37" s="42">
        <f>IF(Basicinfo!AH37+Basicinfo!AI37+Basicinfo!AJ37+Basicinfo!AK37=0,0,((Basicinfo!AH37+Basicinfo!AI37)*Parameters!$C$107+(Basicinfo!AJ37+Basicinfo!AK37)*Parameters!$C$106)/(Basicinfo!AH37+Basicinfo!AI37+Basicinfo!AJ37+Basicinfo!AK37))</f>
        <v>80.14279134472558</v>
      </c>
      <c r="DF37" s="42">
        <f>IF(Basicinfo!AH37+Basicinfo!AI37+Basicinfo!AJ37+Basicinfo!AK37=0,0,((Basicinfo!AH37+Basicinfo!AI37)*Parameters!$C$109+(Basicinfo!AJ37+Basicinfo!AK37)*Parameters!$C$108)/(Basicinfo!AH37+Basicinfo!AI37+Basicinfo!AJ37+Basicinfo!AK37))</f>
        <v>80.14279134472558</v>
      </c>
      <c r="DG37" s="42">
        <f>Intermediate!AC37*Intermediate!CY37*(1-Parameters!$C$102/100*Basicinfo!BZ37/100)*(1-Parameters!$C$104/100*Basicinfo!CA37/100)*86400*365/1000000</f>
        <v>3.5115597700420973</v>
      </c>
      <c r="DH37" s="42">
        <f>Intermediate!AC37*Intermediate!CZ37*(1-Parameters!$C$103/100*Basicinfo!BZ37/100)*(1-Parameters!$C$105/100*Basicinfo!CA37/100)*86400*365/1000000</f>
        <v>0.76950190137020635</v>
      </c>
      <c r="DI37" s="42">
        <f>(Intermediate!AK37*Intermediate!DA37+(Intermediate!AE37+Intermediate!AL37)*Intermediate!DC37)*86400*365/1000000</f>
        <v>7.0976495662089167</v>
      </c>
      <c r="DJ37" s="42">
        <f>(Intermediate!AK37*Intermediate!DB37+(Intermediate!AE37+Intermediate!AL37)*Intermediate!DD37)*86400*365/1000000</f>
        <v>1.2401381716137574</v>
      </c>
      <c r="DK37" s="42">
        <f>((Basicinfo!AZ37+Basicinfo!BA37)*Intermediate!AB37+Parameters!$C$76*100)/1000*Intermediate!U37*(1-Intermediate!DE37/100)+(1-Parameters!$C$110/100)*M37*Parameters!$C$100*(1-DE37/100)*365/1000000+(1-Parameters!$C$112/100)*P37*Parameters!$C$96*365/1000000+(1-Parameters!$C$112/100)*O37*Parameters!$C$96*(1-DE37/100)*365/1000000</f>
        <v>1.8491925429682263</v>
      </c>
      <c r="DL37" s="42">
        <f>Parameters!$C$77*100/1000*Intermediate!U37*(1-Intermediate!DF37/100)+(1-Parameters!$C$111/100)*M37*Parameters!$C$101*(1-DF37/100)*365/1000000+(1-Parameters!$C$113/100)*P37*Parameters!$C$97*365/1000000+(1-Parameters!$C$113/100)*O37*Parameters!$C$97*(1-DF37/100)*365/1000000</f>
        <v>0.29365412149620346</v>
      </c>
      <c r="DM37" s="31"/>
      <c r="DN37" s="31"/>
      <c r="DO37" s="31"/>
      <c r="DP37" s="31"/>
      <c r="DQ37" s="31"/>
      <c r="DR37" s="31"/>
      <c r="DS37" s="31"/>
      <c r="DT37" s="188">
        <f>BO37*(Basicinfo!$P37+Basicinfo!$Q37)/1000</f>
        <v>272.80290526644615</v>
      </c>
      <c r="DU37" s="188">
        <f>DT37*Basicinfo!$AZ37/(Basicinfo!$AZ37+Basicinfo!$BA37)</f>
        <v>166.11609089859112</v>
      </c>
      <c r="DV37" s="188">
        <f>DT37*Basicinfo!$BC37/(Basicinfo!$BB37+Basicinfo!$BC37)</f>
        <v>101.48348595343161</v>
      </c>
      <c r="DW37" s="188">
        <f>BP37*(Basicinfo!$P37+Basicinfo!$Q37)/1000</f>
        <v>296.67738251674689</v>
      </c>
      <c r="DX37" s="188">
        <f>DW37*Basicinfo!$BB37/(Basicinfo!$BB37+Basicinfo!$BC37)</f>
        <v>186.31252055923642</v>
      </c>
      <c r="DY37" s="188">
        <f>DW37*Basicinfo!$BC37/(Basicinfo!$BB37+Basicinfo!$BC37)</f>
        <v>110.36486195751048</v>
      </c>
      <c r="DZ37" s="188">
        <f t="shared" si="38"/>
        <v>258.88552044536766</v>
      </c>
      <c r="EA37" s="188">
        <f>DZ37*Basicinfo!$AZ37/(Basicinfo!$AZ37+Basicinfo!$BA37)</f>
        <v>157.64146868094682</v>
      </c>
      <c r="EB37" s="188">
        <f>DZ37*Basicinfo!$BC37/(Basicinfo!$BB37+Basicinfo!$BC37)</f>
        <v>96.306177721985378</v>
      </c>
      <c r="EC37" s="188">
        <f t="shared" si="39"/>
        <v>281.54201108013001</v>
      </c>
      <c r="ED37" s="188">
        <f>EC37*Basicinfo!$AZ37/(Basicinfo!$AZ37+Basicinfo!$BA37)</f>
        <v>171.43753750965431</v>
      </c>
      <c r="EE37" s="188">
        <f>EC37*Basicinfo!$BC37/(Basicinfo!$BB37+Basicinfo!$BC37)</f>
        <v>104.73445911012263</v>
      </c>
      <c r="EF37" s="190">
        <f>(Basicinfo!BP37-BL37/100)*Intermediate!X37/10</f>
        <v>489.2161064529916</v>
      </c>
      <c r="EG37" s="191">
        <f>(Basicinfo!BQ37-BM37/100)*Intermediate!X37/10</f>
        <v>474.379438976053</v>
      </c>
      <c r="EH37" s="197">
        <f>IF(AU37=0,0,$BS37*((Basicinfo!$P37+Basicinfo!$Q37)*Intermediate!$AT37*1000+$AW37*3600*24*365)/1000000*Basicinfo!AZ37/(Basicinfo!$AZ37+Basicinfo!$BA37))</f>
        <v>24.237956739452908</v>
      </c>
      <c r="EI37" s="197">
        <f>IF(AU37=0,0,$BS37*((Basicinfo!$P37+Basicinfo!$Q37)*Intermediate!$AT37*1000+$AW37*3600*24*365)/1000000*Basicinfo!BA37/(Basicinfo!$AZ37+Basicinfo!$BA37))</f>
        <v>15.566646056562385</v>
      </c>
      <c r="EJ37" s="198">
        <f>IF(AU37=0,0,$BS37*($AT37*$X37*1000)/1000000*Basicinfo!AZ37/(Basicinfo!$AZ37+Basicinfo!$BA37))</f>
        <v>23.001426758622426</v>
      </c>
      <c r="EK37" s="198">
        <f>IF(AU37=0,0,$BS37*($AT37*$X37*1000)/1000000*Basicinfo!BA37/(Basicinfo!$AZ37+Basicinfo!$BA37))</f>
        <v>14.772493943955286</v>
      </c>
      <c r="EL37" s="147">
        <f>Parameters!$C$150/Basicinfo!$AV37*100</f>
        <v>8.3731253965131022E-2</v>
      </c>
      <c r="EM37" s="147">
        <f>Parameters!$C$151/Basicinfo!$AV37*100</f>
        <v>0.16746250793026204</v>
      </c>
      <c r="EN37" s="147">
        <f>(Parameters!$C$150+Parameters!$C$151)/Intermediate!$BB37*100</f>
        <v>0.4816111676356678</v>
      </c>
      <c r="EO37" s="193">
        <f>IF(EN37=0,0,(1/(1+Parameters!$C$116*$BB37^Parameters!$C$120)*Basicinfo!$AH37/Basicinfo!$G37+1/(1+Parameters!$C$117*$BB37^Parameters!$C$121)*Basicinfo!$AI37/Basicinfo!$G37)*(EN37)^Parameters!$C$124+(1/(1+Parameters!$C$118*$BB37^Parameters!$C$122)*Basicinfo!$AJ37/Basicinfo!AW37+1/(1+Parameters!$C$119*$BB37^Parameters!$C$123)*Basicinfo!$AK37/Basicinfo!$G37)*(EN37)^Parameters!$C$125)</f>
        <v>0.42045144054978628</v>
      </c>
      <c r="EP37" s="199">
        <f>EL37*($AT37*Basicinfo!$P37*1000+$AW37*3600*24*365)/1000000</f>
        <v>2.1908549175478425</v>
      </c>
      <c r="EQ37" s="199">
        <f>EM37*($AT37*Basicinfo!$P37*1000+$AW37*3600*24*365)/1000000</f>
        <v>4.3817098350956849</v>
      </c>
      <c r="ER37" s="199">
        <f t="shared" si="40"/>
        <v>2.0802486945734278</v>
      </c>
      <c r="ES37" s="199">
        <f t="shared" si="41"/>
        <v>4.1604973891468555</v>
      </c>
      <c r="ET37" s="181">
        <f t="shared" si="14"/>
        <v>81.490274177958938</v>
      </c>
      <c r="EU37" s="147">
        <f>Intermediate!F37*(Parameters!$C$150)/1000*100</f>
        <v>0.3309765399739808</v>
      </c>
      <c r="EV37" s="147">
        <f>Intermediate!F37*(Parameters!$C$151)/1000*100</f>
        <v>0.6619530799479616</v>
      </c>
      <c r="EW37" s="181">
        <f>'Local emissions'!$S37*Basicinfo!AZ37/(Basicinfo!$AZ37+Basicinfo!$BA37)-Intermediate!EU37</f>
        <v>3.2514060243564922</v>
      </c>
      <c r="EX37" s="147">
        <f>'Local emissions'!$S37*Basicinfo!BA37/(Basicinfo!$AZ37+Basicinfo!$BA37)-Intermediate!EV37</f>
        <v>1.6388052726470486</v>
      </c>
      <c r="EY37" s="188">
        <f t="shared" si="15"/>
        <v>22.047101821905066</v>
      </c>
      <c r="EZ37" s="188">
        <f t="shared" si="16"/>
        <v>11.1849362214667</v>
      </c>
      <c r="FA37" s="188">
        <f t="shared" si="17"/>
        <v>20.921178064048998</v>
      </c>
      <c r="FB37" s="181">
        <f t="shared" si="18"/>
        <v>10.611996554808432</v>
      </c>
      <c r="FC37" s="181">
        <f>'Local emissions'!Y37-Intermediate!ET37</f>
        <v>305.49742674185853</v>
      </c>
      <c r="FD37" s="188">
        <f t="shared" si="19"/>
        <v>54.073778004777282</v>
      </c>
      <c r="FE37" s="188">
        <f t="shared" si="20"/>
        <v>32.031368729837389</v>
      </c>
      <c r="FF37" s="181">
        <f t="shared" si="21"/>
        <v>24.878294054411985</v>
      </c>
      <c r="FG37" s="201">
        <f t="shared" si="22"/>
        <v>15.198623995778561</v>
      </c>
      <c r="FH37" s="181">
        <f t="shared" si="23"/>
        <v>179.31536195705331</v>
      </c>
      <c r="FJ37" s="147">
        <f>AVERAGE(Parameters!$C$132:$C$134)*'Local emissions'!J37*3600*24*365/1000000</f>
        <v>9.6908068707531964E-2</v>
      </c>
      <c r="FK37" s="147">
        <f>'Local emissions'!AJ37+CT37*BJ37/100*Intermediate!X37*100/1000000</f>
        <v>1.249767594759341</v>
      </c>
      <c r="FL37" s="31">
        <f>(Parameters!$C$18*(Basicinfo!AH37+Basicinfo!AI37)+Parameters!$C$19*Basicinfo!AJ37+Parameters!$C$20*Basicinfo!AK37)/Basicinfo!G37</f>
        <v>3.2122388803530327E-2</v>
      </c>
      <c r="FM37" s="181">
        <f t="shared" si="32"/>
        <v>1.7113992817339641</v>
      </c>
    </row>
    <row r="38" spans="1:169">
      <c r="A38" s="39" t="str">
        <f>Basicinfo!A38</f>
        <v>Alm</v>
      </c>
      <c r="B38" s="63">
        <f>Basicinfo!B38</f>
        <v>1300</v>
      </c>
      <c r="C38" s="63">
        <f>Basicinfo!C38</f>
        <v>1310</v>
      </c>
      <c r="D38" s="61">
        <f>Basicinfo!U38*Basicinfo!V38/1000+Basicinfo!Y38</f>
        <v>4.2684891796415263</v>
      </c>
      <c r="E38" s="19">
        <f>Basicinfo!W38*Basicinfo!X38/1000+Basicinfo!Z38</f>
        <v>0</v>
      </c>
      <c r="F38" s="19">
        <f t="shared" si="0"/>
        <v>4.2684891796415263</v>
      </c>
      <c r="G38" s="19">
        <f>SUM(Basicinfo!H38:L38)</f>
        <v>1.3849943661250095E-2</v>
      </c>
      <c r="H38" s="19">
        <f>IF(Basicinfo!N38&lt;Parameters!$C$68,Parameters!$C$69,Basicinfo!BS38/(Basicinfo!N38*100))</f>
        <v>10.088845116548301</v>
      </c>
      <c r="I38" s="19">
        <f>IF(Basicinfo!N38=0,0,Basicinfo!BU38*(1-Basicinfo!BX38/100))</f>
        <v>975.5478822215872</v>
      </c>
      <c r="J38" s="19">
        <f>IF(Basicinfo!N38=0,0,Basicinfo!BU38*Basicinfo!BX38/100)</f>
        <v>1015.3661631285908</v>
      </c>
      <c r="K38" s="19">
        <f>IF(Basicinfo!N38=0,0,Basicinfo!BT38-Basicinfo!BU38)</f>
        <v>0</v>
      </c>
      <c r="L38" s="27">
        <f>Basicinfo!BV38*Basicinfo!BW38/100</f>
        <v>210.42666666666665</v>
      </c>
      <c r="M38" s="27">
        <f>Basicinfo!BV38-Intermediate!L38</f>
        <v>210.42666666666665</v>
      </c>
      <c r="N38" s="73">
        <f>Basicinfo!BS38-SUM(I38:K38)-Basicinfo!BV38</f>
        <v>0</v>
      </c>
      <c r="O38" s="19">
        <f>IF(Basicinfo!AH38+Basicinfo!AI38+Basicinfo!AJ38+Basicinfo!AK38=0,0,N38*(Basicinfo!AH38+Basicinfo!AI38)/SUM(Basicinfo!AH38:AK38))</f>
        <v>0</v>
      </c>
      <c r="P38" s="73">
        <f t="shared" si="25"/>
        <v>0</v>
      </c>
      <c r="Q38" s="19">
        <f>IF(Basicinfo!BS38=0,Basicinfo!N38,IF(H38&gt;Parameters!$C$70,Parameters!$C$64*(Parameters!$C$65*Parameters!$C$70)^(Parameters!$C$66-Parameters!$C$67*LOG(Parameters!$C$65*Parameters!$C$70,10))/100*Basicinfo!N38,Parameters!$C$64*(Parameters!$C$65*H38)^(Parameters!$C$66-Parameters!$C$67*LOG(Parameters!$C$65*H38,10))/100*Basicinfo!N38))</f>
        <v>0.49688745737270196</v>
      </c>
      <c r="R38" s="19">
        <f>IF(Basicinfo!BS38=0,Q38*(1-Basicinfo!BX38/100),IF(H38&lt;Parameters!$C$75,Q38*Basicinfo!BU38/Basicinfo!BS38*(1-Basicinfo!BX38/100)*(-Parameters!$C$74+Parameters!$C$73*LN(H38*100)),Q38*Basicinfo!BU38/Basicinfo!BS38*(1-Basicinfo!BX38/100)))</f>
        <v>9.9805878129883757E-2</v>
      </c>
      <c r="S38" s="19">
        <f>IF(Basicinfo!BS38=0,Q38*Basicinfo!BX38/100,Q38*Basicinfo!BU38/Basicinfo!BS38*Basicinfo!BX38/100)</f>
        <v>0.20919211179257288</v>
      </c>
      <c r="T38" s="19">
        <f>IF(Basicinfo!BS38=0,0,IF(H38&lt;Parameters!$C$75,Q38*K38/Basicinfo!BS38*(-Parameters!$C$74+Parameters!$C$73*LN(H38*100)),Q38*K38/Basicinfo!BS38))</f>
        <v>0</v>
      </c>
      <c r="U38" s="19">
        <f t="shared" si="26"/>
        <v>0.18788946745024529</v>
      </c>
      <c r="V38" s="19">
        <f>IF(Basicinfo!AL38&gt;Parameters!$C$14,Basicinfo!Q38,0)</f>
        <v>9.761435512162409</v>
      </c>
      <c r="W38" s="19">
        <f>IF(Basicinfo!AL38&gt;Parameters!$C$14,0,Basicinfo!Q38)</f>
        <v>0</v>
      </c>
      <c r="X38" s="19">
        <f>G38+Basicinfo!M38</f>
        <v>5.6107328694932876</v>
      </c>
      <c r="Y38" s="19">
        <f>IF(Basicinfo!G38-F38-Q38-V38-Basicinfo!O38-Basicinfo!R38-Basicinfo!S38&lt;0,0,Basicinfo!G38-F38-Q38-V38-Basicinfo!O38-Basicinfo!R38-Basicinfo!S38)</f>
        <v>228.50718309091155</v>
      </c>
      <c r="Z38" s="19">
        <f>Basicinfo!G38-F38-Basicinfo!BO38-Q38-Basicinfo!O38</f>
        <v>238.38286591198576</v>
      </c>
      <c r="AA38" s="53">
        <f>IF(Z38+Basicinfo!BO38-X38&gt;0,Z38+Basicinfo!BO38-X38,0)</f>
        <v>232.77213304249247</v>
      </c>
      <c r="AB38" s="56">
        <f>IF(Basicinfo!N38=0,0,Parameters!$C$71+Parameters!$C$72*Q38/Basicinfo!N38)</f>
        <v>0.30589254094620943</v>
      </c>
      <c r="AC38" s="43">
        <f>Basicinfo!AU38*AB38*R38/1000/86.4/0.365</f>
        <v>1.8475624531827234E-3</v>
      </c>
      <c r="AD38" s="43">
        <f>Basicinfo!AU38*AB38*S38/1000/86.4/0.365</f>
        <v>3.8724722280083466E-3</v>
      </c>
      <c r="AE38" s="43">
        <f>Basicinfo!AU38*AB38*T38/1000/86.4/0.365</f>
        <v>0</v>
      </c>
      <c r="AF38" s="43">
        <f>Basicinfo!AU38*AB38*U38/1000/86.4/0.365</f>
        <v>3.4781270593884101E-3</v>
      </c>
      <c r="AG38" s="43">
        <f>((Parameters!$C$80+Parameters!$C$81*Parameters!$C$89)/(Parameters!$C$82+Parameters!$C$89)/(Parameters!$C$90/100*Parameters!$C$91+(Parameters!$C$83+Parameters!$C$84*Parameters!$C$89)/(Parameters!$C$85+Parameters!$C$89)))-Parameters!$C$86+(Basicinfo!AU38-Parameters!$C$88)/Parameters!$C$87</f>
        <v>99.099909626755078</v>
      </c>
      <c r="AH38" s="43">
        <f>((Parameters!$C$80+Parameters!$C$81*Parameters!$C$89)/(Parameters!$C$82+Parameters!$C$89)/(Basicinfo!BY38/100*Parameters!$C$91+(Parameters!$C$83+Parameters!$C$84*Parameters!$C$89)/(Parameters!$C$85+Parameters!$C$89)))-Parameters!$C$86+(Basicinfo!AU38-Parameters!$C$88)/Parameters!$C$87</f>
        <v>81.2970277601395</v>
      </c>
      <c r="AI38" s="43">
        <f>Basicinfo!AU38^Parameters!$C$79*Parameters!$C$78*AH38/AG38</f>
        <v>156.63343585341494</v>
      </c>
      <c r="AJ38" s="43">
        <f>(J38*Parameters!$C$92/1000+Parameters!$C$94/100*S38*100*Parameters!$C$93/1000*86400*Parameters!$C$95/24)/86400</f>
        <v>1.5347230843597152E-3</v>
      </c>
      <c r="AK38" s="43">
        <f t="shared" si="1"/>
        <v>3.6836269351952899E-3</v>
      </c>
      <c r="AL38" s="43">
        <f>(K38*Parameters!$C$92/1000+Parameters!$C$94/100*T38*100*Parameters!$C$93/1000*86400*Parameters!$C$95/24)/86400</f>
        <v>0</v>
      </c>
      <c r="AM38" s="43">
        <f>(Intermediate!N38+Basicinfo!BV38-Intermediate!L38)*Parameters!$C$92/1000/86400</f>
        <v>3.1661419753086417E-4</v>
      </c>
      <c r="AN38" s="43">
        <f t="shared" si="2"/>
        <v>4.9957672753903615E-3</v>
      </c>
      <c r="AO38" s="43">
        <f t="shared" si="27"/>
        <v>3.6836269351952899E-3</v>
      </c>
      <c r="AP38" s="43">
        <f t="shared" si="28"/>
        <v>3.7947412569192744E-3</v>
      </c>
      <c r="AQ38" s="43">
        <f t="shared" si="33"/>
        <v>9.3259306452972875E-3</v>
      </c>
      <c r="AR38" s="61">
        <f>(Basicinfo!AU38-Basicinfo!AY38)*F38/1000/86.4/0.365</f>
        <v>0.16982946362104109</v>
      </c>
      <c r="AS38" s="19">
        <f>IF(Basicinfo!AP38-Basicinfo!CB38-Basicinfo!CG38&lt;0,0,(Basicinfo!AP38-Basicinfo!CB38-Basicinfo!CG38)/Basicinfo!G38*1000)</f>
        <v>45.399502445985085</v>
      </c>
      <c r="AT38" s="19">
        <f>Parameters!$C$3*((AS38*86.4*0.365)^Parameters!$C$4)</f>
        <v>364.69002050635368</v>
      </c>
      <c r="AU38" s="19">
        <f>IF(AT38/86.4/0.365*(Basicinfo!G38/1000)-AN38&lt;0,0,AT38/86.4/0.365*(Basicinfo!G38/1000)-AN38)</f>
        <v>2.8068300052156885</v>
      </c>
      <c r="AV38" s="19">
        <f>IF(Basicinfo!AU38&gt;Parameters!$C$13,Parameters!$C$11*(Basicinfo!AU38-Parameters!$C$13)^Parameters!$C$12,0)</f>
        <v>268.46618748107863</v>
      </c>
      <c r="AW38" s="19">
        <f>IF(AV38*V38/1000/86.4/0.365&gt;Basicinfo!AP38*Parameters!$C$15,Basicinfo!AP38*Parameters!$C$15,AV38*V38/1000/86.4/0.365)</f>
        <v>8.3099168451694946E-2</v>
      </c>
      <c r="AX38" s="19">
        <f>Basicinfo!AU38-Basicinfo!AW38</f>
        <v>760.92487773842845</v>
      </c>
      <c r="AY38" s="19">
        <f>Parameters!$C$56*AX38+Parameters!$C$57*Basicinfo!AW38</f>
        <v>495.21492532499997</v>
      </c>
      <c r="AZ38" s="19">
        <f>AY38*Basicinfo!BO38/1000/86.4/0.365</f>
        <v>0</v>
      </c>
      <c r="BA38" s="19">
        <f>IF(Basicinfo!AP38-AQ38-AR38-AU38-AW38-AZ38-Basicinfo!CB38-Basicinfo!CG38&lt;0,0,Basicinfo!AP38-AQ38-AR38-AU38-AW38-AZ38-Basicinfo!CB38-Basicinfo!CG38)</f>
        <v>7.9697246644065798</v>
      </c>
      <c r="BB38" s="53">
        <f t="shared" si="34"/>
        <v>1054.3259309145215</v>
      </c>
      <c r="BC38" s="56">
        <f>IF(G38=0,0,((Basicinfo!H38*Basicinfo!BE38+Basicinfo!I38*Basicinfo!BF38+Basicinfo!J38*Basicinfo!BG38+Basicinfo!K38*Basicinfo!BH38+Basicinfo!L38*Basicinfo!BI38)*(1-Basicinfo!BN38/G38*Parameters!$C$26/100)/G38)*Basicinfo!BM38)</f>
        <v>2.3019444193003156</v>
      </c>
      <c r="BD38" s="43">
        <f>IF(Basicinfo!AW38*Parameters!$C$39-Parameters!$C$40&lt;0,0.001,(Basicinfo!AW38*Parameters!$C$39-Parameters!$C$40)/(Basicinfo!AX38*Parameters!$C$39-Parameters!$C$40))</f>
        <v>1.1341273277283168</v>
      </c>
      <c r="BE38" s="43">
        <f>(BC38*G38*100+Basicinfo!BJ38*Basicinfo!M38*100)*Parameters!$C$29*BD38</f>
        <v>233.07657268648711</v>
      </c>
      <c r="BF38" s="43">
        <f>(Basicinfo!BK38*Basicinfo!P38*100)*BD38*Parameters!$C$29</f>
        <v>2327.8734704150406</v>
      </c>
      <c r="BG38" s="43">
        <f>Parameters!$C$27*(V38+W38)*100</f>
        <v>195.2287102432482</v>
      </c>
      <c r="BH38" s="43">
        <f>Parameters!$C$28*Basicinfo!R38*100</f>
        <v>0</v>
      </c>
      <c r="BI38" s="43">
        <f t="shared" si="29"/>
        <v>2523.1021806582889</v>
      </c>
      <c r="BJ38" s="43">
        <f>IF(Basicinfo!AM38&lt;Parameters!$C$33,0,Parameters!$C$30*(((Basicinfo!AM38-Parameters!$C$33)^Parameters!$C$31)*(((G38-Basicinfo!BN38)/Basicinfo!G38*100+Parameters!$C$34))^Parameters!$C$32))</f>
        <v>1.4197422120521794</v>
      </c>
      <c r="BK38" s="58">
        <f t="shared" si="30"/>
        <v>2526.4112671471235</v>
      </c>
      <c r="BL38" s="61">
        <f>Basicinfo!AZ38+Basicinfo!BA38</f>
        <v>1399.8200969532959</v>
      </c>
      <c r="BM38" s="19">
        <f>Basicinfo!BB38+Basicinfo!BC38</f>
        <v>1741.0890164813088</v>
      </c>
      <c r="BN38" s="172">
        <f>IF(Basicinfo!AO38=0,0,IF(Basicinfo!AO38="NA",1,IF(OR(Basicinfo!AO38="SA",Basicinfo!AN38="S"),3,IF(Basicinfo!AN38="N",1,IF(Basicinfo!AO38="ZA",2,0)))))</f>
        <v>1</v>
      </c>
      <c r="BO38" s="27">
        <f>IF($BN38=1,(BL38)*(1+Parameters!$C$21*Parameters!$C$22-Parameters!$C$22*Basicinfo!$AL38),IF($BN38=2,(BL38)*(1+Parameters!$C$21*Parameters!$C$23-Parameters!$C$23*Basicinfo!$AL38),IF($BN38=3,(BL38)*(1+Parameters!$C$21*Parameters!$C$24-Parameters!$C$24*Basicinfo!$AL38),BL38)))</f>
        <v>1234.3840612784697</v>
      </c>
      <c r="BP38" s="27">
        <f>IF($BN38=1,(BM38)*(1+Parameters!$C$21*Parameters!$C$22-Parameters!$C$22*Basicinfo!$AL38),IF($BN38=2,(BM38)*(1+Parameters!$C$21*Parameters!$C$23-Parameters!$C$23*Basicinfo!$AL38),IF($BN38=3,(BM38)*(1+Parameters!$C$21*Parameters!$C$24-Parameters!$C$24*Basicinfo!$AL38),BM38)))</f>
        <v>1535.3205286087848</v>
      </c>
      <c r="BQ38" s="27">
        <f>IF(Basicinfo!AU38=0,0,IF(G38+Basicinfo!M38=0,0,(Parameters!$C$16+BO38/Basicinfo!AU38)*G38+(Parameters!$C$17+BO38/Basicinfo!AU38)*Basicinfo!M38)/(G38+Basicinfo!M38))</f>
        <v>0.64753989638636644</v>
      </c>
      <c r="BR38" s="27">
        <f>IF(Basicinfo!AU38=0,0,IF(G38+Basicinfo!M38=0,0,(Parameters!$C$16+BP38/Basicinfo!AU38)*G38+(Parameters!$C$17+BP38/Basicinfo!AU38)*Basicinfo!M38)/(G38+Basicinfo!M38))</f>
        <v>0.80522624288047018</v>
      </c>
      <c r="BS38" s="27">
        <f>IF(Basicinfo!AU38=0,0,BO38/Basicinfo!AU38)</f>
        <v>0.64679935442954539</v>
      </c>
      <c r="BT38" s="27">
        <f>IF(Basicinfo!AU38=0,0,BP38/Basicinfo!AU38)</f>
        <v>0.80448570092364902</v>
      </c>
      <c r="BU38" s="27">
        <f>IF(SUM(G38,Basicinfo!M38,Basicinfo!P38,W38)=0,0,(BQ38*(G38+Basicinfo!M38)+BS38*(Basicinfo!P38+W38))/SUM(G38,Basicinfo!M38,Basicinfo!P38,W38))</f>
        <v>0.64681768953460772</v>
      </c>
      <c r="BV38" s="19">
        <f>IF(Basicinfo!BR38/Parameters!$C$10&gt;1,1,Basicinfo!BR38/Parameters!$C$10)</f>
        <v>0.22917277187565568</v>
      </c>
      <c r="BW38" s="19">
        <f>Parameters!$C$5+Parameters!$C$6*EXP(BV38*Parameters!$C$8*Parameters!$C$7)</f>
        <v>3.5015115086426456E-2</v>
      </c>
      <c r="BX38" s="19">
        <f>Parameters!$C$5+Parameters!$C$6*EXP(BV38*Parameters!$C$9*Parameters!$C$7)</f>
        <v>3.5010595989174331E-2</v>
      </c>
      <c r="BY38" s="19">
        <f>IF(Basicinfo!AH38+Basicinfo!AI38+Basicinfo!AJ38+Basicinfo!AK38=0,0,(Parameters!$C$18*(Basicinfo!AH38+Basicinfo!AI38)+Parameters!$C$19*Basicinfo!AJ38+Parameters!$C$20*Basicinfo!AK38)/(Basicinfo!AH38+Basicinfo!AI38+Basicinfo!AJ38+Basicinfo!AK38))</f>
        <v>8.8960905423418057E-3</v>
      </c>
      <c r="BZ38" s="19">
        <f>IF(Basicinfo!AJ38+Basicinfo!AK38=0,Parameters!$C$18,(Parameters!$C$19*Basicinfo!AJ38+Parameters!$C$20*Basicinfo!AK38)/(Basicinfo!AJ38+Basicinfo!AK38))</f>
        <v>2.5636088270641726E-3</v>
      </c>
      <c r="CA38" s="19">
        <f>IF(SUM(G38,Basicinfo!M38,Basicinfo!P38,W38)=0,0,(BW38*G38+BX38*Basicinfo!M38+BY38*Basicinfo!P38+BZ38*W38)/(SUM(G38,Basicinfo!M38,Basicinfo!P38,W38)))</f>
        <v>9.5426608023289009E-3</v>
      </c>
      <c r="CB38" s="19">
        <f>IF(Y38=0,Basicinfo!BP38,Basicinfo!BP38-(AU38*X38/Y38*Intermediate!BQ38*86400*365/1000000)*1000/(X38*100))</f>
        <v>22.101668089602978</v>
      </c>
      <c r="CC38" s="19">
        <f>IF(Y38=0,Basicinfo!BQ38,Basicinfo!BQ38-(AU38*Basicinfo!AV38/Basicinfo!AU38*X38/Y38*Intermediate!BR38*86400*365/1000000)*1000/(X38*100))</f>
        <v>25.126341312694336</v>
      </c>
      <c r="CD38" s="19">
        <f>IF(OR(Y38=0,AA38=0),BP38/100,BP38/100-(AU38*Basicinfo!AV38/Basicinfo!AU38*(Basicinfo!P38+W38)/Y38*Intermediate!BT38*86400*365/1000000+AW38*Basicinfo!AV38/Basicinfo!AU38*Intermediate!BT38*86400*365/1000000)*1000/(AA38*100))</f>
        <v>12.441563315867164</v>
      </c>
      <c r="CE38" s="19">
        <f t="shared" si="35"/>
        <v>14097.71890932413</v>
      </c>
      <c r="CF38" s="19">
        <f t="shared" si="36"/>
        <v>289604.92314176256</v>
      </c>
      <c r="CG38" s="19">
        <f>IF(AY38=0,0,((CB38^Parameters!$C$58))/AY38*100)</f>
        <v>2.8052241515119971</v>
      </c>
      <c r="CH38" s="19">
        <f>IF(SUM(Basicinfo!AB38:AG38)=0,0,(Parameters!$C$59*Basicinfo!AB38+Parameters!$C$60*SUM(Basicinfo!AC38:AE38)+Parameters!$C$61*Basicinfo!AF38+Parameters!$C$62*Basicinfo!AG38)/SUM(Basicinfo!AB38:AG38))</f>
        <v>6.5693275225709793E-2</v>
      </c>
      <c r="CI38" s="19">
        <f t="shared" si="31"/>
        <v>3</v>
      </c>
      <c r="CJ38" s="19">
        <f t="shared" si="37"/>
        <v>12.740120431441492</v>
      </c>
      <c r="CK38" s="19">
        <f t="shared" si="9"/>
        <v>1.2083664128786742</v>
      </c>
      <c r="CL38" s="19">
        <f>IF($BB38=0,0,$CJ38^Parameters!$C$58*100/$BB38)</f>
        <v>0.82494048055795977</v>
      </c>
      <c r="CM38" s="19">
        <f>IF(CK38=0,0,(1/(1+Parameters!$C$116*BB38^Parameters!$C$120)*Basicinfo!AH38/Basicinfo!G38+1/(1+Parameters!$C$117*BB38^Parameters!$C$121)*Basicinfo!AI38/Basicinfo!G38)*(CK38)^Parameters!$C$124+(1/(1+Parameters!$C$118*BB38^Parameters!$C$122)*Basicinfo!AJ38/Basicinfo!G38+1/(1+Parameters!$C$119*BB38^Parameters!$C$123)*Basicinfo!AK38/Basicinfo!G38)*(CK38)^Parameters!$C$125)</f>
        <v>0.73765594673277013</v>
      </c>
      <c r="CN38" s="19">
        <f>IF(SUM(Basicinfo!AB38:AG38)=0,0,(Parameters!$C$128*Basicinfo!AB38+Parameters!$C$129*(SUM(Basicinfo!AC38:AE38))+Parameters!$C$130*Basicinfo!AF38+Parameters!$C$131*Basicinfo!AG38)/SUM(Basicinfo!AB38:AG38))</f>
        <v>2.1623770252490838E-2</v>
      </c>
      <c r="CO38" s="19">
        <f>IF(Basicinfo!AH38+Basicinfo!AI38+Basicinfo!AJ38+Basicinfo!AK38=0,0,(Parameters!$C$132*(Basicinfo!AH38+Basicinfo!AI38)+Parameters!$C$133*Basicinfo!AJ38+Parameters!$C$134*Basicinfo!AK38)/(Basicinfo!AH38+Basicinfo!AI38+Basicinfo!AJ38+Basicinfo!AK38))</f>
        <v>5.0000000000000001E-4</v>
      </c>
      <c r="CP38" s="19">
        <f>IF(Basicinfo!AJ38+Basicinfo!AK38=0,0,(Parameters!$C$133*Basicinfo!AJ38+Parameters!$C$134*Basicinfo!AK38)/(Basicinfo!AJ38+Basicinfo!AK38))</f>
        <v>5.0000000000000001E-4</v>
      </c>
      <c r="CQ38" s="19">
        <f>IF(Z38=0,0,(CN38*(Z38-AA38)+CO38*Basicinfo!P38+CP38*(Basicinfo!Q38+Basicinfo!R38))/Z38)</f>
        <v>9.929712014268427E-4</v>
      </c>
      <c r="CR38" s="289">
        <f>Basicinfo!EI38</f>
        <v>3.0569263157894737E-3</v>
      </c>
      <c r="CS38" s="19">
        <f>IF(SUM(Basicinfo!AB38:AG38)=0,0,(Basicinfo!AB38*Parameters!$C$43+(Basicinfo!AC38+Basicinfo!AD38)*Parameters!$C$44+Basicinfo!AE38*Parameters!$C$45+(Basicinfo!AF38+Basicinfo!AG38)*Parameters!$C$46)/SUM(Basicinfo!AB38:AG38))</f>
        <v>24.686283784592558</v>
      </c>
      <c r="CT38" s="19">
        <f>(Parameters!$C$41*CS38+Parameters!$C$42)</f>
        <v>526.80009460284407</v>
      </c>
      <c r="CU38" s="19">
        <f>CT38+Basicinfo!BR38/(Parameters!$C$47*Parameters!$C$49*Parameters!$C$48*10000/1000000)</f>
        <v>607.5150331250876</v>
      </c>
      <c r="CV38" s="19">
        <f>IF(BK38/Basicinfo!G38&lt;Parameters!$C$35,Parameters!$C$35,Parameters!$C$37*(BK38/Basicinfo!G38)^Parameters!$C$38)</f>
        <v>2.5491017607499549</v>
      </c>
      <c r="CW38" s="19">
        <f>IF(BK38/Basicinfo!G38&lt;Parameters!$C$35,Parameters!$C$36,Parameters!$C$36*(BK38/Basicinfo!G38)^Parameters!$C$38)</f>
        <v>5.9903891377623939</v>
      </c>
      <c r="CX38" s="27">
        <f>IF(Basicinfo!AJ38+Basicinfo!AK38=0,0,(Parameters!$C$53*Basicinfo!AJ38+Parameters!$C$54*Basicinfo!AK38)/(Basicinfo!AJ38+Basicinfo!AK38))</f>
        <v>549.50458951844575</v>
      </c>
      <c r="CY38" s="56">
        <f>IF(Basicinfo!AU38*AB38=0,0,((Basicinfo!AZ38+Basicinfo!BA38)/Basicinfo!AU38+Parameters!$C$76/(Basicinfo!AU38*AB38)*100))</f>
        <v>1.4186744302786551</v>
      </c>
      <c r="CZ38" s="43">
        <f>IF(Basicinfo!AU38*AB38=0,0,(Parameters!$C$77)/(Basicinfo!AU38*AB38)*100)</f>
        <v>0.42824311957677752</v>
      </c>
      <c r="DA38" s="43">
        <f>IF(AD38+AJ38=0,0,((J38*Parameters!$C$96+Parameters!$C$94/100*S38*100*Parameters!$C$93/1000*86400*Parameters!$C$95/24*Parameters!$C$98)*AI38+AD38*CY38*86400*365)/((AD38+AJ38*AI38/365)*86400*365))</f>
        <v>14.569924117589228</v>
      </c>
      <c r="DB38" s="43">
        <f>IF(AD38+AJ38=0,0,((J38*Parameters!$C$97+Parameters!$C$94/100*S38*100*Parameters!$C$93/1000*86400*Parameters!$C$95/24*Parameters!$C$99)*AI38+AD38*CZ38*86400*365)/((AD38+AJ38*AI38/365)*86400*365))</f>
        <v>2.5390047422175686</v>
      </c>
      <c r="DC38" s="42">
        <f>IF(AE38+AL38=0,0,((K38*Parameters!$C$96+Parameters!$C$94/100*T38*100*Parameters!$C$93/1000*86400*Parameters!$C$95/24*Parameters!$C$98)*365+AE38*CY38*86400*365)/((AE38+AL38)*86400*365))</f>
        <v>0</v>
      </c>
      <c r="DD38" s="42">
        <f>IF(AE38+AL38=0,0,((K38*Parameters!$C$97+Parameters!$C$94/100*T38*100*Parameters!$C$93/1000*86400*Parameters!$C$95/24*Parameters!$C$99)*365+AE38*CZ38*86400*365)/((AE38+AL38)*86400*365))</f>
        <v>0</v>
      </c>
      <c r="DE38" s="42">
        <f>IF(Basicinfo!AH38+Basicinfo!AI38+Basicinfo!AJ38+Basicinfo!AK38=0,0,((Basicinfo!AH38+Basicinfo!AI38)*Parameters!$C$107+(Basicinfo!AJ38+Basicinfo!AK38)*Parameters!$C$106)/(Basicinfo!AH38+Basicinfo!AI38+Basicinfo!AJ38+Basicinfo!AK38))</f>
        <v>57.809107593401215</v>
      </c>
      <c r="DF38" s="42">
        <f>IF(Basicinfo!AH38+Basicinfo!AI38+Basicinfo!AJ38+Basicinfo!AK38=0,0,((Basicinfo!AH38+Basicinfo!AI38)*Parameters!$C$109+(Basicinfo!AJ38+Basicinfo!AK38)*Parameters!$C$108)/(Basicinfo!AH38+Basicinfo!AI38+Basicinfo!AJ38+Basicinfo!AK38))</f>
        <v>57.809107593401215</v>
      </c>
      <c r="DG38" s="42">
        <f>Intermediate!AC38*Intermediate!CY38*(1-Parameters!$C$102/100*Basicinfo!BZ38/100)*(1-Parameters!$C$104/100*Basicinfo!CA38/100)*86400*365/1000000</f>
        <v>8.265868196219113E-2</v>
      </c>
      <c r="DH38" s="42">
        <f>Intermediate!AC38*Intermediate!CZ38*(1-Parameters!$C$103/100*Basicinfo!BZ38/100)*(1-Parameters!$C$105/100*Basicinfo!CA38/100)*86400*365/1000000</f>
        <v>2.4951469532470943E-2</v>
      </c>
      <c r="DI38" s="42">
        <f>(Intermediate!AK38*Intermediate!DA38+(Intermediate!AE38+Intermediate!AL38)*Intermediate!DC38)*86400*365/1000000</f>
        <v>1.692542321021288</v>
      </c>
      <c r="DJ38" s="42">
        <f>(Intermediate!AK38*Intermediate!DB38+(Intermediate!AE38+Intermediate!AL38)*Intermediate!DD38)*86400*365/1000000</f>
        <v>0.29494820596142085</v>
      </c>
      <c r="DK38" s="42">
        <f>((Basicinfo!AZ38+Basicinfo!BA38)*Intermediate!AB38+Parameters!$C$76*100)/1000*Intermediate!U38*(1-Intermediate!DE38/100)+(1-Parameters!$C$110/100)*M38*Parameters!$C$100*(1-DE38/100)*365/1000000+(1-Parameters!$C$112/100)*P38*Parameters!$C$96*365/1000000+(1-Parameters!$C$112/100)*O38*Parameters!$C$96*(1-DE38/100)*365/1000000</f>
        <v>0.32813353472124773</v>
      </c>
      <c r="DL38" s="42">
        <f>Parameters!$C$77*100/1000*Intermediate!U38*(1-Intermediate!DF38/100)+(1-Parameters!$C$111/100)*M38*Parameters!$C$101*(1-DF38/100)*365/1000000+(1-Parameters!$C$113/100)*P38*Parameters!$C$97*365/1000000+(1-Parameters!$C$113/100)*O38*Parameters!$C$97*(1-DF38/100)*365/1000000</f>
        <v>5.487589294115381E-2</v>
      </c>
      <c r="DM38" s="31"/>
      <c r="DN38" s="31"/>
      <c r="DO38" s="31"/>
      <c r="DP38" s="31"/>
      <c r="DQ38" s="31"/>
      <c r="DR38" s="31"/>
      <c r="DS38" s="31"/>
      <c r="DT38" s="188">
        <f>BO38*(Basicinfo!$P38+Basicinfo!$Q38)/1000</f>
        <v>284.85170531432942</v>
      </c>
      <c r="DU38" s="188">
        <f>DT38*Basicinfo!$AZ38/(Basicinfo!$AZ38+Basicinfo!$BA38)</f>
        <v>150.97524366075021</v>
      </c>
      <c r="DV38" s="188">
        <f>DT38*Basicinfo!$BC38/(Basicinfo!$BB38+Basicinfo!$BC38)</f>
        <v>127.75439552035721</v>
      </c>
      <c r="DW38" s="188">
        <f>BP38*(Basicinfo!$P38+Basicinfo!$Q38)/1000</f>
        <v>354.2970818380075</v>
      </c>
      <c r="DX38" s="188">
        <f>DW38*Basicinfo!$BB38/(Basicinfo!$BB38+Basicinfo!$BC38)</f>
        <v>195.39682363209593</v>
      </c>
      <c r="DY38" s="188">
        <f>DW38*Basicinfo!$BC38/(Basicinfo!$BB38+Basicinfo!$BC38)</f>
        <v>158.90025820591154</v>
      </c>
      <c r="DZ38" s="188">
        <f t="shared" si="38"/>
        <v>6.9257992261937273</v>
      </c>
      <c r="EA38" s="188">
        <f>DZ38*Basicinfo!$AZ38/(Basicinfo!$AZ38+Basicinfo!$BA38)</f>
        <v>3.6707669507058176</v>
      </c>
      <c r="EB38" s="188">
        <f>DZ38*Basicinfo!$BC38/(Basicinfo!$BB38+Basicinfo!$BC38)</f>
        <v>3.1061821892952084</v>
      </c>
      <c r="EC38" s="188">
        <f t="shared" si="39"/>
        <v>8.6142733550731183</v>
      </c>
      <c r="ED38" s="188">
        <f>EC38*Basicinfo!$AZ38/(Basicinfo!$AZ38+Basicinfo!$BA38)</f>
        <v>4.5656809998990324</v>
      </c>
      <c r="EE38" s="188">
        <f>EC38*Basicinfo!$BC38/(Basicinfo!$BB38+Basicinfo!$BC38)</f>
        <v>3.8634533857190307</v>
      </c>
      <c r="EF38" s="190">
        <f>(Basicinfo!BP38-BL38/100)*Intermediate!X38/10</f>
        <v>5.9540111857160607</v>
      </c>
      <c r="EG38" s="191">
        <f>(Basicinfo!BQ38-BM38/100)*Intermediate!X38/10</f>
        <v>6.0000065330901364</v>
      </c>
      <c r="EH38" s="197">
        <f>IF(AU38=0,0,$BS38*((Basicinfo!$P38+Basicinfo!$Q38)*Intermediate!$AT38*1000+$AW38*3600*24*365)/1000000*Basicinfo!AZ38/(Basicinfo!$AZ38+Basicinfo!$BA38))</f>
        <v>29.748583552243492</v>
      </c>
      <c r="EI38" s="197">
        <f>IF(AU38=0,0,$BS38*((Basicinfo!$P38+Basicinfo!$Q38)*Intermediate!$AT38*1000+$AW38*3600*24*365)/1000000*Basicinfo!BA38/(Basicinfo!$AZ38+Basicinfo!$BA38))</f>
        <v>26.379391803661708</v>
      </c>
      <c r="EJ38" s="198">
        <f>IF(AU38=0,0,$BS38*($AT38*$X38*1000)/1000000*Basicinfo!AZ38/(Basicinfo!$AZ38+Basicinfo!$BA38))</f>
        <v>0.70145524131864667</v>
      </c>
      <c r="EK38" s="198">
        <f>IF(AU38=0,0,$BS38*($AT38*$X38*1000)/1000000*Basicinfo!BA38/(Basicinfo!$AZ38+Basicinfo!$BA38))</f>
        <v>0.62201155261663466</v>
      </c>
      <c r="EL38" s="147">
        <f>Parameters!$C$150/Basicinfo!$AV38*100</f>
        <v>5.4876224519272689E-2</v>
      </c>
      <c r="EM38" s="147">
        <f>Parameters!$C$151/Basicinfo!$AV38*100</f>
        <v>0.10975244903854538</v>
      </c>
      <c r="EN38" s="147">
        <f>(Parameters!$C$150+Parameters!$C$151)/Intermediate!$BB38*100</f>
        <v>0.28454199143122683</v>
      </c>
      <c r="EO38" s="193">
        <f>IF(EN38=0,0,(1/(1+Parameters!$C$116*$BB38^Parameters!$C$120)*Basicinfo!$AH38/Basicinfo!$G38+1/(1+Parameters!$C$117*$BB38^Parameters!$C$121)*Basicinfo!$AI38/Basicinfo!$G38)*(EN38)^Parameters!$C$124+(1/(1+Parameters!$C$118*$BB38^Parameters!$C$122)*Basicinfo!$AJ38/Basicinfo!AW38+1/(1+Parameters!$C$119*$BB38^Parameters!$C$123)*Basicinfo!$AK38/Basicinfo!$G38)*(EN38)^Parameters!$C$125)</f>
        <v>0.11782415472121595</v>
      </c>
      <c r="EP38" s="199">
        <f>EL38*($AT38*Basicinfo!$P38*1000+$AW38*3600*24*365)/1000000</f>
        <v>4.5666970227581238</v>
      </c>
      <c r="EQ38" s="199">
        <f>EM38*($AT38*Basicinfo!$P38*1000+$AW38*3600*24*365)/1000000</f>
        <v>9.1333940455162477</v>
      </c>
      <c r="ER38" s="199">
        <f t="shared" si="40"/>
        <v>0.1122865389868066</v>
      </c>
      <c r="ES38" s="199">
        <f t="shared" si="41"/>
        <v>0.2245730779736132</v>
      </c>
      <c r="ET38" s="181">
        <f t="shared" si="14"/>
        <v>29.61312620484275</v>
      </c>
      <c r="EU38" s="147">
        <f>Intermediate!F38*(Parameters!$C$150)/1000*100</f>
        <v>0.42684891796415259</v>
      </c>
      <c r="EV38" s="147">
        <f>Intermediate!F38*(Parameters!$C$151)/1000*100</f>
        <v>0.85369783592830517</v>
      </c>
      <c r="EW38" s="181">
        <f>'Local emissions'!$S38*Basicinfo!AZ38/(Basicinfo!$AZ38+Basicinfo!$BA38)-Intermediate!EU38</f>
        <v>2.3657682631650845</v>
      </c>
      <c r="EX38" s="147">
        <f>'Local emissions'!$S38*Basicinfo!BA38/(Basicinfo!$AZ38+Basicinfo!$BA38)-Intermediate!EV38</f>
        <v>1.6226399920315684</v>
      </c>
      <c r="EY38" s="188">
        <f t="shared" si="15"/>
        <v>25.181886529485368</v>
      </c>
      <c r="EZ38" s="188">
        <f t="shared" si="16"/>
        <v>17.24599775814546</v>
      </c>
      <c r="FA38" s="188">
        <f t="shared" si="17"/>
        <v>0.58916870233184004</v>
      </c>
      <c r="FB38" s="181">
        <f t="shared" si="18"/>
        <v>0.39743847464302146</v>
      </c>
      <c r="FC38" s="181">
        <f>'Local emissions'!Y38-Intermediate!ET38</f>
        <v>156.38660019375646</v>
      </c>
      <c r="FD38" s="188">
        <f t="shared" si="19"/>
        <v>82.831400999691056</v>
      </c>
      <c r="FE38" s="188">
        <f t="shared" si="20"/>
        <v>67.360004946602047</v>
      </c>
      <c r="FF38" s="181">
        <f t="shared" si="21"/>
        <v>0.96772748581463364</v>
      </c>
      <c r="FG38" s="201">
        <f t="shared" si="22"/>
        <v>0.8188855138163601</v>
      </c>
      <c r="FH38" s="181">
        <f t="shared" si="23"/>
        <v>4.4085812478323687</v>
      </c>
      <c r="FJ38" s="147">
        <f>AVERAGE(Parameters!$C$132:$C$134)*'Local emissions'!J38*3600*24*365/1000000</f>
        <v>0.12566661850836294</v>
      </c>
      <c r="FK38" s="147">
        <f>'Local emissions'!AJ38+CT38*BJ38/100*Intermediate!X38*100/1000000</f>
        <v>1.1590185151595866</v>
      </c>
      <c r="FL38" s="31">
        <f>(Parameters!$C$18*(Basicinfo!AH38+Basicinfo!AI38)+Parameters!$C$19*Basicinfo!AJ38+Parameters!$C$20*Basicinfo!AK38)/Basicinfo!G38</f>
        <v>8.8960905423418057E-3</v>
      </c>
      <c r="FM38" s="181">
        <f t="shared" si="32"/>
        <v>0.81076128165908889</v>
      </c>
    </row>
    <row r="39" spans="1:169">
      <c r="A39" s="39" t="str">
        <f>Basicinfo!A39</f>
        <v>Alm</v>
      </c>
      <c r="B39" s="63">
        <f>Basicinfo!B39</f>
        <v>1310</v>
      </c>
      <c r="C39" s="63">
        <f>Basicinfo!C39</f>
        <v>4020</v>
      </c>
      <c r="D39" s="61">
        <f>Basicinfo!U39*Basicinfo!V39/1000+Basicinfo!Y39</f>
        <v>2.7867435946838164</v>
      </c>
      <c r="E39" s="19">
        <f>Basicinfo!W39*Basicinfo!X39/1000+Basicinfo!Z39</f>
        <v>0.32967949244224481</v>
      </c>
      <c r="F39" s="19">
        <f t="shared" si="0"/>
        <v>3.1164230871260612</v>
      </c>
      <c r="G39" s="19">
        <f>SUM(Basicinfo!H39:L39)</f>
        <v>66.130802982005534</v>
      </c>
      <c r="H39" s="19">
        <f>IF(Basicinfo!N39&lt;Parameters!$C$68,Parameters!$C$69,Basicinfo!BS39/(Basicinfo!N39*100))</f>
        <v>18.972766274775317</v>
      </c>
      <c r="I39" s="19">
        <f>IF(Basicinfo!N39=0,0,Basicinfo!BU39*(1-Basicinfo!BX39/100))</f>
        <v>11020.009020896236</v>
      </c>
      <c r="J39" s="19">
        <f>IF(Basicinfo!N39=0,0,Basicinfo!BU39*Basicinfo!BX39/100)</f>
        <v>11469.805307463428</v>
      </c>
      <c r="K39" s="19">
        <f>IF(Basicinfo!N39=0,0,Basicinfo!BT39-Basicinfo!BU39)</f>
        <v>0</v>
      </c>
      <c r="L39" s="27">
        <f>Basicinfo!BV39*Basicinfo!BW39/100</f>
        <v>2333.5</v>
      </c>
      <c r="M39" s="27">
        <f>Basicinfo!BV39-Intermediate!L39</f>
        <v>2333.5</v>
      </c>
      <c r="N39" s="73">
        <f>Basicinfo!BS39-SUM(I39:K39)-Basicinfo!BV39</f>
        <v>0</v>
      </c>
      <c r="O39" s="19">
        <f>IF(Basicinfo!AH39+Basicinfo!AI39+Basicinfo!AJ39+Basicinfo!AK39=0,0,N39*(Basicinfo!AH39+Basicinfo!AI39)/SUM(Basicinfo!AH39:AK39))</f>
        <v>0</v>
      </c>
      <c r="P39" s="73">
        <f t="shared" si="25"/>
        <v>0</v>
      </c>
      <c r="Q39" s="19">
        <f>IF(Basicinfo!BS39=0,Basicinfo!N39,IF(H39&gt;Parameters!$C$70,Parameters!$C$64*(Parameters!$C$65*Parameters!$C$70)^(Parameters!$C$66-Parameters!$C$67*LOG(Parameters!$C$65*Parameters!$C$70,10))/100*Basicinfo!N39,Parameters!$C$64*(Parameters!$C$65*H39)^(Parameters!$C$66-Parameters!$C$67*LOG(Parameters!$C$65*H39,10))/100*Basicinfo!N39))</f>
        <v>4.1174964226106958</v>
      </c>
      <c r="R39" s="19">
        <f>IF(Basicinfo!BS39=0,Q39*(1-Basicinfo!BX39/100),IF(H39&lt;Parameters!$C$75,Q39*Basicinfo!BU39/Basicinfo!BS39*(1-Basicinfo!BX39/100)*(-Parameters!$C$74+Parameters!$C$73*LN(H39*100)),Q39*Basicinfo!BU39/Basicinfo!BS39*(1-Basicinfo!BX39/100)))</f>
        <v>0.9616082317784419</v>
      </c>
      <c r="S39" s="19">
        <f>IF(Basicinfo!BS39=0,Q39*Basicinfo!BX39/100,Q39*Basicinfo!BU39/Basicinfo!BS39*Basicinfo!BX39/100)</f>
        <v>1.7390435325178459</v>
      </c>
      <c r="T39" s="19">
        <f>IF(Basicinfo!BS39=0,0,IF(H39&lt;Parameters!$C$75,Q39*K39/Basicinfo!BS39*(-Parameters!$C$74+Parameters!$C$73*LN(H39*100)),Q39*K39/Basicinfo!BS39))</f>
        <v>0</v>
      </c>
      <c r="U39" s="19">
        <f t="shared" si="26"/>
        <v>1.4168446583144081</v>
      </c>
      <c r="V39" s="19">
        <f>IF(Basicinfo!AL39&gt;Parameters!$C$14,Basicinfo!Q39,0)</f>
        <v>0</v>
      </c>
      <c r="W39" s="19">
        <f>IF(Basicinfo!AL39&gt;Parameters!$C$14,0,Basicinfo!Q39)</f>
        <v>0</v>
      </c>
      <c r="X39" s="19">
        <f>G39+Basicinfo!M39</f>
        <v>113.92556377601372</v>
      </c>
      <c r="Y39" s="19">
        <f>IF(Basicinfo!G39-F39-Q39-V39-Basicinfo!O39-Basicinfo!R39-Basicinfo!S39&lt;0,0,Basicinfo!G39-F39-Q39-V39-Basicinfo!O39-Basicinfo!R39-Basicinfo!S39)</f>
        <v>251.06511812583065</v>
      </c>
      <c r="Z39" s="19">
        <f>Basicinfo!G39-F39-Basicinfo!BO39-Q39-Basicinfo!O39</f>
        <v>249.75064769069547</v>
      </c>
      <c r="AA39" s="53">
        <f>IF(Z39+Basicinfo!BO39-X39&gt;0,Z39+Basicinfo!BO39-X39,0)</f>
        <v>137.19979897579245</v>
      </c>
      <c r="AB39" s="56">
        <f>IF(Basicinfo!N39=0,0,Parameters!$C$71+Parameters!$C$72*Q39/Basicinfo!N39)</f>
        <v>0.3657477760061747</v>
      </c>
      <c r="AC39" s="43">
        <f>Basicinfo!AU39*AB39*R39/1000/86.4/0.365</f>
        <v>1.4205786273282532E-2</v>
      </c>
      <c r="AD39" s="43">
        <f>Basicinfo!AU39*AB39*S39/1000/86.4/0.365</f>
        <v>2.5690795821488747E-2</v>
      </c>
      <c r="AE39" s="43">
        <f>Basicinfo!AU39*AB39*T39/1000/86.4/0.365</f>
        <v>0</v>
      </c>
      <c r="AF39" s="43">
        <f>Basicinfo!AU39*AB39*U39/1000/86.4/0.365</f>
        <v>2.0930969321292087E-2</v>
      </c>
      <c r="AG39" s="43">
        <f>((Parameters!$C$80+Parameters!$C$81*Parameters!$C$89)/(Parameters!$C$82+Parameters!$C$89)/(Parameters!$C$90/100*Parameters!$C$91+(Parameters!$C$83+Parameters!$C$84*Parameters!$C$89)/(Parameters!$C$85+Parameters!$C$89)))-Parameters!$C$86+(Basicinfo!AU39-Parameters!$C$88)/Parameters!$C$87</f>
        <v>83.232989452797938</v>
      </c>
      <c r="AH39" s="43">
        <f>((Parameters!$C$80+Parameters!$C$81*Parameters!$C$89)/(Parameters!$C$82+Parameters!$C$89)/(Basicinfo!BY39/100*Parameters!$C$91+(Parameters!$C$83+Parameters!$C$84*Parameters!$C$89)/(Parameters!$C$85+Parameters!$C$89)))-Parameters!$C$86+(Basicinfo!AU39-Parameters!$C$88)/Parameters!$C$87</f>
        <v>65.430107586182359</v>
      </c>
      <c r="AI39" s="43">
        <f>Basicinfo!AU39^Parameters!$C$79*Parameters!$C$78*AH39/AG39</f>
        <v>54.625248971734138</v>
      </c>
      <c r="AJ39" s="43">
        <f>(J39*Parameters!$C$92/1000+Parameters!$C$94/100*S39*100*Parameters!$C$93/1000*86400*Parameters!$C$95/24)/86400</f>
        <v>1.7315777029443251E-2</v>
      </c>
      <c r="AK39" s="43">
        <f t="shared" si="1"/>
        <v>1.8505102759833251E-2</v>
      </c>
      <c r="AL39" s="43">
        <f>(K39*Parameters!$C$92/1000+Parameters!$C$94/100*T39*100*Parameters!$C$93/1000*86400*Parameters!$C$95/24)/86400</f>
        <v>0</v>
      </c>
      <c r="AM39" s="43">
        <f>(Intermediate!N39+Basicinfo!BV39-Intermediate!L39)*Parameters!$C$92/1000/86400</f>
        <v>3.5110532407407408E-3</v>
      </c>
      <c r="AN39" s="43">
        <f t="shared" si="2"/>
        <v>3.1015301619029059E-2</v>
      </c>
      <c r="AO39" s="43">
        <f t="shared" si="27"/>
        <v>1.8505102759833251E-2</v>
      </c>
      <c r="AP39" s="43">
        <f t="shared" si="28"/>
        <v>2.4442022562032827E-2</v>
      </c>
      <c r="AQ39" s="43">
        <f t="shared" si="33"/>
        <v>5.7152911595148612E-2</v>
      </c>
      <c r="AR39" s="61">
        <f>(Basicinfo!AU39-Basicinfo!AY39)*F39/1000/86.4/0.365</f>
        <v>5.6211839061200419E-2</v>
      </c>
      <c r="AS39" s="19">
        <f>IF(Basicinfo!AP39-Basicinfo!CB39-Basicinfo!CG39&lt;0,0,(Basicinfo!AP39-Basicinfo!CB39-Basicinfo!CG39)/Basicinfo!G39*1000)</f>
        <v>18.940175792507077</v>
      </c>
      <c r="AT39" s="19">
        <f>Parameters!$C$3*((AS39*86.4*0.365)^Parameters!$C$4)</f>
        <v>122.69326434756545</v>
      </c>
      <c r="AU39" s="19">
        <f>IF(AT39/86.4/0.365*(Basicinfo!G39/1000)-AN39&lt;0,0,AT39/86.4/0.365*(Basicinfo!G39/1000)-AN39)</f>
        <v>0.975323070195526</v>
      </c>
      <c r="AV39" s="19">
        <f>IF(Basicinfo!AU39&gt;Parameters!$C$13,Parameters!$C$11*(Basicinfo!AU39-Parameters!$C$13)^Parameters!$C$12,0)</f>
        <v>161.21377215833363</v>
      </c>
      <c r="AW39" s="19">
        <f>IF(AV39*V39/1000/86.4/0.365&gt;Basicinfo!AP39*Parameters!$C$15,Basicinfo!AP39*Parameters!$C$15,AV39*V39/1000/86.4/0.365)</f>
        <v>0</v>
      </c>
      <c r="AX39" s="19">
        <f>Basicinfo!AU39-Basicinfo!AW39</f>
        <v>447.81931312028576</v>
      </c>
      <c r="AY39" s="19">
        <f>Parameters!$C$56*AX39+Parameters!$C$57*Basicinfo!AW39</f>
        <v>306.50501878191432</v>
      </c>
      <c r="AZ39" s="19">
        <f>AY39*Basicinfo!BO39/1000/86.4/0.365</f>
        <v>1.3361144901874563E-2</v>
      </c>
      <c r="BA39" s="19">
        <f>IF(Basicinfo!AP39-AQ39-AR39-AU39-AW39-AZ39-Basicinfo!CB39-Basicinfo!CG39&lt;0,0,Basicinfo!AP39-AQ39-AR39-AU39-AW39-AZ39-Basicinfo!CB39-Basicinfo!CG39)</f>
        <v>3.7970241813433279</v>
      </c>
      <c r="BB39" s="53">
        <f t="shared" si="34"/>
        <v>479.45002621630539</v>
      </c>
      <c r="BC39" s="56">
        <f>IF(G39=0,0,((Basicinfo!H39*Basicinfo!BE39+Basicinfo!I39*Basicinfo!BF39+Basicinfo!J39*Basicinfo!BG39+Basicinfo!K39*Basicinfo!BH39+Basicinfo!L39*Basicinfo!BI39)*(1-Basicinfo!BN39/G39*Parameters!$C$26/100)/G39)*Basicinfo!BM39)</f>
        <v>9.5113473632451537</v>
      </c>
      <c r="BD39" s="43">
        <f>IF(Basicinfo!AW39*Parameters!$C$39-Parameters!$C$40&lt;0,0.001,(Basicinfo!AW39*Parameters!$C$39-Parameters!$C$40)/(Basicinfo!AX39*Parameters!$C$39-Parameters!$C$40))</f>
        <v>1.1273248214130736</v>
      </c>
      <c r="BE39" s="43">
        <f>(BC39*G39*100+Basicinfo!BJ39*Basicinfo!M39*100)*Parameters!$C$29*BD39</f>
        <v>73512.736298416246</v>
      </c>
      <c r="BF39" s="43">
        <f>(Basicinfo!BK39*Basicinfo!P39*100)*BD39*Parameters!$C$29</f>
        <v>3200.4058012381965</v>
      </c>
      <c r="BG39" s="43">
        <f>Parameters!$C$27*(V39+W39)*100</f>
        <v>0</v>
      </c>
      <c r="BH39" s="43">
        <f>Parameters!$C$28*Basicinfo!R39*100</f>
        <v>0</v>
      </c>
      <c r="BI39" s="43">
        <f t="shared" si="29"/>
        <v>3200.4058012381965</v>
      </c>
      <c r="BJ39" s="43">
        <f>IF(Basicinfo!AM39&lt;Parameters!$C$33,0,Parameters!$C$30*(((Basicinfo!AM39-Parameters!$C$33)^Parameters!$C$31)*(((G39-Basicinfo!BN39)/Basicinfo!G39*100+Parameters!$C$34))^Parameters!$C$32))</f>
        <v>3.5062269814958178</v>
      </c>
      <c r="BK39" s="58">
        <f t="shared" si="30"/>
        <v>5777.929196169137</v>
      </c>
      <c r="BL39" s="61">
        <f>Basicinfo!AZ39+Basicinfo!BA39</f>
        <v>1492.2976416570013</v>
      </c>
      <c r="BM39" s="19">
        <f>Basicinfo!BB39+Basicinfo!BC39</f>
        <v>1749.0027768418233</v>
      </c>
      <c r="BN39" s="172">
        <f>IF(Basicinfo!AO39=0,0,IF(Basicinfo!AO39="NA",1,IF(OR(Basicinfo!AO39="SA",Basicinfo!AN39="S"),3,IF(Basicinfo!AN39="N",1,IF(Basicinfo!AO39="ZA",2,0)))))</f>
        <v>1</v>
      </c>
      <c r="BO39" s="27">
        <f>IF($BN39=1,(BL39)*(1+Parameters!$C$21*Parameters!$C$22-Parameters!$C$22*Basicinfo!$AL39),IF($BN39=2,(BL39)*(1+Parameters!$C$21*Parameters!$C$23-Parameters!$C$23*Basicinfo!$AL39),IF($BN39=3,(BL39)*(1+Parameters!$C$21*Parameters!$C$24-Parameters!$C$24*Basicinfo!$AL39),BL39)))</f>
        <v>1462.071918206211</v>
      </c>
      <c r="BP39" s="27">
        <f>IF($BN39=1,(BM39)*(1+Parameters!$C$21*Parameters!$C$22-Parameters!$C$22*Basicinfo!$AL39),IF($BN39=2,(BM39)*(1+Parameters!$C$21*Parameters!$C$23-Parameters!$C$23*Basicinfo!$AL39),IF($BN39=3,(BM39)*(1+Parameters!$C$21*Parameters!$C$24-Parameters!$C$24*Basicinfo!$AL39),BM39)))</f>
        <v>1713.5776225215457</v>
      </c>
      <c r="BQ39" s="27">
        <f>IF(Basicinfo!AU39=0,0,IF(G39+Basicinfo!M39=0,0,(Parameters!$C$16+BO39/Basicinfo!AU39)*G39+(Parameters!$C$17+BO39/Basicinfo!AU39)*Basicinfo!M39)/(G39+Basicinfo!M39))</f>
        <v>1.3219698816142313</v>
      </c>
      <c r="BR39" s="27">
        <f>IF(Basicinfo!AU39=0,0,IF(G39+Basicinfo!M39=0,0,(Parameters!$C$16+BP39/Basicinfo!AU39)*G39+(Parameters!$C$17+BP39/Basicinfo!AU39)*Basicinfo!M39)/(G39+Basicinfo!M39))</f>
        <v>1.5194192835742415</v>
      </c>
      <c r="BS39" s="27">
        <f>IF(Basicinfo!AU39=0,0,BO39/Basicinfo!AU39)</f>
        <v>1.1478277467233555</v>
      </c>
      <c r="BT39" s="27">
        <f>IF(Basicinfo!AU39=0,0,BP39/Basicinfo!AU39)</f>
        <v>1.3452771486833657</v>
      </c>
      <c r="BU39" s="27">
        <f>IF(SUM(G39,Basicinfo!M39,Basicinfo!P39,W39)=0,0,(BQ39*(G39+Basicinfo!M39)+BS39*(Basicinfo!P39+W39))/SUM(G39,Basicinfo!M39,Basicinfo!P39,W39))</f>
        <v>1.2301930065472251</v>
      </c>
      <c r="BV39" s="19">
        <f>IF(Basicinfo!BR39/Parameters!$C$10&gt;1,1,Basicinfo!BR39/Parameters!$C$10)</f>
        <v>0.41142123038155326</v>
      </c>
      <c r="BW39" s="19">
        <f>Parameters!$C$5+Parameters!$C$6*EXP(BV39*Parameters!$C$8*Parameters!$C$7)</f>
        <v>3.5192108312831663E-2</v>
      </c>
      <c r="BX39" s="19">
        <f>Parameters!$C$5+Parameters!$C$6*EXP(BV39*Parameters!$C$9*Parameters!$C$7)</f>
        <v>3.5101530214623859E-2</v>
      </c>
      <c r="BY39" s="19">
        <f>IF(Basicinfo!AH39+Basicinfo!AI39+Basicinfo!AJ39+Basicinfo!AK39=0,0,(Parameters!$C$18*(Basicinfo!AH39+Basicinfo!AI39)+Parameters!$C$19*Basicinfo!AJ39+Parameters!$C$20*Basicinfo!AK39)/(Basicinfo!AH39+Basicinfo!AI39+Basicinfo!AJ39+Basicinfo!AK39))</f>
        <v>2.7825785491722772E-2</v>
      </c>
      <c r="BZ39" s="19">
        <f>IF(Basicinfo!AJ39+Basicinfo!AK39=0,Parameters!$C$18,(Parameters!$C$19*Basicinfo!AJ39+Parameters!$C$20*Basicinfo!AK39)/(Basicinfo!AJ39+Basicinfo!AK39))</f>
        <v>2.0816198927029714E-2</v>
      </c>
      <c r="CA39" s="19">
        <f>IF(SUM(G39,Basicinfo!M39,Basicinfo!P39,W39)=0,0,(BW39*G39+BX39*Basicinfo!M39+BY39*Basicinfo!P39+BZ39*W39)/(SUM(G39,Basicinfo!M39,Basicinfo!P39,W39)))</f>
        <v>3.1291915173253623E-2</v>
      </c>
      <c r="CB39" s="19">
        <f>IF(Y39=0,Basicinfo!BP39,Basicinfo!BP39-(AU39*X39/Y39*Intermediate!BQ39*86400*365/1000000)*1000/(X39*100))</f>
        <v>54.633462040753784</v>
      </c>
      <c r="CC39" s="19">
        <f>IF(Y39=0,Basicinfo!BQ39,Basicinfo!BQ39-(AU39*Basicinfo!AV39/Basicinfo!AU39*X39/Y39*Intermediate!BR39*86400*365/1000000)*1000/(X39*100))</f>
        <v>54.114052531222889</v>
      </c>
      <c r="CD39" s="19">
        <f>IF(OR(Y39=0,AA39=0),BP39/100,BP39/100-(AU39*Basicinfo!AV39/Basicinfo!AU39*(Basicinfo!P39+W39)/Y39*Intermediate!BT39*86400*365/1000000+AW39*Basicinfo!AV39/Basicinfo!AU39*Intermediate!BT39*86400*365/1000000)*1000/(AA39*100))</f>
        <v>15.654222735903765</v>
      </c>
      <c r="CE39" s="19">
        <f t="shared" si="35"/>
        <v>609058.25397919829</v>
      </c>
      <c r="CF39" s="19">
        <f t="shared" si="36"/>
        <v>214775.62124882761</v>
      </c>
      <c r="CG39" s="19">
        <f>IF(AY39=0,0,((CB39^Parameters!$C$58))/AY39*100)</f>
        <v>9.7814293750449064</v>
      </c>
      <c r="CH39" s="19">
        <f>IF(SUM(Basicinfo!AB39:AG39)=0,0,(Parameters!$C$59*Basicinfo!AB39+Parameters!$C$60*SUM(Basicinfo!AC39:AE39)+Parameters!$C$61*Basicinfo!AF39+Parameters!$C$62*Basicinfo!AG39)/SUM(Basicinfo!AB39:AG39))</f>
        <v>6.3949358580133939E-2</v>
      </c>
      <c r="CI39" s="19">
        <f t="shared" si="31"/>
        <v>6</v>
      </c>
      <c r="CJ39" s="19">
        <f t="shared" si="37"/>
        <v>32.986255805362546</v>
      </c>
      <c r="CK39" s="19">
        <f t="shared" si="9"/>
        <v>6.8800196061477941</v>
      </c>
      <c r="CL39" s="19">
        <f>IF($BB39=0,0,$CJ39^Parameters!$C$58*100/$BB39)</f>
        <v>4.0722996077262597</v>
      </c>
      <c r="CM39" s="19">
        <f>IF(CK39=0,0,(1/(1+Parameters!$C$116*BB39^Parameters!$C$120)*Basicinfo!AH39/Basicinfo!G39+1/(1+Parameters!$C$117*BB39^Parameters!$C$121)*Basicinfo!AI39/Basicinfo!G39)*(CK39)^Parameters!$C$124+(1/(1+Parameters!$C$118*BB39^Parameters!$C$122)*Basicinfo!AJ39/Basicinfo!G39+1/(1+Parameters!$C$119*BB39^Parameters!$C$123)*Basicinfo!AK39/Basicinfo!G39)*(CK39)^Parameters!$C$125)</f>
        <v>2.0023268438396782</v>
      </c>
      <c r="CN39" s="19">
        <f>IF(SUM(Basicinfo!AB39:AG39)=0,0,(Parameters!$C$128*Basicinfo!AB39+Parameters!$C$129*(SUM(Basicinfo!AC39:AE39))+Parameters!$C$130*Basicinfo!AF39+Parameters!$C$131*Basicinfo!AG39)/SUM(Basicinfo!AB39:AG39))</f>
        <v>1.1586642195259546E-2</v>
      </c>
      <c r="CO39" s="19">
        <f>IF(Basicinfo!AH39+Basicinfo!AI39+Basicinfo!AJ39+Basicinfo!AK39=0,0,(Parameters!$C$132*(Basicinfo!AH39+Basicinfo!AI39)+Parameters!$C$133*Basicinfo!AJ39+Parameters!$C$134*Basicinfo!AK39)/(Basicinfo!AH39+Basicinfo!AI39+Basicinfo!AJ39+Basicinfo!AK39))</f>
        <v>5.0000000000000001E-4</v>
      </c>
      <c r="CP39" s="19">
        <f>IF(Basicinfo!AJ39+Basicinfo!AK39=0,0,(Parameters!$C$133*Basicinfo!AJ39+Parameters!$C$134*Basicinfo!AK39)/(Basicinfo!AJ39+Basicinfo!AK39))</f>
        <v>5.0000000000000001E-4</v>
      </c>
      <c r="CQ39" s="19">
        <f>IF(Z39=0,0,(CN39*(Z39-AA39)+CO39*Basicinfo!P39+CP39*(Basicinfo!Q39+Basicinfo!R39))/Z39)</f>
        <v>5.4756941075683949E-3</v>
      </c>
      <c r="CR39" s="289">
        <f>Basicinfo!EI39</f>
        <v>1.6499940350877193E-2</v>
      </c>
      <c r="CS39" s="19">
        <f>IF(SUM(Basicinfo!AB39:AG39)=0,0,(Basicinfo!AB39*Parameters!$C$43+(Basicinfo!AC39+Basicinfo!AD39)*Parameters!$C$44+Basicinfo!AE39*Parameters!$C$45+(Basicinfo!AF39+Basicinfo!AG39)*Parameters!$C$46)/SUM(Basicinfo!AB39:AG39))</f>
        <v>23.988650012867399</v>
      </c>
      <c r="CT39" s="19">
        <f>(Parameters!$C$41*CS39+Parameters!$C$42)</f>
        <v>519.68423013124743</v>
      </c>
      <c r="CU39" s="19">
        <f>CT39+Basicinfo!BR39/(Parameters!$C$47*Parameters!$C$49*Parameters!$C$48*10000/1000000)</f>
        <v>664.58730498261207</v>
      </c>
      <c r="CV39" s="19">
        <f>IF(BK39/Basicinfo!G39&lt;Parameters!$C$35,Parameters!$C$35,Parameters!$C$37*(BK39/Basicinfo!G39)^Parameters!$C$38)</f>
        <v>1.7789132220588526</v>
      </c>
      <c r="CW39" s="19">
        <f>IF(BK39/Basicinfo!G39&lt;Parameters!$C$35,Parameters!$C$36,Parameters!$C$36*(BK39/Basicinfo!G39)^Parameters!$C$38)</f>
        <v>4.1804460718383041</v>
      </c>
      <c r="CX39" s="27">
        <f>IF(Basicinfo!AJ39+Basicinfo!AK39=0,0,(Parameters!$C$53*Basicinfo!AJ39+Parameters!$C$54*Basicinfo!AK39)/(Basicinfo!AJ39+Basicinfo!AK39))</f>
        <v>712.61284147558467</v>
      </c>
      <c r="CY39" s="56">
        <f>IF(Basicinfo!AU39*AB39=0,0,((Basicinfo!AZ39+Basicinfo!BA39)/Basicinfo!AU39+Parameters!$C$76/(Basicinfo!AU39*AB39)*100))</f>
        <v>2.0301479321095988</v>
      </c>
      <c r="CZ39" s="43">
        <f>IF(Basicinfo!AU39*AB39=0,0,(Parameters!$C$77)/(Basicinfo!AU39*AB39)*100)</f>
        <v>0.53661931154276388</v>
      </c>
      <c r="DA39" s="43">
        <f>IF(AD39+AJ39=0,0,((J39*Parameters!$C$96+Parameters!$C$94/100*S39*100*Parameters!$C$93/1000*86400*Parameters!$C$95/24*Parameters!$C$98)*AI39+AD39*CY39*86400*365)/((AD39+AJ39*AI39/365)*86400*365))</f>
        <v>10.274406503117518</v>
      </c>
      <c r="DB39" s="43">
        <f>IF(AD39+AJ39=0,0,((J39*Parameters!$C$97+Parameters!$C$94/100*S39*100*Parameters!$C$93/1000*86400*Parameters!$C$95/24*Parameters!$C$99)*AI39+AD39*CZ39*86400*365)/((AD39+AJ39*AI39/365)*86400*365))</f>
        <v>1.8588785922803241</v>
      </c>
      <c r="DC39" s="42">
        <f>IF(AE39+AL39=0,0,((K39*Parameters!$C$96+Parameters!$C$94/100*T39*100*Parameters!$C$93/1000*86400*Parameters!$C$95/24*Parameters!$C$98)*365+AE39*CY39*86400*365)/((AE39+AL39)*86400*365))</f>
        <v>0</v>
      </c>
      <c r="DD39" s="42">
        <f>IF(AE39+AL39=0,0,((K39*Parameters!$C$97+Parameters!$C$94/100*T39*100*Parameters!$C$93/1000*86400*Parameters!$C$95/24*Parameters!$C$99)*365+AE39*CZ39*86400*365)/((AE39+AL39)*86400*365))</f>
        <v>0</v>
      </c>
      <c r="DE39" s="42">
        <f>IF(Basicinfo!AH39+Basicinfo!AI39+Basicinfo!AJ39+Basicinfo!AK39=0,0,((Basicinfo!AH39+Basicinfo!AI39)*Parameters!$C$107+(Basicinfo!AJ39+Basicinfo!AK39)*Parameters!$C$106)/(Basicinfo!AH39+Basicinfo!AI39+Basicinfo!AJ39+Basicinfo!AK39))</f>
        <v>69.767864844215978</v>
      </c>
      <c r="DF39" s="42">
        <f>IF(Basicinfo!AH39+Basicinfo!AI39+Basicinfo!AJ39+Basicinfo!AK39=0,0,((Basicinfo!AH39+Basicinfo!AI39)*Parameters!$C$109+(Basicinfo!AJ39+Basicinfo!AK39)*Parameters!$C$108)/(Basicinfo!AH39+Basicinfo!AI39+Basicinfo!AJ39+Basicinfo!AK39))</f>
        <v>69.767864844215978</v>
      </c>
      <c r="DG39" s="42">
        <f>Intermediate!AC39*Intermediate!CY39*(1-Parameters!$C$102/100*Basicinfo!BZ39/100)*(1-Parameters!$C$104/100*Basicinfo!CA39/100)*86400*365/1000000</f>
        <v>0.90949343475546784</v>
      </c>
      <c r="DH39" s="42">
        <f>Intermediate!AC39*Intermediate!CZ39*(1-Parameters!$C$103/100*Basicinfo!BZ39/100)*(1-Parameters!$C$105/100*Basicinfo!CA39/100)*86400*365/1000000</f>
        <v>0.24040205794461042</v>
      </c>
      <c r="DI39" s="42">
        <f>(Intermediate!AK39*Intermediate!DA39+(Intermediate!AE39+Intermediate!AL39)*Intermediate!DC39)*86400*365/1000000</f>
        <v>5.9959065084323075</v>
      </c>
      <c r="DJ39" s="42">
        <f>(Intermediate!AK39*Intermediate!DB39+(Intermediate!AE39+Intermediate!AL39)*Intermediate!DD39)*86400*365/1000000</f>
        <v>1.0847986447156051</v>
      </c>
      <c r="DK39" s="42">
        <f>((Basicinfo!AZ39+Basicinfo!BA39)*Intermediate!AB39+Parameters!$C$76*100)/1000*Intermediate!U39*(1-Intermediate!DE39/100)+(1-Parameters!$C$110/100)*M39*Parameters!$C$100*(1-DE39/100)*365/1000000+(1-Parameters!$C$112/100)*P39*Parameters!$C$96*365/1000000+(1-Parameters!$C$112/100)*O39*Parameters!$C$96*(1-DE39/100)*365/1000000</f>
        <v>2.4908409931737134</v>
      </c>
      <c r="DL39" s="42">
        <f>Parameters!$C$77*100/1000*Intermediate!U39*(1-Intermediate!DF39/100)+(1-Parameters!$C$111/100)*M39*Parameters!$C$101*(1-DF39/100)*365/1000000+(1-Parameters!$C$113/100)*P39*Parameters!$C$97*365/1000000+(1-Parameters!$C$113/100)*O39*Parameters!$C$97*(1-DF39/100)*365/1000000</f>
        <v>0.38566063460506572</v>
      </c>
      <c r="DM39" s="31"/>
      <c r="DN39" s="31"/>
      <c r="DO39" s="31"/>
      <c r="DP39" s="31"/>
      <c r="DQ39" s="31"/>
      <c r="DR39" s="31"/>
      <c r="DS39" s="31"/>
      <c r="DT39" s="188">
        <f>BO39*(Basicinfo!$P39+Basicinfo!$Q39)/1000</f>
        <v>185.60048879507917</v>
      </c>
      <c r="DU39" s="188">
        <f>DT39*Basicinfo!$AZ39/(Basicinfo!$AZ39+Basicinfo!$BA39)</f>
        <v>104.00040511874091</v>
      </c>
      <c r="DV39" s="188">
        <f>DT39*Basicinfo!$BC39/(Basicinfo!$BB39+Basicinfo!$BC39)</f>
        <v>78.335281375721294</v>
      </c>
      <c r="DW39" s="188">
        <f>BP39*(Basicinfo!$P39+Basicinfo!$Q39)/1000</f>
        <v>217.52749667643369</v>
      </c>
      <c r="DX39" s="188">
        <f>DW39*Basicinfo!$BB39/(Basicinfo!$BB39+Basicinfo!$BC39)</f>
        <v>125.71697521860176</v>
      </c>
      <c r="DY39" s="188">
        <f>DW39*Basicinfo!$BC39/(Basicinfo!$BB39+Basicinfo!$BC39)</f>
        <v>91.810521457831925</v>
      </c>
      <c r="DZ39" s="188">
        <f t="shared" si="38"/>
        <v>166.56736756272042</v>
      </c>
      <c r="EA39" s="188">
        <f>DZ39*Basicinfo!$AZ39/(Basicinfo!$AZ39+Basicinfo!$BA39)</f>
        <v>93.335280626396894</v>
      </c>
      <c r="EB39" s="188">
        <f>DZ39*Basicinfo!$BC39/(Basicinfo!$BB39+Basicinfo!$BC39)</f>
        <v>70.302086437095852</v>
      </c>
      <c r="EC39" s="188">
        <f t="shared" si="39"/>
        <v>195.22029671972831</v>
      </c>
      <c r="ED39" s="188">
        <f>EC39*Basicinfo!$AZ39/(Basicinfo!$AZ39+Basicinfo!$BA39)</f>
        <v>109.390821533175</v>
      </c>
      <c r="EE39" s="188">
        <f>EC39*Basicinfo!$BC39/(Basicinfo!$BB39+Basicinfo!$BC39)</f>
        <v>82.395455815185173</v>
      </c>
      <c r="EF39" s="190">
        <f>(Basicinfo!BP39-BL39/100)*Intermediate!X39/10</f>
        <v>470.85458787233858</v>
      </c>
      <c r="EG39" s="191">
        <f>(Basicinfo!BQ39-BM39/100)*Intermediate!X39/10</f>
        <v>437.84507449593877</v>
      </c>
      <c r="EH39" s="197">
        <f>IF(AU39=0,0,$BS39*((Basicinfo!$P39+Basicinfo!$Q39)*Intermediate!$AT39*1000+$AW39*3600*24*365)/1000000*Basicinfo!AZ39/(Basicinfo!$AZ39+Basicinfo!$BA39))</f>
        <v>10.017601130849611</v>
      </c>
      <c r="EI39" s="197">
        <f>IF(AU39=0,0,$BS39*((Basicinfo!$P39+Basicinfo!$Q39)*Intermediate!$AT39*1000+$AW39*3600*24*365)/1000000*Basicinfo!BA39/(Basicinfo!$AZ39+Basicinfo!$BA39))</f>
        <v>7.859941406768681</v>
      </c>
      <c r="EJ39" s="198">
        <f>IF(AU39=0,0,$BS39*($AT39*$X39*1000)/1000000*Basicinfo!AZ39/(Basicinfo!$AZ39+Basicinfo!$BA39))</f>
        <v>8.9903074097032789</v>
      </c>
      <c r="EK39" s="198">
        <f>IF(AU39=0,0,$BS39*($AT39*$X39*1000)/1000000*Basicinfo!BA39/(Basicinfo!$AZ39+Basicinfo!$BA39))</f>
        <v>7.0539132618781952</v>
      </c>
      <c r="EL39" s="147">
        <f>Parameters!$C$150/Basicinfo!$AV39*100</f>
        <v>8.0803103864498182E-2</v>
      </c>
      <c r="EM39" s="147">
        <f>Parameters!$C$151/Basicinfo!$AV39*100</f>
        <v>0.16160620772899636</v>
      </c>
      <c r="EN39" s="147">
        <f>(Parameters!$C$150+Parameters!$C$151)/Intermediate!$BB39*100</f>
        <v>0.62571693314425647</v>
      </c>
      <c r="EO39" s="193">
        <f>IF(EN39=0,0,(1/(1+Parameters!$C$116*$BB39^Parameters!$C$120)*Basicinfo!$AH39/Basicinfo!$G39+1/(1+Parameters!$C$117*$BB39^Parameters!$C$121)*Basicinfo!$AI39/Basicinfo!$G39)*(EN39)^Parameters!$C$124+(1/(1+Parameters!$C$118*$BB39^Parameters!$C$122)*Basicinfo!$AJ39/Basicinfo!AW39+1/(1+Parameters!$C$119*$BB39^Parameters!$C$123)*Basicinfo!$AK39/Basicinfo!$G39)*(EN39)^Parameters!$C$125)</f>
        <v>0.35144501065202172</v>
      </c>
      <c r="EP39" s="199">
        <f>EL39*($AT39*Basicinfo!$P39*1000+$AW39*3600*24*365)/1000000</f>
        <v>1.2585171691770551</v>
      </c>
      <c r="EQ39" s="199">
        <f>EM39*($AT39*Basicinfo!$P39*1000+$AW39*3600*24*365)/1000000</f>
        <v>2.5170343383541103</v>
      </c>
      <c r="ER39" s="199">
        <f t="shared" si="40"/>
        <v>1.1294576499405575</v>
      </c>
      <c r="ES39" s="199">
        <f t="shared" si="41"/>
        <v>2.2589152998811151</v>
      </c>
      <c r="ET39" s="181">
        <f t="shared" si="14"/>
        <v>42.083063948871875</v>
      </c>
      <c r="EU39" s="147">
        <f>Intermediate!F39*(Parameters!$C$150)/1000*100</f>
        <v>0.31164230871260612</v>
      </c>
      <c r="EV39" s="147">
        <f>Intermediate!F39*(Parameters!$C$151)/1000*100</f>
        <v>0.62328461742521224</v>
      </c>
      <c r="EW39" s="181">
        <f>'Local emissions'!$S39*Basicinfo!AZ39/(Basicinfo!$AZ39+Basicinfo!$BA39)-Intermediate!EU39</f>
        <v>2.2415355185164949</v>
      </c>
      <c r="EX39" s="147">
        <f>'Local emissions'!$S39*Basicinfo!BA39/(Basicinfo!$AZ39+Basicinfo!$BA39)-Intermediate!EV39</f>
        <v>1.3799722362822093</v>
      </c>
      <c r="EY39" s="188">
        <f t="shared" si="15"/>
        <v>8.7590839616725553</v>
      </c>
      <c r="EZ39" s="188">
        <f t="shared" si="16"/>
        <v>5.3429070684145703</v>
      </c>
      <c r="FA39" s="188">
        <f t="shared" si="17"/>
        <v>7.8608497597627212</v>
      </c>
      <c r="FB39" s="181">
        <f t="shared" si="18"/>
        <v>4.7949979619970797</v>
      </c>
      <c r="FC39" s="181">
        <f>'Local emissions'!Y39-Intermediate!ET39</f>
        <v>197.82588981054721</v>
      </c>
      <c r="FD39" s="188">
        <f t="shared" si="19"/>
        <v>29.238515188285376</v>
      </c>
      <c r="FE39" s="188">
        <f t="shared" si="20"/>
        <v>21.352751459550074</v>
      </c>
      <c r="FF39" s="181">
        <f t="shared" si="21"/>
        <v>12.720737160972897</v>
      </c>
      <c r="FG39" s="201">
        <f t="shared" si="22"/>
        <v>9.5815254149605167</v>
      </c>
      <c r="FH39" s="181">
        <f t="shared" si="23"/>
        <v>124.93236058677837</v>
      </c>
      <c r="FJ39" s="147">
        <f>AVERAGE(Parameters!$C$132:$C$134)*'Local emissions'!J39*3600*24*365/1000000</f>
        <v>5.9871477291421588E-2</v>
      </c>
      <c r="FK39" s="147">
        <f>'Local emissions'!AJ39+CT39*BJ39/100*Intermediate!X39*100/1000000</f>
        <v>1.6477698971436738</v>
      </c>
      <c r="FL39" s="31">
        <f>(Parameters!$C$18*(Basicinfo!AH39+Basicinfo!AI39)+Parameters!$C$19*Basicinfo!AJ39+Parameters!$C$20*Basicinfo!AK39)/Basicinfo!G39</f>
        <v>2.7825785491722776E-2</v>
      </c>
      <c r="FM39" s="181">
        <f t="shared" si="32"/>
        <v>0.85585962059556919</v>
      </c>
    </row>
    <row r="40" spans="1:169">
      <c r="A40" s="39" t="str">
        <f>Basicinfo!A40</f>
        <v>Krems</v>
      </c>
      <c r="B40" s="63">
        <f>Basicinfo!B40</f>
        <v>1320</v>
      </c>
      <c r="C40" s="63">
        <f>Basicinfo!C40</f>
        <v>1330</v>
      </c>
      <c r="D40" s="61">
        <f>Basicinfo!U40*Basicinfo!V40/1000+Basicinfo!Y40</f>
        <v>1.2452544366385252</v>
      </c>
      <c r="E40" s="19">
        <f>Basicinfo!W40*Basicinfo!X40/1000+Basicinfo!Z40</f>
        <v>0</v>
      </c>
      <c r="F40" s="19">
        <f t="shared" si="0"/>
        <v>1.2452544366385252</v>
      </c>
      <c r="G40" s="19">
        <f>SUM(Basicinfo!H40:L40)</f>
        <v>44.740429203888539</v>
      </c>
      <c r="H40" s="19">
        <f>IF(Basicinfo!N40&lt;Parameters!$C$68,Parameters!$C$69,Basicinfo!BS40/(Basicinfo!N40*100))</f>
        <v>19.317347001898856</v>
      </c>
      <c r="I40" s="19">
        <f>IF(Basicinfo!N40=0,0,Basicinfo!BU40*(1-Basicinfo!BX40/100))</f>
        <v>7117.8318606416142</v>
      </c>
      <c r="J40" s="19">
        <f>IF(Basicinfo!N40=0,0,Basicinfo!BU40*Basicinfo!BX40/100)</f>
        <v>7408.3556100555579</v>
      </c>
      <c r="K40" s="19">
        <f>IF(Basicinfo!N40=0,0,Basicinfo!BT40-Basicinfo!BU40)</f>
        <v>0</v>
      </c>
      <c r="L40" s="27">
        <f>Basicinfo!BV40*Basicinfo!BW40/100</f>
        <v>1517.7933333333331</v>
      </c>
      <c r="M40" s="27">
        <f>Basicinfo!BV40-Intermediate!L40</f>
        <v>1517.7933333333331</v>
      </c>
      <c r="N40" s="73">
        <f>Basicinfo!BS40-SUM(I40:K40)-Basicinfo!BV40</f>
        <v>0</v>
      </c>
      <c r="O40" s="19">
        <f>IF(Basicinfo!AH40+Basicinfo!AI40+Basicinfo!AJ40+Basicinfo!AK40=0,0,N40*(Basicinfo!AH40+Basicinfo!AI40)/SUM(Basicinfo!AH40:AK40))</f>
        <v>0</v>
      </c>
      <c r="P40" s="73">
        <f t="shared" si="25"/>
        <v>0</v>
      </c>
      <c r="Q40" s="19">
        <f>IF(Basicinfo!BS40=0,Basicinfo!N40,IF(H40&gt;Parameters!$C$70,Parameters!$C$64*(Parameters!$C$65*Parameters!$C$70)^(Parameters!$C$66-Parameters!$C$67*LOG(Parameters!$C$65*Parameters!$C$70,10))/100*Basicinfo!N40,Parameters!$C$64*(Parameters!$C$65*H40)^(Parameters!$C$66-Parameters!$C$67*LOG(Parameters!$C$65*H40,10))/100*Basicinfo!N40))</f>
        <v>2.6390127072161169</v>
      </c>
      <c r="R40" s="19">
        <f>IF(Basicinfo!BS40=0,Q40*(1-Basicinfo!BX40/100),IF(H40&lt;Parameters!$C$75,Q40*Basicinfo!BU40/Basicinfo!BS40*(1-Basicinfo!BX40/100)*(-Parameters!$C$74+Parameters!$C$73*LN(H40*100)),Q40*Basicinfo!BU40/Basicinfo!BS40*(1-Basicinfo!BX40/100)))</f>
        <v>0.61798380305690459</v>
      </c>
      <c r="S40" s="19">
        <f>IF(Basicinfo!BS40=0,Q40*Basicinfo!BX40/100,Q40*Basicinfo!BU40/Basicinfo!BS40*Basicinfo!BX40/100)</f>
        <v>1.1132556677697454</v>
      </c>
      <c r="T40" s="19">
        <f>IF(Basicinfo!BS40=0,0,IF(H40&lt;Parameters!$C$75,Q40*K40/Basicinfo!BS40*(-Parameters!$C$74+Parameters!$C$73*LN(H40*100)),Q40*K40/Basicinfo!BS40))</f>
        <v>0</v>
      </c>
      <c r="U40" s="19">
        <f t="shared" si="26"/>
        <v>0.90777323638946683</v>
      </c>
      <c r="V40" s="19">
        <f>IF(Basicinfo!AL40&gt;Parameters!$C$14,Basicinfo!Q40,0)</f>
        <v>0</v>
      </c>
      <c r="W40" s="19">
        <f>IF(Basicinfo!AL40&gt;Parameters!$C$14,0,Basicinfo!Q40)</f>
        <v>0.26739453120115203</v>
      </c>
      <c r="X40" s="19">
        <f>G40+Basicinfo!M40</f>
        <v>75.043543212014882</v>
      </c>
      <c r="Y40" s="19">
        <f>IF(Basicinfo!G40-F40-Q40-V40-Basicinfo!O40-Basicinfo!R40-Basicinfo!S40&lt;0,0,Basicinfo!G40-F40-Q40-V40-Basicinfo!O40-Basicinfo!R40-Basicinfo!S40)</f>
        <v>136.24512486405331</v>
      </c>
      <c r="Z40" s="19">
        <f>Basicinfo!G40-F40-Basicinfo!BO40-Q40-Basicinfo!O40</f>
        <v>133.15518054537043</v>
      </c>
      <c r="AA40" s="53">
        <f>IF(Z40+Basicinfo!BO40-X40&gt;0,Z40+Basicinfo!BO40-X40,0)</f>
        <v>61.21805711067698</v>
      </c>
      <c r="AB40" s="56">
        <f>IF(Basicinfo!N40=0,0,Parameters!$C$71+Parameters!$C$72*Q40/Basicinfo!N40)</f>
        <v>0.36771173491202247</v>
      </c>
      <c r="AC40" s="43">
        <f>Basicinfo!AU40*AB40*R40/1000/86.4/0.365</f>
        <v>9.0515082648022927E-3</v>
      </c>
      <c r="AD40" s="43">
        <f>Basicinfo!AU40*AB40*S40/1000/86.4/0.365</f>
        <v>1.6305674724500788E-2</v>
      </c>
      <c r="AE40" s="43">
        <f>Basicinfo!AU40*AB40*T40/1000/86.4/0.365</f>
        <v>0</v>
      </c>
      <c r="AF40" s="43">
        <f>Basicinfo!AU40*AB40*U40/1000/86.4/0.365</f>
        <v>1.3296006968307194E-2</v>
      </c>
      <c r="AG40" s="43">
        <f>((Parameters!$C$80+Parameters!$C$81*Parameters!$C$89)/(Parameters!$C$82+Parameters!$C$89)/(Parameters!$C$90/100*Parameters!$C$91+(Parameters!$C$83+Parameters!$C$84*Parameters!$C$89)/(Parameters!$C$85+Parameters!$C$89)))-Parameters!$C$86+(Basicinfo!AU40-Parameters!$C$88)/Parameters!$C$87</f>
        <v>82.792522654301507</v>
      </c>
      <c r="AH40" s="43">
        <f>((Parameters!$C$80+Parameters!$C$81*Parameters!$C$89)/(Parameters!$C$82+Parameters!$C$89)/(Basicinfo!BY40/100*Parameters!$C$91+(Parameters!$C$83+Parameters!$C$84*Parameters!$C$89)/(Parameters!$C$85+Parameters!$C$89)))-Parameters!$C$86+(Basicinfo!AU40-Parameters!$C$88)/Parameters!$C$87</f>
        <v>64.989640787685929</v>
      </c>
      <c r="AI40" s="43">
        <f>Basicinfo!AU40^Parameters!$C$79*Parameters!$C$78*AH40/AG40</f>
        <v>52.679507818528243</v>
      </c>
      <c r="AJ40" s="43">
        <f>(J40*Parameters!$C$92/1000+Parameters!$C$94/100*S40*100*Parameters!$C$93/1000*86400*Parameters!$C$95/24)/86400</f>
        <v>1.1183939879981475E-2</v>
      </c>
      <c r="AK40" s="43">
        <f t="shared" si="1"/>
        <v>1.1646029181135664E-2</v>
      </c>
      <c r="AL40" s="43">
        <f>(K40*Parameters!$C$92/1000+Parameters!$C$94/100*T40*100*Parameters!$C$93/1000*86400*Parameters!$C$95/24)/86400</f>
        <v>0</v>
      </c>
      <c r="AM40" s="43">
        <f>(Intermediate!N40+Basicinfo!BV40-Intermediate!L40)*Parameters!$C$92/1000/86400</f>
        <v>2.283716820987654E-3</v>
      </c>
      <c r="AN40" s="43">
        <f t="shared" si="2"/>
        <v>1.9648507696263855E-2</v>
      </c>
      <c r="AO40" s="43">
        <f t="shared" si="27"/>
        <v>1.1646029181135664E-2</v>
      </c>
      <c r="AP40" s="43">
        <f t="shared" si="28"/>
        <v>1.5579723789294848E-2</v>
      </c>
      <c r="AQ40" s="43">
        <f t="shared" si="33"/>
        <v>3.6277261235232804E-2</v>
      </c>
      <c r="AR40" s="61">
        <f>(Basicinfo!AU40-Basicinfo!AY40)*F40/1000/86.4/0.365</f>
        <v>2.1392762375321648E-2</v>
      </c>
      <c r="AS40" s="19">
        <f>IF(Basicinfo!AP40-Basicinfo!CB40-Basicinfo!CG40&lt;0,0,(Basicinfo!AP40-Basicinfo!CB40-Basicinfo!CG40)/Basicinfo!G40*1000)</f>
        <v>19.311883471833916</v>
      </c>
      <c r="AT40" s="19">
        <f>Parameters!$C$3*((AS40*86.4*0.365)^Parameters!$C$4)</f>
        <v>125.70095760821434</v>
      </c>
      <c r="AU40" s="19">
        <f>IF(AT40/86.4/0.365*(Basicinfo!G40/1000)-AN40&lt;0,0,AT40/86.4/0.365*(Basicinfo!G40/1000)-AN40)</f>
        <v>0.53996795183191404</v>
      </c>
      <c r="AV40" s="19">
        <f>IF(Basicinfo!AU40&gt;Parameters!$C$13,Parameters!$C$11*(Basicinfo!AU40-Parameters!$C$13)^Parameters!$C$12,0)</f>
        <v>157.58941172145614</v>
      </c>
      <c r="AW40" s="19">
        <f>IF(AV40*V40/1000/86.4/0.365&gt;Basicinfo!AP40*Parameters!$C$15,Basicinfo!AP40*Parameters!$C$15,AV40*V40/1000/86.4/0.365)</f>
        <v>0</v>
      </c>
      <c r="AX40" s="19">
        <f>Basicinfo!AU40-Basicinfo!AW40</f>
        <v>438.44680229257131</v>
      </c>
      <c r="AY40" s="19">
        <f>Parameters!$C$56*AX40+Parameters!$C$57*Basicinfo!AW40</f>
        <v>300.99414725684278</v>
      </c>
      <c r="AZ40" s="19">
        <f>AY40*Basicinfo!BO40/1000/86.4/0.365</f>
        <v>2.964910489271479E-2</v>
      </c>
      <c r="BA40" s="19">
        <f>IF(Basicinfo!AP40-AQ40-AR40-AU40-AW40-AZ40-Basicinfo!CB40-Basicinfo!CG40&lt;0,0,Basicinfo!AP40-AQ40-AR40-AU40-AW40-AZ40-Basicinfo!CB40-Basicinfo!CG40)</f>
        <v>2.0840476210908747</v>
      </c>
      <c r="BB40" s="53">
        <f t="shared" si="34"/>
        <v>493.57843614900111</v>
      </c>
      <c r="BC40" s="56">
        <f>IF(G40=0,0,((Basicinfo!H40*Basicinfo!BE40+Basicinfo!I40*Basicinfo!BF40+Basicinfo!J40*Basicinfo!BG40+Basicinfo!K40*Basicinfo!BH40+Basicinfo!L40*Basicinfo!BI40)*(1-Basicinfo!BN40/G40*Parameters!$C$26/100)/G40)*Basicinfo!BM40)</f>
        <v>17.979089524556684</v>
      </c>
      <c r="BD40" s="43">
        <f>IF(Basicinfo!AW40*Parameters!$C$39-Parameters!$C$40&lt;0,0.001,(Basicinfo!AW40*Parameters!$C$39-Parameters!$C$40)/(Basicinfo!AX40*Parameters!$C$39-Parameters!$C$40))</f>
        <v>1.1415729795936893</v>
      </c>
      <c r="BE40" s="43">
        <f>(BC40*G40*100+Basicinfo!BJ40*Basicinfo!M40*100)*Parameters!$C$29*BD40</f>
        <v>93606.44414784215</v>
      </c>
      <c r="BF40" s="43">
        <f>(Basicinfo!BK40*Basicinfo!P40*100)*BD40*Parameters!$C$29</f>
        <v>1039.5676590493829</v>
      </c>
      <c r="BG40" s="43">
        <f>Parameters!$C$27*(V40+W40)*100</f>
        <v>5.3478906240230408</v>
      </c>
      <c r="BH40" s="43">
        <f>Parameters!$C$28*Basicinfo!R40*100</f>
        <v>0</v>
      </c>
      <c r="BI40" s="43">
        <f t="shared" si="29"/>
        <v>1044.9155496734058</v>
      </c>
      <c r="BJ40" s="43">
        <f>IF(Basicinfo!AM40&lt;Parameters!$C$33,0,Parameters!$C$30*(((Basicinfo!AM40-Parameters!$C$33)^Parameters!$C$31)*(((G40-Basicinfo!BN40)/Basicinfo!G40*100+Parameters!$C$34))^Parameters!$C$32))</f>
        <v>4.587504372376384</v>
      </c>
      <c r="BK40" s="58">
        <f t="shared" si="30"/>
        <v>5339.1152677817217</v>
      </c>
      <c r="BL40" s="61">
        <f>Basicinfo!AZ40+Basicinfo!BA40</f>
        <v>1584.602928990648</v>
      </c>
      <c r="BM40" s="19">
        <f>Basicinfo!BB40+Basicinfo!BC40</f>
        <v>1713.2384076204044</v>
      </c>
      <c r="BN40" s="172">
        <f>IF(Basicinfo!AO40=0,0,IF(Basicinfo!AO40="NA",1,IF(OR(Basicinfo!AO40="SA",Basicinfo!AN40="S"),3,IF(Basicinfo!AN40="N",1,IF(Basicinfo!AO40="ZA",2,0)))))</f>
        <v>1</v>
      </c>
      <c r="BO40" s="27">
        <f>IF($BN40=1,(BL40)*(1+Parameters!$C$21*Parameters!$C$22-Parameters!$C$22*Basicinfo!$AL40),IF($BN40=2,(BL40)*(1+Parameters!$C$21*Parameters!$C$23-Parameters!$C$23*Basicinfo!$AL40),IF($BN40=3,(BL40)*(1+Parameters!$C$21*Parameters!$C$24-Parameters!$C$24*Basicinfo!$AL40),BL40)))</f>
        <v>1560.5275284894112</v>
      </c>
      <c r="BP40" s="27">
        <f>IF($BN40=1,(BM40)*(1+Parameters!$C$21*Parameters!$C$22-Parameters!$C$22*Basicinfo!$AL40),IF($BN40=2,(BM40)*(1+Parameters!$C$21*Parameters!$C$23-Parameters!$C$23*Basicinfo!$AL40),IF($BN40=3,(BM40)*(1+Parameters!$C$21*Parameters!$C$24-Parameters!$C$24*Basicinfo!$AL40),BM40)))</f>
        <v>1687.2086054138442</v>
      </c>
      <c r="BQ40" s="27">
        <f>IF(Basicinfo!AU40=0,0,IF(G40+Basicinfo!M40=0,0,(Parameters!$C$16+BO40/Basicinfo!AU40)*G40+(Parameters!$C$17+BO40/Basicinfo!AU40)*Basicinfo!M40)/(G40+Basicinfo!M40))</f>
        <v>1.4211635180752034</v>
      </c>
      <c r="BR40" s="27">
        <f>IF(Basicinfo!AU40=0,0,IF(G40+Basicinfo!M40=0,0,(Parameters!$C$16+BP40/Basicinfo!AU40)*G40+(Parameters!$C$17+BP40/Basicinfo!AU40)*Basicinfo!M40)/(G40+Basicinfo!M40))</f>
        <v>1.5220118617983194</v>
      </c>
      <c r="BS40" s="27">
        <f>IF(Basicinfo!AU40=0,0,BO40/Basicinfo!AU40)</f>
        <v>1.2423056418786329</v>
      </c>
      <c r="BT40" s="27">
        <f>IF(Basicinfo!AU40=0,0,BP40/Basicinfo!AU40)</f>
        <v>1.3431539856017487</v>
      </c>
      <c r="BU40" s="27">
        <f>IF(SUM(G40,Basicinfo!M40,Basicinfo!P40,W40)=0,0,(BQ40*(G40+Basicinfo!M40)+BS40*(Basicinfo!P40+W40))/SUM(G40,Basicinfo!M40,Basicinfo!P40,W40))</f>
        <v>1.3457174942503747</v>
      </c>
      <c r="BV40" s="19">
        <f>IF(Basicinfo!BR40/Parameters!$C$10&gt;1,1,Basicinfo!BR40/Parameters!$C$10)</f>
        <v>0.51804262365984521</v>
      </c>
      <c r="BW40" s="19">
        <f>Parameters!$C$5+Parameters!$C$6*EXP(BV40*Parameters!$C$8*Parameters!$C$7)</f>
        <v>3.5850162730264284E-2</v>
      </c>
      <c r="BX40" s="19">
        <f>Parameters!$C$5+Parameters!$C$6*EXP(BV40*Parameters!$C$9*Parameters!$C$7)</f>
        <v>3.5380871372012186E-2</v>
      </c>
      <c r="BY40" s="19">
        <f>IF(Basicinfo!AH40+Basicinfo!AI40+Basicinfo!AJ40+Basicinfo!AK40=0,0,(Parameters!$C$18*(Basicinfo!AH40+Basicinfo!AI40)+Parameters!$C$19*Basicinfo!AJ40+Parameters!$C$20*Basicinfo!AK40)/(Basicinfo!AH40+Basicinfo!AI40+Basicinfo!AJ40+Basicinfo!AK40))</f>
        <v>2.614539452237255E-2</v>
      </c>
      <c r="BZ40" s="19">
        <f>IF(Basicinfo!AJ40+Basicinfo!AK40=0,Parameters!$C$18,(Parameters!$C$19*Basicinfo!AJ40+Parameters!$C$20*Basicinfo!AK40)/(Basicinfo!AJ40+Basicinfo!AK40))</f>
        <v>1.8775347618289043E-2</v>
      </c>
      <c r="CA40" s="19">
        <f>IF(SUM(G40,Basicinfo!M40,Basicinfo!P40,W40)=0,0,(BW40*G40+BX40*Basicinfo!M40+BY40*Basicinfo!P40+BZ40*W40)/(SUM(G40,Basicinfo!M40,Basicinfo!P40,W40)))</f>
        <v>3.1631736620779609E-2</v>
      </c>
      <c r="CB40" s="19">
        <f>IF(Y40=0,Basicinfo!BP40,Basicinfo!BP40-(AU40*X40/Y40*Intermediate!BQ40*86400*365/1000000)*1000/(X40*100))</f>
        <v>66.939897647346911</v>
      </c>
      <c r="CC40" s="19">
        <f>IF(Y40=0,Basicinfo!BQ40,Basicinfo!BQ40-(AU40*Basicinfo!AV40/Basicinfo!AU40*X40/Y40*Intermediate!BR40*86400*365/1000000)*1000/(X40*100))</f>
        <v>71.012295677062909</v>
      </c>
      <c r="CD40" s="19">
        <f>IF(OR(Y40=0,AA40=0),BP40/100,BP40/100-(AU40*Basicinfo!AV40/Basicinfo!AU40*(Basicinfo!P40+W40)/Y40*Intermediate!BT40*86400*365/1000000+AW40*Basicinfo!AV40/Basicinfo!AU40*Intermediate!BT40*86400*365/1000000)*1000/(AA40*100))</f>
        <v>15.424753909749928</v>
      </c>
      <c r="CE40" s="19">
        <f t="shared" si="35"/>
        <v>510842.02795018227</v>
      </c>
      <c r="CF40" s="19">
        <f t="shared" si="36"/>
        <v>94427.346576520911</v>
      </c>
      <c r="CG40" s="19">
        <f>IF(AY40=0,0,((CB40^Parameters!$C$58))/AY40*100)</f>
        <v>11.83788826444113</v>
      </c>
      <c r="CH40" s="19">
        <f>IF(SUM(Basicinfo!AB40:AG40)=0,0,(Parameters!$C$59*Basicinfo!AB40+Parameters!$C$60*SUM(Basicinfo!AC40:AE40)+Parameters!$C$61*Basicinfo!AF40+Parameters!$C$62*Basicinfo!AG40)/SUM(Basicinfo!AB40:AG40))</f>
        <v>6.0077196633303173E-2</v>
      </c>
      <c r="CI40" s="299">
        <f t="shared" si="31"/>
        <v>6</v>
      </c>
      <c r="CJ40" s="19">
        <f t="shared" si="37"/>
        <v>45.455938856278117</v>
      </c>
      <c r="CK40" s="19">
        <f t="shared" si="9"/>
        <v>9.2094661207111379</v>
      </c>
      <c r="CL40" s="19">
        <f>IF($BB40=0,0,$CJ40^Parameters!$C$58*100/$BB40)</f>
        <v>5.1951233031650617</v>
      </c>
      <c r="CM40" s="301">
        <f>IF(CK40=0,0,(1/(1+Parameters!$C$116*BB40^Parameters!$E$120)*Basicinfo!AH40/Basicinfo!G40+1/(1+Parameters!$C$117*BB40^Parameters!$C$121)*Basicinfo!AI40/Basicinfo!G40)*(CK40)^Parameters!$C$124+(1/(1+Parameters!$C$118*BB40^Parameters!$C$122)*Basicinfo!AJ40/Basicinfo!G40+1/(1+Parameters!$C$119*BB40^Parameters!$C$123)*Basicinfo!AK40/Basicinfo!G40)*(CK40)^Parameters!$C$125)</f>
        <v>2.9453472146344284</v>
      </c>
      <c r="CN40" s="19">
        <f>IF(SUM(Basicinfo!AB40:AG40)=0,0,(Parameters!$C$128*Basicinfo!AB40+Parameters!$C$129*(SUM(Basicinfo!AC40:AE40))+Parameters!$C$130*Basicinfo!AF40+Parameters!$C$131*Basicinfo!AG40)/SUM(Basicinfo!AB40:AG40))</f>
        <v>1.0011028090471882E-2</v>
      </c>
      <c r="CO40" s="19">
        <f>IF(Basicinfo!AH40+Basicinfo!AI40+Basicinfo!AJ40+Basicinfo!AK40=0,0,(Parameters!$C$132*(Basicinfo!AH40+Basicinfo!AI40)+Parameters!$C$133*Basicinfo!AJ40+Parameters!$C$134*Basicinfo!AK40)/(Basicinfo!AH40+Basicinfo!AI40+Basicinfo!AJ40+Basicinfo!AK40))</f>
        <v>5.0000000000000001E-4</v>
      </c>
      <c r="CP40" s="19">
        <f>IF(Basicinfo!AJ40+Basicinfo!AK40=0,0,(Parameters!$C$133*Basicinfo!AJ40+Parameters!$C$134*Basicinfo!AK40)/(Basicinfo!AJ40+Basicinfo!AK40))</f>
        <v>4.999999999999999E-4</v>
      </c>
      <c r="CQ40" s="19">
        <f>IF(Z40=0,0,(CN40*(Z40-AA40)+CO40*Basicinfo!P40+CP40*(Basicinfo!Q40+Basicinfo!R40))/Z40)</f>
        <v>5.6140456629015789E-3</v>
      </c>
      <c r="CR40" s="289">
        <f>Basicinfo!EI40</f>
        <v>1.8936953684210531E-2</v>
      </c>
      <c r="CS40" s="19">
        <f>IF(SUM(Basicinfo!AB40:AG40)=0,0,(Basicinfo!AB40*Parameters!$C$43+(Basicinfo!AC40+Basicinfo!AD40)*Parameters!$C$44+Basicinfo!AE40*Parameters!$C$45+(Basicinfo!AF40+Basicinfo!AG40)*Parameters!$C$46)/SUM(Basicinfo!AB40:AG40))</f>
        <v>24.712347431852585</v>
      </c>
      <c r="CT40" s="19">
        <f>(Parameters!$C$41*CS40+Parameters!$C$42)</f>
        <v>527.06594380489639</v>
      </c>
      <c r="CU40" s="19">
        <f>CT40+Basicinfo!BR40/(Parameters!$C$47*Parameters!$C$49*Parameters!$C$48*10000/1000000)</f>
        <v>709.52120748383561</v>
      </c>
      <c r="CV40" s="19">
        <f>IF(BK40/Basicinfo!G40&lt;Parameters!$C$35,Parameters!$C$35,Parameters!$C$37*(BK40/Basicinfo!G40)^Parameters!$C$38)</f>
        <v>1.385327860091885</v>
      </c>
      <c r="CW40" s="19">
        <f>IF(BK40/Basicinfo!G40&lt;Parameters!$C$35,Parameters!$C$36,Parameters!$C$36*(BK40/Basicinfo!G40)^Parameters!$C$38)</f>
        <v>3.25552047121593</v>
      </c>
      <c r="CX40" s="27">
        <f>IF(Basicinfo!AJ40+Basicinfo!AK40=0,0,(Parameters!$C$53*Basicinfo!AJ40+Parameters!$C$54*Basicinfo!AK40)/(Basicinfo!AJ40+Basicinfo!AK40))</f>
        <v>694.37544680173187</v>
      </c>
      <c r="CY40" s="56">
        <f>IF(Basicinfo!AU40*AB40=0,0,((Basicinfo!AZ40+Basicinfo!BA40)/Basicinfo!AU40+Parameters!$C$76/(Basicinfo!AU40*AB40)*100))</f>
        <v>2.1274549159248535</v>
      </c>
      <c r="CZ40" s="43">
        <f>IF(Basicinfo!AU40*AB40=0,0,(Parameters!$C$77)/(Basicinfo!AU40*AB40)*100)</f>
        <v>0.54123957220676011</v>
      </c>
      <c r="DA40" s="43">
        <f>IF(AD40+AJ40=0,0,((J40*Parameters!$C$96+Parameters!$C$94/100*S40*100*Parameters!$C$93/1000*86400*Parameters!$C$95/24*Parameters!$C$98)*AI40+AD40*CY40*86400*365)/((AD40+AJ40*AI40/365)*86400*365))</f>
        <v>10.223555000425991</v>
      </c>
      <c r="DB40" s="43">
        <f>IF(AD40+AJ40=0,0,((J40*Parameters!$C$97+Parameters!$C$94/100*S40*100*Parameters!$C$93/1000*86400*Parameters!$C$95/24*Parameters!$C$99)*AI40+AD40*CZ40*86400*365)/((AD40+AJ40*AI40/365)*86400*365))</f>
        <v>1.840726079597482</v>
      </c>
      <c r="DC40" s="42">
        <f>IF(AE40+AL40=0,0,((K40*Parameters!$C$96+Parameters!$C$94/100*T40*100*Parameters!$C$93/1000*86400*Parameters!$C$95/24*Parameters!$C$98)*365+AE40*CY40*86400*365)/((AE40+AL40)*86400*365))</f>
        <v>0</v>
      </c>
      <c r="DD40" s="42">
        <f>IF(AE40+AL40=0,0,((K40*Parameters!$C$97+Parameters!$C$94/100*T40*100*Parameters!$C$93/1000*86400*Parameters!$C$95/24*Parameters!$C$99)*365+AE40*CZ40*86400*365)/((AE40+AL40)*86400*365))</f>
        <v>0</v>
      </c>
      <c r="DE40" s="42">
        <f>IF(Basicinfo!AH40+Basicinfo!AI40+Basicinfo!AJ40+Basicinfo!AK40=0,0,((Basicinfo!AH40+Basicinfo!AI40)*Parameters!$C$107+(Basicinfo!AJ40+Basicinfo!AK40)*Parameters!$C$106)/(Basicinfo!AH40+Basicinfo!AI40+Basicinfo!AJ40+Basicinfo!AK40))</f>
        <v>68.169996449085843</v>
      </c>
      <c r="DF40" s="42">
        <f>IF(Basicinfo!AH40+Basicinfo!AI40+Basicinfo!AJ40+Basicinfo!AK40=0,0,((Basicinfo!AH40+Basicinfo!AI40)*Parameters!$C$109+(Basicinfo!AJ40+Basicinfo!AK40)*Parameters!$C$108)/(Basicinfo!AH40+Basicinfo!AI40+Basicinfo!AJ40+Basicinfo!AK40))</f>
        <v>68.169996449085843</v>
      </c>
      <c r="DG40" s="42">
        <f>Intermediate!AC40*Intermediate!CY40*(1-Parameters!$C$102/100*Basicinfo!BZ40/100)*(1-Parameters!$C$104/100*Basicinfo!CA40/100)*86400*365/1000000</f>
        <v>0.60727852659353587</v>
      </c>
      <c r="DH40" s="42">
        <f>Intermediate!AC40*Intermediate!CZ40*(1-Parameters!$C$103/100*Basicinfo!BZ40/100)*(1-Parameters!$C$105/100*Basicinfo!CA40/100)*86400*365/1000000</f>
        <v>0.15449595076422615</v>
      </c>
      <c r="DI40" s="42">
        <f>(Intermediate!AK40*Intermediate!DA40+(Intermediate!AE40+Intermediate!AL40)*Intermediate!DC40)*86400*365/1000000</f>
        <v>3.7547966234173722</v>
      </c>
      <c r="DJ40" s="42">
        <f>(Intermediate!AK40*Intermediate!DB40+(Intermediate!AE40+Intermediate!AL40)*Intermediate!DD40)*86400*365/1000000</f>
        <v>0.67604195096724529</v>
      </c>
      <c r="DK40" s="42">
        <f>((Basicinfo!AZ40+Basicinfo!BA40)*Intermediate!AB40+Parameters!$C$76*100)/1000*Intermediate!U40*(1-Intermediate!DE40/100)+(1-Parameters!$C$110/100)*M40*Parameters!$C$100*(1-DE40/100)*365/1000000+(1-Parameters!$C$112/100)*P40*Parameters!$C$96*365/1000000+(1-Parameters!$C$112/100)*O40*Parameters!$C$96*(1-DE40/100)*365/1000000</f>
        <v>1.7122644696657097</v>
      </c>
      <c r="DL40" s="42">
        <f>Parameters!$C$77*100/1000*Intermediate!U40*(1-Intermediate!DF40/100)+(1-Parameters!$C$111/100)*M40*Parameters!$C$101*(1-DF40/100)*365/1000000+(1-Parameters!$C$113/100)*P40*Parameters!$C$97*365/1000000+(1-Parameters!$C$113/100)*O40*Parameters!$C$97*(1-DF40/100)*365/1000000</f>
        <v>0.26300818009915194</v>
      </c>
      <c r="DM40" s="31"/>
      <c r="DN40" s="31"/>
      <c r="DO40" s="31"/>
      <c r="DP40" s="31"/>
      <c r="DQ40" s="31"/>
      <c r="DR40" s="31"/>
      <c r="DS40" s="31"/>
      <c r="DT40" s="188">
        <f>BO40*(Basicinfo!$P40+Basicinfo!$Q40)/1000</f>
        <v>85.437947057882383</v>
      </c>
      <c r="DU40" s="188">
        <f>DT40*Basicinfo!$AZ40/(Basicinfo!$AZ40+Basicinfo!$BA40)</f>
        <v>49.818934263542786</v>
      </c>
      <c r="DV40" s="188">
        <f>DT40*Basicinfo!$BC40/(Basicinfo!$BB40+Basicinfo!$BC40)</f>
        <v>34.507254748237969</v>
      </c>
      <c r="DW40" s="188">
        <f>BP40*(Basicinfo!$P40+Basicinfo!$Q40)/1000</f>
        <v>92.37366010741907</v>
      </c>
      <c r="DX40" s="188">
        <f>DW40*Basicinfo!$BB40/(Basicinfo!$BB40+Basicinfo!$BC40)</f>
        <v>55.065162757940946</v>
      </c>
      <c r="DY40" s="188">
        <f>DW40*Basicinfo!$BC40/(Basicinfo!$BB40+Basicinfo!$BC40)</f>
        <v>37.308497349478124</v>
      </c>
      <c r="DZ40" s="188">
        <f t="shared" si="38"/>
        <v>117.1075150177339</v>
      </c>
      <c r="EA40" s="188">
        <f>DZ40*Basicinfo!$AZ40/(Basicinfo!$AZ40+Basicinfo!$BA40)</f>
        <v>68.285484299883848</v>
      </c>
      <c r="EB40" s="188">
        <f>DZ40*Basicinfo!$BC40/(Basicinfo!$BB40+Basicinfo!$BC40)</f>
        <v>47.298173619648381</v>
      </c>
      <c r="EC40" s="188">
        <f t="shared" si="39"/>
        <v>126.6141118880572</v>
      </c>
      <c r="ED40" s="188">
        <f>EC40*Basicinfo!$AZ40/(Basicinfo!$AZ40+Basicinfo!$BA40)</f>
        <v>73.828788427167922</v>
      </c>
      <c r="EE40" s="188">
        <f>EC40*Basicinfo!$BC40/(Basicinfo!$BB40+Basicinfo!$BC40)</f>
        <v>51.137762131422939</v>
      </c>
      <c r="EF40" s="190">
        <f>(Basicinfo!BP40-BL40/100)*Intermediate!X40/10</f>
        <v>396.75590409825111</v>
      </c>
      <c r="EG40" s="191">
        <f>(Basicinfo!BQ40-BM40/100)*Intermediate!X40/10</f>
        <v>418.09570628480515</v>
      </c>
      <c r="EH40" s="197">
        <f>IF(AU40=0,0,$BS40*((Basicinfo!$P40+Basicinfo!$Q40)*Intermediate!$AT40*1000+$AW40*3600*24*365)/1000000*Basicinfo!AZ40/(Basicinfo!$AZ40+Basicinfo!$BA40))</f>
        <v>4.9852855866661594</v>
      </c>
      <c r="EI40" s="197">
        <f>IF(AU40=0,0,$BS40*((Basicinfo!$P40+Basicinfo!$Q40)*Intermediate!$AT40*1000+$AW40*3600*24*365)/1000000*Basicinfo!BA40/(Basicinfo!$AZ40+Basicinfo!$BA40))</f>
        <v>3.5643265702061417</v>
      </c>
      <c r="EJ40" s="198">
        <f>IF(AU40=0,0,$BS40*($AT40*$X40*1000)/1000000*Basicinfo!AZ40/(Basicinfo!$AZ40+Basicinfo!$BA40))</f>
        <v>6.8331979736437027</v>
      </c>
      <c r="EK40" s="198">
        <f>IF(AU40=0,0,$BS40*($AT40*$X40*1000)/1000000*Basicinfo!BA40/(Basicinfo!$AZ40+Basicinfo!$BA40))</f>
        <v>4.8855273531530177</v>
      </c>
      <c r="EL40" s="147">
        <f>Parameters!$C$150/Basicinfo!$AV40*100</f>
        <v>8.2578705150271658E-2</v>
      </c>
      <c r="EM40" s="147">
        <f>Parameters!$C$151/Basicinfo!$AV40*100</f>
        <v>0.16515741030054332</v>
      </c>
      <c r="EN40" s="147">
        <f>(Parameters!$C$150+Parameters!$C$151)/Intermediate!$BB40*100</f>
        <v>0.60780613176835829</v>
      </c>
      <c r="EO40" s="193">
        <f>IF(EN40=0,0,(1/(1+Parameters!$C$116*$BB40^Parameters!$C$120)*Basicinfo!$AH40/Basicinfo!$G40+1/(1+Parameters!$C$117*$BB40^Parameters!$C$121)*Basicinfo!$AI40/Basicinfo!$G40)*(EN40)^Parameters!$C$124+(1/(1+Parameters!$C$118*$BB40^Parameters!$C$122)*Basicinfo!$AJ40/Basicinfo!AW40+1/(1+Parameters!$C$119*$BB40^Parameters!$C$123)*Basicinfo!$AK40/Basicinfo!$G40)*(EN40)^Parameters!$C$125)</f>
        <v>0.35037382339411427</v>
      </c>
      <c r="EP40" s="199">
        <f>EL40*($AT40*Basicinfo!$P40*1000+$AW40*3600*24*365)/1000000</f>
        <v>0.56553533686984347</v>
      </c>
      <c r="EQ40" s="199">
        <f>EM40*($AT40*Basicinfo!$P40*1000+$AW40*3600*24*365)/1000000</f>
        <v>1.1310706737396869</v>
      </c>
      <c r="ER40" s="199">
        <f t="shared" si="40"/>
        <v>0.77896866187870728</v>
      </c>
      <c r="ES40" s="199">
        <f t="shared" si="41"/>
        <v>1.5579373237574146</v>
      </c>
      <c r="ET40" s="181">
        <f t="shared" si="14"/>
        <v>23.027452640209003</v>
      </c>
      <c r="EU40" s="147">
        <f>Intermediate!F40*(Parameters!$C$150)/1000*100</f>
        <v>0.12452544366385251</v>
      </c>
      <c r="EV40" s="147">
        <f>Intermediate!F40*(Parameters!$C$151)/1000*100</f>
        <v>0.24905088732770503</v>
      </c>
      <c r="EW40" s="181">
        <f>'Local emissions'!$S40*Basicinfo!AZ40/(Basicinfo!$AZ40+Basicinfo!$BA40)-Intermediate!EU40</f>
        <v>1.0085873951343363</v>
      </c>
      <c r="EX40" s="147">
        <f>'Local emissions'!$S40*Basicinfo!BA40/(Basicinfo!$AZ40+Basicinfo!$BA40)-Intermediate!EV40</f>
        <v>0.56109010222209799</v>
      </c>
      <c r="EY40" s="188">
        <f t="shared" si="15"/>
        <v>4.4197502497963157</v>
      </c>
      <c r="EZ40" s="188">
        <f t="shared" si="16"/>
        <v>2.4332558964664548</v>
      </c>
      <c r="FA40" s="188">
        <f t="shared" si="17"/>
        <v>6.0542293117649955</v>
      </c>
      <c r="FB40" s="181">
        <f t="shared" si="18"/>
        <v>3.3275900293956031</v>
      </c>
      <c r="FC40" s="181">
        <f>'Local emissions'!Y40-Intermediate!ET40</f>
        <v>170.58886525643703</v>
      </c>
      <c r="FD40" s="188">
        <f t="shared" si="19"/>
        <v>14.744541257598808</v>
      </c>
      <c r="FE40" s="188">
        <f t="shared" si="20"/>
        <v>9.9899219556754435</v>
      </c>
      <c r="FF40" s="181">
        <f t="shared" si="21"/>
        <v>9.884394801011716</v>
      </c>
      <c r="FG40" s="201">
        <f t="shared" si="22"/>
        <v>6.8464597742363411</v>
      </c>
      <c r="FH40" s="181">
        <f t="shared" si="23"/>
        <v>129.12354746791473</v>
      </c>
      <c r="FJ40" s="147">
        <f>AVERAGE(Parameters!$C$132:$C$134)*'Local emissions'!J40*3600*24*365/1000000</f>
        <v>3.2861262889360913E-2</v>
      </c>
      <c r="FK40" s="147">
        <f>'Local emissions'!AJ40+CT40*BJ40/100*Intermediate!X40*100/1000000</f>
        <v>0.65296797353047342</v>
      </c>
      <c r="FL40" s="31">
        <f>(Parameters!$C$18*(Basicinfo!AH40+Basicinfo!AI40)+Parameters!$C$19*Basicinfo!AJ40+Parameters!$C$20*Basicinfo!AK40)/Basicinfo!G40</f>
        <v>2.6145394522447036E-2</v>
      </c>
      <c r="FM40" s="181">
        <f t="shared" si="32"/>
        <v>0.44521500290356109</v>
      </c>
    </row>
    <row r="41" spans="1:169">
      <c r="A41" s="39" t="str">
        <f>Basicinfo!A41</f>
        <v>Krems</v>
      </c>
      <c r="B41" s="63">
        <f>Basicinfo!B41</f>
        <v>1330</v>
      </c>
      <c r="C41" s="63">
        <f>Basicinfo!C41</f>
        <v>4020</v>
      </c>
      <c r="D41" s="61">
        <f>Basicinfo!U41*Basicinfo!V41/1000+Basicinfo!Y41</f>
        <v>1.9936828953050421</v>
      </c>
      <c r="E41" s="19">
        <f>Basicinfo!W41*Basicinfo!X41/1000+Basicinfo!Z41</f>
        <v>0.442408366898072</v>
      </c>
      <c r="F41" s="19">
        <f t="shared" si="0"/>
        <v>2.4360912622031141</v>
      </c>
      <c r="G41" s="19">
        <f>SUM(Basicinfo!H41:L41)</f>
        <v>150.42433967691545</v>
      </c>
      <c r="H41" s="19">
        <f>IF(Basicinfo!N41&lt;Parameters!$C$68,Parameters!$C$69,Basicinfo!BS41/(Basicinfo!N41*100))</f>
        <v>32.026033020042959</v>
      </c>
      <c r="I41" s="19">
        <f>IF(Basicinfo!N41=0,0,Basicinfo!BU41*(1-Basicinfo!BX41/100))</f>
        <v>19222.351718809346</v>
      </c>
      <c r="J41" s="19">
        <f>IF(Basicinfo!N41=0,0,Basicinfo!BU41*Basicinfo!BX41/100)</f>
        <v>20006.937503250545</v>
      </c>
      <c r="K41" s="19">
        <f>IF(Basicinfo!N41=0,0,Basicinfo!BT41-Basicinfo!BU41)</f>
        <v>0</v>
      </c>
      <c r="L41" s="27">
        <f>Basicinfo!BV41*Basicinfo!BW41/100</f>
        <v>3976.0066666666653</v>
      </c>
      <c r="M41" s="27">
        <f>Basicinfo!BV41-Intermediate!L41</f>
        <v>3976.0066666666653</v>
      </c>
      <c r="N41" s="73">
        <f>Basicinfo!BS41-SUM(I41:K41)-Basicinfo!BV41</f>
        <v>0</v>
      </c>
      <c r="O41" s="19">
        <f>IF(Basicinfo!AH41+Basicinfo!AI41+Basicinfo!AJ41+Basicinfo!AK41=0,0,N41*(Basicinfo!AH41+Basicinfo!AI41)/SUM(Basicinfo!AH41:AK41))</f>
        <v>0</v>
      </c>
      <c r="P41" s="73">
        <f t="shared" si="25"/>
        <v>0</v>
      </c>
      <c r="Q41" s="19">
        <f>IF(Basicinfo!BS41=0,Basicinfo!N41,IF(H41&gt;Parameters!$C$70,Parameters!$C$64*(Parameters!$C$65*Parameters!$C$70)^(Parameters!$C$66-Parameters!$C$67*LOG(Parameters!$C$65*Parameters!$C$70,10))/100*Basicinfo!N41,Parameters!$C$64*(Parameters!$C$65*H41)^(Parameters!$C$66-Parameters!$C$67*LOG(Parameters!$C$65*H41,10))/100*Basicinfo!N41))</f>
        <v>5.4912905018178417</v>
      </c>
      <c r="R41" s="19">
        <f>IF(Basicinfo!BS41=0,Q41*(1-Basicinfo!BX41/100),IF(H41&lt;Parameters!$C$75,Q41*Basicinfo!BU41/Basicinfo!BS41*(1-Basicinfo!BX41/100)*(-Parameters!$C$74+Parameters!$C$73*LN(H41*100)),Q41*Basicinfo!BU41/Basicinfo!BS41*(1-Basicinfo!BX41/100)))</f>
        <v>1.4339871768515662</v>
      </c>
      <c r="S41" s="19">
        <f>IF(Basicinfo!BS41=0,Q41*Basicinfo!BX41/100,Q41*Basicinfo!BU41/Basicinfo!BS41*Basicinfo!BX41/100)</f>
        <v>2.3285475375139786</v>
      </c>
      <c r="T41" s="19">
        <f>IF(Basicinfo!BS41=0,0,IF(H41&lt;Parameters!$C$75,Q41*K41/Basicinfo!BS41*(-Parameters!$C$74+Parameters!$C$73*LN(H41*100)),Q41*K41/Basicinfo!BS41))</f>
        <v>0</v>
      </c>
      <c r="U41" s="19">
        <f t="shared" si="26"/>
        <v>1.7287557874522967</v>
      </c>
      <c r="V41" s="19">
        <f>IF(Basicinfo!AL41&gt;Parameters!$C$14,Basicinfo!Q41,0)</f>
        <v>0</v>
      </c>
      <c r="W41" s="19">
        <f>IF(Basicinfo!AL41&gt;Parameters!$C$14,0,Basicinfo!Q41)</f>
        <v>0</v>
      </c>
      <c r="X41" s="19">
        <f>G41+Basicinfo!M41</f>
        <v>166.96210836155123</v>
      </c>
      <c r="Y41" s="19">
        <f>IF(Basicinfo!G41-F41-Q41-V41-Basicinfo!O41-Basicinfo!R41-Basicinfo!S41&lt;0,0,Basicinfo!G41-F41-Q41-V41-Basicinfo!O41-Basicinfo!R41-Basicinfo!S41)</f>
        <v>231.89934004437231</v>
      </c>
      <c r="Z41" s="19">
        <f>Basicinfo!G41-F41-Basicinfo!BO41-Q41-Basicinfo!O41</f>
        <v>213.46047371298891</v>
      </c>
      <c r="AA41" s="53">
        <f>IF(Z41+Basicinfo!BO41-X41&gt;0,Z41+Basicinfo!BO41-X41,0)</f>
        <v>64.938358210427822</v>
      </c>
      <c r="AB41" s="56">
        <f>IF(Basicinfo!N41=0,0,Parameters!$C$71+Parameters!$C$72*Q41/Basicinfo!N41)</f>
        <v>0.42955605516728734</v>
      </c>
      <c r="AC41" s="43">
        <f>Basicinfo!AU41*AB41*R41/1000/86.4/0.365</f>
        <v>1.908786450328007E-2</v>
      </c>
      <c r="AD41" s="43">
        <f>Basicinfo!AU41*AB41*S41/1000/86.4/0.365</f>
        <v>3.0995395637428393E-2</v>
      </c>
      <c r="AE41" s="43">
        <f>Basicinfo!AU41*AB41*T41/1000/86.4/0.365</f>
        <v>0</v>
      </c>
      <c r="AF41" s="43">
        <f>Basicinfo!AU41*AB41*U41/1000/86.4/0.365</f>
        <v>2.3011542057580322E-2</v>
      </c>
      <c r="AG41" s="43">
        <f>((Parameters!$C$80+Parameters!$C$81*Parameters!$C$89)/(Parameters!$C$82+Parameters!$C$89)/(Parameters!$C$90/100*Parameters!$C$91+(Parameters!$C$83+Parameters!$C$84*Parameters!$C$89)/(Parameters!$C$85+Parameters!$C$89)))-Parameters!$C$86+(Basicinfo!AU41-Parameters!$C$88)/Parameters!$C$87</f>
        <v>75.819531184558642</v>
      </c>
      <c r="AH41" s="43">
        <f>((Parameters!$C$80+Parameters!$C$81*Parameters!$C$89)/(Parameters!$C$82+Parameters!$C$89)/(Basicinfo!BY41/100*Parameters!$C$91+(Parameters!$C$83+Parameters!$C$84*Parameters!$C$89)/(Parameters!$C$85+Parameters!$C$89)))-Parameters!$C$86+(Basicinfo!AU41-Parameters!$C$88)/Parameters!$C$87</f>
        <v>58.01664931794307</v>
      </c>
      <c r="AI41" s="43">
        <f>Basicinfo!AU41^Parameters!$C$79*Parameters!$C$78*AH41/AG41</f>
        <v>27.412578447598062</v>
      </c>
      <c r="AJ41" s="43">
        <f>(J41*Parameters!$C$92/1000+Parameters!$C$94/100*S41*100*Parameters!$C$93/1000*86400*Parameters!$C$95/24)/86400</f>
        <v>3.0180649216789483E-2</v>
      </c>
      <c r="AK41" s="43">
        <f t="shared" si="1"/>
        <v>1.9297527813517856E-2</v>
      </c>
      <c r="AL41" s="43">
        <f>(K41*Parameters!$C$92/1000+Parameters!$C$94/100*T41*100*Parameters!$C$93/1000*86400*Parameters!$C$95/24)/86400</f>
        <v>0</v>
      </c>
      <c r="AM41" s="43">
        <f>(Intermediate!N41+Basicinfo!BV41-Intermediate!L41)*Parameters!$C$92/1000/86400</f>
        <v>5.9824174382716033E-3</v>
      </c>
      <c r="AN41" s="43">
        <f t="shared" si="2"/>
        <v>3.7070354494955923E-2</v>
      </c>
      <c r="AO41" s="43">
        <f t="shared" si="27"/>
        <v>1.9297527813517856E-2</v>
      </c>
      <c r="AP41" s="43">
        <f t="shared" si="28"/>
        <v>2.8993959495851925E-2</v>
      </c>
      <c r="AQ41" s="43">
        <f t="shared" si="33"/>
        <v>6.7379351812649854E-2</v>
      </c>
      <c r="AR41" s="61">
        <f>(Basicinfo!AU41-Basicinfo!AY41)*F41/1000/86.4/0.365</f>
        <v>1.8673666845942648E-2</v>
      </c>
      <c r="AS41" s="19">
        <f>IF(Basicinfo!AP41-Basicinfo!CB41-Basicinfo!CG41&lt;0,0,(Basicinfo!AP41-Basicinfo!CB41-Basicinfo!CG41)/Basicinfo!G41*1000)</f>
        <v>13.144042314300551</v>
      </c>
      <c r="AT41" s="19">
        <f>Parameters!$C$3*((AS41*86.4*0.365)^Parameters!$C$4)</f>
        <v>77.825273355504322</v>
      </c>
      <c r="AU41" s="19">
        <f>IF(AT41/86.4/0.365*(Basicinfo!G41/1000)-AN41&lt;0,0,AT41/86.4/0.365*(Basicinfo!G41/1000)-AN41)</f>
        <v>0.55478238063352059</v>
      </c>
      <c r="AV41" s="19">
        <f>IF(Basicinfo!AU41&gt;Parameters!$C$13,Parameters!$C$11*(Basicinfo!AU41-Parameters!$C$13)^Parameters!$C$12,0)</f>
        <v>89.369453821390962</v>
      </c>
      <c r="AW41" s="19">
        <f>IF(AV41*V41/1000/86.4/0.365&gt;Basicinfo!AP41*Parameters!$C$15,Basicinfo!AP41*Parameters!$C$15,AV41*V41/1000/86.4/0.365)</f>
        <v>0</v>
      </c>
      <c r="AX41" s="19">
        <f>Basicinfo!AU41-Basicinfo!AW41</f>
        <v>332.69860164071417</v>
      </c>
      <c r="AY41" s="19">
        <f>Parameters!$C$56*AX41+Parameters!$C$57*Basicinfo!AW41</f>
        <v>230.8029011171285</v>
      </c>
      <c r="AZ41" s="19">
        <f>AY41*Basicinfo!BO41/1000/86.4/0.365</f>
        <v>0.13495699671594535</v>
      </c>
      <c r="BA41" s="19">
        <f>IF(Basicinfo!AP41-AQ41-AR41-AU41-AW41-AZ41-Basicinfo!CB41-Basicinfo!CG41&lt;0,0,Basicinfo!AP41-AQ41-AR41-AU41-AW41-AZ41-Basicinfo!CB41-Basicinfo!CG41)</f>
        <v>2.3765149906679803</v>
      </c>
      <c r="BB41" s="53">
        <f t="shared" si="34"/>
        <v>351.09908378857421</v>
      </c>
      <c r="BC41" s="56">
        <f>IF(G41=0,0,((Basicinfo!H41*Basicinfo!BE41+Basicinfo!I41*Basicinfo!BF41+Basicinfo!J41*Basicinfo!BG41+Basicinfo!K41*Basicinfo!BH41+Basicinfo!L41*Basicinfo!BI41)*(1-Basicinfo!BN41/G41*Parameters!$C$26/100)/G41)*Basicinfo!BM41)</f>
        <v>10.740543449873266</v>
      </c>
      <c r="BD41" s="43">
        <f>IF(Basicinfo!AW41*Parameters!$C$39-Parameters!$C$40&lt;0,0.001,(Basicinfo!AW41*Parameters!$C$39-Parameters!$C$40)/(Basicinfo!AX41*Parameters!$C$39-Parameters!$C$40))</f>
        <v>1.1187489066450749</v>
      </c>
      <c r="BE41" s="43">
        <f>(BC41*G41*100+Basicinfo!BJ41*Basicinfo!M41*100)*Parameters!$C$29*BD41</f>
        <v>181387.7173266123</v>
      </c>
      <c r="BF41" s="43">
        <f>(Basicinfo!BK41*Basicinfo!P41*100)*BD41*Parameters!$C$29</f>
        <v>4221.1692076194176</v>
      </c>
      <c r="BG41" s="43">
        <f>Parameters!$C$27*(V41+W41)*100</f>
        <v>0</v>
      </c>
      <c r="BH41" s="43">
        <f>Parameters!$C$28*Basicinfo!R41*100</f>
        <v>0</v>
      </c>
      <c r="BI41" s="43">
        <f t="shared" si="29"/>
        <v>4221.1692076194176</v>
      </c>
      <c r="BJ41" s="43">
        <f>IF(Basicinfo!AM41&lt;Parameters!$C$33,0,Parameters!$C$30*(((Basicinfo!AM41-Parameters!$C$33)^Parameters!$C$31)*(((G41-Basicinfo!BN41)/Basicinfo!G41*100+Parameters!$C$34))^Parameters!$C$32))</f>
        <v>5.8290983487579737</v>
      </c>
      <c r="BK41" s="58">
        <f t="shared" si="30"/>
        <v>14794.437643154755</v>
      </c>
      <c r="BL41" s="61">
        <f>Basicinfo!AZ41+Basicinfo!BA41</f>
        <v>1593.0367581600149</v>
      </c>
      <c r="BM41" s="19">
        <f>Basicinfo!BB41+Basicinfo!BC41</f>
        <v>1712.1861611030722</v>
      </c>
      <c r="BN41" s="172">
        <f>IF(Basicinfo!AO41=0,0,IF(Basicinfo!AO41="NA",1,IF(OR(Basicinfo!AO41="SA",Basicinfo!AN41="S"),3,IF(Basicinfo!AN41="N",1,IF(Basicinfo!AO41="ZA",2,0)))))</f>
        <v>0</v>
      </c>
      <c r="BO41" s="27">
        <f>IF($BN41=1,(BL41)*(1+Parameters!$C$21*Parameters!$C$22-Parameters!$C$22*Basicinfo!$AL41),IF($BN41=2,(BL41)*(1+Parameters!$C$21*Parameters!$C$23-Parameters!$C$23*Basicinfo!$AL41),IF($BN41=3,(BL41)*(1+Parameters!$C$21*Parameters!$C$24-Parameters!$C$24*Basicinfo!$AL41),BL41)))</f>
        <v>1593.0367581600149</v>
      </c>
      <c r="BP41" s="27">
        <f>IF($BN41=1,(BM41)*(1+Parameters!$C$21*Parameters!$C$22-Parameters!$C$22*Basicinfo!$AL41),IF($BN41=2,(BM41)*(1+Parameters!$C$21*Parameters!$C$23-Parameters!$C$23*Basicinfo!$AL41),IF($BN41=3,(BM41)*(1+Parameters!$C$21*Parameters!$C$24-Parameters!$C$24*Basicinfo!$AL41),BM41)))</f>
        <v>1712.1861611030722</v>
      </c>
      <c r="BQ41" s="27">
        <f>IF(Basicinfo!AU41=0,0,IF(G41+Basicinfo!M41=0,0,(Parameters!$C$16+BO41/Basicinfo!AU41)*G41+(Parameters!$C$17+BO41/Basicinfo!AU41)*Basicinfo!M41)/(G41+Basicinfo!M41))</f>
        <v>1.9004324066636806</v>
      </c>
      <c r="BR41" s="27">
        <f>IF(Basicinfo!AU41=0,0,IF(G41+Basicinfo!M41=0,0,(Parameters!$C$16+BP41/Basicinfo!AU41)*G41+(Parameters!$C$17+BP41/Basicinfo!AU41)*Basicinfo!M41)/(G41+Basicinfo!M41))</f>
        <v>2.0223574821585251</v>
      </c>
      <c r="BS41" s="27">
        <f>IF(Basicinfo!AU41=0,0,BO41/Basicinfo!AU41)</f>
        <v>1.6301477154488757</v>
      </c>
      <c r="BT41" s="27">
        <f>IF(Basicinfo!AU41=0,0,BP41/Basicinfo!AU41)</f>
        <v>1.7520727909437204</v>
      </c>
      <c r="BU41" s="27">
        <f>IF(SUM(G41,Basicinfo!M41,Basicinfo!P41,W41)=0,0,(BQ41*(G41+Basicinfo!M41)+BS41*(Basicinfo!P41+W41))/SUM(G41,Basicinfo!M41,Basicinfo!P41,W41))</f>
        <v>1.8328227100977375</v>
      </c>
      <c r="BV41" s="19">
        <f>IF(Basicinfo!BR41/Parameters!$C$10&gt;1,1,Basicinfo!BR41/Parameters!$C$10)</f>
        <v>0.62103818305187819</v>
      </c>
      <c r="BW41" s="19">
        <f>Parameters!$C$5+Parameters!$C$6*EXP(BV41*Parameters!$C$8*Parameters!$C$7)</f>
        <v>3.8576771411214988E-2</v>
      </c>
      <c r="BX41" s="19">
        <f>Parameters!$C$5+Parameters!$C$6*EXP(BV41*Parameters!$C$9*Parameters!$C$7)</f>
        <v>3.6365951655640459E-2</v>
      </c>
      <c r="BY41" s="19">
        <f>IF(Basicinfo!AH41+Basicinfo!AI41+Basicinfo!AJ41+Basicinfo!AK41=0,0,(Parameters!$C$18*(Basicinfo!AH41+Basicinfo!AI41)+Parameters!$C$19*Basicinfo!AJ41+Parameters!$C$20*Basicinfo!AK41)/(Basicinfo!AH41+Basicinfo!AI41+Basicinfo!AJ41+Basicinfo!AK41))</f>
        <v>3.4446013725921189E-2</v>
      </c>
      <c r="BZ41" s="19">
        <f>IF(Basicinfo!AJ41+Basicinfo!AK41=0,Parameters!$C$18,(Parameters!$C$19*Basicinfo!AJ41+Parameters!$C$20*Basicinfo!AK41)/(Basicinfo!AJ41+Basicinfo!AK41))</f>
        <v>2.5000000000000001E-2</v>
      </c>
      <c r="CA41" s="19">
        <f>IF(SUM(G41,Basicinfo!M41,Basicinfo!P41,W41)=0,0,(BW41*G41+BX41*Basicinfo!M41+BY41*Basicinfo!P41+BZ41*W41)/(SUM(G41,Basicinfo!M41,Basicinfo!P41,W41)))</f>
        <v>3.7379286464287835E-2</v>
      </c>
      <c r="CB41" s="19">
        <f>IF(Y41=0,Basicinfo!BP41,Basicinfo!BP41-(AU41*X41/Y41*Intermediate!BQ41*86400*365/1000000)*1000/(X41*100))</f>
        <v>52.603687581350705</v>
      </c>
      <c r="CC41" s="19">
        <f>IF(Y41=0,Basicinfo!BQ41,Basicinfo!BQ41-(AU41*Basicinfo!AV41/Basicinfo!AU41*X41/Y41*Intermediate!BR41*86400*365/1000000)*1000/(X41*100))</f>
        <v>71.929197819230765</v>
      </c>
      <c r="CD41" s="19">
        <f>IF(OR(Y41=0,AA41=0),BP41/100,BP41/100-(AU41*Basicinfo!AV41/Basicinfo!AU41*(Basicinfo!P41+W41)/Y41*Intermediate!BT41*86400*365/1000000+AW41*Basicinfo!AV41/Basicinfo!AU41*Intermediate!BT41*86400*365/1000000)*1000/(AA41*100))</f>
        <v>16.013618750824389</v>
      </c>
      <c r="CE41" s="19">
        <f t="shared" si="35"/>
        <v>1068307.6626514357</v>
      </c>
      <c r="CF41" s="19">
        <f t="shared" si="36"/>
        <v>103989.8110686258</v>
      </c>
      <c r="CG41" s="19">
        <f>IF(AY41=0,0,((CB41^Parameters!$C$58))/AY41*100)</f>
        <v>12.578315905047855</v>
      </c>
      <c r="CH41" s="19">
        <f>IF(SUM(Basicinfo!AB41:AG41)=0,0,(Parameters!$C$59*Basicinfo!AB41+Parameters!$C$60*SUM(Basicinfo!AC41:AE41)+Parameters!$C$61*Basicinfo!AF41+Parameters!$C$62*Basicinfo!AG41)/SUM(Basicinfo!AB41:AG41))</f>
        <v>6.3246874094963934E-2</v>
      </c>
      <c r="CI41" s="299">
        <f t="shared" si="31"/>
        <v>9</v>
      </c>
      <c r="CJ41" s="19">
        <f t="shared" si="37"/>
        <v>54.918714145471711</v>
      </c>
      <c r="CK41" s="19">
        <f t="shared" si="9"/>
        <v>15.641941742731181</v>
      </c>
      <c r="CL41" s="19">
        <f>IF($BB41=0,0,$CJ41^Parameters!$C$58*100/$BB41)</f>
        <v>8.5769447011855444</v>
      </c>
      <c r="CM41" s="301">
        <f>IF(CK41=0,0,(1/(1+Parameters!$C$116*BB41^Parameters!$E$120)*Basicinfo!AH41/Basicinfo!G41+1/(1+Parameters!$C$117*BB41^Parameters!$C$121)*Basicinfo!AI41/Basicinfo!G41)*(CK41)^Parameters!$C$124+(1/(1+Parameters!$C$118*BB41^Parameters!$C$122)*Basicinfo!AJ41/Basicinfo!G41+1/(1+Parameters!$C$119*BB41^Parameters!$C$123)*Basicinfo!AK41/Basicinfo!G41)*(CK41)^Parameters!$C$125)</f>
        <v>5.4709772248531356</v>
      </c>
      <c r="CN41" s="19">
        <f>IF(SUM(Basicinfo!AB41:AG41)=0,0,(Parameters!$C$128*Basicinfo!AB41+Parameters!$C$129*(SUM(Basicinfo!AC41:AE41))+Parameters!$C$130*Basicinfo!AF41+Parameters!$C$131*Basicinfo!AG41)/SUM(Basicinfo!AB41:AG41))</f>
        <v>1.1670676793026314E-2</v>
      </c>
      <c r="CO41" s="19">
        <f>IF(Basicinfo!AH41+Basicinfo!AI41+Basicinfo!AJ41+Basicinfo!AK41=0,0,(Parameters!$C$132*(Basicinfo!AH41+Basicinfo!AI41)+Parameters!$C$133*Basicinfo!AJ41+Parameters!$C$134*Basicinfo!AK41)/(Basicinfo!AH41+Basicinfo!AI41+Basicinfo!AJ41+Basicinfo!AK41))</f>
        <v>5.0000000000000001E-4</v>
      </c>
      <c r="CP41" s="19">
        <f>IF(Basicinfo!AJ41+Basicinfo!AK41=0,0,(Parameters!$C$133*Basicinfo!AJ41+Parameters!$C$134*Basicinfo!AK41)/(Basicinfo!AJ41+Basicinfo!AK41))</f>
        <v>5.0000000000000001E-4</v>
      </c>
      <c r="CQ41" s="19">
        <f>IF(Z41=0,0,(CN41*(Z41-AA41)+CO41*Basicinfo!P41+CP41*(Basicinfo!Q41+Basicinfo!R41))/Z41)</f>
        <v>8.250716168318576E-3</v>
      </c>
      <c r="CR41" s="289">
        <f>Basicinfo!EI41</f>
        <v>2.8192954798761615E-2</v>
      </c>
      <c r="CS41" s="19">
        <f>IF(SUM(Basicinfo!AB41:AG41)=0,0,(Basicinfo!AB41*Parameters!$C$43+(Basicinfo!AC41+Basicinfo!AD41)*Parameters!$C$44+Basicinfo!AE41*Parameters!$C$45+(Basicinfo!AF41+Basicinfo!AG41)*Parameters!$C$46)/SUM(Basicinfo!AB41:AG41))</f>
        <v>24.834349855946531</v>
      </c>
      <c r="CT41" s="19">
        <f>(Parameters!$C$41*CS41+Parameters!$C$42)</f>
        <v>528.31036853065461</v>
      </c>
      <c r="CU41" s="19">
        <f>CT41+Basicinfo!BR41/(Parameters!$C$47*Parameters!$C$49*Parameters!$C$48*10000/1000000)</f>
        <v>747.04079778163054</v>
      </c>
      <c r="CV41" s="19">
        <f>IF(BK41/Basicinfo!G41&lt;Parameters!$C$35,Parameters!$C$35,Parameters!$C$37*(BK41/Basicinfo!G41)^Parameters!$C$38)</f>
        <v>1.1035987072114168</v>
      </c>
      <c r="CW41" s="19">
        <f>IF(BK41/Basicinfo!G41&lt;Parameters!$C$35,Parameters!$C$36,Parameters!$C$36*(BK41/Basicinfo!G41)^Parameters!$C$38)</f>
        <v>2.59345696194683</v>
      </c>
      <c r="CX41" s="27">
        <f>IF(Basicinfo!AJ41+Basicinfo!AK41=0,0,(Parameters!$C$53*Basicinfo!AJ41+Parameters!$C$54*Basicinfo!AK41)/(Basicinfo!AJ41+Basicinfo!AK41))</f>
        <v>750</v>
      </c>
      <c r="CY41" s="56">
        <f>IF(Basicinfo!AU41*AB41=0,0,((Basicinfo!AZ41+Basicinfo!BA41)/Basicinfo!AU41+Parameters!$C$76/(Basicinfo!AU41*AB41)*100))</f>
        <v>2.5830345106696857</v>
      </c>
      <c r="CZ41" s="43">
        <f>IF(Basicinfo!AU41*AB41=0,0,(Parameters!$C$77)/(Basicinfo!AU41*AB41)*100)</f>
        <v>0.59555424701300608</v>
      </c>
      <c r="DA41" s="43">
        <f>IF(AD41+AJ41=0,0,((J41*Parameters!$C$96+Parameters!$C$94/100*S41*100*Parameters!$C$93/1000*86400*Parameters!$C$95/24*Parameters!$C$98)*AI41+AD41*CY41*86400*365)/((AD41+AJ41*AI41/365)*86400*365))</f>
        <v>8.6815306048540961</v>
      </c>
      <c r="DB41" s="43">
        <f>IF(AD41+AJ41=0,0,((J41*Parameters!$C$97+Parameters!$C$94/100*S41*100*Parameters!$C$93/1000*86400*Parameters!$C$95/24*Parameters!$C$99)*AI41+AD41*CZ41*86400*365)/((AD41+AJ41*AI41/365)*86400*365))</f>
        <v>1.5756927388119508</v>
      </c>
      <c r="DC41" s="42">
        <f>IF(AE41+AL41=0,0,((K41*Parameters!$C$96+Parameters!$C$94/100*T41*100*Parameters!$C$93/1000*86400*Parameters!$C$95/24*Parameters!$C$98)*365+AE41*CY41*86400*365)/((AE41+AL41)*86400*365))</f>
        <v>0</v>
      </c>
      <c r="DD41" s="42">
        <f>IF(AE41+AL41=0,0,((K41*Parameters!$C$97+Parameters!$C$94/100*T41*100*Parameters!$C$93/1000*86400*Parameters!$C$95/24*Parameters!$C$99)*365+AE41*CZ41*86400*365)/((AE41+AL41)*86400*365))</f>
        <v>0</v>
      </c>
      <c r="DE41" s="42">
        <f>IF(Basicinfo!AH41+Basicinfo!AI41+Basicinfo!AJ41+Basicinfo!AK41=0,0,((Basicinfo!AH41+Basicinfo!AI41)*Parameters!$C$107+(Basicinfo!AJ41+Basicinfo!AK41)*Parameters!$C$106)/(Basicinfo!AH41+Basicinfo!AI41+Basicinfo!AJ41+Basicinfo!AK41))</f>
        <v>87.784054903684734</v>
      </c>
      <c r="DF41" s="42">
        <f>IF(Basicinfo!AH41+Basicinfo!AI41+Basicinfo!AJ41+Basicinfo!AK41=0,0,((Basicinfo!AH41+Basicinfo!AI41)*Parameters!$C$109+(Basicinfo!AJ41+Basicinfo!AK41)*Parameters!$C$108)/(Basicinfo!AH41+Basicinfo!AI41+Basicinfo!AJ41+Basicinfo!AK41))</f>
        <v>87.784054903684734</v>
      </c>
      <c r="DG41" s="42">
        <f>Intermediate!AC41*Intermediate!CY41*(1-Parameters!$C$102/100*Basicinfo!BZ41/100)*(1-Parameters!$C$104/100*Basicinfo!CA41/100)*86400*365/1000000</f>
        <v>1.5548702675881085</v>
      </c>
      <c r="DH41" s="42">
        <f>Intermediate!AC41*Intermediate!CZ41*(1-Parameters!$C$103/100*Basicinfo!BZ41/100)*(1-Parameters!$C$105/100*Basicinfo!CA41/100)*86400*365/1000000</f>
        <v>0.35849679421289149</v>
      </c>
      <c r="DI41" s="42">
        <f>(Intermediate!AK41*Intermediate!DA41+(Intermediate!AE41+Intermediate!AL41)*Intermediate!DC41)*86400*365/1000000</f>
        <v>5.2832916216181696</v>
      </c>
      <c r="DJ41" s="42">
        <f>(Intermediate!AK41*Intermediate!DB41+(Intermediate!AE41+Intermediate!AL41)*Intermediate!DD41)*86400*365/1000000</f>
        <v>0.95891434634292505</v>
      </c>
      <c r="DK41" s="42">
        <f>((Basicinfo!AZ41+Basicinfo!BA41)*Intermediate!AB41+Parameters!$C$76*100)/1000*Intermediate!U41*(1-Intermediate!DE41/100)+(1-Parameters!$C$110/100)*M41*Parameters!$C$100*(1-DE41/100)*365/1000000+(1-Parameters!$C$112/100)*P41*Parameters!$C$96*365/1000000+(1-Parameters!$C$112/100)*O41*Parameters!$C$96*(1-DE41/100)*365/1000000</f>
        <v>1.6649784872068949</v>
      </c>
      <c r="DL41" s="42">
        <f>Parameters!$C$77*100/1000*Intermediate!U41*(1-Intermediate!DF41/100)+(1-Parameters!$C$111/100)*M41*Parameters!$C$101*(1-DF41/100)*365/1000000+(1-Parameters!$C$113/100)*P41*Parameters!$C$97*365/1000000+(1-Parameters!$C$113/100)*O41*Parameters!$C$97*(1-DF41/100)*365/1000000</f>
        <v>0.24459205327596817</v>
      </c>
      <c r="DM41" s="31"/>
      <c r="DN41" s="31"/>
      <c r="DO41" s="31"/>
      <c r="DP41" s="31"/>
      <c r="DQ41" s="31"/>
      <c r="DR41" s="31"/>
      <c r="DS41" s="31"/>
      <c r="DT41" s="188">
        <f>BO41*(Basicinfo!$P41+Basicinfo!$Q41)/1000</f>
        <v>88.72633320787827</v>
      </c>
      <c r="DU41" s="188">
        <f>DT41*Basicinfo!$AZ41/(Basicinfo!$AZ41+Basicinfo!$BA41)</f>
        <v>51.912815914462399</v>
      </c>
      <c r="DV41" s="188">
        <f>DT41*Basicinfo!$BC41/(Basicinfo!$BB41+Basicinfo!$BC41)</f>
        <v>35.686787604437782</v>
      </c>
      <c r="DW41" s="188">
        <f>BP41*(Basicinfo!$P41+Basicinfo!$Q41)/1000</f>
        <v>95.362520083601055</v>
      </c>
      <c r="DX41" s="188">
        <f>DW41*Basicinfo!$BB41/(Basicinfo!$BB41+Basicinfo!$BC41)</f>
        <v>57.006579106371255</v>
      </c>
      <c r="DY41" s="188">
        <f>DW41*Basicinfo!$BC41/(Basicinfo!$BB41+Basicinfo!$BC41)</f>
        <v>38.355940977229793</v>
      </c>
      <c r="DZ41" s="188">
        <f t="shared" si="38"/>
        <v>265.97677583984671</v>
      </c>
      <c r="EA41" s="188">
        <f>DZ41*Basicinfo!$AZ41/(Basicinfo!$AZ41+Basicinfo!$BA41)</f>
        <v>155.62012879926129</v>
      </c>
      <c r="EB41" s="188">
        <f>DZ41*Basicinfo!$BC41/(Basicinfo!$BB41+Basicinfo!$BC41)</f>
        <v>106.97902599976889</v>
      </c>
      <c r="EC41" s="188">
        <f t="shared" si="39"/>
        <v>285.87021136523958</v>
      </c>
      <c r="ED41" s="188">
        <f>EC41*Basicinfo!$AZ41/(Basicinfo!$AZ41+Basicinfo!$BA41)</f>
        <v>167.25956231350742</v>
      </c>
      <c r="EE41" s="188">
        <f>EC41*Basicinfo!$BC41/(Basicinfo!$BB41+Basicinfo!$BC41)</f>
        <v>114.98040262212926</v>
      </c>
      <c r="EF41" s="190">
        <f>(Basicinfo!BP41-BL41/100)*Intermediate!X41/10</f>
        <v>636.24415740390918</v>
      </c>
      <c r="EG41" s="191">
        <f>(Basicinfo!BQ41-BM41/100)*Intermediate!X41/10</f>
        <v>939.97678233226429</v>
      </c>
      <c r="EH41" s="197">
        <f>IF(AU41=0,0,$BS41*((Basicinfo!$P41+Basicinfo!$Q41)*Intermediate!$AT41*1000+$AW41*3600*24*365)/1000000*Basicinfo!AZ41/(Basicinfo!$AZ41+Basicinfo!$BA41))</f>
        <v>4.1342468534624448</v>
      </c>
      <c r="EI41" s="197">
        <f>IF(AU41=0,0,$BS41*((Basicinfo!$P41+Basicinfo!$Q41)*Intermediate!$AT41*1000+$AW41*3600*24*365)/1000000*Basicinfo!BA41/(Basicinfo!$AZ41+Basicinfo!$BA41))</f>
        <v>2.9317648321363645</v>
      </c>
      <c r="EJ41" s="198">
        <f>IF(AU41=0,0,$BS41*($AT41*$X41*1000)/1000000*Basicinfo!AZ41/(Basicinfo!$AZ41+Basicinfo!$BA41))</f>
        <v>12.393317844361611</v>
      </c>
      <c r="EK41" s="198">
        <f>IF(AU41=0,0,$BS41*($AT41*$X41*1000)/1000000*Basicinfo!BA41/(Basicinfo!$AZ41+Basicinfo!$BA41))</f>
        <v>8.7886124601285829</v>
      </c>
      <c r="EL41" s="147">
        <f>Parameters!$C$150/Basicinfo!$AV41*100</f>
        <v>0.10468237142348533</v>
      </c>
      <c r="EM41" s="147">
        <f>Parameters!$C$151/Basicinfo!$AV41*100</f>
        <v>0.20936474284697065</v>
      </c>
      <c r="EN41" s="147">
        <f>(Parameters!$C$150+Parameters!$C$151)/Intermediate!$BB41*100</f>
        <v>0.85445964928992746</v>
      </c>
      <c r="EO41" s="193">
        <f>IF(EN41=0,0,(1/(1+Parameters!$C$116*$BB41^Parameters!$C$120)*Basicinfo!$AH41/Basicinfo!$G41+1/(1+Parameters!$C$117*$BB41^Parameters!$C$121)*Basicinfo!$AI41/Basicinfo!$G41)*(EN41)^Parameters!$C$124+(1/(1+Parameters!$C$118*$BB41^Parameters!$C$122)*Basicinfo!$AJ41/Basicinfo!AW41+1/(1+Parameters!$C$119*$BB41^Parameters!$C$123)*Basicinfo!$AK41/Basicinfo!$G41)*(EN41)^Parameters!$C$125)</f>
        <v>0.65459720557538736</v>
      </c>
      <c r="EP41" s="199">
        <f>EL41*($AT41*Basicinfo!$P41*1000+$AW41*3600*24*365)/1000000</f>
        <v>0.45375449889880853</v>
      </c>
      <c r="EQ41" s="199">
        <f>EM41*($AT41*Basicinfo!$P41*1000+$AW41*3600*24*365)/1000000</f>
        <v>0.90750899779761707</v>
      </c>
      <c r="ER41" s="199">
        <f t="shared" si="40"/>
        <v>1.360229305962281</v>
      </c>
      <c r="ES41" s="199">
        <f t="shared" si="41"/>
        <v>2.720458611924562</v>
      </c>
      <c r="ET41" s="181">
        <f t="shared" si="14"/>
        <v>49.05929602741562</v>
      </c>
      <c r="EU41" s="147">
        <f>Intermediate!F41*(Parameters!$C$150)/1000*100</f>
        <v>0.24360912622031142</v>
      </c>
      <c r="EV41" s="147">
        <f>Intermediate!F41*(Parameters!$C$151)/1000*100</f>
        <v>0.48721825244062283</v>
      </c>
      <c r="EW41" s="181">
        <f>'Local emissions'!$S41*Basicinfo!AZ41/(Basicinfo!$AZ41+Basicinfo!$BA41)-Intermediate!EU41</f>
        <v>2.0269949031074925</v>
      </c>
      <c r="EX41" s="147">
        <f>'Local emissions'!$S41*Basicinfo!BA41/(Basicinfo!$AZ41+Basicinfo!$BA41)-Intermediate!EV41</f>
        <v>1.1229606451535612</v>
      </c>
      <c r="EY41" s="188">
        <f t="shared" si="15"/>
        <v>3.6804923545636363</v>
      </c>
      <c r="EZ41" s="188">
        <f t="shared" si="16"/>
        <v>2.0242558343387476</v>
      </c>
      <c r="FA41" s="188">
        <f t="shared" si="17"/>
        <v>11.03308853839933</v>
      </c>
      <c r="FB41" s="181">
        <f t="shared" si="18"/>
        <v>6.0681538482040214</v>
      </c>
      <c r="FC41" s="181">
        <f>'Local emissions'!Y41-Intermediate!ET41</f>
        <v>360.96931926131941</v>
      </c>
      <c r="FD41" s="188">
        <f t="shared" si="19"/>
        <v>15.574839447343429</v>
      </c>
      <c r="FE41" s="188">
        <f t="shared" si="20"/>
        <v>10.479275058014641</v>
      </c>
      <c r="FF41" s="181">
        <f t="shared" si="21"/>
        <v>22.848598090800568</v>
      </c>
      <c r="FG41" s="201">
        <f t="shared" si="22"/>
        <v>15.706970480451286</v>
      </c>
      <c r="FH41" s="181">
        <f t="shared" si="23"/>
        <v>296.35963618470947</v>
      </c>
      <c r="FJ41" s="147">
        <f>AVERAGE(Parameters!$C$132:$C$134)*'Local emissions'!J41*3600*24*365/1000000</f>
        <v>3.7472888372852724E-2</v>
      </c>
      <c r="FK41" s="147">
        <f>'Local emissions'!AJ41+CT41*BJ41/100*Intermediate!X41*100/1000000</f>
        <v>2.4136981605296133</v>
      </c>
      <c r="FL41" s="31">
        <f>(Parameters!$C$18*(Basicinfo!AH41+Basicinfo!AI41)+Parameters!$C$19*Basicinfo!AJ41+Parameters!$C$20*Basicinfo!AK41)/Basicinfo!G41</f>
        <v>3.4446013725921189E-2</v>
      </c>
      <c r="FM41" s="181">
        <f t="shared" si="32"/>
        <v>0.602654268687282</v>
      </c>
    </row>
    <row r="42" spans="1:169">
      <c r="A42" s="39" t="str">
        <f>Basicinfo!A42</f>
        <v>Ipfbach</v>
      </c>
      <c r="B42" s="63">
        <f>Basicinfo!B42</f>
        <v>1340</v>
      </c>
      <c r="C42" s="63">
        <f>Basicinfo!C42</f>
        <v>5010</v>
      </c>
      <c r="D42" s="61">
        <f>Basicinfo!U42*Basicinfo!V42/1000+Basicinfo!Y42</f>
        <v>0.34825420000000001</v>
      </c>
      <c r="E42" s="19">
        <f>Basicinfo!W42*Basicinfo!X42/1000+Basicinfo!Z42</f>
        <v>0</v>
      </c>
      <c r="F42" s="19">
        <f t="shared" si="0"/>
        <v>0.34825420000000001</v>
      </c>
      <c r="G42" s="19">
        <f>SUM(Basicinfo!H42:L42)</f>
        <v>81.733247264267277</v>
      </c>
      <c r="H42" s="19">
        <f>IF(Basicinfo!N42&lt;Parameters!$C$68,Parameters!$C$69,Basicinfo!BS42/(Basicinfo!N42*100))</f>
        <v>60.272155252026835</v>
      </c>
      <c r="I42" s="19">
        <f>IF(Basicinfo!N42=0,0,Basicinfo!BU42*(1-Basicinfo!BX42/100))</f>
        <v>39963.929579529802</v>
      </c>
      <c r="J42" s="19">
        <f>IF(Basicinfo!N42=0,0,Basicinfo!BU42*Basicinfo!BX42/100)</f>
        <v>9990.9823948824505</v>
      </c>
      <c r="K42" s="19">
        <f>IF(Basicinfo!N42=0,0,Basicinfo!BT42-Basicinfo!BU42)</f>
        <v>0</v>
      </c>
      <c r="L42" s="27">
        <f>Basicinfo!BV42*Basicinfo!BW42/100</f>
        <v>3888.1499999999987</v>
      </c>
      <c r="M42" s="27">
        <f>Basicinfo!BV42-Intermediate!L42</f>
        <v>3888.1499999999987</v>
      </c>
      <c r="N42" s="73">
        <f>Basicinfo!BS42-SUM(I42:K42)-Basicinfo!BV42</f>
        <v>0</v>
      </c>
      <c r="O42" s="19">
        <f>IF(Basicinfo!AH42+Basicinfo!AI42+Basicinfo!AJ42+Basicinfo!AK42=0,0,N42*(Basicinfo!AH42+Basicinfo!AI42)/SUM(Basicinfo!AH42:AK42))</f>
        <v>0</v>
      </c>
      <c r="P42" s="73">
        <f t="shared" si="25"/>
        <v>0</v>
      </c>
      <c r="Q42" s="19">
        <f>IF(Basicinfo!BS42=0,Basicinfo!N42,IF(H42&gt;Parameters!$C$70,Parameters!$C$64*(Parameters!$C$65*Parameters!$C$70)^(Parameters!$C$66-Parameters!$C$67*LOG(Parameters!$C$65*Parameters!$C$70,10))/100*Basicinfo!N42,Parameters!$C$64*(Parameters!$C$65*H42)^(Parameters!$C$66-Parameters!$C$67*LOG(Parameters!$C$65*H42,10))/100*Basicinfo!N42))</f>
        <v>4.8218413372687188</v>
      </c>
      <c r="R42" s="19">
        <f>IF(Basicinfo!BS42=0,Q42*(1-Basicinfo!BX42/100),IF(H42&lt;Parameters!$C$75,Q42*Basicinfo!BU42/Basicinfo!BS42*(1-Basicinfo!BX42/100)*(-Parameters!$C$74+Parameters!$C$73*LN(H42*100)),Q42*Basicinfo!BU42/Basicinfo!BS42*(1-Basicinfo!BX42/100)))</f>
        <v>2.4032888380818891</v>
      </c>
      <c r="S42" s="19">
        <f>IF(Basicinfo!BS42=0,Q42*Basicinfo!BX42/100,Q42*Basicinfo!BU42/Basicinfo!BS42*Basicinfo!BX42/100)</f>
        <v>0.83446943627167258</v>
      </c>
      <c r="T42" s="19">
        <f>IF(Basicinfo!BS42=0,0,IF(H42&lt;Parameters!$C$75,Q42*K42/Basicinfo!BS42*(-Parameters!$C$74+Parameters!$C$73*LN(H42*100)),Q42*K42/Basicinfo!BS42))</f>
        <v>0</v>
      </c>
      <c r="U42" s="19">
        <f t="shared" si="26"/>
        <v>1.5840830629151572</v>
      </c>
      <c r="V42" s="19">
        <f>IF(Basicinfo!AL42&gt;Parameters!$C$14,Basicinfo!Q42,0)</f>
        <v>0</v>
      </c>
      <c r="W42" s="19">
        <f>IF(Basicinfo!AL42&gt;Parameters!$C$14,0,Basicinfo!Q42)</f>
        <v>0</v>
      </c>
      <c r="X42" s="19">
        <f>G42+Basicinfo!M42</f>
        <v>85.263067552727748</v>
      </c>
      <c r="Y42" s="19">
        <f>IF(Basicinfo!G42-F42-Q42-V42-Basicinfo!O42-Basicinfo!R42-Basicinfo!S42&lt;0,0,Basicinfo!G42-F42-Q42-V42-Basicinfo!O42-Basicinfo!R42-Basicinfo!S42)</f>
        <v>123.42565900160528</v>
      </c>
      <c r="Z42" s="19">
        <f>Basicinfo!G42-F42-Basicinfo!BO42-Q42-Basicinfo!O42</f>
        <v>117.06800749429161</v>
      </c>
      <c r="AA42" s="53">
        <f>IF(Z42+Basicinfo!BO42-X42&gt;0,Z42+Basicinfo!BO42-X42,0)</f>
        <v>38.192652108753876</v>
      </c>
      <c r="AB42" s="56">
        <f>IF(Basicinfo!N42=0,0,Parameters!$C$71+Parameters!$C$72*Q42/Basicinfo!N42)</f>
        <v>0.5275549998101261</v>
      </c>
      <c r="AC42" s="43">
        <f>Basicinfo!AU42*AB42*R42/1000/86.4/0.365</f>
        <v>3.5527416399357886E-2</v>
      </c>
      <c r="AD42" s="43">
        <f>Basicinfo!AU42*AB42*S42/1000/86.4/0.365</f>
        <v>1.2335821922521237E-2</v>
      </c>
      <c r="AE42" s="43">
        <f>Basicinfo!AU42*AB42*T42/1000/86.4/0.365</f>
        <v>0</v>
      </c>
      <c r="AF42" s="43">
        <f>Basicinfo!AU42*AB42*U42/1000/86.4/0.365</f>
        <v>2.3417234622648976E-2</v>
      </c>
      <c r="AG42" s="43">
        <f>((Parameters!$C$80+Parameters!$C$81*Parameters!$C$89)/(Parameters!$C$82+Parameters!$C$89)/(Parameters!$C$90/100*Parameters!$C$91+(Parameters!$C$83+Parameters!$C$84*Parameters!$C$89)/(Parameters!$C$85+Parameters!$C$89)))-Parameters!$C$86+(Basicinfo!AU42-Parameters!$C$88)/Parameters!$C$87</f>
        <v>73.480742091472933</v>
      </c>
      <c r="AH42" s="43">
        <f>((Parameters!$C$80+Parameters!$C$81*Parameters!$C$89)/(Parameters!$C$82+Parameters!$C$89)/(Basicinfo!BY42/100*Parameters!$C$91+(Parameters!$C$83+Parameters!$C$84*Parameters!$C$89)/(Parameters!$C$85+Parameters!$C$89)))-Parameters!$C$86+(Basicinfo!AU42-Parameters!$C$88)/Parameters!$C$87</f>
        <v>55.677860224857362</v>
      </c>
      <c r="AI42" s="43">
        <f>Basicinfo!AU42^Parameters!$C$79*Parameters!$C$78*AH42/AG42</f>
        <v>21.107244926459646</v>
      </c>
      <c r="AJ42" s="43">
        <f>(J42*Parameters!$C$92/1000+Parameters!$C$94/100*S42*100*Parameters!$C$93/1000*86400*Parameters!$C$95/24)/86400</f>
        <v>1.5060543788323855E-2</v>
      </c>
      <c r="AK42" s="43">
        <f t="shared" si="1"/>
        <v>7.3532325075703594E-3</v>
      </c>
      <c r="AL42" s="43">
        <f>(K42*Parameters!$C$92/1000+Parameters!$C$94/100*T42*100*Parameters!$C$93/1000*86400*Parameters!$C$95/24)/86400</f>
        <v>0</v>
      </c>
      <c r="AM42" s="43">
        <f>(Intermediate!N42+Basicinfo!BV42-Intermediate!L42)*Parameters!$C$92/1000/86400</f>
        <v>5.8502256944444426E-3</v>
      </c>
      <c r="AN42" s="43">
        <f t="shared" si="2"/>
        <v>4.2395738086966575E-2</v>
      </c>
      <c r="AO42" s="43">
        <f t="shared" si="27"/>
        <v>7.3532325075703594E-3</v>
      </c>
      <c r="AP42" s="43">
        <f t="shared" si="28"/>
        <v>2.926746031709342E-2</v>
      </c>
      <c r="AQ42" s="43">
        <f t="shared" si="33"/>
        <v>7.2148109224021664E-2</v>
      </c>
      <c r="AR42" s="61">
        <f>(Basicinfo!AU42-Basicinfo!AY42)*F42/1000/86.4/0.365</f>
        <v>1.4934023293621144E-3</v>
      </c>
      <c r="AS42" s="19">
        <f>IF(Basicinfo!AP42-Basicinfo!CB42-Basicinfo!CG42&lt;0,0,(Basicinfo!AP42-Basicinfo!CB42-Basicinfo!CG42)/Basicinfo!G42*1000)</f>
        <v>10.517891157749377</v>
      </c>
      <c r="AT42" s="19">
        <f>Parameters!$C$3*((AS42*86.4*0.365)^Parameters!$C$4)</f>
        <v>58.95190322068872</v>
      </c>
      <c r="AU42" s="19">
        <f>IF(AT42/86.4/0.365*(Basicinfo!G42/1000)-AN42&lt;0,0,AT42/86.4/0.365*(Basicinfo!G42/1000)-AN42)</f>
        <v>0.20024697237455835</v>
      </c>
      <c r="AV42" s="19">
        <f>IF(Basicinfo!AU42&gt;Parameters!$C$13,Parameters!$C$11*(Basicinfo!AU42-Parameters!$C$13)^Parameters!$C$12,0)</f>
        <v>56.969507273735736</v>
      </c>
      <c r="AW42" s="19">
        <f>IF(AV42*V42/1000/86.4/0.365&gt;Basicinfo!AP42*Parameters!$C$15,Basicinfo!AP42*Parameters!$C$15,AV42*V42/1000/86.4/0.365)</f>
        <v>0</v>
      </c>
      <c r="AX42" s="19">
        <f>Basicinfo!AU42-Basicinfo!AW42</f>
        <v>302.28254904157143</v>
      </c>
      <c r="AY42" s="19">
        <f>Parameters!$C$56*AX42+Parameters!$C$57*Basicinfo!AW42</f>
        <v>209.28132370512856</v>
      </c>
      <c r="AZ42" s="19">
        <f>AY42*Basicinfo!BO42/1000/86.4/0.365</f>
        <v>4.2390564998632731E-2</v>
      </c>
      <c r="BA42" s="19">
        <f>IF(Basicinfo!AP42-AQ42-AR42-AU42-AW42-AZ42-Basicinfo!CB42-Basicinfo!CG42&lt;0,0,Basicinfo!AP42-AQ42-AR42-AU42-AW42-AZ42-Basicinfo!CB42-Basicinfo!CG42)</f>
        <v>1.0489474123623952</v>
      </c>
      <c r="BB42" s="53">
        <f t="shared" si="34"/>
        <v>282.56742644119493</v>
      </c>
      <c r="BC42" s="56">
        <f>IF(G42=0,0,((Basicinfo!H42*Basicinfo!BE42+Basicinfo!I42*Basicinfo!BF42+Basicinfo!J42*Basicinfo!BG42+Basicinfo!K42*Basicinfo!BH42+Basicinfo!L42*Basicinfo!BI42)*(1-Basicinfo!BN42/G42*Parameters!$C$26/100)/G42)*Basicinfo!BM42)</f>
        <v>8.2155986932581175</v>
      </c>
      <c r="BD42" s="43">
        <f>IF(Basicinfo!AW42*Parameters!$C$39-Parameters!$C$40&lt;0,0.001,(Basicinfo!AW42*Parameters!$C$39-Parameters!$C$40)/(Basicinfo!AX42*Parameters!$C$39-Parameters!$C$40))</f>
        <v>1.1208814425809062</v>
      </c>
      <c r="BE42" s="43">
        <f>(BC42*G42*100+Basicinfo!BJ42*Basicinfo!M42*100)*Parameters!$C$29*BD42</f>
        <v>75382.857382289934</v>
      </c>
      <c r="BF42" s="43">
        <f>(Basicinfo!BK42*Basicinfo!P42*100)*BD42*Parameters!$C$29</f>
        <v>1317.4155131861057</v>
      </c>
      <c r="BG42" s="43">
        <f>Parameters!$C$27*(V42+W42)*100</f>
        <v>0</v>
      </c>
      <c r="BH42" s="43">
        <f>Parameters!$C$28*Basicinfo!R42*100</f>
        <v>0</v>
      </c>
      <c r="BI42" s="43">
        <f t="shared" si="29"/>
        <v>1317.4155131861057</v>
      </c>
      <c r="BJ42" s="43">
        <f>IF(Basicinfo!AM42&lt;Parameters!$C$33,0,Parameters!$C$30*(((Basicinfo!AM42-Parameters!$C$33)^Parameters!$C$31)*(((G42-Basicinfo!BN42)/Basicinfo!G42*100+Parameters!$C$34))^Parameters!$C$32))</f>
        <v>4.8476432719507931</v>
      </c>
      <c r="BK42" s="58">
        <f t="shared" si="30"/>
        <v>4971.7075272829461</v>
      </c>
      <c r="BL42" s="61">
        <f>Basicinfo!AZ42+Basicinfo!BA42</f>
        <v>1590.4182162719567</v>
      </c>
      <c r="BM42" s="19">
        <f>Basicinfo!BB42+Basicinfo!BC42</f>
        <v>1709.224525343473</v>
      </c>
      <c r="BN42" s="172">
        <f>IF(Basicinfo!AO42=0,0,IF(Basicinfo!AO42="NA",1,IF(OR(Basicinfo!AO42="SA",Basicinfo!AN42="S"),3,IF(Basicinfo!AN42="N",1,IF(Basicinfo!AO42="ZA",2,0)))))</f>
        <v>0</v>
      </c>
      <c r="BO42" s="27">
        <f>IF($BN42=1,(BL42)*(1+Parameters!$C$21*Parameters!$C$22-Parameters!$C$22*Basicinfo!$AL42),IF($BN42=2,(BL42)*(1+Parameters!$C$21*Parameters!$C$23-Parameters!$C$23*Basicinfo!$AL42),IF($BN42=3,(BL42)*(1+Parameters!$C$21*Parameters!$C$24-Parameters!$C$24*Basicinfo!$AL42),BL42)))</f>
        <v>1590.4182162719567</v>
      </c>
      <c r="BP42" s="27">
        <f>IF($BN42=1,(BM42)*(1+Parameters!$C$21*Parameters!$C$22-Parameters!$C$22*Basicinfo!$AL42),IF($BN42=2,(BM42)*(1+Parameters!$C$21*Parameters!$C$23-Parameters!$C$23*Basicinfo!$AL42),IF($BN42=3,(BM42)*(1+Parameters!$C$21*Parameters!$C$24-Parameters!$C$24*Basicinfo!$AL42),BM42)))</f>
        <v>1709.224525343473</v>
      </c>
      <c r="BQ42" s="27">
        <f>IF(Basicinfo!AU42=0,0,IF(G42+Basicinfo!M42=0,0,(Parameters!$C$16+BO42/Basicinfo!AU42)*G42+(Parameters!$C$17+BO42/Basicinfo!AU42)*Basicinfo!M42)/(G42+Basicinfo!M42))</f>
        <v>2.0873411842016401</v>
      </c>
      <c r="BR42" s="27">
        <f>IF(Basicinfo!AU42=0,0,IF(G42+Basicinfo!M42=0,0,(Parameters!$C$16+BP42/Basicinfo!AU42)*G42+(Parameters!$C$17+BP42/Basicinfo!AU42)*Basicinfo!M42)/(G42+Basicinfo!M42))</f>
        <v>2.2217856666401996</v>
      </c>
      <c r="BS42" s="27">
        <f>IF(Basicinfo!AU42=0,0,BO42/Basicinfo!AU42)</f>
        <v>1.7997609354131865</v>
      </c>
      <c r="BT42" s="27">
        <f>IF(Basicinfo!AU42=0,0,BP42/Basicinfo!AU42)</f>
        <v>1.934205417851746</v>
      </c>
      <c r="BU42" s="27">
        <f>IF(SUM(G42,Basicinfo!M42,Basicinfo!P42,W42)=0,0,(BQ42*(G42+Basicinfo!M42)+BS42*(Basicinfo!P42+W42))/SUM(G42,Basicinfo!M42,Basicinfo!P42,W42))</f>
        <v>2.0097192103406338</v>
      </c>
      <c r="BV42" s="19">
        <f>IF(Basicinfo!BR42/Parameters!$C$10&gt;1,1,Basicinfo!BR42/Parameters!$C$10)</f>
        <v>0.66296758910741649</v>
      </c>
      <c r="BW42" s="19">
        <f>Parameters!$C$5+Parameters!$C$6*EXP(BV42*Parameters!$C$8*Parameters!$C$7)</f>
        <v>4.1419728117730016E-2</v>
      </c>
      <c r="BX42" s="19">
        <f>Parameters!$C$5+Parameters!$C$6*EXP(BV42*Parameters!$C$9*Parameters!$C$7)</f>
        <v>3.7297395303421285E-2</v>
      </c>
      <c r="BY42" s="19">
        <f>IF(Basicinfo!AH42+Basicinfo!AI42+Basicinfo!AJ42+Basicinfo!AK42=0,0,(Parameters!$C$18*(Basicinfo!AH42+Basicinfo!AI42)+Parameters!$C$19*Basicinfo!AJ42+Parameters!$C$20*Basicinfo!AK42)/(Basicinfo!AH42+Basicinfo!AI42+Basicinfo!AJ42+Basicinfo!AK42))</f>
        <v>3.5000000000000003E-2</v>
      </c>
      <c r="BZ42" s="19">
        <f>IF(Basicinfo!AJ42+Basicinfo!AK42=0,Parameters!$C$18,(Parameters!$C$19*Basicinfo!AJ42+Parameters!$C$20*Basicinfo!AK42)/(Basicinfo!AJ42+Basicinfo!AK42))</f>
        <v>3.5000000000000003E-2</v>
      </c>
      <c r="CA42" s="19">
        <f>IF(SUM(G42,Basicinfo!M42,Basicinfo!P42,W42)=0,0,(BW42*G42+BX42*Basicinfo!M42+BY42*Basicinfo!P42+BZ42*W42)/(SUM(G42,Basicinfo!M42,Basicinfo!P42,W42)))</f>
        <v>3.9562355460443371E-2</v>
      </c>
      <c r="CB42" s="19">
        <f>IF(Y42=0,Basicinfo!BP42,Basicinfo!BP42-(AU42*X42/Y42*Intermediate!BQ42*86400*365/1000000)*1000/(X42*100))</f>
        <v>38.252326352490407</v>
      </c>
      <c r="CC42" s="19">
        <f>IF(Y42=0,Basicinfo!BQ42,Basicinfo!BQ42-(AU42*Basicinfo!AV42/Basicinfo!AU42*X42/Y42*Intermediate!BR42*86400*365/1000000)*1000/(X42*100))</f>
        <v>57.856334559325347</v>
      </c>
      <c r="CD42" s="19">
        <f>IF(OR(Y42=0,AA42=0),BP42/100,BP42/100-(AU42*Basicinfo!AV42/Basicinfo!AU42*(Basicinfo!P42+W42)/Y42*Intermediate!BT42*86400*365/1000000+AW42*Basicinfo!AV42/Basicinfo!AU42*Intermediate!BT42*86400*365/1000000)*1000/(AA42*100))</f>
        <v>16.284930090284835</v>
      </c>
      <c r="CE42" s="19">
        <f t="shared" si="35"/>
        <v>456343.89496713551</v>
      </c>
      <c r="CF42" s="19">
        <f t="shared" si="36"/>
        <v>62196.466955362652</v>
      </c>
      <c r="CG42" s="19">
        <f>IF(AY42=0,0,((CB42^Parameters!$C$58))/AY42*100)</f>
        <v>10.581048399247541</v>
      </c>
      <c r="CH42" s="19">
        <f>IF(SUM(Basicinfo!AB42:AG42)=0,0,(Parameters!$C$59*Basicinfo!AB42+Parameters!$C$60*SUM(Basicinfo!AC42:AE42)+Parameters!$C$61*Basicinfo!AF42+Parameters!$C$62*Basicinfo!AG42)/SUM(Basicinfo!AB42:AG42))</f>
        <v>6.3942624738327153E-2</v>
      </c>
      <c r="CI42" s="299">
        <f t="shared" si="31"/>
        <v>11</v>
      </c>
      <c r="CJ42" s="19">
        <f t="shared" si="37"/>
        <v>44.293942727929561</v>
      </c>
      <c r="CK42" s="19">
        <f t="shared" si="9"/>
        <v>15.675530363068075</v>
      </c>
      <c r="CL42" s="19">
        <f>IF($BB42=0,0,$CJ42^Parameters!$C$58*100/$BB42)</f>
        <v>8.8770893795907515</v>
      </c>
      <c r="CM42" s="301">
        <f>IF(CK42=0,0,(1/(1+Parameters!$C$116*BB42^Parameters!$E$120)*Basicinfo!AH42/Basicinfo!G42+1/(1+Parameters!$C$117*BB42^Parameters!$C$121)*Basicinfo!AI42/Basicinfo!G42)*(CK42)^Parameters!$C$124+(1/(1+Parameters!$C$118*BB42^Parameters!$C$122)*Basicinfo!AJ42/Basicinfo!G42+1/(1+Parameters!$C$119*BB42^Parameters!$C$123)*Basicinfo!AK42/Basicinfo!G42)*(CK42)^Parameters!$C$125)</f>
        <v>5.5766517744310073</v>
      </c>
      <c r="CN42" s="19">
        <f>IF(SUM(Basicinfo!AB42:AG42)=0,0,(Parameters!$C$128*Basicinfo!AB42+Parameters!$C$129*(SUM(Basicinfo!AC42:AE42))+Parameters!$C$130*Basicinfo!AF42+Parameters!$C$131*Basicinfo!AG42)/SUM(Basicinfo!AB42:AG42))</f>
        <v>1.1882718365694111E-2</v>
      </c>
      <c r="CO42" s="19">
        <f>IF(Basicinfo!AH42+Basicinfo!AI42+Basicinfo!AJ42+Basicinfo!AK42=0,0,(Parameters!$C$132*(Basicinfo!AH42+Basicinfo!AI42)+Parameters!$C$133*Basicinfo!AJ42+Parameters!$C$134*Basicinfo!AK42)/(Basicinfo!AH42+Basicinfo!AI42+Basicinfo!AJ42+Basicinfo!AK42))</f>
        <v>5.0000000000000001E-4</v>
      </c>
      <c r="CP42" s="19">
        <f>IF(Basicinfo!AJ42+Basicinfo!AK42=0,0,(Parameters!$C$133*Basicinfo!AJ42+Parameters!$C$134*Basicinfo!AK42)/(Basicinfo!AJ42+Basicinfo!AK42))</f>
        <v>0</v>
      </c>
      <c r="CQ42" s="19">
        <f>IF(Z42=0,0,(CN42*(Z42-AA42)+CO42*Basicinfo!P42+CP42*(Basicinfo!Q42+Basicinfo!R42))/Z42)</f>
        <v>8.1406920098639132E-3</v>
      </c>
      <c r="CR42" s="289">
        <f>Basicinfo!EI42</f>
        <v>3.3872144561403507E-2</v>
      </c>
      <c r="CS42" s="19">
        <f>IF(SUM(Basicinfo!AB42:AG42)=0,0,(Basicinfo!AB42*Parameters!$C$43+(Basicinfo!AC42+Basicinfo!AD42)*Parameters!$C$44+Basicinfo!AE42*Parameters!$C$45+(Basicinfo!AF42+Basicinfo!AG42)*Parameters!$C$46)/SUM(Basicinfo!AB42:AG42))</f>
        <v>28.857695406382021</v>
      </c>
      <c r="CT42" s="19">
        <f>(Parameters!$C$41*CS42+Parameters!$C$42)</f>
        <v>569.34849314509665</v>
      </c>
      <c r="CU42" s="19">
        <f>CT42+Basicinfo!BR42/(Parameters!$C$47*Parameters!$C$49*Parameters!$C$48*10000/1000000)</f>
        <v>802.84651195022445</v>
      </c>
      <c r="CV42" s="19">
        <f>IF(BK42/Basicinfo!G42&lt;Parameters!$C$35,Parameters!$C$35,Parameters!$C$37*(BK42/Basicinfo!G42)^Parameters!$C$38)</f>
        <v>1.3806600407422098</v>
      </c>
      <c r="CW42" s="19">
        <f>IF(BK42/Basicinfo!G42&lt;Parameters!$C$35,Parameters!$C$36,Parameters!$C$36*(BK42/Basicinfo!G42)^Parameters!$C$38)</f>
        <v>3.244551095744193</v>
      </c>
      <c r="CX42" s="27">
        <f>IF(Basicinfo!AJ42+Basicinfo!AK42=0,0,(Parameters!$C$53*Basicinfo!AJ42+Parameters!$C$54*Basicinfo!AK42)/(Basicinfo!AJ42+Basicinfo!AK42))</f>
        <v>0</v>
      </c>
      <c r="CY42" s="56">
        <f>IF(Basicinfo!AU42*AB42=0,0,((Basicinfo!AZ42+Basicinfo!BA42)/Basicinfo!AU42+Parameters!$C$76/(Basicinfo!AU42*AB42)*100))</f>
        <v>2.6577776093625745</v>
      </c>
      <c r="CZ42" s="43">
        <f>IF(Basicinfo!AU42*AB42=0,0,(Parameters!$C$77)/(Basicinfo!AU42*AB42)*100)</f>
        <v>0.53626042121836748</v>
      </c>
      <c r="DA42" s="43">
        <f>IF(AD42+AJ42=0,0,((J42*Parameters!$C$96+Parameters!$C$94/100*S42*100*Parameters!$C$93/1000*86400*Parameters!$C$95/24*Parameters!$C$98)*AI42+AD42*CY42*86400*365)/((AD42+AJ42*AI42/365)*86400*365))</f>
        <v>8.5587653338662566</v>
      </c>
      <c r="DB42" s="43">
        <f>IF(AD42+AJ42=0,0,((J42*Parameters!$C$97+Parameters!$C$94/100*S42*100*Parameters!$C$93/1000*86400*Parameters!$C$95/24*Parameters!$C$99)*AI42+AD42*CZ42*86400*365)/((AD42+AJ42*AI42/365)*86400*365))</f>
        <v>1.489358157147249</v>
      </c>
      <c r="DC42" s="42">
        <f>IF(AE42+AL42=0,0,((K42*Parameters!$C$96+Parameters!$C$94/100*T42*100*Parameters!$C$93/1000*86400*Parameters!$C$95/24*Parameters!$C$98)*365+AE42*CY42*86400*365)/((AE42+AL42)*86400*365))</f>
        <v>0</v>
      </c>
      <c r="DD42" s="42">
        <f>IF(AE42+AL42=0,0,((K42*Parameters!$C$97+Parameters!$C$94/100*T42*100*Parameters!$C$93/1000*86400*Parameters!$C$95/24*Parameters!$C$99)*365+AE42*CZ42*86400*365)/((AE42+AL42)*86400*365))</f>
        <v>0</v>
      </c>
      <c r="DE42" s="42">
        <f>IF(Basicinfo!AH42+Basicinfo!AI42+Basicinfo!AJ42+Basicinfo!AK42=0,0,((Basicinfo!AH42+Basicinfo!AI42)*Parameters!$C$107+(Basicinfo!AJ42+Basicinfo!AK42)*Parameters!$C$106)/(Basicinfo!AH42+Basicinfo!AI42+Basicinfo!AJ42+Basicinfo!AK42))</f>
        <v>90</v>
      </c>
      <c r="DF42" s="42">
        <f>IF(Basicinfo!AH42+Basicinfo!AI42+Basicinfo!AJ42+Basicinfo!AK42=0,0,((Basicinfo!AH42+Basicinfo!AI42)*Parameters!$C$109+(Basicinfo!AJ42+Basicinfo!AK42)*Parameters!$C$108)/(Basicinfo!AH42+Basicinfo!AI42+Basicinfo!AJ42+Basicinfo!AK42))</f>
        <v>90</v>
      </c>
      <c r="DG42" s="42">
        <f>Intermediate!AC42*Intermediate!CY42*(1-Parameters!$C$102/100*Basicinfo!BZ42/100)*(1-Parameters!$C$104/100*Basicinfo!CA42/100)*86400*365/1000000</f>
        <v>2.9777543754641846</v>
      </c>
      <c r="DH42" s="42">
        <f>Intermediate!AC42*Intermediate!CZ42*(1-Parameters!$C$103/100*Basicinfo!BZ42/100)*(1-Parameters!$C$105/100*Basicinfo!CA42/100)*86400*365/1000000</f>
        <v>0.60082220952047216</v>
      </c>
      <c r="DI42" s="42">
        <f>(Intermediate!AK42*Intermediate!DA42+(Intermediate!AE42+Intermediate!AL42)*Intermediate!DC42)*86400*365/1000000</f>
        <v>1.9847052768392224</v>
      </c>
      <c r="DJ42" s="42">
        <f>(Intermediate!AK42*Intermediate!DB42+(Intermediate!AE42+Intermediate!AL42)*Intermediate!DD42)*86400*365/1000000</f>
        <v>0.34536955720672818</v>
      </c>
      <c r="DK42" s="42">
        <f>((Basicinfo!AZ42+Basicinfo!BA42)*Intermediate!AB42+Parameters!$C$76*100)/1000*Intermediate!U42*(1-Intermediate!DE42/100)+(1-Parameters!$C$110/100)*M42*Parameters!$C$100*(1-DE42/100)*365/1000000+(1-Parameters!$C$112/100)*P42*Parameters!$C$96*365/1000000+(1-Parameters!$C$112/100)*O42*Parameters!$C$96*(1-DE42/100)*365/1000000</f>
        <v>1.3458046794244607</v>
      </c>
      <c r="DL42" s="42">
        <f>Parameters!$C$77*100/1000*Intermediate!U42*(1-Intermediate!DF42/100)+(1-Parameters!$C$111/100)*M42*Parameters!$C$101*(1-DF42/100)*365/1000000+(1-Parameters!$C$113/100)*P42*Parameters!$C$97*365/1000000+(1-Parameters!$C$113/100)*O42*Parameters!$C$97*(1-DF42/100)*365/1000000</f>
        <v>0.1931374966843061</v>
      </c>
      <c r="DM42" s="31"/>
      <c r="DN42" s="31"/>
      <c r="DO42" s="31"/>
      <c r="DP42" s="31"/>
      <c r="DQ42" s="31"/>
      <c r="DR42" s="31"/>
      <c r="DS42" s="31"/>
      <c r="DT42" s="188">
        <f>BO42*(Basicinfo!$P42+Basicinfo!$Q42)/1000</f>
        <v>50.133033168684868</v>
      </c>
      <c r="DU42" s="188">
        <f>DT42*Basicinfo!$AZ42/(Basicinfo!$AZ42+Basicinfo!$BA42)</f>
        <v>29.320392729260028</v>
      </c>
      <c r="DV42" s="188">
        <f>DT42*Basicinfo!$BC42/(Basicinfo!$BB42+Basicinfo!$BC42)</f>
        <v>20.177736250128607</v>
      </c>
      <c r="DW42" s="188">
        <f>BP42*(Basicinfo!$P42+Basicinfo!$Q42)/1000</f>
        <v>53.878035943673758</v>
      </c>
      <c r="DX42" s="188">
        <f>DW42*Basicinfo!$BB42/(Basicinfo!$BB42+Basicinfo!$BC42)</f>
        <v>32.192996554804942</v>
      </c>
      <c r="DY42" s="188">
        <f>DW42*Basicinfo!$BC42/(Basicinfo!$BB42+Basicinfo!$BC42)</f>
        <v>21.685039388868816</v>
      </c>
      <c r="DZ42" s="188">
        <f t="shared" si="38"/>
        <v>135.6039358110846</v>
      </c>
      <c r="EA42" s="188">
        <f>DZ42*Basicinfo!$AZ42/(Basicinfo!$AZ42+Basicinfo!$BA42)</f>
        <v>79.308200647590482</v>
      </c>
      <c r="EB42" s="188">
        <f>DZ42*Basicinfo!$BC42/(Basicinfo!$BB42+Basicinfo!$BC42)</f>
        <v>54.57839429082388</v>
      </c>
      <c r="EC42" s="188">
        <f t="shared" si="39"/>
        <v>145.73372616713957</v>
      </c>
      <c r="ED42" s="188">
        <f>EC42*Basicinfo!$AZ42/(Basicinfo!$AZ42+Basicinfo!$BA42)</f>
        <v>85.232626375139048</v>
      </c>
      <c r="EE42" s="188">
        <f>EC42*Basicinfo!$BC42/(Basicinfo!$BB42+Basicinfo!$BC42)</f>
        <v>58.655471322764726</v>
      </c>
      <c r="EF42" s="190">
        <f>(Basicinfo!BP42-BL42/100)*Intermediate!X42/10</f>
        <v>199.65300403898152</v>
      </c>
      <c r="EG42" s="191">
        <f>(Basicinfo!BQ42-BM42/100)*Intermediate!X42/10</f>
        <v>357.14724685031354</v>
      </c>
      <c r="EH42" s="197">
        <f>IF(AU42=0,0,$BS42*((Basicinfo!$P42+Basicinfo!$Q42)*Intermediate!$AT42*1000+$AW42*3600*24*365)/1000000*Basicinfo!AZ42/(Basicinfo!$AZ42+Basicinfo!$BA42))</f>
        <v>1.9560101015821845</v>
      </c>
      <c r="EI42" s="197">
        <f>IF(AU42=0,0,$BS42*((Basicinfo!$P42+Basicinfo!$Q42)*Intermediate!$AT42*1000+$AW42*3600*24*365)/1000000*Basicinfo!BA42/(Basicinfo!$AZ42+Basicinfo!$BA42))</f>
        <v>1.3884443948626564</v>
      </c>
      <c r="EJ42" s="198">
        <f>IF(AU42=0,0,$BS42*($AT42*$X42*1000)/1000000*Basicinfo!AZ42/(Basicinfo!$AZ42+Basicinfo!$BA42))</f>
        <v>5.2907763902556963</v>
      </c>
      <c r="EK42" s="198">
        <f>IF(AU42=0,0,$BS42*($AT42*$X42*1000)/1000000*Basicinfo!BA42/(Basicinfo!$AZ42+Basicinfo!$BA42))</f>
        <v>3.7555781626997646</v>
      </c>
      <c r="EL42" s="147">
        <f>Parameters!$C$150/Basicinfo!$AV42*100</f>
        <v>0.11448877253002238</v>
      </c>
      <c r="EM42" s="147">
        <f>Parameters!$C$151/Basicinfo!$AV42*100</f>
        <v>0.22897754506004475</v>
      </c>
      <c r="EN42" s="147">
        <f>(Parameters!$C$150+Parameters!$C$151)/Intermediate!$BB42*100</f>
        <v>1.0616935001261829</v>
      </c>
      <c r="EO42" s="193">
        <f>IF(EN42=0,0,(1/(1+Parameters!$C$116*$BB42^Parameters!$C$120)*Basicinfo!$AH42/Basicinfo!$G42+1/(1+Parameters!$C$117*$BB42^Parameters!$C$121)*Basicinfo!$AI42/Basicinfo!$G42)*(EN42)^Parameters!$C$124+(1/(1+Parameters!$C$118*$BB42^Parameters!$C$122)*Basicinfo!$AJ42/Basicinfo!AW42+1/(1+Parameters!$C$119*$BB42^Parameters!$C$123)*Basicinfo!$AK42/Basicinfo!$G42)*(EN42)^Parameters!$C$125)</f>
        <v>0.7104104527852062</v>
      </c>
      <c r="EP42" s="199">
        <f>EL42*($AT42*Basicinfo!$P42*1000+$AW42*3600*24*365)/1000000</f>
        <v>0.21275186195358645</v>
      </c>
      <c r="EQ42" s="199">
        <f>EM42*($AT42*Basicinfo!$P42*1000+$AW42*3600*24*365)/1000000</f>
        <v>0.42550372390717289</v>
      </c>
      <c r="ER42" s="199">
        <f t="shared" si="40"/>
        <v>0.57546866823258058</v>
      </c>
      <c r="ES42" s="199">
        <f t="shared" si="41"/>
        <v>1.1509373364651612</v>
      </c>
      <c r="ET42" s="181">
        <f t="shared" si="14"/>
        <v>23.500097589595462</v>
      </c>
      <c r="EU42" s="147">
        <f>Intermediate!F42*(Parameters!$C$150)/1000*100</f>
        <v>3.4825420000000003E-2</v>
      </c>
      <c r="EV42" s="147">
        <f>Intermediate!F42*(Parameters!$C$151)/1000*100</f>
        <v>6.9650840000000006E-2</v>
      </c>
      <c r="EW42" s="181">
        <f>'Local emissions'!$S42*Basicinfo!AZ42/(Basicinfo!$AZ42+Basicinfo!$BA42)-Intermediate!EU42</f>
        <v>0.28910632164049305</v>
      </c>
      <c r="EX42" s="147">
        <f>'Local emissions'!$S42*Basicinfo!BA42/(Basicinfo!$AZ42+Basicinfo!$BA42)-Intermediate!EV42</f>
        <v>0.16028724193272437</v>
      </c>
      <c r="EY42" s="188">
        <f t="shared" si="15"/>
        <v>1.743258239628598</v>
      </c>
      <c r="EZ42" s="188">
        <f t="shared" si="16"/>
        <v>0.96294067095548352</v>
      </c>
      <c r="FA42" s="188">
        <f t="shared" si="17"/>
        <v>4.7153077220231161</v>
      </c>
      <c r="FB42" s="181">
        <f t="shared" si="18"/>
        <v>2.6046408262346032</v>
      </c>
      <c r="FC42" s="181">
        <f>'Local emissions'!Y42-Intermediate!ET42</f>
        <v>161.01581447276044</v>
      </c>
      <c r="FD42" s="188">
        <f t="shared" si="19"/>
        <v>9.3102787330965455</v>
      </c>
      <c r="FE42" s="188">
        <f t="shared" si="20"/>
        <v>6.2713565885314502</v>
      </c>
      <c r="FF42" s="181">
        <f t="shared" si="21"/>
        <v>12.324722666861867</v>
      </c>
      <c r="FG42" s="201">
        <f t="shared" si="22"/>
        <v>8.4816395750302274</v>
      </c>
      <c r="FH42" s="181">
        <f t="shared" si="23"/>
        <v>124.62781690924034</v>
      </c>
      <c r="FJ42" s="147">
        <f>AVERAGE(Parameters!$C$132:$C$134)*'Local emissions'!J42*3600*24*365/1000000</f>
        <v>1.6539802798130252E-2</v>
      </c>
      <c r="FK42" s="147">
        <f>'Local emissions'!AJ42+CT42*BJ42/100*Intermediate!X42*100/1000000</f>
        <v>0.82816291029247635</v>
      </c>
      <c r="FL42" s="31">
        <f>(Parameters!$C$18*(Basicinfo!AH42+Basicinfo!AI42)+Parameters!$C$19*Basicinfo!AJ42+Parameters!$C$20*Basicinfo!AK42)/Basicinfo!G42</f>
        <v>3.4999999999921816E-2</v>
      </c>
      <c r="FM42" s="181">
        <f t="shared" si="32"/>
        <v>0.22102459822764881</v>
      </c>
    </row>
    <row r="43" spans="1:169">
      <c r="A43" s="39" t="str">
        <f>Basicinfo!A43</f>
        <v>Kristeinerbach</v>
      </c>
      <c r="B43" s="63">
        <f>Basicinfo!B43</f>
        <v>1350</v>
      </c>
      <c r="C43" s="63">
        <f>Basicinfo!C43</f>
        <v>5010</v>
      </c>
      <c r="D43" s="61">
        <f>Basicinfo!U43*Basicinfo!V43/1000+Basicinfo!Y43</f>
        <v>0.95878181309487343</v>
      </c>
      <c r="E43" s="19">
        <f>Basicinfo!W43*Basicinfo!X43/1000+Basicinfo!Z43</f>
        <v>0</v>
      </c>
      <c r="F43" s="19">
        <f t="shared" si="0"/>
        <v>0.95878181309487343</v>
      </c>
      <c r="G43" s="19">
        <f>SUM(Basicinfo!H43:L43)</f>
        <v>90.477272111476481</v>
      </c>
      <c r="H43" s="19">
        <f>IF(Basicinfo!N43&lt;Parameters!$C$68,Parameters!$C$69,Basicinfo!BS43/(Basicinfo!N43*100))</f>
        <v>24.833134682854102</v>
      </c>
      <c r="I43" s="19">
        <f>IF(Basicinfo!N43=0,0,Basicinfo!BU43*(1-Basicinfo!BX43/100))</f>
        <v>13611.185352482664</v>
      </c>
      <c r="J43" s="19">
        <f>IF(Basicinfo!N43=0,0,Basicinfo!BU43*Basicinfo!BX43/100)</f>
        <v>7011.8227573395552</v>
      </c>
      <c r="K43" s="19">
        <f>IF(Basicinfo!N43=0,0,Basicinfo!BT43-Basicinfo!BU43)</f>
        <v>0</v>
      </c>
      <c r="L43" s="27">
        <f>Basicinfo!BV43*Basicinfo!BW43/100</f>
        <v>1185.1200000000001</v>
      </c>
      <c r="M43" s="27">
        <f>Basicinfo!BV43-Intermediate!L43</f>
        <v>1185.1200000000001</v>
      </c>
      <c r="N43" s="73">
        <f>Basicinfo!BS43-SUM(I43:K43)-Basicinfo!BV43</f>
        <v>5.0022208597511053E-12</v>
      </c>
      <c r="O43" s="19">
        <f>IF(Basicinfo!AH43+Basicinfo!AI43+Basicinfo!AJ43+Basicinfo!AK43=0,0,N43*(Basicinfo!AH43+Basicinfo!AI43)/SUM(Basicinfo!AH43:AK43))</f>
        <v>5.0009789864521308E-12</v>
      </c>
      <c r="P43" s="73">
        <f t="shared" si="25"/>
        <v>1.2418732989745345E-15</v>
      </c>
      <c r="Q43" s="19">
        <f>IF(Basicinfo!BS43=0,Basicinfo!N43,IF(H43&gt;Parameters!$C$70,Parameters!$C$64*(Parameters!$C$65*Parameters!$C$70)^(Parameters!$C$66-Parameters!$C$67*LOG(Parameters!$C$65*Parameters!$C$70,10))/100*Basicinfo!N43,Parameters!$C$64*(Parameters!$C$65*H43)^(Parameters!$C$66-Parameters!$C$67*LOG(Parameters!$C$65*H43,10))/100*Basicinfo!N43))</f>
        <v>3.0465685110987768</v>
      </c>
      <c r="R43" s="19">
        <f>IF(Basicinfo!BS43=0,Q43*(1-Basicinfo!BX43/100),IF(H43&lt;Parameters!$C$75,Q43*Basicinfo!BU43/Basicinfo!BS43*(1-Basicinfo!BX43/100)*(-Parameters!$C$74+Parameters!$C$73*LN(H43*100)),Q43*Basicinfo!BU43/Basicinfo!BS43*(1-Basicinfo!BX43/100)))</f>
        <v>1.0986113982873662</v>
      </c>
      <c r="S43" s="19">
        <f>IF(Basicinfo!BS43=0,Q43*Basicinfo!BX43/100,Q43*Basicinfo!BU43/Basicinfo!BS43*Basicinfo!BX43/100)</f>
        <v>0.92905527378670361</v>
      </c>
      <c r="T43" s="19">
        <f>IF(Basicinfo!BS43=0,0,IF(H43&lt;Parameters!$C$75,Q43*K43/Basicinfo!BS43*(-Parameters!$C$74+Parameters!$C$73*LN(H43*100)),Q43*K43/Basicinfo!BS43))</f>
        <v>0</v>
      </c>
      <c r="U43" s="19">
        <f t="shared" si="26"/>
        <v>1.0189018390247071</v>
      </c>
      <c r="V43" s="19">
        <f>IF(Basicinfo!AL43&gt;Parameters!$C$14,Basicinfo!Q43,0)</f>
        <v>0</v>
      </c>
      <c r="W43" s="19">
        <f>IF(Basicinfo!AL43&gt;Parameters!$C$14,0,Basicinfo!Q43)</f>
        <v>0</v>
      </c>
      <c r="X43" s="19">
        <f>G43+Basicinfo!M43</f>
        <v>94.457316857634126</v>
      </c>
      <c r="Y43" s="19">
        <f>IF(Basicinfo!G43-F43-Q43-V43-Basicinfo!O43-Basicinfo!R43-Basicinfo!S43&lt;0,0,Basicinfo!G43-F43-Q43-V43-Basicinfo!O43-Basicinfo!R43-Basicinfo!S43)</f>
        <v>130.018976884853</v>
      </c>
      <c r="Z43" s="19">
        <f>Basicinfo!G43-F43-Basicinfo!BO43-Q43-Basicinfo!O43</f>
        <v>124.13095189193986</v>
      </c>
      <c r="AA43" s="53">
        <f>IF(Z43+Basicinfo!BO43-X43&gt;0,Z43+Basicinfo!BO43-X43,0)</f>
        <v>35.5697671946143</v>
      </c>
      <c r="AB43" s="56">
        <f>IF(Basicinfo!N43=0,0,Parameters!$C$71+Parameters!$C$72*Q43/Basicinfo!N43)</f>
        <v>0.39677628991988628</v>
      </c>
      <c r="AC43" s="43">
        <f>Basicinfo!AU43*AB43*R43/1000/86.4/0.365</f>
        <v>1.2272291534090166E-2</v>
      </c>
      <c r="AD43" s="43">
        <f>Basicinfo!AU43*AB43*S43/1000/86.4/0.365</f>
        <v>1.0378225812119266E-2</v>
      </c>
      <c r="AE43" s="43">
        <f>Basicinfo!AU43*AB43*T43/1000/86.4/0.365</f>
        <v>0</v>
      </c>
      <c r="AF43" s="43">
        <f>Basicinfo!AU43*AB43*U43/1000/86.4/0.365</f>
        <v>1.1381877552540234E-2</v>
      </c>
      <c r="AG43" s="43">
        <f>((Parameters!$C$80+Parameters!$C$81*Parameters!$C$89)/(Parameters!$C$82+Parameters!$C$89)/(Parameters!$C$90/100*Parameters!$C$91+(Parameters!$C$83+Parameters!$C$84*Parameters!$C$89)/(Parameters!$C$85+Parameters!$C$89)))-Parameters!$C$86+(Basicinfo!AU43-Parameters!$C$88)/Parameters!$C$87</f>
        <v>73.585062174680075</v>
      </c>
      <c r="AH43" s="43">
        <f>((Parameters!$C$80+Parameters!$C$81*Parameters!$C$89)/(Parameters!$C$82+Parameters!$C$89)/(Basicinfo!BY43/100*Parameters!$C$91+(Parameters!$C$83+Parameters!$C$84*Parameters!$C$89)/(Parameters!$C$85+Parameters!$C$89)))-Parameters!$C$86+(Basicinfo!AU43-Parameters!$C$88)/Parameters!$C$87</f>
        <v>55.782180308064511</v>
      </c>
      <c r="AI43" s="43">
        <f>Basicinfo!AU43^Parameters!$C$79*Parameters!$C$78*AH43/AG43</f>
        <v>21.366983485957803</v>
      </c>
      <c r="AJ43" s="43">
        <f>(J43*Parameters!$C$92/1000+Parameters!$C$94/100*S43*100*Parameters!$C$93/1000*86400*Parameters!$C$95/24)/86400</f>
        <v>1.0581164787530647E-2</v>
      </c>
      <c r="AK43" s="43">
        <f t="shared" si="1"/>
        <v>6.1347255059237974E-3</v>
      </c>
      <c r="AL43" s="43">
        <f>(K43*Parameters!$C$92/1000+Parameters!$C$94/100*T43*100*Parameters!$C$93/1000*86400*Parameters!$C$95/24)/86400</f>
        <v>0</v>
      </c>
      <c r="AM43" s="43">
        <f>(Intermediate!N43+Basicinfo!BV43-Intermediate!L43)*Parameters!$C$92/1000/86400</f>
        <v>1.7831666666666744E-3</v>
      </c>
      <c r="AN43" s="43">
        <f t="shared" si="2"/>
        <v>1.8061492169384626E-2</v>
      </c>
      <c r="AO43" s="43">
        <f t="shared" si="27"/>
        <v>6.1347255059237974E-3</v>
      </c>
      <c r="AP43" s="43">
        <f t="shared" si="28"/>
        <v>1.3165044219206909E-2</v>
      </c>
      <c r="AQ43" s="43">
        <f t="shared" si="33"/>
        <v>3.1572061259220872E-2</v>
      </c>
      <c r="AR43" s="61">
        <f>(Basicinfo!AU43-Basicinfo!AY43)*F43/1000/86.4/0.365</f>
        <v>4.2922006992707771E-3</v>
      </c>
      <c r="AS43" s="19">
        <f>IF(Basicinfo!AP43-Basicinfo!CB43-Basicinfo!CG43&lt;0,0,(Basicinfo!AP43-Basicinfo!CB43-Basicinfo!CG43)/Basicinfo!G43*1000)</f>
        <v>10.920983069236575</v>
      </c>
      <c r="AT43" s="19">
        <f>Parameters!$C$3*((AS43*86.4*0.365)^Parameters!$C$4)</f>
        <v>61.780363395643867</v>
      </c>
      <c r="AU43" s="19">
        <f>IF(AT43/86.4/0.365*(Basicinfo!G43/1000)-AN43&lt;0,0,AT43/86.4/0.365*(Basicinfo!G43/1000)-AN43)</f>
        <v>0.24700294891525576</v>
      </c>
      <c r="AV43" s="19">
        <f>IF(Basicinfo!AU43&gt;Parameters!$C$13,Parameters!$C$11*(Basicinfo!AU43-Parameters!$C$13)^Parameters!$C$12,0)</f>
        <v>58.657342760336007</v>
      </c>
      <c r="AW43" s="19">
        <f>IF(AV43*V43/1000/86.4/0.365&gt;Basicinfo!AP43*Parameters!$C$15,Basicinfo!AP43*Parameters!$C$15,AV43*V43/1000/86.4/0.365)</f>
        <v>0</v>
      </c>
      <c r="AX43" s="19">
        <f>Basicinfo!AU43-Basicinfo!AW43</f>
        <v>308.31979903300021</v>
      </c>
      <c r="AY43" s="19">
        <f>Parameters!$C$56*AX43+Parameters!$C$57*Basicinfo!AW43</f>
        <v>212.11350403452866</v>
      </c>
      <c r="AZ43" s="19">
        <f>AY43*Basicinfo!BO43/1000/86.4/0.365</f>
        <v>3.9657827650105525E-2</v>
      </c>
      <c r="BA43" s="19">
        <f>IF(Basicinfo!AP43-AQ43-AR43-AU43-AW43-AZ43-Basicinfo!CB43-Basicinfo!CG43&lt;0,0,Basicinfo!AP43-AQ43-AR43-AU43-AW43-AZ43-Basicinfo!CB43-Basicinfo!CG43)</f>
        <v>1.1551173887227069</v>
      </c>
      <c r="BB43" s="53">
        <f t="shared" si="34"/>
        <v>293.46252014945389</v>
      </c>
      <c r="BC43" s="56">
        <f>IF(G43=0,0,((Basicinfo!H43*Basicinfo!BE43+Basicinfo!I43*Basicinfo!BF43+Basicinfo!J43*Basicinfo!BG43+Basicinfo!K43*Basicinfo!BH43+Basicinfo!L43*Basicinfo!BI43)*(1-Basicinfo!BN43/G43*Parameters!$C$26/100)/G43)*Basicinfo!BM43)</f>
        <v>6.4612564427833368</v>
      </c>
      <c r="BD43" s="43">
        <f>IF(Basicinfo!AW43*Parameters!$C$39-Parameters!$C$40&lt;0,0.001,(Basicinfo!AW43*Parameters!$C$39-Parameters!$C$40)/(Basicinfo!AX43*Parameters!$C$39-Parameters!$C$40))</f>
        <v>1.1121024915269904</v>
      </c>
      <c r="BE43" s="43">
        <f>(BC43*G43*100+Basicinfo!BJ43*Basicinfo!M43*100)*Parameters!$C$29*BD43</f>
        <v>65128.333083542129</v>
      </c>
      <c r="BF43" s="43">
        <f>(Basicinfo!BK43*Basicinfo!P43*100)*BD43*Parameters!$C$29</f>
        <v>1844.3650506067047</v>
      </c>
      <c r="BG43" s="43">
        <f>Parameters!$C$27*(V43+W43)*100</f>
        <v>0</v>
      </c>
      <c r="BH43" s="43">
        <f>Parameters!$C$28*Basicinfo!R43*100</f>
        <v>0</v>
      </c>
      <c r="BI43" s="43">
        <f t="shared" si="29"/>
        <v>1844.3650506067047</v>
      </c>
      <c r="BJ43" s="43">
        <f>IF(Basicinfo!AM43&lt;Parameters!$C$33,0,Parameters!$C$30*(((Basicinfo!AM43-Parameters!$C$33)^Parameters!$C$31)*(((G43-Basicinfo!BN43)/Basicinfo!G43*100+Parameters!$C$34))^Parameters!$C$32))</f>
        <v>5.5369728866761854</v>
      </c>
      <c r="BK43" s="58">
        <f t="shared" si="30"/>
        <v>5450.5031949865879</v>
      </c>
      <c r="BL43" s="61">
        <f>Basicinfo!AZ43+Basicinfo!BA43</f>
        <v>1583.2801637461846</v>
      </c>
      <c r="BM43" s="19">
        <f>Basicinfo!BB43+Basicinfo!BC43</f>
        <v>1702.4559714353425</v>
      </c>
      <c r="BN43" s="172">
        <f>IF(Basicinfo!AO43=0,0,IF(Basicinfo!AO43="NA",1,IF(OR(Basicinfo!AO43="SA",Basicinfo!AN43="S"),3,IF(Basicinfo!AN43="N",1,IF(Basicinfo!AO43="ZA",2,0)))))</f>
        <v>0</v>
      </c>
      <c r="BO43" s="27">
        <f>IF($BN43=1,(BL43)*(1+Parameters!$C$21*Parameters!$C$22-Parameters!$C$22*Basicinfo!$AL43),IF($BN43=2,(BL43)*(1+Parameters!$C$21*Parameters!$C$23-Parameters!$C$23*Basicinfo!$AL43),IF($BN43=3,(BL43)*(1+Parameters!$C$21*Parameters!$C$24-Parameters!$C$24*Basicinfo!$AL43),BL43)))</f>
        <v>1583.2801637461846</v>
      </c>
      <c r="BP43" s="27">
        <f>IF($BN43=1,(BM43)*(1+Parameters!$C$21*Parameters!$C$22-Parameters!$C$22*Basicinfo!$AL43),IF($BN43=2,(BM43)*(1+Parameters!$C$21*Parameters!$C$23-Parameters!$C$23*Basicinfo!$AL43),IF($BN43=3,(BM43)*(1+Parameters!$C$21*Parameters!$C$24-Parameters!$C$24*Basicinfo!$AL43),BM43)))</f>
        <v>1702.4559714353425</v>
      </c>
      <c r="BQ43" s="27">
        <f>IF(Basicinfo!AU43=0,0,IF(G43+Basicinfo!M43=0,0,(Parameters!$C$16+BO43/Basicinfo!AU43)*G43+(Parameters!$C$17+BO43/Basicinfo!AU43)*Basicinfo!M43)/(G43+Basicinfo!M43))</f>
        <v>2.0706218757584987</v>
      </c>
      <c r="BR43" s="27">
        <f>IF(Basicinfo!AU43=0,0,IF(G43+Basicinfo!M43=0,0,(Parameters!$C$16+BP43/Basicinfo!AU43)*G43+(Parameters!$C$17+BP43/Basicinfo!AU43)*Basicinfo!M43)/(G43+Basicinfo!M43))</f>
        <v>2.2048506567772885</v>
      </c>
      <c r="BS43" s="27">
        <f>IF(Basicinfo!AU43=0,0,BO43/Basicinfo!AU43)</f>
        <v>1.7832626479460778</v>
      </c>
      <c r="BT43" s="27">
        <f>IF(Basicinfo!AU43=0,0,BP43/Basicinfo!AU43)</f>
        <v>1.9174914289648677</v>
      </c>
      <c r="BU43" s="27">
        <f>IF(SUM(G43,Basicinfo!M43,Basicinfo!P43,W43)=0,0,(BQ43*(G43+Basicinfo!M43)+BS43*(Basicinfo!P43+W43))/SUM(G43,Basicinfo!M43,Basicinfo!P43,W43))</f>
        <v>2.0025014895087807</v>
      </c>
      <c r="BV43" s="19">
        <f>IF(Basicinfo!BR43/Parameters!$C$10&gt;1,1,Basicinfo!BR43/Parameters!$C$10)</f>
        <v>0.62649555437390403</v>
      </c>
      <c r="BW43" s="19">
        <f>Parameters!$C$5+Parameters!$C$6*EXP(BV43*Parameters!$C$8*Parameters!$C$7)</f>
        <v>3.8859705491431702E-2</v>
      </c>
      <c r="BX43" s="19">
        <f>Parameters!$C$5+Parameters!$C$6*EXP(BV43*Parameters!$C$9*Parameters!$C$7)</f>
        <v>3.6461586915301131E-2</v>
      </c>
      <c r="BY43" s="19">
        <f>IF(Basicinfo!AH43+Basicinfo!AI43+Basicinfo!AJ43+Basicinfo!AK43=0,0,(Parameters!$C$18*(Basicinfo!AH43+Basicinfo!AI43)+Parameters!$C$19*Basicinfo!AJ43+Parameters!$C$20*Basicinfo!AK43)/(Basicinfo!AH43+Basicinfo!AI43+Basicinfo!AJ43+Basicinfo!AK43))</f>
        <v>3.4997517356122831E-2</v>
      </c>
      <c r="BZ43" s="19">
        <f>IF(Basicinfo!AJ43+Basicinfo!AK43=0,Parameters!$C$18,(Parameters!$C$19*Basicinfo!AJ43+Parameters!$C$20*Basicinfo!AK43)/(Basicinfo!AJ43+Basicinfo!AK43))</f>
        <v>2.5000000000000001E-2</v>
      </c>
      <c r="CA43" s="19">
        <f>IF(SUM(G43,Basicinfo!M43,Basicinfo!P43,W43)=0,0,(BW43*G43+BX43*Basicinfo!M43+BY43*Basicinfo!P43+BZ43*W43)/(SUM(G43,Basicinfo!M43,Basicinfo!P43,W43)))</f>
        <v>3.7867055436461981E-2</v>
      </c>
      <c r="CB43" s="19">
        <f>IF(Y43=0,Basicinfo!BP43,Basicinfo!BP43-(AU43*X43/Y43*Intermediate!BQ43*86400*365/1000000)*1000/(X43*100))</f>
        <v>35.332455131205741</v>
      </c>
      <c r="CC43" s="19">
        <f>IF(Y43=0,Basicinfo!BQ43,Basicinfo!BQ43-(AU43*Basicinfo!AV43/Basicinfo!AU43*X43/Y43*Intermediate!BR43*86400*365/1000000)*1000/(X43*100))</f>
        <v>53.674191895219316</v>
      </c>
      <c r="CD43" s="19">
        <f>IF(OR(Y43=0,AA43=0),BP43/100,BP43/100-(AU43*Basicinfo!AV43/Basicinfo!AU43*(Basicinfo!P43+W43)/Y43*Intermediate!BT43*86400*365/1000000+AW43*Basicinfo!AV43/Basicinfo!AU43*Intermediate!BT43*86400*365/1000000)*1000/(AA43*100))</f>
        <v>16.084938297769433</v>
      </c>
      <c r="CE43" s="19">
        <f t="shared" si="35"/>
        <v>475345.00219122123</v>
      </c>
      <c r="CF43" s="19">
        <f t="shared" si="36"/>
        <v>57213.751059139438</v>
      </c>
      <c r="CG43" s="19">
        <f>IF(AY43=0,0,((CB43^Parameters!$C$58))/AY43*100)</f>
        <v>9.7584181842532001</v>
      </c>
      <c r="CH43" s="19">
        <f>IF(SUM(Basicinfo!AB43:AG43)=0,0,(Parameters!$C$59*Basicinfo!AB43+Parameters!$C$60*SUM(Basicinfo!AC43:AE43)+Parameters!$C$61*Basicinfo!AF43+Parameters!$C$62*Basicinfo!AG43)/SUM(Basicinfo!AB43:AG43))</f>
        <v>6.215931725631877E-2</v>
      </c>
      <c r="CI43" s="299">
        <f t="shared" si="31"/>
        <v>10</v>
      </c>
      <c r="CJ43" s="19">
        <f t="shared" si="37"/>
        <v>42.902978276841935</v>
      </c>
      <c r="CK43" s="19">
        <f t="shared" si="9"/>
        <v>14.619576719709354</v>
      </c>
      <c r="CL43" s="19">
        <f>IF($BB43=0,0,$CJ43^Parameters!$C$58*100/$BB43)</f>
        <v>8.3188191417188229</v>
      </c>
      <c r="CM43" s="301">
        <f>IF(CK43=0,0,(1/(1+Parameters!$C$116*BB43^Parameters!$E$120)*Basicinfo!AH43/Basicinfo!G43+1/(1+Parameters!$C$117*BB43^Parameters!$C$121)*Basicinfo!AI43/Basicinfo!G43)*(CK43)^Parameters!$C$124+(1/(1+Parameters!$C$118*BB43^Parameters!$C$122)*Basicinfo!AJ43/Basicinfo!G43+1/(1+Parameters!$C$119*BB43^Parameters!$C$123)*Basicinfo!AK43/Basicinfo!G43)*(CK43)^Parameters!$C$125)</f>
        <v>4.9600552302300374</v>
      </c>
      <c r="CN43" s="19">
        <f>IF(SUM(Basicinfo!AB43:AG43)=0,0,(Parameters!$C$128*Basicinfo!AB43+Parameters!$C$129*(SUM(Basicinfo!AC43:AE43))+Parameters!$C$130*Basicinfo!AF43+Parameters!$C$131*Basicinfo!AG43)/SUM(Basicinfo!AB43:AG43))</f>
        <v>1.3654995282507756E-2</v>
      </c>
      <c r="CO43" s="19">
        <f>IF(Basicinfo!AH43+Basicinfo!AI43+Basicinfo!AJ43+Basicinfo!AK43=0,0,(Parameters!$C$132*(Basicinfo!AH43+Basicinfo!AI43)+Parameters!$C$133*Basicinfo!AJ43+Parameters!$C$134*Basicinfo!AK43)/(Basicinfo!AH43+Basicinfo!AI43+Basicinfo!AJ43+Basicinfo!AK43))</f>
        <v>5.0000000000000001E-4</v>
      </c>
      <c r="CP43" s="19">
        <f>IF(Basicinfo!AJ43+Basicinfo!AK43=0,0,(Parameters!$C$133*Basicinfo!AJ43+Parameters!$C$134*Basicinfo!AK43)/(Basicinfo!AJ43+Basicinfo!AK43))</f>
        <v>5.0000000000000001E-4</v>
      </c>
      <c r="CQ43" s="19">
        <f>IF(Z43=0,0,(CN43*(Z43-AA43)+CO43*Basicinfo!P43+CP43*(Basicinfo!Q43+Basicinfo!R43))/Z43)</f>
        <v>9.8603700752598888E-3</v>
      </c>
      <c r="CR43" s="289">
        <f>Basicinfo!EI43</f>
        <v>4.0478322991689748E-2</v>
      </c>
      <c r="CS43" s="19">
        <f>IF(SUM(Basicinfo!AB43:AG43)=0,0,(Basicinfo!AB43*Parameters!$C$43+(Basicinfo!AC43+Basicinfo!AD43)*Parameters!$C$44+Basicinfo!AE43*Parameters!$C$45+(Basicinfo!AF43+Basicinfo!AG43)*Parameters!$C$46)/SUM(Basicinfo!AB43:AG43))</f>
        <v>29.343904341691861</v>
      </c>
      <c r="CT43" s="19">
        <f>(Parameters!$C$41*CS43+Parameters!$C$42)</f>
        <v>574.30782428525697</v>
      </c>
      <c r="CU43" s="19">
        <f>CT43+Basicinfo!BR43/(Parameters!$C$47*Parameters!$C$49*Parameters!$C$48*10000/1000000)</f>
        <v>794.96034658046847</v>
      </c>
      <c r="CV43" s="19">
        <f>IF(BK43/Basicinfo!G43&lt;Parameters!$C$35,Parameters!$C$35,Parameters!$C$37*(BK43/Basicinfo!G43)^Parameters!$C$38)</f>
        <v>1.3483232464309773</v>
      </c>
      <c r="CW43" s="19">
        <f>IF(BK43/Basicinfo!G43&lt;Parameters!$C$35,Parameters!$C$36,Parameters!$C$36*(BK43/Basicinfo!G43)^Parameters!$C$38)</f>
        <v>3.1685596291127971</v>
      </c>
      <c r="CX43" s="27">
        <f>IF(Basicinfo!AJ43+Basicinfo!AK43=0,0,(Parameters!$C$53*Basicinfo!AJ43+Parameters!$C$54*Basicinfo!AK43)/(Basicinfo!AJ43+Basicinfo!AK43))</f>
        <v>750</v>
      </c>
      <c r="CY43" s="56">
        <f>IF(Basicinfo!AU43*AB43=0,0,((Basicinfo!AZ43+Basicinfo!BA43)/Basicinfo!AU43+Parameters!$C$76/(Basicinfo!AU43*AB43)*100))</f>
        <v>2.9187226006017033</v>
      </c>
      <c r="CZ43" s="43">
        <f>IF(Basicinfo!AU43*AB43=0,0,(Parameters!$C$77)/(Basicinfo!AU43*AB43)*100)</f>
        <v>0.70966247040976593</v>
      </c>
      <c r="DA43" s="43">
        <f>IF(AD43+AJ43=0,0,((J43*Parameters!$C$96+Parameters!$C$94/100*S43*100*Parameters!$C$93/1000*86400*Parameters!$C$95/24*Parameters!$C$98)*AI43+AD43*CY43*86400*365)/((AD43+AJ43*AI43/365)*86400*365))</f>
        <v>7.9384723697297872</v>
      </c>
      <c r="DB43" s="43">
        <f>IF(AD43+AJ43=0,0,((J43*Parameters!$C$97+Parameters!$C$94/100*S43*100*Parameters!$C$93/1000*86400*Parameters!$C$95/24*Parameters!$C$99)*AI43+AD43*CZ43*86400*365)/((AD43+AJ43*AI43/365)*86400*365))</f>
        <v>1.5130386882129649</v>
      </c>
      <c r="DC43" s="42">
        <f>IF(AE43+AL43=0,0,((K43*Parameters!$C$96+Parameters!$C$94/100*T43*100*Parameters!$C$93/1000*86400*Parameters!$C$95/24*Parameters!$C$98)*365+AE43*CY43*86400*365)/((AE43+AL43)*86400*365))</f>
        <v>0</v>
      </c>
      <c r="DD43" s="42">
        <f>IF(AE43+AL43=0,0,((K43*Parameters!$C$97+Parameters!$C$94/100*T43*100*Parameters!$C$93/1000*86400*Parameters!$C$95/24*Parameters!$C$99)*365+AE43*CZ43*86400*365)/((AE43+AL43)*86400*365))</f>
        <v>0</v>
      </c>
      <c r="DE43" s="42">
        <f>IF(Basicinfo!AH43+Basicinfo!AI43+Basicinfo!AJ43+Basicinfo!AK43=0,0,((Basicinfo!AH43+Basicinfo!AI43)*Parameters!$C$107+(Basicinfo!AJ43+Basicinfo!AK43)*Parameters!$C$106)/(Basicinfo!AH43+Basicinfo!AI43+Basicinfo!AJ43+Basicinfo!AK43))</f>
        <v>89.990069424491296</v>
      </c>
      <c r="DF43" s="42">
        <f>IF(Basicinfo!AH43+Basicinfo!AI43+Basicinfo!AJ43+Basicinfo!AK43=0,0,((Basicinfo!AH43+Basicinfo!AI43)*Parameters!$C$109+(Basicinfo!AJ43+Basicinfo!AK43)*Parameters!$C$108)/(Basicinfo!AH43+Basicinfo!AI43+Basicinfo!AJ43+Basicinfo!AK43))</f>
        <v>89.990069424491296</v>
      </c>
      <c r="DG43" s="42">
        <f>Intermediate!AC43*Intermediate!CY43*(1-Parameters!$C$102/100*Basicinfo!BZ43/100)*(1-Parameters!$C$104/100*Basicinfo!CA43/100)*86400*365/1000000</f>
        <v>1.1296010607720623</v>
      </c>
      <c r="DH43" s="42">
        <f>Intermediate!AC43*Intermediate!CZ43*(1-Parameters!$C$103/100*Basicinfo!BZ43/100)*(1-Parameters!$C$105/100*Basicinfo!CA43/100)*86400*365/1000000</f>
        <v>0.27465284957184161</v>
      </c>
      <c r="DI43" s="42">
        <f>(Intermediate!AK43*Intermediate!DA43+(Intermediate!AE43+Intermediate!AL43)*Intermediate!DC43)*86400*365/1000000</f>
        <v>1.5358142036878462</v>
      </c>
      <c r="DJ43" s="42">
        <f>(Intermediate!AK43*Intermediate!DB43+(Intermediate!AE43+Intermediate!AL43)*Intermediate!DD43)*86400*365/1000000</f>
        <v>0.29271958128208414</v>
      </c>
      <c r="DK43" s="42">
        <f>((Basicinfo!AZ43+Basicinfo!BA43)*Intermediate!AB43+Parameters!$C$76*100)/1000*Intermediate!U43*(1-Intermediate!DE43/100)+(1-Parameters!$C$110/100)*M43*Parameters!$C$100*(1-DE43/100)*365/1000000+(1-Parameters!$C$112/100)*P43*Parameters!$C$96*365/1000000+(1-Parameters!$C$112/100)*O43*Parameters!$C$96*(1-DE43/100)*365/1000000</f>
        <v>0.45559701840477784</v>
      </c>
      <c r="DL43" s="42">
        <f>Parameters!$C$77*100/1000*Intermediate!U43*(1-Intermediate!DF43/100)+(1-Parameters!$C$111/100)*M43*Parameters!$C$101*(1-DF43/100)*365/1000000+(1-Parameters!$C$113/100)*P43*Parameters!$C$97*365/1000000+(1-Parameters!$C$113/100)*O43*Parameters!$C$97*(1-DF43/100)*365/1000000</f>
        <v>7.2342380019590216E-2</v>
      </c>
      <c r="DM43" s="31"/>
      <c r="DN43" s="31"/>
      <c r="DO43" s="31"/>
      <c r="DP43" s="31"/>
      <c r="DQ43" s="31"/>
      <c r="DR43" s="31"/>
      <c r="DS43" s="31"/>
      <c r="DT43" s="188">
        <f>BO43*(Basicinfo!$P43+Basicinfo!$Q43)/1000</f>
        <v>46.467892798471752</v>
      </c>
      <c r="DU43" s="188">
        <f>DT43*Basicinfo!$AZ43/(Basicinfo!$AZ43+Basicinfo!$BA43)</f>
        <v>27.146322292383449</v>
      </c>
      <c r="DV43" s="188">
        <f>DT43*Basicinfo!$BC43/(Basicinfo!$BB43+Basicinfo!$BC43)</f>
        <v>18.731758055386752</v>
      </c>
      <c r="DW43" s="188">
        <f>BP43*(Basicinfo!$P43+Basicinfo!$Q43)/1000</f>
        <v>49.965598878972393</v>
      </c>
      <c r="DX43" s="188">
        <f>DW43*Basicinfo!$BB43/(Basicinfo!$BB43+Basicinfo!$BC43)</f>
        <v>29.823874067982125</v>
      </c>
      <c r="DY43" s="188">
        <f>DW43*Basicinfo!$BC43/(Basicinfo!$BB43+Basicinfo!$BC43)</f>
        <v>20.141724810990269</v>
      </c>
      <c r="DZ43" s="188">
        <f t="shared" si="38"/>
        <v>149.5523961013802</v>
      </c>
      <c r="EA43" s="188">
        <f>DZ43*Basicinfo!$AZ43/(Basicinfo!$AZ43+Basicinfo!$BA43)</f>
        <v>87.367799563740405</v>
      </c>
      <c r="EB43" s="188">
        <f>DZ43*Basicinfo!$BC43/(Basicinfo!$BB43+Basicinfo!$BC43)</f>
        <v>60.286342497255461</v>
      </c>
      <c r="EC43" s="188">
        <f t="shared" si="39"/>
        <v>160.80942313003945</v>
      </c>
      <c r="ED43" s="188">
        <f>EC43*Basicinfo!$AZ43/(Basicinfo!$AZ43+Basicinfo!$BA43)</f>
        <v>93.944101293181134</v>
      </c>
      <c r="EE43" s="188">
        <f>EC43*Basicinfo!$BC43/(Basicinfo!$BB43+Basicinfo!$BC43)</f>
        <v>64.824183445591501</v>
      </c>
      <c r="EF43" s="190">
        <f>(Basicinfo!BP43-BL43/100)*Intermediate!X43/10</f>
        <v>195.90608772284676</v>
      </c>
      <c r="EG43" s="191">
        <f>(Basicinfo!BQ43-BM43/100)*Intermediate!X43/10</f>
        <v>358.5511785438365</v>
      </c>
      <c r="EH43" s="197">
        <f>IF(AU43=0,0,$BS43*((Basicinfo!$P43+Basicinfo!$Q43)*Intermediate!$AT43*1000+$AW43*3600*24*365)/1000000*Basicinfo!AZ43/(Basicinfo!$AZ43+Basicinfo!$BA43))</f>
        <v>1.8889436466623433</v>
      </c>
      <c r="EI43" s="197">
        <f>IF(AU43=0,0,$BS43*((Basicinfo!$P43+Basicinfo!$Q43)*Intermediate!$AT43*1000+$AW43*3600*24*365)/1000000*Basicinfo!BA43/(Basicinfo!$AZ43+Basicinfo!$BA43))</f>
        <v>1.3444678604311062</v>
      </c>
      <c r="EJ43" s="198">
        <f>IF(AU43=0,0,$BS43*($AT43*$X43*1000)/1000000*Basicinfo!AZ43/(Basicinfo!$AZ43+Basicinfo!$BA43))</f>
        <v>6.0793815136829945</v>
      </c>
      <c r="EK43" s="198">
        <f>IF(AU43=0,0,$BS43*($AT43*$X43*1000)/1000000*Basicinfo!BA43/(Basicinfo!$AZ43+Basicinfo!$BA43))</f>
        <v>4.3270391209859369</v>
      </c>
      <c r="EL43" s="147">
        <f>Parameters!$C$150/Basicinfo!$AV43*100</f>
        <v>0.11361986080211403</v>
      </c>
      <c r="EM43" s="147">
        <f>Parameters!$C$151/Basicinfo!$AV43*100</f>
        <v>0.22723972160422806</v>
      </c>
      <c r="EN43" s="147">
        <f>(Parameters!$C$150+Parameters!$C$151)/Intermediate!$BB43*100</f>
        <v>1.0222770520992484</v>
      </c>
      <c r="EO43" s="193">
        <f>IF(EN43=0,0,(1/(1+Parameters!$C$116*$BB43^Parameters!$C$120)*Basicinfo!$AH43/Basicinfo!$G43+1/(1+Parameters!$C$117*$BB43^Parameters!$C$121)*Basicinfo!$AI43/Basicinfo!$G43)*(EN43)^Parameters!$C$124+(1/(1+Parameters!$C$118*$BB43^Parameters!$C$122)*Basicinfo!$AJ43/Basicinfo!AW43+1/(1+Parameters!$C$119*$BB43^Parameters!$C$123)*Basicinfo!$AK43/Basicinfo!$G43)*(EN43)^Parameters!$C$125)</f>
        <v>0.67630410231272176</v>
      </c>
      <c r="EP43" s="199">
        <f>EL43*($AT43*Basicinfo!$P43*1000+$AW43*3600*24*365)/1000000</f>
        <v>0.20601551082508865</v>
      </c>
      <c r="EQ43" s="199">
        <f>EM43*($AT43*Basicinfo!$P43*1000+$AW43*3600*24*365)/1000000</f>
        <v>0.4120310216501773</v>
      </c>
      <c r="ER43" s="199">
        <f t="shared" si="40"/>
        <v>0.66304089603467309</v>
      </c>
      <c r="ES43" s="199">
        <f t="shared" si="41"/>
        <v>1.3260817920693462</v>
      </c>
      <c r="ET43" s="181">
        <f t="shared" si="14"/>
        <v>24.636258384977907</v>
      </c>
      <c r="EU43" s="147">
        <f>Intermediate!F43*(Parameters!$C$150)/1000*100</f>
        <v>9.5878181309487345E-2</v>
      </c>
      <c r="EV43" s="147">
        <f>Intermediate!F43*(Parameters!$C$151)/1000*100</f>
        <v>0.19175636261897469</v>
      </c>
      <c r="EW43" s="181">
        <f>'Local emissions'!$S43*Basicinfo!AZ43/(Basicinfo!$AZ43+Basicinfo!$BA43)-Intermediate!EU43</f>
        <v>0.79094202551562787</v>
      </c>
      <c r="EX43" s="147">
        <f>'Local emissions'!$S43*Basicinfo!BA43/(Basicinfo!$AZ43+Basicinfo!$BA43)-Intermediate!EV43</f>
        <v>0.43944365658962514</v>
      </c>
      <c r="EY43" s="188">
        <f t="shared" si="15"/>
        <v>1.6829281358372545</v>
      </c>
      <c r="EZ43" s="188">
        <f t="shared" si="16"/>
        <v>0.93243683878092898</v>
      </c>
      <c r="FA43" s="188">
        <f t="shared" si="17"/>
        <v>5.4163406176483218</v>
      </c>
      <c r="FB43" s="181">
        <f t="shared" si="18"/>
        <v>3.0009573289165905</v>
      </c>
      <c r="FC43" s="181">
        <f>'Local emissions'!Y43-Intermediate!ET43</f>
        <v>156.05944785364184</v>
      </c>
      <c r="FD43" s="188">
        <f t="shared" si="19"/>
        <v>8.1750977126755249</v>
      </c>
      <c r="FE43" s="188">
        <f t="shared" si="20"/>
        <v>5.5210992393654275</v>
      </c>
      <c r="FF43" s="181">
        <f t="shared" si="21"/>
        <v>12.87562785858433</v>
      </c>
      <c r="FG43" s="201">
        <f t="shared" si="22"/>
        <v>8.8845606141598346</v>
      </c>
      <c r="FH43" s="181">
        <f t="shared" si="23"/>
        <v>120.60306242885672</v>
      </c>
      <c r="FJ43" s="147">
        <f>AVERAGE(Parameters!$C$132:$C$134)*'Local emissions'!J43*3600*24*365/1000000</f>
        <v>1.8213890985379639E-2</v>
      </c>
      <c r="FK43" s="147">
        <f>'Local emissions'!AJ43+CT43*BJ43/100*Intermediate!X43*100/1000000</f>
        <v>1.1303316309856359</v>
      </c>
      <c r="FL43" s="31">
        <f>(Parameters!$C$18*(Basicinfo!AH43+Basicinfo!AI43)+Parameters!$C$19*Basicinfo!AJ43+Parameters!$C$20*Basicinfo!AK43)/Basicinfo!G43</f>
        <v>3.499751735610783E-2</v>
      </c>
      <c r="FM43" s="181">
        <f t="shared" si="32"/>
        <v>0.27261263637735178</v>
      </c>
    </row>
    <row r="44" spans="1:169">
      <c r="A44" s="39" t="str">
        <f>Basicinfo!A44</f>
        <v>Kleine Gusen</v>
      </c>
      <c r="B44" s="63">
        <f>Basicinfo!B44</f>
        <v>1360</v>
      </c>
      <c r="C44" s="63">
        <f>Basicinfo!C44</f>
        <v>1370</v>
      </c>
      <c r="D44" s="61">
        <f>Basicinfo!U44*Basicinfo!V44/1000+Basicinfo!Y44</f>
        <v>0.31543523368238557</v>
      </c>
      <c r="E44" s="19">
        <f>Basicinfo!W44*Basicinfo!X44/1000+Basicinfo!Z44</f>
        <v>0</v>
      </c>
      <c r="F44" s="19">
        <f t="shared" si="0"/>
        <v>0.31543523368238557</v>
      </c>
      <c r="G44" s="19">
        <f>SUM(Basicinfo!H44:L44)</f>
        <v>31.208846582992443</v>
      </c>
      <c r="H44" s="19">
        <f>IF(Basicinfo!N44&lt;Parameters!$C$68,Parameters!$C$69,Basicinfo!BS44/(Basicinfo!N44*100))</f>
        <v>23.692790410089327</v>
      </c>
      <c r="I44" s="19">
        <f>IF(Basicinfo!N44=0,0,Basicinfo!BU44*(1-Basicinfo!BX44/100))</f>
        <v>5129.8589462448163</v>
      </c>
      <c r="J44" s="19">
        <f>IF(Basicinfo!N44=0,0,Basicinfo!BU44*Basicinfo!BX44/100)</f>
        <v>6022.008328200438</v>
      </c>
      <c r="K44" s="19">
        <f>IF(Basicinfo!N44=0,0,Basicinfo!BT44-Basicinfo!BU44)</f>
        <v>0</v>
      </c>
      <c r="L44" s="27">
        <f>Basicinfo!BV44*Basicinfo!BW44/100</f>
        <v>648.42666666666685</v>
      </c>
      <c r="M44" s="27">
        <f>Basicinfo!BV44-Intermediate!L44</f>
        <v>648.42666666666685</v>
      </c>
      <c r="N44" s="73">
        <f>Basicinfo!BS44-SUM(I44:K44)-Basicinfo!BV44</f>
        <v>0</v>
      </c>
      <c r="O44" s="19">
        <f>IF(Basicinfo!AH44+Basicinfo!AI44+Basicinfo!AJ44+Basicinfo!AK44=0,0,N44*(Basicinfo!AH44+Basicinfo!AI44)/SUM(Basicinfo!AH44:AK44))</f>
        <v>0</v>
      </c>
      <c r="P44" s="73">
        <f t="shared" si="25"/>
        <v>0</v>
      </c>
      <c r="Q44" s="19">
        <f>IF(Basicinfo!BS44=0,Basicinfo!N44,IF(H44&gt;Parameters!$C$70,Parameters!$C$64*(Parameters!$C$65*Parameters!$C$70)^(Parameters!$C$66-Parameters!$C$67*LOG(Parameters!$C$65*Parameters!$C$70,10))/100*Basicinfo!N44,Parameters!$C$64*(Parameters!$C$65*H44)^(Parameters!$C$66-Parameters!$C$67*LOG(Parameters!$C$65*H44,10))/100*Basicinfo!N44))</f>
        <v>1.6890259744785374</v>
      </c>
      <c r="R44" s="19">
        <f>IF(Basicinfo!BS44=0,Q44*(1-Basicinfo!BX44/100),IF(H44&lt;Parameters!$C$75,Q44*Basicinfo!BU44/Basicinfo!BS44*(1-Basicinfo!BX44/100)*(-Parameters!$C$74+Parameters!$C$73*LN(H44*100)),Q44*Basicinfo!BU44/Basicinfo!BS44*(1-Basicinfo!BX44/100)))</f>
        <v>0.4198991998225432</v>
      </c>
      <c r="S44" s="19">
        <f>IF(Basicinfo!BS44=0,Q44*Basicinfo!BX44/100,Q44*Basicinfo!BU44/Basicinfo!BS44*Basicinfo!BX44/100)</f>
        <v>0.81705813836813501</v>
      </c>
      <c r="T44" s="19">
        <f>IF(Basicinfo!BS44=0,0,IF(H44&lt;Parameters!$C$75,Q44*K44/Basicinfo!BS44*(-Parameters!$C$74+Parameters!$C$73*LN(H44*100)),Q44*K44/Basicinfo!BS44))</f>
        <v>0</v>
      </c>
      <c r="U44" s="19">
        <f t="shared" si="26"/>
        <v>0.4520686362878592</v>
      </c>
      <c r="V44" s="19">
        <f>IF(Basicinfo!AL44&gt;Parameters!$C$14,Basicinfo!Q44,0)</f>
        <v>0</v>
      </c>
      <c r="W44" s="19">
        <f>IF(Basicinfo!AL44&gt;Parameters!$C$14,0,Basicinfo!Q44)</f>
        <v>0</v>
      </c>
      <c r="X44" s="19">
        <f>G44+Basicinfo!M44</f>
        <v>60.764174914425858</v>
      </c>
      <c r="Y44" s="19">
        <f>IF(Basicinfo!G44-F44-Q44-V44-Basicinfo!O44-Basicinfo!R44-Basicinfo!S44&lt;0,0,Basicinfo!G44-F44-Q44-V44-Basicinfo!O44-Basicinfo!R44-Basicinfo!S44)</f>
        <v>110.12329402175045</v>
      </c>
      <c r="Z44" s="19">
        <f>Basicinfo!G44-F44-Basicinfo!BO44-Q44-Basicinfo!O44</f>
        <v>102.83910750468594</v>
      </c>
      <c r="AA44" s="53">
        <f>IF(Z44+Basicinfo!BO44-X44&gt;0,Z44+Basicinfo!BO44-X44,0)</f>
        <v>49.359708699413225</v>
      </c>
      <c r="AB44" s="56">
        <f>IF(Basicinfo!N44=0,0,Parameters!$C$71+Parameters!$C$72*Q44/Basicinfo!N44)</f>
        <v>0.39109548887404399</v>
      </c>
      <c r="AC44" s="43">
        <f>Basicinfo!AU44*AB44*R44/1000/86.4/0.365</f>
        <v>4.2470782293598979E-3</v>
      </c>
      <c r="AD44" s="43">
        <f>Basicinfo!AU44*AB44*S44/1000/86.4/0.365</f>
        <v>8.2641496650890552E-3</v>
      </c>
      <c r="AE44" s="43">
        <f>Basicinfo!AU44*AB44*T44/1000/86.4/0.365</f>
        <v>0</v>
      </c>
      <c r="AF44" s="43">
        <f>Basicinfo!AU44*AB44*U44/1000/86.4/0.365</f>
        <v>4.5724565899768286E-3</v>
      </c>
      <c r="AG44" s="43">
        <f>((Parameters!$C$80+Parameters!$C$81*Parameters!$C$89)/(Parameters!$C$82+Parameters!$C$89)/(Parameters!$C$90/100*Parameters!$C$91+(Parameters!$C$83+Parameters!$C$84*Parameters!$C$89)/(Parameters!$C$85+Parameters!$C$89)))-Parameters!$C$86+(Basicinfo!AU44-Parameters!$C$88)/Parameters!$C$87</f>
        <v>71.778280935608649</v>
      </c>
      <c r="AH44" s="43">
        <f>((Parameters!$C$80+Parameters!$C$81*Parameters!$C$89)/(Parameters!$C$82+Parameters!$C$89)/(Basicinfo!BY44/100*Parameters!$C$91+(Parameters!$C$83+Parameters!$C$84*Parameters!$C$89)/(Parameters!$C$85+Parameters!$C$89)))-Parameters!$C$86+(Basicinfo!AU44-Parameters!$C$88)/Parameters!$C$87</f>
        <v>53.975399068993077</v>
      </c>
      <c r="AI44" s="43">
        <f>Basicinfo!AU44^Parameters!$C$79*Parameters!$C$78*AH44/AG44</f>
        <v>17.141806559629778</v>
      </c>
      <c r="AJ44" s="43">
        <f>(J44*Parameters!$C$92/1000+Parameters!$C$94/100*S44*100*Parameters!$C$93/1000*86400*Parameters!$C$95/24)/86400</f>
        <v>9.0881274317657079E-3</v>
      </c>
      <c r="AK44" s="43">
        <f t="shared" si="1"/>
        <v>4.690982043790609E-3</v>
      </c>
      <c r="AL44" s="43">
        <f>(K44*Parameters!$C$92/1000+Parameters!$C$94/100*T44*100*Parameters!$C$93/1000*86400*Parameters!$C$95/24)/86400</f>
        <v>0</v>
      </c>
      <c r="AM44" s="43">
        <f>(Intermediate!N44+Basicinfo!BV44-Intermediate!L44)*Parameters!$C$92/1000/86400</f>
        <v>9.7564197530864219E-4</v>
      </c>
      <c r="AN44" s="43">
        <f t="shared" si="2"/>
        <v>8.7076859907505716E-3</v>
      </c>
      <c r="AO44" s="43">
        <f t="shared" si="27"/>
        <v>4.690982043790609E-3</v>
      </c>
      <c r="AP44" s="43">
        <f t="shared" si="28"/>
        <v>5.5480985652854708E-3</v>
      </c>
      <c r="AQ44" s="43">
        <f t="shared" si="33"/>
        <v>1.4486158838435978E-2</v>
      </c>
      <c r="AR44" s="61">
        <f>(Basicinfo!AU44-Basicinfo!AY44)*F44/1000/86.4/0.365</f>
        <v>1.2572466896110402E-3</v>
      </c>
      <c r="AS44" s="19">
        <f>IF(Basicinfo!AP44-Basicinfo!CB44-Basicinfo!CG44&lt;0,0,(Basicinfo!AP44-Basicinfo!CB44-Basicinfo!CG44)/Basicinfo!G44*1000)</f>
        <v>8.2015248768488256</v>
      </c>
      <c r="AT44" s="19">
        <f>Parameters!$C$3*((AS44*86.4*0.365)^Parameters!$C$4)</f>
        <v>43.23909357345611</v>
      </c>
      <c r="AU44" s="19">
        <f>IF(AT44/86.4/0.365*(Basicinfo!G44/1000)-AN44&lt;0,0,AT44/86.4/0.365*(Basicinfo!G44/1000)-AN44)</f>
        <v>0.14503178616790019</v>
      </c>
      <c r="AV44" s="19">
        <f>IF(Basicinfo!AU44&gt;Parameters!$C$13,Parameters!$C$11*(Basicinfo!AU44-Parameters!$C$13)^Parameters!$C$12,0)</f>
        <v>20.781519443518619</v>
      </c>
      <c r="AW44" s="19">
        <f>IF(AV44*V44/1000/86.4/0.365&gt;Basicinfo!AP44*Parameters!$C$15,Basicinfo!AP44*Parameters!$C$15,AV44*V44/1000/86.4/0.365)</f>
        <v>0</v>
      </c>
      <c r="AX44" s="19">
        <f>Basicinfo!AU44-Basicinfo!AW44</f>
        <v>281.4235923622856</v>
      </c>
      <c r="AY44" s="19">
        <f>Parameters!$C$56*AX44+Parameters!$C$57*Basicinfo!AW44</f>
        <v>194.12789640995709</v>
      </c>
      <c r="AZ44" s="19">
        <f>AY44*Basicinfo!BO44/1000/86.4/0.365</f>
        <v>4.4843298512411568E-2</v>
      </c>
      <c r="BA44" s="19">
        <f>IF(Basicinfo!AP44-AQ44-AR44-AU44-AW44-AZ44-Basicinfo!CB44-Basicinfo!CG44&lt;0,0,Basicinfo!AP44-AQ44-AR44-AU44-AW44-AZ44-Basicinfo!CB44-Basicinfo!CG44)</f>
        <v>0.71400491924915754</v>
      </c>
      <c r="BB44" s="53">
        <f t="shared" si="34"/>
        <v>218.95230014919599</v>
      </c>
      <c r="BC44" s="56">
        <f>IF(G44=0,0,((Basicinfo!H44*Basicinfo!BE44+Basicinfo!I44*Basicinfo!BF44+Basicinfo!J44*Basicinfo!BG44+Basicinfo!K44*Basicinfo!BH44+Basicinfo!L44*Basicinfo!BI44)*(1-Basicinfo!BN44/G44*Parameters!$C$26/100)/G44)*Basicinfo!BM44)</f>
        <v>3.341093504739578</v>
      </c>
      <c r="BD44" s="43">
        <f>IF(Basicinfo!AW44*Parameters!$C$39-Parameters!$C$40&lt;0,0.001,(Basicinfo!AW44*Parameters!$C$39-Parameters!$C$40)/(Basicinfo!AX44*Parameters!$C$39-Parameters!$C$40))</f>
        <v>1.1233191252739421</v>
      </c>
      <c r="BE44" s="43">
        <f>(BC44*G44*100+Basicinfo!BJ44*Basicinfo!M44*100)*Parameters!$C$29*BD44</f>
        <v>12049.259954867895</v>
      </c>
      <c r="BF44" s="43">
        <f>(Basicinfo!BK44*Basicinfo!P44*100)*BD44*Parameters!$C$29</f>
        <v>562.49910704569811</v>
      </c>
      <c r="BG44" s="43">
        <f>Parameters!$C$27*(V44+W44)*100</f>
        <v>0</v>
      </c>
      <c r="BH44" s="43">
        <f>Parameters!$C$28*Basicinfo!R44*100</f>
        <v>0</v>
      </c>
      <c r="BI44" s="43">
        <f t="shared" si="29"/>
        <v>562.49910704569811</v>
      </c>
      <c r="BJ44" s="43">
        <f>IF(Basicinfo!AM44&lt;Parameters!$C$33,0,Parameters!$C$30*(((Basicinfo!AM44-Parameters!$C$33)^Parameters!$C$31)*(((G44-Basicinfo!BN44)/Basicinfo!G44*100+Parameters!$C$34))^Parameters!$C$32))</f>
        <v>3.3106165031852766</v>
      </c>
      <c r="BK44" s="58">
        <f t="shared" si="30"/>
        <v>961.40389562324947</v>
      </c>
      <c r="BL44" s="61">
        <f>Basicinfo!AZ44+Basicinfo!BA44</f>
        <v>1365.9582506247325</v>
      </c>
      <c r="BM44" s="19">
        <f>Basicinfo!BB44+Basicinfo!BC44</f>
        <v>1725.1777315788099</v>
      </c>
      <c r="BN44" s="172">
        <f>IF(Basicinfo!AO44=0,0,IF(Basicinfo!AO44="NA",1,IF(OR(Basicinfo!AO44="SA",Basicinfo!AN44="S"),3,IF(Basicinfo!AN44="N",1,IF(Basicinfo!AO44="ZA",2,0)))))</f>
        <v>0</v>
      </c>
      <c r="BO44" s="27">
        <f>IF($BN44=1,(BL44)*(1+Parameters!$C$21*Parameters!$C$22-Parameters!$C$22*Basicinfo!$AL44),IF($BN44=2,(BL44)*(1+Parameters!$C$21*Parameters!$C$23-Parameters!$C$23*Basicinfo!$AL44),IF($BN44=3,(BL44)*(1+Parameters!$C$21*Parameters!$C$24-Parameters!$C$24*Basicinfo!$AL44),BL44)))</f>
        <v>1365.9582506247325</v>
      </c>
      <c r="BP44" s="27">
        <f>IF($BN44=1,(BM44)*(1+Parameters!$C$21*Parameters!$C$22-Parameters!$C$22*Basicinfo!$AL44),IF($BN44=2,(BM44)*(1+Parameters!$C$21*Parameters!$C$23-Parameters!$C$23*Basicinfo!$AL44),IF($BN44=3,(BM44)*(1+Parameters!$C$21*Parameters!$C$24-Parameters!$C$24*Basicinfo!$AL44),BM44)))</f>
        <v>1725.1777315788099</v>
      </c>
      <c r="BQ44" s="27">
        <f>IF(Basicinfo!AU44=0,0,IF(G44+Basicinfo!M44=0,0,(Parameters!$C$16+BO44/Basicinfo!AU44)*G44+(Parameters!$C$17+BO44/Basicinfo!AU44)*Basicinfo!M44)/(G44+Basicinfo!M44))</f>
        <v>1.8289028629269084</v>
      </c>
      <c r="BR44" s="27">
        <f>IF(Basicinfo!AU44=0,0,IF(G44+Basicinfo!M44=0,0,(Parameters!$C$16+BP44/Basicinfo!AU44)*G44+(Parameters!$C$17+BP44/Basicinfo!AU44)*Basicinfo!M44)/(G44+Basicinfo!M44))</f>
        <v>2.2693470342737743</v>
      </c>
      <c r="BS44" s="27">
        <f>IF(Basicinfo!AU44=0,0,BO44/Basicinfo!AU44)</f>
        <v>1.6748210542282278</v>
      </c>
      <c r="BT44" s="27">
        <f>IF(Basicinfo!AU44=0,0,BP44/Basicinfo!AU44)</f>
        <v>2.1152652255750937</v>
      </c>
      <c r="BU44" s="27">
        <f>IF(SUM(G44,Basicinfo!M44,Basicinfo!P44,W44)=0,0,(BQ44*(G44+Basicinfo!M44)+BS44*(Basicinfo!P44+W44))/SUM(G44,Basicinfo!M44,Basicinfo!P44,W44))</f>
        <v>1.7626853671747744</v>
      </c>
      <c r="BV44" s="19">
        <f>IF(Basicinfo!BR44/Parameters!$C$10&gt;1,1,Basicinfo!BR44/Parameters!$C$10)</f>
        <v>0.40548232780669302</v>
      </c>
      <c r="BW44" s="19">
        <f>Parameters!$C$5+Parameters!$C$6*EXP(BV44*Parameters!$C$8*Parameters!$C$7)</f>
        <v>3.5176834037483833E-2</v>
      </c>
      <c r="BX44" s="19">
        <f>Parameters!$C$5+Parameters!$C$6*EXP(BV44*Parameters!$C$9*Parameters!$C$7)</f>
        <v>3.5094321960654887E-2</v>
      </c>
      <c r="BY44" s="19">
        <f>IF(Basicinfo!AH44+Basicinfo!AI44+Basicinfo!AJ44+Basicinfo!AK44=0,0,(Parameters!$C$18*(Basicinfo!AH44+Basicinfo!AI44)+Parameters!$C$19*Basicinfo!AJ44+Parameters!$C$20*Basicinfo!AK44)/(Basicinfo!AH44+Basicinfo!AI44+Basicinfo!AJ44+Basicinfo!AK44))</f>
        <v>2.6461720074608314E-2</v>
      </c>
      <c r="BZ44" s="19">
        <f>IF(Basicinfo!AJ44+Basicinfo!AK44=0,Parameters!$C$18,(Parameters!$C$19*Basicinfo!AJ44+Parameters!$C$20*Basicinfo!AK44)/(Basicinfo!AJ44+Basicinfo!AK44))</f>
        <v>2.4999999999999998E-2</v>
      </c>
      <c r="CA44" s="19">
        <f>IF(SUM(G44,Basicinfo!M44,Basicinfo!P44,W44)=0,0,(BW44*G44+BX44*Basicinfo!M44+BY44*Basicinfo!P44+BZ44*W44)/(SUM(G44,Basicinfo!M44,Basicinfo!P44,W44)))</f>
        <v>3.1408580547405071E-2</v>
      </c>
      <c r="CB44" s="19">
        <f>IF(Y44=0,Basicinfo!BP44,Basicinfo!BP44-(AU44*X44/Y44*Intermediate!BQ44*86400*365/1000000)*1000/(X44*100))</f>
        <v>55.657905276190121</v>
      </c>
      <c r="CC44" s="19">
        <f>IF(Y44=0,Basicinfo!BQ44,Basicinfo!BQ44-(AU44*Basicinfo!AV44/Basicinfo!AU44*X44/Y44*Intermediate!BR44*86400*365/1000000)*1000/(X44*100))</f>
        <v>60.844591920798486</v>
      </c>
      <c r="CD44" s="19">
        <f>IF(OR(Y44=0,AA44=0),BP44/100,BP44/100-(AU44*Basicinfo!AV44/Basicinfo!AU44*(Basicinfo!P44+W44)/Y44*Intermediate!BT44*86400*365/1000000+AW44*Basicinfo!AV44/Basicinfo!AU44*Intermediate!BT44*86400*365/1000000)*1000/(AA44*100))</f>
        <v>16.456585275644365</v>
      </c>
      <c r="CE44" s="19">
        <f t="shared" si="35"/>
        <v>325393.2196476456</v>
      </c>
      <c r="CF44" s="19">
        <f t="shared" si="36"/>
        <v>81229.225539285864</v>
      </c>
      <c r="CG44" s="19">
        <f>IF(AY44=0,0,((CB44^Parameters!$C$58))/AY44*100)</f>
        <v>15.689528059702068</v>
      </c>
      <c r="CH44" s="19">
        <f>IF(SUM(Basicinfo!AB44:AG44)=0,0,(Parameters!$C$59*Basicinfo!AB44+Parameters!$C$60*SUM(Basicinfo!AC44:AE44)+Parameters!$C$61*Basicinfo!AF44+Parameters!$C$62*Basicinfo!AG44)/SUM(Basicinfo!AB44:AG44))</f>
        <v>0.18172767755710886</v>
      </c>
      <c r="CI44" s="19">
        <f t="shared" si="31"/>
        <v>14</v>
      </c>
      <c r="CJ44" s="19">
        <f t="shared" si="37"/>
        <v>39.539670758850505</v>
      </c>
      <c r="CK44" s="19">
        <f t="shared" si="9"/>
        <v>18.058577476421956</v>
      </c>
      <c r="CL44" s="19">
        <f>IF($BB44=0,0,$CJ44^Parameters!$C$58*100/$BB44)</f>
        <v>10.402280955208914</v>
      </c>
      <c r="CM44" s="19">
        <f>IF(CK44=0,0,(1/(1+Parameters!$C$116*BB44^Parameters!$C$120)*Basicinfo!AH44/Basicinfo!G44+1/(1+Parameters!$C$117*BB44^Parameters!$C$121)*Basicinfo!AI44/Basicinfo!G44)*(CK44)^Parameters!$C$124+(1/(1+Parameters!$C$118*BB44^Parameters!$C$122)*Basicinfo!AJ44/Basicinfo!G44+1/(1+Parameters!$C$119*BB44^Parameters!$C$123)*Basicinfo!AK44/Basicinfo!G44)*(CK44)^Parameters!$C$125)</f>
        <v>2.9823168648118017</v>
      </c>
      <c r="CN44" s="140">
        <f>IF(SUM(Basicinfo!AB44:AG44)=0,0,(Parameters!$D$128*Basicinfo!AB44+Parameters!$D$129*(SUM(Basicinfo!AC44:AE44))+Parameters!$D$130*Basicinfo!AF44+Parameters!$D$131*Basicinfo!AG44)/SUM(Basicinfo!AB44:AG44))</f>
        <v>8.751545208748529E-2</v>
      </c>
      <c r="CO44" s="19">
        <f>IF(Basicinfo!AH44+Basicinfo!AI44+Basicinfo!AJ44+Basicinfo!AK44=0,0,(Parameters!$C$132*(Basicinfo!AH44+Basicinfo!AI44)+Parameters!$C$133*Basicinfo!AJ44+Parameters!$C$134*Basicinfo!AK44)/(Basicinfo!AH44+Basicinfo!AI44+Basicinfo!AJ44+Basicinfo!AK44))</f>
        <v>5.0000000000000001E-4</v>
      </c>
      <c r="CP44" s="19">
        <f>IF(Basicinfo!AJ44+Basicinfo!AK44=0,0,(Parameters!$C$133*Basicinfo!AJ44+Parameters!$C$134*Basicinfo!AK44)/(Basicinfo!AJ44+Basicinfo!AK44))</f>
        <v>5.0000000000000001E-4</v>
      </c>
      <c r="CQ44" s="19">
        <f>IF(Z44=0,0,(CN44*(Z44-AA44)+CO44*Basicinfo!P44+CP44*(Basicinfo!Q44+Basicinfo!R44))/Z44)</f>
        <v>4.5733289980172065E-2</v>
      </c>
      <c r="CR44" s="299">
        <f>IF(CK44=0,0,IF(AND((Basicinfo!AI44+Basicinfo!AK44)&gt;0,(CM44/CK44)&lt;Parameters!$C$135),CQ44*Parameters!$C$136,CQ44))</f>
        <v>0.11433322495043016</v>
      </c>
      <c r="CS44" s="19">
        <f>IF(SUM(Basicinfo!AB44:AG44)=0,0,(Basicinfo!AB44*Parameters!$C$43+(Basicinfo!AC44+Basicinfo!AD44)*Parameters!$C$44+Basicinfo!AE44*Parameters!$C$45+(Basicinfo!AF44+Basicinfo!AG44)*Parameters!$C$46)/SUM(Basicinfo!AB44:AG44))</f>
        <v>8.9118423172064585</v>
      </c>
      <c r="CT44" s="19">
        <f>(Parameters!$C$41*CS44+Parameters!$C$42)</f>
        <v>365.90079163550587</v>
      </c>
      <c r="CU44" s="19">
        <f>CT44+Basicinfo!BR44/(Parameters!$C$47*Parameters!$C$49*Parameters!$C$48*10000/1000000)</f>
        <v>508.7121775296871</v>
      </c>
      <c r="CV44" s="19">
        <f>IF(BK44/Basicinfo!G44&lt;Parameters!$C$35,Parameters!$C$35,Parameters!$C$37*(BK44/Basicinfo!G44)^Parameters!$C$38)</f>
        <v>2.7900059131802561</v>
      </c>
      <c r="CW44" s="19">
        <f>IF(BK44/Basicinfo!G44&lt;Parameters!$C$35,Parameters!$C$36,Parameters!$C$36*(BK44/Basicinfo!G44)^Parameters!$C$38)</f>
        <v>6.5565138959736018</v>
      </c>
      <c r="CX44" s="27">
        <f>IF(Basicinfo!AJ44+Basicinfo!AK44=0,0,(Parameters!$C$53*Basicinfo!AJ44+Parameters!$C$54*Basicinfo!AK44)/(Basicinfo!AJ44+Basicinfo!AK44))</f>
        <v>750.00000000000011</v>
      </c>
      <c r="CY44" s="56">
        <f>IF(Basicinfo!AU44*AB44=0,0,((Basicinfo!AZ44+Basicinfo!BA44)/Basicinfo!AU44+Parameters!$C$76/(Basicinfo!AU44*AB44)*100))</f>
        <v>2.9288517606537896</v>
      </c>
      <c r="CZ44" s="43">
        <f>IF(Basicinfo!AU44*AB44=0,0,(Parameters!$C$77)/(Basicinfo!AU44*AB44)*100)</f>
        <v>0.78376919151597635</v>
      </c>
      <c r="DA44" s="43">
        <f>IF(AD44+AJ44=0,0,((J44*Parameters!$C$96+Parameters!$C$94/100*S44*100*Parameters!$C$93/1000*86400*Parameters!$C$95/24*Parameters!$C$98)*AI44+AD44*CY44*86400*365)/((AD44+AJ44*AI44/365)*86400*365))</f>
        <v>7.3049587234876041</v>
      </c>
      <c r="DB44" s="43">
        <f>IF(AD44+AJ44=0,0,((J44*Parameters!$C$97+Parameters!$C$94/100*S44*100*Parameters!$C$93/1000*86400*Parameters!$C$95/24*Parameters!$C$99)*AI44+AD44*CZ44*86400*365)/((AD44+AJ44*AI44/365)*86400*365))</f>
        <v>1.4805748444931168</v>
      </c>
      <c r="DC44" s="42">
        <f>IF(AE44+AL44=0,0,((K44*Parameters!$C$96+Parameters!$C$94/100*T44*100*Parameters!$C$93/1000*86400*Parameters!$C$95/24*Parameters!$C$98)*365+AE44*CY44*86400*365)/((AE44+AL44)*86400*365))</f>
        <v>0</v>
      </c>
      <c r="DD44" s="42">
        <f>IF(AE44+AL44=0,0,((K44*Parameters!$C$97+Parameters!$C$94/100*T44*100*Parameters!$C$93/1000*86400*Parameters!$C$95/24*Parameters!$C$99)*365+AE44*CZ44*86400*365)/((AE44+AL44)*86400*365))</f>
        <v>0</v>
      </c>
      <c r="DE44" s="42">
        <f>IF(Basicinfo!AH44+Basicinfo!AI44+Basicinfo!AJ44+Basicinfo!AK44=0,0,((Basicinfo!AH44+Basicinfo!AI44)*Parameters!$C$107+(Basicinfo!AJ44+Basicinfo!AK44)*Parameters!$C$106)/(Basicinfo!AH44+Basicinfo!AI44+Basicinfo!AJ44+Basicinfo!AK44))</f>
        <v>55.846880298433256</v>
      </c>
      <c r="DF44" s="42">
        <f>IF(Basicinfo!AH44+Basicinfo!AI44+Basicinfo!AJ44+Basicinfo!AK44=0,0,((Basicinfo!AH44+Basicinfo!AI44)*Parameters!$C$109+(Basicinfo!AJ44+Basicinfo!AK44)*Parameters!$C$108)/(Basicinfo!AH44+Basicinfo!AI44+Basicinfo!AJ44+Basicinfo!AK44))</f>
        <v>55.846880298433256</v>
      </c>
      <c r="DG44" s="42">
        <f>Intermediate!AC44*Intermediate!CY44*(1-Parameters!$C$102/100*Basicinfo!BZ44/100)*(1-Parameters!$C$104/100*Basicinfo!CA44/100)*86400*365/1000000</f>
        <v>0.39227827656718517</v>
      </c>
      <c r="DH44" s="42">
        <f>Intermediate!AC44*Intermediate!CZ44*(1-Parameters!$C$103/100*Basicinfo!BZ44/100)*(1-Parameters!$C$105/100*Basicinfo!CA44/100)*86400*365/1000000</f>
        <v>0.1049747999556358</v>
      </c>
      <c r="DI44" s="42">
        <f>(Intermediate!AK44*Intermediate!DA44+(Intermediate!AE44+Intermediate!AL44)*Intermediate!DC44)*86400*365/1000000</f>
        <v>1.0806576788664159</v>
      </c>
      <c r="DJ44" s="42">
        <f>(Intermediate!AK44*Intermediate!DB44+(Intermediate!AE44+Intermediate!AL44)*Intermediate!DD44)*86400*365/1000000</f>
        <v>0.21902855791552664</v>
      </c>
      <c r="DK44" s="42">
        <f>((Basicinfo!AZ44+Basicinfo!BA44)*Intermediate!AB44+Parameters!$C$76*100)/1000*Intermediate!U44*(1-Intermediate!DE44/100)+(1-Parameters!$C$110/100)*M44*Parameters!$C$100*(1-DE44/100)*365/1000000+(1-Parameters!$C$112/100)*P44*Parameters!$C$96*365/1000000+(1-Parameters!$C$112/100)*O44*Parameters!$C$96*(1-DE44/100)*365/1000000</f>
        <v>1.0329203124876847</v>
      </c>
      <c r="DL44" s="42">
        <f>Parameters!$C$77*100/1000*Intermediate!U44*(1-Intermediate!DF44/100)+(1-Parameters!$C$111/100)*M44*Parameters!$C$101*(1-DF44/100)*365/1000000+(1-Parameters!$C$113/100)*P44*Parameters!$C$97*365/1000000+(1-Parameters!$C$113/100)*O44*Parameters!$C$97*(1-DF44/100)*365/1000000</f>
        <v>0.16295509596363411</v>
      </c>
      <c r="DM44" s="31"/>
      <c r="DN44" s="31"/>
      <c r="DO44" s="31"/>
      <c r="DP44" s="31"/>
      <c r="DQ44" s="31"/>
      <c r="DR44" s="31"/>
      <c r="DS44" s="31"/>
      <c r="DT44" s="188">
        <f>BO44*(Basicinfo!$P44+Basicinfo!$Q44)/1000</f>
        <v>62.552585594006707</v>
      </c>
      <c r="DU44" s="188">
        <f>DT44*Basicinfo!$AZ44/(Basicinfo!$AZ44+Basicinfo!$BA44)</f>
        <v>35.417056614447233</v>
      </c>
      <c r="DV44" s="188">
        <f>DT44*Basicinfo!$BC44/(Basicinfo!$BB44+Basicinfo!$BC44)</f>
        <v>25.714939873534711</v>
      </c>
      <c r="DW44" s="188">
        <f>BP44*(Basicinfo!$P44+Basicinfo!$Q44)/1000</f>
        <v>79.002654488233674</v>
      </c>
      <c r="DX44" s="188">
        <f>DW44*Basicinfo!$BB44/(Basicinfo!$BB44+Basicinfo!$BC44)</f>
        <v>46.52520386452656</v>
      </c>
      <c r="DY44" s="188">
        <f>DW44*Basicinfo!$BC44/(Basicinfo!$BB44+Basicinfo!$BC44)</f>
        <v>32.477450623707121</v>
      </c>
      <c r="DZ44" s="188">
        <f t="shared" si="38"/>
        <v>83.001326066764406</v>
      </c>
      <c r="EA44" s="188">
        <f>DZ44*Basicinfo!$AZ44/(Basicinfo!$AZ44+Basicinfo!$BA44)</f>
        <v>46.995062417730736</v>
      </c>
      <c r="EB44" s="188">
        <f>DZ44*Basicinfo!$BC44/(Basicinfo!$BB44+Basicinfo!$BC44)</f>
        <v>34.121277145656386</v>
      </c>
      <c r="EC44" s="188">
        <f t="shared" si="39"/>
        <v>104.82900144012723</v>
      </c>
      <c r="ED44" s="188">
        <f>EC44*Basicinfo!$AZ44/(Basicinfo!$AZ44+Basicinfo!$BA44)</f>
        <v>59.353816370408857</v>
      </c>
      <c r="EE44" s="188">
        <f>EC44*Basicinfo!$BC44/(Basicinfo!$BB44+Basicinfo!$BC44)</f>
        <v>43.094485118994562</v>
      </c>
      <c r="EF44" s="190">
        <f>(Basicinfo!BP44-BL44/100)*Intermediate!X44/10</f>
        <v>259.81495041608201</v>
      </c>
      <c r="EG44" s="191">
        <f>(Basicinfo!BQ44-BM44/100)*Intermediate!X44/10</f>
        <v>270.47567880810982</v>
      </c>
      <c r="EH44" s="197">
        <f>IF(AU44=0,0,$BS44*((Basicinfo!$P44+Basicinfo!$Q44)*Intermediate!$AT44*1000+$AW44*3600*24*365)/1000000*Basicinfo!AZ44/(Basicinfo!$AZ44+Basicinfo!$BA44))</f>
        <v>1.877673309541676</v>
      </c>
      <c r="EI44" s="197">
        <f>IF(AU44=0,0,$BS44*((Basicinfo!$P44+Basicinfo!$Q44)*Intermediate!$AT44*1000+$AW44*3600*24*365)/1000000*Basicinfo!BA44/(Basicinfo!$AZ44+Basicinfo!$BA44))</f>
        <v>1.4386192240613649</v>
      </c>
      <c r="EJ44" s="198">
        <f>IF(AU44=0,0,$BS44*($AT44*$X44*1000)/1000000*Basicinfo!AZ44/(Basicinfo!$AZ44+Basicinfo!$BA44))</f>
        <v>2.4914937269525366</v>
      </c>
      <c r="EK44" s="198">
        <f>IF(AU44=0,0,$BS44*($AT44*$X44*1000)/1000000*Basicinfo!BA44/(Basicinfo!$AZ44+Basicinfo!$BA44))</f>
        <v>1.908910753541635</v>
      </c>
      <c r="EL44" s="147">
        <f>Parameters!$C$150/Basicinfo!$AV44*100</f>
        <v>0.12567521962244196</v>
      </c>
      <c r="EM44" s="147">
        <f>Parameters!$C$151/Basicinfo!$AV44*100</f>
        <v>0.25135043924488393</v>
      </c>
      <c r="EN44" s="147">
        <f>(Parameters!$C$150+Parameters!$C$151)/Intermediate!$BB44*100</f>
        <v>1.370161445189557</v>
      </c>
      <c r="EO44" s="193">
        <f>IF(EN44=0,0,(1/(1+Parameters!$C$116*$BB44^Parameters!$C$120)*Basicinfo!$AH44/Basicinfo!$G44+1/(1+Parameters!$C$117*$BB44^Parameters!$C$121)*Basicinfo!$AI44/Basicinfo!$G44)*(EN44)^Parameters!$C$124+(1/(1+Parameters!$C$118*$BB44^Parameters!$C$122)*Basicinfo!$AJ44/Basicinfo!AW44+1/(1+Parameters!$C$119*$BB44^Parameters!$C$123)*Basicinfo!$AK44/Basicinfo!$G44)*(EN44)^Parameters!$C$125)</f>
        <v>0.36037587842568336</v>
      </c>
      <c r="EP44" s="199">
        <f>EL44*($AT44*Basicinfo!$P44*1000+$AW44*3600*24*365)/1000000</f>
        <v>0.24884795389969622</v>
      </c>
      <c r="EQ44" s="199">
        <f>EM44*($AT44*Basicinfo!$P44*1000+$AW44*3600*24*365)/1000000</f>
        <v>0.49769590779939243</v>
      </c>
      <c r="ER44" s="199">
        <f t="shared" si="40"/>
        <v>0.33019754445857497</v>
      </c>
      <c r="ES44" s="199">
        <f t="shared" si="41"/>
        <v>0.66039508891714993</v>
      </c>
      <c r="ET44" s="181">
        <f t="shared" si="14"/>
        <v>8.1145328896013282</v>
      </c>
      <c r="EU44" s="147">
        <f>Intermediate!F44*(Parameters!$C$150)/1000*100</f>
        <v>3.1543523368238562E-2</v>
      </c>
      <c r="EV44" s="147">
        <f>Intermediate!F44*(Parameters!$C$151)/1000*100</f>
        <v>6.3087046736477123E-2</v>
      </c>
      <c r="EW44" s="181">
        <f>'Local emissions'!$S44*Basicinfo!AZ44/(Basicinfo!$AZ44+Basicinfo!$BA44)-Intermediate!EU44</f>
        <v>0.21241434352506944</v>
      </c>
      <c r="EX44" s="147">
        <f>'Local emissions'!$S44*Basicinfo!BA44/(Basicinfo!$AZ44+Basicinfo!$BA44)-Intermediate!EV44</f>
        <v>0.12382644635640995</v>
      </c>
      <c r="EY44" s="188">
        <f t="shared" si="15"/>
        <v>1.6288253556419798</v>
      </c>
      <c r="EZ44" s="188">
        <f t="shared" si="16"/>
        <v>0.94092331626197245</v>
      </c>
      <c r="FA44" s="188">
        <f t="shared" si="17"/>
        <v>2.1612961824939614</v>
      </c>
      <c r="FB44" s="181">
        <f t="shared" si="18"/>
        <v>1.248515664624485</v>
      </c>
      <c r="FC44" s="181">
        <f>'Local emissions'!Y44-Intermediate!ET44</f>
        <v>59.038521309372477</v>
      </c>
      <c r="FD44" s="188">
        <f t="shared" si="19"/>
        <v>6.0460816494897003</v>
      </c>
      <c r="FE44" s="188">
        <f t="shared" si="20"/>
        <v>4.2205364389154321</v>
      </c>
      <c r="FF44" s="181">
        <f t="shared" si="21"/>
        <v>3.8565980390891306</v>
      </c>
      <c r="FG44" s="201">
        <f t="shared" si="22"/>
        <v>2.8001250293372721</v>
      </c>
      <c r="FH44" s="181">
        <f t="shared" si="23"/>
        <v>42.115180152540944</v>
      </c>
      <c r="FJ44" s="147">
        <f>AVERAGE(Parameters!$C$132:$C$134)*'Local emissions'!J44*3600*24*365/1000000</f>
        <v>1.1258429566720718E-2</v>
      </c>
      <c r="FK44" s="147">
        <f>'Local emissions'!AJ44+CT44*BJ44/100*Intermediate!X44*100/1000000</f>
        <v>0.32673171891371522</v>
      </c>
      <c r="FL44" s="31">
        <f>(Parameters!$C$18*(Basicinfo!AH44+Basicinfo!AI44)+Parameters!$C$19*Basicinfo!AJ44+Parameters!$C$20*Basicinfo!AK44)/Basicinfo!G44</f>
        <v>2.6461720074608314E-2</v>
      </c>
      <c r="FM44" s="181">
        <f t="shared" si="32"/>
        <v>0.1210285620750957</v>
      </c>
    </row>
    <row r="45" spans="1:169">
      <c r="A45" s="39" t="str">
        <f>Basicinfo!A45</f>
        <v>Große Gusen</v>
      </c>
      <c r="B45" s="63">
        <f>Basicinfo!B45</f>
        <v>1370</v>
      </c>
      <c r="C45" s="63">
        <f>Basicinfo!C45</f>
        <v>1380</v>
      </c>
      <c r="D45" s="61">
        <f>Basicinfo!U45*Basicinfo!V45/1000+Basicinfo!Y45</f>
        <v>0.43789662688263353</v>
      </c>
      <c r="E45" s="19">
        <f>Basicinfo!W45*Basicinfo!X45/1000+Basicinfo!Z45</f>
        <v>0</v>
      </c>
      <c r="F45" s="19">
        <f t="shared" si="0"/>
        <v>0.43789662688263353</v>
      </c>
      <c r="G45" s="19">
        <f>SUM(Basicinfo!H45:L45)</f>
        <v>28.978407926071753</v>
      </c>
      <c r="H45" s="19">
        <f>IF(Basicinfo!N45&lt;Parameters!$C$68,Parameters!$C$69,Basicinfo!BS45/(Basicinfo!N45*100))</f>
        <v>28.859402058122697</v>
      </c>
      <c r="I45" s="19">
        <f>IF(Basicinfo!N45=0,0,Basicinfo!BU45*(1-Basicinfo!BX45/100))</f>
        <v>7151.3146818994364</v>
      </c>
      <c r="J45" s="19">
        <f>IF(Basicinfo!N45=0,0,Basicinfo!BU45*Basicinfo!BX45/100)</f>
        <v>8395.0215830993384</v>
      </c>
      <c r="K45" s="19">
        <f>IF(Basicinfo!N45=0,0,Basicinfo!BT45-Basicinfo!BU45)</f>
        <v>0</v>
      </c>
      <c r="L45" s="27">
        <f>Basicinfo!BV45*Basicinfo!BW45/100</f>
        <v>911.89333333333343</v>
      </c>
      <c r="M45" s="27">
        <f>Basicinfo!BV45-Intermediate!L45</f>
        <v>911.89333333333343</v>
      </c>
      <c r="N45" s="73">
        <f>Basicinfo!BS45-SUM(I45:K45)-Basicinfo!BV45</f>
        <v>0</v>
      </c>
      <c r="O45" s="19">
        <f>IF(Basicinfo!AH45+Basicinfo!AI45+Basicinfo!AJ45+Basicinfo!AK45=0,0,N45*(Basicinfo!AH45+Basicinfo!AI45)/SUM(Basicinfo!AH45:AK45))</f>
        <v>0</v>
      </c>
      <c r="P45" s="73">
        <f t="shared" si="25"/>
        <v>0</v>
      </c>
      <c r="Q45" s="19">
        <f>IF(Basicinfo!BS45=0,Basicinfo!N45,IF(H45&gt;Parameters!$C$70,Parameters!$C$64*(Parameters!$C$65*Parameters!$C$70)^(Parameters!$C$66-Parameters!$C$67*LOG(Parameters!$C$65*Parameters!$C$70,10))/100*Basicinfo!N45,Parameters!$C$64*(Parameters!$C$65*H45)^(Parameters!$C$66-Parameters!$C$67*LOG(Parameters!$C$65*H45,10))/100*Basicinfo!N45))</f>
        <v>2.1324003543847696</v>
      </c>
      <c r="R45" s="19">
        <f>IF(Basicinfo!BS45=0,Q45*(1-Basicinfo!BX45/100),IF(H45&lt;Parameters!$C$75,Q45*Basicinfo!BU45/Basicinfo!BS45*(1-Basicinfo!BX45/100)*(-Parameters!$C$74+Parameters!$C$73*LN(H45*100)),Q45*Basicinfo!BU45/Basicinfo!BS45*(1-Basicinfo!BX45/100)))</f>
        <v>0.55128646265306758</v>
      </c>
      <c r="S45" s="19">
        <f>IF(Basicinfo!BS45=0,Q45*Basicinfo!BX45/100,Q45*Basicinfo!BU45/Basicinfo!BS45*Basicinfo!BX45/100)</f>
        <v>1.0305941454354706</v>
      </c>
      <c r="T45" s="19">
        <f>IF(Basicinfo!BS45=0,0,IF(H45&lt;Parameters!$C$75,Q45*K45/Basicinfo!BS45*(-Parameters!$C$74+Parameters!$C$73*LN(H45*100)),Q45*K45/Basicinfo!BS45))</f>
        <v>0</v>
      </c>
      <c r="U45" s="19">
        <f t="shared" si="26"/>
        <v>0.55051974629623146</v>
      </c>
      <c r="V45" s="19">
        <f>IF(Basicinfo!AL45&gt;Parameters!$C$14,Basicinfo!Q45,0)</f>
        <v>0</v>
      </c>
      <c r="W45" s="19">
        <f>IF(Basicinfo!AL45&gt;Parameters!$C$14,0,Basicinfo!Q45)</f>
        <v>0</v>
      </c>
      <c r="X45" s="19">
        <f>G45+Basicinfo!M45</f>
        <v>58.277140737469281</v>
      </c>
      <c r="Y45" s="19">
        <f>IF(Basicinfo!G45-F45-Q45-V45-Basicinfo!O45-Basicinfo!R45-Basicinfo!S45&lt;0,0,Basicinfo!G45-F45-Q45-V45-Basicinfo!O45-Basicinfo!R45-Basicinfo!S45)</f>
        <v>108.49529687176363</v>
      </c>
      <c r="Z45" s="19">
        <f>Basicinfo!G45-F45-Basicinfo!BO45-Q45-Basicinfo!O45</f>
        <v>102.75336217198981</v>
      </c>
      <c r="AA45" s="53">
        <f>IF(Z45+Basicinfo!BO45-X45&gt;0,Z45+Basicinfo!BO45-X45,0)</f>
        <v>50.220699483263317</v>
      </c>
      <c r="AB45" s="56">
        <f>IF(Basicinfo!N45=0,0,Parameters!$C$71+Parameters!$C$72*Q45/Basicinfo!N45)</f>
        <v>0.41571400538516357</v>
      </c>
      <c r="AC45" s="43">
        <f>Basicinfo!AU45*AB45*R45/1000/86.4/0.365</f>
        <v>6.5962255463692353E-3</v>
      </c>
      <c r="AD45" s="43">
        <f>Basicinfo!AU45*AB45*S45/1000/86.4/0.365</f>
        <v>1.2331214151975505E-2</v>
      </c>
      <c r="AE45" s="43">
        <f>Basicinfo!AU45*AB45*T45/1000/86.4/0.365</f>
        <v>0</v>
      </c>
      <c r="AF45" s="43">
        <f>Basicinfo!AU45*AB45*U45/1000/86.4/0.365</f>
        <v>6.5870516696964034E-3</v>
      </c>
      <c r="AG45" s="43">
        <f>((Parameters!$C$80+Parameters!$C$81*Parameters!$C$89)/(Parameters!$C$82+Parameters!$C$89)/(Parameters!$C$90/100*Parameters!$C$91+(Parameters!$C$83+Parameters!$C$84*Parameters!$C$89)/(Parameters!$C$85+Parameters!$C$89)))-Parameters!$C$86+(Basicinfo!AU45-Parameters!$C$88)/Parameters!$C$87</f>
        <v>74.080527797669362</v>
      </c>
      <c r="AH45" s="43">
        <f>((Parameters!$C$80+Parameters!$C$81*Parameters!$C$89)/(Parameters!$C$82+Parameters!$C$89)/(Basicinfo!BY45/100*Parameters!$C$91+(Parameters!$C$83+Parameters!$C$84*Parameters!$C$89)/(Parameters!$C$85+Parameters!$C$89)))-Parameters!$C$86+(Basicinfo!AU45-Parameters!$C$88)/Parameters!$C$87</f>
        <v>56.27764593105379</v>
      </c>
      <c r="AI45" s="43">
        <f>Basicinfo!AU45^Parameters!$C$79*Parameters!$C$78*AH45/AG45</f>
        <v>22.627595194918342</v>
      </c>
      <c r="AJ45" s="43">
        <f>(J45*Parameters!$C$92/1000+Parameters!$C$94/100*S45*100*Parameters!$C$93/1000*86400*Parameters!$C$95/24)/86400</f>
        <v>1.2665751353492688E-2</v>
      </c>
      <c r="AK45" s="43">
        <f t="shared" si="1"/>
        <v>7.3816052521340023E-3</v>
      </c>
      <c r="AL45" s="43">
        <f>(K45*Parameters!$C$92/1000+Parameters!$C$94/100*T45*100*Parameters!$C$93/1000*86400*Parameters!$C$95/24)/86400</f>
        <v>0</v>
      </c>
      <c r="AM45" s="43">
        <f>(Intermediate!N45+Basicinfo!BV45-Intermediate!L45)*Parameters!$C$92/1000/86400</f>
        <v>1.3720617283950619E-3</v>
      </c>
      <c r="AN45" s="43">
        <f t="shared" si="2"/>
        <v>1.3535942585818007E-2</v>
      </c>
      <c r="AO45" s="43">
        <f t="shared" si="27"/>
        <v>7.3816052521340023E-3</v>
      </c>
      <c r="AP45" s="43">
        <f t="shared" si="28"/>
        <v>7.9591133980914646E-3</v>
      </c>
      <c r="AQ45" s="43">
        <f t="shared" si="33"/>
        <v>2.1936944196594702E-2</v>
      </c>
      <c r="AR45" s="61">
        <f>(Basicinfo!AU45-Basicinfo!AY45)*F45/1000/86.4/0.365</f>
        <v>3.2554926414276007E-3</v>
      </c>
      <c r="AS45" s="19">
        <f>IF(Basicinfo!AP45-Basicinfo!CB45-Basicinfo!CG45&lt;0,0,(Basicinfo!AP45-Basicinfo!CB45-Basicinfo!CG45)/Basicinfo!G45*1000)</f>
        <v>9.3589307505716661</v>
      </c>
      <c r="AT45" s="19">
        <f>Parameters!$C$3*((AS45*86.4*0.365)^Parameters!$C$4)</f>
        <v>50.970338989001789</v>
      </c>
      <c r="AU45" s="19">
        <f>IF(AT45/86.4/0.365*(Basicinfo!G45/1000)-AN45&lt;0,0,AT45/86.4/0.365*(Basicinfo!G45/1000)-AN45)</f>
        <v>0.16597891675153933</v>
      </c>
      <c r="AV45" s="19">
        <f>IF(Basicinfo!AU45&gt;Parameters!$C$13,Parameters!$C$11*(Basicinfo!AU45-Parameters!$C$13)^Parameters!$C$12,0)</f>
        <v>66.271627307184474</v>
      </c>
      <c r="AW45" s="19">
        <f>IF(AV45*V45/1000/86.4/0.365&gt;Basicinfo!AP45*Parameters!$C$15,Basicinfo!AP45*Parameters!$C$15,AV45*V45/1000/86.4/0.365)</f>
        <v>0</v>
      </c>
      <c r="AX45" s="19">
        <f>Basicinfo!AU45-Basicinfo!AW45</f>
        <v>335.02832552428561</v>
      </c>
      <c r="AY45" s="19">
        <f>Parameters!$C$56*AX45+Parameters!$C$57*Basicinfo!AW45</f>
        <v>224.77877712299994</v>
      </c>
      <c r="AZ45" s="19">
        <f>AY45*Basicinfo!BO45/1000/86.4/0.365</f>
        <v>4.0944848776202497E-2</v>
      </c>
      <c r="BA45" s="19">
        <f>IF(Basicinfo!AP45-AQ45-AR45-AU45-AW45-AZ45-Basicinfo!CB45-Basicinfo!CG45&lt;0,0,Basicinfo!AP45-AQ45-AR45-AU45-AW45-AZ45-Basicinfo!CB45-Basicinfo!CG45)</f>
        <v>0.80736280230274637</v>
      </c>
      <c r="BB45" s="53">
        <f t="shared" si="34"/>
        <v>247.78744748811718</v>
      </c>
      <c r="BC45" s="56">
        <f>IF(G45=0,0,((Basicinfo!H45*Basicinfo!BE45+Basicinfo!I45*Basicinfo!BF45+Basicinfo!J45*Basicinfo!BG45+Basicinfo!K45*Basicinfo!BH45+Basicinfo!L45*Basicinfo!BI45)*(1-Basicinfo!BN45/G45*Parameters!$C$26/100)/G45)*Basicinfo!BM45)</f>
        <v>4.0965325095843115</v>
      </c>
      <c r="BD45" s="43">
        <f>IF(Basicinfo!AW45*Parameters!$C$39-Parameters!$C$40&lt;0,0.001,(Basicinfo!AW45*Parameters!$C$39-Parameters!$C$40)/(Basicinfo!AX45*Parameters!$C$39-Parameters!$C$40))</f>
        <v>1.1274581179810297</v>
      </c>
      <c r="BE45" s="43">
        <f>(BC45*G45*100+Basicinfo!BJ45*Basicinfo!M45*100)*Parameters!$C$29*BD45</f>
        <v>13861.900728787155</v>
      </c>
      <c r="BF45" s="43">
        <f>(Basicinfo!BK45*Basicinfo!P45*100)*BD45*Parameters!$C$29</f>
        <v>563.47558302192112</v>
      </c>
      <c r="BG45" s="43">
        <f>Parameters!$C$27*(V45+W45)*100</f>
        <v>0</v>
      </c>
      <c r="BH45" s="43">
        <f>Parameters!$C$28*Basicinfo!R45*100</f>
        <v>0</v>
      </c>
      <c r="BI45" s="43">
        <f t="shared" si="29"/>
        <v>563.47558302192112</v>
      </c>
      <c r="BJ45" s="43">
        <f>IF(Basicinfo!AM45&lt;Parameters!$C$33,0,Parameters!$C$30*(((Basicinfo!AM45-Parameters!$C$33)^Parameters!$C$31)*(((G45-Basicinfo!BN45)/Basicinfo!G45*100+Parameters!$C$34))^Parameters!$C$32))</f>
        <v>3.2070481637789507</v>
      </c>
      <c r="BK45" s="58">
        <f t="shared" si="30"/>
        <v>1008.0334158093506</v>
      </c>
      <c r="BL45" s="61">
        <f>Basicinfo!AZ45+Basicinfo!BA45</f>
        <v>1352.9630463117189</v>
      </c>
      <c r="BM45" s="19">
        <f>Basicinfo!BB45+Basicinfo!BC45</f>
        <v>1781.4616668232773</v>
      </c>
      <c r="BN45" s="172">
        <f>IF(Basicinfo!AO45=0,0,IF(Basicinfo!AO45="NA",1,IF(OR(Basicinfo!AO45="SA",Basicinfo!AN45="S"),3,IF(Basicinfo!AN45="N",1,IF(Basicinfo!AO45="ZA",2,0)))))</f>
        <v>0</v>
      </c>
      <c r="BO45" s="27">
        <f>IF($BN45=1,(BL45)*(1+Parameters!$C$21*Parameters!$C$22-Parameters!$C$22*Basicinfo!$AL45),IF($BN45=2,(BL45)*(1+Parameters!$C$21*Parameters!$C$23-Parameters!$C$23*Basicinfo!$AL45),IF($BN45=3,(BL45)*(1+Parameters!$C$21*Parameters!$C$24-Parameters!$C$24*Basicinfo!$AL45),BL45)))</f>
        <v>1352.9630463117189</v>
      </c>
      <c r="BP45" s="27">
        <f>IF($BN45=1,(BM45)*(1+Parameters!$C$21*Parameters!$C$22-Parameters!$C$22*Basicinfo!$AL45),IF($BN45=2,(BM45)*(1+Parameters!$C$21*Parameters!$C$23-Parameters!$C$23*Basicinfo!$AL45),IF($BN45=3,(BM45)*(1+Parameters!$C$21*Parameters!$C$24-Parameters!$C$24*Basicinfo!$AL45),BM45)))</f>
        <v>1781.4616668232773</v>
      </c>
      <c r="BQ45" s="27">
        <f>IF(Basicinfo!AU45=0,0,IF(G45+Basicinfo!M45=0,0,(Parameters!$C$16+BO45/Basicinfo!AU45)*G45+(Parameters!$C$17+BO45/Basicinfo!AU45)*Basicinfo!M45)/(G45+Basicinfo!M45))</f>
        <v>1.6397573157395791</v>
      </c>
      <c r="BR45" s="27">
        <f>IF(Basicinfo!AU45=0,0,IF(G45+Basicinfo!M45=0,0,(Parameters!$C$16+BP45/Basicinfo!AU45)*G45+(Parameters!$C$17+BP45/Basicinfo!AU45)*Basicinfo!M45)/(G45+Basicinfo!M45))</f>
        <v>2.1118413448529272</v>
      </c>
      <c r="BS45" s="27">
        <f>IF(Basicinfo!AU45=0,0,BO45/Basicinfo!AU45)</f>
        <v>1.4905818025313267</v>
      </c>
      <c r="BT45" s="27">
        <f>IF(Basicinfo!AU45=0,0,BP45/Basicinfo!AU45)</f>
        <v>1.9626658316446746</v>
      </c>
      <c r="BU45" s="27">
        <f>IF(SUM(G45,Basicinfo!M45,Basicinfo!P45,W45)=0,0,(BQ45*(G45+Basicinfo!M45)+BS45*(Basicinfo!P45+W45))/SUM(G45,Basicinfo!M45,Basicinfo!P45,W45))</f>
        <v>1.5736868644998665</v>
      </c>
      <c r="BV45" s="19">
        <f>IF(Basicinfo!BR45/Parameters!$C$10&gt;1,1,Basicinfo!BR45/Parameters!$C$10)</f>
        <v>0.41162093171414099</v>
      </c>
      <c r="BW45" s="19">
        <f>Parameters!$C$5+Parameters!$C$6*EXP(BV45*Parameters!$C$8*Parameters!$C$7)</f>
        <v>3.5192644240778823E-2</v>
      </c>
      <c r="BX45" s="19">
        <f>Parameters!$C$5+Parameters!$C$6*EXP(BV45*Parameters!$C$9*Parameters!$C$7)</f>
        <v>3.5101781945092426E-2</v>
      </c>
      <c r="BY45" s="19">
        <f>IF(Basicinfo!AH45+Basicinfo!AI45+Basicinfo!AJ45+Basicinfo!AK45=0,0,(Parameters!$C$18*(Basicinfo!AH45+Basicinfo!AI45)+Parameters!$C$19*Basicinfo!AJ45+Parameters!$C$20*Basicinfo!AK45)/(Basicinfo!AH45+Basicinfo!AI45+Basicinfo!AJ45+Basicinfo!AK45))</f>
        <v>2.626015920394251E-2</v>
      </c>
      <c r="BZ45" s="19">
        <f>IF(Basicinfo!AJ45+Basicinfo!AK45=0,Parameters!$C$18,(Parameters!$C$19*Basicinfo!AJ45+Parameters!$C$20*Basicinfo!AK45)/(Basicinfo!AJ45+Basicinfo!AK45))</f>
        <v>2.5000000000000005E-2</v>
      </c>
      <c r="CA45" s="19">
        <f>IF(SUM(G45,Basicinfo!M45,Basicinfo!P45,W45)=0,0,(BW45*G45+BX45*Basicinfo!M45+BY45*Basicinfo!P45+BZ45*W45)/(SUM(G45,Basicinfo!M45,Basicinfo!P45,W45)))</f>
        <v>3.1210961085737933E-2</v>
      </c>
      <c r="CB45" s="19">
        <f>IF(Y45=0,Basicinfo!BP45,Basicinfo!BP45-(AU45*X45/Y45*Intermediate!BQ45*86400*365/1000000)*1000/(X45*100))</f>
        <v>54.741709655299985</v>
      </c>
      <c r="CC45" s="19">
        <f>IF(Y45=0,Basicinfo!BQ45,Basicinfo!BQ45-(AU45*Basicinfo!AV45/Basicinfo!AU45*X45/Y45*Intermediate!BR45*86400*365/1000000)*1000/(X45*100))</f>
        <v>57.016374961153652</v>
      </c>
      <c r="CD45" s="19">
        <f>IF(OR(Y45=0,AA45=0),BP45/100,BP45/100-(AU45*Basicinfo!AV45/Basicinfo!AU45*(Basicinfo!P45+W45)/Y45*Intermediate!BT45*86400*365/1000000+AW45*Basicinfo!AV45/Basicinfo!AU45*Intermediate!BT45*86400*365/1000000)*1000/(AA45*100))</f>
        <v>16.965445291626935</v>
      </c>
      <c r="CE45" s="19">
        <f t="shared" si="35"/>
        <v>299522.19935682358</v>
      </c>
      <c r="CF45" s="19">
        <f t="shared" si="36"/>
        <v>85201.652959054089</v>
      </c>
      <c r="CG45" s="19">
        <f>IF(AY45=0,0,((CB45^Parameters!$C$58))/AY45*100)</f>
        <v>13.360271975377556</v>
      </c>
      <c r="CH45" s="19">
        <f>IF(SUM(Basicinfo!AB45:AG45)=0,0,(Parameters!$C$59*Basicinfo!AB45+Parameters!$C$60*SUM(Basicinfo!AC45:AE45)+Parameters!$C$61*Basicinfo!AF45+Parameters!$C$62*Basicinfo!AG45)/SUM(Basicinfo!AB45:AG45))</f>
        <v>0.17011495247410269</v>
      </c>
      <c r="CI45" s="19">
        <f t="shared" si="31"/>
        <v>12</v>
      </c>
      <c r="CJ45" s="19">
        <f t="shared" si="37"/>
        <v>37.441485532310104</v>
      </c>
      <c r="CK45" s="19">
        <f t="shared" si="9"/>
        <v>15.11032375201558</v>
      </c>
      <c r="CL45" s="19">
        <f>IF($BB45=0,0,$CJ45^Parameters!$C$58*100/$BB45)</f>
        <v>8.7754785468727405</v>
      </c>
      <c r="CM45" s="19">
        <f>IF(CK45=0,0,(1/(1+Parameters!$C$116*BB45^Parameters!$C$120)*Basicinfo!AH45/Basicinfo!G45+1/(1+Parameters!$C$117*BB45^Parameters!$C$121)*Basicinfo!AI45/Basicinfo!G45)*(CK45)^Parameters!$C$124+(1/(1+Parameters!$C$118*BB45^Parameters!$C$122)*Basicinfo!AJ45/Basicinfo!G45+1/(1+Parameters!$C$119*BB45^Parameters!$C$123)*Basicinfo!AK45/Basicinfo!G45)*(CK45)^Parameters!$C$125)</f>
        <v>2.6108953226126461</v>
      </c>
      <c r="CN45" s="140">
        <f>IF(SUM(Basicinfo!AB45:AG45)=0,0,(Parameters!$D$128*Basicinfo!AB45+Parameters!$D$129*(SUM(Basicinfo!AC45:AE45))+Parameters!$D$130*Basicinfo!AF45+Parameters!$D$131*Basicinfo!AG45)/SUM(Basicinfo!AB45:AG45))</f>
        <v>8.5057476237051344E-2</v>
      </c>
      <c r="CO45" s="19">
        <f>IF(Basicinfo!AH45+Basicinfo!AI45+Basicinfo!AJ45+Basicinfo!AK45=0,0,(Parameters!$C$132*(Basicinfo!AH45+Basicinfo!AI45)+Parameters!$C$133*Basicinfo!AJ45+Parameters!$C$134*Basicinfo!AK45)/(Basicinfo!AH45+Basicinfo!AI45+Basicinfo!AJ45+Basicinfo!AK45))</f>
        <v>5.0000000000000001E-4</v>
      </c>
      <c r="CP45" s="19">
        <f>IF(Basicinfo!AJ45+Basicinfo!AK45=0,0,(Parameters!$C$133*Basicinfo!AJ45+Parameters!$C$134*Basicinfo!AK45)/(Basicinfo!AJ45+Basicinfo!AK45))</f>
        <v>5.0000000000000001E-4</v>
      </c>
      <c r="CQ45" s="19">
        <f>IF(Z45=0,0,(CN45*(Z45-AA45)+CO45*Basicinfo!P45+CP45*(Basicinfo!Q45+Basicinfo!R45))/Z45)</f>
        <v>4.3711090834019521E-2</v>
      </c>
      <c r="CR45" s="140">
        <f>IF(CK45=0,0,IF(AND((Basicinfo!AI45+Basicinfo!AK45)&gt;0,(CM45/CK45)&lt;Parameters!$C$135),CQ45*Parameters!$C$136,CQ45))</f>
        <v>0.10927772708504881</v>
      </c>
      <c r="CS45" s="19">
        <f>IF(SUM(Basicinfo!AB45:AG45)=0,0,(Basicinfo!AB45*Parameters!$C$43+(Basicinfo!AC45+Basicinfo!AD45)*Parameters!$C$44+Basicinfo!AE45*Parameters!$C$45+(Basicinfo!AF45+Basicinfo!AG45)*Parameters!$C$46)/SUM(Basicinfo!AB45:AG45))</f>
        <v>8.8228723071226742</v>
      </c>
      <c r="CT45" s="19">
        <f>(Parameters!$C$41*CS45+Parameters!$C$42)</f>
        <v>364.99329753265124</v>
      </c>
      <c r="CU45" s="19">
        <f>CT45+Basicinfo!BR45/(Parameters!$C$47*Parameters!$C$49*Parameters!$C$48*10000/1000000)</f>
        <v>509.96670744454997</v>
      </c>
      <c r="CV45" s="19">
        <f>IF(BK45/Basicinfo!G45&lt;Parameters!$C$35,Parameters!$C$35,Parameters!$C$37*(BK45/Basicinfo!G45)^Parameters!$C$38)</f>
        <v>2.7164297965613766</v>
      </c>
      <c r="CW45" s="19">
        <f>IF(BK45/Basicinfo!G45&lt;Parameters!$C$35,Parameters!$C$36,Parameters!$C$36*(BK45/Basicinfo!G45)^Parameters!$C$38)</f>
        <v>6.3836100219192353</v>
      </c>
      <c r="CX45" s="27">
        <f>IF(Basicinfo!AJ45+Basicinfo!AK45=0,0,(Parameters!$C$53*Basicinfo!AJ45+Parameters!$C$54*Basicinfo!AK45)/(Basicinfo!AJ45+Basicinfo!AK45))</f>
        <v>750</v>
      </c>
      <c r="CY45" s="56">
        <f>IF(Basicinfo!AU45*AB45=0,0,((Basicinfo!AZ45+Basicinfo!BA45)/Basicinfo!AU45+Parameters!$C$76/(Basicinfo!AU45*AB45)*100))</f>
        <v>2.5506534408528121</v>
      </c>
      <c r="CZ45" s="43">
        <f>IF(Basicinfo!AU45*AB45=0,0,(Parameters!$C$77)/(Basicinfo!AU45*AB45)*100)</f>
        <v>0.66254477395092837</v>
      </c>
      <c r="DA45" s="43">
        <f>IF(AD45+AJ45=0,0,((J45*Parameters!$C$96+Parameters!$C$94/100*S45*100*Parameters!$C$93/1000*86400*Parameters!$C$95/24*Parameters!$C$98)*AI45+AD45*CY45*86400*365)/((AD45+AJ45*AI45/365)*86400*365))</f>
        <v>7.909154730062407</v>
      </c>
      <c r="DB45" s="43">
        <f>IF(AD45+AJ45=0,0,((J45*Parameters!$C$97+Parameters!$C$94/100*S45*100*Parameters!$C$93/1000*86400*Parameters!$C$95/24*Parameters!$C$99)*AI45+AD45*CZ45*86400*365)/((AD45+AJ45*AI45/365)*86400*365))</f>
        <v>1.5194308915824435</v>
      </c>
      <c r="DC45" s="42">
        <f>IF(AE45+AL45=0,0,((K45*Parameters!$C$96+Parameters!$C$94/100*T45*100*Parameters!$C$93/1000*86400*Parameters!$C$95/24*Parameters!$C$98)*365+AE45*CY45*86400*365)/((AE45+AL45)*86400*365))</f>
        <v>0</v>
      </c>
      <c r="DD45" s="42">
        <f>IF(AE45+AL45=0,0,((K45*Parameters!$C$97+Parameters!$C$94/100*T45*100*Parameters!$C$93/1000*86400*Parameters!$C$95/24*Parameters!$C$99)*365+AE45*CZ45*86400*365)/((AE45+AL45)*86400*365))</f>
        <v>0</v>
      </c>
      <c r="DE45" s="42">
        <f>IF(Basicinfo!AH45+Basicinfo!AI45+Basicinfo!AJ45+Basicinfo!AK45=0,0,((Basicinfo!AH45+Basicinfo!AI45)*Parameters!$C$107+(Basicinfo!AJ45+Basicinfo!AK45)*Parameters!$C$106)/(Basicinfo!AH45+Basicinfo!AI45+Basicinfo!AJ45+Basicinfo!AK45))</f>
        <v>55.040636815770043</v>
      </c>
      <c r="DF45" s="42">
        <f>IF(Basicinfo!AH45+Basicinfo!AI45+Basicinfo!AJ45+Basicinfo!AK45=0,0,((Basicinfo!AH45+Basicinfo!AI45)*Parameters!$C$109+(Basicinfo!AJ45+Basicinfo!AK45)*Parameters!$C$108)/(Basicinfo!AH45+Basicinfo!AI45+Basicinfo!AJ45+Basicinfo!AK45))</f>
        <v>55.040636815770043</v>
      </c>
      <c r="DG45" s="42">
        <f>Intermediate!AC45*Intermediate!CY45*(1-Parameters!$C$102/100*Basicinfo!BZ45/100)*(1-Parameters!$C$104/100*Basicinfo!CA45/100)*86400*365/1000000</f>
        <v>0.53058327834828267</v>
      </c>
      <c r="DH45" s="42">
        <f>Intermediate!AC45*Intermediate!CZ45*(1-Parameters!$C$103/100*Basicinfo!BZ45/100)*(1-Parameters!$C$105/100*Basicinfo!CA45/100)*86400*365/1000000</f>
        <v>0.13782161566326689</v>
      </c>
      <c r="DI45" s="42">
        <f>(Intermediate!AK45*Intermediate!DA45+(Intermediate!AE45+Intermediate!AL45)*Intermediate!DC45)*86400*365/1000000</f>
        <v>1.8411428912955614</v>
      </c>
      <c r="DJ45" s="42">
        <f>(Intermediate!AK45*Intermediate!DB45+(Intermediate!AE45+Intermediate!AL45)*Intermediate!DD45)*86400*365/1000000</f>
        <v>0.35370270026691203</v>
      </c>
      <c r="DK45" s="42">
        <f>((Basicinfo!AZ45+Basicinfo!BA45)*Intermediate!AB45+Parameters!$C$76*100)/1000*Intermediate!U45*(1-Intermediate!DE45/100)+(1-Parameters!$C$110/100)*M45*Parameters!$C$100*(1-DE45/100)*365/1000000+(1-Parameters!$C$112/100)*P45*Parameters!$C$96*365/1000000+(1-Parameters!$C$112/100)*O45*Parameters!$C$96*(1-DE45/100)*365/1000000</f>
        <v>1.4503252120031973</v>
      </c>
      <c r="DL45" s="42">
        <f>Parameters!$C$77*100/1000*Intermediate!U45*(1-Intermediate!DF45/100)+(1-Parameters!$C$111/100)*M45*Parameters!$C$101*(1-DF45/100)*365/1000000+(1-Parameters!$C$113/100)*P45*Parameters!$C$97*365/1000000+(1-Parameters!$C$113/100)*O45*Parameters!$C$97*(1-DF45/100)*365/1000000</f>
        <v>0.22377117355446929</v>
      </c>
      <c r="DM45" s="31"/>
      <c r="DN45" s="31"/>
      <c r="DO45" s="31"/>
      <c r="DP45" s="31"/>
      <c r="DQ45" s="31"/>
      <c r="DR45" s="31"/>
      <c r="DS45" s="31"/>
      <c r="DT45" s="188">
        <f>BO45*(Basicinfo!$P45+Basicinfo!$Q45)/1000</f>
        <v>62.68504843860299</v>
      </c>
      <c r="DU45" s="188">
        <f>DT45*Basicinfo!$AZ45/(Basicinfo!$AZ45+Basicinfo!$BA45)</f>
        <v>35.498355285567563</v>
      </c>
      <c r="DV45" s="188">
        <f>DT45*Basicinfo!$BC45/(Basicinfo!$BB45+Basicinfo!$BC45)</f>
        <v>25.609428994530113</v>
      </c>
      <c r="DW45" s="188">
        <f>BP45*(Basicinfo!$P45+Basicinfo!$Q45)/1000</f>
        <v>82.538108620745646</v>
      </c>
      <c r="DX45" s="188">
        <f>DW45*Basicinfo!$BB45/(Basicinfo!$BB45+Basicinfo!$BC45)</f>
        <v>48.817885302483077</v>
      </c>
      <c r="DY45" s="188">
        <f>DW45*Basicinfo!$BC45/(Basicinfo!$BB45+Basicinfo!$BC45)</f>
        <v>33.720223318262576</v>
      </c>
      <c r="DZ45" s="188">
        <f t="shared" si="38"/>
        <v>78.846817862503215</v>
      </c>
      <c r="EA45" s="188">
        <f>DZ45*Basicinfo!$AZ45/(Basicinfo!$AZ45+Basicinfo!$BA45)</f>
        <v>44.650716930704689</v>
      </c>
      <c r="EB45" s="188">
        <f>DZ45*Basicinfo!$BC45/(Basicinfo!$BB45+Basicinfo!$BC45)</f>
        <v>32.212178721887028</v>
      </c>
      <c r="EC45" s="188">
        <f t="shared" si="39"/>
        <v>103.81849227586673</v>
      </c>
      <c r="ED45" s="188">
        <f>EC45*Basicinfo!$AZ45/(Basicinfo!$AZ45+Basicinfo!$BA45)</f>
        <v>58.792101399272724</v>
      </c>
      <c r="EE45" s="188">
        <f>EC45*Basicinfo!$BC45/(Basicinfo!$BB45+Basicinfo!$BC45)</f>
        <v>42.414138179411047</v>
      </c>
      <c r="EF45" s="190">
        <f>(Basicinfo!BP45-BL45/100)*Intermediate!X45/10</f>
        <v>244.78248468820871</v>
      </c>
      <c r="EG45" s="191">
        <f>(Basicinfo!BQ45-BM45/100)*Intermediate!X45/10</f>
        <v>234.22846458520794</v>
      </c>
      <c r="EH45" s="197">
        <f>IF(AU45=0,0,$BS45*((Basicinfo!$P45+Basicinfo!$Q45)*Intermediate!$AT45*1000+$AW45*3600*24*365)/1000000*Basicinfo!AZ45/(Basicinfo!$AZ45+Basicinfo!$BA45))</f>
        <v>1.9934054156948688</v>
      </c>
      <c r="EI45" s="197">
        <f>IF(AU45=0,0,$BS45*((Basicinfo!$P45+Basicinfo!$Q45)*Intermediate!$AT45*1000+$AW45*3600*24*365)/1000000*Basicinfo!BA45/(Basicinfo!$AZ45+Basicinfo!$BA45))</f>
        <v>1.5266651350500435</v>
      </c>
      <c r="EJ45" s="198">
        <f>IF(AU45=0,0,$BS45*($AT45*$X45*1000)/1000000*Basicinfo!AZ45/(Basicinfo!$AZ45+Basicinfo!$BA45))</f>
        <v>2.5073550655602501</v>
      </c>
      <c r="EK45" s="198">
        <f>IF(AU45=0,0,$BS45*($AT45*$X45*1000)/1000000*Basicinfo!BA45/(Basicinfo!$AZ45+Basicinfo!$BA45))</f>
        <v>1.9202774958086526</v>
      </c>
      <c r="EL45" s="147">
        <f>Parameters!$C$150/Basicinfo!$AV45*100</f>
        <v>0.11333519315352401</v>
      </c>
      <c r="EM45" s="147">
        <f>Parameters!$C$151/Basicinfo!$AV45*100</f>
        <v>0.22667038630704803</v>
      </c>
      <c r="EN45" s="147">
        <f>(Parameters!$C$150+Parameters!$C$151)/Intermediate!$BB45*100</f>
        <v>1.2107150827904094</v>
      </c>
      <c r="EO45" s="193">
        <f>IF(EN45=0,0,(1/(1+Parameters!$C$116*$BB45^Parameters!$C$120)*Basicinfo!$AH45/Basicinfo!$G45+1/(1+Parameters!$C$117*$BB45^Parameters!$C$121)*Basicinfo!$AI45/Basicinfo!$G45)*(EN45)^Parameters!$C$124+(1/(1+Parameters!$C$118*$BB45^Parameters!$C$122)*Basicinfo!$AJ45/Basicinfo!AW45+1/(1+Parameters!$C$119*$BB45^Parameters!$C$123)*Basicinfo!$AK45/Basicinfo!$G45)*(EN45)^Parameters!$C$125)</f>
        <v>0.33025102740535067</v>
      </c>
      <c r="EP45" s="199">
        <f>EL45*($AT45*Basicinfo!$P45*1000+$AW45*3600*24*365)/1000000</f>
        <v>0.26764574416862436</v>
      </c>
      <c r="EQ45" s="199">
        <f>EM45*($AT45*Basicinfo!$P45*1000+$AW45*3600*24*365)/1000000</f>
        <v>0.53529148833724871</v>
      </c>
      <c r="ER45" s="199">
        <f t="shared" si="40"/>
        <v>0.33665149453951598</v>
      </c>
      <c r="ES45" s="199">
        <f t="shared" si="41"/>
        <v>0.67330298907903197</v>
      </c>
      <c r="ET45" s="181">
        <f t="shared" si="14"/>
        <v>8.408519207122545</v>
      </c>
      <c r="EU45" s="147">
        <f>Intermediate!F45*(Parameters!$C$150)/1000*100</f>
        <v>4.3789662688263356E-2</v>
      </c>
      <c r="EV45" s="147">
        <f>Intermediate!F45*(Parameters!$C$151)/1000*100</f>
        <v>8.7579325376526712E-2</v>
      </c>
      <c r="EW45" s="181">
        <f>'Local emissions'!$S45*Basicinfo!AZ45/(Basicinfo!$AZ45+Basicinfo!$BA45)-Intermediate!EU45</f>
        <v>0.29171750331920804</v>
      </c>
      <c r="EX45" s="147">
        <f>'Local emissions'!$S45*Basicinfo!BA45/(Basicinfo!$AZ45+Basicinfo!$BA45)-Intermediate!EV45</f>
        <v>0.16937146289275587</v>
      </c>
      <c r="EY45" s="188">
        <f t="shared" si="15"/>
        <v>1.7257596715262444</v>
      </c>
      <c r="EZ45" s="188">
        <f t="shared" si="16"/>
        <v>0.99137364671279482</v>
      </c>
      <c r="FA45" s="188">
        <f t="shared" si="17"/>
        <v>2.1707035710207343</v>
      </c>
      <c r="FB45" s="181">
        <f t="shared" si="18"/>
        <v>1.2469745067296207</v>
      </c>
      <c r="FC45" s="181">
        <f>'Local emissions'!Y45-Intermediate!ET45</f>
        <v>58.070620245919422</v>
      </c>
      <c r="FD45" s="188">
        <f t="shared" si="19"/>
        <v>6.7403365246973639</v>
      </c>
      <c r="FE45" s="188">
        <f t="shared" si="20"/>
        <v>4.6557865307917448</v>
      </c>
      <c r="FF45" s="181">
        <f t="shared" si="21"/>
        <v>4.0587434909339732</v>
      </c>
      <c r="FG45" s="201">
        <f t="shared" si="22"/>
        <v>2.9280822280897114</v>
      </c>
      <c r="FH45" s="181">
        <f t="shared" si="23"/>
        <v>39.687671471406631</v>
      </c>
      <c r="FJ45" s="147">
        <f>AVERAGE(Parameters!$C$132:$C$134)*'Local emissions'!J45*3600*24*365/1000000</f>
        <v>1.2730496666709706E-2</v>
      </c>
      <c r="FK45" s="147">
        <f>'Local emissions'!AJ45+CT45*BJ45/100*Intermediate!X45*100/1000000</f>
        <v>0.32178038266004355</v>
      </c>
      <c r="FL45" s="31">
        <f>(Parameters!$C$18*(Basicinfo!AH45+Basicinfo!AI45)+Parameters!$C$19*Basicinfo!AJ45+Parameters!$C$20*Basicinfo!AK45)/Basicinfo!G45</f>
        <v>2.626015920394251E-2</v>
      </c>
      <c r="FM45" s="181">
        <f t="shared" si="32"/>
        <v>0.13745384329941246</v>
      </c>
    </row>
    <row r="46" spans="1:169">
      <c r="A46" s="39" t="str">
        <f>Basicinfo!A46</f>
        <v>Gusen</v>
      </c>
      <c r="B46" s="63">
        <f>Basicinfo!B46</f>
        <v>1380</v>
      </c>
      <c r="C46" s="63">
        <f>Basicinfo!C46</f>
        <v>5010</v>
      </c>
      <c r="D46" s="61">
        <f>Basicinfo!U46*Basicinfo!V46/1000+Basicinfo!Y46</f>
        <v>0.40639684940552884</v>
      </c>
      <c r="E46" s="19">
        <f>Basicinfo!W46*Basicinfo!X46/1000+Basicinfo!Z46</f>
        <v>0.10197811931374032</v>
      </c>
      <c r="F46" s="19">
        <f t="shared" si="0"/>
        <v>0.50837496871926913</v>
      </c>
      <c r="G46" s="19">
        <f>SUM(Basicinfo!H46:L46)</f>
        <v>34.737603129329436</v>
      </c>
      <c r="H46" s="19">
        <f>IF(Basicinfo!N46&lt;Parameters!$C$68,Parameters!$C$69,Basicinfo!BS46/(Basicinfo!N46*100))</f>
        <v>34.527885023089183</v>
      </c>
      <c r="I46" s="19">
        <f>IF(Basicinfo!N46=0,0,Basicinfo!BU46*(1-Basicinfo!BX46/100))</f>
        <v>6510.009765304967</v>
      </c>
      <c r="J46" s="19">
        <f>IF(Basicinfo!N46=0,0,Basicinfo!BU46*Basicinfo!BX46/100)</f>
        <v>7642.1853766623535</v>
      </c>
      <c r="K46" s="19">
        <f>IF(Basicinfo!N46=0,0,Basicinfo!BT46-Basicinfo!BU46)</f>
        <v>0</v>
      </c>
      <c r="L46" s="27">
        <f>Basicinfo!BV46*Basicinfo!BW46/100</f>
        <v>838.02666666666653</v>
      </c>
      <c r="M46" s="27">
        <f>Basicinfo!BV46-Intermediate!L46</f>
        <v>838.02666666666676</v>
      </c>
      <c r="N46" s="73">
        <f>Basicinfo!BS46-SUM(I46:K46)-Basicinfo!BV46</f>
        <v>0</v>
      </c>
      <c r="O46" s="19">
        <f>IF(Basicinfo!AH46+Basicinfo!AI46+Basicinfo!AJ46+Basicinfo!AK46=0,0,N46*(Basicinfo!AH46+Basicinfo!AI46)/SUM(Basicinfo!AH46:AK46))</f>
        <v>0</v>
      </c>
      <c r="P46" s="73">
        <f t="shared" si="25"/>
        <v>0</v>
      </c>
      <c r="Q46" s="19">
        <f>IF(Basicinfo!BS46=0,Basicinfo!N46,IF(H46&gt;Parameters!$C$70,Parameters!$C$64*(Parameters!$C$65*Parameters!$C$70)^(Parameters!$C$66-Parameters!$C$67*LOG(Parameters!$C$65*Parameters!$C$70,10))/100*Basicinfo!N46,Parameters!$C$64*(Parameters!$C$65*H46)^(Parameters!$C$66-Parameters!$C$67*LOG(Parameters!$C$65*H46,10))/100*Basicinfo!N46))</f>
        <v>1.7721668593622861</v>
      </c>
      <c r="R46" s="19">
        <f>IF(Basicinfo!BS46=0,Q46*(1-Basicinfo!BX46/100),IF(H46&lt;Parameters!$C$75,Q46*Basicinfo!BU46/Basicinfo!BS46*(1-Basicinfo!BX46/100)*(-Parameters!$C$74+Parameters!$C$73*LN(H46*100)),Q46*Basicinfo!BU46/Basicinfo!BS46*(1-Basicinfo!BX46/100)))</f>
        <v>0.47403674664712275</v>
      </c>
      <c r="S46" s="19">
        <f>IF(Basicinfo!BS46=0,Q46*Basicinfo!BX46/100,Q46*Basicinfo!BU46/Basicinfo!BS46*Basicinfo!BX46/100)</f>
        <v>0.85563653355314562</v>
      </c>
      <c r="T46" s="19">
        <f>IF(Basicinfo!BS46=0,0,IF(H46&lt;Parameters!$C$75,Q46*K46/Basicinfo!BS46*(-Parameters!$C$74+Parameters!$C$73*LN(H46*100)),Q46*K46/Basicinfo!BS46))</f>
        <v>0</v>
      </c>
      <c r="U46" s="19">
        <f t="shared" si="26"/>
        <v>0.44249357916201781</v>
      </c>
      <c r="V46" s="19">
        <f>IF(Basicinfo!AL46&gt;Parameters!$C$14,Basicinfo!Q46,0)</f>
        <v>0</v>
      </c>
      <c r="W46" s="19">
        <f>IF(Basicinfo!AL46&gt;Parameters!$C$14,0,Basicinfo!Q46)</f>
        <v>0</v>
      </c>
      <c r="X46" s="19">
        <f>G46+Basicinfo!M46</f>
        <v>43.957908134729387</v>
      </c>
      <c r="Y46" s="19">
        <f>IF(Basicinfo!G46-F46-Q46-V46-Basicinfo!O46-Basicinfo!R46-Basicinfo!S46&lt;0,0,Basicinfo!G46-F46-Q46-V46-Basicinfo!O46-Basicinfo!R46-Basicinfo!S46)</f>
        <v>70.60669748119598</v>
      </c>
      <c r="Z46" s="19">
        <f>Basicinfo!G46-F46-Basicinfo!BO46-Q46-Basicinfo!O46</f>
        <v>66.061760347225118</v>
      </c>
      <c r="AA46" s="53">
        <f>IF(Z46+Basicinfo!BO46-X46&gt;0,Z46+Basicinfo!BO46-X46,0)</f>
        <v>26.654649429789067</v>
      </c>
      <c r="AB46" s="56">
        <f>IF(Basicinfo!N46=0,0,Parameters!$C$71+Parameters!$C$72*Q46/Basicinfo!N46)</f>
        <v>0.43993656653138202</v>
      </c>
      <c r="AC46" s="43">
        <f>Basicinfo!AU46*AB46*R46/1000/86.4/0.365</f>
        <v>5.3385295698359638E-3</v>
      </c>
      <c r="AD46" s="43">
        <f>Basicinfo!AU46*AB46*S46/1000/86.4/0.365</f>
        <v>9.6360481918625427E-3</v>
      </c>
      <c r="AE46" s="43">
        <f>Basicinfo!AU46*AB46*T46/1000/86.4/0.365</f>
        <v>0</v>
      </c>
      <c r="AF46" s="43">
        <f>Basicinfo!AU46*AB46*U46/1000/86.4/0.365</f>
        <v>4.9832952266408888E-3</v>
      </c>
      <c r="AG46" s="43">
        <f>((Parameters!$C$80+Parameters!$C$81*Parameters!$C$89)/(Parameters!$C$82+Parameters!$C$89)/(Parameters!$C$90/100*Parameters!$C$91+(Parameters!$C$83+Parameters!$C$84*Parameters!$C$89)/(Parameters!$C$85+Parameters!$C$89)))-Parameters!$C$86+(Basicinfo!AU46-Parameters!$C$88)/Parameters!$C$87</f>
        <v>71.570758846422933</v>
      </c>
      <c r="AH46" s="43">
        <f>((Parameters!$C$80+Parameters!$C$81*Parameters!$C$89)/(Parameters!$C$82+Parameters!$C$89)/(Basicinfo!BY46/100*Parameters!$C$91+(Parameters!$C$83+Parameters!$C$84*Parameters!$C$89)/(Parameters!$C$85+Parameters!$C$89)))-Parameters!$C$86+(Basicinfo!AU46-Parameters!$C$88)/Parameters!$C$87</f>
        <v>53.767876979807369</v>
      </c>
      <c r="AI46" s="43">
        <f>Basicinfo!AU46^Parameters!$C$79*Parameters!$C$78*AH46/AG46</f>
        <v>16.692984375455666</v>
      </c>
      <c r="AJ46" s="43">
        <f>(J46*Parameters!$C$92/1000+Parameters!$C$94/100*S46*100*Parameters!$C$93/1000*86400*Parameters!$C$95/24)/86400</f>
        <v>1.1527179770633554E-2</v>
      </c>
      <c r="AK46" s="43">
        <f t="shared" si="1"/>
        <v>5.4645554663411587E-3</v>
      </c>
      <c r="AL46" s="43">
        <f>(K46*Parameters!$C$92/1000+Parameters!$C$94/100*T46*100*Parameters!$C$93/1000*86400*Parameters!$C$95/24)/86400</f>
        <v>0</v>
      </c>
      <c r="AM46" s="43">
        <f>(Intermediate!N46+Basicinfo!BV46-Intermediate!L46)*Parameters!$C$92/1000/86400</f>
        <v>1.2609197530864199E-3</v>
      </c>
      <c r="AN46" s="43">
        <f t="shared" si="2"/>
        <v>1.0519628107351568E-2</v>
      </c>
      <c r="AO46" s="43">
        <f t="shared" si="27"/>
        <v>5.4645554663411587E-3</v>
      </c>
      <c r="AP46" s="43">
        <f t="shared" si="28"/>
        <v>6.2442149797273085E-3</v>
      </c>
      <c r="AQ46" s="43">
        <f t="shared" si="33"/>
        <v>1.7047300015904432E-2</v>
      </c>
      <c r="AR46" s="61">
        <f>(Basicinfo!AU46-Basicinfo!AY46)*F46/1000/86.4/0.365</f>
        <v>1.0148170483096734E-3</v>
      </c>
      <c r="AS46" s="19">
        <f>IF(Basicinfo!AP46-Basicinfo!CB46-Basicinfo!CG46&lt;0,0,(Basicinfo!AP46-Basicinfo!CB46-Basicinfo!CG46)/Basicinfo!G46*1000)</f>
        <v>11.036631210514807</v>
      </c>
      <c r="AT46" s="19">
        <f>Parameters!$C$3*((AS46*86.4*0.365)^Parameters!$C$4)</f>
        <v>62.596653095477208</v>
      </c>
      <c r="AU46" s="19">
        <f>IF(AT46/86.4/0.365*(Basicinfo!G46/1000)-AN46&lt;0,0,AT46/86.4/0.365*(Basicinfo!G46/1000)-AN46)</f>
        <v>0.13416784195012948</v>
      </c>
      <c r="AV46" s="19">
        <f>IF(Basicinfo!AU46&gt;Parameters!$C$13,Parameters!$C$11*(Basicinfo!AU46-Parameters!$C$13)^Parameters!$C$12,0)</f>
        <v>13.166538631511823</v>
      </c>
      <c r="AW46" s="19">
        <f>IF(AV46*V46/1000/86.4/0.365&gt;Basicinfo!AP46*Parameters!$C$15,Basicinfo!AP46*Parameters!$C$15,AV46*V46/1000/86.4/0.365)</f>
        <v>0</v>
      </c>
      <c r="AX46" s="19">
        <f>Basicinfo!AU46-Basicinfo!AW46</f>
        <v>270.74420976914303</v>
      </c>
      <c r="AY46" s="19">
        <f>Parameters!$C$56*AX46+Parameters!$C$57*Basicinfo!AW46</f>
        <v>189.02605501595724</v>
      </c>
      <c r="AZ46" s="19">
        <f>AY46*Basicinfo!BO46/1000/86.4/0.365</f>
        <v>2.7277373324535604E-2</v>
      </c>
      <c r="BA46" s="19">
        <f>IF(Basicinfo!AP46-AQ46-AR46-AU46-AW46-AZ46-Basicinfo!CB46-Basicinfo!CG46&lt;0,0,Basicinfo!AP46-AQ46-AR46-AU46-AW46-AZ46-Basicinfo!CB46-Basicinfo!CG46)</f>
        <v>0.62498692344864815</v>
      </c>
      <c r="BB46" s="53">
        <f t="shared" si="34"/>
        <v>298.3509297100415</v>
      </c>
      <c r="BC46" s="56">
        <f>IF(G46=0,0,((Basicinfo!H46*Basicinfo!BE46+Basicinfo!I46*Basicinfo!BF46+Basicinfo!J46*Basicinfo!BG46+Basicinfo!K46*Basicinfo!BH46+Basicinfo!L46*Basicinfo!BI46)*(1-Basicinfo!BN46/G46*Parameters!$C$26/100)/G46)*Basicinfo!BM46)</f>
        <v>8.764737811455781</v>
      </c>
      <c r="BD46" s="43">
        <f>IF(Basicinfo!AW46*Parameters!$C$39-Parameters!$C$40&lt;0,0.001,(Basicinfo!AW46*Parameters!$C$39-Parameters!$C$40)/(Basicinfo!AX46*Parameters!$C$39-Parameters!$C$40))</f>
        <v>1.1551962948597738</v>
      </c>
      <c r="BE46" s="43">
        <f>(BC46*G46*100+Basicinfo!BJ46*Basicinfo!M46*100)*Parameters!$C$29*BD46</f>
        <v>35427.226439517952</v>
      </c>
      <c r="BF46" s="43">
        <f>(Basicinfo!BK46*Basicinfo!P46*100)*BD46*Parameters!$C$29</f>
        <v>991.25425279419369</v>
      </c>
      <c r="BG46" s="43">
        <f>Parameters!$C$27*(V46+W46)*100</f>
        <v>0</v>
      </c>
      <c r="BH46" s="43">
        <f>Parameters!$C$28*Basicinfo!R46*100</f>
        <v>0</v>
      </c>
      <c r="BI46" s="43">
        <f t="shared" si="29"/>
        <v>991.25425279419369</v>
      </c>
      <c r="BJ46" s="43">
        <f>IF(Basicinfo!AM46&lt;Parameters!$C$33,0,Parameters!$C$30*(((Basicinfo!AM46-Parameters!$C$33)^Parameters!$C$31)*(((G46-Basicinfo!BN46)/Basicinfo!G46*100+Parameters!$C$34))^Parameters!$C$32))</f>
        <v>4.8129271357400194</v>
      </c>
      <c r="BK46" s="58">
        <f t="shared" si="30"/>
        <v>2696.3408475418159</v>
      </c>
      <c r="BL46" s="61">
        <f>Basicinfo!AZ46+Basicinfo!BA46</f>
        <v>1405.5055309912734</v>
      </c>
      <c r="BM46" s="19">
        <f>Basicinfo!BB46+Basicinfo!BC46</f>
        <v>1537.7188597563654</v>
      </c>
      <c r="BN46" s="172">
        <f>IF(Basicinfo!AO46=0,0,IF(Basicinfo!AO46="NA",1,IF(OR(Basicinfo!AO46="SA",Basicinfo!AN46="S"),3,IF(Basicinfo!AN46="N",1,IF(Basicinfo!AO46="ZA",2,0)))))</f>
        <v>0</v>
      </c>
      <c r="BO46" s="27">
        <f>IF($BN46=1,(BL46)*(1+Parameters!$C$21*Parameters!$C$22-Parameters!$C$22*Basicinfo!$AL46),IF($BN46=2,(BL46)*(1+Parameters!$C$21*Parameters!$C$23-Parameters!$C$23*Basicinfo!$AL46),IF($BN46=3,(BL46)*(1+Parameters!$C$21*Parameters!$C$24-Parameters!$C$24*Basicinfo!$AL46),BL46)))</f>
        <v>1405.5055309912734</v>
      </c>
      <c r="BP46" s="27">
        <f>IF($BN46=1,(BM46)*(1+Parameters!$C$21*Parameters!$C$22-Parameters!$C$22*Basicinfo!$AL46),IF($BN46=2,(BM46)*(1+Parameters!$C$21*Parameters!$C$23-Parameters!$C$23*Basicinfo!$AL46),IF($BN46=3,(BM46)*(1+Parameters!$C$21*Parameters!$C$24-Parameters!$C$24*Basicinfo!$AL46),BM46)))</f>
        <v>1537.7188597563654</v>
      </c>
      <c r="BQ46" s="27">
        <f>IF(Basicinfo!AU46=0,0,IF(G46+Basicinfo!M46=0,0,(Parameters!$C$16+BO46/Basicinfo!AU46)*G46+(Parameters!$C$17+BO46/Basicinfo!AU46)*Basicinfo!M46)/(G46+Basicinfo!M46))</f>
        <v>1.978104547196113</v>
      </c>
      <c r="BR46" s="27">
        <f>IF(Basicinfo!AU46=0,0,IF(G46+Basicinfo!M46=0,0,(Parameters!$C$16+BP46/Basicinfo!AU46)*G46+(Parameters!$C$17+BP46/Basicinfo!AU46)*Basicinfo!M46)/(G46+Basicinfo!M46))</f>
        <v>2.1418800909733102</v>
      </c>
      <c r="BS46" s="27">
        <f>IF(Basicinfo!AU46=0,0,BO46/Basicinfo!AU46)</f>
        <v>1.7410304601659026</v>
      </c>
      <c r="BT46" s="27">
        <f>IF(Basicinfo!AU46=0,0,BP46/Basicinfo!AU46)</f>
        <v>1.9048060039430996</v>
      </c>
      <c r="BU46" s="27">
        <f>IF(SUM(G46,Basicinfo!M46,Basicinfo!P46,W46)=0,0,(BQ46*(G46+Basicinfo!M46)+BS46*(Basicinfo!P46+W46))/SUM(G46,Basicinfo!M46,Basicinfo!P46,W46))</f>
        <v>1.8947487497392597</v>
      </c>
      <c r="BV46" s="19">
        <f>IF(Basicinfo!BR46/Parameters!$C$10&gt;1,1,Basicinfo!BR46/Parameters!$C$10)</f>
        <v>0.60545872057434957</v>
      </c>
      <c r="BW46" s="19">
        <f>Parameters!$C$5+Parameters!$C$6*EXP(BV46*Parameters!$C$8*Parameters!$C$7)</f>
        <v>3.7878090494493026E-2</v>
      </c>
      <c r="BX46" s="19">
        <f>Parameters!$C$5+Parameters!$C$6*EXP(BV46*Parameters!$C$9*Parameters!$C$7)</f>
        <v>3.6125993812531988E-2</v>
      </c>
      <c r="BY46" s="19">
        <f>IF(Basicinfo!AH46+Basicinfo!AI46+Basicinfo!AJ46+Basicinfo!AK46=0,0,(Parameters!$C$18*(Basicinfo!AH46+Basicinfo!AI46)+Parameters!$C$19*Basicinfo!AJ46+Parameters!$C$20*Basicinfo!AK46)/(Basicinfo!AH46+Basicinfo!AI46+Basicinfo!AJ46+Basicinfo!AK46))</f>
        <v>3.3125011844773324E-2</v>
      </c>
      <c r="BZ46" s="19">
        <f>IF(Basicinfo!AJ46+Basicinfo!AK46=0,Parameters!$C$18,(Parameters!$C$19*Basicinfo!AJ46+Parameters!$C$20*Basicinfo!AK46)/(Basicinfo!AJ46+Basicinfo!AK46))</f>
        <v>2.5000000000000001E-2</v>
      </c>
      <c r="CA46" s="19">
        <f>IF(SUM(G46,Basicinfo!M46,Basicinfo!P46,W46)=0,0,(BW46*G46+BX46*Basicinfo!M46+BY46*Basicinfo!P46+BZ46*W46)/(SUM(G46,Basicinfo!M46,Basicinfo!P46,W46)))</f>
        <v>3.5968605960465833E-2</v>
      </c>
      <c r="CB46" s="19">
        <f>IF(Y46=0,Basicinfo!BP46,Basicinfo!BP46-(AU46*X46/Y46*Intermediate!BQ46*86400*365/1000000)*1000/(X46*100))</f>
        <v>53.72839850999879</v>
      </c>
      <c r="CC46" s="19">
        <f>IF(Y46=0,Basicinfo!BQ46,Basicinfo!BQ46-(AU46*Basicinfo!AV46/Basicinfo!AU46*X46/Y46*Intermediate!BR46*86400*365/1000000)*1000/(X46*100))</f>
        <v>58.687952082769399</v>
      </c>
      <c r="CD46" s="19">
        <f>IF(OR(Y46=0,AA46=0),BP46/100,BP46/100-(AU46*Basicinfo!AV46/Basicinfo!AU46*(Basicinfo!P46+W46)/Y46*Intermediate!BT46*86400*365/1000000+AW46*Basicinfo!AV46/Basicinfo!AU46*Intermediate!BT46*86400*365/1000000)*1000/(AA46*100))</f>
        <v>14.392024291022578</v>
      </c>
      <c r="CE46" s="19">
        <f t="shared" si="35"/>
        <v>231272.26372428657</v>
      </c>
      <c r="CF46" s="19">
        <f t="shared" si="36"/>
        <v>38361.436206221537</v>
      </c>
      <c r="CG46" s="19">
        <f>IF(AY46=0,0,((CB46^Parameters!$C$58))/AY46*100)</f>
        <v>15.63693535173701</v>
      </c>
      <c r="CH46" s="19">
        <f>IF(SUM(Basicinfo!AB46:AG46)=0,0,(Parameters!$C$59*Basicinfo!AB46+Parameters!$C$60*SUM(Basicinfo!AC46:AE46)+Parameters!$C$61*Basicinfo!AF46+Parameters!$C$62*Basicinfo!AG46)/SUM(Basicinfo!AB46:AG46))</f>
        <v>9.7180742890758023E-2</v>
      </c>
      <c r="CI46" s="19">
        <f t="shared" si="31"/>
        <v>10</v>
      </c>
      <c r="CJ46" s="19">
        <f t="shared" si="37"/>
        <v>40.81539736653928</v>
      </c>
      <c r="CK46" s="19">
        <f t="shared" si="9"/>
        <v>13.680331885074587</v>
      </c>
      <c r="CL46" s="19">
        <f>IF($BB46=0,0,$CJ46^Parameters!$C$58*100/$BB46)</f>
        <v>7.8428341127090491</v>
      </c>
      <c r="CM46" s="19">
        <f>IF(CK46=0,0,(1/(1+Parameters!$C$116*BB46^Parameters!$C$120)*Basicinfo!AH46/Basicinfo!G46+1/(1+Parameters!$C$117*BB46^Parameters!$C$121)*Basicinfo!AI46/Basicinfo!G46)*(CK46)^Parameters!$C$124+(1/(1+Parameters!$C$118*BB46^Parameters!$C$122)*Basicinfo!AJ46/Basicinfo!G46+1/(1+Parameters!$C$119*BB46^Parameters!$C$123)*Basicinfo!AK46/Basicinfo!G46)*(CK46)^Parameters!$C$125)</f>
        <v>2.7507113044036093</v>
      </c>
      <c r="CN46" s="19">
        <f>IF(SUM(Basicinfo!AB46:AG46)=0,0,(Parameters!$C$128*Basicinfo!AB46+Parameters!$C$129*(SUM(Basicinfo!AC46:AE46))+Parameters!$C$130*Basicinfo!AF46+Parameters!$C$131*Basicinfo!AG46)/SUM(Basicinfo!AB46:AG46))</f>
        <v>1.5311534698679716E-2</v>
      </c>
      <c r="CO46" s="19">
        <f>IF(Basicinfo!AH46+Basicinfo!AI46+Basicinfo!AJ46+Basicinfo!AK46=0,0,(Parameters!$C$132*(Basicinfo!AH46+Basicinfo!AI46)+Parameters!$C$133*Basicinfo!AJ46+Parameters!$C$134*Basicinfo!AK46)/(Basicinfo!AH46+Basicinfo!AI46+Basicinfo!AJ46+Basicinfo!AK46))</f>
        <v>5.0000000000000001E-4</v>
      </c>
      <c r="CP46" s="19">
        <f>IF(Basicinfo!AJ46+Basicinfo!AK46=0,0,(Parameters!$C$133*Basicinfo!AJ46+Parameters!$C$134*Basicinfo!AK46)/(Basicinfo!AJ46+Basicinfo!AK46))</f>
        <v>5.0000000000000001E-4</v>
      </c>
      <c r="CQ46" s="19">
        <f>IF(Z46=0,0,(CN46*(Z46-AA46)+CO46*Basicinfo!P46+CP46*(Basicinfo!Q46+Basicinfo!R46))/Z46)</f>
        <v>9.3140377218968139E-3</v>
      </c>
      <c r="CR46" s="289">
        <f>Basicinfo!EI46</f>
        <v>5.4250000000000001E-3</v>
      </c>
      <c r="CS46" s="19">
        <f>IF(SUM(Basicinfo!AB46:AG46)=0,0,(Basicinfo!AB46*Parameters!$C$43+(Basicinfo!AC46+Basicinfo!AD46)*Parameters!$C$44+Basicinfo!AE46*Parameters!$C$45+(Basicinfo!AF46+Basicinfo!AG46)*Parameters!$C$46)/SUM(Basicinfo!AB46:AG46))</f>
        <v>25.404137194476384</v>
      </c>
      <c r="CT46" s="19">
        <f>(Parameters!$C$41*CS46+Parameters!$C$42)</f>
        <v>534.12219938365911</v>
      </c>
      <c r="CU46" s="19">
        <f>CT46+Basicinfo!BR46/(Parameters!$C$47*Parameters!$C$49*Parameters!$C$48*10000/1000000)</f>
        <v>747.36552235324132</v>
      </c>
      <c r="CV46" s="19">
        <f>IF(BK46/Basicinfo!G46&lt;Parameters!$C$35,Parameters!$C$35,Parameters!$C$37*(BK46/Basicinfo!G46)^Parameters!$C$38)</f>
        <v>1.4034699131960231</v>
      </c>
      <c r="CW46" s="19">
        <f>IF(BK46/Basicinfo!G46&lt;Parameters!$C$35,Parameters!$C$36,Parameters!$C$36*(BK46/Basicinfo!G46)^Parameters!$C$38)</f>
        <v>3.2981542960106545</v>
      </c>
      <c r="CX46" s="27">
        <f>IF(Basicinfo!AJ46+Basicinfo!AK46=0,0,(Parameters!$C$53*Basicinfo!AJ46+Parameters!$C$54*Basicinfo!AK46)/(Basicinfo!AJ46+Basicinfo!AK46))</f>
        <v>750.00000000000011</v>
      </c>
      <c r="CY46" s="56">
        <f>IF(Basicinfo!AU46*AB46=0,0,((Basicinfo!AZ46+Basicinfo!BA46)/Basicinfo!AU46+Parameters!$C$76/(Basicinfo!AU46*AB46)*100))</f>
        <v>2.8673036357439221</v>
      </c>
      <c r="CZ46" s="43">
        <f>IF(Basicinfo!AU46*AB46=0,0,(Parameters!$C$77)/(Basicinfo!AU46*AB46)*100)</f>
        <v>0.70392073473626227</v>
      </c>
      <c r="DA46" s="43">
        <f>IF(AD46+AJ46=0,0,((J46*Parameters!$C$96+Parameters!$C$94/100*S46*100*Parameters!$C$93/1000*86400*Parameters!$C$95/24*Parameters!$C$98)*AI46+AD46*CY46*86400*365)/((AD46+AJ46*AI46/365)*86400*365))</f>
        <v>7.4951569239275191</v>
      </c>
      <c r="DB46" s="43">
        <f>IF(AD46+AJ46=0,0,((J46*Parameters!$C$97+Parameters!$C$94/100*S46*100*Parameters!$C$93/1000*86400*Parameters!$C$95/24*Parameters!$C$99)*AI46+AD46*CZ46*86400*365)/((AD46+AJ46*AI46/365)*86400*365))</f>
        <v>1.4444490745908285</v>
      </c>
      <c r="DC46" s="42">
        <f>IF(AE46+AL46=0,0,((K46*Parameters!$C$96+Parameters!$C$94/100*T46*100*Parameters!$C$93/1000*86400*Parameters!$C$95/24*Parameters!$C$98)*365+AE46*CY46*86400*365)/((AE46+AL46)*86400*365))</f>
        <v>0</v>
      </c>
      <c r="DD46" s="42">
        <f>IF(AE46+AL46=0,0,((K46*Parameters!$C$97+Parameters!$C$94/100*T46*100*Parameters!$C$93/1000*86400*Parameters!$C$95/24*Parameters!$C$99)*365+AE46*CZ46*86400*365)/((AE46+AL46)*86400*365))</f>
        <v>0</v>
      </c>
      <c r="DE46" s="42">
        <f>IF(Basicinfo!AH46+Basicinfo!AI46+Basicinfo!AJ46+Basicinfo!AK46=0,0,((Basicinfo!AH46+Basicinfo!AI46)*Parameters!$C$107+(Basicinfo!AJ46+Basicinfo!AK46)*Parameters!$C$106)/(Basicinfo!AH46+Basicinfo!AI46+Basicinfo!AJ46+Basicinfo!AK46))</f>
        <v>82.500047379093303</v>
      </c>
      <c r="DF46" s="42">
        <f>IF(Basicinfo!AH46+Basicinfo!AI46+Basicinfo!AJ46+Basicinfo!AK46=0,0,((Basicinfo!AH46+Basicinfo!AI46)*Parameters!$C$109+(Basicinfo!AJ46+Basicinfo!AK46)*Parameters!$C$108)/(Basicinfo!AH46+Basicinfo!AI46+Basicinfo!AJ46+Basicinfo!AK46))</f>
        <v>82.500047379093303</v>
      </c>
      <c r="DG46" s="42">
        <f>Intermediate!AC46*Intermediate!CY46*(1-Parameters!$C$102/100*Basicinfo!BZ46/100)*(1-Parameters!$C$104/100*Basicinfo!CA46/100)*86400*365/1000000</f>
        <v>0.48272739389001273</v>
      </c>
      <c r="DH46" s="42">
        <f>Intermediate!AC46*Intermediate!CZ46*(1-Parameters!$C$103/100*Basicinfo!BZ46/100)*(1-Parameters!$C$105/100*Basicinfo!CA46/100)*86400*365/1000000</f>
        <v>0.11850918666178067</v>
      </c>
      <c r="DI46" s="42">
        <f>(Intermediate!AK46*Intermediate!DA46+(Intermediate!AE46+Intermediate!AL46)*Intermediate!DC46)*86400*365/1000000</f>
        <v>1.2916420505282169</v>
      </c>
      <c r="DJ46" s="42">
        <f>(Intermediate!AK46*Intermediate!DB46+(Intermediate!AE46+Intermediate!AL46)*Intermediate!DD46)*86400*365/1000000</f>
        <v>0.24892222851692294</v>
      </c>
      <c r="DK46" s="42">
        <f>((Basicinfo!AZ46+Basicinfo!BA46)*Intermediate!AB46+Parameters!$C$76*100)/1000*Intermediate!U46*(1-Intermediate!DE46/100)+(1-Parameters!$C$110/100)*M46*Parameters!$C$100*(1-DE46/100)*365/1000000+(1-Parameters!$C$112/100)*P46*Parameters!$C$96*365/1000000+(1-Parameters!$C$112/100)*O46*Parameters!$C$96*(1-DE46/100)*365/1000000</f>
        <v>0.51243917356346569</v>
      </c>
      <c r="DL46" s="42">
        <f>Parameters!$C$77*100/1000*Intermediate!U46*(1-Intermediate!DF46/100)+(1-Parameters!$C$111/100)*M46*Parameters!$C$101*(1-DF46/100)*365/1000000+(1-Parameters!$C$113/100)*P46*Parameters!$C$97*365/1000000+(1-Parameters!$C$113/100)*O46*Parameters!$C$97*(1-DF46/100)*365/1000000</f>
        <v>7.7269937337965167E-2</v>
      </c>
      <c r="DM46" s="31"/>
      <c r="DN46" s="31"/>
      <c r="DO46" s="31"/>
      <c r="DP46" s="31"/>
      <c r="DQ46" s="31"/>
      <c r="DR46" s="31"/>
      <c r="DS46" s="31"/>
      <c r="DT46" s="188">
        <f>BO46*(Basicinfo!$P46+Basicinfo!$Q46)/1000</f>
        <v>33.502702692585785</v>
      </c>
      <c r="DU46" s="188">
        <f>DT46*Basicinfo!$AZ46/(Basicinfo!$AZ46+Basicinfo!$BA46)</f>
        <v>18.952150959498976</v>
      </c>
      <c r="DV46" s="188">
        <f>DT46*Basicinfo!$BC46/(Basicinfo!$BB46+Basicinfo!$BC46)</f>
        <v>14.089674581999434</v>
      </c>
      <c r="DW46" s="188">
        <f>BP46*(Basicinfo!$P46+Basicinfo!$Q46)/1000</f>
        <v>36.654240518616213</v>
      </c>
      <c r="DX46" s="188">
        <f>DW46*Basicinfo!$BB46/(Basicinfo!$BB46+Basicinfo!$BC46)</f>
        <v>21.239176077503789</v>
      </c>
      <c r="DY46" s="188">
        <f>DW46*Basicinfo!$BC46/(Basicinfo!$BB46+Basicinfo!$BC46)</f>
        <v>15.415064441112424</v>
      </c>
      <c r="DZ46" s="188">
        <f t="shared" si="38"/>
        <v>61.78308301416844</v>
      </c>
      <c r="EA46" s="188">
        <f>DZ46*Basicinfo!$AZ46/(Basicinfo!$AZ46+Basicinfo!$BA46)</f>
        <v>34.950085274371155</v>
      </c>
      <c r="EB46" s="188">
        <f>DZ46*Basicinfo!$BC46/(Basicinfo!$BB46+Basicinfo!$BC46)</f>
        <v>25.983083882212711</v>
      </c>
      <c r="EC46" s="188">
        <f t="shared" si="39"/>
        <v>67.59490437421114</v>
      </c>
      <c r="ED46" s="188">
        <f>EC46*Basicinfo!$AZ46/(Basicinfo!$AZ46+Basicinfo!$BA46)</f>
        <v>38.237775726566987</v>
      </c>
      <c r="EE46" s="188">
        <f>EC46*Basicinfo!$BC46/(Basicinfo!$BB46+Basicinfo!$BC46)</f>
        <v>28.427264951516012</v>
      </c>
      <c r="EF46" s="190">
        <f>(Basicinfo!BP46-BL46/100)*Intermediate!X46/10</f>
        <v>179.60640955472817</v>
      </c>
      <c r="EG46" s="191">
        <f>(Basicinfo!BQ46-BM46/100)*Intermediate!X46/10</f>
        <v>195.83028061501503</v>
      </c>
      <c r="EH46" s="197">
        <f>IF(AU46=0,0,$BS46*((Basicinfo!$P46+Basicinfo!$Q46)*Intermediate!$AT46*1000+$AW46*3600*24*365)/1000000*Basicinfo!AZ46/(Basicinfo!$AZ46+Basicinfo!$BA46))</f>
        <v>1.4695468306097164</v>
      </c>
      <c r="EI46" s="197">
        <f>IF(AU46=0,0,$BS46*((Basicinfo!$P46+Basicinfo!$Q46)*Intermediate!$AT46*1000+$AW46*3600*24*365)/1000000*Basicinfo!BA46/(Basicinfo!$AZ46+Basicinfo!$BA46))</f>
        <v>1.1282475128377574</v>
      </c>
      <c r="EJ46" s="198">
        <f>IF(AU46=0,0,$BS46*($AT46*$X46*1000)/1000000*Basicinfo!AZ46/(Basicinfo!$AZ46+Basicinfo!$BA46))</f>
        <v>2.7100241631807491</v>
      </c>
      <c r="EK46" s="198">
        <f>IF(AU46=0,0,$BS46*($AT46*$X46*1000)/1000000*Basicinfo!BA46/(Basicinfo!$AZ46+Basicinfo!$BA46))</f>
        <v>2.0806264612678675</v>
      </c>
      <c r="EL46" s="147">
        <f>Parameters!$C$150/Basicinfo!$AV46*100</f>
        <v>0.12835102620329281</v>
      </c>
      <c r="EM46" s="147">
        <f>Parameters!$C$151/Basicinfo!$AV46*100</f>
        <v>0.25670205240658561</v>
      </c>
      <c r="EN46" s="147">
        <f>(Parameters!$C$150+Parameters!$C$151)/Intermediate!$BB46*100</f>
        <v>1.0055272838987335</v>
      </c>
      <c r="EO46" s="193">
        <f>IF(EN46=0,0,(1/(1+Parameters!$C$116*$BB46^Parameters!$C$120)*Basicinfo!$AH46/Basicinfo!$G46+1/(1+Parameters!$C$117*$BB46^Parameters!$C$121)*Basicinfo!$AI46/Basicinfo!$G46)*(EN46)^Parameters!$C$124+(1/(1+Parameters!$C$118*$BB46^Parameters!$C$122)*Basicinfo!$AJ46/Basicinfo!AW46+1/(1+Parameters!$C$119*$BB46^Parameters!$C$123)*Basicinfo!$AK46/Basicinfo!$G46)*(EN46)^Parameters!$C$125)</f>
        <v>0.48528972197790027</v>
      </c>
      <c r="EP46" s="199">
        <f>EL46*($AT46*Basicinfo!$P46*1000+$AW46*3600*24*365)/1000000</f>
        <v>0.19151277216299828</v>
      </c>
      <c r="EQ46" s="199">
        <f>EM46*($AT46*Basicinfo!$P46*1000+$AW46*3600*24*365)/1000000</f>
        <v>0.38302554432599656</v>
      </c>
      <c r="ER46" s="199">
        <f t="shared" si="40"/>
        <v>0.3531729845615873</v>
      </c>
      <c r="ES46" s="199">
        <f t="shared" si="41"/>
        <v>0.7063459691231746</v>
      </c>
      <c r="ET46" s="181">
        <f t="shared" si="14"/>
        <v>9.5648602953783843</v>
      </c>
      <c r="EU46" s="147">
        <f>Intermediate!F46*(Parameters!$C$150)/1000*100</f>
        <v>5.0837496871926909E-2</v>
      </c>
      <c r="EV46" s="147">
        <f>Intermediate!F46*(Parameters!$C$151)/1000*100</f>
        <v>0.10167499374385382</v>
      </c>
      <c r="EW46" s="181">
        <f>'Local emissions'!$S46*Basicinfo!AZ46/(Basicinfo!$AZ46+Basicinfo!$BA46)-Intermediate!EU46</f>
        <v>0.35336163957552924</v>
      </c>
      <c r="EX46" s="147">
        <f>'Local emissions'!$S46*Basicinfo!BA46/(Basicinfo!$AZ46+Basicinfo!$BA46)-Intermediate!EV46</f>
        <v>0.20864970016113843</v>
      </c>
      <c r="EY46" s="188">
        <f t="shared" si="15"/>
        <v>1.278034058446718</v>
      </c>
      <c r="EZ46" s="188">
        <f t="shared" si="16"/>
        <v>0.74522196851176081</v>
      </c>
      <c r="FA46" s="188">
        <f t="shared" si="17"/>
        <v>2.3568511786191619</v>
      </c>
      <c r="FB46" s="181">
        <f t="shared" si="18"/>
        <v>1.3742804921446929</v>
      </c>
      <c r="FC46" s="181">
        <f>'Local emissions'!Y46-Intermediate!ET46</f>
        <v>44.65926697678529</v>
      </c>
      <c r="FD46" s="188">
        <f t="shared" si="19"/>
        <v>3.1609165913555906</v>
      </c>
      <c r="FE46" s="188">
        <f t="shared" si="20"/>
        <v>2.294144215901925</v>
      </c>
      <c r="FF46" s="181">
        <f t="shared" si="21"/>
        <v>2.84536507606478</v>
      </c>
      <c r="FG46" s="201">
        <f t="shared" si="22"/>
        <v>2.1153413179544795</v>
      </c>
      <c r="FH46" s="181">
        <f t="shared" si="23"/>
        <v>34.243499775508518</v>
      </c>
      <c r="FJ46" s="147">
        <f>AVERAGE(Parameters!$C$132:$C$134)*'Local emissions'!J46*3600*24*365/1000000</f>
        <v>9.854793808938285E-3</v>
      </c>
      <c r="FK46" s="147">
        <f>'Local emissions'!AJ46+CT46*BJ46/100*Intermediate!X46*100/1000000</f>
        <v>0.559066622566048</v>
      </c>
      <c r="FL46" s="31">
        <f>(Parameters!$C$18*(Basicinfo!AH46+Basicinfo!AI46)+Parameters!$C$19*Basicinfo!AJ46+Parameters!$C$20*Basicinfo!AK46)/Basicinfo!G46</f>
        <v>3.312501184477333E-2</v>
      </c>
      <c r="FM46" s="181">
        <f t="shared" si="32"/>
        <v>0.14015580285298632</v>
      </c>
    </row>
    <row r="47" spans="1:169">
      <c r="A47" s="39" t="str">
        <f>Basicinfo!A47</f>
        <v>Reichramming Großer Bach</v>
      </c>
      <c r="B47" s="63">
        <f>Basicinfo!B47</f>
        <v>1520</v>
      </c>
      <c r="C47" s="63">
        <f>Basicinfo!C47</f>
        <v>4080</v>
      </c>
      <c r="D47" s="61">
        <f>Basicinfo!U47*Basicinfo!V47/1000+Basicinfo!Y47</f>
        <v>1.4245857328061795</v>
      </c>
      <c r="E47" s="19">
        <f>Basicinfo!W47*Basicinfo!X47/1000+Basicinfo!Z47</f>
        <v>0</v>
      </c>
      <c r="F47" s="19">
        <f t="shared" si="0"/>
        <v>1.4245857328061795</v>
      </c>
      <c r="G47" s="19">
        <f>SUM(Basicinfo!H47:L47)</f>
        <v>2.4437233160505832E-5</v>
      </c>
      <c r="H47" s="19">
        <f>IF(Basicinfo!N47&lt;Parameters!$C$68,Parameters!$C$69,Basicinfo!BS47/(Basicinfo!N47*100))</f>
        <v>22.904270977933464</v>
      </c>
      <c r="I47" s="19">
        <f>IF(Basicinfo!N47=0,0,Basicinfo!BU47*(1-Basicinfo!BX47/100))</f>
        <v>1381.1967316505584</v>
      </c>
      <c r="J47" s="19">
        <f>IF(Basicinfo!N47=0,0,Basicinfo!BU47*Basicinfo!BX47/100)</f>
        <v>1274.9508292158998</v>
      </c>
      <c r="K47" s="19">
        <f>IF(Basicinfo!N47=0,0,Basicinfo!BT47-Basicinfo!BU47)</f>
        <v>0</v>
      </c>
      <c r="L47" s="27">
        <f>Basicinfo!BV47*Basicinfo!BW47/100</f>
        <v>173.91</v>
      </c>
      <c r="M47" s="27">
        <f>Basicinfo!BV47-Intermediate!L47</f>
        <v>173.91</v>
      </c>
      <c r="N47" s="73">
        <f>Basicinfo!BS47-SUM(I47:K47)-Basicinfo!BV47</f>
        <v>0</v>
      </c>
      <c r="O47" s="19">
        <f>IF(Basicinfo!AH47+Basicinfo!AI47+Basicinfo!AJ47+Basicinfo!AK47=0,0,N47*(Basicinfo!AH47+Basicinfo!AI47)/SUM(Basicinfo!AH47:AK47))</f>
        <v>0</v>
      </c>
      <c r="P47" s="73">
        <f t="shared" si="25"/>
        <v>0</v>
      </c>
      <c r="Q47" s="19">
        <f>IF(Basicinfo!BS47=0,Basicinfo!N47,IF(H47&gt;Parameters!$C$70,Parameters!$C$64*(Parameters!$C$65*Parameters!$C$70)^(Parameters!$C$66-Parameters!$C$67*LOG(Parameters!$C$65*Parameters!$C$70,10))/100*Basicinfo!N47,Parameters!$C$64*(Parameters!$C$65*H47)^(Parameters!$C$66-Parameters!$C$67*LOG(Parameters!$C$65*H47,10))/100*Basicinfo!N47))</f>
        <v>0.41457558960694868</v>
      </c>
      <c r="R47" s="19">
        <f>IF(Basicinfo!BS47=0,Q47*(1-Basicinfo!BX47/100),IF(H47&lt;Parameters!$C$75,Q47*Basicinfo!BU47/Basicinfo!BS47*(1-Basicinfo!BX47/100)*(-Parameters!$C$74+Parameters!$C$73*LN(H47*100)),Q47*Basicinfo!BU47/Basicinfo!BS47*(1-Basicinfo!BX47/100)))</f>
        <v>0.11419197484836546</v>
      </c>
      <c r="S47" s="19">
        <f>IF(Basicinfo!BS47=0,Q47*Basicinfo!BX47/100,Q47*Basicinfo!BU47/Basicinfo!BS47*Basicinfo!BX47/100)</f>
        <v>0.17595512635615548</v>
      </c>
      <c r="T47" s="19">
        <f>IF(Basicinfo!BS47=0,0,IF(H47&lt;Parameters!$C$75,Q47*K47/Basicinfo!BS47*(-Parameters!$C$74+Parameters!$C$73*LN(H47*100)),Q47*K47/Basicinfo!BS47))</f>
        <v>0</v>
      </c>
      <c r="U47" s="19">
        <f t="shared" si="26"/>
        <v>0.12442848840242773</v>
      </c>
      <c r="V47" s="19">
        <f>IF(Basicinfo!AL47&gt;Parameters!$C$14,Basicinfo!Q47,0)</f>
        <v>0.56110174115632105</v>
      </c>
      <c r="W47" s="19">
        <f>IF(Basicinfo!AL47&gt;Parameters!$C$14,0,Basicinfo!Q47)</f>
        <v>0</v>
      </c>
      <c r="X47" s="19">
        <f>G47+Basicinfo!M47</f>
        <v>12.412051570460395</v>
      </c>
      <c r="Y47" s="19">
        <f>IF(Basicinfo!G47-F47-Q47-V47-Basicinfo!O47-Basicinfo!R47-Basicinfo!S47&lt;0,0,Basicinfo!G47-F47-Q47-V47-Basicinfo!O47-Basicinfo!R47-Basicinfo!S47)</f>
        <v>168.33572128443052</v>
      </c>
      <c r="Z47" s="19">
        <f>Basicinfo!G47-F47-Basicinfo!BO47-Q47-Basicinfo!O47</f>
        <v>168.89682302558685</v>
      </c>
      <c r="AA47" s="53">
        <f>IF(Z47+Basicinfo!BO47-X47&gt;0,Z47+Basicinfo!BO47-X47,0)</f>
        <v>156.48477145512646</v>
      </c>
      <c r="AB47" s="56">
        <f>IF(Basicinfo!N47=0,0,Parameters!$C$71+Parameters!$C$72*Q47/Basicinfo!N47)</f>
        <v>0.38707525429606859</v>
      </c>
      <c r="AC47" s="43">
        <f>Basicinfo!AU47*AB47*R47/1000/86.4/0.365</f>
        <v>2.368633952715886E-3</v>
      </c>
      <c r="AD47" s="43">
        <f>Basicinfo!AU47*AB47*S47/1000/86.4/0.365</f>
        <v>3.6497598626789095E-3</v>
      </c>
      <c r="AE47" s="43">
        <f>Basicinfo!AU47*AB47*T47/1000/86.4/0.365</f>
        <v>0</v>
      </c>
      <c r="AF47" s="43">
        <f>Basicinfo!AU47*AB47*U47/1000/86.4/0.365</f>
        <v>2.580965454940846E-3</v>
      </c>
      <c r="AG47" s="43">
        <f>((Parameters!$C$80+Parameters!$C$81*Parameters!$C$89)/(Parameters!$C$82+Parameters!$C$89)/(Parameters!$C$90/100*Parameters!$C$91+(Parameters!$C$83+Parameters!$C$84*Parameters!$C$89)/(Parameters!$C$85+Parameters!$C$89)))-Parameters!$C$86+(Basicinfo!AU47-Parameters!$C$88)/Parameters!$C$87</f>
        <v>93.637387879394367</v>
      </c>
      <c r="AH47" s="43">
        <f>((Parameters!$C$80+Parameters!$C$81*Parameters!$C$89)/(Parameters!$C$82+Parameters!$C$89)/(Basicinfo!BY47/100*Parameters!$C$91+(Parameters!$C$83+Parameters!$C$84*Parameters!$C$89)/(Parameters!$C$85+Parameters!$C$89)))-Parameters!$C$86+(Basicinfo!AU47-Parameters!$C$88)/Parameters!$C$87</f>
        <v>75.834506012778789</v>
      </c>
      <c r="AI47" s="43">
        <f>Basicinfo!AU47^Parameters!$C$79*Parameters!$C$78*AH47/AG47</f>
        <v>114.09923492709936</v>
      </c>
      <c r="AJ47" s="43">
        <f>(J47*Parameters!$C$92/1000+Parameters!$C$94/100*S47*100*Parameters!$C$93/1000*86400*Parameters!$C$95/24)/86400</f>
        <v>1.9241939648376471E-3</v>
      </c>
      <c r="AK47" s="43">
        <f t="shared" si="1"/>
        <v>3.2239251557476612E-3</v>
      </c>
      <c r="AL47" s="43">
        <f>(K47*Parameters!$C$92/1000+Parameters!$C$94/100*T47*100*Parameters!$C$93/1000*86400*Parameters!$C$95/24)/86400</f>
        <v>0</v>
      </c>
      <c r="AM47" s="43">
        <f>(Intermediate!N47+Basicinfo!BV47-Intermediate!L47)*Parameters!$C$92/1000/86400</f>
        <v>2.6167013888888887E-4</v>
      </c>
      <c r="AN47" s="43">
        <f t="shared" si="2"/>
        <v>5.1364113152311108E-3</v>
      </c>
      <c r="AO47" s="43">
        <f t="shared" si="27"/>
        <v>3.2239251557476612E-3</v>
      </c>
      <c r="AP47" s="43">
        <f t="shared" si="28"/>
        <v>2.842635593829735E-3</v>
      </c>
      <c r="AQ47" s="43">
        <f t="shared" si="33"/>
        <v>8.4351947022932826E-3</v>
      </c>
      <c r="AR47" s="61">
        <f>(Basicinfo!AU47-Basicinfo!AY47)*F47/1000/86.4/0.365</f>
        <v>4.6802828068013107E-2</v>
      </c>
      <c r="AS47" s="19">
        <f>IF(Basicinfo!AP47-Basicinfo!CB47-Basicinfo!CG47&lt;0,0,(Basicinfo!AP47-Basicinfo!CB47-Basicinfo!CG47)/Basicinfo!G47*1000)</f>
        <v>37.086880682760508</v>
      </c>
      <c r="AT47" s="19">
        <f>Parameters!$C$3*((AS47*86.4*0.365)^Parameters!$C$4)</f>
        <v>283.45096288736977</v>
      </c>
      <c r="AU47" s="19">
        <f>IF(AT47/86.4/0.365*(Basicinfo!G47/1000)-AN47&lt;0,0,AT47/86.4/0.365*(Basicinfo!G47/1000)-AN47)</f>
        <v>1.5294678239385582</v>
      </c>
      <c r="AV47" s="19">
        <f>IF(Basicinfo!AU47&gt;Parameters!$C$13,Parameters!$C$11*(Basicinfo!AU47-Parameters!$C$13)^Parameters!$C$12,0)</f>
        <v>235.33093786321561</v>
      </c>
      <c r="AW47" s="19">
        <f>IF(AV47*V47/1000/86.4/0.365&gt;Basicinfo!AP47*Parameters!$C$15,Basicinfo!AP47*Parameters!$C$15,AV47*V47/1000/86.4/0.365)</f>
        <v>4.1871067663305514E-3</v>
      </c>
      <c r="AX47" s="19">
        <f>Basicinfo!AU47-Basicinfo!AW47</f>
        <v>674.08349320442858</v>
      </c>
      <c r="AY47" s="19">
        <f>Parameters!$C$56*AX47+Parameters!$C$57*Basicinfo!AW47</f>
        <v>438.62828452195714</v>
      </c>
      <c r="AZ47" s="19">
        <f>AY47*Basicinfo!BO47/1000/86.4/0.365</f>
        <v>0</v>
      </c>
      <c r="BA47" s="19">
        <f>IF(Basicinfo!AP47-AQ47-AR47-AU47-AW47-AZ47-Basicinfo!CB47-Basicinfo!CG47&lt;0,0,Basicinfo!AP47-AQ47-AR47-AU47-AW47-AZ47-Basicinfo!CB47-Basicinfo!CG47)</f>
        <v>4.7431721262927473</v>
      </c>
      <c r="BB47" s="53">
        <f t="shared" si="34"/>
        <v>885.6334506191838</v>
      </c>
      <c r="BC47" s="56">
        <f>IF(G47=0,0,((Basicinfo!H47*Basicinfo!BE47+Basicinfo!I47*Basicinfo!BF47+Basicinfo!J47*Basicinfo!BG47+Basicinfo!K47*Basicinfo!BH47+Basicinfo!L47*Basicinfo!BI47)*(1-Basicinfo!BN47/G47*Parameters!$C$26/100)/G47)*Basicinfo!BM47)</f>
        <v>38.586401830501991</v>
      </c>
      <c r="BD47" s="43">
        <f>IF(Basicinfo!AW47*Parameters!$C$39-Parameters!$C$40&lt;0,0.001,(Basicinfo!AW47*Parameters!$C$39-Parameters!$C$40)/(Basicinfo!AX47*Parameters!$C$39-Parameters!$C$40))</f>
        <v>1.1580403413995008</v>
      </c>
      <c r="BE47" s="43">
        <f>(BC47*G47*100+Basicinfo!BJ47*Basicinfo!M47*100)*Parameters!$C$29*BD47</f>
        <v>1213.4191308670418</v>
      </c>
      <c r="BF47" s="43">
        <f>(Basicinfo!BK47*Basicinfo!P47*100)*BD47*Parameters!$C$29</f>
        <v>1834.3010951747858</v>
      </c>
      <c r="BG47" s="43">
        <f>Parameters!$C$27*(V47+W47)*100</f>
        <v>11.222034823126421</v>
      </c>
      <c r="BH47" s="43">
        <f>Parameters!$C$28*Basicinfo!R47*100</f>
        <v>0</v>
      </c>
      <c r="BI47" s="43">
        <f t="shared" si="29"/>
        <v>1845.5231299979123</v>
      </c>
      <c r="BJ47" s="43">
        <f>IF(Basicinfo!AM47&lt;Parameters!$C$33,0,Parameters!$C$30*(((Basicinfo!AM47-Parameters!$C$33)^Parameters!$C$31)*(((G47-Basicinfo!BN47)/Basicinfo!G47*100+Parameters!$C$34))^Parameters!$C$32))</f>
        <v>1.2847486156720676</v>
      </c>
      <c r="BK47" s="58">
        <f t="shared" si="30"/>
        <v>1861.1125154840267</v>
      </c>
      <c r="BL47" s="61">
        <f>Basicinfo!AZ47+Basicinfo!BA47</f>
        <v>1517.8648459551589</v>
      </c>
      <c r="BM47" s="19">
        <f>Basicinfo!BB47+Basicinfo!BC47</f>
        <v>1854.4095378988393</v>
      </c>
      <c r="BN47" s="172">
        <f>IF(Basicinfo!AO47=0,0,IF(Basicinfo!AO47="NA",1,IF(OR(Basicinfo!AO47="SA",Basicinfo!AN47="S"),3,IF(Basicinfo!AN47="N",1,IF(Basicinfo!AO47="ZA",2,0)))))</f>
        <v>1</v>
      </c>
      <c r="BO47" s="27">
        <f>IF($BN47=1,(BL47)*(1+Parameters!$C$21*Parameters!$C$22-Parameters!$C$22*Basicinfo!$AL47),IF($BN47=2,(BL47)*(1+Parameters!$C$21*Parameters!$C$23-Parameters!$C$23*Basicinfo!$AL47),IF($BN47=3,(BL47)*(1+Parameters!$C$21*Parameters!$C$24-Parameters!$C$24*Basicinfo!$AL47),BL47)))</f>
        <v>1397.362203265154</v>
      </c>
      <c r="BP47" s="27">
        <f>IF($BN47=1,(BM47)*(1+Parameters!$C$21*Parameters!$C$22-Parameters!$C$22*Basicinfo!$AL47),IF($BN47=2,(BM47)*(1+Parameters!$C$21*Parameters!$C$23-Parameters!$C$23*Basicinfo!$AL47),IF($BN47=3,(BM47)*(1+Parameters!$C$21*Parameters!$C$24-Parameters!$C$24*Basicinfo!$AL47),BM47)))</f>
        <v>1707.1887556652657</v>
      </c>
      <c r="BQ47" s="27">
        <f>IF(Basicinfo!AU47=0,0,IF(G47+Basicinfo!M47=0,0,(Parameters!$C$16+BO47/Basicinfo!AU47)*G47+(Parameters!$C$17+BO47/Basicinfo!AU47)*Basicinfo!M47)/(G47+Basicinfo!M47))</f>
        <v>0.82686714625058877</v>
      </c>
      <c r="BR47" s="27">
        <f>IF(Basicinfo!AU47=0,0,IF(G47+Basicinfo!M47=0,0,(Parameters!$C$16+BP47/Basicinfo!AU47)*G47+(Parameters!$C$17+BP47/Basicinfo!AU47)*Basicinfo!M47)/(G47+Basicinfo!M47))</f>
        <v>1.0102020136301966</v>
      </c>
      <c r="BS47" s="27">
        <f>IF(Basicinfo!AU47=0,0,BO47/Basicinfo!AU47)</f>
        <v>0.82686655560125844</v>
      </c>
      <c r="BT47" s="27">
        <f>IF(Basicinfo!AU47=0,0,BP47/Basicinfo!AU47)</f>
        <v>1.010201422980866</v>
      </c>
      <c r="BU47" s="27">
        <f>IF(SUM(G47,Basicinfo!M47,Basicinfo!P47,W47)=0,0,(BQ47*(G47+Basicinfo!M47)+BS47*(Basicinfo!P47+W47))/SUM(G47,Basicinfo!M47,Basicinfo!P47,W47))</f>
        <v>0.82686659938544382</v>
      </c>
      <c r="BV47" s="19">
        <f>IF(Basicinfo!BR47/Parameters!$C$10&gt;1,1,Basicinfo!BR47/Parameters!$C$10)</f>
        <v>0.4058429817517617</v>
      </c>
      <c r="BW47" s="19">
        <f>Parameters!$C$5+Parameters!$C$6*EXP(BV47*Parameters!$C$8*Parameters!$C$7)</f>
        <v>3.5177725952981263E-2</v>
      </c>
      <c r="BX47" s="19">
        <f>Parameters!$C$5+Parameters!$C$6*EXP(BV47*Parameters!$C$9*Parameters!$C$7)</f>
        <v>3.5094744723352188E-2</v>
      </c>
      <c r="BY47" s="19">
        <f>IF(Basicinfo!AH47+Basicinfo!AI47+Basicinfo!AJ47+Basicinfo!AK47=0,0,(Parameters!$C$18*(Basicinfo!AH47+Basicinfo!AI47)+Parameters!$C$19*Basicinfo!AJ47+Parameters!$C$20*Basicinfo!AK47)/(Basicinfo!AH47+Basicinfo!AI47+Basicinfo!AJ47+Basicinfo!AK47))</f>
        <v>1.0702589677618203E-2</v>
      </c>
      <c r="BZ47" s="19">
        <f>IF(Basicinfo!AJ47+Basicinfo!AK47=0,Parameters!$C$18,(Parameters!$C$19*Basicinfo!AJ47+Parameters!$C$20*Basicinfo!AK47)/(Basicinfo!AJ47+Basicinfo!AK47))</f>
        <v>9.8931988326249852E-3</v>
      </c>
      <c r="CA47" s="19">
        <f>IF(SUM(G47,Basicinfo!M47,Basicinfo!P47,W47)=0,0,(BW47*G47+BX47*Basicinfo!M47+BY47*Basicinfo!P47+BZ47*W47)/(SUM(G47,Basicinfo!M47,Basicinfo!P47,W47)))</f>
        <v>1.2510753324249635E-2</v>
      </c>
      <c r="CB47" s="19">
        <f>IF(Y47=0,Basicinfo!BP47,Basicinfo!BP47-(AU47*X47/Y47*Intermediate!BQ47*86400*365/1000000)*1000/(X47*100))</f>
        <v>54.133604920723378</v>
      </c>
      <c r="CC47" s="19">
        <f>IF(Y47=0,Basicinfo!BQ47,Basicinfo!BQ47-(AU47*Basicinfo!AV47/Basicinfo!AU47*X47/Y47*Intermediate!BR47*86400*365/1000000)*1000/(X47*100))</f>
        <v>29.110646511524429</v>
      </c>
      <c r="CD47" s="19">
        <f>IF(OR(Y47=0,AA47=0),BP47/100,BP47/100-(AU47*Basicinfo!AV47/Basicinfo!AU47*(Basicinfo!P47+W47)/Y47*Intermediate!BT47*86400*365/1000000+AW47*Basicinfo!AV47/Basicinfo!AU47*Intermediate!BT47*86400*365/1000000)*1000/(AA47*100))</f>
        <v>14.378489703768137</v>
      </c>
      <c r="CE47" s="19">
        <f t="shared" si="35"/>
        <v>36132.284575048412</v>
      </c>
      <c r="CF47" s="19">
        <f t="shared" si="36"/>
        <v>225001.46751640458</v>
      </c>
      <c r="CG47" s="19">
        <f>IF(AY47=0,0,((CB47^Parameters!$C$58))/AY47*100)</f>
        <v>6.7818826916279304</v>
      </c>
      <c r="CH47" s="19">
        <f>IF(SUM(Basicinfo!AB47:AG47)=0,0,(Parameters!$C$59*Basicinfo!AB47+Parameters!$C$60*SUM(Basicinfo!AC47:AE47)+Parameters!$C$61*Basicinfo!AF47+Parameters!$C$62*Basicinfo!AG47)/SUM(Basicinfo!AB47:AG47))</f>
        <v>0.10510036104612185</v>
      </c>
      <c r="CI47" s="19">
        <f t="shared" si="31"/>
        <v>3</v>
      </c>
      <c r="CJ47" s="19">
        <f t="shared" si="37"/>
        <v>15.461140559872627</v>
      </c>
      <c r="CK47" s="19">
        <f t="shared" si="9"/>
        <v>1.745771972486257</v>
      </c>
      <c r="CL47" s="19">
        <f>IF($BB47=0,0,$CJ47^Parameters!$C$58*100/$BB47)</f>
        <v>1.157714006412172</v>
      </c>
      <c r="CM47" s="19">
        <f>IF(CK47=0,0,(1/(1+Parameters!$C$116*BB47^Parameters!$C$120)*Basicinfo!AH47/Basicinfo!G47+1/(1+Parameters!$C$117*BB47^Parameters!$C$121)*Basicinfo!AI47/Basicinfo!G47)*(CK47)^Parameters!$C$124+(1/(1+Parameters!$C$118*BB47^Parameters!$C$122)*Basicinfo!AJ47/Basicinfo!G47+1/(1+Parameters!$C$119*BB47^Parameters!$C$123)*Basicinfo!AK47/Basicinfo!G47)*(CK47)^Parameters!$C$125)</f>
        <v>0.72486041351701858</v>
      </c>
      <c r="CN47" s="19">
        <f>IF(SUM(Basicinfo!AB47:AG47)=0,0,(Parameters!$C$128*Basicinfo!AB47+Parameters!$C$129*(SUM(Basicinfo!AC47:AE47))+Parameters!$C$130*Basicinfo!AF47+Parameters!$C$131*Basicinfo!AG47)/SUM(Basicinfo!AB47:AG47))</f>
        <v>1.644290872087455E-2</v>
      </c>
      <c r="CO47" s="19">
        <f>IF(Basicinfo!AH47+Basicinfo!AI47+Basicinfo!AJ47+Basicinfo!AK47=0,0,(Parameters!$C$132*(Basicinfo!AH47+Basicinfo!AI47)+Parameters!$C$133*Basicinfo!AJ47+Parameters!$C$134*Basicinfo!AK47)/(Basicinfo!AH47+Basicinfo!AI47+Basicinfo!AJ47+Basicinfo!AK47))</f>
        <v>5.0000000000000001E-4</v>
      </c>
      <c r="CP47" s="19">
        <f>IF(Basicinfo!AJ47+Basicinfo!AK47=0,0,(Parameters!$C$133*Basicinfo!AJ47+Parameters!$C$134*Basicinfo!AK47)/(Basicinfo!AJ47+Basicinfo!AK47))</f>
        <v>5.0000000000000001E-4</v>
      </c>
      <c r="CQ47" s="19">
        <f>IF(Z47=0,0,(CN47*(Z47-AA47)+CO47*Basicinfo!P47+CP47*(Basicinfo!Q47+Basicinfo!R47))/Z47)</f>
        <v>1.6689724156729194E-3</v>
      </c>
      <c r="CR47" s="290">
        <f>CR48</f>
        <v>4.9260631578947368E-3</v>
      </c>
      <c r="CS47" s="19">
        <f>IF(SUM(Basicinfo!AB47:AG47)=0,0,(Basicinfo!AB47*Parameters!$C$43+(Basicinfo!AC47+Basicinfo!AD47)*Parameters!$C$44+Basicinfo!AE47*Parameters!$C$45+(Basicinfo!AF47+Basicinfo!AG47)*Parameters!$C$46)/SUM(Basicinfo!AB47:AG47))</f>
        <v>22.903805281271964</v>
      </c>
      <c r="CT47" s="19">
        <f>(Parameters!$C$41*CS47+Parameters!$C$42)</f>
        <v>508.61881386897403</v>
      </c>
      <c r="CU47" s="19">
        <f>CT47+Basicinfo!BR47/(Parameters!$C$47*Parameters!$C$49*Parameters!$C$48*10000/1000000)</f>
        <v>651.55722253626118</v>
      </c>
      <c r="CV47" s="19">
        <f>IF(BK47/Basicinfo!G47&lt;Parameters!$C$35,Parameters!$C$35,Parameters!$C$37*(BK47/Basicinfo!G47)^Parameters!$C$38)</f>
        <v>2.4923227765974643</v>
      </c>
      <c r="CW47" s="19">
        <f>IF(BK47/Basicinfo!G47&lt;Parameters!$C$35,Parameters!$C$36,Parameters!$C$36*(BK47/Basicinfo!G47)^Parameters!$C$38)</f>
        <v>5.8569585250040417</v>
      </c>
      <c r="CX47" s="27">
        <f>IF(Basicinfo!AJ47+Basicinfo!AK47=0,0,(Parameters!$C$53*Basicinfo!AJ47+Parameters!$C$54*Basicinfo!AK47)/(Basicinfo!AJ47+Basicinfo!AK47))</f>
        <v>615.00305339792533</v>
      </c>
      <c r="CY47" s="56">
        <f>IF(Basicinfo!AU47*AB47=0,0,((Basicinfo!AZ47+Basicinfo!BA47)/Basicinfo!AU47+Parameters!$C$76/(Basicinfo!AU47*AB47)*100))</f>
        <v>1.5096643870811626</v>
      </c>
      <c r="CZ47" s="43">
        <f>IF(Basicinfo!AU47*AB47=0,0,(Parameters!$C$77)/(Basicinfo!AU47*AB47)*100)</f>
        <v>0.38218270962732409</v>
      </c>
      <c r="DA47" s="43">
        <f>IF(AD47+AJ47=0,0,((J47*Parameters!$C$96+Parameters!$C$94/100*S47*100*Parameters!$C$93/1000*86400*Parameters!$C$95/24*Parameters!$C$98)*AI47+AD47*CY47*86400*365)/((AD47+AJ47*AI47/365)*86400*365))</f>
        <v>14.317578633798771</v>
      </c>
      <c r="DB47" s="43">
        <f>IF(AD47+AJ47=0,0,((J47*Parameters!$C$97+Parameters!$C$94/100*S47*100*Parameters!$C$93/1000*86400*Parameters!$C$95/24*Parameters!$C$99)*AI47+AD47*CZ47*86400*365)/((AD47+AJ47*AI47/365)*86400*365))</f>
        <v>2.4464272144299439</v>
      </c>
      <c r="DC47" s="42">
        <f>IF(AE47+AL47=0,0,((K47*Parameters!$C$96+Parameters!$C$94/100*T47*100*Parameters!$C$93/1000*86400*Parameters!$C$95/24*Parameters!$C$98)*365+AE47*CY47*86400*365)/((AE47+AL47)*86400*365))</f>
        <v>0</v>
      </c>
      <c r="DD47" s="42">
        <f>IF(AE47+AL47=0,0,((K47*Parameters!$C$97+Parameters!$C$94/100*T47*100*Parameters!$C$93/1000*86400*Parameters!$C$95/24*Parameters!$C$99)*365+AE47*CZ47*86400*365)/((AE47+AL47)*86400*365))</f>
        <v>0</v>
      </c>
      <c r="DE47" s="42">
        <f>IF(Basicinfo!AH47+Basicinfo!AI47+Basicinfo!AJ47+Basicinfo!AK47=0,0,((Basicinfo!AH47+Basicinfo!AI47)*Parameters!$C$107+(Basicinfo!AJ47+Basicinfo!AK47)*Parameters!$C$106)/(Basicinfo!AH47+Basicinfo!AI47+Basicinfo!AJ47+Basicinfo!AK47))</f>
        <v>51.289516477383792</v>
      </c>
      <c r="DF47" s="42">
        <f>IF(Basicinfo!AH47+Basicinfo!AI47+Basicinfo!AJ47+Basicinfo!AK47=0,0,((Basicinfo!AH47+Basicinfo!AI47)*Parameters!$C$109+(Basicinfo!AJ47+Basicinfo!AK47)*Parameters!$C$108)/(Basicinfo!AH47+Basicinfo!AI47+Basicinfo!AJ47+Basicinfo!AK47))</f>
        <v>51.289516477383792</v>
      </c>
      <c r="DG47" s="42">
        <f>Intermediate!AC47*Intermediate!CY47*(1-Parameters!$C$102/100*Basicinfo!BZ47/100)*(1-Parameters!$C$104/100*Basicinfo!CA47/100)*86400*365/1000000</f>
        <v>0.11276776354374354</v>
      </c>
      <c r="DH47" s="42">
        <f>Intermediate!AC47*Intermediate!CZ47*(1-Parameters!$C$103/100*Basicinfo!BZ47/100)*(1-Parameters!$C$105/100*Basicinfo!CA47/100)*86400*365/1000000</f>
        <v>2.8547993712091355E-2</v>
      </c>
      <c r="DI47" s="42">
        <f>(Intermediate!AK47*Intermediate!DA47+(Intermediate!AE47+Intermediate!AL47)*Intermediate!DC47)*86400*365/1000000</f>
        <v>1.4556639775666897</v>
      </c>
      <c r="DJ47" s="42">
        <f>(Intermediate!AK47*Intermediate!DB47+(Intermediate!AE47+Intermediate!AL47)*Intermediate!DD47)*86400*365/1000000</f>
        <v>0.24872753004322978</v>
      </c>
      <c r="DK47" s="42">
        <f>((Basicinfo!AZ47+Basicinfo!BA47)*Intermediate!AB47+Parameters!$C$76*100)/1000*Intermediate!U47*(1-Intermediate!DE47/100)+(1-Parameters!$C$110/100)*M47*Parameters!$C$100*(1-DE47/100)*365/1000000+(1-Parameters!$C$112/100)*P47*Parameters!$C$96*365/1000000+(1-Parameters!$C$112/100)*O47*Parameters!$C$96*(1-DE47/100)*365/1000000</f>
        <v>0.31030600535979336</v>
      </c>
      <c r="DL47" s="42">
        <f>Parameters!$C$77*100/1000*Intermediate!U47*(1-Intermediate!DF47/100)+(1-Parameters!$C$111/100)*M47*Parameters!$C$101*(1-DF47/100)*365/1000000+(1-Parameters!$C$113/100)*P47*Parameters!$C$97*365/1000000+(1-Parameters!$C$113/100)*O47*Parameters!$C$97*(1-DF47/100)*365/1000000</f>
        <v>4.8603696160465976E-2</v>
      </c>
      <c r="DM47" s="31"/>
      <c r="DN47" s="31"/>
      <c r="DO47" s="31"/>
      <c r="DP47" s="31"/>
      <c r="DQ47" s="31"/>
      <c r="DR47" s="31"/>
      <c r="DS47" s="31"/>
      <c r="DT47" s="188">
        <f>BO47*(Basicinfo!$P47+Basicinfo!$Q47)/1000</f>
        <v>217.41253256384624</v>
      </c>
      <c r="DU47" s="188">
        <f>DT47*Basicinfo!$AZ47/(Basicinfo!$AZ47+Basicinfo!$BA47)</f>
        <v>117.47839500003269</v>
      </c>
      <c r="DV47" s="188">
        <f>DT47*Basicinfo!$BC47/(Basicinfo!$BB47+Basicinfo!$BC47)</f>
        <v>97.357584124922766</v>
      </c>
      <c r="DW47" s="188">
        <f>BP47*(Basicinfo!$P47+Basicinfo!$Q47)/1000</f>
        <v>265.6177690125179</v>
      </c>
      <c r="DX47" s="188">
        <f>DW47*Basicinfo!$BB47/(Basicinfo!$BB47+Basicinfo!$BC47)</f>
        <v>146.67382412232908</v>
      </c>
      <c r="DY47" s="188">
        <f>DW47*Basicinfo!$BC47/(Basicinfo!$BB47+Basicinfo!$BC47)</f>
        <v>118.94394489018883</v>
      </c>
      <c r="DZ47" s="188">
        <f t="shared" si="38"/>
        <v>17.344131729539249</v>
      </c>
      <c r="EA47" s="188">
        <f>DZ47*Basicinfo!$AZ47/(Basicinfo!$AZ47+Basicinfo!$BA47)</f>
        <v>9.3718643273568123</v>
      </c>
      <c r="EB47" s="188">
        <f>DZ47*Basicinfo!$BC47/(Basicinfo!$BB47+Basicinfo!$BC47)</f>
        <v>7.7667222952590533</v>
      </c>
      <c r="EC47" s="188">
        <f t="shared" si="39"/>
        <v>21.189714875827391</v>
      </c>
      <c r="ED47" s="188">
        <f>EC47*Basicinfo!$AZ47/(Basicinfo!$AZ47+Basicinfo!$BA47)</f>
        <v>11.449816920694262</v>
      </c>
      <c r="EE47" s="188">
        <f>EC47*Basicinfo!$BC47/(Basicinfo!$BB47+Basicinfo!$BC47)</f>
        <v>9.4887788862892233</v>
      </c>
      <c r="EF47" s="190">
        <f>(Basicinfo!BP47-BL47/100)*Intermediate!X47/10</f>
        <v>51.291787801201863</v>
      </c>
      <c r="EG47" s="191">
        <f>(Basicinfo!BQ47-BM47/100)*Intermediate!X47/10</f>
        <v>16.479759709770196</v>
      </c>
      <c r="EH47" s="197">
        <f>IF(AU47=0,0,$BS47*((Basicinfo!$P47+Basicinfo!$Q47)*Intermediate!$AT47*1000+$AW47*3600*24*365)/1000000*Basicinfo!AZ47/(Basicinfo!$AZ47+Basicinfo!$BA47))</f>
        <v>19.763358845609467</v>
      </c>
      <c r="EI47" s="197">
        <f>IF(AU47=0,0,$BS47*((Basicinfo!$P47+Basicinfo!$Q47)*Intermediate!$AT47*1000+$AW47*3600*24*365)/1000000*Basicinfo!BA47/(Basicinfo!$AZ47+Basicinfo!$BA47))</f>
        <v>16.811893128090475</v>
      </c>
      <c r="EJ47" s="198">
        <f>IF(AU47=0,0,$BS47*($AT47*$X47*1000)/1000000*Basicinfo!AZ47/(Basicinfo!$AZ47+Basicinfo!$BA47))</f>
        <v>1.5719197255142727</v>
      </c>
      <c r="EK47" s="198">
        <f>IF(AU47=0,0,$BS47*($AT47*$X47*1000)/1000000*Basicinfo!BA47/(Basicinfo!$AZ47+Basicinfo!$BA47))</f>
        <v>1.3371687797468772</v>
      </c>
      <c r="EL47" s="147">
        <f>Parameters!$C$150/Basicinfo!$AV47*100</f>
        <v>6.3187055618922267E-2</v>
      </c>
      <c r="EM47" s="147">
        <f>Parameters!$C$151/Basicinfo!$AV47*100</f>
        <v>0.12637411123784453</v>
      </c>
      <c r="EN47" s="147">
        <f>(Parameters!$C$150+Parameters!$C$151)/Intermediate!$BB47*100</f>
        <v>0.33874059272519269</v>
      </c>
      <c r="EO47" s="193">
        <f>IF(EN47=0,0,(1/(1+Parameters!$C$116*$BB47^Parameters!$C$120)*Basicinfo!$AH47/Basicinfo!$G47+1/(1+Parameters!$C$117*$BB47^Parameters!$C$121)*Basicinfo!$AI47/Basicinfo!$G47)*(EN47)^Parameters!$C$124+(1/(1+Parameters!$C$118*$BB47^Parameters!$C$122)*Basicinfo!$AJ47/Basicinfo!AW47+1/(1+Parameters!$C$119*$BB47^Parameters!$C$123)*Basicinfo!$AK47/Basicinfo!$G47)*(EN47)^Parameters!$C$125)</f>
        <v>7.1403070460868551E-2</v>
      </c>
      <c r="EP47" s="199">
        <f>EL47*($AT47*Basicinfo!$P47*1000+$AW47*3600*24*365)/1000000</f>
        <v>2.7849388854023491</v>
      </c>
      <c r="EQ47" s="199">
        <f>EM47*($AT47*Basicinfo!$P47*1000+$AW47*3600*24*365)/1000000</f>
        <v>5.5698777708046983</v>
      </c>
      <c r="ER47" s="199">
        <f t="shared" si="40"/>
        <v>0.22230520261959419</v>
      </c>
      <c r="ES47" s="199">
        <f t="shared" si="41"/>
        <v>0.44461040523918838</v>
      </c>
      <c r="ET47" s="181">
        <f t="shared" si="14"/>
        <v>10.680519560491325</v>
      </c>
      <c r="EU47" s="147">
        <f>Intermediate!F47*(Parameters!$C$150)/1000*100</f>
        <v>0.14245857328061795</v>
      </c>
      <c r="EV47" s="147">
        <f>Intermediate!F47*(Parameters!$C$151)/1000*100</f>
        <v>0.2849171465612359</v>
      </c>
      <c r="EW47" s="181">
        <f>'Local emissions'!$S47*Basicinfo!AZ47/(Basicinfo!$AZ47+Basicinfo!$BA47)-Intermediate!EU47</f>
        <v>0.93319150235409654</v>
      </c>
      <c r="EX47" s="147">
        <f>'Local emissions'!$S47*Basicinfo!BA47/(Basicinfo!$AZ47+Basicinfo!$BA47)-Intermediate!EV47</f>
        <v>0.63009503613819662</v>
      </c>
      <c r="EY47" s="188">
        <f t="shared" si="15"/>
        <v>16.97841996020712</v>
      </c>
      <c r="EZ47" s="188">
        <f t="shared" si="16"/>
        <v>11.242015357285776</v>
      </c>
      <c r="FA47" s="188">
        <f t="shared" si="17"/>
        <v>1.3496145228946785</v>
      </c>
      <c r="FB47" s="181">
        <f t="shared" si="18"/>
        <v>0.89255837450768882</v>
      </c>
      <c r="FC47" s="181">
        <f>'Local emissions'!Y47-Intermediate!ET47</f>
        <v>97.744591225706316</v>
      </c>
      <c r="FD47" s="188">
        <f t="shared" si="19"/>
        <v>47.27060990849165</v>
      </c>
      <c r="FE47" s="188">
        <f t="shared" si="20"/>
        <v>38.333716690934004</v>
      </c>
      <c r="FF47" s="181">
        <f t="shared" si="21"/>
        <v>1.8450457415304726</v>
      </c>
      <c r="FG47" s="201">
        <f t="shared" si="22"/>
        <v>1.5290402630656768</v>
      </c>
      <c r="FH47" s="181">
        <f t="shared" si="23"/>
        <v>8.7661786216845119</v>
      </c>
      <c r="FJ47" s="147">
        <f>AVERAGE(Parameters!$C$132:$C$134)*'Local emissions'!J47*3600*24*365/1000000</f>
        <v>7.4790338087384056E-2</v>
      </c>
      <c r="FK47" s="147">
        <f>'Local emissions'!AJ47+CT47*BJ47/100*Intermediate!X47*100/1000000</f>
        <v>0.84044770030768201</v>
      </c>
      <c r="FL47" s="31">
        <f>(Parameters!$C$18*(Basicinfo!AH47+Basicinfo!AI47)+Parameters!$C$19*Basicinfo!AJ47+Parameters!$C$20*Basicinfo!AK47)/Basicinfo!G47</f>
        <v>1.0702589677618203E-2</v>
      </c>
      <c r="FM47" s="181">
        <f t="shared" si="32"/>
        <v>0.51763440891679169</v>
      </c>
    </row>
    <row r="48" spans="1:169">
      <c r="A48" s="39" t="str">
        <f>Basicinfo!A48</f>
        <v>Teichl</v>
      </c>
      <c r="B48" s="63">
        <f>Basicinfo!B48</f>
        <v>1530</v>
      </c>
      <c r="C48" s="63">
        <f>Basicinfo!C48</f>
        <v>1560</v>
      </c>
      <c r="D48" s="61">
        <f>Basicinfo!U48*Basicinfo!V48/1000+Basicinfo!Y48</f>
        <v>1.5891873599027948</v>
      </c>
      <c r="E48" s="19">
        <f>Basicinfo!W48*Basicinfo!X48/1000+Basicinfo!Z48</f>
        <v>0</v>
      </c>
      <c r="F48" s="19">
        <f t="shared" si="0"/>
        <v>1.5891873599027948</v>
      </c>
      <c r="G48" s="19">
        <f>SUM(Basicinfo!H48:L48)</f>
        <v>0.41866902755968533</v>
      </c>
      <c r="H48" s="19">
        <f>IF(Basicinfo!N48&lt;Parameters!$C$68,Parameters!$C$69,Basicinfo!BS48/(Basicinfo!N48*100))</f>
        <v>11.093931035311702</v>
      </c>
      <c r="I48" s="19">
        <f>IF(Basicinfo!N48=0,0,Basicinfo!BU48*(1-Basicinfo!BX48/100))</f>
        <v>3392.9511411752555</v>
      </c>
      <c r="J48" s="19">
        <f>IF(Basicinfo!N48=0,0,Basicinfo!BU48*Basicinfo!BX48/100)</f>
        <v>3131.9548995463892</v>
      </c>
      <c r="K48" s="19">
        <f>IF(Basicinfo!N48=0,0,Basicinfo!BT48-Basicinfo!BU48)</f>
        <v>0</v>
      </c>
      <c r="L48" s="27">
        <f>Basicinfo!BV48*Basicinfo!BW48/100</f>
        <v>419.89999999999992</v>
      </c>
      <c r="M48" s="27">
        <f>Basicinfo!BV48-Intermediate!L48</f>
        <v>419.89999999999992</v>
      </c>
      <c r="N48" s="73">
        <f>Basicinfo!BS48-SUM(I48:K48)-Basicinfo!BV48</f>
        <v>0</v>
      </c>
      <c r="O48" s="19">
        <f>IF(Basicinfo!AH48+Basicinfo!AI48+Basicinfo!AJ48+Basicinfo!AK48=0,0,N48*(Basicinfo!AH48+Basicinfo!AI48)/SUM(Basicinfo!AH48:AK48))</f>
        <v>0</v>
      </c>
      <c r="P48" s="73">
        <f t="shared" si="25"/>
        <v>0</v>
      </c>
      <c r="Q48" s="19">
        <f>IF(Basicinfo!BS48=0,Basicinfo!N48,IF(H48&gt;Parameters!$C$70,Parameters!$C$64*(Parameters!$C$65*Parameters!$C$70)^(Parameters!$C$66-Parameters!$C$67*LOG(Parameters!$C$65*Parameters!$C$70,10))/100*Basicinfo!N48,Parameters!$C$64*(Parameters!$C$65*H48)^(Parameters!$C$66-Parameters!$C$67*LOG(Parameters!$C$65*H48,10))/100*Basicinfo!N48))</f>
        <v>1.4502062301265515</v>
      </c>
      <c r="R48" s="19">
        <f>IF(Basicinfo!BS48=0,Q48*(1-Basicinfo!BX48/100),IF(H48&lt;Parameters!$C$75,Q48*Basicinfo!BU48/Basicinfo!BS48*(1-Basicinfo!BX48/100)*(-Parameters!$C$74+Parameters!$C$73*LN(H48*100)),Q48*Basicinfo!BU48/Basicinfo!BS48*(1-Basicinfo!BX48/100)))</f>
        <v>0.33970100546519766</v>
      </c>
      <c r="S48" s="19">
        <f>IF(Basicinfo!BS48=0,Q48*Basicinfo!BX48/100,Q48*Basicinfo!BU48/Basicinfo!BS48*Basicinfo!BX48/100)</f>
        <v>0.61672257964996757</v>
      </c>
      <c r="T48" s="19">
        <f>IF(Basicinfo!BS48=0,0,IF(H48&lt;Parameters!$C$75,Q48*K48/Basicinfo!BS48*(-Parameters!$C$74+Parameters!$C$73*LN(H48*100)),Q48*K48/Basicinfo!BS48))</f>
        <v>0</v>
      </c>
      <c r="U48" s="19">
        <f t="shared" si="26"/>
        <v>0.49378264501138625</v>
      </c>
      <c r="V48" s="19">
        <f>IF(Basicinfo!AL48&gt;Parameters!$C$14,Basicinfo!Q48,0)</f>
        <v>17.141358017559302</v>
      </c>
      <c r="W48" s="19">
        <f>IF(Basicinfo!AL48&gt;Parameters!$C$14,0,Basicinfo!Q48)</f>
        <v>0</v>
      </c>
      <c r="X48" s="19">
        <f>G48+Basicinfo!M48</f>
        <v>45.999465354649999</v>
      </c>
      <c r="Y48" s="19">
        <f>IF(Basicinfo!G48-F48-Q48-V48-Basicinfo!O48-Basicinfo!R48-Basicinfo!S48&lt;0,0,Basicinfo!G48-F48-Q48-V48-Basicinfo!O48-Basicinfo!R48-Basicinfo!S48)</f>
        <v>218.28254775027165</v>
      </c>
      <c r="Z48" s="19">
        <f>Basicinfo!G48-F48-Basicinfo!BO48-Q48-Basicinfo!O48</f>
        <v>228.57456249075574</v>
      </c>
      <c r="AA48" s="53">
        <f>IF(Z48+Basicinfo!BO48-X48&gt;0,Z48+Basicinfo!BO48-X48,0)</f>
        <v>189.59469951224418</v>
      </c>
      <c r="AB48" s="56">
        <f>IF(Basicinfo!N48=0,0,Parameters!$C$71+Parameters!$C$72*Q48/Basicinfo!N48)</f>
        <v>0.31384042840656479</v>
      </c>
      <c r="AC48" s="43">
        <f>Basicinfo!AU48*AB48*R48/1000/86.4/0.365</f>
        <v>5.3812659822333551E-3</v>
      </c>
      <c r="AD48" s="43">
        <f>Basicinfo!AU48*AB48*S48/1000/86.4/0.365</f>
        <v>9.7696155882752538E-3</v>
      </c>
      <c r="AE48" s="43">
        <f>Basicinfo!AU48*AB48*T48/1000/86.4/0.365</f>
        <v>0</v>
      </c>
      <c r="AF48" s="43">
        <f>Basicinfo!AU48*AB48*U48/1000/86.4/0.365</f>
        <v>7.8221015171213836E-3</v>
      </c>
      <c r="AG48" s="43">
        <f>((Parameters!$C$80+Parameters!$C$81*Parameters!$C$89)/(Parameters!$C$82+Parameters!$C$89)/(Parameters!$C$90/100*Parameters!$C$91+(Parameters!$C$83+Parameters!$C$84*Parameters!$C$89)/(Parameters!$C$85+Parameters!$C$89)))-Parameters!$C$86+(Basicinfo!AU48-Parameters!$C$88)/Parameters!$C$87</f>
        <v>91.18337696789078</v>
      </c>
      <c r="AH48" s="43">
        <f>((Parameters!$C$80+Parameters!$C$81*Parameters!$C$89)/(Parameters!$C$82+Parameters!$C$89)/(Basicinfo!BY48/100*Parameters!$C$91+(Parameters!$C$83+Parameters!$C$84*Parameters!$C$89)/(Parameters!$C$85+Parameters!$C$89)))-Parameters!$C$86+(Basicinfo!AU48-Parameters!$C$88)/Parameters!$C$87</f>
        <v>73.380495101275216</v>
      </c>
      <c r="AI48" s="43">
        <f>Basicinfo!AU48^Parameters!$C$79*Parameters!$C$78*AH48/AG48</f>
        <v>97.624669073869953</v>
      </c>
      <c r="AJ48" s="43">
        <f>(J48*Parameters!$C$92/1000+Parameters!$C$94/100*S48*100*Parameters!$C$93/1000*86400*Parameters!$C$95/24)/86400</f>
        <v>4.7329895598428534E-3</v>
      </c>
      <c r="AK48" s="43">
        <f t="shared" si="1"/>
        <v>8.0979220863597063E-3</v>
      </c>
      <c r="AL48" s="43">
        <f>(K48*Parameters!$C$92/1000+Parameters!$C$94/100*T48*100*Parameters!$C$93/1000*86400*Parameters!$C$95/24)/86400</f>
        <v>0</v>
      </c>
      <c r="AM48" s="43">
        <f>(Intermediate!N48+Basicinfo!BV48-Intermediate!L48)*Parameters!$C$92/1000/86400</f>
        <v>6.3179398148148144E-4</v>
      </c>
      <c r="AN48" s="43">
        <f t="shared" si="2"/>
        <v>1.2550258270401097E-2</v>
      </c>
      <c r="AO48" s="43">
        <f t="shared" si="27"/>
        <v>8.0979220863597063E-3</v>
      </c>
      <c r="AP48" s="43">
        <f t="shared" si="28"/>
        <v>8.4538954986028651E-3</v>
      </c>
      <c r="AQ48" s="43">
        <f t="shared" si="33"/>
        <v>2.1933083567195928E-2</v>
      </c>
      <c r="AR48" s="61">
        <f>(Basicinfo!AU48-Basicinfo!AY48)*F48/1000/86.4/0.365</f>
        <v>4.7614322419934685E-2</v>
      </c>
      <c r="AS48" s="19">
        <f>IF(Basicinfo!AP48-Basicinfo!CB48-Basicinfo!CG48&lt;0,0,(Basicinfo!AP48-Basicinfo!CB48-Basicinfo!CG48)/Basicinfo!G48*1000)</f>
        <v>54.589439284700681</v>
      </c>
      <c r="AT48" s="19">
        <f>Parameters!$C$3*((AS48*86.4*0.365)^Parameters!$C$4)</f>
        <v>458.86357055978527</v>
      </c>
      <c r="AU48" s="19">
        <f>IF(AT48/86.4/0.365*(Basicinfo!G48/1000)-AN48&lt;0,0,AT48/86.4/0.365*(Basicinfo!G48/1000)-AN48)</f>
        <v>3.4645527338855091</v>
      </c>
      <c r="AV48" s="19">
        <f>IF(Basicinfo!AU48&gt;Parameters!$C$13,Parameters!$C$11*(Basicinfo!AU48-Parameters!$C$13)^Parameters!$C$12,0)</f>
        <v>219.39437271555809</v>
      </c>
      <c r="AW48" s="19">
        <f>IF(AV48*V48/1000/86.4/0.365&gt;Basicinfo!AP48*Parameters!$C$15,Basicinfo!AP48*Parameters!$C$15,AV48*V48/1000/86.4/0.365)</f>
        <v>0.11925156930984351</v>
      </c>
      <c r="AX48" s="19">
        <f>Basicinfo!AU48-Basicinfo!AW48</f>
        <v>602.19656121885703</v>
      </c>
      <c r="AY48" s="19">
        <f>Parameters!$C$56*AX48+Parameters!$C$57*Basicinfo!AW48</f>
        <v>400.05746808171421</v>
      </c>
      <c r="AZ48" s="19">
        <f>AY48*Basicinfo!BO48/1000/86.4/0.365</f>
        <v>8.904884429028187E-2</v>
      </c>
      <c r="BA48" s="19">
        <f>IF(Basicinfo!AP48-AQ48-AR48-AU48-AW48-AZ48-Basicinfo!CB48-Basicinfo!CG48&lt;0,0,Basicinfo!AP48-AQ48-AR48-AU48-AW48-AZ48-Basicinfo!CB48-Basicinfo!CG48)</f>
        <v>9.3027535839927289</v>
      </c>
      <c r="BB48" s="53">
        <f t="shared" si="34"/>
        <v>1283.4833142758812</v>
      </c>
      <c r="BC48" s="56">
        <f>IF(G48=0,0,((Basicinfo!H48*Basicinfo!BE48+Basicinfo!I48*Basicinfo!BF48+Basicinfo!J48*Basicinfo!BG48+Basicinfo!K48*Basicinfo!BH48+Basicinfo!L48*Basicinfo!BI48)*(1-Basicinfo!BN48/G48*Parameters!$C$26/100)/G48)*Basicinfo!BM48)</f>
        <v>8.0054890828307794</v>
      </c>
      <c r="BD48" s="43">
        <f>IF(Basicinfo!AW48*Parameters!$C$39-Parameters!$C$40&lt;0,0.001,(Basicinfo!AW48*Parameters!$C$39-Parameters!$C$40)/(Basicinfo!AX48*Parameters!$C$39-Parameters!$C$40))</f>
        <v>1.1419510578646159</v>
      </c>
      <c r="BE48" s="43">
        <f>(BC48*G48*100+Basicinfo!BJ48*Basicinfo!M48*100)*Parameters!$C$29*BD48</f>
        <v>3666.0007021194369</v>
      </c>
      <c r="BF48" s="43">
        <f>(Basicinfo!BK48*Basicinfo!P48*100)*BD48*Parameters!$C$29</f>
        <v>2036.9402048737581</v>
      </c>
      <c r="BG48" s="43">
        <f>Parameters!$C$27*(V48+W48)*100</f>
        <v>342.82716035118608</v>
      </c>
      <c r="BH48" s="43">
        <f>Parameters!$C$28*Basicinfo!R48*100</f>
        <v>0</v>
      </c>
      <c r="BI48" s="43">
        <f t="shared" si="29"/>
        <v>2379.7673652249441</v>
      </c>
      <c r="BJ48" s="43">
        <f>IF(Basicinfo!AM48&lt;Parameters!$C$33,0,Parameters!$C$30*(((Basicinfo!AM48-Parameters!$C$33)^Parameters!$C$31)*(((G48-Basicinfo!BN48)/Basicinfo!G48*100+Parameters!$C$34))^Parameters!$C$32))</f>
        <v>1.4037642652457658</v>
      </c>
      <c r="BK48" s="58">
        <f t="shared" si="30"/>
        <v>2431.2293730449555</v>
      </c>
      <c r="BL48" s="61">
        <f>Basicinfo!AZ48+Basicinfo!BA48</f>
        <v>1368.6432485207224</v>
      </c>
      <c r="BM48" s="19">
        <f>Basicinfo!BB48+Basicinfo!BC48</f>
        <v>1750.4963835257172</v>
      </c>
      <c r="BN48" s="172">
        <f>IF(Basicinfo!AO48=0,0,IF(Basicinfo!AO48="NA",1,IF(OR(Basicinfo!AO48="SA",Basicinfo!AN48="S"),3,IF(Basicinfo!AN48="N",1,IF(Basicinfo!AO48="ZA",2,0)))))</f>
        <v>1</v>
      </c>
      <c r="BO48" s="27">
        <f>IF($BN48=1,(BL48)*(1+Parameters!$C$21*Parameters!$C$22-Parameters!$C$22*Basicinfo!$AL48),IF($BN48=2,(BL48)*(1+Parameters!$C$21*Parameters!$C$23-Parameters!$C$23*Basicinfo!$AL48),IF($BN48=3,(BL48)*(1+Parameters!$C$21*Parameters!$C$24-Parameters!$C$24*Basicinfo!$AL48),BL48)))</f>
        <v>1212.5700635316418</v>
      </c>
      <c r="BP48" s="27">
        <f>IF($BN48=1,(BM48)*(1+Parameters!$C$21*Parameters!$C$22-Parameters!$C$22*Basicinfo!$AL48),IF($BN48=2,(BM48)*(1+Parameters!$C$21*Parameters!$C$23-Parameters!$C$23*Basicinfo!$AL48),IF($BN48=3,(BM48)*(1+Parameters!$C$21*Parameters!$C$24-Parameters!$C$24*Basicinfo!$AL48),BM48)))</f>
        <v>1550.8785896382187</v>
      </c>
      <c r="BQ48" s="27">
        <f>IF(Basicinfo!AU48=0,0,IF(G48+Basicinfo!M48=0,0,(Parameters!$C$16+BO48/Basicinfo!AU48)*G48+(Parameters!$C$17+BO48/Basicinfo!AU48)*Basicinfo!M48)/(G48+Basicinfo!M48))</f>
        <v>0.76449632727049599</v>
      </c>
      <c r="BR48" s="27">
        <f>IF(Basicinfo!AU48=0,0,IF(G48+Basicinfo!M48=0,0,(Parameters!$C$16+BP48/Basicinfo!AU48)*G48+(Parameters!$C$17+BP48/Basicinfo!AU48)*Basicinfo!M48)/(G48+Basicinfo!M48))</f>
        <v>0.97702992687943579</v>
      </c>
      <c r="BS48" s="27">
        <f>IF(Basicinfo!AU48=0,0,BO48/Basicinfo!AU48)</f>
        <v>0.76176584535511849</v>
      </c>
      <c r="BT48" s="27">
        <f>IF(Basicinfo!AU48=0,0,BP48/Basicinfo!AU48)</f>
        <v>0.9742994449640584</v>
      </c>
      <c r="BU48" s="27">
        <f>IF(SUM(G48,Basicinfo!M48,Basicinfo!P48,W48)=0,0,(BQ48*(G48+Basicinfo!M48)+BS48*(Basicinfo!P48+W48))/SUM(G48,Basicinfo!M48,Basicinfo!P48,W48))</f>
        <v>0.7623552592218974</v>
      </c>
      <c r="BV48" s="19">
        <f>IF(Basicinfo!BR48/Parameters!$C$10&gt;1,1,Basicinfo!BR48/Parameters!$C$10)</f>
        <v>0.41662715714283999</v>
      </c>
      <c r="BW48" s="19">
        <f>Parameters!$C$5+Parameters!$C$6*EXP(BV48*Parameters!$C$8*Parameters!$C$7)</f>
        <v>3.5206578817134508E-2</v>
      </c>
      <c r="BX48" s="19">
        <f>Parameters!$C$5+Parameters!$C$6*EXP(BV48*Parameters!$C$9*Parameters!$C$7)</f>
        <v>3.5108300516921452E-2</v>
      </c>
      <c r="BY48" s="19">
        <f>IF(Basicinfo!AH48+Basicinfo!AI48+Basicinfo!AJ48+Basicinfo!AK48=0,0,(Parameters!$C$18*(Basicinfo!AH48+Basicinfo!AI48)+Parameters!$C$19*Basicinfo!AJ48+Parameters!$C$20*Basicinfo!AK48)/(Basicinfo!AH48+Basicinfo!AI48+Basicinfo!AJ48+Basicinfo!AK48))</f>
        <v>1.6994736979428934E-2</v>
      </c>
      <c r="BZ48" s="19">
        <f>IF(Basicinfo!AJ48+Basicinfo!AK48=0,Parameters!$C$18,(Parameters!$C$19*Basicinfo!AJ48+Parameters!$C$20*Basicinfo!AK48)/(Basicinfo!AJ48+Basicinfo!AK48))</f>
        <v>8.9144461980642641E-3</v>
      </c>
      <c r="CA48" s="19">
        <f>IF(SUM(G48,Basicinfo!M48,Basicinfo!P48,W48)=0,0,(BW48*G48+BX48*Basicinfo!M48+BY48*Basicinfo!P48+BZ48*W48)/(SUM(G48,Basicinfo!M48,Basicinfo!P48,W48)))</f>
        <v>2.0905003768121974E-2</v>
      </c>
      <c r="CB48" s="19">
        <f>IF(Y48=0,Basicinfo!BP48,Basicinfo!BP48-(AU48*X48/Y48*Intermediate!BQ48*86400*365/1000000)*1000/(X48*100))</f>
        <v>55.883232918809121</v>
      </c>
      <c r="CC48" s="19">
        <f>IF(Y48=0,Basicinfo!BQ48,Basicinfo!BQ48-(AU48*Basicinfo!AV48/Basicinfo!AU48*X48/Y48*Intermediate!BR48*86400*365/1000000)*1000/(X48*100))</f>
        <v>47.850008071047519</v>
      </c>
      <c r="CD48" s="19">
        <f>IF(OR(Y48=0,AA48=0),BP48/100,BP48/100-(AU48*Basicinfo!AV48/Basicinfo!AU48*(Basicinfo!P48+W48)/Y48*Intermediate!BT48*86400*365/1000000+AW48*Basicinfo!AV48/Basicinfo!AU48*Intermediate!BT48*86400*365/1000000)*1000/(AA48*100))</f>
        <v>11.165644178322513</v>
      </c>
      <c r="CE48" s="19">
        <f t="shared" si="35"/>
        <v>186518.67581301049</v>
      </c>
      <c r="CF48" s="19">
        <f t="shared" si="36"/>
        <v>211694.69528496952</v>
      </c>
      <c r="CG48" s="19">
        <f>IF(AY48=0,0,((CB48^Parameters!$C$58))/AY48*100)</f>
        <v>7.639534777068933</v>
      </c>
      <c r="CH48" s="19">
        <f>IF(SUM(Basicinfo!AB48:AG48)=0,0,(Parameters!$C$59*Basicinfo!AB48+Parameters!$C$60*SUM(Basicinfo!AC48:AE48)+Parameters!$C$61*Basicinfo!AF48+Parameters!$C$62*Basicinfo!AG48)/SUM(Basicinfo!AB48:AG48))</f>
        <v>0.32915983700123774</v>
      </c>
      <c r="CI48" s="19">
        <f t="shared" si="31"/>
        <v>2</v>
      </c>
      <c r="CJ48" s="19">
        <f t="shared" si="37"/>
        <v>17.421596119825669</v>
      </c>
      <c r="CK48" s="19">
        <f t="shared" si="9"/>
        <v>1.3573683370908978</v>
      </c>
      <c r="CL48" s="19">
        <f>IF($BB48=0,0,$CJ48^Parameters!$C$58*100/$BB48)</f>
        <v>0.88416745100461502</v>
      </c>
      <c r="CM48" s="19">
        <f>IF(CK48=0,0,(1/(1+Parameters!$C$116*BB48^Parameters!$C$120)*Basicinfo!AH48/Basicinfo!G48+1/(1+Parameters!$C$117*BB48^Parameters!$C$121)*Basicinfo!AI48/Basicinfo!G48)*(CK48)^Parameters!$C$124+(1/(1+Parameters!$C$118*BB48^Parameters!$C$122)*Basicinfo!AJ48/Basicinfo!G48+1/(1+Parameters!$C$119*BB48^Parameters!$C$123)*Basicinfo!AK48/Basicinfo!G48)*(CK48)^Parameters!$C$125)</f>
        <v>0.7998921368205143</v>
      </c>
      <c r="CN48" s="19">
        <f>IF(SUM(Basicinfo!AB48:AG48)=0,0,(Parameters!$C$128*Basicinfo!AB48+Parameters!$C$129*(SUM(Basicinfo!AC48:AE48))+Parameters!$C$130*Basicinfo!AF48+Parameters!$C$131*Basicinfo!AG48)/SUM(Basicinfo!AB48:AG48))</f>
        <v>4.3738371002071737E-2</v>
      </c>
      <c r="CO48" s="19">
        <f>IF(Basicinfo!AH48+Basicinfo!AI48+Basicinfo!AJ48+Basicinfo!AK48=0,0,(Parameters!$C$132*(Basicinfo!AH48+Basicinfo!AI48)+Parameters!$C$133*Basicinfo!AJ48+Parameters!$C$134*Basicinfo!AK48)/(Basicinfo!AH48+Basicinfo!AI48+Basicinfo!AJ48+Basicinfo!AK48))</f>
        <v>5.0000000000000001E-4</v>
      </c>
      <c r="CP48" s="19">
        <f>IF(Basicinfo!AJ48+Basicinfo!AK48=0,0,(Parameters!$C$133*Basicinfo!AJ48+Parameters!$C$134*Basicinfo!AK48)/(Basicinfo!AJ48+Basicinfo!AK48))</f>
        <v>5.0000000000000001E-4</v>
      </c>
      <c r="CQ48" s="19">
        <f>IF(Z48=0,0,(CN48*(Z48-AA48)+CO48*Basicinfo!P48+CP48*(Basicinfo!Q48+Basicinfo!R48))/Z48)</f>
        <v>7.8619150019947053E-3</v>
      </c>
      <c r="CR48" s="289">
        <f>Basicinfo!EI48</f>
        <v>4.9260631578947368E-3</v>
      </c>
      <c r="CS48" s="19">
        <f>IF(SUM(Basicinfo!AB48:AG48)=0,0,(Basicinfo!AB48*Parameters!$C$43+(Basicinfo!AC48+Basicinfo!AD48)*Parameters!$C$44+Basicinfo!AE48*Parameters!$C$45+(Basicinfo!AF48+Basicinfo!AG48)*Parameters!$C$46)/SUM(Basicinfo!AB48:AG48))</f>
        <v>23.596382956937624</v>
      </c>
      <c r="CT48" s="19">
        <f>(Parameters!$C$41*CS48+Parameters!$C$42)</f>
        <v>515.68310616076371</v>
      </c>
      <c r="CU48" s="19">
        <f>CT48+Basicinfo!BR48/(Parameters!$C$47*Parameters!$C$49*Parameters!$C$48*10000/1000000)</f>
        <v>662.41971496578913</v>
      </c>
      <c r="CV48" s="19">
        <f>IF(BK48/Basicinfo!G48&lt;Parameters!$C$35,Parameters!$C$35,Parameters!$C$37*(BK48/Basicinfo!G48)^Parameters!$C$38)</f>
        <v>2.5744622445531311</v>
      </c>
      <c r="CW48" s="19">
        <f>IF(BK48/Basicinfo!G48&lt;Parameters!$C$35,Parameters!$C$36,Parameters!$C$36*(BK48/Basicinfo!G48)^Parameters!$C$38)</f>
        <v>6.0499862746998581</v>
      </c>
      <c r="CX48" s="27">
        <f>IF(Basicinfo!AJ48+Basicinfo!AK48=0,0,(Parameters!$C$53*Basicinfo!AJ48+Parameters!$C$54*Basicinfo!AK48)/(Basicinfo!AJ48+Basicinfo!AK48))</f>
        <v>606.25675325929774</v>
      </c>
      <c r="CY48" s="56">
        <f>IF(Basicinfo!AU48*AB48=0,0,((Basicinfo!AZ48+Basicinfo!BA48)/Basicinfo!AU48+Parameters!$C$76/(Basicinfo!AU48*AB48)*100))</f>
        <v>1.6605072909444172</v>
      </c>
      <c r="CZ48" s="43">
        <f>IF(Basicinfo!AU48*AB48=0,0,(Parameters!$C$77)/(Basicinfo!AU48*AB48)*100)</f>
        <v>0.50043280965581061</v>
      </c>
      <c r="DA48" s="43">
        <f>IF(AD48+AJ48=0,0,((J48*Parameters!$C$96+Parameters!$C$94/100*S48*100*Parameters!$C$93/1000*86400*Parameters!$C$95/24*Parameters!$C$98)*AI48+AD48*CY48*86400*365)/((AD48+AJ48*AI48/365)*86400*365))</f>
        <v>12.01384262878936</v>
      </c>
      <c r="DB48" s="43">
        <f>IF(AD48+AJ48=0,0,((J48*Parameters!$C$97+Parameters!$C$94/100*S48*100*Parameters!$C$93/1000*86400*Parameters!$C$95/24*Parameters!$C$99)*AI48+AD48*CZ48*86400*365)/((AD48+AJ48*AI48/365)*86400*365))</f>
        <v>2.1583040387614472</v>
      </c>
      <c r="DC48" s="42">
        <f>IF(AE48+AL48=0,0,((K48*Parameters!$C$96+Parameters!$C$94/100*T48*100*Parameters!$C$93/1000*86400*Parameters!$C$95/24*Parameters!$C$98)*365+AE48*CY48*86400*365)/((AE48+AL48)*86400*365))</f>
        <v>0</v>
      </c>
      <c r="DD48" s="42">
        <f>IF(AE48+AL48=0,0,((K48*Parameters!$C$97+Parameters!$C$94/100*T48*100*Parameters!$C$93/1000*86400*Parameters!$C$95/24*Parameters!$C$99)*365+AE48*CZ48*86400*365)/((AE48+AL48)*86400*365))</f>
        <v>0</v>
      </c>
      <c r="DE48" s="42">
        <f>IF(Basicinfo!AH48+Basicinfo!AI48+Basicinfo!AJ48+Basicinfo!AK48=0,0,((Basicinfo!AH48+Basicinfo!AI48)*Parameters!$C$107+(Basicinfo!AJ48+Basicinfo!AK48)*Parameters!$C$106)/(Basicinfo!AH48+Basicinfo!AI48+Basicinfo!AJ48+Basicinfo!AK48))</f>
        <v>62.390445443815047</v>
      </c>
      <c r="DF48" s="42">
        <f>IF(Basicinfo!AH48+Basicinfo!AI48+Basicinfo!AJ48+Basicinfo!AK48=0,0,((Basicinfo!AH48+Basicinfo!AI48)*Parameters!$C$109+(Basicinfo!AJ48+Basicinfo!AK48)*Parameters!$C$108)/(Basicinfo!AH48+Basicinfo!AI48+Basicinfo!AJ48+Basicinfo!AK48))</f>
        <v>62.390445443815047</v>
      </c>
      <c r="DG48" s="42">
        <f>Intermediate!AC48*Intermediate!CY48*(1-Parameters!$C$102/100*Basicinfo!BZ48/100)*(1-Parameters!$C$104/100*Basicinfo!CA48/100)*86400*365/1000000</f>
        <v>0.28179407176763249</v>
      </c>
      <c r="DH48" s="42">
        <f>Intermediate!AC48*Intermediate!CZ48*(1-Parameters!$C$103/100*Basicinfo!BZ48/100)*(1-Parameters!$C$105/100*Basicinfo!CA48/100)*86400*365/1000000</f>
        <v>8.4925251366299401E-2</v>
      </c>
      <c r="DI48" s="42">
        <f>(Intermediate!AK48*Intermediate!DA48+(Intermediate!AE48+Intermediate!AL48)*Intermediate!DC48)*86400*365/1000000</f>
        <v>3.0680479271366443</v>
      </c>
      <c r="DJ48" s="42">
        <f>(Intermediate!AK48*Intermediate!DB48+(Intermediate!AE48+Intermediate!AL48)*Intermediate!DD48)*86400*365/1000000</f>
        <v>0.55117920525982322</v>
      </c>
      <c r="DK48" s="42">
        <f>((Basicinfo!AZ48+Basicinfo!BA48)*Intermediate!AB48+Parameters!$C$76*100)/1000*Intermediate!U48*(1-Intermediate!DE48/100)+(1-Parameters!$C$110/100)*M48*Parameters!$C$100*(1-DE48/100)*365/1000000+(1-Parameters!$C$112/100)*P48*Parameters!$C$96*365/1000000+(1-Parameters!$C$112/100)*O48*Parameters!$C$96*(1-DE48/100)*365/1000000</f>
        <v>0.62095052880872048</v>
      </c>
      <c r="DL48" s="42">
        <f>Parameters!$C$77*100/1000*Intermediate!U48*(1-Intermediate!DF48/100)+(1-Parameters!$C$111/100)*M48*Parameters!$C$101*(1-DF48/100)*365/1000000+(1-Parameters!$C$113/100)*P48*Parameters!$C$97*365/1000000+(1-Parameters!$C$113/100)*O48*Parameters!$C$97*(1-DF48/100)*365/1000000</f>
        <v>0.10878786995550738</v>
      </c>
      <c r="DM48" s="31"/>
      <c r="DN48" s="31"/>
      <c r="DO48" s="31"/>
      <c r="DP48" s="31"/>
      <c r="DQ48" s="31"/>
      <c r="DR48" s="31"/>
      <c r="DS48" s="31"/>
      <c r="DT48" s="188">
        <f>BO48*(Basicinfo!$P48+Basicinfo!$Q48)/1000</f>
        <v>223.39923612433799</v>
      </c>
      <c r="DU48" s="188">
        <f>DT48*Basicinfo!$AZ48/(Basicinfo!$AZ48+Basicinfo!$BA48)</f>
        <v>119.40290179671064</v>
      </c>
      <c r="DV48" s="188">
        <f>DT48*Basicinfo!$BC48/(Basicinfo!$BB48+Basicinfo!$BC48)</f>
        <v>100.88491718636904</v>
      </c>
      <c r="DW48" s="188">
        <f>BP48*(Basicinfo!$P48+Basicinfo!$Q48)/1000</f>
        <v>285.72789537429298</v>
      </c>
      <c r="DX48" s="188">
        <f>DW48*Basicinfo!$BB48/(Basicinfo!$BB48+Basicinfo!$BC48)</f>
        <v>156.69596329271911</v>
      </c>
      <c r="DY48" s="188">
        <f>DW48*Basicinfo!$BC48/(Basicinfo!$BB48+Basicinfo!$BC48)</f>
        <v>129.03193208157387</v>
      </c>
      <c r="DZ48" s="188">
        <f t="shared" si="38"/>
        <v>55.777574627509509</v>
      </c>
      <c r="EA48" s="188">
        <f>DZ48*Basicinfo!$AZ48/(Basicinfo!$AZ48+Basicinfo!$BA48)</f>
        <v>29.812117450573727</v>
      </c>
      <c r="EB48" s="188">
        <f>DZ48*Basicinfo!$BC48/(Basicinfo!$BB48+Basicinfo!$BC48)</f>
        <v>25.188608944127786</v>
      </c>
      <c r="EC48" s="188">
        <f t="shared" si="39"/>
        <v>71.339585953331692</v>
      </c>
      <c r="ED48" s="188">
        <f>EC48*Basicinfo!$AZ48/(Basicinfo!$AZ48+Basicinfo!$BA48)</f>
        <v>38.129734566606523</v>
      </c>
      <c r="EE48" s="188">
        <f>EC48*Basicinfo!$BC48/(Basicinfo!$BB48+Basicinfo!$BC48)</f>
        <v>32.216261549820246</v>
      </c>
      <c r="EF48" s="190">
        <f>(Basicinfo!BP48-BL48/100)*Intermediate!X48/10</f>
        <v>211.70506404301528</v>
      </c>
      <c r="EG48" s="191">
        <f>(Basicinfo!BQ48-BM48/100)*Intermediate!X48/10</f>
        <v>161.33931466615337</v>
      </c>
      <c r="EH48" s="197">
        <f>IF(AU48=0,0,$BS48*((Basicinfo!$P48+Basicinfo!$Q48)*Intermediate!$AT48*1000+$AW48*3600*24*365)/1000000*Basicinfo!AZ48/(Basicinfo!$AZ48+Basicinfo!$BA48))</f>
        <v>35.951355371153888</v>
      </c>
      <c r="EI48" s="197">
        <f>IF(AU48=0,0,$BS48*((Basicinfo!$P48+Basicinfo!$Q48)*Intermediate!$AT48*1000+$AW48*3600*24*365)/1000000*Basicinfo!BA48/(Basicinfo!$AZ48+Basicinfo!$BA48))</f>
        <v>31.312548660461946</v>
      </c>
      <c r="EJ48" s="198">
        <f>IF(AU48=0,0,$BS48*($AT48*$X48*1000)/1000000*Basicinfo!AZ48/(Basicinfo!$AZ48+Basicinfo!$BA48))</f>
        <v>8.5939150897430228</v>
      </c>
      <c r="EK48" s="198">
        <f>IF(AU48=0,0,$BS48*($AT48*$X48*1000)/1000000*Basicinfo!BA48/(Basicinfo!$AZ48+Basicinfo!$BA48))</f>
        <v>7.4850414303815347</v>
      </c>
      <c r="EL48" s="147">
        <f>Parameters!$C$150/Basicinfo!$AV48*100</f>
        <v>6.4964525249188679E-2</v>
      </c>
      <c r="EM48" s="147">
        <f>Parameters!$C$151/Basicinfo!$AV48*100</f>
        <v>0.12992905049837736</v>
      </c>
      <c r="EN48" s="147">
        <f>(Parameters!$C$150+Parameters!$C$151)/Intermediate!$BB48*100</f>
        <v>0.23373891710407996</v>
      </c>
      <c r="EO48" s="193">
        <f>IF(EN48=0,0,(1/(1+Parameters!$C$116*$BB48^Parameters!$C$120)*Basicinfo!$AH48/Basicinfo!$G48+1/(1+Parameters!$C$117*$BB48^Parameters!$C$121)*Basicinfo!$AI48/Basicinfo!$G48)*(EN48)^Parameters!$C$124+(1/(1+Parameters!$C$118*$BB48^Parameters!$C$122)*Basicinfo!$AJ48/Basicinfo!AW48+1/(1+Parameters!$C$119*$BB48^Parameters!$C$123)*Basicinfo!$AK48/Basicinfo!$G48)*(EN48)^Parameters!$C$125)</f>
        <v>0.15274338710950972</v>
      </c>
      <c r="EP48" s="199">
        <f>EL48*($AT48*Basicinfo!$P48*1000+$AW48*3600*24*365)/1000000</f>
        <v>5.2253844840842572</v>
      </c>
      <c r="EQ48" s="199">
        <f>EM48*($AT48*Basicinfo!$P48*1000+$AW48*3600*24*365)/1000000</f>
        <v>10.450768968168514</v>
      </c>
      <c r="ER48" s="199">
        <f t="shared" si="40"/>
        <v>1.3712373470161121</v>
      </c>
      <c r="ES48" s="199">
        <f t="shared" si="41"/>
        <v>2.7424746940322242</v>
      </c>
      <c r="ET48" s="181">
        <f t="shared" si="14"/>
        <v>44.81057752102879</v>
      </c>
      <c r="EU48" s="147">
        <f>Intermediate!F48*(Parameters!$C$150)/1000*100</f>
        <v>0.15891873599027947</v>
      </c>
      <c r="EV48" s="147">
        <f>Intermediate!F48*(Parameters!$C$151)/1000*100</f>
        <v>0.31783747198055895</v>
      </c>
      <c r="EW48" s="181">
        <f>'Local emissions'!$S48*Basicinfo!AZ48/(Basicinfo!$AZ48+Basicinfo!$BA48)-Intermediate!EU48</f>
        <v>0.87102889185970467</v>
      </c>
      <c r="EX48" s="147">
        <f>'Local emissions'!$S48*Basicinfo!BA48/(Basicinfo!$AZ48+Basicinfo!$BA48)-Intermediate!EV48</f>
        <v>0.5792159181304708</v>
      </c>
      <c r="EY48" s="188">
        <f t="shared" si="15"/>
        <v>30.725970887069629</v>
      </c>
      <c r="EZ48" s="188">
        <f t="shared" si="16"/>
        <v>20.861779692293432</v>
      </c>
      <c r="FA48" s="188">
        <f t="shared" si="17"/>
        <v>7.2226777427269102</v>
      </c>
      <c r="FB48" s="181">
        <f t="shared" si="18"/>
        <v>4.7425667363493105</v>
      </c>
      <c r="FC48" s="181">
        <f>'Local emissions'!Y48-Intermediate!ET48</f>
        <v>190.94771166502318</v>
      </c>
      <c r="FD48" s="188">
        <f t="shared" si="19"/>
        <v>57.716711758250739</v>
      </c>
      <c r="FE48" s="188">
        <f t="shared" si="20"/>
        <v>47.527062440340629</v>
      </c>
      <c r="FF48" s="181">
        <f t="shared" si="21"/>
        <v>7.0222705587135401</v>
      </c>
      <c r="FG48" s="201">
        <f t="shared" si="22"/>
        <v>5.9331990522495772</v>
      </c>
      <c r="FH48" s="181">
        <f t="shared" si="23"/>
        <v>72.748467855468689</v>
      </c>
      <c r="FJ48" s="147">
        <f>AVERAGE(Parameters!$C$132:$C$134)*'Local emissions'!J48*3600*24*365/1000000</f>
        <v>0.14668581851239734</v>
      </c>
      <c r="FK48" s="147">
        <f>'Local emissions'!AJ48+CT48*BJ48/100*Intermediate!X48*100/1000000</f>
        <v>1.1577632720928579</v>
      </c>
      <c r="FL48" s="31">
        <f>(Parameters!$C$18*(Basicinfo!AH48+Basicinfo!AI48)+Parameters!$C$19*Basicinfo!AJ48+Parameters!$C$20*Basicinfo!AK48)/Basicinfo!G48</f>
        <v>1.6994736979428934E-2</v>
      </c>
      <c r="FM48" s="181">
        <f t="shared" si="32"/>
        <v>1.9207256720490118</v>
      </c>
    </row>
    <row r="49" spans="1:169">
      <c r="A49" s="39" t="str">
        <f>Basicinfo!A49</f>
        <v>Krumme Steyrling</v>
      </c>
      <c r="B49" s="63">
        <f>Basicinfo!B49</f>
        <v>1540</v>
      </c>
      <c r="C49" s="63">
        <f>Basicinfo!C49</f>
        <v>1560</v>
      </c>
      <c r="D49" s="61">
        <f>Basicinfo!U49*Basicinfo!V49/1000+Basicinfo!Y49</f>
        <v>0.82151209203985376</v>
      </c>
      <c r="E49" s="19">
        <f>Basicinfo!W49*Basicinfo!X49/1000+Basicinfo!Z49</f>
        <v>0</v>
      </c>
      <c r="F49" s="19">
        <f t="shared" si="0"/>
        <v>0.82151209203985376</v>
      </c>
      <c r="G49" s="19">
        <f>SUM(Basicinfo!H49:L49)</f>
        <v>0.18209735280586359</v>
      </c>
      <c r="H49" s="19">
        <f>IF(Basicinfo!N49&lt;Parameters!$C$68,Parameters!$C$69,Basicinfo!BS49/(Basicinfo!N49*100))</f>
        <v>18.288929399824479</v>
      </c>
      <c r="I49" s="19">
        <f>IF(Basicinfo!N49=0,0,Basicinfo!BU49*(1-Basicinfo!BX49/100))</f>
        <v>998.45771725635063</v>
      </c>
      <c r="J49" s="19">
        <f>IF(Basicinfo!N49=0,0,Basicinfo!BU49*Basicinfo!BX49/100)</f>
        <v>921.65327746740059</v>
      </c>
      <c r="K49" s="19">
        <f>IF(Basicinfo!N49=0,0,Basicinfo!BT49-Basicinfo!BU49)</f>
        <v>0</v>
      </c>
      <c r="L49" s="27">
        <f>Basicinfo!BV49*Basicinfo!BW49/100</f>
        <v>125.06333333333333</v>
      </c>
      <c r="M49" s="27">
        <f>Basicinfo!BV49-Intermediate!L49</f>
        <v>125.06333333333336</v>
      </c>
      <c r="N49" s="73">
        <f>Basicinfo!BS49-SUM(I49:K49)-Basicinfo!BV49</f>
        <v>0</v>
      </c>
      <c r="O49" s="19">
        <f>IF(Basicinfo!AH49+Basicinfo!AI49+Basicinfo!AJ49+Basicinfo!AK49=0,0,N49*(Basicinfo!AH49+Basicinfo!AI49)/SUM(Basicinfo!AH49:AK49))</f>
        <v>0</v>
      </c>
      <c r="P49" s="73">
        <f t="shared" si="25"/>
        <v>0</v>
      </c>
      <c r="Q49" s="19">
        <f>IF(Basicinfo!BS49=0,Basicinfo!N49,IF(H49&gt;Parameters!$C$70,Parameters!$C$64*(Parameters!$C$65*Parameters!$C$70)^(Parameters!$C$66-Parameters!$C$67*LOG(Parameters!$C$65*Parameters!$C$70,10))/100*Basicinfo!N49,Parameters!$C$64*(Parameters!$C$65*H49)^(Parameters!$C$66-Parameters!$C$67*LOG(Parameters!$C$65*H49,10))/100*Basicinfo!N49))</f>
        <v>0.33509103723486094</v>
      </c>
      <c r="R49" s="19">
        <f>IF(Basicinfo!BS49=0,Q49*(1-Basicinfo!BX49/100),IF(H49&lt;Parameters!$C$75,Q49*Basicinfo!BU49/Basicinfo!BS49*(1-Basicinfo!BX49/100)*(-Parameters!$C$74+Parameters!$C$73*LN(H49*100)),Q49*Basicinfo!BU49/Basicinfo!BS49*(1-Basicinfo!BX49/100)))</f>
        <v>8.80178064298726E-2</v>
      </c>
      <c r="S49" s="19">
        <f>IF(Basicinfo!BS49=0,Q49*Basicinfo!BX49/100,Q49*Basicinfo!BU49/Basicinfo!BS49*Basicinfo!BX49/100)</f>
        <v>0.14230595948629679</v>
      </c>
      <c r="T49" s="19">
        <f>IF(Basicinfo!BS49=0,0,IF(H49&lt;Parameters!$C$75,Q49*K49/Basicinfo!BS49*(-Parameters!$C$74+Parameters!$C$73*LN(H49*100)),Q49*K49/Basicinfo!BS49))</f>
        <v>0</v>
      </c>
      <c r="U49" s="19">
        <f t="shared" si="26"/>
        <v>0.10476727131869154</v>
      </c>
      <c r="V49" s="19">
        <f>IF(Basicinfo!AL49&gt;Parameters!$C$14,Basicinfo!Q49,0)</f>
        <v>3.0279566586035602</v>
      </c>
      <c r="W49" s="19">
        <f>IF(Basicinfo!AL49&gt;Parameters!$C$14,0,Basicinfo!Q49)</f>
        <v>0</v>
      </c>
      <c r="X49" s="19">
        <f>G49+Basicinfo!M49</f>
        <v>14.108246490824515</v>
      </c>
      <c r="Y49" s="19">
        <f>IF(Basicinfo!G49-F49-Q49-V49-Basicinfo!O49-Basicinfo!R49-Basicinfo!S49&lt;0,0,Basicinfo!G49-F49-Q49-V49-Basicinfo!O49-Basicinfo!R49-Basicinfo!S49)</f>
        <v>131.99015859112174</v>
      </c>
      <c r="Z49" s="19">
        <f>Basicinfo!G49-F49-Basicinfo!BO49-Q49-Basicinfo!O49</f>
        <v>135.0181152497253</v>
      </c>
      <c r="AA49" s="53">
        <f>IF(Z49+Basicinfo!BO49-X49&gt;0,Z49+Basicinfo!BO49-X49,0)</f>
        <v>120.90986875890079</v>
      </c>
      <c r="AB49" s="56">
        <f>IF(Basicinfo!N49=0,0,Parameters!$C$71+Parameters!$C$72*Q49/Basicinfo!N49)</f>
        <v>0.3617898110261335</v>
      </c>
      <c r="AC49" s="43">
        <f>Basicinfo!AU49*AB49*R49/1000/86.4/0.365</f>
        <v>1.7353979140351564E-3</v>
      </c>
      <c r="AD49" s="43">
        <f>Basicinfo!AU49*AB49*S49/1000/86.4/0.365</f>
        <v>2.8057670971845007E-3</v>
      </c>
      <c r="AE49" s="43">
        <f>Basicinfo!AU49*AB49*T49/1000/86.4/0.365</f>
        <v>0</v>
      </c>
      <c r="AF49" s="43">
        <f>Basicinfo!AU49*AB49*U49/1000/86.4/0.365</f>
        <v>2.0656377553611312E-3</v>
      </c>
      <c r="AG49" s="43">
        <f>((Parameters!$C$80+Parameters!$C$81*Parameters!$C$89)/(Parameters!$C$82+Parameters!$C$89)/(Parameters!$C$90/100*Parameters!$C$91+(Parameters!$C$83+Parameters!$C$84*Parameters!$C$89)/(Parameters!$C$85+Parameters!$C$89)))-Parameters!$C$86+(Basicinfo!AU49-Parameters!$C$88)/Parameters!$C$87</f>
        <v>94.354061580833658</v>
      </c>
      <c r="AH49" s="43">
        <f>((Parameters!$C$80+Parameters!$C$81*Parameters!$C$89)/(Parameters!$C$82+Parameters!$C$89)/(Basicinfo!BY49/100*Parameters!$C$91+(Parameters!$C$83+Parameters!$C$84*Parameters!$C$89)/(Parameters!$C$85+Parameters!$C$89)))-Parameters!$C$86+(Basicinfo!AU49-Parameters!$C$88)/Parameters!$C$87</f>
        <v>76.55117971421808</v>
      </c>
      <c r="AI49" s="43">
        <f>Basicinfo!AU49^Parameters!$C$79*Parameters!$C$78*AH49/AG49</f>
        <v>119.21188292265268</v>
      </c>
      <c r="AJ49" s="43">
        <f>(J49*Parameters!$C$92/1000+Parameters!$C$94/100*S49*100*Parameters!$C$93/1000*86400*Parameters!$C$95/24)/86400</f>
        <v>1.3914903615055857E-3</v>
      </c>
      <c r="AK49" s="43">
        <f t="shared" si="1"/>
        <v>2.4957512933872191E-3</v>
      </c>
      <c r="AL49" s="43">
        <f>(K49*Parameters!$C$92/1000+Parameters!$C$94/100*T49*100*Parameters!$C$93/1000*86400*Parameters!$C$95/24)/86400</f>
        <v>0</v>
      </c>
      <c r="AM49" s="43">
        <f>(Intermediate!N49+Basicinfo!BV49-Intermediate!L49)*Parameters!$C$92/1000/86400</f>
        <v>1.8817399691358028E-4</v>
      </c>
      <c r="AN49" s="43">
        <f t="shared" si="2"/>
        <v>3.8832457269632635E-3</v>
      </c>
      <c r="AO49" s="43">
        <f t="shared" si="27"/>
        <v>2.4957512933872191E-3</v>
      </c>
      <c r="AP49" s="43">
        <f t="shared" si="28"/>
        <v>2.2538117522747114E-3</v>
      </c>
      <c r="AQ49" s="43">
        <f t="shared" si="33"/>
        <v>6.4849609596970871E-3</v>
      </c>
      <c r="AR49" s="61">
        <f>(Basicinfo!AU49-Basicinfo!AY49)*F49/1000/86.4/0.365</f>
        <v>2.7514890037589126E-2</v>
      </c>
      <c r="AS49" s="19">
        <f>IF(Basicinfo!AP49-Basicinfo!CB49-Basicinfo!CG49&lt;0,0,(Basicinfo!AP49-Basicinfo!CB49-Basicinfo!CG49)/Basicinfo!G49*1000)</f>
        <v>30.383100956932626</v>
      </c>
      <c r="AT49" s="19">
        <f>Parameters!$C$3*((AS49*86.4*0.365)^Parameters!$C$4)</f>
        <v>221.09573638355477</v>
      </c>
      <c r="AU49" s="19">
        <f>IF(AT49/86.4/0.365*(Basicinfo!G49/1000)-AN49&lt;0,0,AT49/86.4/0.365*(Basicinfo!G49/1000)-AN49)</f>
        <v>0.95082406137692432</v>
      </c>
      <c r="AV49" s="19">
        <f>IF(Basicinfo!AU49&gt;Parameters!$C$13,Parameters!$C$11*(Basicinfo!AU49-Parameters!$C$13)^Parameters!$C$12,0)</f>
        <v>239.85034289785125</v>
      </c>
      <c r="AW49" s="19">
        <f>IF(AV49*V49/1000/86.4/0.365&gt;Basicinfo!AP49*Parameters!$C$15,Basicinfo!AP49*Parameters!$C$15,AV49*V49/1000/86.4/0.365)</f>
        <v>2.3029440729512168E-2</v>
      </c>
      <c r="AX49" s="19">
        <f>Basicinfo!AU49-Basicinfo!AW49</f>
        <v>647.99098195957185</v>
      </c>
      <c r="AY49" s="19">
        <f>Parameters!$C$56*AX49+Parameters!$C$57*Basicinfo!AW49</f>
        <v>431.05797482977164</v>
      </c>
      <c r="AZ49" s="19">
        <f>AY49*Basicinfo!BO49/1000/86.4/0.365</f>
        <v>0</v>
      </c>
      <c r="BA49" s="19">
        <f>IF(Basicinfo!AP49-AQ49-AR49-AU49-AW49-AZ49-Basicinfo!CB49-Basicinfo!CG49&lt;0,0,Basicinfo!AP49-AQ49-AR49-AU49-AW49-AZ49-Basicinfo!CB49-Basicinfo!CG49)</f>
        <v>3.1295568631873025</v>
      </c>
      <c r="BB49" s="53">
        <f t="shared" si="34"/>
        <v>730.96639702705056</v>
      </c>
      <c r="BC49" s="56">
        <f>IF(G49=0,0,((Basicinfo!H49*Basicinfo!BE49+Basicinfo!I49*Basicinfo!BF49+Basicinfo!J49*Basicinfo!BG49+Basicinfo!K49*Basicinfo!BH49+Basicinfo!L49*Basicinfo!BI49)*(1-Basicinfo!BN49/G49*Parameters!$C$26/100)/G49)*Basicinfo!BM49)</f>
        <v>4.9167016326335151</v>
      </c>
      <c r="BD49" s="43">
        <f>IF(Basicinfo!AW49*Parameters!$C$39-Parameters!$C$40&lt;0,0.001,(Basicinfo!AW49*Parameters!$C$39-Parameters!$C$40)/(Basicinfo!AX49*Parameters!$C$39-Parameters!$C$40))</f>
        <v>1.1821301573804364</v>
      </c>
      <c r="BE49" s="43">
        <f>(BC49*G49*100+Basicinfo!BJ49*Basicinfo!M49*100)*Parameters!$C$29*BD49</f>
        <v>1342.972138455684</v>
      </c>
      <c r="BF49" s="43">
        <f>(Basicinfo!BK49*Basicinfo!P49*100)*BD49*Parameters!$C$29</f>
        <v>1617.600333157136</v>
      </c>
      <c r="BG49" s="43">
        <f>Parameters!$C$27*(V49+W49)*100</f>
        <v>60.559133172071213</v>
      </c>
      <c r="BH49" s="43">
        <f>Parameters!$C$28*Basicinfo!R49*100</f>
        <v>0</v>
      </c>
      <c r="BI49" s="43">
        <f t="shared" si="29"/>
        <v>1678.1594663292071</v>
      </c>
      <c r="BJ49" s="43">
        <f>IF(Basicinfo!AM49&lt;Parameters!$C$33,0,Parameters!$C$30*(((Basicinfo!AM49-Parameters!$C$33)^Parameters!$C$31)*(((G49-Basicinfo!BN49)/Basicinfo!G49*100+Parameters!$C$34))^Parameters!$C$32))</f>
        <v>1.3429443901374769</v>
      </c>
      <c r="BK49" s="58">
        <f t="shared" si="30"/>
        <v>1696.1948353237071</v>
      </c>
      <c r="BL49" s="61">
        <f>Basicinfo!AZ49+Basicinfo!BA49</f>
        <v>1584.9658659129796</v>
      </c>
      <c r="BM49" s="19">
        <f>Basicinfo!BB49+Basicinfo!BC49</f>
        <v>1725.936902639754</v>
      </c>
      <c r="BN49" s="172">
        <f>IF(Basicinfo!AO49=0,0,IF(Basicinfo!AO49="NA",1,IF(OR(Basicinfo!AO49="SA",Basicinfo!AN49="S"),3,IF(Basicinfo!AN49="N",1,IF(Basicinfo!AO49="ZA",2,0)))))</f>
        <v>1</v>
      </c>
      <c r="BO49" s="27">
        <f>IF($BN49=1,(BL49)*(1+Parameters!$C$21*Parameters!$C$22-Parameters!$C$22*Basicinfo!$AL49),IF($BN49=2,(BL49)*(1+Parameters!$C$21*Parameters!$C$23-Parameters!$C$23*Basicinfo!$AL49),IF($BN49=3,(BL49)*(1+Parameters!$C$21*Parameters!$C$24-Parameters!$C$24*Basicinfo!$AL49),BL49)))</f>
        <v>1448.2652926778633</v>
      </c>
      <c r="BP49" s="27">
        <f>IF($BN49=1,(BM49)*(1+Parameters!$C$21*Parameters!$C$22-Parameters!$C$22*Basicinfo!$AL49),IF($BN49=2,(BM49)*(1+Parameters!$C$21*Parameters!$C$23-Parameters!$C$23*Basicinfo!$AL49),IF($BN49=3,(BM49)*(1+Parameters!$C$21*Parameters!$C$24-Parameters!$C$24*Basicinfo!$AL49),BM49)))</f>
        <v>1577.0778205404747</v>
      </c>
      <c r="BQ49" s="27">
        <f>IF(Basicinfo!AU49=0,0,IF(G49+Basicinfo!M49=0,0,(Parameters!$C$16+BO49/Basicinfo!AU49)*G49+(Parameters!$C$17+BO49/Basicinfo!AU49)*Basicinfo!M49)/(G49+Basicinfo!M49))</f>
        <v>0.84656501391164496</v>
      </c>
      <c r="BR49" s="27">
        <f>IF(Basicinfo!AU49=0,0,IF(G49+Basicinfo!M49=0,0,(Parameters!$C$16+BP49/Basicinfo!AU49)*G49+(Parameters!$C$17+BP49/Basicinfo!AU49)*Basicinfo!M49)/(G49+Basicinfo!M49))</f>
        <v>0.92151633597510463</v>
      </c>
      <c r="BS49" s="27">
        <f>IF(Basicinfo!AU49=0,0,BO49/Basicinfo!AU49)</f>
        <v>0.84269286680411548</v>
      </c>
      <c r="BT49" s="27">
        <f>IF(Basicinfo!AU49=0,0,BP49/Basicinfo!AU49)</f>
        <v>0.91764418886757504</v>
      </c>
      <c r="BU49" s="27">
        <f>IF(SUM(G49,Basicinfo!M49,Basicinfo!P49,W49)=0,0,(BQ49*(G49+Basicinfo!M49)+BS49*(Basicinfo!P49+W49))/SUM(G49,Basicinfo!M49,Basicinfo!P49,W49))</f>
        <v>0.84310944286839706</v>
      </c>
      <c r="BV49" s="19">
        <f>IF(Basicinfo!BR49/Parameters!$C$10&gt;1,1,Basicinfo!BR49/Parameters!$C$10)</f>
        <v>0.44389775291341999</v>
      </c>
      <c r="BW49" s="19">
        <f>Parameters!$C$5+Parameters!$C$6*EXP(BV49*Parameters!$C$8*Parameters!$C$7)</f>
        <v>3.5302205373701434E-2</v>
      </c>
      <c r="BX49" s="19">
        <f>Parameters!$C$5+Parameters!$C$6*EXP(BV49*Parameters!$C$9*Parameters!$C$7)</f>
        <v>3.5151876139143799E-2</v>
      </c>
      <c r="BY49" s="19">
        <f>IF(Basicinfo!AH49+Basicinfo!AI49+Basicinfo!AJ49+Basicinfo!AK49=0,0,(Parameters!$C$18*(Basicinfo!AH49+Basicinfo!AI49)+Parameters!$C$19*Basicinfo!AJ49+Parameters!$C$20*Basicinfo!AK49)/(Basicinfo!AH49+Basicinfo!AI49+Basicinfo!AJ49+Basicinfo!AK49))</f>
        <v>7.0009728813375067E-3</v>
      </c>
      <c r="BZ49" s="19">
        <f>IF(Basicinfo!AJ49+Basicinfo!AK49=0,Parameters!$C$18,(Parameters!$C$19*Basicinfo!AJ49+Parameters!$C$20*Basicinfo!AK49)/(Basicinfo!AJ49+Basicinfo!AK49))</f>
        <v>3.4917279790830122E-3</v>
      </c>
      <c r="CA49" s="19">
        <f>IF(SUM(G49,Basicinfo!M49,Basicinfo!P49,W49)=0,0,(BW49*G49+BX49*Basicinfo!M49+BY49*Basicinfo!P49+BZ49*W49)/(SUM(G49,Basicinfo!M49,Basicinfo!P49,W49)))</f>
        <v>1.0029731978438899E-2</v>
      </c>
      <c r="CB49" s="19">
        <f>IF(Y49=0,Basicinfo!BP49,Basicinfo!BP49-(AU49*X49/Y49*Intermediate!BQ49*86400*365/1000000)*1000/(X49*100))</f>
        <v>60.445162476181117</v>
      </c>
      <c r="CC49" s="19">
        <f>IF(Y49=0,Basicinfo!BQ49,Basicinfo!BQ49-(AU49*Basicinfo!AV49/Basicinfo!AU49*X49/Y49*Intermediate!BR49*86400*365/1000000)*1000/(X49*100))</f>
        <v>49.937764868012266</v>
      </c>
      <c r="CD49" s="19">
        <f>IF(OR(Y49=0,AA49=0),BP49/100,BP49/100-(AU49*Basicinfo!AV49/Basicinfo!AU49*(Basicinfo!P49+W49)/Y49*Intermediate!BT49*86400*365/1000000+AW49*Basicinfo!AV49/Basicinfo!AU49*Intermediate!BT49*86400*365/1000000)*1000/(AA49*100))</f>
        <v>13.849934341645962</v>
      </c>
      <c r="CE49" s="19">
        <f t="shared" si="35"/>
        <v>70453.429595875365</v>
      </c>
      <c r="CF49" s="19">
        <f t="shared" si="36"/>
        <v>167459.37435678064</v>
      </c>
      <c r="CG49" s="19">
        <f>IF(AY49=0,0,((CB49^Parameters!$C$58))/AY49*100)</f>
        <v>7.5791697266892681</v>
      </c>
      <c r="CH49" s="19">
        <f>IF(SUM(Basicinfo!AB49:AG49)=0,0,(Parameters!$C$59*Basicinfo!AB49+Parameters!$C$60*SUM(Basicinfo!AC49:AE49)+Parameters!$C$61*Basicinfo!AF49+Parameters!$C$62*Basicinfo!AG49)/SUM(Basicinfo!AB49:AG49))</f>
        <v>6.0898251337433852E-2</v>
      </c>
      <c r="CI49" s="19">
        <f t="shared" si="31"/>
        <v>4</v>
      </c>
      <c r="CJ49" s="19">
        <f t="shared" si="37"/>
        <v>17.620806179424136</v>
      </c>
      <c r="CK49" s="19">
        <f t="shared" si="9"/>
        <v>2.4106178137723679</v>
      </c>
      <c r="CL49" s="19">
        <f>IF($BB49=0,0,$CJ49^Parameters!$C$58*100/$BB49)</f>
        <v>1.5675611641329266</v>
      </c>
      <c r="CM49" s="19">
        <f>IF(CK49=0,0,(1/(1+Parameters!$C$116*BB49^Parameters!$C$120)*Basicinfo!AH49/Basicinfo!G49+1/(1+Parameters!$C$117*BB49^Parameters!$C$121)*Basicinfo!AI49/Basicinfo!G49)*(CK49)^Parameters!$C$124+(1/(1+Parameters!$C$118*BB49^Parameters!$C$122)*Basicinfo!AJ49/Basicinfo!G49+1/(1+Parameters!$C$119*BB49^Parameters!$C$123)*Basicinfo!AK49/Basicinfo!G49)*(CK49)^Parameters!$C$125)</f>
        <v>1.1009693476199409</v>
      </c>
      <c r="CN49" s="19">
        <f>IF(SUM(Basicinfo!AB49:AG49)=0,0,(Parameters!$C$128*Basicinfo!AB49+Parameters!$C$129*(SUM(Basicinfo!AC49:AE49))+Parameters!$C$130*Basicinfo!AF49+Parameters!$C$131*Basicinfo!AG49)/SUM(Basicinfo!AB49:AG49))</f>
        <v>1.012832161963341E-2</v>
      </c>
      <c r="CO49" s="19">
        <f>IF(Basicinfo!AH49+Basicinfo!AI49+Basicinfo!AJ49+Basicinfo!AK49=0,0,(Parameters!$C$132*(Basicinfo!AH49+Basicinfo!AI49)+Parameters!$C$133*Basicinfo!AJ49+Parameters!$C$134*Basicinfo!AK49)/(Basicinfo!AH49+Basicinfo!AI49+Basicinfo!AJ49+Basicinfo!AK49))</f>
        <v>4.999999999999999E-4</v>
      </c>
      <c r="CP49" s="19">
        <f>IF(Basicinfo!AJ49+Basicinfo!AK49=0,0,(Parameters!$C$133*Basicinfo!AJ49+Parameters!$C$134*Basicinfo!AK49)/(Basicinfo!AJ49+Basicinfo!AK49))</f>
        <v>5.0000000000000001E-4</v>
      </c>
      <c r="CQ49" s="19">
        <f>IF(Z49=0,0,(CN49*(Z49-AA49)+CO49*Basicinfo!P49+CP49*(Basicinfo!Q49+Basicinfo!R49))/Z49)</f>
        <v>1.5029243848632124E-3</v>
      </c>
      <c r="CR49" s="289">
        <f>Basicinfo!EI49</f>
        <v>5.0964000000000001E-3</v>
      </c>
      <c r="CS49" s="19">
        <f>IF(SUM(Basicinfo!AB49:AG49)=0,0,(Basicinfo!AB49*Parameters!$C$43+(Basicinfo!AC49+Basicinfo!AD49)*Parameters!$C$44+Basicinfo!AE49*Parameters!$C$45+(Basicinfo!AF49+Basicinfo!AG49)*Parameters!$C$46)/SUM(Basicinfo!AB49:AG49))</f>
        <v>32.212120371387066</v>
      </c>
      <c r="CT49" s="19">
        <f>(Parameters!$C$41*CS49+Parameters!$C$42)</f>
        <v>603.5636277881481</v>
      </c>
      <c r="CU49" s="19">
        <f>CT49+Basicinfo!BR49/(Parameters!$C$47*Parameters!$C$49*Parameters!$C$48*10000/1000000)</f>
        <v>759.90497472620791</v>
      </c>
      <c r="CV49" s="19">
        <f>IF(BK49/Basicinfo!G49&lt;Parameters!$C$35,Parameters!$C$35,Parameters!$C$37*(BK49/Basicinfo!G49)^Parameters!$C$38)</f>
        <v>2.3408651442703325</v>
      </c>
      <c r="CW49" s="19">
        <f>IF(BK49/Basicinfo!G49&lt;Parameters!$C$35,Parameters!$C$36,Parameters!$C$36*(BK49/Basicinfo!G49)^Parameters!$C$38)</f>
        <v>5.5010330890352819</v>
      </c>
      <c r="CX49" s="27">
        <f>IF(Basicinfo!AJ49+Basicinfo!AK49=0,0,(Parameters!$C$53*Basicinfo!AJ49+Parameters!$C$54*Basicinfo!AK49)/(Basicinfo!AJ49+Basicinfo!AK49))</f>
        <v>557.7984202386142</v>
      </c>
      <c r="CY49" s="56">
        <f>IF(Basicinfo!AU49*AB49=0,0,((Basicinfo!AZ49+Basicinfo!BA49)/Basicinfo!AU49+Parameters!$C$76/(Basicinfo!AU49*AB49)*100))</f>
        <v>1.5655506979591545</v>
      </c>
      <c r="CZ49" s="43">
        <f>IF(Basicinfo!AU49*AB49=0,0,(Parameters!$C$77)/(Basicinfo!AU49*AB49)*100)</f>
        <v>0.40207296410032095</v>
      </c>
      <c r="DA49" s="43">
        <f>IF(AD49+AJ49=0,0,((J49*Parameters!$C$96+Parameters!$C$94/100*S49*100*Parameters!$C$93/1000*86400*Parameters!$C$95/24*Parameters!$C$98)*AI49+AD49*CY49*86400*365)/((AD49+AJ49*AI49/365)*86400*365))</f>
        <v>14.171936240998923</v>
      </c>
      <c r="DB49" s="43">
        <f>IF(AD49+AJ49=0,0,((J49*Parameters!$C$97+Parameters!$C$94/100*S49*100*Parameters!$C$93/1000*86400*Parameters!$C$95/24*Parameters!$C$99)*AI49+AD49*CZ49*86400*365)/((AD49+AJ49*AI49/365)*86400*365))</f>
        <v>2.4323220715447347</v>
      </c>
      <c r="DC49" s="42">
        <f>IF(AE49+AL49=0,0,((K49*Parameters!$C$96+Parameters!$C$94/100*T49*100*Parameters!$C$93/1000*86400*Parameters!$C$95/24*Parameters!$C$98)*365+AE49*CY49*86400*365)/((AE49+AL49)*86400*365))</f>
        <v>0</v>
      </c>
      <c r="DD49" s="42">
        <f>IF(AE49+AL49=0,0,((K49*Parameters!$C$97+Parameters!$C$94/100*T49*100*Parameters!$C$93/1000*86400*Parameters!$C$95/24*Parameters!$C$99)*365+AE49*CZ49*86400*365)/((AE49+AL49)*86400*365))</f>
        <v>0</v>
      </c>
      <c r="DE49" s="42">
        <f>IF(Basicinfo!AH49+Basicinfo!AI49+Basicinfo!AJ49+Basicinfo!AK49=0,0,((Basicinfo!AH49+Basicinfo!AI49)*Parameters!$C$107+(Basicinfo!AJ49+Basicinfo!AK49)*Parameters!$C$106)/(Basicinfo!AH49+Basicinfo!AI49+Basicinfo!AJ49+Basicinfo!AK49))</f>
        <v>54.455014099059262</v>
      </c>
      <c r="DF49" s="42">
        <f>IF(Basicinfo!AH49+Basicinfo!AI49+Basicinfo!AJ49+Basicinfo!AK49=0,0,((Basicinfo!AH49+Basicinfo!AI49)*Parameters!$C$109+(Basicinfo!AJ49+Basicinfo!AK49)*Parameters!$C$108)/(Basicinfo!AH49+Basicinfo!AI49+Basicinfo!AJ49+Basicinfo!AK49))</f>
        <v>54.455014099059262</v>
      </c>
      <c r="DG49" s="42">
        <f>Intermediate!AC49*Intermediate!CY49*(1-Parameters!$C$102/100*Basicinfo!BZ49/100)*(1-Parameters!$C$104/100*Basicinfo!CA49/100)*86400*365/1000000</f>
        <v>8.5678689312929865E-2</v>
      </c>
      <c r="DH49" s="42">
        <f>Intermediate!AC49*Intermediate!CZ49*(1-Parameters!$C$103/100*Basicinfo!BZ49/100)*(1-Parameters!$C$105/100*Basicinfo!CA49/100)*86400*365/1000000</f>
        <v>2.2004451607468153E-2</v>
      </c>
      <c r="DI49" s="42">
        <f>(Intermediate!AK49*Intermediate!DA49+(Intermediate!AE49+Intermediate!AL49)*Intermediate!DC49)*86400*365/1000000</f>
        <v>1.1154165950184571</v>
      </c>
      <c r="DJ49" s="42">
        <f>(Intermediate!AK49*Intermediate!DB49+(Intermediate!AE49+Intermediate!AL49)*Intermediate!DD49)*86400*365/1000000</f>
        <v>0.19143837206816533</v>
      </c>
      <c r="DK49" s="42">
        <f>((Basicinfo!AZ49+Basicinfo!BA49)*Intermediate!AB49+Parameters!$C$76*100)/1000*Intermediate!U49*(1-Intermediate!DE49/100)+(1-Parameters!$C$110/100)*M49*Parameters!$C$100*(1-DE49/100)*365/1000000+(1-Parameters!$C$112/100)*P49*Parameters!$C$96*365/1000000+(1-Parameters!$C$112/100)*O49*Parameters!$C$96*(1-DE49/100)*365/1000000</f>
        <v>0.21485062532471116</v>
      </c>
      <c r="DL49" s="42">
        <f>Parameters!$C$77*100/1000*Intermediate!U49*(1-Intermediate!DF49/100)+(1-Parameters!$C$111/100)*M49*Parameters!$C$101*(1-DF49/100)*365/1000000+(1-Parameters!$C$113/100)*P49*Parameters!$C$97*365/1000000+(1-Parameters!$C$113/100)*O49*Parameters!$C$97*(1-DF49/100)*365/1000000</f>
        <v>3.4421477555321218E-2</v>
      </c>
      <c r="DM49" s="31"/>
      <c r="DN49" s="31"/>
      <c r="DO49" s="31"/>
      <c r="DP49" s="31"/>
      <c r="DQ49" s="31"/>
      <c r="DR49" s="31"/>
      <c r="DS49" s="31"/>
      <c r="DT49" s="188">
        <f>BO49*(Basicinfo!$P49+Basicinfo!$Q49)/1000</f>
        <v>173.87629754465294</v>
      </c>
      <c r="DU49" s="188">
        <f>DT49*Basicinfo!$AZ49/(Basicinfo!$AZ49+Basicinfo!$BA49)</f>
        <v>100.98728200553504</v>
      </c>
      <c r="DV49" s="188">
        <f>DT49*Basicinfo!$BC49/(Basicinfo!$BB49+Basicinfo!$BC49)</f>
        <v>70.740328557890507</v>
      </c>
      <c r="DW49" s="188">
        <f>BP49*(Basicinfo!$P49+Basicinfo!$Q49)/1000</f>
        <v>189.34131319845289</v>
      </c>
      <c r="DX49" s="188">
        <f>DW49*Basicinfo!$BB49/(Basicinfo!$BB49+Basicinfo!$BC49)</f>
        <v>112.30915358623609</v>
      </c>
      <c r="DY49" s="188">
        <f>DW49*Basicinfo!$BC49/(Basicinfo!$BB49+Basicinfo!$BC49)</f>
        <v>77.032159612216816</v>
      </c>
      <c r="DZ49" s="188">
        <f t="shared" si="38"/>
        <v>20.432483733205405</v>
      </c>
      <c r="EA49" s="188">
        <f>DZ49*Basicinfo!$AZ49/(Basicinfo!$AZ49+Basicinfo!$BA49)</f>
        <v>11.867178137427368</v>
      </c>
      <c r="EB49" s="188">
        <f>DZ49*Basicinfo!$BC49/(Basicinfo!$BB49+Basicinfo!$BC49)</f>
        <v>8.3128099283889583</v>
      </c>
      <c r="EC49" s="188">
        <f t="shared" si="39"/>
        <v>22.249802627397326</v>
      </c>
      <c r="ED49" s="188">
        <f>EC49*Basicinfo!$AZ49/(Basicinfo!$AZ49+Basicinfo!$BA49)</f>
        <v>12.922676202737941</v>
      </c>
      <c r="EE49" s="188">
        <f>EC49*Basicinfo!$BC49/(Basicinfo!$BB49+Basicinfo!$BC49)</f>
        <v>9.0521731278876363</v>
      </c>
      <c r="EF49" s="190">
        <f>(Basicinfo!BP49-BL49/100)*Intermediate!X49/10</f>
        <v>65.629740771308278</v>
      </c>
      <c r="EG49" s="191">
        <f>(Basicinfo!BQ49-BM49/100)*Intermediate!X49/10</f>
        <v>48.840347250804953</v>
      </c>
      <c r="EH49" s="197">
        <f>IF(AU49=0,0,$BS49*((Basicinfo!$P49+Basicinfo!$Q49)*Intermediate!$AT49*1000+$AW49*3600*24*365)/1000000*Basicinfo!AZ49/(Basicinfo!$AZ49+Basicinfo!$BA49))</f>
        <v>13.347223494393965</v>
      </c>
      <c r="EI49" s="197">
        <f>IF(AU49=0,0,$BS49*((Basicinfo!$P49+Basicinfo!$Q49)*Intermediate!$AT49*1000+$AW49*3600*24*365)/1000000*Basicinfo!BA49/(Basicinfo!$AZ49+Basicinfo!$BA49))</f>
        <v>9.6335495061015646</v>
      </c>
      <c r="EJ49" s="198">
        <f>IF(AU49=0,0,$BS49*($AT49*$X49*1000)/1000000*Basicinfo!AZ49/(Basicinfo!$AZ49+Basicinfo!$BA49))</f>
        <v>1.5266835425662046</v>
      </c>
      <c r="EK49" s="198">
        <f>IF(AU49=0,0,$BS49*($AT49*$X49*1000)/1000000*Basicinfo!BA49/(Basicinfo!$AZ49+Basicinfo!$BA49))</f>
        <v>1.1019056879986593</v>
      </c>
      <c r="EL49" s="147">
        <f>Parameters!$C$150/Basicinfo!$AV49*100</f>
        <v>6.2792787932361288E-2</v>
      </c>
      <c r="EM49" s="147">
        <f>Parameters!$C$151/Basicinfo!$AV49*100</f>
        <v>0.12558557586472258</v>
      </c>
      <c r="EN49" s="147">
        <f>(Parameters!$C$150+Parameters!$C$151)/Intermediate!$BB49*100</f>
        <v>0.41041558301468412</v>
      </c>
      <c r="EO49" s="193">
        <f>IF(EN49=0,0,(1/(1+Parameters!$C$116*$BB49^Parameters!$C$120)*Basicinfo!$AH49/Basicinfo!$G49+1/(1+Parameters!$C$117*$BB49^Parameters!$C$121)*Basicinfo!$AI49/Basicinfo!$G49)*(EN49)^Parameters!$C$124+(1/(1+Parameters!$C$118*$BB49^Parameters!$C$122)*Basicinfo!$AJ49/Basicinfo!AW49+1/(1+Parameters!$C$119*$BB49^Parameters!$C$123)*Basicinfo!$AK49/Basicinfo!$G49)*(EN49)^Parameters!$C$125)</f>
        <v>9.0793501751611466E-2</v>
      </c>
      <c r="EP49" s="199">
        <f>EL49*($AT49*Basicinfo!$P49*1000+$AW49*3600*24*365)/1000000</f>
        <v>1.6703616731973374</v>
      </c>
      <c r="EQ49" s="199">
        <f>EM49*($AT49*Basicinfo!$P49*1000+$AW49*3600*24*365)/1000000</f>
        <v>3.3407233463946748</v>
      </c>
      <c r="ER49" s="199">
        <f t="shared" si="40"/>
        <v>0.19586785722076808</v>
      </c>
      <c r="ES49" s="199">
        <f t="shared" si="41"/>
        <v>0.39173571444153615</v>
      </c>
      <c r="ET49" s="181">
        <f t="shared" si="14"/>
        <v>8.9607470993516909</v>
      </c>
      <c r="EU49" s="147">
        <f>Intermediate!F49*(Parameters!$C$150)/1000*100</f>
        <v>8.2151209203985373E-2</v>
      </c>
      <c r="EV49" s="147">
        <f>Intermediate!F49*(Parameters!$C$151)/1000*100</f>
        <v>0.16430241840797075</v>
      </c>
      <c r="EW49" s="181">
        <f>'Local emissions'!$S49*Basicinfo!AZ49/(Basicinfo!$AZ49+Basicinfo!$BA49)-Intermediate!EU49</f>
        <v>0.60886523600966924</v>
      </c>
      <c r="EX49" s="147">
        <f>'Local emissions'!$S49*Basicinfo!BA49/(Basicinfo!$AZ49+Basicinfo!$BA49)-Intermediate!EV49</f>
        <v>0.33444858679487732</v>
      </c>
      <c r="EY49" s="188">
        <f t="shared" si="15"/>
        <v>11.676861821196628</v>
      </c>
      <c r="EZ49" s="188">
        <f t="shared" si="16"/>
        <v>6.2928261597068893</v>
      </c>
      <c r="FA49" s="188">
        <f t="shared" si="17"/>
        <v>1.3308156853454365</v>
      </c>
      <c r="FB49" s="181">
        <f t="shared" si="18"/>
        <v>0.71016997355712319</v>
      </c>
      <c r="FC49" s="181">
        <f>'Local emissions'!Y49-Intermediate!ET49</f>
        <v>99.697997170145641</v>
      </c>
      <c r="FD49" s="188">
        <f t="shared" si="19"/>
        <v>42.994028233548349</v>
      </c>
      <c r="FE49" s="188">
        <f t="shared" si="20"/>
        <v>29.489340267494825</v>
      </c>
      <c r="FF49" s="181">
        <f t="shared" si="21"/>
        <v>2.4735201351459968</v>
      </c>
      <c r="FG49" s="201">
        <f t="shared" si="22"/>
        <v>1.7326699320929855</v>
      </c>
      <c r="FH49" s="181">
        <f t="shared" si="23"/>
        <v>23.008438601863485</v>
      </c>
      <c r="FJ49" s="147">
        <f>AVERAGE(Parameters!$C$132:$C$134)*'Local emissions'!J49*3600*24*365/1000000</f>
        <v>4.9346852618737384E-2</v>
      </c>
      <c r="FK49" s="147">
        <f>'Local emissions'!AJ49+CT49*BJ49/100*Intermediate!X49*100/1000000</f>
        <v>0.77313541161915356</v>
      </c>
      <c r="FL49" s="31">
        <f>(Parameters!$C$18*(Basicinfo!AH49+Basicinfo!AI49)+Parameters!$C$19*Basicinfo!AJ49+Parameters!$C$20*Basicinfo!AK49)/Basicinfo!G49</f>
        <v>7.0009728813375067E-3</v>
      </c>
      <c r="FM49" s="181">
        <f t="shared" si="32"/>
        <v>0.2150099868877568</v>
      </c>
    </row>
    <row r="50" spans="1:169">
      <c r="A50" s="39" t="str">
        <f>Basicinfo!A50</f>
        <v>Steyr</v>
      </c>
      <c r="B50" s="63">
        <f>Basicinfo!B50</f>
        <v>1550</v>
      </c>
      <c r="C50" s="63">
        <f>Basicinfo!C50</f>
        <v>1560</v>
      </c>
      <c r="D50" s="61">
        <f>Basicinfo!U50*Basicinfo!V50/1000+Basicinfo!Y50</f>
        <v>0.11807805845995498</v>
      </c>
      <c r="E50" s="19">
        <f>Basicinfo!W50*Basicinfo!X50/1000+Basicinfo!Z50</f>
        <v>0</v>
      </c>
      <c r="F50" s="19">
        <f t="shared" si="0"/>
        <v>0.11807805845995498</v>
      </c>
      <c r="G50" s="19">
        <f>SUM(Basicinfo!H50:L50)</f>
        <v>5.0155329264478E-4</v>
      </c>
      <c r="H50" s="19">
        <f>IF(Basicinfo!N50&lt;Parameters!$C$68,Parameters!$C$69,Basicinfo!BS50/(Basicinfo!N50*100))</f>
        <v>12.116936486142508</v>
      </c>
      <c r="I50" s="19">
        <f>IF(Basicinfo!N50=0,0,Basicinfo!BU50*(1-Basicinfo!BX50/100))</f>
        <v>76.670168982854221</v>
      </c>
      <c r="J50" s="19">
        <f>IF(Basicinfo!N50=0,0,Basicinfo!BU50*Basicinfo!BX50/100)</f>
        <v>70.772463676480825</v>
      </c>
      <c r="K50" s="19">
        <f>IF(Basicinfo!N50=0,0,Basicinfo!BT50-Basicinfo!BU50)</f>
        <v>0</v>
      </c>
      <c r="L50" s="27">
        <f>Basicinfo!BV50*Basicinfo!BW50/100</f>
        <v>9.6899999999999977</v>
      </c>
      <c r="M50" s="27">
        <f>Basicinfo!BV50-Intermediate!L50</f>
        <v>9.6899999999999977</v>
      </c>
      <c r="N50" s="73">
        <f>Basicinfo!BS50-SUM(I50:K50)-Basicinfo!BV50</f>
        <v>-2.8421709430404007E-14</v>
      </c>
      <c r="O50" s="19">
        <f>IF(Basicinfo!AH50+Basicinfo!AI50+Basicinfo!AJ50+Basicinfo!AK50=0,0,N50*(Basicinfo!AH50+Basicinfo!AI50)/SUM(Basicinfo!AH50:AK50))</f>
        <v>-3.6675383218286426E-15</v>
      </c>
      <c r="P50" s="73">
        <f t="shared" si="25"/>
        <v>-2.4754171108575365E-14</v>
      </c>
      <c r="Q50" s="19">
        <f>IF(Basicinfo!BS50=0,Basicinfo!N50,IF(H50&gt;Parameters!$C$70,Parameters!$C$64*(Parameters!$C$65*Parameters!$C$70)^(Parameters!$C$66-Parameters!$C$67*LOG(Parameters!$C$65*Parameters!$C$70,10))/100*Basicinfo!N50,Parameters!$C$64*(Parameters!$C$65*H50)^(Parameters!$C$66-Parameters!$C$67*LOG(Parameters!$C$65*H50,10))/100*Basicinfo!N50))</f>
        <v>3.1489146256395019E-2</v>
      </c>
      <c r="R50" s="19">
        <f>IF(Basicinfo!BS50=0,Q50*(1-Basicinfo!BX50/100),IF(H50&lt;Parameters!$C$75,Q50*Basicinfo!BU50/Basicinfo!BS50*(1-Basicinfo!BX50/100)*(-Parameters!$C$74+Parameters!$C$73*LN(H50*100)),Q50*Basicinfo!BU50/Basicinfo!BS50*(1-Basicinfo!BX50/100)))</f>
        <v>7.5178613037877786E-3</v>
      </c>
      <c r="S50" s="19">
        <f>IF(Basicinfo!BS50=0,Q50*Basicinfo!BX50/100,Q50*Basicinfo!BU50/Basicinfo!BS50*Basicinfo!BX50/100)</f>
        <v>1.3358885566714516E-2</v>
      </c>
      <c r="T50" s="19">
        <f>IF(Basicinfo!BS50=0,0,IF(H50&lt;Parameters!$C$75,Q50*K50/Basicinfo!BS50*(-Parameters!$C$74+Parameters!$C$73*LN(H50*100)),Q50*K50/Basicinfo!BS50))</f>
        <v>0</v>
      </c>
      <c r="U50" s="19">
        <f t="shared" si="26"/>
        <v>1.0612399385892722E-2</v>
      </c>
      <c r="V50" s="19">
        <f>IF(Basicinfo!AL50&gt;Parameters!$C$14,Basicinfo!Q50,0)</f>
        <v>9.78069411339726</v>
      </c>
      <c r="W50" s="19">
        <f>IF(Basicinfo!AL50&gt;Parameters!$C$14,0,Basicinfo!Q50)</f>
        <v>0</v>
      </c>
      <c r="X50" s="19">
        <f>G50+Basicinfo!M50</f>
        <v>1.7367500878372251</v>
      </c>
      <c r="Y50" s="19">
        <f>IF(Basicinfo!G50-F50-Q50-V50-Basicinfo!O50-Basicinfo!R50-Basicinfo!S50&lt;0,0,Basicinfo!G50-F50-Q50-V50-Basicinfo!O50-Basicinfo!R50-Basicinfo!S50)</f>
        <v>14.019049746186393</v>
      </c>
      <c r="Z50" s="19">
        <f>Basicinfo!G50-F50-Basicinfo!BO50-Q50-Basicinfo!O50</f>
        <v>23.799743859583653</v>
      </c>
      <c r="AA50" s="53">
        <f>IF(Z50+Basicinfo!BO50-X50&gt;0,Z50+Basicinfo!BO50-X50,0)</f>
        <v>22.062993771746427</v>
      </c>
      <c r="AB50" s="56">
        <f>IF(Basicinfo!N50=0,0,Parameters!$C$71+Parameters!$C$72*Q50/Basicinfo!N50)</f>
        <v>0.32153786889220382</v>
      </c>
      <c r="AC50" s="43">
        <f>Basicinfo!AU50*AB50*R50/1000/86.4/0.365</f>
        <v>1.2488257655930021E-4</v>
      </c>
      <c r="AD50" s="43">
        <f>Basicinfo!AU50*AB50*S50/1000/86.4/0.365</f>
        <v>2.2191045858901498E-4</v>
      </c>
      <c r="AE50" s="43">
        <f>Basicinfo!AU50*AB50*T50/1000/86.4/0.365</f>
        <v>0</v>
      </c>
      <c r="AF50" s="43">
        <f>Basicinfo!AU50*AB50*U50/1000/86.4/0.365</f>
        <v>1.762873409381576E-4</v>
      </c>
      <c r="AG50" s="43">
        <f>((Parameters!$C$80+Parameters!$C$81*Parameters!$C$89)/(Parameters!$C$82+Parameters!$C$89)/(Parameters!$C$90/100*Parameters!$C$91+(Parameters!$C$83+Parameters!$C$84*Parameters!$C$89)/(Parameters!$C$85+Parameters!$C$89)))-Parameters!$C$86+(Basicinfo!AU50-Parameters!$C$88)/Parameters!$C$87</f>
        <v>92.119380503297947</v>
      </c>
      <c r="AH50" s="43">
        <f>((Parameters!$C$80+Parameters!$C$81*Parameters!$C$89)/(Parameters!$C$82+Parameters!$C$89)/(Basicinfo!BY50/100*Parameters!$C$91+(Parameters!$C$83+Parameters!$C$84*Parameters!$C$89)/(Parameters!$C$85+Parameters!$C$89)))-Parameters!$C$86+(Basicinfo!AU50-Parameters!$C$88)/Parameters!$C$87</f>
        <v>74.316498636682368</v>
      </c>
      <c r="AI50" s="43">
        <f>Basicinfo!AU50^Parameters!$C$79*Parameters!$C$78*AH50/AG50</f>
        <v>103.72191473009823</v>
      </c>
      <c r="AJ50" s="43">
        <f>(J50*Parameters!$C$92/1000+Parameters!$C$94/100*S50*100*Parameters!$C$93/1000*86400*Parameters!$C$95/24)/86400</f>
        <v>1.0693164199507692E-4</v>
      </c>
      <c r="AK50" s="43">
        <f t="shared" si="1"/>
        <v>1.8749843305925241E-4</v>
      </c>
      <c r="AL50" s="43">
        <f>(K50*Parameters!$C$92/1000+Parameters!$C$94/100*T50*100*Parameters!$C$93/1000*86400*Parameters!$C$95/24)/86400</f>
        <v>0</v>
      </c>
      <c r="AM50" s="43">
        <f>(Intermediate!N50+Basicinfo!BV50-Intermediate!L50)*Parameters!$C$92/1000/86400</f>
        <v>1.4579861111111066E-5</v>
      </c>
      <c r="AN50" s="43">
        <f t="shared" si="2"/>
        <v>2.897986594912611E-4</v>
      </c>
      <c r="AO50" s="43">
        <f t="shared" si="27"/>
        <v>1.8749843305925241E-4</v>
      </c>
      <c r="AP50" s="43">
        <f t="shared" si="28"/>
        <v>1.9086720204926867E-4</v>
      </c>
      <c r="AQ50" s="43">
        <f t="shared" si="33"/>
        <v>5.0324821166782127E-4</v>
      </c>
      <c r="AR50" s="61">
        <f>(Basicinfo!AU50-Basicinfo!AY50)*F50/1000/86.4/0.365</f>
        <v>3.9283159504744473E-3</v>
      </c>
      <c r="AS50" s="19">
        <f>IF(Basicinfo!AP50-Basicinfo!CB50-Basicinfo!CG50&lt;0,0,(Basicinfo!AP50-Basicinfo!CB50-Basicinfo!CG50)/Basicinfo!G50*1000)</f>
        <v>62.903829708139988</v>
      </c>
      <c r="AT50" s="19">
        <f>Parameters!$C$3*((AS50*86.4*0.365)^Parameters!$C$4)</f>
        <v>547.52509605739999</v>
      </c>
      <c r="AU50" s="19">
        <f>IF(AT50/86.4/0.365*(Basicinfo!G50/1000)-AN50&lt;0,0,AT50/86.4/0.365*(Basicinfo!G50/1000)-AN50)</f>
        <v>0.41551591040283148</v>
      </c>
      <c r="AV50" s="19">
        <f>IF(Basicinfo!AU50&gt;Parameters!$C$13,Parameters!$C$11*(Basicinfo!AU50-Parameters!$C$13)^Parameters!$C$12,0)</f>
        <v>225.5612785732298</v>
      </c>
      <c r="AW50" s="19">
        <f>IF(AV50*V50/1000/86.4/0.365&gt;Basicinfo!AP50*Parameters!$C$15,Basicinfo!AP50*Parameters!$C$15,AV50*V50/1000/86.4/0.365)</f>
        <v>6.9956426609321026E-2</v>
      </c>
      <c r="AX50" s="19">
        <f>Basicinfo!AU50-Basicinfo!AW50</f>
        <v>661.45749895371455</v>
      </c>
      <c r="AY50" s="19">
        <f>Parameters!$C$56*AX50+Parameters!$C$57*Basicinfo!AW50</f>
        <v>427.50585731728586</v>
      </c>
      <c r="AZ50" s="19">
        <f>AY50*Basicinfo!BO50/1000/86.4/0.365</f>
        <v>0</v>
      </c>
      <c r="BA50" s="19">
        <f>IF(Basicinfo!AP50-AQ50-AR50-AU50-AW50-AZ50-Basicinfo!CB50-Basicinfo!CG50&lt;0,0,Basicinfo!AP50-AQ50-AR50-AU50-AW50-AZ50-Basicinfo!CB50-Basicinfo!CG50)</f>
        <v>1.0165994836417054</v>
      </c>
      <c r="BB50" s="53">
        <f t="shared" si="34"/>
        <v>1347.0515273304147</v>
      </c>
      <c r="BC50" s="56">
        <f>IF(G50=0,0,((Basicinfo!H50*Basicinfo!BE50+Basicinfo!I50*Basicinfo!BF50+Basicinfo!J50*Basicinfo!BG50+Basicinfo!K50*Basicinfo!BH50+Basicinfo!L50*Basicinfo!BI50)*(1-Basicinfo!BN50/G50*Parameters!$C$26/100)/G50)*Basicinfo!BM50)</f>
        <v>5.3479775053158178</v>
      </c>
      <c r="BD50" s="43">
        <f>IF(Basicinfo!AW50*Parameters!$C$39-Parameters!$C$40&lt;0,0.001,(Basicinfo!AW50*Parameters!$C$39-Parameters!$C$40)/(Basicinfo!AX50*Parameters!$C$39-Parameters!$C$40))</f>
        <v>1.0905096422749061</v>
      </c>
      <c r="BE50" s="43">
        <f>(BC50*G50*100+Basicinfo!BJ50*Basicinfo!M50*100)*Parameters!$C$29*BD50</f>
        <v>95.670495913383562</v>
      </c>
      <c r="BF50" s="43">
        <f>(Basicinfo!BK50*Basicinfo!P50*100)*BD50*Parameters!$C$29</f>
        <v>113.41373787321128</v>
      </c>
      <c r="BG50" s="43">
        <f>Parameters!$C$27*(V50+W50)*100</f>
        <v>195.6138822679452</v>
      </c>
      <c r="BH50" s="43">
        <f>Parameters!$C$28*Basicinfo!R50*100</f>
        <v>0</v>
      </c>
      <c r="BI50" s="43">
        <f t="shared" si="29"/>
        <v>309.02762014115649</v>
      </c>
      <c r="BJ50" s="43">
        <f>IF(Basicinfo!AM50&lt;Parameters!$C$33,0,Parameters!$C$30*(((Basicinfo!AM50-Parameters!$C$33)^Parameters!$C$31)*(((G50-Basicinfo!BN50)/Basicinfo!G50*100+Parameters!$C$34))^Parameters!$C$32))</f>
        <v>1.6674464479755169</v>
      </c>
      <c r="BK50" s="58">
        <f t="shared" si="30"/>
        <v>310.62287442702478</v>
      </c>
      <c r="BL50" s="61">
        <f>Basicinfo!AZ50+Basicinfo!BA50</f>
        <v>1399.8215045972115</v>
      </c>
      <c r="BM50" s="19">
        <f>Basicinfo!BB50+Basicinfo!BC50</f>
        <v>1741.0924514283938</v>
      </c>
      <c r="BN50" s="172">
        <f>IF(Basicinfo!AO50=0,0,IF(Basicinfo!AO50="NA",1,IF(OR(Basicinfo!AO50="SA",Basicinfo!AN50="S"),3,IF(Basicinfo!AN50="N",1,IF(Basicinfo!AO50="ZA",2,0)))))</f>
        <v>1</v>
      </c>
      <c r="BO50" s="27">
        <f>IF($BN50=1,(BL50)*(1+Parameters!$C$21*Parameters!$C$22-Parameters!$C$22*Basicinfo!$AL50),IF($BN50=2,(BL50)*(1+Parameters!$C$21*Parameters!$C$23-Parameters!$C$23*Basicinfo!$AL50),IF($BN50=3,(BL50)*(1+Parameters!$C$21*Parameters!$C$24-Parameters!$C$24*Basicinfo!$AL50),BL50)))</f>
        <v>1129.3829890165534</v>
      </c>
      <c r="BP50" s="27">
        <f>IF($BN50=1,(BM50)*(1+Parameters!$C$21*Parameters!$C$22-Parameters!$C$22*Basicinfo!$AL50),IF($BN50=2,(BM50)*(1+Parameters!$C$21*Parameters!$C$23-Parameters!$C$23*Basicinfo!$AL50),IF($BN50=3,(BM50)*(1+Parameters!$C$21*Parameters!$C$24-Parameters!$C$24*Basicinfo!$AL50),BM50)))</f>
        <v>1404.7220952746854</v>
      </c>
      <c r="BQ50" s="27">
        <f>IF(Basicinfo!AU50=0,0,IF(G50+Basicinfo!M50=0,0,(Parameters!$C$16+BO50/Basicinfo!AU50)*G50+(Parameters!$C$17+BO50/Basicinfo!AU50)*Basicinfo!M50)/(G50+Basicinfo!M50))</f>
        <v>0.69328770401650308</v>
      </c>
      <c r="BR50" s="27">
        <f>IF(Basicinfo!AU50=0,0,IF(G50+Basicinfo!M50=0,0,(Parameters!$C$16+BP50/Basicinfo!AU50)*G50+(Parameters!$C$17+BP50/Basicinfo!AU50)*Basicinfo!M50)/(G50+Basicinfo!M50))</f>
        <v>0.86228738281211381</v>
      </c>
      <c r="BS50" s="27">
        <f>IF(Basicinfo!AU50=0,0,BO50/Basicinfo!AU50)</f>
        <v>0.69320106749415755</v>
      </c>
      <c r="BT50" s="27">
        <f>IF(Basicinfo!AU50=0,0,BP50/Basicinfo!AU50)</f>
        <v>0.86220074628976839</v>
      </c>
      <c r="BU50" s="27">
        <f>IF(SUM(G50,Basicinfo!M50,Basicinfo!P50,W50)=0,0,(BQ50*(G50+Basicinfo!M50)+BS50*(Basicinfo!P50+W50))/SUM(G50,Basicinfo!M50,Basicinfo!P50,W50))</f>
        <v>0.69321188237836406</v>
      </c>
      <c r="BV50" s="19">
        <f>IF(Basicinfo!BR50/Parameters!$C$10&gt;1,1,Basicinfo!BR50/Parameters!$C$10)</f>
        <v>0.43164641339454335</v>
      </c>
      <c r="BW50" s="19">
        <f>Parameters!$C$5+Parameters!$C$6*EXP(BV50*Parameters!$C$8*Parameters!$C$7)</f>
        <v>3.5254729104536482E-2</v>
      </c>
      <c r="BX50" s="19">
        <f>Parameters!$C$5+Parameters!$C$6*EXP(BV50*Parameters!$C$9*Parameters!$C$7)</f>
        <v>3.5130470703142597E-2</v>
      </c>
      <c r="BY50" s="19">
        <f>IF(Basicinfo!AH50+Basicinfo!AI50+Basicinfo!AJ50+Basicinfo!AK50=0,0,(Parameters!$C$18*(Basicinfo!AH50+Basicinfo!AI50)+Parameters!$C$19*Basicinfo!AJ50+Parameters!$C$20*Basicinfo!AK50)/(Basicinfo!AH50+Basicinfo!AI50+Basicinfo!AJ50+Basicinfo!AK50))</f>
        <v>7.6041110334678814E-3</v>
      </c>
      <c r="BZ50" s="19">
        <f>IF(Basicinfo!AJ50+Basicinfo!AK50=0,Parameters!$C$18,(Parameters!$C$19*Basicinfo!AJ50+Parameters!$C$20*Basicinfo!AK50)/(Basicinfo!AJ50+Basicinfo!AK50))</f>
        <v>3.5451800272702128E-3</v>
      </c>
      <c r="CA50" s="19">
        <f>IF(SUM(G50,Basicinfo!M50,Basicinfo!P50,W50)=0,0,(BW50*G50+BX50*Basicinfo!M50+BY50*Basicinfo!P50+BZ50*W50)/(SUM(G50,Basicinfo!M50,Basicinfo!P50,W50)))</f>
        <v>1.1040245962251385E-2</v>
      </c>
      <c r="CB50" s="19">
        <f>IF(Y50=0,Basicinfo!BP50,Basicinfo!BP50-(AU50*X50/Y50*Intermediate!BQ50*86400*365/1000000)*1000/(X50*100))</f>
        <v>34.93280019784099</v>
      </c>
      <c r="CC50" s="19">
        <f>IF(Y50=0,Basicinfo!BQ50,Basicinfo!BQ50-(AU50*Basicinfo!AV50/Basicinfo!AU50*X50/Y50*Intermediate!BR50*86400*365/1000000)*1000/(X50*100))</f>
        <v>50.574431084095544</v>
      </c>
      <c r="CD50" s="19">
        <f>IF(OR(Y50=0,AA50=0),BP50/100,BP50/100-(AU50*Basicinfo!AV50/Basicinfo!AU50*(Basicinfo!P50+W50)/Y50*Intermediate!BT50*86400*365/1000000+AW50*Basicinfo!AV50/Basicinfo!AU50*Intermediate!BT50*86400*365/1000000)*1000/(AA50*100))</f>
        <v>8.4037543931656913</v>
      </c>
      <c r="CE50" s="19">
        <f t="shared" si="35"/>
        <v>8783.5147627620663</v>
      </c>
      <c r="CF50" s="19">
        <f t="shared" si="36"/>
        <v>18541.198083570132</v>
      </c>
      <c r="CG50" s="19">
        <f>IF(AY50=0,0,((CB50^Parameters!$C$58))/AY50*100)</f>
        <v>4.7951955267976238</v>
      </c>
      <c r="CH50" s="19">
        <f>IF(SUM(Basicinfo!AB50:AG50)=0,0,(Parameters!$C$59*Basicinfo!AB50+Parameters!$C$60*SUM(Basicinfo!AC50:AE50)+Parameters!$C$61*Basicinfo!AF50+Parameters!$C$62*Basicinfo!AG50)/SUM(Basicinfo!AB50:AG50))</f>
        <v>0.1421449167313808</v>
      </c>
      <c r="CI50" s="19">
        <f t="shared" si="31"/>
        <v>2</v>
      </c>
      <c r="CJ50" s="19">
        <f t="shared" si="37"/>
        <v>11.481095346044707</v>
      </c>
      <c r="CK50" s="19">
        <f t="shared" si="9"/>
        <v>0.85231300459589177</v>
      </c>
      <c r="CL50" s="19">
        <f>IF($BB50=0,0,$CJ50^Parameters!$C$58*100/$BB50)</f>
        <v>0.5910192363462814</v>
      </c>
      <c r="CM50" s="19">
        <f>IF(CK50=0,0,(1/(1+Parameters!$C$116*BB50^Parameters!$C$120)*Basicinfo!AH50/Basicinfo!G50+1/(1+Parameters!$C$117*BB50^Parameters!$C$121)*Basicinfo!AI50/Basicinfo!G50)*(CK50)^Parameters!$C$124+(1/(1+Parameters!$C$118*BB50^Parameters!$C$122)*Basicinfo!AJ50/Basicinfo!G50+1/(1+Parameters!$C$119*BB50^Parameters!$C$123)*Basicinfo!AK50/Basicinfo!G50)*(CK50)^Parameters!$C$125)</f>
        <v>0.55498740346805364</v>
      </c>
      <c r="CN50" s="19">
        <f>IF(SUM(Basicinfo!AB50:AG50)=0,0,(Parameters!$C$128*Basicinfo!AB50+Parameters!$C$129*(SUM(Basicinfo!AC50:AE50))+Parameters!$C$130*Basicinfo!AF50+Parameters!$C$131*Basicinfo!AG50)/SUM(Basicinfo!AB50:AG50))</f>
        <v>2.1734988104482971E-2</v>
      </c>
      <c r="CO50" s="19">
        <f>IF(Basicinfo!AH50+Basicinfo!AI50+Basicinfo!AJ50+Basicinfo!AK50=0,0,(Parameters!$C$132*(Basicinfo!AH50+Basicinfo!AI50)+Parameters!$C$133*Basicinfo!AJ50+Parameters!$C$134*Basicinfo!AK50)/(Basicinfo!AH50+Basicinfo!AI50+Basicinfo!AJ50+Basicinfo!AK50))</f>
        <v>5.0000000000000001E-4</v>
      </c>
      <c r="CP50" s="19">
        <f>IF(Basicinfo!AJ50+Basicinfo!AK50=0,0,(Parameters!$C$133*Basicinfo!AJ50+Parameters!$C$134*Basicinfo!AK50)/(Basicinfo!AJ50+Basicinfo!AK50))</f>
        <v>5.0000000000000001E-4</v>
      </c>
      <c r="CQ50" s="19">
        <f>IF(Z50=0,0,(CN50*(Z50-AA50)+CO50*Basicinfo!P50+CP50*(Basicinfo!Q50+Basicinfo!R50))/Z50)</f>
        <v>2.0473600736204273E-3</v>
      </c>
      <c r="CR50" s="289">
        <f>Basicinfo!EI50</f>
        <v>3.555863157894737E-3</v>
      </c>
      <c r="CS50" s="19">
        <f>IF(SUM(Basicinfo!AB50:AG50)=0,0,(Basicinfo!AB50*Parameters!$C$43+(Basicinfo!AC50+Basicinfo!AD50)*Parameters!$C$44+Basicinfo!AE50*Parameters!$C$45+(Basicinfo!AF50+Basicinfo!AG50)*Parameters!$C$46)/SUM(Basicinfo!AB50:AG50))</f>
        <v>13.791229477612452</v>
      </c>
      <c r="CT50" s="19">
        <f>(Parameters!$C$41*CS50+Parameters!$C$42)</f>
        <v>415.67054067164702</v>
      </c>
      <c r="CU50" s="19">
        <f>CT50+Basicinfo!BR50/(Parameters!$C$47*Parameters!$C$49*Parameters!$C$48*10000/1000000)</f>
        <v>567.6969504206686</v>
      </c>
      <c r="CV50" s="19">
        <f>IF(BK50/Basicinfo!G50&lt;Parameters!$C$35,Parameters!$C$35,Parameters!$C$37*(BK50/Basicinfo!G50)^Parameters!$C$38)</f>
        <v>2.2967972019474092</v>
      </c>
      <c r="CW50" s="19">
        <f>IF(BK50/Basicinfo!G50&lt;Parameters!$C$35,Parameters!$C$36,Parameters!$C$36*(BK50/Basicinfo!G50)^Parameters!$C$38)</f>
        <v>5.397473424576412</v>
      </c>
      <c r="CX50" s="27">
        <f>IF(Basicinfo!AJ50+Basicinfo!AK50=0,0,(Parameters!$C$53*Basicinfo!AJ50+Parameters!$C$54*Basicinfo!AK50)/(Basicinfo!AJ50+Basicinfo!AK50))</f>
        <v>558.27607683943586</v>
      </c>
      <c r="CY50" s="56">
        <f>IF(Basicinfo!AU50*AB50=0,0,((Basicinfo!AZ50+Basicinfo!BA50)/Basicinfo!AU50+Parameters!$C$76/(Basicinfo!AU50*AB50)*100))</f>
        <v>1.6227575264907532</v>
      </c>
      <c r="CZ50" s="43">
        <f>IF(Basicinfo!AU50*AB50=0,0,(Parameters!$C$77)/(Basicinfo!AU50*AB50)*100)</f>
        <v>0.47722793818380427</v>
      </c>
      <c r="DA50" s="43">
        <f>IF(AD50+AJ50=0,0,((J50*Parameters!$C$96+Parameters!$C$94/100*S50*100*Parameters!$C$93/1000*86400*Parameters!$C$95/24*Parameters!$C$98)*AI50+AD50*CY50*86400*365)/((AD50+AJ50*AI50/365)*86400*365))</f>
        <v>12.499576038520294</v>
      </c>
      <c r="DB50" s="43">
        <f>IF(AD50+AJ50=0,0,((J50*Parameters!$C$97+Parameters!$C$94/100*S50*100*Parameters!$C$93/1000*86400*Parameters!$C$95/24*Parameters!$C$99)*AI50+AD50*CZ50*86400*365)/((AD50+AJ50*AI50/365)*86400*365))</f>
        <v>2.2209920504868514</v>
      </c>
      <c r="DC50" s="42">
        <f>IF(AE50+AL50=0,0,((K50*Parameters!$C$96+Parameters!$C$94/100*T50*100*Parameters!$C$93/1000*86400*Parameters!$C$95/24*Parameters!$C$98)*365+AE50*CY50*86400*365)/((AE50+AL50)*86400*365))</f>
        <v>0</v>
      </c>
      <c r="DD50" s="42">
        <f>IF(AE50+AL50=0,0,((K50*Parameters!$C$97+Parameters!$C$94/100*T50*100*Parameters!$C$93/1000*86400*Parameters!$C$95/24*Parameters!$C$99)*365+AE50*CZ50*86400*365)/((AE50+AL50)*86400*365))</f>
        <v>0</v>
      </c>
      <c r="DE50" s="42">
        <f>IF(Basicinfo!AH50+Basicinfo!AI50+Basicinfo!AJ50+Basicinfo!AK50=0,0,((Basicinfo!AH50+Basicinfo!AI50)*Parameters!$C$107+(Basicinfo!AJ50+Basicinfo!AK50)*Parameters!$C$106)/(Basicinfo!AH50+Basicinfo!AI50+Basicinfo!AJ50+Basicinfo!AK50))</f>
        <v>55.161601318610778</v>
      </c>
      <c r="DF50" s="42">
        <f>IF(Basicinfo!AH50+Basicinfo!AI50+Basicinfo!AJ50+Basicinfo!AK50=0,0,((Basicinfo!AH50+Basicinfo!AI50)*Parameters!$C$109+(Basicinfo!AJ50+Basicinfo!AK50)*Parameters!$C$108)/(Basicinfo!AH50+Basicinfo!AI50+Basicinfo!AJ50+Basicinfo!AK50))</f>
        <v>55.161601318610778</v>
      </c>
      <c r="DG50" s="42">
        <f>Intermediate!AC50*Intermediate!CY50*(1-Parameters!$C$102/100*Basicinfo!BZ50/100)*(1-Parameters!$C$104/100*Basicinfo!CA50/100)*86400*365/1000000</f>
        <v>6.3909009918110167E-3</v>
      </c>
      <c r="DH50" s="42">
        <f>Intermediate!AC50*Intermediate!CZ50*(1-Parameters!$C$103/100*Basicinfo!BZ50/100)*(1-Parameters!$C$105/100*Basicinfo!CA50/100)*86400*365/1000000</f>
        <v>1.8794653259469447E-3</v>
      </c>
      <c r="DI50" s="42">
        <f>(Intermediate!AK50*Intermediate!DA50+(Intermediate!AE50+Intermediate!AL50)*Intermediate!DC50)*86400*365/1000000</f>
        <v>7.3909375448677872E-2</v>
      </c>
      <c r="DJ50" s="42">
        <f>(Intermediate!AK50*Intermediate!DB50+(Intermediate!AE50+Intermediate!AL50)*Intermediate!DD50)*86400*365/1000000</f>
        <v>1.3132616244110152E-2</v>
      </c>
      <c r="DK50" s="42">
        <f>((Basicinfo!AZ50+Basicinfo!BA50)*Intermediate!AB50+Parameters!$C$76*100)/1000*Intermediate!U50*(1-Intermediate!DE50/100)+(1-Parameters!$C$110/100)*M50*Parameters!$C$100*(1-DE50/100)*365/1000000+(1-Parameters!$C$112/100)*P50*Parameters!$C$96*365/1000000+(1-Parameters!$C$112/100)*O50*Parameters!$C$96*(1-DE50/100)*365/1000000</f>
        <v>1.6890642392173794E-2</v>
      </c>
      <c r="DL50" s="42">
        <f>Parameters!$C$77*100/1000*Intermediate!U50*(1-Intermediate!DF50/100)+(1-Parameters!$C$111/100)*M50*Parameters!$C$101*(1-DF50/100)*365/1000000+(1-Parameters!$C$113/100)*P50*Parameters!$C$97*365/1000000+(1-Parameters!$C$113/100)*O50*Parameters!$C$97*(1-DF50/100)*365/1000000</f>
        <v>2.9052999431262087E-3</v>
      </c>
      <c r="DM50" s="31"/>
      <c r="DN50" s="31"/>
      <c r="DO50" s="31"/>
      <c r="DP50" s="31"/>
      <c r="DQ50" s="31"/>
      <c r="DR50" s="31"/>
      <c r="DS50" s="31"/>
      <c r="DT50" s="188">
        <f>BO50*(Basicinfo!$P50+Basicinfo!$Q50)/1000</f>
        <v>24.797642830172883</v>
      </c>
      <c r="DU50" s="188">
        <f>DT50*Basicinfo!$AZ50/(Basicinfo!$AZ50+Basicinfo!$BA50)</f>
        <v>13.143089287637844</v>
      </c>
      <c r="DV50" s="188">
        <f>DT50*Basicinfo!$BC50/(Basicinfo!$BB50+Basicinfo!$BC50)</f>
        <v>11.121596609461983</v>
      </c>
      <c r="DW50" s="188">
        <f>BP50*(Basicinfo!$P50+Basicinfo!$Q50)/1000</f>
        <v>30.843210082884625</v>
      </c>
      <c r="DX50" s="188">
        <f>DW50*Basicinfo!$BB50/(Basicinfo!$BB50+Basicinfo!$BC50)</f>
        <v>17.010212203531683</v>
      </c>
      <c r="DY50" s="188">
        <f>DW50*Basicinfo!$BC50/(Basicinfo!$BB50+Basicinfo!$BC50)</f>
        <v>13.832997879352945</v>
      </c>
      <c r="DZ50" s="188">
        <f t="shared" si="38"/>
        <v>1.9614560053763668</v>
      </c>
      <c r="EA50" s="188">
        <f>DZ50*Basicinfo!$AZ50/(Basicinfo!$AZ50+Basicinfo!$BA50)</f>
        <v>1.0395984646196839</v>
      </c>
      <c r="EB50" s="188">
        <f>DZ50*Basicinfo!$BC50/(Basicinfo!$BB50+Basicinfo!$BC50)</f>
        <v>0.87970145422287938</v>
      </c>
      <c r="EC50" s="188">
        <f t="shared" si="39"/>
        <v>2.4396512223552009</v>
      </c>
      <c r="ED50" s="188">
        <f>EC50*Basicinfo!$AZ50/(Basicinfo!$AZ50+Basicinfo!$BA50)</f>
        <v>1.293048458908127</v>
      </c>
      <c r="EE50" s="188">
        <f>EC50*Basicinfo!$BC50/(Basicinfo!$BB50+Basicinfo!$BC50)</f>
        <v>1.0941691897344832</v>
      </c>
      <c r="EF50" s="190">
        <f>(Basicinfo!BP50-BL50/100)*Intermediate!X50/10</f>
        <v>4.7612650627670821</v>
      </c>
      <c r="EG50" s="191">
        <f>(Basicinfo!BQ50-BM50/100)*Intermediate!X50/10</f>
        <v>7.247441489223144</v>
      </c>
      <c r="EH50" s="197">
        <f>IF(AU50=0,0,$BS50*((Basicinfo!$P50+Basicinfo!$Q50)*Intermediate!$AT50*1000+$AW50*3600*24*365)/1000000*Basicinfo!AZ50/(Basicinfo!$AZ50+Basicinfo!$BA50))</f>
        <v>5.2274706446244128</v>
      </c>
      <c r="EI50" s="197">
        <f>IF(AU50=0,0,$BS50*((Basicinfo!$P50+Basicinfo!$Q50)*Intermediate!$AT50*1000+$AW50*3600*24*365)/1000000*Basicinfo!BA50/(Basicinfo!$AZ50+Basicinfo!$BA50))</f>
        <v>4.6354274239854147</v>
      </c>
      <c r="EJ50" s="198">
        <f>IF(AU50=0,0,$BS50*($AT50*$X50*1000)/1000000*Basicinfo!AZ50/(Basicinfo!$AZ50+Basicinfo!$BA50))</f>
        <v>0.349371633368387</v>
      </c>
      <c r="EK50" s="198">
        <f>IF(AU50=0,0,$BS50*($AT50*$X50*1000)/1000000*Basicinfo!BA50/(Basicinfo!$AZ50+Basicinfo!$BA50))</f>
        <v>0.30980314583760937</v>
      </c>
      <c r="EL50" s="147">
        <f>Parameters!$C$150/Basicinfo!$AV50*100</f>
        <v>5.7749398851673149E-2</v>
      </c>
      <c r="EM50" s="147">
        <f>Parameters!$C$151/Basicinfo!$AV50*100</f>
        <v>0.1154987977033463</v>
      </c>
      <c r="EN50" s="147">
        <f>(Parameters!$C$150+Parameters!$C$151)/Intermediate!$BB50*100</f>
        <v>0.22270862985808693</v>
      </c>
      <c r="EO50" s="193">
        <f>IF(EN50=0,0,(1/(1+Parameters!$C$116*$BB50^Parameters!$C$120)*Basicinfo!$AH50/Basicinfo!$G50+1/(1+Parameters!$C$117*$BB50^Parameters!$C$121)*Basicinfo!$AI50/Basicinfo!$G50)*(EN50)^Parameters!$C$124+(1/(1+Parameters!$C$118*$BB50^Parameters!$C$122)*Basicinfo!$AJ50/Basicinfo!AW50+1/(1+Parameters!$C$119*$BB50^Parameters!$C$123)*Basicinfo!$AK50/Basicinfo!$G50)*(EN50)^Parameters!$C$125)</f>
        <v>5.601220025847313E-2</v>
      </c>
      <c r="EP50" s="199">
        <f>EL50*($AT50*Basicinfo!$P50*1000+$AW50*3600*24*365)/1000000</f>
        <v>0.51240305444380074</v>
      </c>
      <c r="EQ50" s="199">
        <f>EM50*($AT50*Basicinfo!$P50*1000+$AW50*3600*24*365)/1000000</f>
        <v>1.0248061088876015</v>
      </c>
      <c r="ER50" s="199">
        <f t="shared" si="40"/>
        <v>5.491472679772165E-2</v>
      </c>
      <c r="ES50" s="199">
        <f t="shared" si="41"/>
        <v>0.1098294535954433</v>
      </c>
      <c r="ET50" s="181">
        <f t="shared" si="14"/>
        <v>1.7957220876615614</v>
      </c>
      <c r="EU50" s="147">
        <f>Intermediate!F50*(Parameters!$C$150)/1000*100</f>
        <v>1.1807805845995499E-2</v>
      </c>
      <c r="EV50" s="147">
        <f>Intermediate!F50*(Parameters!$C$151)/1000*100</f>
        <v>2.3615611691990997E-2</v>
      </c>
      <c r="EW50" s="181">
        <f>'Local emissions'!$S50*Basicinfo!AZ50/(Basicinfo!$AZ50+Basicinfo!$BA50)-Intermediate!EU50</f>
        <v>5.8872350809765939E-2</v>
      </c>
      <c r="EX50" s="147">
        <f>'Local emissions'!$S50*Basicinfo!BA50/(Basicinfo!$AZ50+Basicinfo!$BA50)-Intermediate!EV50</f>
        <v>3.9059582253022876E-2</v>
      </c>
      <c r="EY50" s="188">
        <f t="shared" si="15"/>
        <v>4.7150675901806123</v>
      </c>
      <c r="EZ50" s="188">
        <f t="shared" si="16"/>
        <v>3.6106213150978133</v>
      </c>
      <c r="FA50" s="188">
        <f t="shared" si="17"/>
        <v>0.29445690657066537</v>
      </c>
      <c r="FB50" s="181">
        <f t="shared" si="18"/>
        <v>0.19997369224216607</v>
      </c>
      <c r="FC50" s="181">
        <f>'Local emissions'!Y50-Intermediate!ET50</f>
        <v>15.996886204507133</v>
      </c>
      <c r="FD50" s="188">
        <f t="shared" si="19"/>
        <v>6.713752678195859</v>
      </c>
      <c r="FE50" s="188">
        <f t="shared" si="20"/>
        <v>5.4597394464427316</v>
      </c>
      <c r="FF50" s="181">
        <f t="shared" si="21"/>
        <v>0.25517634495556329</v>
      </c>
      <c r="FG50" s="201">
        <f t="shared" si="22"/>
        <v>0.21592856220965004</v>
      </c>
      <c r="FH50" s="181">
        <f t="shared" si="23"/>
        <v>3.3522891727033302</v>
      </c>
      <c r="FJ50" s="147">
        <f>AVERAGE(Parameters!$C$132:$C$134)*'Local emissions'!J50*3600*24*365/1000000</f>
        <v>1.6029740658062414E-2</v>
      </c>
      <c r="FK50" s="147">
        <f>'Local emissions'!AJ50+CT50*BJ50/100*Intermediate!X50*100/1000000</f>
        <v>0.16144648882734769</v>
      </c>
      <c r="FL50" s="31">
        <f>(Parameters!$C$18*(Basicinfo!AH50+Basicinfo!AI50)+Parameters!$C$19*Basicinfo!AJ50+Parameters!$C$20*Basicinfo!AK50)/Basicinfo!G50</f>
        <v>7.6041110334678823E-3</v>
      </c>
      <c r="FM50" s="181">
        <f t="shared" si="32"/>
        <v>0.11641784204095819</v>
      </c>
    </row>
    <row r="51" spans="1:169">
      <c r="A51" s="39" t="str">
        <f>Basicinfo!A51</f>
        <v>Steyr</v>
      </c>
      <c r="B51" s="63">
        <f>Basicinfo!B51</f>
        <v>1560</v>
      </c>
      <c r="C51" s="63">
        <f>Basicinfo!C51</f>
        <v>4080</v>
      </c>
      <c r="D51" s="61">
        <f>Basicinfo!U51*Basicinfo!V51/1000+Basicinfo!Y51</f>
        <v>4.2587415794110592</v>
      </c>
      <c r="E51" s="19">
        <f>Basicinfo!W51*Basicinfo!X51/1000+Basicinfo!Z51</f>
        <v>1.5139076668923541</v>
      </c>
      <c r="F51" s="19">
        <f t="shared" si="0"/>
        <v>5.7726492463034136</v>
      </c>
      <c r="G51" s="19">
        <f>SUM(Basicinfo!H51:L51)</f>
        <v>23.698855586098524</v>
      </c>
      <c r="H51" s="19">
        <f>IF(Basicinfo!N51&lt;Parameters!$C$68,Parameters!$C$69,Basicinfo!BS51/(Basicinfo!N51*100))</f>
        <v>17.782136626314401</v>
      </c>
      <c r="I51" s="19">
        <f>IF(Basicinfo!N51=0,0,Basicinfo!BU51*(1-Basicinfo!BX51/100))</f>
        <v>12711.049371731184</v>
      </c>
      <c r="J51" s="19">
        <f>IF(Basicinfo!N51=0,0,Basicinfo!BU51*Basicinfo!BX51/100)</f>
        <v>11733.276343136476</v>
      </c>
      <c r="K51" s="19">
        <f>IF(Basicinfo!N51=0,0,Basicinfo!BT51-Basicinfo!BU51)</f>
        <v>0</v>
      </c>
      <c r="L51" s="27">
        <f>Basicinfo!BV51*Basicinfo!BW51/100</f>
        <v>1581.1133333333332</v>
      </c>
      <c r="M51" s="27">
        <f>Basicinfo!BV51-Intermediate!L51</f>
        <v>1581.1133333333332</v>
      </c>
      <c r="N51" s="73">
        <f>Basicinfo!BS51-SUM(I51:K51)-Basicinfo!BV51</f>
        <v>0</v>
      </c>
      <c r="O51" s="19">
        <f>IF(Basicinfo!AH51+Basicinfo!AI51+Basicinfo!AJ51+Basicinfo!AK51=0,0,N51*(Basicinfo!AH51+Basicinfo!AI51)/SUM(Basicinfo!AH51:AK51))</f>
        <v>0</v>
      </c>
      <c r="P51" s="73">
        <f t="shared" si="25"/>
        <v>0</v>
      </c>
      <c r="Q51" s="19">
        <f>IF(Basicinfo!BS51=0,Basicinfo!N51,IF(H51&gt;Parameters!$C$70,Parameters!$C$64*(Parameters!$C$65*Parameters!$C$70)^(Parameters!$C$66-Parameters!$C$67*LOG(Parameters!$C$65*Parameters!$C$70,10))/100*Basicinfo!N51,Parameters!$C$64*(Parameters!$C$65*H51)^(Parameters!$C$66-Parameters!$C$67*LOG(Parameters!$C$65*H51,10))/100*Basicinfo!N51))</f>
        <v>4.3221793275302094</v>
      </c>
      <c r="R51" s="19">
        <f>IF(Basicinfo!BS51=0,Q51*(1-Basicinfo!BX51/100),IF(H51&lt;Parameters!$C$75,Q51*Basicinfo!BU51/Basicinfo!BS51*(1-Basicinfo!BX51/100)*(-Parameters!$C$74+Parameters!$C$73*LN(H51*100)),Q51*Basicinfo!BU51/Basicinfo!BS51*(1-Basicinfo!BX51/100)))</f>
        <v>1.1292161775350265</v>
      </c>
      <c r="S51" s="19">
        <f>IF(Basicinfo!BS51=0,Q51*Basicinfo!BX51/100,Q51*Basicinfo!BU51/Basicinfo!BS51*Basicinfo!BX51/100)</f>
        <v>1.837003177855169</v>
      </c>
      <c r="T51" s="19">
        <f>IF(Basicinfo!BS51=0,0,IF(H51&lt;Parameters!$C$75,Q51*K51/Basicinfo!BS51*(-Parameters!$C$74+Parameters!$C$73*LN(H51*100)),Q51*K51/Basicinfo!BS51))</f>
        <v>0</v>
      </c>
      <c r="U51" s="19">
        <f t="shared" si="26"/>
        <v>1.3559599721400142</v>
      </c>
      <c r="V51" s="19">
        <f>IF(Basicinfo!AL51&gt;Parameters!$C$14,Basicinfo!Q51,0)</f>
        <v>43.688291963361998</v>
      </c>
      <c r="W51" s="19">
        <f>IF(Basicinfo!AL51&gt;Parameters!$C$14,0,Basicinfo!Q51)</f>
        <v>0</v>
      </c>
      <c r="X51" s="19">
        <f>G51+Basicinfo!M51</f>
        <v>97.222582731486767</v>
      </c>
      <c r="Y51" s="19">
        <f>IF(Basicinfo!G51-F51-Q51-V51-Basicinfo!O51-Basicinfo!R51-Basicinfo!S51&lt;0,0,Basicinfo!G51-F51-Q51-V51-Basicinfo!O51-Basicinfo!R51-Basicinfo!S51)</f>
        <v>460.17549177174425</v>
      </c>
      <c r="Z51" s="19">
        <f>Basicinfo!G51-F51-Basicinfo!BO51-Q51-Basicinfo!O51</f>
        <v>503.54818554256769</v>
      </c>
      <c r="AA51" s="53">
        <f>IF(Z51+Basicinfo!BO51-X51&gt;0,Z51+Basicinfo!BO51-X51,0)</f>
        <v>406.64193964042738</v>
      </c>
      <c r="AB51" s="56">
        <f>IF(Basicinfo!N51=0,0,Parameters!$C$71+Parameters!$C$72*Q51/Basicinfo!N51)</f>
        <v>0.35880255780412917</v>
      </c>
      <c r="AC51" s="43">
        <f>Basicinfo!AU51*AB51*R51/1000/86.4/0.365</f>
        <v>1.9743268270660509E-2</v>
      </c>
      <c r="AD51" s="43">
        <f>Basicinfo!AU51*AB51*S51/1000/86.4/0.365</f>
        <v>3.211824916786183E-2</v>
      </c>
      <c r="AE51" s="43">
        <f>Basicinfo!AU51*AB51*T51/1000/86.4/0.365</f>
        <v>0</v>
      </c>
      <c r="AF51" s="43">
        <f>Basicinfo!AU51*AB51*U51/1000/86.4/0.365</f>
        <v>2.3707667342028716E-2</v>
      </c>
      <c r="AG51" s="43">
        <f>((Parameters!$C$80+Parameters!$C$81*Parameters!$C$89)/(Parameters!$C$82+Parameters!$C$89)/(Parameters!$C$90/100*Parameters!$C$91+(Parameters!$C$83+Parameters!$C$84*Parameters!$C$89)/(Parameters!$C$85+Parameters!$C$89)))-Parameters!$C$86+(Basicinfo!AU51-Parameters!$C$88)/Parameters!$C$87</f>
        <v>89.806514661658639</v>
      </c>
      <c r="AH51" s="43">
        <f>((Parameters!$C$80+Parameters!$C$81*Parameters!$C$89)/(Parameters!$C$82+Parameters!$C$89)/(Basicinfo!BY51/100*Parameters!$C$91+(Parameters!$C$83+Parameters!$C$84*Parameters!$C$89)/(Parameters!$C$85+Parameters!$C$89)))-Parameters!$C$86+(Basicinfo!AU51-Parameters!$C$88)/Parameters!$C$87</f>
        <v>72.003632795043075</v>
      </c>
      <c r="AI51" s="43">
        <f>Basicinfo!AU51^Parameters!$C$79*Parameters!$C$78*AH51/AG51</f>
        <v>89.065680888402085</v>
      </c>
      <c r="AJ51" s="43">
        <f>(J51*Parameters!$C$92/1000+Parameters!$C$94/100*S51*100*Parameters!$C$93/1000*86400*Parameters!$C$95/24)/86400</f>
        <v>1.7715468677777371E-2</v>
      </c>
      <c r="AK51" s="43">
        <f t="shared" si="1"/>
        <v>2.6238915290571416E-2</v>
      </c>
      <c r="AL51" s="43">
        <f>(K51*Parameters!$C$92/1000+Parameters!$C$94/100*T51*100*Parameters!$C$93/1000*86400*Parameters!$C$95/24)/86400</f>
        <v>0</v>
      </c>
      <c r="AM51" s="43">
        <f>(Intermediate!N51+Basicinfo!BV51-Intermediate!L51)*Parameters!$C$92/1000/86400</f>
        <v>2.3789899691358022E-3</v>
      </c>
      <c r="AN51" s="43">
        <f t="shared" si="2"/>
        <v>4.2869574461684719E-2</v>
      </c>
      <c r="AO51" s="43">
        <f t="shared" si="27"/>
        <v>2.6238915290571416E-2</v>
      </c>
      <c r="AP51" s="43">
        <f t="shared" si="28"/>
        <v>2.6086657311164517E-2</v>
      </c>
      <c r="AQ51" s="43">
        <f t="shared" si="33"/>
        <v>7.2068840872396442E-2</v>
      </c>
      <c r="AR51" s="61">
        <f>(Basicinfo!AU51-Basicinfo!AY51)*F51/1000/86.4/0.365</f>
        <v>0.15921475047429021</v>
      </c>
      <c r="AS51" s="19">
        <f>IF(Basicinfo!AP51-Basicinfo!CB51-Basicinfo!CG51&lt;0,0,(Basicinfo!AP51-Basicinfo!CB51-Basicinfo!CG51)/Basicinfo!G51*1000)</f>
        <v>34.205861815292508</v>
      </c>
      <c r="AT51" s="19">
        <f>Parameters!$C$3*((AS51*86.4*0.365)^Parameters!$C$4)</f>
        <v>256.2802807455268</v>
      </c>
      <c r="AU51" s="19">
        <f>IF(AT51/86.4/0.365*(Basicinfo!G51/1000)-AN51&lt;0,0,AT51/86.4/0.365*(Basicinfo!G51/1000)-AN51)</f>
        <v>4.1493986280249224</v>
      </c>
      <c r="AV51" s="19">
        <f>IF(Basicinfo!AU51&gt;Parameters!$C$13,Parameters!$C$11*(Basicinfo!AU51-Parameters!$C$13)^Parameters!$C$12,0)</f>
        <v>210.10642111432045</v>
      </c>
      <c r="AW51" s="19">
        <f>IF(AV51*V51/1000/86.4/0.365&gt;Basicinfo!AP51*Parameters!$C$15,Basicinfo!AP51*Parameters!$C$15,AV51*V51/1000/86.4/0.365)</f>
        <v>0.29107022669392174</v>
      </c>
      <c r="AX51" s="19">
        <f>Basicinfo!AU51-Basicinfo!AW51</f>
        <v>575.36373383757143</v>
      </c>
      <c r="AY51" s="19">
        <f>Parameters!$C$56*AX51+Parameters!$C$57*Basicinfo!AW51</f>
        <v>383.81688790427143</v>
      </c>
      <c r="AZ51" s="19">
        <f>AY51*Basicinfo!BO51/1000/86.4/0.365</f>
        <v>3.8500576284013722E-3</v>
      </c>
      <c r="BA51" s="19">
        <f>IF(Basicinfo!AP51-AQ51-AR51-AU51-AW51-AZ51-Basicinfo!CB51-Basicinfo!CG51&lt;0,0,Basicinfo!AP51-AQ51-AR51-AU51-AW51-AZ51-Basicinfo!CB51-Basicinfo!CG51)</f>
        <v>12.970183653468691</v>
      </c>
      <c r="BB51" s="53">
        <f t="shared" si="34"/>
        <v>812.29110428640649</v>
      </c>
      <c r="BC51" s="56">
        <f>IF(G51=0,0,((Basicinfo!H51*Basicinfo!BE51+Basicinfo!I51*Basicinfo!BF51+Basicinfo!J51*Basicinfo!BG51+Basicinfo!K51*Basicinfo!BH51+Basicinfo!L51*Basicinfo!BI51)*(1-Basicinfo!BN51/G51*Parameters!$C$26/100)/G51)*Basicinfo!BM51)</f>
        <v>13.259566335322237</v>
      </c>
      <c r="BD51" s="43">
        <f>IF(Basicinfo!AW51*Parameters!$C$39-Parameters!$C$40&lt;0,0.001,(Basicinfo!AW51*Parameters!$C$39-Parameters!$C$40)/(Basicinfo!AX51*Parameters!$C$39-Parameters!$C$40))</f>
        <v>1.1317319828900188</v>
      </c>
      <c r="BE51" s="43">
        <f>(BC51*G51*100+Basicinfo!BJ51*Basicinfo!M51*100)*Parameters!$C$29*BD51</f>
        <v>41342.389479715574</v>
      </c>
      <c r="BF51" s="43">
        <f>(Basicinfo!BK51*Basicinfo!P51*100)*BD51*Parameters!$C$29</f>
        <v>4382.0218478007591</v>
      </c>
      <c r="BG51" s="43">
        <f>Parameters!$C$27*(V51+W51)*100</f>
        <v>873.76583926723993</v>
      </c>
      <c r="BH51" s="43">
        <f>Parameters!$C$28*Basicinfo!R51*100</f>
        <v>0</v>
      </c>
      <c r="BI51" s="43">
        <f t="shared" si="29"/>
        <v>5255.7876870679993</v>
      </c>
      <c r="BJ51" s="43">
        <f>IF(Basicinfo!AM51&lt;Parameters!$C$33,0,Parameters!$C$30*(((Basicinfo!AM51-Parameters!$C$33)^Parameters!$C$31)*(((G51-Basicinfo!BN51)/Basicinfo!G51*100+Parameters!$C$34))^Parameters!$C$32))</f>
        <v>1.8466612537637068</v>
      </c>
      <c r="BK51" s="58">
        <f t="shared" si="30"/>
        <v>6019.2415749699894</v>
      </c>
      <c r="BL51" s="61">
        <f>Basicinfo!AZ51+Basicinfo!BA51</f>
        <v>1494.5947559763117</v>
      </c>
      <c r="BM51" s="19">
        <f>Basicinfo!BB51+Basicinfo!BC51</f>
        <v>1726.7297671583788</v>
      </c>
      <c r="BN51" s="172">
        <f>IF(Basicinfo!AO51=0,0,IF(Basicinfo!AO51="NA",1,IF(OR(Basicinfo!AO51="SA",Basicinfo!AN51="S"),3,IF(Basicinfo!AN51="N",1,IF(Basicinfo!AO51="ZA",2,0)))))</f>
        <v>1</v>
      </c>
      <c r="BO51" s="27">
        <f>IF($BN51=1,(BL51)*(1+Parameters!$C$21*Parameters!$C$22-Parameters!$C$22*Basicinfo!$AL51),IF($BN51=2,(BL51)*(1+Parameters!$C$21*Parameters!$C$23-Parameters!$C$23*Basicinfo!$AL51),IF($BN51=3,(BL51)*(1+Parameters!$C$21*Parameters!$C$24-Parameters!$C$24*Basicinfo!$AL51),BL51)))</f>
        <v>1372.2590312302048</v>
      </c>
      <c r="BP51" s="27">
        <f>IF($BN51=1,(BM51)*(1+Parameters!$C$21*Parameters!$C$22-Parameters!$C$22*Basicinfo!$AL51),IF($BN51=2,(BM51)*(1+Parameters!$C$21*Parameters!$C$23-Parameters!$C$23*Basicinfo!$AL51),IF($BN51=3,(BM51)*(1+Parameters!$C$21*Parameters!$C$24-Parameters!$C$24*Basicinfo!$AL51),BM51)))</f>
        <v>1585.3933034371421</v>
      </c>
      <c r="BQ51" s="27">
        <f>IF(Basicinfo!AU51=0,0,IF(G51+Basicinfo!M51=0,0,(Parameters!$C$16+BO51/Basicinfo!AU51)*G51+(Parameters!$C$17+BO51/Basicinfo!AU51)*Basicinfo!M51)/(G51+Basicinfo!M51))</f>
        <v>0.96611036815235751</v>
      </c>
      <c r="BR51" s="27">
        <f>IF(Basicinfo!AU51=0,0,IF(G51+Basicinfo!M51=0,0,(Parameters!$C$16+BP51/Basicinfo!AU51)*G51+(Parameters!$C$17+BP51/Basicinfo!AU51)*Basicinfo!M51)/(G51+Basicinfo!M51))</f>
        <v>1.1048051936153298</v>
      </c>
      <c r="BS51" s="27">
        <f>IF(Basicinfo!AU51=0,0,BO51/Basicinfo!AU51)</f>
        <v>0.89298274207945938</v>
      </c>
      <c r="BT51" s="27">
        <f>IF(Basicinfo!AU51=0,0,BP51/Basicinfo!AU51)</f>
        <v>1.0316775675424317</v>
      </c>
      <c r="BU51" s="27">
        <f>IF(SUM(G51,Basicinfo!M51,Basicinfo!P51,W51)=0,0,(BQ51*(G51+Basicinfo!M51)+BS51*(Basicinfo!P51+W51))/SUM(G51,Basicinfo!M51,Basicinfo!P51,W51))</f>
        <v>0.90881812632722858</v>
      </c>
      <c r="BV51" s="19">
        <f>IF(Basicinfo!BR51/Parameters!$C$10&gt;1,1,Basicinfo!BR51/Parameters!$C$10)</f>
        <v>0.4341877134723312</v>
      </c>
      <c r="BW51" s="19">
        <f>Parameters!$C$5+Parameters!$C$6*EXP(BV51*Parameters!$C$8*Parameters!$C$7)</f>
        <v>3.5263921518730493E-2</v>
      </c>
      <c r="BX51" s="19">
        <f>Parameters!$C$5+Parameters!$C$6*EXP(BV51*Parameters!$C$9*Parameters!$C$7)</f>
        <v>3.5134647577166708E-2</v>
      </c>
      <c r="BY51" s="19">
        <f>IF(Basicinfo!AH51+Basicinfo!AI51+Basicinfo!AJ51+Basicinfo!AK51=0,0,(Parameters!$C$18*(Basicinfo!AH51+Basicinfo!AI51)+Parameters!$C$19*Basicinfo!AJ51+Parameters!$C$20*Basicinfo!AK51)/(Basicinfo!AH51+Basicinfo!AI51+Basicinfo!AJ51+Basicinfo!AK51))</f>
        <v>1.2649658329833837E-2</v>
      </c>
      <c r="BZ51" s="19">
        <f>IF(Basicinfo!AJ51+Basicinfo!AK51=0,Parameters!$C$18,(Parameters!$C$19*Basicinfo!AJ51+Parameters!$C$20*Basicinfo!AK51)/(Basicinfo!AJ51+Basicinfo!AK51))</f>
        <v>6.6052965436020758E-3</v>
      </c>
      <c r="CA51" s="19">
        <f>IF(SUM(G51,Basicinfo!M51,Basicinfo!P51,W51)=0,0,(BW51*G51+BX51*Basicinfo!M51+BY51*Basicinfo!P51+BZ51*W51)/(SUM(G51,Basicinfo!M51,Basicinfo!P51,W51)))</f>
        <v>1.7525482458817812E-2</v>
      </c>
      <c r="CB51" s="19">
        <f>IF(Y51=0,Basicinfo!BP51,Basicinfo!BP51-(AU51*X51/Y51*Intermediate!BQ51*86400*365/1000000)*1000/(X51*100))</f>
        <v>61.88265504538581</v>
      </c>
      <c r="CC51" s="19">
        <f>IF(Y51=0,Basicinfo!BQ51,Basicinfo!BQ51-(AU51*Basicinfo!AV51/Basicinfo!AU51*X51/Y51*Intermediate!BR51*86400*365/1000000)*1000/(X51*100))</f>
        <v>55.827951750735615</v>
      </c>
      <c r="CD51" s="19">
        <f>IF(OR(Y51=0,AA51=0),BP51/100,BP51/100-(AU51*Basicinfo!AV51/Basicinfo!AU51*(Basicinfo!P51+W51)/Y51*Intermediate!BT51*86400*365/1000000+AW51*Basicinfo!AV51/Basicinfo!AU51*Intermediate!BT51*86400*365/1000000)*1000/(AA51*100))</f>
        <v>13.058250637003159</v>
      </c>
      <c r="CE51" s="19">
        <f t="shared" si="35"/>
        <v>541007.72205696104</v>
      </c>
      <c r="CF51" s="19">
        <f t="shared" si="36"/>
        <v>531003.23673418106</v>
      </c>
      <c r="CG51" s="19">
        <f>IF(AY51=0,0,((CB51^Parameters!$C$58))/AY51*100)</f>
        <v>8.6837941135012411</v>
      </c>
      <c r="CH51" s="19">
        <f>IF(SUM(Basicinfo!AB51:AG51)=0,0,(Parameters!$C$59*Basicinfo!AB51+Parameters!$C$60*SUM(Basicinfo!AC51:AE51)+Parameters!$C$61*Basicinfo!AF51+Parameters!$C$62*Basicinfo!AG51)/SUM(Basicinfo!AB51:AG51))</f>
        <v>8.2577635364807861E-2</v>
      </c>
      <c r="CI51" s="19">
        <f t="shared" si="31"/>
        <v>4</v>
      </c>
      <c r="CJ51" s="19">
        <f t="shared" si="37"/>
        <v>21.289143513367286</v>
      </c>
      <c r="CK51" s="19">
        <f t="shared" si="9"/>
        <v>2.6208761121506665</v>
      </c>
      <c r="CL51" s="19">
        <f>IF($BB51=0,0,$CJ51^Parameters!$C$58*100/$BB51)</f>
        <v>1.6566194806687664</v>
      </c>
      <c r="CM51" s="19">
        <f>IF(CK51=0,0,(1/(1+Parameters!$C$116*BB51^Parameters!$C$120)*Basicinfo!AH51/Basicinfo!G51+1/(1+Parameters!$C$117*BB51^Parameters!$C$121)*Basicinfo!AI51/Basicinfo!G51)*(CK51)^Parameters!$C$124+(1/(1+Parameters!$C$118*BB51^Parameters!$C$122)*Basicinfo!AJ51/Basicinfo!G51+1/(1+Parameters!$C$119*BB51^Parameters!$C$123)*Basicinfo!AK51/Basicinfo!G51)*(CK51)^Parameters!$C$125)</f>
        <v>1.1977834070620055</v>
      </c>
      <c r="CN51" s="19">
        <f>IF(SUM(Basicinfo!AB51:AG51)=0,0,(Parameters!$C$128*Basicinfo!AB51+Parameters!$C$129*(SUM(Basicinfo!AC51:AE51))+Parameters!$C$130*Basicinfo!AF51+Parameters!$C$131*Basicinfo!AG51)/SUM(Basicinfo!AB51:AG51))</f>
        <v>1.5428497051340306E-2</v>
      </c>
      <c r="CO51" s="19">
        <f>IF(Basicinfo!AH51+Basicinfo!AI51+Basicinfo!AJ51+Basicinfo!AK51=0,0,(Parameters!$C$132*(Basicinfo!AH51+Basicinfo!AI51)+Parameters!$C$133*Basicinfo!AJ51+Parameters!$C$134*Basicinfo!AK51)/(Basicinfo!AH51+Basicinfo!AI51+Basicinfo!AJ51+Basicinfo!AK51))</f>
        <v>5.0000000000000001E-4</v>
      </c>
      <c r="CP51" s="19">
        <f>IF(Basicinfo!AJ51+Basicinfo!AK51=0,0,(Parameters!$C$133*Basicinfo!AJ51+Parameters!$C$134*Basicinfo!AK51)/(Basicinfo!AJ51+Basicinfo!AK51))</f>
        <v>5.0000000000000001E-4</v>
      </c>
      <c r="CQ51" s="19">
        <f>IF(Z51=0,0,(CN51*(Z51-AA51)+CO51*Basicinfo!P51+CP51*(Basicinfo!Q51+Basicinfo!R51))/Z51)</f>
        <v>3.3618172566294343E-3</v>
      </c>
      <c r="CR51" s="289">
        <f>Basicinfo!EI51</f>
        <v>6.6287789473684208E-3</v>
      </c>
      <c r="CS51" s="19">
        <f>IF(SUM(Basicinfo!AB51:AG51)=0,0,(Basicinfo!AB51*Parameters!$C$43+(Basicinfo!AC51+Basicinfo!AD51)*Parameters!$C$44+Basicinfo!AE51*Parameters!$C$45+(Basicinfo!AF51+Basicinfo!AG51)*Parameters!$C$46)/SUM(Basicinfo!AB51:AG51))</f>
        <v>26.539513652260602</v>
      </c>
      <c r="CT51" s="19">
        <f>(Parameters!$C$41*CS51+Parameters!$C$42)</f>
        <v>545.70303925305814</v>
      </c>
      <c r="CU51" s="19">
        <f>CT51+Basicinfo!BR51/(Parameters!$C$47*Parameters!$C$49*Parameters!$C$48*10000/1000000)</f>
        <v>698.62449808608039</v>
      </c>
      <c r="CV51" s="19">
        <f>IF(BK51/Basicinfo!G51&lt;Parameters!$C$35,Parameters!$C$35,Parameters!$C$37*(BK51/Basicinfo!G51)^Parameters!$C$38)</f>
        <v>2.4138708626418044</v>
      </c>
      <c r="CW51" s="19">
        <f>IF(BK51/Basicinfo!G51&lt;Parameters!$C$35,Parameters!$C$36,Parameters!$C$36*(BK51/Basicinfo!G51)^Parameters!$C$38)</f>
        <v>5.672596527208241</v>
      </c>
      <c r="CX51" s="27">
        <f>IF(Basicinfo!AJ51+Basicinfo!AK51=0,0,(Parameters!$C$53*Basicinfo!AJ51+Parameters!$C$54*Basicinfo!AK51)/(Basicinfo!AJ51+Basicinfo!AK51))</f>
        <v>585.62179890027392</v>
      </c>
      <c r="CY51" s="56">
        <f>IF(Basicinfo!AU51*AB51=0,0,((Basicinfo!AZ51+Basicinfo!BA51)/Basicinfo!AU51+Parameters!$C$76/(Basicinfo!AU51*AB51)*100))</f>
        <v>1.6980479816533338</v>
      </c>
      <c r="CZ51" s="43">
        <f>IF(Basicinfo!AU51*AB51=0,0,(Parameters!$C$77)/(Basicinfo!AU51*AB51)*100)</f>
        <v>0.45341036756752157</v>
      </c>
      <c r="DA51" s="43">
        <f>IF(AD51+AJ51=0,0,((J51*Parameters!$C$96+Parameters!$C$94/100*S51*100*Parameters!$C$93/1000*86400*Parameters!$C$95/24*Parameters!$C$98)*AI51+AD51*CY51*86400*365)/((AD51+AJ51*AI51/365)*86400*365))</f>
        <v>12.409649630708634</v>
      </c>
      <c r="DB51" s="43">
        <f>IF(AD51+AJ51=0,0,((J51*Parameters!$C$97+Parameters!$C$94/100*S51*100*Parameters!$C$93/1000*86400*Parameters!$C$95/24*Parameters!$C$99)*AI51+AD51*CZ51*86400*365)/((AD51+AJ51*AI51/365)*86400*365))</f>
        <v>2.1749474529776331</v>
      </c>
      <c r="DC51" s="42">
        <f>IF(AE51+AL51=0,0,((K51*Parameters!$C$96+Parameters!$C$94/100*T51*100*Parameters!$C$93/1000*86400*Parameters!$C$95/24*Parameters!$C$98)*365+AE51*CY51*86400*365)/((AE51+AL51)*86400*365))</f>
        <v>0</v>
      </c>
      <c r="DD51" s="42">
        <f>IF(AE51+AL51=0,0,((K51*Parameters!$C$97+Parameters!$C$94/100*T51*100*Parameters!$C$93/1000*86400*Parameters!$C$95/24*Parameters!$C$99)*365+AE51*CZ51*86400*365)/((AE51+AL51)*86400*365))</f>
        <v>0</v>
      </c>
      <c r="DE51" s="42">
        <f>IF(Basicinfo!AH51+Basicinfo!AI51+Basicinfo!AJ51+Basicinfo!AK51=0,0,((Basicinfo!AH51+Basicinfo!AI51)*Parameters!$C$107+(Basicinfo!AJ51+Basicinfo!AK51)*Parameters!$C$106)/(Basicinfo!AH51+Basicinfo!AI51+Basicinfo!AJ51+Basicinfo!AK51))</f>
        <v>58.514773602778845</v>
      </c>
      <c r="DF51" s="42">
        <f>IF(Basicinfo!AH51+Basicinfo!AI51+Basicinfo!AJ51+Basicinfo!AK51=0,0,((Basicinfo!AH51+Basicinfo!AI51)*Parameters!$C$109+(Basicinfo!AJ51+Basicinfo!AK51)*Parameters!$C$108)/(Basicinfo!AH51+Basicinfo!AI51+Basicinfo!AJ51+Basicinfo!AK51))</f>
        <v>58.514773602778845</v>
      </c>
      <c r="DG51" s="42">
        <f>Intermediate!AC51*Intermediate!CY51*(1-Parameters!$C$102/100*Basicinfo!BZ51/100)*(1-Parameters!$C$104/100*Basicinfo!CA51/100)*86400*365/1000000</f>
        <v>1.0572449310105911</v>
      </c>
      <c r="DH51" s="42">
        <f>Intermediate!AC51*Intermediate!CZ51*(1-Parameters!$C$103/100*Basicinfo!BZ51/100)*(1-Parameters!$C$105/100*Basicinfo!CA51/100)*86400*365/1000000</f>
        <v>0.28230404438375656</v>
      </c>
      <c r="DI51" s="42">
        <f>(Intermediate!AK51*Intermediate!DA51+(Intermediate!AE51+Intermediate!AL51)*Intermediate!DC51)*86400*365/1000000</f>
        <v>10.268618148379844</v>
      </c>
      <c r="DJ51" s="42">
        <f>(Intermediate!AK51*Intermediate!DB51+(Intermediate!AE51+Intermediate!AL51)*Intermediate!DD51)*86400*365/1000000</f>
        <v>1.7997047098051959</v>
      </c>
      <c r="DK51" s="42">
        <f>((Basicinfo!AZ51+Basicinfo!BA51)*Intermediate!AB51+Parameters!$C$76*100)/1000*Intermediate!U51*(1-Intermediate!DE51/100)+(1-Parameters!$C$110/100)*M51*Parameters!$C$100*(1-DE51/100)*365/1000000+(1-Parameters!$C$112/100)*P51*Parameters!$C$96*365/1000000+(1-Parameters!$C$112/100)*O51*Parameters!$C$96*(1-DE51/100)*365/1000000</f>
        <v>2.4659227816688767</v>
      </c>
      <c r="DL51" s="42">
        <f>Parameters!$C$77*100/1000*Intermediate!U51*(1-Intermediate!DF51/100)+(1-Parameters!$C$111/100)*M51*Parameters!$C$101*(1-DF51/100)*365/1000000+(1-Parameters!$C$113/100)*P51*Parameters!$C$97*365/1000000+(1-Parameters!$C$113/100)*O51*Parameters!$C$97*(1-DF51/100)*365/1000000</f>
        <v>0.39964404876393789</v>
      </c>
      <c r="DM51" s="31"/>
      <c r="DN51" s="31"/>
      <c r="DO51" s="31"/>
      <c r="DP51" s="31"/>
      <c r="DQ51" s="31"/>
      <c r="DR51" s="31"/>
      <c r="DS51" s="31"/>
      <c r="DT51" s="188">
        <f>BO51*(Basicinfo!$P51+Basicinfo!$Q51)/1000</f>
        <v>542.64405441363203</v>
      </c>
      <c r="DU51" s="188">
        <f>DT51*Basicinfo!$AZ51/(Basicinfo!$AZ51+Basicinfo!$BA51)</f>
        <v>303.3065416187132</v>
      </c>
      <c r="DV51" s="188">
        <f>DT51*Basicinfo!$BC51/(Basicinfo!$BB51+Basicinfo!$BC51)</f>
        <v>230.82842378584044</v>
      </c>
      <c r="DW51" s="188">
        <f>BP51*(Basicinfo!$P51+Basicinfo!$Q51)/1000</f>
        <v>626.92555154554577</v>
      </c>
      <c r="DX51" s="188">
        <f>DW51*Basicinfo!$BB51/(Basicinfo!$BB51+Basicinfo!$BC51)</f>
        <v>360.24569811805452</v>
      </c>
      <c r="DY51" s="188">
        <f>DW51*Basicinfo!$BC51/(Basicinfo!$BB51+Basicinfo!$BC51)</f>
        <v>266.67985342749125</v>
      </c>
      <c r="DZ51" s="188">
        <f t="shared" si="38"/>
        <v>133.41456719280848</v>
      </c>
      <c r="EA51" s="188">
        <f>DZ51*Basicinfo!$AZ51/(Basicinfo!$AZ51+Basicinfo!$BA51)</f>
        <v>74.571002202418342</v>
      </c>
      <c r="EB51" s="188">
        <f>DZ51*Basicinfo!$BC51/(Basicinfo!$BB51+Basicinfo!$BC51)</f>
        <v>56.751518798935983</v>
      </c>
      <c r="EC51" s="188">
        <f t="shared" si="39"/>
        <v>154.13603160536266</v>
      </c>
      <c r="ED51" s="188">
        <f>EC51*Basicinfo!$AZ51/(Basicinfo!$AZ51+Basicinfo!$BA51)</f>
        <v>86.153098527123163</v>
      </c>
      <c r="EE51" s="188">
        <f>EC51*Basicinfo!$BC51/(Basicinfo!$BB51+Basicinfo!$BC51)</f>
        <v>65.565957895763034</v>
      </c>
      <c r="EF51" s="190">
        <f>(Basicinfo!BP51-BL51/100)*Intermediate!X51/10</f>
        <v>483.04007247039601</v>
      </c>
      <c r="EG51" s="191">
        <f>(Basicinfo!BQ51-BM51/100)*Intermediate!X51/10</f>
        <v>405.71739276148242</v>
      </c>
      <c r="EH51" s="197">
        <f>IF(AU51=0,0,$BS51*((Basicinfo!$P51+Basicinfo!$Q51)*Intermediate!$AT51*1000+$AW51*3600*24*365)/1000000*Basicinfo!AZ51/(Basicinfo!$AZ51+Basicinfo!$BA51))</f>
        <v>55.164493168695074</v>
      </c>
      <c r="EI51" s="197">
        <f>IF(AU51=0,0,$BS51*((Basicinfo!$P51+Basicinfo!$Q51)*Intermediate!$AT51*1000+$AW51*3600*24*365)/1000000*Basicinfo!BA51/(Basicinfo!$AZ51+Basicinfo!$BA51))</f>
        <v>43.529996152160749</v>
      </c>
      <c r="EJ51" s="198">
        <f>IF(AU51=0,0,$BS51*($AT51*$X51*1000)/1000000*Basicinfo!AZ51/(Basicinfo!$AZ51+Basicinfo!$BA51))</f>
        <v>12.436327176150183</v>
      </c>
      <c r="EK51" s="198">
        <f>IF(AU51=0,0,$BS51*($AT51*$X51*1000)/1000000*Basicinfo!BA51/(Basicinfo!$AZ51+Basicinfo!$BA51))</f>
        <v>9.8134369234455043</v>
      </c>
      <c r="EL51" s="147">
        <f>Parameters!$C$150/Basicinfo!$AV51*100</f>
        <v>6.4488881143448154E-2</v>
      </c>
      <c r="EM51" s="147">
        <f>Parameters!$C$151/Basicinfo!$AV51*100</f>
        <v>0.12897776228689631</v>
      </c>
      <c r="EN51" s="147">
        <f>(Parameters!$C$150+Parameters!$C$151)/Intermediate!$BB51*100</f>
        <v>0.36932572376691042</v>
      </c>
      <c r="EO51" s="193">
        <f>IF(EN51=0,0,(1/(1+Parameters!$C$116*$BB51^Parameters!$C$120)*Basicinfo!$AH51/Basicinfo!$G51+1/(1+Parameters!$C$117*$BB51^Parameters!$C$121)*Basicinfo!$AI51/Basicinfo!$G51)*(EN51)^Parameters!$C$124+(1/(1+Parameters!$C$118*$BB51^Parameters!$C$122)*Basicinfo!$AJ51/Basicinfo!AW51+1/(1+Parameters!$C$119*$BB51^Parameters!$C$123)*Basicinfo!$AK51/Basicinfo!$G51)*(EN51)^Parameters!$C$125)</f>
        <v>0.19628646499176267</v>
      </c>
      <c r="EP51" s="199">
        <f>EL51*($AT51*Basicinfo!$P51*1000+$AW51*3600*24*365)/1000000</f>
        <v>6.4054118398224276</v>
      </c>
      <c r="EQ51" s="199">
        <f>EM51*($AT51*Basicinfo!$P51*1000+$AW51*3600*24*365)/1000000</f>
        <v>12.810823679644855</v>
      </c>
      <c r="ER51" s="199">
        <f t="shared" si="40"/>
        <v>1.6068198464253289</v>
      </c>
      <c r="ES51" s="199">
        <f t="shared" si="41"/>
        <v>3.2136396928506579</v>
      </c>
      <c r="ET51" s="181">
        <f t="shared" si="14"/>
        <v>80.28660361243621</v>
      </c>
      <c r="EU51" s="147">
        <f>Intermediate!F51*(Parameters!$C$150)/1000*100</f>
        <v>0.5772649246303414</v>
      </c>
      <c r="EV51" s="147">
        <f>Intermediate!F51*(Parameters!$C$151)/1000*100</f>
        <v>1.1545298492606828</v>
      </c>
      <c r="EW51" s="181">
        <f>'Local emissions'!$S51*Basicinfo!AZ51/(Basicinfo!$AZ51+Basicinfo!$BA51)-Intermediate!EU51</f>
        <v>3.8504331221164305</v>
      </c>
      <c r="EX51" s="147">
        <f>'Local emissions'!$S51*Basicinfo!BA51/(Basicinfo!$AZ51+Basicinfo!$BA51)-Intermediate!EV51</f>
        <v>2.3393421663566394</v>
      </c>
      <c r="EY51" s="188">
        <f t="shared" si="15"/>
        <v>48.759081328872647</v>
      </c>
      <c r="EZ51" s="188">
        <f t="shared" si="16"/>
        <v>30.719172472515893</v>
      </c>
      <c r="FA51" s="188">
        <f t="shared" si="17"/>
        <v>10.829507329724853</v>
      </c>
      <c r="FB51" s="181">
        <f t="shared" si="18"/>
        <v>6.5997972305948469</v>
      </c>
      <c r="FC51" s="181">
        <f>'Local emissions'!Y51-Intermediate!ET51</f>
        <v>409.64300242586319</v>
      </c>
      <c r="FD51" s="188">
        <f t="shared" si="19"/>
        <v>124.3467674969791</v>
      </c>
      <c r="FE51" s="188">
        <f t="shared" si="20"/>
        <v>92.05044752376125</v>
      </c>
      <c r="FF51" s="181">
        <f t="shared" si="21"/>
        <v>14.868823372022407</v>
      </c>
      <c r="FG51" s="201">
        <f t="shared" si="22"/>
        <v>11.315769993607821</v>
      </c>
      <c r="FH51" s="181">
        <f t="shared" si="23"/>
        <v>167.06119403949259</v>
      </c>
      <c r="FJ51" s="147">
        <f>AVERAGE(Parameters!$C$132:$C$134)*'Local emissions'!J51*3600*24*365/1000000</f>
        <v>0.20451385584789433</v>
      </c>
      <c r="FK51" s="147">
        <f>'Local emissions'!AJ51+CT51*BJ51/100*Intermediate!X51*100/1000000</f>
        <v>2.5815801370060929</v>
      </c>
      <c r="FL51" s="31">
        <f>(Parameters!$C$18*(Basicinfo!AH51+Basicinfo!AI51)+Parameters!$C$19*Basicinfo!AJ51+Parameters!$C$20*Basicinfo!AK51)/Basicinfo!G51</f>
        <v>1.2649658329833837E-2</v>
      </c>
      <c r="FM51" s="181">
        <f t="shared" si="32"/>
        <v>1.7713901707466637</v>
      </c>
    </row>
    <row r="52" spans="1:169">
      <c r="A52" s="39" t="str">
        <f>Basicinfo!A52</f>
        <v>Feldaist</v>
      </c>
      <c r="B52" s="63">
        <f>Basicinfo!B52</f>
        <v>1570</v>
      </c>
      <c r="C52" s="63">
        <f>Basicinfo!C52</f>
        <v>1580</v>
      </c>
      <c r="D52" s="61">
        <f>Basicinfo!U52*Basicinfo!V52/1000+Basicinfo!Y52</f>
        <v>0.30378830069618362</v>
      </c>
      <c r="E52" s="19">
        <f>Basicinfo!W52*Basicinfo!X52/1000+Basicinfo!Z52</f>
        <v>0</v>
      </c>
      <c r="F52" s="19">
        <f t="shared" si="0"/>
        <v>0.30378830069618362</v>
      </c>
      <c r="G52" s="19">
        <f>SUM(Basicinfo!H52:L52)</f>
        <v>14.551963628816843</v>
      </c>
      <c r="H52" s="19">
        <f>IF(Basicinfo!N52&lt;Parameters!$C$68,Parameters!$C$69,Basicinfo!BS52/(Basicinfo!N52*100))</f>
        <v>21.591703912519815</v>
      </c>
      <c r="I52" s="19">
        <f>IF(Basicinfo!N52=0,0,Basicinfo!BU52*(1-Basicinfo!BX52/100))</f>
        <v>3317.9715784908503</v>
      </c>
      <c r="J52" s="19">
        <f>IF(Basicinfo!N52=0,0,Basicinfo!BU52*Basicinfo!BX52/100)</f>
        <v>2402.6690740795807</v>
      </c>
      <c r="K52" s="19">
        <f>IF(Basicinfo!N52=0,0,Basicinfo!BT52-Basicinfo!BU52)</f>
        <v>0</v>
      </c>
      <c r="L52" s="27">
        <f>Basicinfo!BV52*Basicinfo!BW52/100</f>
        <v>628.0200000000001</v>
      </c>
      <c r="M52" s="27">
        <f>Basicinfo!BV52-Intermediate!L52</f>
        <v>628.0200000000001</v>
      </c>
      <c r="N52" s="73">
        <f>Basicinfo!BS52-SUM(I52:K52)-Basicinfo!BV52</f>
        <v>0</v>
      </c>
      <c r="O52" s="19">
        <f>IF(Basicinfo!AH52+Basicinfo!AI52+Basicinfo!AJ52+Basicinfo!AK52=0,0,N52*(Basicinfo!AH52+Basicinfo!AI52)/SUM(Basicinfo!AH52:AK52))</f>
        <v>0</v>
      </c>
      <c r="P52" s="73">
        <f t="shared" si="25"/>
        <v>0</v>
      </c>
      <c r="Q52" s="19">
        <f>IF(Basicinfo!BS52=0,Basicinfo!N52,IF(H52&gt;Parameters!$C$70,Parameters!$C$64*(Parameters!$C$65*Parameters!$C$70)^(Parameters!$C$66-Parameters!$C$67*LOG(Parameters!$C$65*Parameters!$C$70,10))/100*Basicinfo!N52,Parameters!$C$64*(Parameters!$C$65*H52)^(Parameters!$C$66-Parameters!$C$67*LOG(Parameters!$C$65*H52,10))/100*Basicinfo!N52))</f>
        <v>0.99177615199851266</v>
      </c>
      <c r="R52" s="19">
        <f>IF(Basicinfo!BS52=0,Q52*(1-Basicinfo!BX52/100),IF(H52&lt;Parameters!$C$75,Q52*Basicinfo!BU52/Basicinfo!BS52*(1-Basicinfo!BX52/100)*(-Parameters!$C$74+Parameters!$C$73*LN(H52*100)),Q52*Basicinfo!BU52/Basicinfo!BS52*(1-Basicinfo!BX52/100)))</f>
        <v>0.27907952697635419</v>
      </c>
      <c r="S52" s="19">
        <f>IF(Basicinfo!BS52=0,Q52*Basicinfo!BX52/100,Q52*Basicinfo!BU52/Basicinfo!BS52*Basicinfo!BX52/100)</f>
        <v>0.34155352774224179</v>
      </c>
      <c r="T52" s="19">
        <f>IF(Basicinfo!BS52=0,0,IF(H52&lt;Parameters!$C$75,Q52*K52/Basicinfo!BS52*(-Parameters!$C$74+Parameters!$C$73*LN(H52*100)),Q52*K52/Basicinfo!BS52))</f>
        <v>0</v>
      </c>
      <c r="U52" s="19">
        <f t="shared" si="26"/>
        <v>0.37114309727991668</v>
      </c>
      <c r="V52" s="19">
        <f>IF(Basicinfo!AL52&gt;Parameters!$C$14,Basicinfo!Q52,0)</f>
        <v>0</v>
      </c>
      <c r="W52" s="19">
        <f>IF(Basicinfo!AL52&gt;Parameters!$C$14,0,Basicinfo!Q52)</f>
        <v>0</v>
      </c>
      <c r="X52" s="19">
        <f>G52+Basicinfo!M52</f>
        <v>35.112708708599769</v>
      </c>
      <c r="Y52" s="19">
        <f>IF(Basicinfo!G52-F52-Q52-V52-Basicinfo!O52-Basicinfo!R52-Basicinfo!S52&lt;0,0,Basicinfo!G52-F52-Q52-V52-Basicinfo!O52-Basicinfo!R52-Basicinfo!S52)</f>
        <v>63.787775756105297</v>
      </c>
      <c r="Z52" s="19">
        <f>Basicinfo!G52-F52-Basicinfo!BO52-Q52-Basicinfo!O52</f>
        <v>58.886848852701199</v>
      </c>
      <c r="AA52" s="53">
        <f>IF(Z52+Basicinfo!BO52-X52&gt;0,Z52+Basicinfo!BO52-X52,0)</f>
        <v>28.675067047505529</v>
      </c>
      <c r="AB52" s="56">
        <f>IF(Basicinfo!N52=0,0,Parameters!$C$71+Parameters!$C$72*Q52/Basicinfo!N52)</f>
        <v>0.38020406932586726</v>
      </c>
      <c r="AC52" s="43">
        <f>Basicinfo!AU52*AB52*R52/1000/86.4/0.365</f>
        <v>2.8485442089021479E-3</v>
      </c>
      <c r="AD52" s="43">
        <f>Basicinfo!AU52*AB52*S52/1000/86.4/0.365</f>
        <v>3.4862117405075588E-3</v>
      </c>
      <c r="AE52" s="43">
        <f>Basicinfo!AU52*AB52*T52/1000/86.4/0.365</f>
        <v>0</v>
      </c>
      <c r="AF52" s="43">
        <f>Basicinfo!AU52*AB52*U52/1000/86.4/0.365</f>
        <v>3.7882303008213458E-3</v>
      </c>
      <c r="AG52" s="43">
        <f>((Parameters!$C$80+Parameters!$C$81*Parameters!$C$89)/(Parameters!$C$82+Parameters!$C$89)/(Parameters!$C$90/100*Parameters!$C$91+(Parameters!$C$83+Parameters!$C$84*Parameters!$C$89)/(Parameters!$C$85+Parameters!$C$89)))-Parameters!$C$86+(Basicinfo!AU52-Parameters!$C$88)/Parameters!$C$87</f>
        <v>72.553986148437218</v>
      </c>
      <c r="AH52" s="43">
        <f>((Parameters!$C$80+Parameters!$C$81*Parameters!$C$89)/(Parameters!$C$82+Parameters!$C$89)/(Basicinfo!BY52/100*Parameters!$C$91+(Parameters!$C$83+Parameters!$C$84*Parameters!$C$89)/(Parameters!$C$85+Parameters!$C$89)))-Parameters!$C$86+(Basicinfo!AU52-Parameters!$C$88)/Parameters!$C$87</f>
        <v>54.751104281821647</v>
      </c>
      <c r="AI52" s="43">
        <f>Basicinfo!AU52^Parameters!$C$79*Parameters!$C$78*AH52/AG52</f>
        <v>18.88534535179086</v>
      </c>
      <c r="AJ52" s="43">
        <f>(J52*Parameters!$C$92/1000+Parameters!$C$94/100*S52*100*Parameters!$C$93/1000*86400*Parameters!$C$95/24)/86400</f>
        <v>3.6265121966463322E-3</v>
      </c>
      <c r="AK52" s="43">
        <f t="shared" si="1"/>
        <v>2.0114734004689234E-3</v>
      </c>
      <c r="AL52" s="43">
        <f>(K52*Parameters!$C$92/1000+Parameters!$C$94/100*T52*100*Parameters!$C$93/1000*86400*Parameters!$C$95/24)/86400</f>
        <v>0</v>
      </c>
      <c r="AM52" s="43">
        <f>(Intermediate!N52+Basicinfo!BV52-Intermediate!L52)*Parameters!$C$92/1000/86400</f>
        <v>9.4493750000000003E-4</v>
      </c>
      <c r="AN52" s="43">
        <f t="shared" si="2"/>
        <v>4.7572836344325509E-3</v>
      </c>
      <c r="AO52" s="43">
        <f t="shared" si="27"/>
        <v>2.0114734004689234E-3</v>
      </c>
      <c r="AP52" s="43">
        <f t="shared" si="28"/>
        <v>4.7331678008213458E-3</v>
      </c>
      <c r="AQ52" s="43">
        <f t="shared" si="33"/>
        <v>9.5931854101924171E-3</v>
      </c>
      <c r="AR52" s="61">
        <f>(Basicinfo!AU52-Basicinfo!AY52)*F52/1000/86.4/0.365</f>
        <v>1.8792835703986509E-3</v>
      </c>
      <c r="AS52" s="19">
        <f>IF(Basicinfo!AP52-Basicinfo!CB52-Basicinfo!CG52&lt;0,0,(Basicinfo!AP52-Basicinfo!CB52-Basicinfo!CG52)/Basicinfo!G52*1000)</f>
        <v>10.233493347976069</v>
      </c>
      <c r="AT52" s="19">
        <f>Parameters!$C$3*((AS52*86.4*0.365)^Parameters!$C$4)</f>
        <v>56.972241722102346</v>
      </c>
      <c r="AU52" s="19">
        <f>IF(AT52/86.4/0.365*(Basicinfo!G52/1000)-AN52&lt;0,0,AT52/86.4/0.365*(Basicinfo!G52/1000)-AN52)</f>
        <v>0.11282084264846876</v>
      </c>
      <c r="AV52" s="19">
        <f>IF(Basicinfo!AU52&gt;Parameters!$C$13,Parameters!$C$11*(Basicinfo!AU52-Parameters!$C$13)^Parameters!$C$12,0)</f>
        <v>40.101731412802209</v>
      </c>
      <c r="AW52" s="19">
        <f>IF(AV52*V52/1000/86.4/0.365&gt;Basicinfo!AP52*Parameters!$C$15,Basicinfo!AP52*Parameters!$C$15,AV52*V52/1000/86.4/0.365)</f>
        <v>0</v>
      </c>
      <c r="AX52" s="19">
        <f>Basicinfo!AU52-Basicinfo!AW52</f>
        <v>283.13725679828576</v>
      </c>
      <c r="AY52" s="19">
        <f>Parameters!$C$56*AX52+Parameters!$C$57*Basicinfo!AW52</f>
        <v>197.91618303567145</v>
      </c>
      <c r="AZ52" s="19">
        <f>AY52*Basicinfo!BO52/1000/86.4/0.365</f>
        <v>3.0757634007438233E-2</v>
      </c>
      <c r="BA52" s="19">
        <f>IF(Basicinfo!AP52-AQ52-AR52-AU52-AW52-AZ52-Basicinfo!CB52-Basicinfo!CG52&lt;0,0,Basicinfo!AP52-AQ52-AR52-AU52-AW52-AZ52-Basicinfo!CB52-Basicinfo!CG52)</f>
        <v>0.51097898345432002</v>
      </c>
      <c r="BB52" s="53">
        <f t="shared" si="34"/>
        <v>273.64740236862343</v>
      </c>
      <c r="BC52" s="56">
        <f>IF(G52=0,0,((Basicinfo!H52*Basicinfo!BE52+Basicinfo!I52*Basicinfo!BF52+Basicinfo!J52*Basicinfo!BG52+Basicinfo!K52*Basicinfo!BH52+Basicinfo!L52*Basicinfo!BI52)*(1-Basicinfo!BN52/G52*Parameters!$C$26/100)/G52)*Basicinfo!BM52)</f>
        <v>1.6174380064954226</v>
      </c>
      <c r="BD52" s="43">
        <f>IF(Basicinfo!AW52*Parameters!$C$39-Parameters!$C$40&lt;0,0.001,(Basicinfo!AW52*Parameters!$C$39-Parameters!$C$40)/(Basicinfo!AX52*Parameters!$C$39-Parameters!$C$40))</f>
        <v>1.1225455782330458</v>
      </c>
      <c r="BE52" s="43">
        <f>(BC52*G52*100+Basicinfo!BJ52*Basicinfo!M52*100)*Parameters!$C$29*BD52</f>
        <v>2799.9985496791537</v>
      </c>
      <c r="BF52" s="43">
        <f>(Basicinfo!BK52*Basicinfo!P52*100)*BD52*Parameters!$C$29</f>
        <v>275.4294634872013</v>
      </c>
      <c r="BG52" s="43">
        <f>Parameters!$C$27*(V52+W52)*100</f>
        <v>0</v>
      </c>
      <c r="BH52" s="43">
        <f>Parameters!$C$28*Basicinfo!R52*100</f>
        <v>0</v>
      </c>
      <c r="BI52" s="43">
        <f t="shared" si="29"/>
        <v>275.4294634872013</v>
      </c>
      <c r="BJ52" s="43">
        <f>IF(Basicinfo!AM52&lt;Parameters!$C$33,0,Parameters!$C$30*(((Basicinfo!AM52-Parameters!$C$33)^Parameters!$C$31)*(((G52-Basicinfo!BN52)/Basicinfo!G52*100+Parameters!$C$34))^Parameters!$C$32))</f>
        <v>2.6164845365459972</v>
      </c>
      <c r="BK52" s="58">
        <f t="shared" si="30"/>
        <v>348.69099256306856</v>
      </c>
      <c r="BL52" s="61">
        <f>Basicinfo!AZ52+Basicinfo!BA52</f>
        <v>1345.923864501339</v>
      </c>
      <c r="BM52" s="19">
        <f>Basicinfo!BB52+Basicinfo!BC52</f>
        <v>1809.7405410467136</v>
      </c>
      <c r="BN52" s="172">
        <f>IF(Basicinfo!AO52=0,0,IF(Basicinfo!AO52="NA",1,IF(OR(Basicinfo!AO52="SA",Basicinfo!AN52="S"),3,IF(Basicinfo!AN52="N",1,IF(Basicinfo!AO52="ZA",2,0)))))</f>
        <v>0</v>
      </c>
      <c r="BO52" s="27">
        <f>IF($BN52=1,(BL52)*(1+Parameters!$C$21*Parameters!$C$22-Parameters!$C$22*Basicinfo!$AL52),IF($BN52=2,(BL52)*(1+Parameters!$C$21*Parameters!$C$23-Parameters!$C$23*Basicinfo!$AL52),IF($BN52=3,(BL52)*(1+Parameters!$C$21*Parameters!$C$24-Parameters!$C$24*Basicinfo!$AL52),BL52)))</f>
        <v>1345.923864501339</v>
      </c>
      <c r="BP52" s="27">
        <f>IF($BN52=1,(BM52)*(1+Parameters!$C$21*Parameters!$C$22-Parameters!$C$22*Basicinfo!$AL52),IF($BN52=2,(BM52)*(1+Parameters!$C$21*Parameters!$C$23-Parameters!$C$23*Basicinfo!$AL52),IF($BN52=3,(BM52)*(1+Parameters!$C$21*Parameters!$C$24-Parameters!$C$24*Basicinfo!$AL52),BM52)))</f>
        <v>1809.7405410467136</v>
      </c>
      <c r="BQ52" s="27">
        <f>IF(Basicinfo!AU52=0,0,IF(G52+Basicinfo!M52=0,0,(Parameters!$C$16+BO52/Basicinfo!AU52)*G52+(Parameters!$C$17+BO52/Basicinfo!AU52)*Basicinfo!M52)/(G52+Basicinfo!M52))</f>
        <v>1.7141057354069764</v>
      </c>
      <c r="BR52" s="27">
        <f>IF(Basicinfo!AU52=0,0,IF(G52+Basicinfo!M52=0,0,(Parameters!$C$16+BP52/Basicinfo!AU52)*G52+(Parameters!$C$17+BP52/Basicinfo!AU52)*Basicinfo!M52)/(G52+Basicinfo!M52))</f>
        <v>2.2619555609851063</v>
      </c>
      <c r="BS52" s="27">
        <f>IF(Basicinfo!AU52=0,0,BO52/Basicinfo!AU52)</f>
        <v>1.589774994509854</v>
      </c>
      <c r="BT52" s="27">
        <f>IF(Basicinfo!AU52=0,0,BP52/Basicinfo!AU52)</f>
        <v>2.1376248200879844</v>
      </c>
      <c r="BU52" s="27">
        <f>IF(SUM(G52,Basicinfo!M52,Basicinfo!P52,W52)=0,0,(BQ52*(G52+Basicinfo!M52)+BS52*(Basicinfo!P52+W52))/SUM(G52,Basicinfo!M52,Basicinfo!P52,W52))</f>
        <v>1.6607044011354766</v>
      </c>
      <c r="BV52" s="19">
        <f>IF(Basicinfo!BR52/Parameters!$C$10&gt;1,1,Basicinfo!BR52/Parameters!$C$10)</f>
        <v>0.35702691695347349</v>
      </c>
      <c r="BW52" s="19">
        <f>Parameters!$C$5+Parameters!$C$6*EXP(BV52*Parameters!$C$8*Parameters!$C$7)</f>
        <v>3.5089950423627718E-2</v>
      </c>
      <c r="BX52" s="19">
        <f>Parameters!$C$5+Parameters!$C$6*EXP(BV52*Parameters!$C$9*Parameters!$C$7)</f>
        <v>3.5051721158271772E-2</v>
      </c>
      <c r="BY52" s="19">
        <f>IF(Basicinfo!AH52+Basicinfo!AI52+Basicinfo!AJ52+Basicinfo!AK52=0,0,(Parameters!$C$18*(Basicinfo!AH52+Basicinfo!AI52)+Parameters!$C$19*Basicinfo!AJ52+Parameters!$C$20*Basicinfo!AK52)/(Basicinfo!AH52+Basicinfo!AI52+Basicinfo!AJ52+Basicinfo!AK52))</f>
        <v>2.5278159077591452E-2</v>
      </c>
      <c r="BZ52" s="19">
        <f>IF(Basicinfo!AJ52+Basicinfo!AK52=0,Parameters!$C$18,(Parameters!$C$19*Basicinfo!AJ52+Parameters!$C$20*Basicinfo!AK52)/(Basicinfo!AJ52+Basicinfo!AK52))</f>
        <v>2.5000000000000001E-2</v>
      </c>
      <c r="CA52" s="19">
        <f>IF(SUM(G52,Basicinfo!M52,Basicinfo!P52,W52)=0,0,(BW52*G52+BX52*Basicinfo!M52+BY52*Basicinfo!P52+BZ52*W52)/(SUM(G52,Basicinfo!M52,Basicinfo!P52,W52)))</f>
        <v>3.08629141386157E-2</v>
      </c>
      <c r="CB52" s="19">
        <f>IF(Y52=0,Basicinfo!BP52,Basicinfo!BP52-(AU52*X52/Y52*Intermediate!BQ52*86400*365/1000000)*1000/(X52*100))</f>
        <v>55.837293038585436</v>
      </c>
      <c r="CC52" s="19">
        <f>IF(Y52=0,Basicinfo!BQ52,Basicinfo!BQ52-(AU52*Basicinfo!AV52/Basicinfo!AU52*X52/Y52*Intermediate!BR52*86400*365/1000000)*1000/(X52*100))</f>
        <v>58.703900351737367</v>
      </c>
      <c r="CD52" s="19">
        <f>IF(OR(Y52=0,AA52=0),BP52/100,BP52/100-(AU52*Basicinfo!AV52/Basicinfo!AU52*(Basicinfo!P52+W52)/Y52*Intermediate!BT52*86400*365/1000000+AW52*Basicinfo!AV52/Basicinfo!AU52*Intermediate!BT52*86400*365/1000000)*1000/(AA52*100))</f>
        <v>17.061052313971459</v>
      </c>
      <c r="CE52" s="19">
        <f t="shared" si="35"/>
        <v>177354.94285406388</v>
      </c>
      <c r="CF52" s="19">
        <f t="shared" si="36"/>
        <v>48922.681900413088</v>
      </c>
      <c r="CG52" s="19">
        <f>IF(AY52=0,0,((CB52^Parameters!$C$58))/AY52*100)</f>
        <v>15.431366845221344</v>
      </c>
      <c r="CH52" s="19">
        <f>IF(SUM(Basicinfo!AB52:AG52)=0,0,(Parameters!$C$59*Basicinfo!AB52+Parameters!$C$60*SUM(Basicinfo!AC52:AE52)+Parameters!$C$61*Basicinfo!AF52+Parameters!$C$62*Basicinfo!AG52)/SUM(Basicinfo!AB52:AG52))</f>
        <v>0.2</v>
      </c>
      <c r="CI52" s="19">
        <f t="shared" si="31"/>
        <v>11</v>
      </c>
      <c r="CJ52" s="19">
        <f t="shared" si="37"/>
        <v>38.425833469283589</v>
      </c>
      <c r="CK52" s="19">
        <f t="shared" si="9"/>
        <v>14.042096923515148</v>
      </c>
      <c r="CL52" s="19">
        <f>IF($BB52=0,0,$CJ52^Parameters!$C$58*100/$BB52)</f>
        <v>8.1234118457594153</v>
      </c>
      <c r="CM52" s="19">
        <f>IF(CK52=0,0,(1/(1+Parameters!$C$116*BB52^Parameters!$C$120)*Basicinfo!AH52/Basicinfo!G52+1/(1+Parameters!$C$117*BB52^Parameters!$C$121)*Basicinfo!AI52/Basicinfo!G52)*(CK52)^Parameters!$C$124+(1/(1+Parameters!$C$118*BB52^Parameters!$C$122)*Basicinfo!AJ52/Basicinfo!G52+1/(1+Parameters!$C$119*BB52^Parameters!$C$123)*Basicinfo!AK52/Basicinfo!G52)*(CK52)^Parameters!$C$125)</f>
        <v>2.4740953011767655</v>
      </c>
      <c r="CN52" s="300">
        <f>IF(SUM(Basicinfo!AB52:AG52)=0,0,(Parameters!$C$128*Basicinfo!AB52+Parameters!$C$129*(SUM(Basicinfo!AC52:AE52))+Parameters!$C$130*Basicinfo!AF52+Parameters!$C$131*Basicinfo!AG52)/SUM(Basicinfo!AB52:AG52))</f>
        <v>2.9999999999999995E-2</v>
      </c>
      <c r="CO52" s="19">
        <f>IF(Basicinfo!AH52+Basicinfo!AI52+Basicinfo!AJ52+Basicinfo!AK52=0,0,(Parameters!$C$132*(Basicinfo!AH52+Basicinfo!AI52)+Parameters!$C$133*Basicinfo!AJ52+Parameters!$C$134*Basicinfo!AK52)/(Basicinfo!AH52+Basicinfo!AI52+Basicinfo!AJ52+Basicinfo!AK52))</f>
        <v>5.0000000000000001E-4</v>
      </c>
      <c r="CP52" s="19">
        <f>IF(Basicinfo!AJ52+Basicinfo!AK52=0,0,(Parameters!$C$133*Basicinfo!AJ52+Parameters!$C$134*Basicinfo!AK52)/(Basicinfo!AJ52+Basicinfo!AK52))</f>
        <v>5.0000000000000001E-4</v>
      </c>
      <c r="CQ52" s="19">
        <f>IF(Z52=0,0,(CN52*(Z52-AA52)+CO52*Basicinfo!P52+CP52*(Basicinfo!Q52+Basicinfo!R52))/Z52)</f>
        <v>1.5615902375225751E-2</v>
      </c>
      <c r="CR52" s="290">
        <v>4.5999999999999999E-2</v>
      </c>
      <c r="CS52" s="19">
        <f>IF(SUM(Basicinfo!AB52:AG52)=0,0,(Basicinfo!AB52*Parameters!$C$43+(Basicinfo!AC52+Basicinfo!AD52)*Parameters!$C$44+Basicinfo!AE52*Parameters!$C$45+(Basicinfo!AF52+Basicinfo!AG52)*Parameters!$C$46)/SUM(Basicinfo!AB52:AG52))</f>
        <v>4.593</v>
      </c>
      <c r="CT52" s="19">
        <f>(Parameters!$C$41*CS52+Parameters!$C$42)</f>
        <v>321.84859999999998</v>
      </c>
      <c r="CU52" s="19">
        <f>CT52+Basicinfo!BR52/(Parameters!$C$47*Parameters!$C$49*Parameters!$C$48*10000/1000000)</f>
        <v>447.59392924147494</v>
      </c>
      <c r="CV52" s="19">
        <f>IF(BK52/Basicinfo!G52&lt;Parameters!$C$35,Parameters!$C$35,Parameters!$C$37*(BK52/Basicinfo!G52)^Parameters!$C$38)</f>
        <v>3.4800727444222019</v>
      </c>
      <c r="CW52" s="19">
        <f>IF(BK52/Basicinfo!G52&lt;Parameters!$C$35,Parameters!$C$36,Parameters!$C$36*(BK52/Basicinfo!G52)^Parameters!$C$38)</f>
        <v>8.1781709493921753</v>
      </c>
      <c r="CX52" s="27">
        <f>IF(Basicinfo!AJ52+Basicinfo!AK52=0,0,(Parameters!$C$53*Basicinfo!AJ52+Parameters!$C$54*Basicinfo!AK52)/(Basicinfo!AJ52+Basicinfo!AK52))</f>
        <v>750</v>
      </c>
      <c r="CY52" s="56">
        <f>IF(Basicinfo!AU52*AB52=0,0,((Basicinfo!AZ52+Basicinfo!BA52)/Basicinfo!AU52+Parameters!$C$76/(Basicinfo!AU52*AB52)*100))</f>
        <v>2.8324523901692036</v>
      </c>
      <c r="CZ52" s="43">
        <f>IF(Basicinfo!AU52*AB52=0,0,(Parameters!$C$77)/(Basicinfo!AU52*AB52)*100)</f>
        <v>0.77667337228709354</v>
      </c>
      <c r="DA52" s="43">
        <f>IF(AD52+AJ52=0,0,((J52*Parameters!$C$96+Parameters!$C$94/100*S52*100*Parameters!$C$93/1000*86400*Parameters!$C$95/24*Parameters!$C$98)*AI52+AD52*CY52*86400*365)/((AD52+AJ52*AI52/365)*86400*365))</f>
        <v>7.387829869179944</v>
      </c>
      <c r="DB52" s="43">
        <f>IF(AD52+AJ52=0,0,((J52*Parameters!$C$97+Parameters!$C$94/100*S52*100*Parameters!$C$93/1000*86400*Parameters!$C$95/24*Parameters!$C$99)*AI52+AD52*CZ52*86400*365)/((AD52+AJ52*AI52/365)*86400*365))</f>
        <v>1.5016016456759003</v>
      </c>
      <c r="DC52" s="42">
        <f>IF(AE52+AL52=0,0,((K52*Parameters!$C$96+Parameters!$C$94/100*T52*100*Parameters!$C$93/1000*86400*Parameters!$C$95/24*Parameters!$C$98)*365+AE52*CY52*86400*365)/((AE52+AL52)*86400*365))</f>
        <v>0</v>
      </c>
      <c r="DD52" s="42">
        <f>IF(AE52+AL52=0,0,((K52*Parameters!$C$97+Parameters!$C$94/100*T52*100*Parameters!$C$93/1000*86400*Parameters!$C$95/24*Parameters!$C$99)*365+AE52*CZ52*86400*365)/((AE52+AL52)*86400*365))</f>
        <v>0</v>
      </c>
      <c r="DE52" s="42">
        <f>IF(Basicinfo!AH52+Basicinfo!AI52+Basicinfo!AJ52+Basicinfo!AK52=0,0,((Basicinfo!AH52+Basicinfo!AI52)*Parameters!$C$107+(Basicinfo!AJ52+Basicinfo!AK52)*Parameters!$C$106)/(Basicinfo!AH52+Basicinfo!AI52+Basicinfo!AJ52+Basicinfo!AK52))</f>
        <v>51.112636310365801</v>
      </c>
      <c r="DF52" s="42">
        <f>IF(Basicinfo!AH52+Basicinfo!AI52+Basicinfo!AJ52+Basicinfo!AK52=0,0,((Basicinfo!AH52+Basicinfo!AI52)*Parameters!$C$109+(Basicinfo!AJ52+Basicinfo!AK52)*Parameters!$C$108)/(Basicinfo!AH52+Basicinfo!AI52+Basicinfo!AJ52+Basicinfo!AK52))</f>
        <v>51.112636310365801</v>
      </c>
      <c r="DG52" s="42">
        <f>Intermediate!AC52*Intermediate!CY52*(1-Parameters!$C$102/100*Basicinfo!BZ52/100)*(1-Parameters!$C$104/100*Basicinfo!CA52/100)*86400*365/1000000</f>
        <v>0.25444398554044551</v>
      </c>
      <c r="DH52" s="42">
        <f>Intermediate!AC52*Intermediate!CZ52*(1-Parameters!$C$103/100*Basicinfo!BZ52/100)*(1-Parameters!$C$105/100*Basicinfo!CA52/100)*86400*365/1000000</f>
        <v>6.9769881744088547E-2</v>
      </c>
      <c r="DI52" s="42">
        <f>(Intermediate!AK52*Intermediate!DA52+(Intermediate!AE52+Intermediate!AL52)*Intermediate!DC52)*86400*365/1000000</f>
        <v>0.46863830821261143</v>
      </c>
      <c r="DJ52" s="42">
        <f>(Intermediate!AK52*Intermediate!DB52+(Intermediate!AE52+Intermediate!AL52)*Intermediate!DD52)*86400*365/1000000</f>
        <v>9.5252336247550778E-2</v>
      </c>
      <c r="DK52" s="42">
        <f>((Basicinfo!AZ52+Basicinfo!BA52)*Intermediate!AB52+Parameters!$C$76*100)/1000*Intermediate!U52*(1-Intermediate!DE52/100)+(1-Parameters!$C$110/100)*M52*Parameters!$C$100*(1-DE52/100)*365/1000000+(1-Parameters!$C$112/100)*P52*Parameters!$C$96*365/1000000+(1-Parameters!$C$112/100)*O52*Parameters!$C$96*(1-DE52/100)*365/1000000</f>
        <v>1.0731371980398301</v>
      </c>
      <c r="DL52" s="42">
        <f>Parameters!$C$77*100/1000*Intermediate!U52*(1-Intermediate!DF52/100)+(1-Parameters!$C$111/100)*M52*Parameters!$C$101*(1-DF52/100)*365/1000000+(1-Parameters!$C$113/100)*P52*Parameters!$C$97*365/1000000+(1-Parameters!$C$113/100)*O52*Parameters!$C$97*(1-DF52/100)*365/1000000</f>
        <v>0.16659765346812341</v>
      </c>
      <c r="DM52" s="31"/>
      <c r="DN52" s="31"/>
      <c r="DO52" s="31"/>
      <c r="DP52" s="31"/>
      <c r="DQ52" s="31"/>
      <c r="DR52" s="31"/>
      <c r="DS52" s="31"/>
      <c r="DT52" s="188">
        <f>BO52*(Basicinfo!$P52+Basicinfo!$Q52)/1000</f>
        <v>35.580382202322212</v>
      </c>
      <c r="DU52" s="188">
        <f>DT52*Basicinfo!$AZ52/(Basicinfo!$AZ52+Basicinfo!$BA52)</f>
        <v>20.149957736990597</v>
      </c>
      <c r="DV52" s="188">
        <f>DT52*Basicinfo!$BC52/(Basicinfo!$BB52+Basicinfo!$BC52)</f>
        <v>14.492007288000268</v>
      </c>
      <c r="DW52" s="188">
        <f>BP52*(Basicinfo!$P52+Basicinfo!$Q52)/1000</f>
        <v>47.841680971557949</v>
      </c>
      <c r="DX52" s="188">
        <f>DW52*Basicinfo!$BB52/(Basicinfo!$BB52+Basicinfo!$BC52)</f>
        <v>28.355606163043081</v>
      </c>
      <c r="DY52" s="188">
        <f>DW52*Basicinfo!$BC52/(Basicinfo!$BB52+Basicinfo!$BC52)</f>
        <v>19.486074808514868</v>
      </c>
      <c r="DZ52" s="188">
        <f t="shared" si="38"/>
        <v>47.259032598188426</v>
      </c>
      <c r="EA52" s="188">
        <f>DZ52*Basicinfo!$AZ52/(Basicinfo!$AZ52+Basicinfo!$BA52)</f>
        <v>26.76383587252209</v>
      </c>
      <c r="EB52" s="188">
        <f>DZ52*Basicinfo!$BC52/(Basicinfo!$BB52+Basicinfo!$BC52)</f>
        <v>19.248760199998337</v>
      </c>
      <c r="EC52" s="188">
        <f t="shared" si="39"/>
        <v>63.544892455916994</v>
      </c>
      <c r="ED52" s="188">
        <f>EC52*Basicinfo!$AZ52/(Basicinfo!$AZ52+Basicinfo!$BA52)</f>
        <v>35.986878671156347</v>
      </c>
      <c r="EE52" s="188">
        <f>EC52*Basicinfo!$BC52/(Basicinfo!$BB52+Basicinfo!$BC52)</f>
        <v>25.882044755726056</v>
      </c>
      <c r="EF52" s="190">
        <f>(Basicinfo!BP52-BL52/100)*Intermediate!X52/10</f>
        <v>152.15789820251985</v>
      </c>
      <c r="EG52" s="191">
        <f>(Basicinfo!BQ52-BM52/100)*Intermediate!X52/10</f>
        <v>146.75715779278306</v>
      </c>
      <c r="EH52" s="197">
        <f>IF(AU52=0,0,$BS52*((Basicinfo!$P52+Basicinfo!$Q52)*Intermediate!$AT52*1000+$AW52*3600*24*365)/1000000*Basicinfo!AZ52/(Basicinfo!$AZ52+Basicinfo!$BA52))</f>
        <v>1.355977914097497</v>
      </c>
      <c r="EI52" s="197">
        <f>IF(AU52=0,0,$BS52*((Basicinfo!$P52+Basicinfo!$Q52)*Intermediate!$AT52*1000+$AW52*3600*24*365)/1000000*Basicinfo!BA52/(Basicinfo!$AZ52+Basicinfo!$BA52))</f>
        <v>1.0383800826405234</v>
      </c>
      <c r="EJ52" s="198">
        <f>IF(AU52=0,0,$BS52*($AT52*$X52*1000)/1000000*Basicinfo!AZ52/(Basicinfo!$AZ52+Basicinfo!$BA52))</f>
        <v>1.8010544147717087</v>
      </c>
      <c r="EK52" s="198">
        <f>IF(AU52=0,0,$BS52*($AT52*$X52*1000)/1000000*Basicinfo!BA52/(Basicinfo!$AZ52+Basicinfo!$BA52))</f>
        <v>1.3792105406786572</v>
      </c>
      <c r="EL52" s="147">
        <f>Parameters!$C$150/Basicinfo!$AV52*100</f>
        <v>0.12528038017833601</v>
      </c>
      <c r="EM52" s="147">
        <f>Parameters!$C$151/Basicinfo!$AV52*100</f>
        <v>0.25056076035667202</v>
      </c>
      <c r="EN52" s="147">
        <f>(Parameters!$C$150+Parameters!$C$151)/Intermediate!$BB52*100</f>
        <v>1.0963012891892088</v>
      </c>
      <c r="EO52" s="193">
        <f>IF(EN52=0,0,(1/(1+Parameters!$C$116*$BB52^Parameters!$C$120)*Basicinfo!$AH52/Basicinfo!$G52+1/(1+Parameters!$C$117*$BB52^Parameters!$C$121)*Basicinfo!$AI52/Basicinfo!$G52)*(EN52)^Parameters!$C$124+(1/(1+Parameters!$C$118*$BB52^Parameters!$C$122)*Basicinfo!$AJ52/Basicinfo!AW52+1/(1+Parameters!$C$119*$BB52^Parameters!$C$123)*Basicinfo!$AK52/Basicinfo!$G52)*(EN52)^Parameters!$C$125)</f>
        <v>0.28892937286696641</v>
      </c>
      <c r="EP52" s="199">
        <f>EL52*($AT52*Basicinfo!$P52*1000+$AW52*3600*24*365)/1000000</f>
        <v>0.1886846133259639</v>
      </c>
      <c r="EQ52" s="199">
        <f>EM52*($AT52*Basicinfo!$P52*1000+$AW52*3600*24*365)/1000000</f>
        <v>0.37736922665192779</v>
      </c>
      <c r="ER52" s="199">
        <f t="shared" si="40"/>
        <v>0.25061710245952112</v>
      </c>
      <c r="ES52" s="199">
        <f t="shared" si="41"/>
        <v>0.50123420491904225</v>
      </c>
      <c r="ET52" s="181">
        <f t="shared" si="14"/>
        <v>4.6558752991267411</v>
      </c>
      <c r="EU52" s="147">
        <f>Intermediate!F52*(Parameters!$C$150)/1000*100</f>
        <v>3.0378830069618359E-2</v>
      </c>
      <c r="EV52" s="147">
        <f>Intermediate!F52*(Parameters!$C$151)/1000*100</f>
        <v>6.0757660139236717E-2</v>
      </c>
      <c r="EW52" s="181">
        <f>'Local emissions'!$S52*Basicinfo!AZ52/(Basicinfo!$AZ52+Basicinfo!$BA52)-Intermediate!EU52</f>
        <v>0.2011766527984328</v>
      </c>
      <c r="EX52" s="147">
        <f>'Local emissions'!$S52*Basicinfo!BA52/(Basicinfo!$AZ52+Basicinfo!$BA52)-Intermediate!EV52</f>
        <v>0.11656278065601439</v>
      </c>
      <c r="EY52" s="188">
        <f t="shared" si="15"/>
        <v>1.1672933007715331</v>
      </c>
      <c r="EZ52" s="188">
        <f t="shared" si="16"/>
        <v>0.66101085598859566</v>
      </c>
      <c r="FA52" s="188">
        <f t="shared" si="17"/>
        <v>1.5504373123121875</v>
      </c>
      <c r="FB52" s="181">
        <f t="shared" si="18"/>
        <v>0.87797633575961498</v>
      </c>
      <c r="FC52" s="181">
        <f>'Local emissions'!Y52-Intermediate!ET52</f>
        <v>35.212273398023001</v>
      </c>
      <c r="FD52" s="188">
        <f t="shared" si="19"/>
        <v>3.8678659824894619</v>
      </c>
      <c r="FE52" s="188">
        <f t="shared" si="20"/>
        <v>2.6580114510946844</v>
      </c>
      <c r="FF52" s="181">
        <f t="shared" si="21"/>
        <v>2.454407481677396</v>
      </c>
      <c r="FG52" s="201">
        <f t="shared" si="22"/>
        <v>1.7652290677957265</v>
      </c>
      <c r="FH52" s="181">
        <f t="shared" si="23"/>
        <v>24.466759414965733</v>
      </c>
      <c r="FJ52" s="147">
        <f>AVERAGE(Parameters!$C$132:$C$134)*'Local emissions'!J52*3600*24*365/1000000</f>
        <v>8.0571166111077196E-3</v>
      </c>
      <c r="FK52" s="147">
        <f>'Local emissions'!AJ52+CT52*BJ52/100*Intermediate!X52*100/1000000</f>
        <v>0.1535120878876107</v>
      </c>
      <c r="FL52" s="31">
        <f>(Parameters!$C$18*(Basicinfo!AH52+Basicinfo!AI52)+Parameters!$C$19*Basicinfo!AJ52+Parameters!$C$20*Basicinfo!AK52)/Basicinfo!G52</f>
        <v>2.5278159077591452E-2</v>
      </c>
      <c r="FM52" s="181">
        <f t="shared" si="32"/>
        <v>8.9937619559159576E-2</v>
      </c>
    </row>
    <row r="53" spans="1:169">
      <c r="A53" s="39" t="str">
        <f>Basicinfo!A53</f>
        <v>Feldaist</v>
      </c>
      <c r="B53" s="63">
        <f>Basicinfo!B53</f>
        <v>1580</v>
      </c>
      <c r="C53" s="63">
        <f>Basicinfo!C53</f>
        <v>1600</v>
      </c>
      <c r="D53" s="61">
        <f>Basicinfo!U53*Basicinfo!V53/1000+Basicinfo!Y53</f>
        <v>0.7511136379901443</v>
      </c>
      <c r="E53" s="19">
        <f>Basicinfo!W53*Basicinfo!X53/1000+Basicinfo!Z53</f>
        <v>0.12270355129494663</v>
      </c>
      <c r="F53" s="19">
        <f t="shared" si="0"/>
        <v>0.87381718928509089</v>
      </c>
      <c r="G53" s="19">
        <f>SUM(Basicinfo!H53:L53)</f>
        <v>50.2012297860431</v>
      </c>
      <c r="H53" s="19">
        <f>IF(Basicinfo!N53&lt;Parameters!$C$68,Parameters!$C$69,Basicinfo!BS53/(Basicinfo!N53*100))</f>
        <v>19.963522049208823</v>
      </c>
      <c r="I53" s="19">
        <f>IF(Basicinfo!N53=0,0,Basicinfo!BU53*(1-Basicinfo!BX53/100))</f>
        <v>9021.7694445221568</v>
      </c>
      <c r="J53" s="19">
        <f>IF(Basicinfo!N53=0,0,Basicinfo!BU53*Basicinfo!BX53/100)</f>
        <v>6533.0054598263887</v>
      </c>
      <c r="K53" s="19">
        <f>IF(Basicinfo!N53=0,0,Basicinfo!BT53-Basicinfo!BU53)</f>
        <v>0</v>
      </c>
      <c r="L53" s="27">
        <f>Basicinfo!BV53*Basicinfo!BW53/100</f>
        <v>1696.95</v>
      </c>
      <c r="M53" s="27">
        <f>Basicinfo!BV53-Intermediate!L53</f>
        <v>1696.95</v>
      </c>
      <c r="N53" s="73">
        <f>Basicinfo!BS53-SUM(I53:K53)-Basicinfo!BV53</f>
        <v>0</v>
      </c>
      <c r="O53" s="19">
        <f>IF(Basicinfo!AH53+Basicinfo!AI53+Basicinfo!AJ53+Basicinfo!AK53=0,0,N53*(Basicinfo!AH53+Basicinfo!AI53)/SUM(Basicinfo!AH53:AK53))</f>
        <v>0</v>
      </c>
      <c r="P53" s="73">
        <f t="shared" si="25"/>
        <v>0</v>
      </c>
      <c r="Q53" s="19">
        <f>IF(Basicinfo!BS53=0,Basicinfo!N53,IF(H53&gt;Parameters!$C$70,Parameters!$C$64*(Parameters!$C$65*Parameters!$C$70)^(Parameters!$C$66-Parameters!$C$67*LOG(Parameters!$C$65*Parameters!$C$70,10))/100*Basicinfo!N53,Parameters!$C$64*(Parameters!$C$65*H53)^(Parameters!$C$66-Parameters!$C$67*LOG(Parameters!$C$65*H53,10))/100*Basicinfo!N53))</f>
        <v>2.8012010761302761</v>
      </c>
      <c r="R53" s="19">
        <f>IF(Basicinfo!BS53=0,Q53*(1-Basicinfo!BX53/100),IF(H53&lt;Parameters!$C$75,Q53*Basicinfo!BU53/Basicinfo!BS53*(1-Basicinfo!BX53/100)*(-Parameters!$C$74+Parameters!$C$73*LN(H53*100)),Q53*Basicinfo!BU53/Basicinfo!BS53*(1-Basicinfo!BX53/100)))</f>
        <v>0.77605774314081366</v>
      </c>
      <c r="S53" s="19">
        <f>IF(Basicinfo!BS53=0,Q53*Basicinfo!BX53/100,Q53*Basicinfo!BU53/Basicinfo!BS53*Basicinfo!BX53/100)</f>
        <v>0.96578056338023455</v>
      </c>
      <c r="T53" s="19">
        <f>IF(Basicinfo!BS53=0,0,IF(H53&lt;Parameters!$C$75,Q53*K53/Basicinfo!BS53*(-Parameters!$C$74+Parameters!$C$73*LN(H53*100)),Q53*K53/Basicinfo!BS53))</f>
        <v>0</v>
      </c>
      <c r="U53" s="19">
        <f t="shared" si="26"/>
        <v>1.059362769609228</v>
      </c>
      <c r="V53" s="19">
        <f>IF(Basicinfo!AL53&gt;Parameters!$C$14,Basicinfo!Q53,0)</f>
        <v>0</v>
      </c>
      <c r="W53" s="19">
        <f>IF(Basicinfo!AL53&gt;Parameters!$C$14,0,Basicinfo!Q53)</f>
        <v>0</v>
      </c>
      <c r="X53" s="19">
        <f>G53+Basicinfo!M53</f>
        <v>104.26345249567461</v>
      </c>
      <c r="Y53" s="19">
        <f>IF(Basicinfo!G53-F53-Q53-V53-Basicinfo!O53-Basicinfo!R53-Basicinfo!S53&lt;0,0,Basicinfo!G53-F53-Q53-V53-Basicinfo!O53-Basicinfo!R53-Basicinfo!S53)</f>
        <v>194.28727643158464</v>
      </c>
      <c r="Z53" s="19">
        <f>Basicinfo!G53-F53-Basicinfo!BO53-Q53-Basicinfo!O53</f>
        <v>180.04607265828267</v>
      </c>
      <c r="AA53" s="53">
        <f>IF(Z53+Basicinfo!BO53-X53&gt;0,Z53+Basicinfo!BO53-X53,0)</f>
        <v>90.023823935910031</v>
      </c>
      <c r="AB53" s="56">
        <f>IF(Basicinfo!N53=0,0,Parameters!$C$71+Parameters!$C$72*Q53/Basicinfo!N53)</f>
        <v>0.3713420188874027</v>
      </c>
      <c r="AC53" s="43">
        <f>Basicinfo!AU53*AB53*R53/1000/86.4/0.365</f>
        <v>7.3437379056142523E-3</v>
      </c>
      <c r="AD53" s="43">
        <f>Basicinfo!AU53*AB53*S53/1000/86.4/0.365</f>
        <v>9.1390613578531225E-3</v>
      </c>
      <c r="AE53" s="43">
        <f>Basicinfo!AU53*AB53*T53/1000/86.4/0.365</f>
        <v>0</v>
      </c>
      <c r="AF53" s="43">
        <f>Basicinfo!AU53*AB53*U53/1000/86.4/0.365</f>
        <v>1.0024618136648348E-2</v>
      </c>
      <c r="AG53" s="43">
        <f>((Parameters!$C$80+Parameters!$C$81*Parameters!$C$89)/(Parameters!$C$82+Parameters!$C$89)/(Parameters!$C$90/100*Parameters!$C$91+(Parameters!$C$83+Parameters!$C$84*Parameters!$C$89)/(Parameters!$C$85+Parameters!$C$89)))-Parameters!$C$86+(Basicinfo!AU53-Parameters!$C$88)/Parameters!$C$87</f>
        <v>71.479393129076513</v>
      </c>
      <c r="AH53" s="43">
        <f>((Parameters!$C$80+Parameters!$C$81*Parameters!$C$89)/(Parameters!$C$82+Parameters!$C$89)/(Basicinfo!BY53/100*Parameters!$C$91+(Parameters!$C$83+Parameters!$C$84*Parameters!$C$89)/(Parameters!$C$85+Parameters!$C$89)))-Parameters!$C$86+(Basicinfo!AU53-Parameters!$C$88)/Parameters!$C$87</f>
        <v>53.676511262460934</v>
      </c>
      <c r="AI53" s="43">
        <f>Basicinfo!AU53^Parameters!$C$79*Parameters!$C$78*AH53/AG53</f>
        <v>16.497714462090315</v>
      </c>
      <c r="AJ53" s="43">
        <f>(J53*Parameters!$C$92/1000+Parameters!$C$94/100*S53*100*Parameters!$C$93/1000*86400*Parameters!$C$95/24)/86400</f>
        <v>9.8619462708329341E-3</v>
      </c>
      <c r="AK53" s="43">
        <f t="shared" si="1"/>
        <v>5.1447935591855806E-3</v>
      </c>
      <c r="AL53" s="43">
        <f>(K53*Parameters!$C$92/1000+Parameters!$C$94/100*T53*100*Parameters!$C$93/1000*86400*Parameters!$C$95/24)/86400</f>
        <v>0</v>
      </c>
      <c r="AM53" s="43">
        <f>(Intermediate!N53+Basicinfo!BV53-Intermediate!L53)*Parameters!$C$92/1000/86400</f>
        <v>2.55328125E-3</v>
      </c>
      <c r="AN53" s="43">
        <f t="shared" si="2"/>
        <v>1.22492672046455E-2</v>
      </c>
      <c r="AO53" s="43">
        <f t="shared" si="27"/>
        <v>5.1447935591855806E-3</v>
      </c>
      <c r="AP53" s="43">
        <f t="shared" si="28"/>
        <v>1.2577899386648349E-2</v>
      </c>
      <c r="AQ53" s="43">
        <f t="shared" si="33"/>
        <v>2.5066430851448183E-2</v>
      </c>
      <c r="AR53" s="61">
        <f>(Basicinfo!AU53-Basicinfo!AY53)*F53/1000/86.4/0.365</f>
        <v>3.6838786041696538E-3</v>
      </c>
      <c r="AS53" s="19">
        <f>IF(Basicinfo!AP53-Basicinfo!CB53-Basicinfo!CG53&lt;0,0,(Basicinfo!AP53-Basicinfo!CB53-Basicinfo!CG53)/Basicinfo!G53*1000)</f>
        <v>9.2613308663283966</v>
      </c>
      <c r="AT53" s="19">
        <f>Parameters!$C$3*((AS53*86.4*0.365)^Parameters!$C$4)</f>
        <v>50.308832117553827</v>
      </c>
      <c r="AU53" s="19">
        <f>IF(AT53/86.4/0.365*(Basicinfo!G53/1000)-AN53&lt;0,0,AT53/86.4/0.365*(Basicinfo!G53/1000)-AN53)</f>
        <v>0.30355653725746412</v>
      </c>
      <c r="AV53" s="19">
        <f>IF(Basicinfo!AU53&gt;Parameters!$C$13,Parameters!$C$11*(Basicinfo!AU53-Parameters!$C$13)^Parameters!$C$12,0)</f>
        <v>8.6683829262203957</v>
      </c>
      <c r="AW53" s="19">
        <f>IF(AV53*V53/1000/86.4/0.365&gt;Basicinfo!AP53*Parameters!$C$15,Basicinfo!AP53*Parameters!$C$15,AV53*V53/1000/86.4/0.365)</f>
        <v>0</v>
      </c>
      <c r="AX53" s="19">
        <f>Basicinfo!AU53-Basicinfo!AW53</f>
        <v>270.03650246171435</v>
      </c>
      <c r="AY53" s="19">
        <f>Parameters!$C$56*AX53+Parameters!$C$57*Basicinfo!AW53</f>
        <v>188.37750922360004</v>
      </c>
      <c r="AZ53" s="19">
        <f>AY53*Basicinfo!BO53/1000/86.4/0.365</f>
        <v>8.5068572271700948E-2</v>
      </c>
      <c r="BA53" s="19">
        <f>IF(Basicinfo!AP53-AQ53-AR53-AU53-AW53-AZ53-Basicinfo!CB53-Basicinfo!CG53&lt;0,0,Basicinfo!AP53-AQ53-AR53-AU53-AW53-AZ53-Basicinfo!CB53-Basicinfo!CG53)</f>
        <v>1.4160188912617417</v>
      </c>
      <c r="BB53" s="53">
        <f t="shared" si="34"/>
        <v>248.02302597060284</v>
      </c>
      <c r="BC53" s="56">
        <f>IF(G53=0,0,((Basicinfo!H53*Basicinfo!BE53+Basicinfo!I53*Basicinfo!BF53+Basicinfo!J53*Basicinfo!BG53+Basicinfo!K53*Basicinfo!BH53+Basicinfo!L53*Basicinfo!BI53)*(1-Basicinfo!BN53/G53*Parameters!$C$26/100)/G53)*Basicinfo!BM53)</f>
        <v>2.3298388875558218</v>
      </c>
      <c r="BD53" s="43">
        <f>IF(Basicinfo!AW53*Parameters!$C$39-Parameters!$C$40&lt;0,0.001,(Basicinfo!AW53*Parameters!$C$39-Parameters!$C$40)/(Basicinfo!AX53*Parameters!$C$39-Parameters!$C$40))</f>
        <v>1.0927282355964336</v>
      </c>
      <c r="BE53" s="43">
        <f>(BC53*G53*100+Basicinfo!BJ53*Basicinfo!M53*100)*Parameters!$C$29*BD53</f>
        <v>13276.467210778841</v>
      </c>
      <c r="BF53" s="43">
        <f>(Basicinfo!BK53*Basicinfo!P53*100)*BD53*Parameters!$C$29</f>
        <v>912.87473889397268</v>
      </c>
      <c r="BG53" s="43">
        <f>Parameters!$C$27*(V53+W53)*100</f>
        <v>0</v>
      </c>
      <c r="BH53" s="43">
        <f>Parameters!$C$28*Basicinfo!R53*100</f>
        <v>0</v>
      </c>
      <c r="BI53" s="43">
        <f t="shared" si="29"/>
        <v>912.87473889397268</v>
      </c>
      <c r="BJ53" s="43">
        <f>IF(Basicinfo!AM53&lt;Parameters!$C$33,0,Parameters!$C$30*(((Basicinfo!AM53-Parameters!$C$33)^Parameters!$C$31)*(((G53-Basicinfo!BN53)/Basicinfo!G53*100+Parameters!$C$34))^Parameters!$C$32))</f>
        <v>3.1031117675967952</v>
      </c>
      <c r="BK53" s="58">
        <f t="shared" si="30"/>
        <v>1324.8583552327809</v>
      </c>
      <c r="BL53" s="61">
        <f>Basicinfo!AZ53+Basicinfo!BA53</f>
        <v>1362.6710175387198</v>
      </c>
      <c r="BM53" s="19">
        <f>Basicinfo!BB53+Basicinfo!BC53</f>
        <v>1738.7069439601028</v>
      </c>
      <c r="BN53" s="172">
        <f>IF(Basicinfo!AO53=0,0,IF(Basicinfo!AO53="NA",1,IF(OR(Basicinfo!AO53="SA",Basicinfo!AN53="S"),3,IF(Basicinfo!AN53="N",1,IF(Basicinfo!AO53="ZA",2,0)))))</f>
        <v>0</v>
      </c>
      <c r="BO53" s="27">
        <f>IF($BN53=1,(BL53)*(1+Parameters!$C$21*Parameters!$C$22-Parameters!$C$22*Basicinfo!$AL53),IF($BN53=2,(BL53)*(1+Parameters!$C$21*Parameters!$C$23-Parameters!$C$23*Basicinfo!$AL53),IF($BN53=3,(BL53)*(1+Parameters!$C$21*Parameters!$C$24-Parameters!$C$24*Basicinfo!$AL53),BL53)))</f>
        <v>1362.6710175387198</v>
      </c>
      <c r="BP53" s="27">
        <f>IF($BN53=1,(BM53)*(1+Parameters!$C$21*Parameters!$C$22-Parameters!$C$22*Basicinfo!$AL53),IF($BN53=2,(BM53)*(1+Parameters!$C$21*Parameters!$C$23-Parameters!$C$23*Basicinfo!$AL53),IF($BN53=3,(BM53)*(1+Parameters!$C$21*Parameters!$C$24-Parameters!$C$24*Basicinfo!$AL53),BM53)))</f>
        <v>1738.7069439601028</v>
      </c>
      <c r="BQ53" s="27">
        <f>IF(Basicinfo!AU53=0,0,IF(G53+Basicinfo!M53=0,0,(Parameters!$C$16+BO53/Basicinfo!AU53)*G53+(Parameters!$C$17+BO53/Basicinfo!AU53)*Basicinfo!M53)/(G53+Basicinfo!M53))</f>
        <v>1.8400920511387446</v>
      </c>
      <c r="BR53" s="27">
        <f>IF(Basicinfo!AU53=0,0,IF(G53+Basicinfo!M53=0,0,(Parameters!$C$16+BP53/Basicinfo!AU53)*G53+(Parameters!$C$17+BP53/Basicinfo!AU53)*Basicinfo!M53)/(G53+Basicinfo!M53))</f>
        <v>2.3080142986804209</v>
      </c>
      <c r="BS53" s="27">
        <f>IF(Basicinfo!AU53=0,0,BO53/Basicinfo!AU53)</f>
        <v>1.6956467198618266</v>
      </c>
      <c r="BT53" s="27">
        <f>IF(Basicinfo!AU53=0,0,BP53/Basicinfo!AU53)</f>
        <v>2.1635689674035032</v>
      </c>
      <c r="BU53" s="27">
        <f>IF(SUM(G53,Basicinfo!M53,Basicinfo!P53,W53)=0,0,(BQ53*(G53+Basicinfo!M53)+BS53*(Basicinfo!P53+W53))/SUM(G53,Basicinfo!M53,Basicinfo!P53,W53))</f>
        <v>1.7759272292686998</v>
      </c>
      <c r="BV53" s="19">
        <f>IF(Basicinfo!BR53/Parameters!$C$10&gt;1,1,Basicinfo!BR53/Parameters!$C$10)</f>
        <v>0.37545992344102297</v>
      </c>
      <c r="BW53" s="19">
        <f>Parameters!$C$5+Parameters!$C$6*EXP(BV53*Parameters!$C$8*Parameters!$C$7)</f>
        <v>3.5116326292697495E-2</v>
      </c>
      <c r="BX53" s="19">
        <f>Parameters!$C$5+Parameters!$C$6*EXP(BV53*Parameters!$C$9*Parameters!$C$7)</f>
        <v>3.5065003182429069E-2</v>
      </c>
      <c r="BY53" s="19">
        <f>IF(Basicinfo!AH53+Basicinfo!AI53+Basicinfo!AJ53+Basicinfo!AK53=0,0,(Parameters!$C$18*(Basicinfo!AH53+Basicinfo!AI53)+Parameters!$C$19*Basicinfo!AJ53+Parameters!$C$20*Basicinfo!AK53)/(Basicinfo!AH53+Basicinfo!AI53+Basicinfo!AJ53+Basicinfo!AK53))</f>
        <v>2.6298809480152795E-2</v>
      </c>
      <c r="BZ53" s="19">
        <f>IF(Basicinfo!AJ53+Basicinfo!AK53=0,Parameters!$C$18,(Parameters!$C$19*Basicinfo!AJ53+Parameters!$C$20*Basicinfo!AK53)/(Basicinfo!AJ53+Basicinfo!AK53))</f>
        <v>2.4999999999999998E-2</v>
      </c>
      <c r="CA53" s="19">
        <f>IF(SUM(G53,Basicinfo!M53,Basicinfo!P53,W53)=0,0,(BW53*G53+BX53*Basicinfo!M53+BY53*Basicinfo!P53+BZ53*W53)/(SUM(G53,Basicinfo!M53,Basicinfo!P53,W53)))</f>
        <v>3.1184660229332778E-2</v>
      </c>
      <c r="CB53" s="19">
        <f>IF(Y53=0,Basicinfo!BP53,Basicinfo!BP53-(AU53*X53/Y53*Intermediate!BQ53*86400*365/1000000)*1000/(X53*100))</f>
        <v>56.092125575109016</v>
      </c>
      <c r="CC53" s="19">
        <f>IF(Y53=0,Basicinfo!BQ53,Basicinfo!BQ53-(AU53*Basicinfo!AV53/Basicinfo!AU53*X53/Y53*Intermediate!BR53*86400*365/1000000)*1000/(X53*100))</f>
        <v>45.289550168766354</v>
      </c>
      <c r="CD53" s="19">
        <f>IF(OR(Y53=0,AA53=0),BP53/100,BP53/100-(AU53*Basicinfo!AV53/Basicinfo!AU53*(Basicinfo!P53+W53)/Y53*Intermediate!BT53*86400*365/1000000+AW53*Basicinfo!AV53/Basicinfo!AU53*Intermediate!BT53*86400*365/1000000)*1000/(AA53*100))</f>
        <v>16.419532186633745</v>
      </c>
      <c r="CE53" s="19">
        <f t="shared" si="35"/>
        <v>407706.71498170588</v>
      </c>
      <c r="CF53" s="19">
        <f t="shared" si="36"/>
        <v>147814.90746795241</v>
      </c>
      <c r="CG53" s="19">
        <f>IF(AY53=0,0,((CB53^Parameters!$C$58))/AY53*100)</f>
        <v>16.275620796952019</v>
      </c>
      <c r="CH53" s="19">
        <f>IF(SUM(Basicinfo!AB53:AG53)=0,0,(Parameters!$C$59*Basicinfo!AB53+Parameters!$C$60*SUM(Basicinfo!AC53:AE53)+Parameters!$C$61*Basicinfo!AF53+Parameters!$C$62*Basicinfo!AG53)/SUM(Basicinfo!AB53:AG53))</f>
        <v>0.19059406268312959</v>
      </c>
      <c r="CI53" s="19">
        <f t="shared" si="31"/>
        <v>12</v>
      </c>
      <c r="CJ53" s="19">
        <f t="shared" si="37"/>
        <v>30.854414886572236</v>
      </c>
      <c r="CK53" s="19">
        <f t="shared" si="9"/>
        <v>12.440141299715165</v>
      </c>
      <c r="CL53" s="19">
        <f>IF($BB53=0,0,$CJ53^Parameters!$C$58*100/$BB53)</f>
        <v>7.437512626154053</v>
      </c>
      <c r="CM53" s="19">
        <f>IF(CK53=0,0,(1/(1+Parameters!$C$116*BB53^Parameters!$C$120)*Basicinfo!AH53/Basicinfo!G53+1/(1+Parameters!$C$117*BB53^Parameters!$C$121)*Basicinfo!AI53/Basicinfo!G53)*(CK53)^Parameters!$C$124+(1/(1+Parameters!$C$118*BB53^Parameters!$C$122)*Basicinfo!AJ53/Basicinfo!G53+1/(1+Parameters!$C$119*BB53^Parameters!$C$123)*Basicinfo!AK53/Basicinfo!G53)*(CK53)^Parameters!$C$125)</f>
        <v>2.2233440863310667</v>
      </c>
      <c r="CN53" s="140">
        <f>IF(SUM(Basicinfo!AB53:AG53)=0,0,(Parameters!$D$128*Basicinfo!AB53+Parameters!$D$129*(SUM(Basicinfo!AC53:AE53))+Parameters!$D$130*Basicinfo!AF53+Parameters!$D$131*Basicinfo!AG53)/SUM(Basicinfo!AB53:AG53))</f>
        <v>9.5297031341564795E-2</v>
      </c>
      <c r="CO53" s="19">
        <f>IF(Basicinfo!AH53+Basicinfo!AI53+Basicinfo!AJ53+Basicinfo!AK53=0,0,(Parameters!$C$132*(Basicinfo!AH53+Basicinfo!AI53)+Parameters!$C$133*Basicinfo!AJ53+Parameters!$C$134*Basicinfo!AK53)/(Basicinfo!AH53+Basicinfo!AI53+Basicinfo!AJ53+Basicinfo!AK53))</f>
        <v>5.0000000000000001E-4</v>
      </c>
      <c r="CP53" s="19">
        <f>IF(Basicinfo!AJ53+Basicinfo!AK53=0,0,(Parameters!$C$133*Basicinfo!AJ53+Parameters!$C$134*Basicinfo!AK53)/(Basicinfo!AJ53+Basicinfo!AK53))</f>
        <v>5.0000000000000001E-4</v>
      </c>
      <c r="CQ53" s="19">
        <f>IF(Z53=0,0,(CN53*(Z53-AA53)+CO53*Basicinfo!P53+CP53*(Basicinfo!Q53+Basicinfo!R53))/Z53)</f>
        <v>4.7879521161105394E-2</v>
      </c>
      <c r="CR53" s="299">
        <f>IF(CK53=0,0,IF(AND((Basicinfo!AI53+Basicinfo!AK53)&gt;0,(CM53/CK53)&lt;Parameters!$C$135),CQ53*Parameters!$C$136,CQ53))</f>
        <v>0.11969880290276348</v>
      </c>
      <c r="CS53" s="19">
        <f>IF(SUM(Basicinfo!AB53:AG53)=0,0,(Basicinfo!AB53*Parameters!$C$43+(Basicinfo!AC53+Basicinfo!AD53)*Parameters!$C$44+Basicinfo!AE53*Parameters!$C$45+(Basicinfo!AF53+Basicinfo!AG53)*Parameters!$C$46)/SUM(Basicinfo!AB53:AG53))</f>
        <v>5.8693856938993108</v>
      </c>
      <c r="CT53" s="19">
        <f>(Parameters!$C$41*CS53+Parameters!$C$42)</f>
        <v>334.86773407777298</v>
      </c>
      <c r="CU53" s="19">
        <f>CT53+Basicinfo!BR53/(Parameters!$C$47*Parameters!$C$49*Parameters!$C$48*10000/1000000)</f>
        <v>467.10519139033454</v>
      </c>
      <c r="CV53" s="19">
        <f>IF(BK53/Basicinfo!G53&lt;Parameters!$C$35,Parameters!$C$35,Parameters!$C$37*(BK53/Basicinfo!G53)^Parameters!$C$38)</f>
        <v>3.1345757331213409</v>
      </c>
      <c r="CW53" s="19">
        <f>IF(BK53/Basicinfo!G53&lt;Parameters!$C$35,Parameters!$C$36,Parameters!$C$36*(BK53/Basicinfo!G53)^Parameters!$C$38)</f>
        <v>7.3662529728351513</v>
      </c>
      <c r="CX53" s="27">
        <f>IF(Basicinfo!AJ53+Basicinfo!AK53=0,0,(Parameters!$C$53*Basicinfo!AJ53+Parameters!$C$54*Basicinfo!AK53)/(Basicinfo!AJ53+Basicinfo!AK53))</f>
        <v>750</v>
      </c>
      <c r="CY53" s="56">
        <f>IF(Basicinfo!AU53*AB53=0,0,((Basicinfo!AZ53+Basicinfo!BA53)/Basicinfo!AU53+Parameters!$C$76/(Basicinfo!AU53*AB53)*100))</f>
        <v>3.0360338588729743</v>
      </c>
      <c r="CZ53" s="43">
        <f>IF(Basicinfo!AU53*AB53=0,0,(Parameters!$C$77)/(Basicinfo!AU53*AB53)*100)</f>
        <v>0.83774196188196715</v>
      </c>
      <c r="DA53" s="43">
        <f>IF(AD53+AJ53=0,0,((J53*Parameters!$C$96+Parameters!$C$94/100*S53*100*Parameters!$C$93/1000*86400*Parameters!$C$95/24*Parameters!$C$98)*AI53+AD53*CY53*86400*365)/((AD53+AJ53*AI53/365)*86400*365))</f>
        <v>7.1740003852409489</v>
      </c>
      <c r="DB53" s="43">
        <f>IF(AD53+AJ53=0,0,((J53*Parameters!$C$97+Parameters!$C$94/100*S53*100*Parameters!$C$93/1000*86400*Parameters!$C$95/24*Parameters!$C$99)*AI53+AD53*CZ53*86400*365)/((AD53+AJ53*AI53/365)*86400*365))</f>
        <v>1.4949105549952553</v>
      </c>
      <c r="DC53" s="42">
        <f>IF(AE53+AL53=0,0,((K53*Parameters!$C$96+Parameters!$C$94/100*T53*100*Parameters!$C$93/1000*86400*Parameters!$C$95/24*Parameters!$C$98)*365+AE53*CY53*86400*365)/((AE53+AL53)*86400*365))</f>
        <v>0</v>
      </c>
      <c r="DD53" s="42">
        <f>IF(AE53+AL53=0,0,((K53*Parameters!$C$97+Parameters!$C$94/100*T53*100*Parameters!$C$93/1000*86400*Parameters!$C$95/24*Parameters!$C$99)*365+AE53*CZ53*86400*365)/((AE53+AL53)*86400*365))</f>
        <v>0</v>
      </c>
      <c r="DE53" s="42">
        <f>IF(Basicinfo!AH53+Basicinfo!AI53+Basicinfo!AJ53+Basicinfo!AK53=0,0,((Basicinfo!AH53+Basicinfo!AI53)*Parameters!$C$107+(Basicinfo!AJ53+Basicinfo!AK53)*Parameters!$C$106)/(Basicinfo!AH53+Basicinfo!AI53+Basicinfo!AJ53+Basicinfo!AK53))</f>
        <v>55.195237920611184</v>
      </c>
      <c r="DF53" s="42">
        <f>IF(Basicinfo!AH53+Basicinfo!AI53+Basicinfo!AJ53+Basicinfo!AK53=0,0,((Basicinfo!AH53+Basicinfo!AI53)*Parameters!$C$109+(Basicinfo!AJ53+Basicinfo!AK53)*Parameters!$C$108)/(Basicinfo!AH53+Basicinfo!AI53+Basicinfo!AJ53+Basicinfo!AK53))</f>
        <v>55.195237920611184</v>
      </c>
      <c r="DG53" s="42">
        <f>Intermediate!AC53*Intermediate!CY53*(1-Parameters!$C$102/100*Basicinfo!BZ53/100)*(1-Parameters!$C$104/100*Basicinfo!CA53/100)*86400*365/1000000</f>
        <v>0.70312151349177077</v>
      </c>
      <c r="DH53" s="42">
        <f>Intermediate!AC53*Intermediate!CZ53*(1-Parameters!$C$103/100*Basicinfo!BZ53/100)*(1-Parameters!$C$105/100*Basicinfo!CA53/100)*86400*365/1000000</f>
        <v>0.19401443578520342</v>
      </c>
      <c r="DI53" s="42">
        <f>(Intermediate!AK53*Intermediate!DA53+(Intermediate!AE53+Intermediate!AL53)*Intermediate!DC53)*86400*365/1000000</f>
        <v>1.1639543707659701</v>
      </c>
      <c r="DJ53" s="42">
        <f>(Intermediate!AK53*Intermediate!DB53+(Intermediate!AE53+Intermediate!AL53)*Intermediate!DD53)*86400*365/1000000</f>
        <v>0.24254357136230745</v>
      </c>
      <c r="DK53" s="42">
        <f>((Basicinfo!AZ53+Basicinfo!BA53)*Intermediate!AB53+Parameters!$C$76*100)/1000*Intermediate!U53*(1-Intermediate!DE53/100)+(1-Parameters!$C$110/100)*M53*Parameters!$C$100*(1-DE53/100)*365/1000000+(1-Parameters!$C$112/100)*P53*Parameters!$C$96*365/1000000+(1-Parameters!$C$112/100)*O53*Parameters!$C$96*(1-DE53/100)*365/1000000</f>
        <v>2.6779059670826268</v>
      </c>
      <c r="DL53" s="42">
        <f>Parameters!$C$77*100/1000*Intermediate!U53*(1-Intermediate!DF53/100)+(1-Parameters!$C$111/100)*M53*Parameters!$C$101*(1-DF53/100)*365/1000000+(1-Parameters!$C$113/100)*P53*Parameters!$C$97*365/1000000+(1-Parameters!$C$113/100)*O53*Parameters!$C$97*(1-DF53/100)*365/1000000</f>
        <v>0.41889449539604795</v>
      </c>
      <c r="DM53" s="31"/>
      <c r="DN53" s="31"/>
      <c r="DO53" s="31"/>
      <c r="DP53" s="31"/>
      <c r="DQ53" s="31"/>
      <c r="DR53" s="31"/>
      <c r="DS53" s="31"/>
      <c r="DT53" s="188">
        <f>BO53*(Basicinfo!$P53+Basicinfo!$Q53)/1000</f>
        <v>113.55597594747954</v>
      </c>
      <c r="DU53" s="188">
        <f>DT53*Basicinfo!$AZ53/(Basicinfo!$AZ53+Basicinfo!$BA53)</f>
        <v>64.296721694866662</v>
      </c>
      <c r="DV53" s="188">
        <f>DT53*Basicinfo!$BC53/(Basicinfo!$BB53+Basicinfo!$BC53)</f>
        <v>46.611243154235083</v>
      </c>
      <c r="DW53" s="188">
        <f>BP53*(Basicinfo!$P53+Basicinfo!$Q53)/1000</f>
        <v>144.89231910477534</v>
      </c>
      <c r="DX53" s="188">
        <f>DW53*Basicinfo!$BB53/(Basicinfo!$BB53+Basicinfo!$BC53)</f>
        <v>85.418468780092297</v>
      </c>
      <c r="DY53" s="188">
        <f>DW53*Basicinfo!$BC53/(Basicinfo!$BB53+Basicinfo!$BC53)</f>
        <v>59.473850324683028</v>
      </c>
      <c r="DZ53" s="188">
        <f t="shared" si="38"/>
        <v>142.07678490438087</v>
      </c>
      <c r="EA53" s="188">
        <f>DZ53*Basicinfo!$AZ53/(Basicinfo!$AZ53+Basicinfo!$BA53)</f>
        <v>80.445537296279738</v>
      </c>
      <c r="EB53" s="188">
        <f>DZ53*Basicinfo!$BC53/(Basicinfo!$BB53+Basicinfo!$BC53)</f>
        <v>58.318159942660785</v>
      </c>
      <c r="EC53" s="188">
        <f t="shared" si="39"/>
        <v>181.28358885548374</v>
      </c>
      <c r="ED53" s="188">
        <f>EC53*Basicinfo!$AZ53/(Basicinfo!$AZ53+Basicinfo!$BA53)</f>
        <v>102.64488824329798</v>
      </c>
      <c r="EE53" s="188">
        <f>EC53*Basicinfo!$BC53/(Basicinfo!$BB53+Basicinfo!$BC53)</f>
        <v>74.411349728731594</v>
      </c>
      <c r="EF53" s="190">
        <f>(Basicinfo!BP53-BL53/100)*Intermediate!X53/10</f>
        <v>452.21216548533175</v>
      </c>
      <c r="EG53" s="191">
        <f>(Basicinfo!BQ53-BM53/100)*Intermediate!X53/10</f>
        <v>302.54624722073015</v>
      </c>
      <c r="EH53" s="197">
        <f>IF(AU53=0,0,$BS53*((Basicinfo!$P53+Basicinfo!$Q53)*Intermediate!$AT53*1000+$AW53*3600*24*365)/1000000*Basicinfo!AZ53/(Basicinfo!$AZ53+Basicinfo!$BA53))</f>
        <v>4.0251069160408841</v>
      </c>
      <c r="EI53" s="197">
        <f>IF(AU53=0,0,$BS53*((Basicinfo!$P53+Basicinfo!$Q53)*Intermediate!$AT53*1000+$AW53*3600*24*365)/1000000*Basicinfo!BA53/(Basicinfo!$AZ53+Basicinfo!$BA53))</f>
        <v>3.0837305502472949</v>
      </c>
      <c r="EJ53" s="198">
        <f>IF(AU53=0,0,$BS53*($AT53*$X53*1000)/1000000*Basicinfo!AZ53/(Basicinfo!$AZ53+Basicinfo!$BA53))</f>
        <v>5.0360559605596862</v>
      </c>
      <c r="EK53" s="198">
        <f>IF(AU53=0,0,$BS53*($AT53*$X53*1000)/1000000*Basicinfo!BA53/(Basicinfo!$AZ53+Basicinfo!$BA53))</f>
        <v>3.8582427603210401</v>
      </c>
      <c r="EL53" s="147">
        <f>Parameters!$C$150/Basicinfo!$AV53*100</f>
        <v>0.12691435834364756</v>
      </c>
      <c r="EM53" s="147">
        <f>Parameters!$C$151/Basicinfo!$AV53*100</f>
        <v>0.25382871668729512</v>
      </c>
      <c r="EN53" s="147">
        <f>(Parameters!$C$150+Parameters!$C$151)/Intermediate!$BB53*100</f>
        <v>1.2095651152790861</v>
      </c>
      <c r="EO53" s="193">
        <f>IF(EN53=0,0,(1/(1+Parameters!$C$116*$BB53^Parameters!$C$120)*Basicinfo!$AH53/Basicinfo!$G53+1/(1+Parameters!$C$117*$BB53^Parameters!$C$121)*Basicinfo!$AI53/Basicinfo!$G53)*(EN53)^Parameters!$C$124+(1/(1+Parameters!$C$118*$BB53^Parameters!$C$122)*Basicinfo!$AJ53/Basicinfo!AW53+1/(1+Parameters!$C$119*$BB53^Parameters!$C$123)*Basicinfo!$AK53/Basicinfo!$G53)*(EN53)^Parameters!$C$125)</f>
        <v>0.33067522299755925</v>
      </c>
      <c r="EP53" s="199">
        <f>EL53*($AT53*Basicinfo!$P53*1000+$AW53*3600*24*365)/1000000</f>
        <v>0.53207636651858969</v>
      </c>
      <c r="EQ53" s="199">
        <f>EM53*($AT53*Basicinfo!$P53*1000+$AW53*3600*24*365)/1000000</f>
        <v>1.0641527330371794</v>
      </c>
      <c r="ER53" s="199">
        <f t="shared" si="40"/>
        <v>0.66571308861393386</v>
      </c>
      <c r="ES53" s="199">
        <f t="shared" si="41"/>
        <v>1.3314261772278677</v>
      </c>
      <c r="ET53" s="181">
        <f t="shared" si="14"/>
        <v>14.766491148112015</v>
      </c>
      <c r="EU53" s="147">
        <f>Intermediate!F53*(Parameters!$C$150)/1000*100</f>
        <v>8.7381718928509086E-2</v>
      </c>
      <c r="EV53" s="147">
        <f>Intermediate!F53*(Parameters!$C$151)/1000*100</f>
        <v>0.17476343785701817</v>
      </c>
      <c r="EW53" s="181">
        <f>'Local emissions'!$S53*Basicinfo!AZ53/(Basicinfo!$AZ53+Basicinfo!$BA53)-Intermediate!EU53</f>
        <v>0.58682090536767273</v>
      </c>
      <c r="EX53" s="147">
        <f>'Local emissions'!$S53*Basicinfo!BA53/(Basicinfo!$AZ53+Basicinfo!$BA53)-Intermediate!EV53</f>
        <v>0.3417592963127386</v>
      </c>
      <c r="EY53" s="188">
        <f t="shared" si="15"/>
        <v>3.4930305495222944</v>
      </c>
      <c r="EZ53" s="188">
        <f t="shared" si="16"/>
        <v>2.0195778172101155</v>
      </c>
      <c r="FA53" s="188">
        <f t="shared" si="17"/>
        <v>4.370342871945752</v>
      </c>
      <c r="FB53" s="181">
        <f t="shared" si="18"/>
        <v>2.5268165830931721</v>
      </c>
      <c r="FC53" s="181">
        <f>'Local emissions'!Y53-Intermediate!ET53</f>
        <v>84.518210234722517</v>
      </c>
      <c r="FD53" s="188">
        <f t="shared" si="19"/>
        <v>11.482681249248614</v>
      </c>
      <c r="FE53" s="188">
        <f t="shared" si="20"/>
        <v>7.9949837043088996</v>
      </c>
      <c r="FF53" s="181">
        <f t="shared" si="21"/>
        <v>6.8992019547722903</v>
      </c>
      <c r="FG53" s="201">
        <f t="shared" si="22"/>
        <v>5.0015050753316954</v>
      </c>
      <c r="FH53" s="181">
        <f t="shared" si="23"/>
        <v>53.139838251061029</v>
      </c>
      <c r="FJ53" s="147">
        <f>AVERAGE(Parameters!$C$132:$C$134)*'Local emissions'!J53*3600*24*365/1000000</f>
        <v>2.2327785877415143E-2</v>
      </c>
      <c r="FK53" s="147">
        <f>'Local emissions'!AJ53+CT53*BJ53/100*Intermediate!X53*100/1000000</f>
        <v>0.51913712306799986</v>
      </c>
      <c r="FL53" s="31">
        <f>(Parameters!$C$18*(Basicinfo!AH53+Basicinfo!AI53)+Parameters!$C$19*Basicinfo!AJ53+Parameters!$C$20*Basicinfo!AK53)/Basicinfo!G53</f>
        <v>2.6298809480152795E-2</v>
      </c>
      <c r="FM53" s="181">
        <f t="shared" si="32"/>
        <v>0.25175742382278443</v>
      </c>
    </row>
    <row r="54" spans="1:169">
      <c r="A54" s="39" t="str">
        <f>Basicinfo!A54</f>
        <v>Waldaist</v>
      </c>
      <c r="B54" s="63">
        <f>Basicinfo!B54</f>
        <v>1590</v>
      </c>
      <c r="C54" s="63">
        <f>Basicinfo!C54</f>
        <v>1600</v>
      </c>
      <c r="D54" s="61">
        <f>Basicinfo!U54*Basicinfo!V54/1000+Basicinfo!Y54</f>
        <v>1.4656553647049719</v>
      </c>
      <c r="E54" s="19">
        <f>Basicinfo!W54*Basicinfo!X54/1000+Basicinfo!Z54</f>
        <v>0</v>
      </c>
      <c r="F54" s="19">
        <f t="shared" si="0"/>
        <v>1.4656553647049719</v>
      </c>
      <c r="G54" s="19">
        <f>SUM(Basicinfo!H54:L54)</f>
        <v>37.016619528827654</v>
      </c>
      <c r="H54" s="19">
        <f>IF(Basicinfo!N54&lt;Parameters!$C$68,Parameters!$C$69,Basicinfo!BS54/(Basicinfo!N54*100))</f>
        <v>15.216435633149478</v>
      </c>
      <c r="I54" s="19">
        <f>IF(Basicinfo!N54=0,0,Basicinfo!BU54*(1-Basicinfo!BX54/100))</f>
        <v>6037.228172500927</v>
      </c>
      <c r="J54" s="19">
        <f>IF(Basicinfo!N54=0,0,Basicinfo!BU54*Basicinfo!BX54/100)</f>
        <v>4371.7859180179121</v>
      </c>
      <c r="K54" s="19">
        <f>IF(Basicinfo!N54=0,0,Basicinfo!BT54-Basicinfo!BU54)</f>
        <v>0</v>
      </c>
      <c r="L54" s="27">
        <f>Basicinfo!BV54*Basicinfo!BW54/100</f>
        <v>1145.4300000000003</v>
      </c>
      <c r="M54" s="27">
        <f>Basicinfo!BV54-Intermediate!L54</f>
        <v>1145.4300000000003</v>
      </c>
      <c r="N54" s="73">
        <f>Basicinfo!BS54-SUM(I54:K54)-Basicinfo!BV54</f>
        <v>0</v>
      </c>
      <c r="O54" s="19">
        <f>IF(Basicinfo!AH54+Basicinfo!AI54+Basicinfo!AJ54+Basicinfo!AK54=0,0,N54*(Basicinfo!AH54+Basicinfo!AI54)/SUM(Basicinfo!AH54:AK54))</f>
        <v>0</v>
      </c>
      <c r="P54" s="73">
        <f t="shared" si="25"/>
        <v>0</v>
      </c>
      <c r="Q54" s="19">
        <f>IF(Basicinfo!BS54=0,Basicinfo!N54,IF(H54&gt;Parameters!$C$70,Parameters!$C$64*(Parameters!$C$65*Parameters!$C$70)^(Parameters!$C$66-Parameters!$C$67*LOG(Parameters!$C$65*Parameters!$C$70,10))/100*Basicinfo!N54,Parameters!$C$64*(Parameters!$C$65*H54)^(Parameters!$C$66-Parameters!$C$67*LOG(Parameters!$C$65*H54,10))/100*Basicinfo!N54))</f>
        <v>2.1465561161048585</v>
      </c>
      <c r="R54" s="19">
        <f>IF(Basicinfo!BS54=0,Q54*(1-Basicinfo!BX54/100),IF(H54&lt;Parameters!$C$75,Q54*Basicinfo!BU54/Basicinfo!BS54*(1-Basicinfo!BX54/100)*(-Parameters!$C$74+Parameters!$C$73*LN(H54*100)),Q54*Basicinfo!BU54/Basicinfo!BS54*(1-Basicinfo!BX54/100)))</f>
        <v>0.55913417064591198</v>
      </c>
      <c r="S54" s="19">
        <f>IF(Basicinfo!BS54=0,Q54*Basicinfo!BX54/100,Q54*Basicinfo!BU54/Basicinfo!BS54*Basicinfo!BX54/100)</f>
        <v>0.7389273101241477</v>
      </c>
      <c r="T54" s="19">
        <f>IF(Basicinfo!BS54=0,0,IF(H54&lt;Parameters!$C$75,Q54*K54/Basicinfo!BS54*(-Parameters!$C$74+Parameters!$C$73*LN(H54*100)),Q54*K54/Basicinfo!BS54))</f>
        <v>0</v>
      </c>
      <c r="U54" s="19">
        <f t="shared" si="26"/>
        <v>0.84849463533479896</v>
      </c>
      <c r="V54" s="19">
        <f>IF(Basicinfo!AL54&gt;Parameters!$C$14,Basicinfo!Q54,0)</f>
        <v>0</v>
      </c>
      <c r="W54" s="19">
        <f>IF(Basicinfo!AL54&gt;Parameters!$C$14,0,Basicinfo!Q54)</f>
        <v>0</v>
      </c>
      <c r="X54" s="19">
        <f>G54+Basicinfo!M54</f>
        <v>90.752439379053982</v>
      </c>
      <c r="Y54" s="19">
        <f>IF(Basicinfo!G54-F54-Q54-V54-Basicinfo!O54-Basicinfo!R54-Basicinfo!S54&lt;0,0,Basicinfo!G54-F54-Q54-V54-Basicinfo!O54-Basicinfo!R54-Basicinfo!S54)</f>
        <v>277.74034954718684</v>
      </c>
      <c r="Z54" s="19">
        <f>Basicinfo!G54-F54-Basicinfo!BO54-Q54-Basicinfo!O54</f>
        <v>271.23802615827992</v>
      </c>
      <c r="AA54" s="53">
        <f>IF(Z54+Basicinfo!BO54-X54&gt;0,Z54+Basicinfo!BO54-X54,0)</f>
        <v>187.71164869013617</v>
      </c>
      <c r="AB54" s="56">
        <f>IF(Basicinfo!N54=0,0,Parameters!$C$71+Parameters!$C$72*Q54/Basicinfo!N54)</f>
        <v>0.34289324882778327</v>
      </c>
      <c r="AC54" s="43">
        <f>Basicinfo!AU54*AB54*R54/1000/86.4/0.365</f>
        <v>5.5153207742269297E-3</v>
      </c>
      <c r="AD54" s="43">
        <f>Basicinfo!AU54*AB54*S54/1000/86.4/0.365</f>
        <v>7.2888071560058823E-3</v>
      </c>
      <c r="AE54" s="43">
        <f>Basicinfo!AU54*AB54*T54/1000/86.4/0.365</f>
        <v>0</v>
      </c>
      <c r="AF54" s="43">
        <f>Basicinfo!AU54*AB54*U54/1000/86.4/0.365</f>
        <v>8.3695834287432387E-3</v>
      </c>
      <c r="AG54" s="43">
        <f>((Parameters!$C$80+Parameters!$C$81*Parameters!$C$89)/(Parameters!$C$82+Parameters!$C$89)/(Parameters!$C$90/100*Parameters!$C$91+(Parameters!$C$83+Parameters!$C$84*Parameters!$C$89)/(Parameters!$C$85+Parameters!$C$89)))-Parameters!$C$86+(Basicinfo!AU54-Parameters!$C$88)/Parameters!$C$87</f>
        <v>74.068633322990792</v>
      </c>
      <c r="AH54" s="43">
        <f>((Parameters!$C$80+Parameters!$C$81*Parameters!$C$89)/(Parameters!$C$82+Parameters!$C$89)/(Basicinfo!BY54/100*Parameters!$C$91+(Parameters!$C$83+Parameters!$C$84*Parameters!$C$89)/(Parameters!$C$85+Parameters!$C$89)))-Parameters!$C$86+(Basicinfo!AU54-Parameters!$C$88)/Parameters!$C$87</f>
        <v>56.26575145637522</v>
      </c>
      <c r="AI54" s="43">
        <f>Basicinfo!AU54^Parameters!$C$79*Parameters!$C$78*AH54/AG54</f>
        <v>22.59680690097429</v>
      </c>
      <c r="AJ54" s="43">
        <f>(J54*Parameters!$C$92/1000+Parameters!$C$94/100*S54*100*Parameters!$C$93/1000*86400*Parameters!$C$95/24)/86400</f>
        <v>6.6025495369847935E-3</v>
      </c>
      <c r="AK54" s="43">
        <f t="shared" si="1"/>
        <v>4.3310926737572704E-3</v>
      </c>
      <c r="AL54" s="43">
        <f>(K54*Parameters!$C$92/1000+Parameters!$C$94/100*T54*100*Parameters!$C$93/1000*86400*Parameters!$C$95/24)/86400</f>
        <v>0</v>
      </c>
      <c r="AM54" s="43">
        <f>(Intermediate!N54+Basicinfo!BV54-Intermediate!L54)*Parameters!$C$92/1000/86400</f>
        <v>1.723447916666667E-3</v>
      </c>
      <c r="AN54" s="43">
        <f t="shared" si="2"/>
        <v>9.616422892759692E-3</v>
      </c>
      <c r="AO54" s="43">
        <f t="shared" si="27"/>
        <v>4.3310926737572704E-3</v>
      </c>
      <c r="AP54" s="43">
        <f t="shared" si="28"/>
        <v>1.0093031345409906E-2</v>
      </c>
      <c r="AQ54" s="43">
        <f t="shared" si="33"/>
        <v>1.9939444793394108E-2</v>
      </c>
      <c r="AR54" s="61">
        <f>(Basicinfo!AU54-Basicinfo!AY54)*F54/1000/86.4/0.365</f>
        <v>1.2200220353383031E-2</v>
      </c>
      <c r="AS54" s="19">
        <f>IF(Basicinfo!AP54-Basicinfo!CB54-Basicinfo!CG54&lt;0,0,(Basicinfo!AP54-Basicinfo!CB54-Basicinfo!CG54)/Basicinfo!G54*1000)</f>
        <v>12.903874710144281</v>
      </c>
      <c r="AT54" s="19">
        <f>Parameters!$C$3*((AS54*86.4*0.365)^Parameters!$C$4)</f>
        <v>76.057294993987625</v>
      </c>
      <c r="AU54" s="19">
        <f>IF(AT54/86.4/0.365*(Basicinfo!G54/1000)-AN54&lt;0,0,AT54/86.4/0.365*(Basicinfo!G54/1000)-AN54)</f>
        <v>0.67068419626270603</v>
      </c>
      <c r="AV54" s="19">
        <f>IF(Basicinfo!AU54&gt;Parameters!$C$13,Parameters!$C$11*(Basicinfo!AU54-Parameters!$C$13)^Parameters!$C$12,0)</f>
        <v>66.095771858729194</v>
      </c>
      <c r="AW54" s="19">
        <f>IF(AV54*V54/1000/86.4/0.365&gt;Basicinfo!AP54*Parameters!$C$15,Basicinfo!AP54*Parameters!$C$15,AV54*V54/1000/86.4/0.365)</f>
        <v>0</v>
      </c>
      <c r="AX54" s="19">
        <f>Basicinfo!AU54-Basicinfo!AW54</f>
        <v>319.9436708808571</v>
      </c>
      <c r="AY54" s="19">
        <f>Parameters!$C$56*AX54+Parameters!$C$57*Basicinfo!AW54</f>
        <v>218.69733736691427</v>
      </c>
      <c r="AZ54" s="19">
        <f>AY54*Basicinfo!BO54/1000/86.4/0.365</f>
        <v>5.011163430887066E-2</v>
      </c>
      <c r="BA54" s="19">
        <f>IF(Basicinfo!AP54-AQ54-AR54-AU54-AW54-AZ54-Basicinfo!CB54-Basicinfo!CG54&lt;0,0,Basicinfo!AP54-AQ54-AR54-AU54-AW54-AZ54-Basicinfo!CB54-Basicinfo!CG54)</f>
        <v>2.8869417323759738</v>
      </c>
      <c r="BB54" s="53">
        <f t="shared" si="34"/>
        <v>335.65571819594777</v>
      </c>
      <c r="BC54" s="56">
        <f>IF(G54=0,0,((Basicinfo!H54*Basicinfo!BE54+Basicinfo!I54*Basicinfo!BF54+Basicinfo!J54*Basicinfo!BG54+Basicinfo!K54*Basicinfo!BH54+Basicinfo!L54*Basicinfo!BI54)*(1-Basicinfo!BN54/G54*Parameters!$C$26/100)/G54)*Basicinfo!BM54)</f>
        <v>1.6950544061218558</v>
      </c>
      <c r="BD54" s="43">
        <f>IF(Basicinfo!AW54*Parameters!$C$39-Parameters!$C$40&lt;0,0.001,(Basicinfo!AW54*Parameters!$C$39-Parameters!$C$40)/(Basicinfo!AX54*Parameters!$C$39-Parameters!$C$40))</f>
        <v>1.1041827248206246</v>
      </c>
      <c r="BE54" s="43">
        <f>(BC54*G54*100+Basicinfo!BJ54*Basicinfo!M54*100)*Parameters!$C$29*BD54</f>
        <v>7427.8760491203584</v>
      </c>
      <c r="BF54" s="43">
        <f>(Basicinfo!BK54*Basicinfo!P54*100)*BD54*Parameters!$C$29</f>
        <v>1865.3103334411767</v>
      </c>
      <c r="BG54" s="43">
        <f>Parameters!$C$27*(V54+W54)*100</f>
        <v>0</v>
      </c>
      <c r="BH54" s="43">
        <f>Parameters!$C$28*Basicinfo!R54*100</f>
        <v>0</v>
      </c>
      <c r="BI54" s="43">
        <f t="shared" si="29"/>
        <v>1865.3103334411767</v>
      </c>
      <c r="BJ54" s="43">
        <f>IF(Basicinfo!AM54&lt;Parameters!$C$33,0,Parameters!$C$30*(((Basicinfo!AM54-Parameters!$C$33)^Parameters!$C$31)*(((G54-Basicinfo!BN54)/Basicinfo!G54*100+Parameters!$C$34))^Parameters!$C$32))</f>
        <v>1.8858163644070363</v>
      </c>
      <c r="BK54" s="58">
        <f t="shared" si="30"/>
        <v>2005.3864355033593</v>
      </c>
      <c r="BL54" s="61">
        <f>Basicinfo!AZ54+Basicinfo!BA54</f>
        <v>1393.3934798104058</v>
      </c>
      <c r="BM54" s="19">
        <f>Basicinfo!BB54+Basicinfo!BC54</f>
        <v>1598.7615954572357</v>
      </c>
      <c r="BN54" s="172">
        <f>IF(Basicinfo!AO54=0,0,IF(Basicinfo!AO54="NA",1,IF(OR(Basicinfo!AO54="SA",Basicinfo!AN54="S"),3,IF(Basicinfo!AN54="N",1,IF(Basicinfo!AO54="ZA",2,0)))))</f>
        <v>0</v>
      </c>
      <c r="BO54" s="27">
        <f>IF($BN54=1,(BL54)*(1+Parameters!$C$21*Parameters!$C$22-Parameters!$C$22*Basicinfo!$AL54),IF($BN54=2,(BL54)*(1+Parameters!$C$21*Parameters!$C$23-Parameters!$C$23*Basicinfo!$AL54),IF($BN54=3,(BL54)*(1+Parameters!$C$21*Parameters!$C$24-Parameters!$C$24*Basicinfo!$AL54),BL54)))</f>
        <v>1393.3934798104058</v>
      </c>
      <c r="BP54" s="27">
        <f>IF($BN54=1,(BM54)*(1+Parameters!$C$21*Parameters!$C$22-Parameters!$C$22*Basicinfo!$AL54),IF($BN54=2,(BM54)*(1+Parameters!$C$21*Parameters!$C$23-Parameters!$C$23*Basicinfo!$AL54),IF($BN54=3,(BM54)*(1+Parameters!$C$21*Parameters!$C$24-Parameters!$C$24*Basicinfo!$AL54),BM54)))</f>
        <v>1598.7615954572357</v>
      </c>
      <c r="BQ54" s="27">
        <f>IF(Basicinfo!AU54=0,0,IF(G54+Basicinfo!M54=0,0,(Parameters!$C$16+BO54/Basicinfo!AU54)*G54+(Parameters!$C$17+BO54/Basicinfo!AU54)*Basicinfo!M54)/(G54+Basicinfo!M54))</f>
        <v>1.6582954757137565</v>
      </c>
      <c r="BR54" s="27">
        <f>IF(Basicinfo!AU54=0,0,IF(G54+Basicinfo!M54=0,0,(Parameters!$C$16+BP54/Basicinfo!AU54)*G54+(Parameters!$C$17+BP54/Basicinfo!AU54)*Basicinfo!M54)/(G54+Basicinfo!M54))</f>
        <v>1.8846715914176313</v>
      </c>
      <c r="BS54" s="27">
        <f>IF(Basicinfo!AU54=0,0,BO54/Basicinfo!AU54)</f>
        <v>1.5359297747515475</v>
      </c>
      <c r="BT54" s="27">
        <f>IF(Basicinfo!AU54=0,0,BP54/Basicinfo!AU54)</f>
        <v>1.7623058904554223</v>
      </c>
      <c r="BU54" s="27">
        <f>IF(SUM(G54,Basicinfo!M54,Basicinfo!P54,W54)=0,0,(BQ54*(G54+Basicinfo!M54)+BS54*(Basicinfo!P54+W54))/SUM(G54,Basicinfo!M54,Basicinfo!P54,W54))</f>
        <v>1.5768259785806698</v>
      </c>
      <c r="BV54" s="19">
        <f>IF(Basicinfo!BR54/Parameters!$C$10&gt;1,1,Basicinfo!BR54/Parameters!$C$10)</f>
        <v>0.71298684648223531</v>
      </c>
      <c r="BW54" s="19">
        <f>Parameters!$C$5+Parameters!$C$6*EXP(BV54*Parameters!$C$8*Parameters!$C$7)</f>
        <v>4.7898930589862859E-2</v>
      </c>
      <c r="BX54" s="19">
        <f>Parameters!$C$5+Parameters!$C$6*EXP(BV54*Parameters!$C$9*Parameters!$C$7)</f>
        <v>3.9271712479363521E-2</v>
      </c>
      <c r="BY54" s="19">
        <f>IF(Basicinfo!AH54+Basicinfo!AI54+Basicinfo!AJ54+Basicinfo!AK54=0,0,(Parameters!$C$18*(Basicinfo!AH54+Basicinfo!AI54)+Parameters!$C$19*Basicinfo!AJ54+Parameters!$C$20*Basicinfo!AK54)/(Basicinfo!AH54+Basicinfo!AI54+Basicinfo!AJ54+Basicinfo!AK54))</f>
        <v>2.5415675854525151E-2</v>
      </c>
      <c r="BZ54" s="19">
        <f>IF(Basicinfo!AJ54+Basicinfo!AK54=0,Parameters!$C$18,(Parameters!$C$19*Basicinfo!AJ54+Parameters!$C$20*Basicinfo!AK54)/(Basicinfo!AJ54+Basicinfo!AK54))</f>
        <v>2.5000000000000001E-2</v>
      </c>
      <c r="CA54" s="19">
        <f>IF(SUM(G54,Basicinfo!M54,Basicinfo!P54,W54)=0,0,(BW54*G54+BX54*Basicinfo!M54+BY54*Basicinfo!P54+BZ54*W54)/(SUM(G54,Basicinfo!M54,Basicinfo!P54,W54)))</f>
        <v>3.1222611183376166E-2</v>
      </c>
      <c r="CB54" s="19">
        <f>IF(Y54=0,Basicinfo!BP54,Basicinfo!BP54-(AU54*X54/Y54*Intermediate!BQ54*86400*365/1000000)*1000/(X54*100))</f>
        <v>52.717272694538885</v>
      </c>
      <c r="CC54" s="19">
        <f>IF(Y54=0,Basicinfo!BQ54,Basicinfo!BQ54-(AU54*Basicinfo!AV54/Basicinfo!AU54*X54/Y54*Intermediate!BR54*86400*365/1000000)*1000/(X54*100))</f>
        <v>57.908254751966908</v>
      </c>
      <c r="CD54" s="19">
        <f>IF(OR(Y54=0,AA54=0),BP54/100,BP54/100-(AU54*Basicinfo!AV54/Basicinfo!AU54*(Basicinfo!P54+W54)/Y54*Intermediate!BT54*86400*365/1000000+AW54*Basicinfo!AV54/Basicinfo!AU54*Intermediate!BT54*86400*365/1000000)*1000/(AA54*100))</f>
        <v>14.740630856588568</v>
      </c>
      <c r="CE54" s="19">
        <f t="shared" si="35"/>
        <v>483686.67449342168</v>
      </c>
      <c r="CF54" s="19">
        <f t="shared" si="36"/>
        <v>276698.81208229344</v>
      </c>
      <c r="CG54" s="19">
        <f>IF(AY54=0,0,((CB54^Parameters!$C$58))/AY54*100)</f>
        <v>13.298923826018152</v>
      </c>
      <c r="CH54" s="19">
        <f>IF(SUM(Basicinfo!AB54:AG54)=0,0,(Parameters!$C$59*Basicinfo!AB54+Parameters!$C$60*SUM(Basicinfo!AC54:AE54)+Parameters!$C$61*Basicinfo!AF54+Parameters!$C$62*Basicinfo!AG54)/SUM(Basicinfo!AB54:AG54))</f>
        <v>0.20434152556147325</v>
      </c>
      <c r="CI54" s="19">
        <f t="shared" si="31"/>
        <v>9</v>
      </c>
      <c r="CJ54" s="19">
        <f t="shared" si="37"/>
        <v>28.033882171521004</v>
      </c>
      <c r="CK54" s="19">
        <f t="shared" si="9"/>
        <v>8.3519751494760754</v>
      </c>
      <c r="CL54" s="19">
        <f>IF($BB54=0,0,$CJ54^Parameters!$C$58*100/$BB54)</f>
        <v>5.0656678116500693</v>
      </c>
      <c r="CM54" s="19">
        <f>IF(CK54=0,0,(1/(1+Parameters!$C$116*BB54^Parameters!$C$120)*Basicinfo!AH54/Basicinfo!G54+1/(1+Parameters!$C$117*BB54^Parameters!$C$121)*Basicinfo!AI54/Basicinfo!G54)*(CK54)^Parameters!$C$124+(1/(1+Parameters!$C$118*BB54^Parameters!$C$122)*Basicinfo!AJ54/Basicinfo!G54+1/(1+Parameters!$C$119*BB54^Parameters!$C$123)*Basicinfo!AK54/Basicinfo!G54)*(CK54)^Parameters!$C$125)</f>
        <v>1.5966467433858089</v>
      </c>
      <c r="CN54" s="19">
        <f>IF(SUM(Basicinfo!AB54:AG54)=0,0,(Parameters!$C$128*Basicinfo!AB54+Parameters!$C$129*(SUM(Basicinfo!AC54:AE54))+Parameters!$C$130*Basicinfo!AF54+Parameters!$C$131*Basicinfo!AG54)/SUM(Basicinfo!AB54:AG54))</f>
        <v>3.4395518218148131E-2</v>
      </c>
      <c r="CO54" s="19">
        <f>IF(Basicinfo!AH54+Basicinfo!AI54+Basicinfo!AJ54+Basicinfo!AK54=0,0,(Parameters!$C$132*(Basicinfo!AH54+Basicinfo!AI54)+Parameters!$C$133*Basicinfo!AJ54+Parameters!$C$134*Basicinfo!AK54)/(Basicinfo!AH54+Basicinfo!AI54+Basicinfo!AJ54+Basicinfo!AK54))</f>
        <v>5.0000000000000001E-4</v>
      </c>
      <c r="CP54" s="19">
        <f>IF(Basicinfo!AJ54+Basicinfo!AK54=0,0,(Parameters!$C$133*Basicinfo!AJ54+Parameters!$C$134*Basicinfo!AK54)/(Basicinfo!AJ54+Basicinfo!AK54))</f>
        <v>5.0000000000000001E-4</v>
      </c>
      <c r="CQ54" s="19">
        <f>IF(Z54=0,0,(CN54*(Z54-AA54)+CO54*Basicinfo!P54+CP54*(Basicinfo!Q54+Basicinfo!R54))/Z54)</f>
        <v>1.0925190819178251E-2</v>
      </c>
      <c r="CR54" s="289">
        <f>Basicinfo!EI54</f>
        <v>3.732748070175438E-2</v>
      </c>
      <c r="CS54" s="19">
        <f>IF(SUM(Basicinfo!AB54:AG54)=0,0,(Basicinfo!AB54*Parameters!$C$43+(Basicinfo!AC54+Basicinfo!AD54)*Parameters!$C$44+Basicinfo!AE54*Parameters!$C$45+(Basicinfo!AF54+Basicinfo!AG54)*Parameters!$C$46)/SUM(Basicinfo!AB54:AG54))</f>
        <v>6.1921639639276149</v>
      </c>
      <c r="CT54" s="19">
        <f>(Parameters!$C$41*CS54+Parameters!$C$42)</f>
        <v>338.16007243206167</v>
      </c>
      <c r="CU54" s="19">
        <f>CT54+Basicinfo!BR54/(Parameters!$C$47*Parameters!$C$49*Parameters!$C$48*10000/1000000)</f>
        <v>589.27493660190555</v>
      </c>
      <c r="CV54" s="19">
        <f>IF(BK54/Basicinfo!G54&lt;Parameters!$C$35,Parameters!$C$35,Parameters!$C$37*(BK54/Basicinfo!G54)^Parameters!$C$38)</f>
        <v>3.0467993158492344</v>
      </c>
      <c r="CW54" s="19">
        <f>IF(BK54/Basicinfo!G54&lt;Parameters!$C$35,Parameters!$C$36,Parameters!$C$36*(BK54/Basicinfo!G54)^Parameters!$C$38)</f>
        <v>7.1599783922457014</v>
      </c>
      <c r="CX54" s="27">
        <f>IF(Basicinfo!AJ54+Basicinfo!AK54=0,0,(Parameters!$C$53*Basicinfo!AJ54+Parameters!$C$54*Basicinfo!AK54)/(Basicinfo!AJ54+Basicinfo!AK54))</f>
        <v>750</v>
      </c>
      <c r="CY54" s="56">
        <f>IF(Basicinfo!AU54*AB54=0,0,((Basicinfo!AZ54+Basicinfo!BA54)/Basicinfo!AU54+Parameters!$C$76/(Basicinfo!AU54*AB54)*100))</f>
        <v>2.8218044477206297</v>
      </c>
      <c r="CZ54" s="43">
        <f>IF(Basicinfo!AU54*AB54=0,0,(Parameters!$C$77)/(Basicinfo!AU54*AB54)*100)</f>
        <v>0.80367167060567646</v>
      </c>
      <c r="DA54" s="43">
        <f>IF(AD54+AJ54=0,0,((J54*Parameters!$C$96+Parameters!$C$94/100*S54*100*Parameters!$C$93/1000*86400*Parameters!$C$95/24*Parameters!$C$98)*AI54+AD54*CY54*86400*365)/((AD54+AJ54*AI54/365)*86400*365))</f>
        <v>7.5558122589199588</v>
      </c>
      <c r="DB54" s="43">
        <f>IF(AD54+AJ54=0,0,((J54*Parameters!$C$97+Parameters!$C$94/100*S54*100*Parameters!$C$93/1000*86400*Parameters!$C$95/24*Parameters!$C$99)*AI54+AD54*CZ54*86400*365)/((AD54+AJ54*AI54/365)*86400*365))</f>
        <v>1.5554984163372121</v>
      </c>
      <c r="DC54" s="42">
        <f>IF(AE54+AL54=0,0,((K54*Parameters!$C$96+Parameters!$C$94/100*T54*100*Parameters!$C$93/1000*86400*Parameters!$C$95/24*Parameters!$C$98)*365+AE54*CY54*86400*365)/((AE54+AL54)*86400*365))</f>
        <v>0</v>
      </c>
      <c r="DD54" s="42">
        <f>IF(AE54+AL54=0,0,((K54*Parameters!$C$97+Parameters!$C$94/100*T54*100*Parameters!$C$93/1000*86400*Parameters!$C$95/24*Parameters!$C$99)*365+AE54*CZ54*86400*365)/((AE54+AL54)*86400*365))</f>
        <v>0</v>
      </c>
      <c r="DE54" s="42">
        <f>IF(Basicinfo!AH54+Basicinfo!AI54+Basicinfo!AJ54+Basicinfo!AK54=0,0,((Basicinfo!AH54+Basicinfo!AI54)*Parameters!$C$107+(Basicinfo!AJ54+Basicinfo!AK54)*Parameters!$C$106)/(Basicinfo!AH54+Basicinfo!AI54+Basicinfo!AJ54+Basicinfo!AK54))</f>
        <v>51.662703418100612</v>
      </c>
      <c r="DF54" s="42">
        <f>IF(Basicinfo!AH54+Basicinfo!AI54+Basicinfo!AJ54+Basicinfo!AK54=0,0,((Basicinfo!AH54+Basicinfo!AI54)*Parameters!$C$109+(Basicinfo!AJ54+Basicinfo!AK54)*Parameters!$C$108)/(Basicinfo!AH54+Basicinfo!AI54+Basicinfo!AJ54+Basicinfo!AK54))</f>
        <v>51.662703418100612</v>
      </c>
      <c r="DG54" s="42">
        <f>Intermediate!AC54*Intermediate!CY54*(1-Parameters!$C$102/100*Basicinfo!BZ54/100)*(1-Parameters!$C$104/100*Basicinfo!CA54/100)*86400*365/1000000</f>
        <v>0.49079970941745288</v>
      </c>
      <c r="DH54" s="42">
        <f>Intermediate!AC54*Intermediate!CZ54*(1-Parameters!$C$103/100*Basicinfo!BZ54/100)*(1-Parameters!$C$105/100*Basicinfo!CA54/100)*86400*365/1000000</f>
        <v>0.13978354266147799</v>
      </c>
      <c r="DI54" s="42">
        <f>(Intermediate!AK54*Intermediate!DA54+(Intermediate!AE54+Intermediate!AL54)*Intermediate!DC54)*86400*365/1000000</f>
        <v>1.0320131754774289</v>
      </c>
      <c r="DJ54" s="42">
        <f>(Intermediate!AK54*Intermediate!DB54+(Intermediate!AE54+Intermediate!AL54)*Intermediate!DD54)*86400*365/1000000</f>
        <v>0.21245827782435414</v>
      </c>
      <c r="DK54" s="42">
        <f>((Basicinfo!AZ54+Basicinfo!BA54)*Intermediate!AB54+Parameters!$C$76*100)/1000*Intermediate!U54*(1-Intermediate!DE54/100)+(1-Parameters!$C$110/100)*M54*Parameters!$C$100*(1-DE54/100)*365/1000000+(1-Parameters!$C$112/100)*P54*Parameters!$C$96*365/1000000+(1-Parameters!$C$112/100)*O54*Parameters!$C$96*(1-DE54/100)*365/1000000</f>
        <v>1.9969393227637662</v>
      </c>
      <c r="DL54" s="42">
        <f>Parameters!$C$77*100/1000*Intermediate!U54*(1-Intermediate!DF54/100)+(1-Parameters!$C$111/100)*M54*Parameters!$C$101*(1-DF54/100)*365/1000000+(1-Parameters!$C$113/100)*P54*Parameters!$C$97*365/1000000+(1-Parameters!$C$113/100)*O54*Parameters!$C$97*(1-DF54/100)*365/1000000</f>
        <v>0.321168228462128</v>
      </c>
      <c r="DM54" s="31"/>
      <c r="DN54" s="31"/>
      <c r="DO54" s="31"/>
      <c r="DP54" s="31"/>
      <c r="DQ54" s="31"/>
      <c r="DR54" s="31"/>
      <c r="DS54" s="31"/>
      <c r="DT54" s="188">
        <f>BO54*(Basicinfo!$P54+Basicinfo!$Q54)/1000</f>
        <v>251.90925320208333</v>
      </c>
      <c r="DU54" s="188">
        <f>DT54*Basicinfo!$AZ54/(Basicinfo!$AZ54+Basicinfo!$BA54)</f>
        <v>142.55299904211554</v>
      </c>
      <c r="DV54" s="188">
        <f>DT54*Basicinfo!$BC54/(Basicinfo!$BB54+Basicinfo!$BC54)</f>
        <v>105.12094812114942</v>
      </c>
      <c r="DW54" s="188">
        <f>BP54*(Basicinfo!$P54+Basicinfo!$Q54)/1000</f>
        <v>289.03740787893122</v>
      </c>
      <c r="DX54" s="188">
        <f>DW54*Basicinfo!$BB54/(Basicinfo!$BB54+Basicinfo!$BC54)</f>
        <v>168.42299625055614</v>
      </c>
      <c r="DY54" s="188">
        <f>DW54*Basicinfo!$BC54/(Basicinfo!$BB54+Basicinfo!$BC54)</f>
        <v>120.61441162837507</v>
      </c>
      <c r="DZ54" s="188">
        <f t="shared" si="38"/>
        <v>126.45385730766293</v>
      </c>
      <c r="EA54" s="188">
        <f>DZ54*Basicinfo!$AZ54/(Basicinfo!$AZ54+Basicinfo!$BA54)</f>
        <v>71.559009327816185</v>
      </c>
      <c r="EB54" s="188">
        <f>DZ54*Basicinfo!$BC54/(Basicinfo!$BB54+Basicinfo!$BC54)</f>
        <v>52.768801482232064</v>
      </c>
      <c r="EC54" s="188">
        <f t="shared" si="39"/>
        <v>145.0915147732924</v>
      </c>
      <c r="ED54" s="188">
        <f>EC54*Basicinfo!$AZ54/(Basicinfo!$AZ54+Basicinfo!$BA54)</f>
        <v>82.105878619329701</v>
      </c>
      <c r="EE54" s="188">
        <f>EC54*Basicinfo!$BC54/(Basicinfo!$BB54+Basicinfo!$BC54)</f>
        <v>60.546237994151298</v>
      </c>
      <c r="EF54" s="190">
        <f>(Basicinfo!BP54-BL54/100)*Intermediate!X54/10</f>
        <v>363.4288144129203</v>
      </c>
      <c r="EG54" s="191">
        <f>(Basicinfo!BQ54-BM54/100)*Intermediate!X54/10</f>
        <v>393.00595902286784</v>
      </c>
      <c r="EH54" s="197">
        <f>IF(AU54=0,0,$BS54*((Basicinfo!$P54+Basicinfo!$Q54)*Intermediate!$AT54*1000+$AW54*3600*24*365)/1000000*Basicinfo!AZ54/(Basicinfo!$AZ54+Basicinfo!$BA54))</f>
        <v>11.951290955548389</v>
      </c>
      <c r="EI54" s="197">
        <f>IF(AU54=0,0,$BS54*((Basicinfo!$P54+Basicinfo!$Q54)*Intermediate!$AT54*1000+$AW54*3600*24*365)/1000000*Basicinfo!BA54/(Basicinfo!$AZ54+Basicinfo!$BA54))</f>
        <v>9.1681579486696876</v>
      </c>
      <c r="EJ54" s="198">
        <f>IF(AU54=0,0,$BS54*($AT54*$X54*1000)/1000000*Basicinfo!AZ54/(Basicinfo!$AZ54+Basicinfo!$BA54))</f>
        <v>5.9993304014240136</v>
      </c>
      <c r="EK54" s="198">
        <f>IF(AU54=0,0,$BS54*($AT54*$X54*1000)/1000000*Basicinfo!BA54/(Basicinfo!$AZ54+Basicinfo!$BA54))</f>
        <v>4.6022483187036975</v>
      </c>
      <c r="EL54" s="147">
        <f>Parameters!$C$150/Basicinfo!$AV54*100</f>
        <v>0.11425690067100186</v>
      </c>
      <c r="EM54" s="147">
        <f>Parameters!$C$151/Basicinfo!$AV54*100</f>
        <v>0.22851380134200372</v>
      </c>
      <c r="EN54" s="147">
        <f>(Parameters!$C$150+Parameters!$C$151)/Intermediate!$BB54*100</f>
        <v>0.89377294572073152</v>
      </c>
      <c r="EO54" s="193">
        <f>IF(EN54=0,0,(1/(1+Parameters!$C$116*$BB54^Parameters!$C$120)*Basicinfo!$AH54/Basicinfo!$G54+1/(1+Parameters!$C$117*$BB54^Parameters!$C$121)*Basicinfo!$AI54/Basicinfo!$G54)*(EN54)^Parameters!$C$124+(1/(1+Parameters!$C$118*$BB54^Parameters!$C$122)*Basicinfo!$AJ54/Basicinfo!AW54+1/(1+Parameters!$C$119*$BB54^Parameters!$C$123)*Basicinfo!$AK54/Basicinfo!$G54)*(EN54)^Parameters!$C$125)</f>
        <v>0.24720539189215351</v>
      </c>
      <c r="EP54" s="199">
        <f>EL54*($AT54*Basicinfo!$P54*1000+$AW54*3600*24*365)/1000000</f>
        <v>1.5710632187372486</v>
      </c>
      <c r="EQ54" s="199">
        <f>EM54*($AT54*Basicinfo!$P54*1000+$AW54*3600*24*365)/1000000</f>
        <v>3.1421264374744973</v>
      </c>
      <c r="ER54" s="199">
        <f t="shared" si="40"/>
        <v>0.7886451234252424</v>
      </c>
      <c r="ES54" s="199">
        <f t="shared" si="41"/>
        <v>1.5772902468504848</v>
      </c>
      <c r="ET54" s="181">
        <f t="shared" si="14"/>
        <v>22.50622024538076</v>
      </c>
      <c r="EU54" s="147">
        <f>Intermediate!F54*(Parameters!$C$150)/1000*100</f>
        <v>0.14656553647049719</v>
      </c>
      <c r="EV54" s="147">
        <f>Intermediate!F54*(Parameters!$C$151)/1000*100</f>
        <v>0.29313107294099439</v>
      </c>
      <c r="EW54" s="181">
        <f>'Local emissions'!$S54*Basicinfo!AZ54/(Basicinfo!$AZ54+Basicinfo!$BA54)-Intermediate!EU54</f>
        <v>1.0091151992970728</v>
      </c>
      <c r="EX54" s="147">
        <f>'Local emissions'!$S54*Basicinfo!BA54/(Basicinfo!$AZ54+Basicinfo!$BA54)-Intermediate!EV54</f>
        <v>0.59342282012048575</v>
      </c>
      <c r="EY54" s="188">
        <f t="shared" si="15"/>
        <v>10.38022773681114</v>
      </c>
      <c r="EZ54" s="188">
        <f t="shared" si="16"/>
        <v>6.0260315111951908</v>
      </c>
      <c r="FA54" s="188">
        <f t="shared" si="17"/>
        <v>5.2106852779987713</v>
      </c>
      <c r="FB54" s="181">
        <f t="shared" si="18"/>
        <v>3.024958071853213</v>
      </c>
      <c r="FC54" s="181">
        <f>'Local emissions'!Y54-Intermediate!ET54</f>
        <v>124.07127659501158</v>
      </c>
      <c r="FD54" s="188">
        <f t="shared" si="19"/>
        <v>25.263662089119496</v>
      </c>
      <c r="FE54" s="188">
        <f t="shared" si="20"/>
        <v>18.092314032485756</v>
      </c>
      <c r="FF54" s="181">
        <f t="shared" si="21"/>
        <v>6.1579927300520207</v>
      </c>
      <c r="FG54" s="201">
        <f t="shared" si="22"/>
        <v>4.5410060725202062</v>
      </c>
      <c r="FH54" s="181">
        <f t="shared" si="23"/>
        <v>70.01630167083411</v>
      </c>
      <c r="FJ54" s="147">
        <f>AVERAGE(Parameters!$C$132:$C$134)*'Local emissions'!J54*3600*24*365/1000000</f>
        <v>4.5521297236104354E-2</v>
      </c>
      <c r="FK54" s="147">
        <f>'Local emissions'!AJ54+CT54*BJ54/100*Intermediate!X54*100/1000000</f>
        <v>0.89726318836269203</v>
      </c>
      <c r="FL54" s="31">
        <f>(Parameters!$C$18*(Basicinfo!AH54+Basicinfo!AI54)+Parameters!$C$19*Basicinfo!AJ54+Parameters!$C$20*Basicinfo!AK54)/Basicinfo!G54</f>
        <v>2.5415675854525151E-2</v>
      </c>
      <c r="FM54" s="181">
        <f t="shared" si="32"/>
        <v>0.53755925430520524</v>
      </c>
    </row>
    <row r="55" spans="1:169">
      <c r="A55" s="39" t="str">
        <f>Basicinfo!A55</f>
        <v>Aist</v>
      </c>
      <c r="B55" s="63">
        <f>Basicinfo!B55</f>
        <v>1600</v>
      </c>
      <c r="C55" s="63">
        <f>Basicinfo!C55</f>
        <v>5020</v>
      </c>
      <c r="D55" s="61">
        <f>Basicinfo!U55*Basicinfo!V55/1000+Basicinfo!Y55</f>
        <v>0.53031409620173053</v>
      </c>
      <c r="E55" s="19">
        <f>Basicinfo!W55*Basicinfo!X55/1000+Basicinfo!Z55</f>
        <v>9.3474037402461144E-2</v>
      </c>
      <c r="F55" s="19">
        <f t="shared" si="0"/>
        <v>0.62378813360419172</v>
      </c>
      <c r="G55" s="19">
        <f>SUM(Basicinfo!H55:L55)</f>
        <v>35.684813392384825</v>
      </c>
      <c r="H55" s="19">
        <f>IF(Basicinfo!N55&lt;Parameters!$C$68,Parameters!$C$69,Basicinfo!BS55/(Basicinfo!N55*100))</f>
        <v>21.688159892025457</v>
      </c>
      <c r="I55" s="19">
        <f>IF(Basicinfo!N55=0,0,Basicinfo!BU55*(1-Basicinfo!BX55/100))</f>
        <v>6921.2769105146353</v>
      </c>
      <c r="J55" s="19">
        <f>IF(Basicinfo!N55=0,0,Basicinfo!BU55*Basicinfo!BX55/100)</f>
        <v>5011.9591420968045</v>
      </c>
      <c r="K55" s="19">
        <f>IF(Basicinfo!N55=0,0,Basicinfo!BT55-Basicinfo!BU55)</f>
        <v>0</v>
      </c>
      <c r="L55" s="27">
        <f>Basicinfo!BV55*Basicinfo!BW55/100</f>
        <v>1304.5499999999997</v>
      </c>
      <c r="M55" s="27">
        <f>Basicinfo!BV55-Intermediate!L55</f>
        <v>1304.5499999999997</v>
      </c>
      <c r="N55" s="73">
        <f>Basicinfo!BS55-SUM(I55:K55)-Basicinfo!BV55</f>
        <v>0</v>
      </c>
      <c r="O55" s="19">
        <f>IF(Basicinfo!AH55+Basicinfo!AI55+Basicinfo!AJ55+Basicinfo!AK55=0,0,N55*(Basicinfo!AH55+Basicinfo!AI55)/SUM(Basicinfo!AH55:AK55))</f>
        <v>0</v>
      </c>
      <c r="P55" s="73">
        <f t="shared" si="25"/>
        <v>0</v>
      </c>
      <c r="Q55" s="19">
        <f>IF(Basicinfo!BS55=0,Basicinfo!N55,IF(H55&gt;Parameters!$C$70,Parameters!$C$64*(Parameters!$C$65*Parameters!$C$70)^(Parameters!$C$66-Parameters!$C$67*LOG(Parameters!$C$65*Parameters!$C$70,10))/100*Basicinfo!N55,Parameters!$C$64*(Parameters!$C$65*H55)^(Parameters!$C$66-Parameters!$C$67*LOG(Parameters!$C$65*H55,10))/100*Basicinfo!N55))</f>
        <v>2.0626700053231395</v>
      </c>
      <c r="R55" s="19">
        <f>IF(Basicinfo!BS55=0,Q55*(1-Basicinfo!BX55/100),IF(H55&lt;Parameters!$C$75,Q55*Basicinfo!BU55/Basicinfo!BS55*(1-Basicinfo!BX55/100)*(-Parameters!$C$74+Parameters!$C$73*LN(H55*100)),Q55*Basicinfo!BU55/Basicinfo!BS55*(1-Basicinfo!BX55/100)))</f>
        <v>0.58140808463952598</v>
      </c>
      <c r="S55" s="19">
        <f>IF(Basicinfo!BS55=0,Q55*Basicinfo!BX55/100,Q55*Basicinfo!BU55/Basicinfo!BS55*Basicinfo!BX55/100)</f>
        <v>0.71089113557183436</v>
      </c>
      <c r="T55" s="19">
        <f>IF(Basicinfo!BS55=0,0,IF(H55&lt;Parameters!$C$75,Q55*K55/Basicinfo!BS55*(-Parameters!$C$74+Parameters!$C$73*LN(H55*100)),Q55*K55/Basicinfo!BS55))</f>
        <v>0</v>
      </c>
      <c r="U55" s="19">
        <f t="shared" si="26"/>
        <v>0.77037078511177914</v>
      </c>
      <c r="V55" s="19">
        <f>IF(Basicinfo!AL55&gt;Parameters!$C$14,Basicinfo!Q55,0)</f>
        <v>0</v>
      </c>
      <c r="W55" s="19">
        <f>IF(Basicinfo!AL55&gt;Parameters!$C$14,0,Basicinfo!Q55)</f>
        <v>0</v>
      </c>
      <c r="X55" s="19">
        <f>G55+Basicinfo!M55</f>
        <v>56.710763225126257</v>
      </c>
      <c r="Y55" s="19">
        <f>IF(Basicinfo!G55-F55-Q55-V55-Basicinfo!O55-Basicinfo!R55-Basicinfo!S55&lt;0,0,Basicinfo!G55-F55-Q55-V55-Basicinfo!O55-Basicinfo!R55-Basicinfo!S55)</f>
        <v>101.76815444478976</v>
      </c>
      <c r="Z55" s="19">
        <f>Basicinfo!G55-F55-Basicinfo!BO55-Q55-Basicinfo!O55</f>
        <v>100.14511683500221</v>
      </c>
      <c r="AA55" s="53">
        <f>IF(Z55+Basicinfo!BO55-X55&gt;0,Z55+Basicinfo!BO55-X55,0)</f>
        <v>45.058477433881166</v>
      </c>
      <c r="AB55" s="56">
        <f>IF(Basicinfo!N55=0,0,Parameters!$C$71+Parameters!$C$72*Q55/Basicinfo!N55)</f>
        <v>0.38071697379682612</v>
      </c>
      <c r="AC55" s="43">
        <f>Basicinfo!AU55*AB55*R55/1000/86.4/0.365</f>
        <v>5.6775957904228493E-3</v>
      </c>
      <c r="AD55" s="43">
        <f>Basicinfo!AU55*AB55*S55/1000/86.4/0.365</f>
        <v>6.9420302630879092E-3</v>
      </c>
      <c r="AE55" s="43">
        <f>Basicinfo!AU55*AB55*T55/1000/86.4/0.365</f>
        <v>0</v>
      </c>
      <c r="AF55" s="43">
        <f>Basicinfo!AU55*AB55*U55/1000/86.4/0.365</f>
        <v>7.5228639610802443E-3</v>
      </c>
      <c r="AG55" s="43">
        <f>((Parameters!$C$80+Parameters!$C$81*Parameters!$C$89)/(Parameters!$C$82+Parameters!$C$89)/(Parameters!$C$90/100*Parameters!$C$91+(Parameters!$C$83+Parameters!$C$84*Parameters!$C$89)/(Parameters!$C$85+Parameters!$C$89)))-Parameters!$C$86+(Basicinfo!AU55-Parameters!$C$88)/Parameters!$C$87</f>
        <v>71.610837122665799</v>
      </c>
      <c r="AH55" s="43">
        <f>((Parameters!$C$80+Parameters!$C$81*Parameters!$C$89)/(Parameters!$C$82+Parameters!$C$89)/(Basicinfo!BY55/100*Parameters!$C$91+(Parameters!$C$83+Parameters!$C$84*Parameters!$C$89)/(Parameters!$C$85+Parameters!$C$89)))-Parameters!$C$86+(Basicinfo!AU55-Parameters!$C$88)/Parameters!$C$87</f>
        <v>53.807955256050221</v>
      </c>
      <c r="AI55" s="43">
        <f>Basicinfo!AU55^Parameters!$C$79*Parameters!$C$78*AH55/AG55</f>
        <v>16.77909031486195</v>
      </c>
      <c r="AJ55" s="43">
        <f>(J55*Parameters!$C$92/1000+Parameters!$C$94/100*S55*100*Parameters!$C$93/1000*86400*Parameters!$C$95/24)/86400</f>
        <v>7.5648385988776792E-3</v>
      </c>
      <c r="AK55" s="43">
        <f t="shared" si="1"/>
        <v>3.9224851814165622E-3</v>
      </c>
      <c r="AL55" s="43">
        <f>(K55*Parameters!$C$92/1000+Parameters!$C$94/100*T55*100*Parameters!$C$93/1000*86400*Parameters!$C$95/24)/86400</f>
        <v>0</v>
      </c>
      <c r="AM55" s="43">
        <f>(Intermediate!N55+Basicinfo!BV55-Intermediate!L55)*Parameters!$C$92/1000/86400</f>
        <v>1.962864583333333E-3</v>
      </c>
      <c r="AN55" s="43">
        <f t="shared" si="2"/>
        <v>9.412960328246657E-3</v>
      </c>
      <c r="AO55" s="43">
        <f t="shared" si="27"/>
        <v>3.9224851814165622E-3</v>
      </c>
      <c r="AP55" s="43">
        <f t="shared" si="28"/>
        <v>9.4857285444135773E-3</v>
      </c>
      <c r="AQ55" s="43">
        <f t="shared" si="33"/>
        <v>1.9085809516252987E-2</v>
      </c>
      <c r="AR55" s="61">
        <f>(Basicinfo!AU55-Basicinfo!AY55)*F55/1000/86.4/0.365</f>
        <v>1.8008977634484398E-3</v>
      </c>
      <c r="AS55" s="19">
        <f>IF(Basicinfo!AP55-Basicinfo!CB55-Basicinfo!CG55&lt;0,0,(Basicinfo!AP55-Basicinfo!CB55-Basicinfo!CG55)/Basicinfo!G55*1000)</f>
        <v>10.35868534193308</v>
      </c>
      <c r="AT55" s="19">
        <f>Parameters!$C$3*((AS55*86.4*0.365)^Parameters!$C$4)</f>
        <v>57.842043161206512</v>
      </c>
      <c r="AU55" s="19">
        <f>IF(AT55/86.4/0.365*(Basicinfo!G55/1000)-AN55&lt;0,0,AT55/86.4/0.365*(Basicinfo!G55/1000)-AN55)</f>
        <v>0.18302815882311133</v>
      </c>
      <c r="AV55" s="19">
        <f>IF(Basicinfo!AU55&gt;Parameters!$C$13,Parameters!$C$11*(Basicinfo!AU55-Parameters!$C$13)^Parameters!$C$12,0)</f>
        <v>14.835714616633034</v>
      </c>
      <c r="AW55" s="19">
        <f>IF(AV55*V55/1000/86.4/0.365&gt;Basicinfo!AP55*Parameters!$C$15,Basicinfo!AP55*Parameters!$C$15,AV55*V55/1000/86.4/0.365)</f>
        <v>0</v>
      </c>
      <c r="AX55" s="19">
        <f>Basicinfo!AU55-Basicinfo!AW55</f>
        <v>258.91226374085716</v>
      </c>
      <c r="AY55" s="19">
        <f>Parameters!$C$56*AX55+Parameters!$C$57*Basicinfo!AW55</f>
        <v>184.45358970961431</v>
      </c>
      <c r="AZ55" s="19">
        <f>AY55*Basicinfo!BO55/1000/86.4/0.365</f>
        <v>9.4994758203534348E-3</v>
      </c>
      <c r="BA55" s="19">
        <f>IF(Basicinfo!AP55-AQ55-AR55-AU55-AW55-AZ55-Basicinfo!CB55-Basicinfo!CG55&lt;0,0,Basicinfo!AP55-AQ55-AR55-AU55-AW55-AZ55-Basicinfo!CB55-Basicinfo!CG55)</f>
        <v>0.87342536498618317</v>
      </c>
      <c r="BB55" s="53">
        <f t="shared" si="34"/>
        <v>275.04428753711449</v>
      </c>
      <c r="BC55" s="56">
        <f>IF(G55=0,0,((Basicinfo!H55*Basicinfo!BE55+Basicinfo!I55*Basicinfo!BF55+Basicinfo!J55*Basicinfo!BG55+Basicinfo!K55*Basicinfo!BH55+Basicinfo!L55*Basicinfo!BI55)*(1-Basicinfo!BN55/G55*Parameters!$C$26/100)/G55)*Basicinfo!BM55)</f>
        <v>5.011052406980272</v>
      </c>
      <c r="BD55" s="43">
        <f>IF(Basicinfo!AW55*Parameters!$C$39-Parameters!$C$40&lt;0,0.001,(Basicinfo!AW55*Parameters!$C$39-Parameters!$C$40)/(Basicinfo!AX55*Parameters!$C$39-Parameters!$C$40))</f>
        <v>1.1429831428206172</v>
      </c>
      <c r="BE55" s="43">
        <f>(BC55*G55*100+Basicinfo!BJ55*Basicinfo!M55*100)*Parameters!$C$29*BD55</f>
        <v>20875.142016979506</v>
      </c>
      <c r="BF55" s="43">
        <f>(Basicinfo!BK55*Basicinfo!P55*100)*BD55*Parameters!$C$29</f>
        <v>979.2793109955719</v>
      </c>
      <c r="BG55" s="43">
        <f>Parameters!$C$27*(V55+W55)*100</f>
        <v>0</v>
      </c>
      <c r="BH55" s="43">
        <f>Parameters!$C$28*Basicinfo!R55*100</f>
        <v>0</v>
      </c>
      <c r="BI55" s="43">
        <f t="shared" si="29"/>
        <v>979.2793109955719</v>
      </c>
      <c r="BJ55" s="43">
        <f>IF(Basicinfo!AM55&lt;Parameters!$C$33,0,Parameters!$C$30*(((Basicinfo!AM55-Parameters!$C$33)^Parameters!$C$31)*(((G55-Basicinfo!BN55)/Basicinfo!G55*100+Parameters!$C$34))^Parameters!$C$32))</f>
        <v>3.6828207235725712</v>
      </c>
      <c r="BK55" s="58">
        <f t="shared" si="30"/>
        <v>1748.0733672720983</v>
      </c>
      <c r="BL55" s="61">
        <f>Basicinfo!AZ55+Basicinfo!BA55</f>
        <v>1405.5061742382366</v>
      </c>
      <c r="BM55" s="19">
        <f>Basicinfo!BB55+Basicinfo!BC55</f>
        <v>1537.7204236041434</v>
      </c>
      <c r="BN55" s="172">
        <f>IF(Basicinfo!AO55=0,0,IF(Basicinfo!AO55="NA",1,IF(OR(Basicinfo!AO55="SA",Basicinfo!AN55="S"),3,IF(Basicinfo!AN55="N",1,IF(Basicinfo!AO55="ZA",2,0)))))</f>
        <v>0</v>
      </c>
      <c r="BO55" s="27">
        <f>IF($BN55=1,(BL55)*(1+Parameters!$C$21*Parameters!$C$22-Parameters!$C$22*Basicinfo!$AL55),IF($BN55=2,(BL55)*(1+Parameters!$C$21*Parameters!$C$23-Parameters!$C$23*Basicinfo!$AL55),IF($BN55=3,(BL55)*(1+Parameters!$C$21*Parameters!$C$24-Parameters!$C$24*Basicinfo!$AL55),BL55)))</f>
        <v>1405.5061742382366</v>
      </c>
      <c r="BP55" s="27">
        <f>IF($BN55=1,(BM55)*(1+Parameters!$C$21*Parameters!$C$22-Parameters!$C$22*Basicinfo!$AL55),IF($BN55=2,(BM55)*(1+Parameters!$C$21*Parameters!$C$23-Parameters!$C$23*Basicinfo!$AL55),IF($BN55=3,(BM55)*(1+Parameters!$C$21*Parameters!$C$24-Parameters!$C$24*Basicinfo!$AL55),BM55)))</f>
        <v>1537.7204236041434</v>
      </c>
      <c r="BQ55" s="27">
        <f>IF(Basicinfo!AU55=0,0,IF(G55+Basicinfo!M55=0,0,(Parameters!$C$16+BO55/Basicinfo!AU55)*G55+(Parameters!$C$17+BO55/Basicinfo!AU55)*Basicinfo!M55)/(G55+Basicinfo!M55))</f>
        <v>1.9263534131568236</v>
      </c>
      <c r="BR55" s="27">
        <f>IF(Basicinfo!AU55=0,0,IF(G55+Basicinfo!M55=0,0,(Parameters!$C$16+BP55/Basicinfo!AU55)*G55+(Parameters!$C$17+BP55/Basicinfo!AU55)*Basicinfo!M55)/(G55+Basicinfo!M55))</f>
        <v>2.0898055086530372</v>
      </c>
      <c r="BS55" s="27">
        <f>IF(Basicinfo!AU55=0,0,BO55/Basicinfo!AU55)</f>
        <v>1.7375807109588692</v>
      </c>
      <c r="BT55" s="27">
        <f>IF(Basicinfo!AU55=0,0,BP55/Basicinfo!AU55)</f>
        <v>1.9010328064550828</v>
      </c>
      <c r="BU55" s="27">
        <f>IF(SUM(G55,Basicinfo!M55,Basicinfo!P55,W55)=0,0,(BQ55*(G55+Basicinfo!M55)+BS55*(Basicinfo!P55+W55))/SUM(G55,Basicinfo!M55,Basicinfo!P55,W55))</f>
        <v>1.847803359462691</v>
      </c>
      <c r="BV55" s="19">
        <f>IF(Basicinfo!BR55/Parameters!$C$10&gt;1,1,Basicinfo!BR55/Parameters!$C$10)</f>
        <v>0.50034642951899411</v>
      </c>
      <c r="BW55" s="19">
        <f>Parameters!$C$5+Parameters!$C$6*EXP(BV55*Parameters!$C$8*Parameters!$C$7)</f>
        <v>3.5664188417331648E-2</v>
      </c>
      <c r="BX55" s="19">
        <f>Parameters!$C$5+Parameters!$C$6*EXP(BV55*Parameters!$C$9*Parameters!$C$7)</f>
        <v>3.53058298509056E-2</v>
      </c>
      <c r="BY55" s="19">
        <f>IF(Basicinfo!AH55+Basicinfo!AI55+Basicinfo!AJ55+Basicinfo!AK55=0,0,(Parameters!$C$18*(Basicinfo!AH55+Basicinfo!AI55)+Parameters!$C$19*Basicinfo!AJ55+Parameters!$C$20*Basicinfo!AK55)/(Basicinfo!AH55+Basicinfo!AI55+Basicinfo!AJ55+Basicinfo!AK55))</f>
        <v>2.8160744814068678E-2</v>
      </c>
      <c r="BZ55" s="19">
        <f>IF(Basicinfo!AJ55+Basicinfo!AK55=0,Parameters!$C$18,(Parameters!$C$19*Basicinfo!AJ55+Parameters!$C$20*Basicinfo!AK55)/(Basicinfo!AJ55+Basicinfo!AK55))</f>
        <v>2.5000000000000001E-2</v>
      </c>
      <c r="CA55" s="19">
        <f>IF(SUM(G55,Basicinfo!M55,Basicinfo!P55,W55)=0,0,(BW55*G55+BX55*Basicinfo!M55+BY55*Basicinfo!P55+BZ55*W55)/(SUM(G55,Basicinfo!M55,Basicinfo!P55,W55)))</f>
        <v>3.2464358499828053E-2</v>
      </c>
      <c r="CB55" s="19">
        <f>IF(Y55=0,Basicinfo!BP55,Basicinfo!BP55-(AU55*X55/Y55*Intermediate!BQ55*86400*365/1000000)*1000/(X55*100))</f>
        <v>58.277677772331188</v>
      </c>
      <c r="CC55" s="19">
        <f>IF(Y55=0,Basicinfo!BQ55,Basicinfo!BQ55-(AU55*Basicinfo!AV55/Basicinfo!AU55*X55/Y55*Intermediate!BR55*86400*365/1000000)*1000/(X55*100))</f>
        <v>45.083170068191087</v>
      </c>
      <c r="CD55" s="19">
        <f>IF(OR(Y55=0,AA55=0),BP55/100,BP55/100-(AU55*Basicinfo!AV55/Basicinfo!AU55*(Basicinfo!P55+W55)/Y55*Intermediate!BT55*86400*365/1000000+AW55*Basicinfo!AV55/Basicinfo!AU55*Intermediate!BT55*86400*365/1000000)*1000/(AA55*100))</f>
        <v>14.443322738339349</v>
      </c>
      <c r="CE55" s="19">
        <f t="shared" si="35"/>
        <v>248348.03326058562</v>
      </c>
      <c r="CF55" s="19">
        <f t="shared" si="36"/>
        <v>65079.413167572624</v>
      </c>
      <c r="CG55" s="19">
        <f>IF(AY55=0,0,((CB55^Parameters!$C$58))/AY55*100)</f>
        <v>17.170770775904849</v>
      </c>
      <c r="CH55" s="19">
        <f>IF(SUM(Basicinfo!AB55:AG55)=0,0,(Parameters!$C$59*Basicinfo!AB55+Parameters!$C$60*SUM(Basicinfo!AC55:AE55)+Parameters!$C$61*Basicinfo!AF55+Parameters!$C$62*Basicinfo!AG55)/SUM(Basicinfo!AB55:AG55))</f>
        <v>0.16870251524546712</v>
      </c>
      <c r="CI55" s="19">
        <f t="shared" si="31"/>
        <v>11</v>
      </c>
      <c r="CJ55" s="19">
        <f t="shared" si="37"/>
        <v>31.297326952502061</v>
      </c>
      <c r="CK55" s="19">
        <f t="shared" si="9"/>
        <v>11.379013624589021</v>
      </c>
      <c r="CL55" s="19">
        <f>IF($BB55=0,0,$CJ55^Parameters!$C$58*100/$BB55)</f>
        <v>6.7885735925442834</v>
      </c>
      <c r="CM55" s="19">
        <f>IF(CK55=0,0,(1/(1+Parameters!$C$116*BB55^Parameters!$C$120)*Basicinfo!AH55/Basicinfo!G55+1/(1+Parameters!$C$117*BB55^Parameters!$C$121)*Basicinfo!AI55/Basicinfo!G55)*(CK55)^Parameters!$C$124+(1/(1+Parameters!$C$118*BB55^Parameters!$C$122)*Basicinfo!AJ55/Basicinfo!G55+1/(1+Parameters!$C$119*BB55^Parameters!$C$123)*Basicinfo!AK55/Basicinfo!G55)*(CK55)^Parameters!$C$125)</f>
        <v>2.2291413428887537</v>
      </c>
      <c r="CN55" s="19">
        <f>IF(SUM(Basicinfo!AB55:AG55)=0,0,(Parameters!$C$128*Basicinfo!AB55+Parameters!$C$129*(SUM(Basicinfo!AC55:AE55))+Parameters!$C$130*Basicinfo!AF55+Parameters!$C$131*Basicinfo!AG55)/SUM(Basicinfo!AB55:AG55))</f>
        <v>2.6897693562471466E-2</v>
      </c>
      <c r="CO55" s="19">
        <f>IF(Basicinfo!AH55+Basicinfo!AI55+Basicinfo!AJ55+Basicinfo!AK55=0,0,(Parameters!$C$132*(Basicinfo!AH55+Basicinfo!AI55)+Parameters!$C$133*Basicinfo!AJ55+Parameters!$C$134*Basicinfo!AK55)/(Basicinfo!AH55+Basicinfo!AI55+Basicinfo!AJ55+Basicinfo!AK55))</f>
        <v>5.0000000000000001E-4</v>
      </c>
      <c r="CP55" s="19">
        <f>IF(Basicinfo!AJ55+Basicinfo!AK55=0,0,(Parameters!$C$133*Basicinfo!AJ55+Parameters!$C$134*Basicinfo!AK55)/(Basicinfo!AJ55+Basicinfo!AK55))</f>
        <v>5.0000000000000001E-4</v>
      </c>
      <c r="CQ55" s="19">
        <f>IF(Z55=0,0,(CN55*(Z55-AA55)+CO55*Basicinfo!P55+CP55*(Basicinfo!Q55+Basicinfo!R55))/Z55)</f>
        <v>1.4997346112649178E-2</v>
      </c>
      <c r="CR55" s="289">
        <f>Basicinfo!EI55</f>
        <v>4.4428465789473681E-2</v>
      </c>
      <c r="CS55" s="19">
        <f>IF(SUM(Basicinfo!AB55:AG55)=0,0,(Basicinfo!AB55*Parameters!$C$43+(Basicinfo!AC55+Basicinfo!AD55)*Parameters!$C$44+Basicinfo!AE55*Parameters!$C$45+(Basicinfo!AF55+Basicinfo!AG55)*Parameters!$C$46)/SUM(Basicinfo!AB55:AG55))</f>
        <v>9.4702531143414905</v>
      </c>
      <c r="CT55" s="19">
        <f>(Parameters!$C$41*CS55+Parameters!$C$42)</f>
        <v>371.59658176628318</v>
      </c>
      <c r="CU55" s="19">
        <f>CT55+Basicinfo!BR55/(Parameters!$C$47*Parameters!$C$49*Parameters!$C$48*10000/1000000)</f>
        <v>547.81922360945089</v>
      </c>
      <c r="CV55" s="19">
        <f>IF(BK55/Basicinfo!G55&lt;Parameters!$C$35,Parameters!$C$35,Parameters!$C$37*(BK55/Basicinfo!G55)^Parameters!$C$38)</f>
        <v>2.0417671237225363</v>
      </c>
      <c r="CW55" s="19">
        <f>IF(BK55/Basicinfo!G55&lt;Parameters!$C$35,Parameters!$C$36,Parameters!$C$36*(BK55/Basicinfo!G55)^Parameters!$C$38)</f>
        <v>4.7981527407479607</v>
      </c>
      <c r="CX55" s="27">
        <f>IF(Basicinfo!AJ55+Basicinfo!AK55=0,0,(Parameters!$C$53*Basicinfo!AJ55+Parameters!$C$54*Basicinfo!AK55)/(Basicinfo!AJ55+Basicinfo!AK55))</f>
        <v>750</v>
      </c>
      <c r="CY55" s="56">
        <f>IF(Basicinfo!AU55*AB55=0,0,((Basicinfo!AZ55+Basicinfo!BA55)/Basicinfo!AU55+Parameters!$C$76/(Basicinfo!AU55*AB55)*100))</f>
        <v>3.0364635551865158</v>
      </c>
      <c r="CZ55" s="43">
        <f>IF(Basicinfo!AU55*AB55=0,0,(Parameters!$C$77)/(Basicinfo!AU55*AB55)*100)</f>
        <v>0.81180177764227923</v>
      </c>
      <c r="DA55" s="43">
        <f>IF(AD55+AJ55=0,0,((J55*Parameters!$C$96+Parameters!$C$94/100*S55*100*Parameters!$C$93/1000*86400*Parameters!$C$95/24*Parameters!$C$98)*AI55+AD55*CY55*86400*365)/((AD55+AJ55*AI55/365)*86400*365))</f>
        <v>7.2816182850083839</v>
      </c>
      <c r="DB55" s="43">
        <f>IF(AD55+AJ55=0,0,((J55*Parameters!$C$97+Parameters!$C$94/100*S55*100*Parameters!$C$93/1000*86400*Parameters!$C$95/24*Parameters!$C$99)*AI55+AD55*CZ55*86400*365)/((AD55+AJ55*AI55/365)*86400*365))</f>
        <v>1.4872352143000998</v>
      </c>
      <c r="DC55" s="42">
        <f>IF(AE55+AL55=0,0,((K55*Parameters!$C$96+Parameters!$C$94/100*T55*100*Parameters!$C$93/1000*86400*Parameters!$C$95/24*Parameters!$C$98)*365+AE55*CY55*86400*365)/((AE55+AL55)*86400*365))</f>
        <v>0</v>
      </c>
      <c r="DD55" s="42">
        <f>IF(AE55+AL55=0,0,((K55*Parameters!$C$97+Parameters!$C$94/100*T55*100*Parameters!$C$93/1000*86400*Parameters!$C$95/24*Parameters!$C$99)*365+AE55*CZ55*86400*365)/((AE55+AL55)*86400*365))</f>
        <v>0</v>
      </c>
      <c r="DE55" s="42">
        <f>IF(Basicinfo!AH55+Basicinfo!AI55+Basicinfo!AJ55+Basicinfo!AK55=0,0,((Basicinfo!AH55+Basicinfo!AI55)*Parameters!$C$107+(Basicinfo!AJ55+Basicinfo!AK55)*Parameters!$C$106)/(Basicinfo!AH55+Basicinfo!AI55+Basicinfo!AJ55+Basicinfo!AK55))</f>
        <v>62.642979256274714</v>
      </c>
      <c r="DF55" s="42">
        <f>IF(Basicinfo!AH55+Basicinfo!AI55+Basicinfo!AJ55+Basicinfo!AK55=0,0,((Basicinfo!AH55+Basicinfo!AI55)*Parameters!$C$109+(Basicinfo!AJ55+Basicinfo!AK55)*Parameters!$C$108)/(Basicinfo!AH55+Basicinfo!AI55+Basicinfo!AJ55+Basicinfo!AK55))</f>
        <v>62.642979256274714</v>
      </c>
      <c r="DG55" s="42">
        <f>Intermediate!AC55*Intermediate!CY55*(1-Parameters!$C$102/100*Basicinfo!BZ55/100)*(1-Parameters!$C$104/100*Basicinfo!CA55/100)*86400*365/1000000</f>
        <v>0.54367473326618321</v>
      </c>
      <c r="DH55" s="42">
        <f>Intermediate!AC55*Intermediate!CZ55*(1-Parameters!$C$103/100*Basicinfo!BZ55/100)*(1-Parameters!$C$105/100*Basicinfo!CA55/100)*86400*365/1000000</f>
        <v>0.14535202115988149</v>
      </c>
      <c r="DI55" s="42">
        <f>(Intermediate!AK55*Intermediate!DA55+(Intermediate!AE55+Intermediate!AL55)*Intermediate!DC55)*86400*365/1000000</f>
        <v>0.90073248775334236</v>
      </c>
      <c r="DJ55" s="42">
        <f>(Intermediate!AK55*Intermediate!DB55+(Intermediate!AE55+Intermediate!AL55)*Intermediate!DD55)*86400*365/1000000</f>
        <v>0.18397024150646774</v>
      </c>
      <c r="DK55" s="42">
        <f>((Basicinfo!AZ55+Basicinfo!BA55)*Intermediate!AB55+Parameters!$C$76*100)/1000*Intermediate!U55*(1-Intermediate!DE55/100)+(1-Parameters!$C$110/100)*M55*Parameters!$C$100*(1-DE55/100)*365/1000000+(1-Parameters!$C$112/100)*P55*Parameters!$C$96*365/1000000+(1-Parameters!$C$112/100)*O55*Parameters!$C$96*(1-DE55/100)*365/1000000</f>
        <v>1.709933885161012</v>
      </c>
      <c r="DL55" s="42">
        <f>Parameters!$C$77*100/1000*Intermediate!U55*(1-Intermediate!DF55/100)+(1-Parameters!$C$111/100)*M55*Parameters!$C$101*(1-DF55/100)*365/1000000+(1-Parameters!$C$113/100)*P55*Parameters!$C$97*365/1000000+(1-Parameters!$C$113/100)*O55*Parameters!$C$97*(1-DF55/100)*365/1000000</f>
        <v>0.2643883048114023</v>
      </c>
      <c r="DM55" s="31"/>
      <c r="DN55" s="31"/>
      <c r="DO55" s="31"/>
      <c r="DP55" s="31"/>
      <c r="DQ55" s="31"/>
      <c r="DR55" s="31"/>
      <c r="DS55" s="31"/>
      <c r="DT55" s="188">
        <f>BO55*(Basicinfo!$P55+Basicinfo!$Q55)/1000</f>
        <v>56.803342762153342</v>
      </c>
      <c r="DU55" s="188">
        <f>DT55*Basicinfo!$AZ55/(Basicinfo!$AZ55+Basicinfo!$BA55)</f>
        <v>32.1330931961121</v>
      </c>
      <c r="DV55" s="188">
        <f>DT55*Basicinfo!$BC55/(Basicinfo!$BB55+Basicinfo!$BC55)</f>
        <v>23.88884204247395</v>
      </c>
      <c r="DW55" s="188">
        <f>BP55*(Basicinfo!$P55+Basicinfo!$Q55)/1000</f>
        <v>62.146763845908339</v>
      </c>
      <c r="DX55" s="188">
        <f>DW55*Basicinfo!$BB55/(Basicinfo!$BB55+Basicinfo!$BC55)</f>
        <v>36.010727606241879</v>
      </c>
      <c r="DY55" s="188">
        <f>DW55*Basicinfo!$BC55/(Basicinfo!$BB55+Basicinfo!$BC55)</f>
        <v>26.13603623966646</v>
      </c>
      <c r="DZ55" s="188">
        <f t="shared" si="38"/>
        <v>79.707327858677687</v>
      </c>
      <c r="EA55" s="188">
        <f>DZ55*Basicinfo!$AZ55/(Basicinfo!$AZ55+Basicinfo!$BA55)</f>
        <v>45.08965264985153</v>
      </c>
      <c r="EB55" s="188">
        <f>DZ55*Basicinfo!$BC55/(Basicinfo!$BB55+Basicinfo!$BC55)</f>
        <v>33.521192103368605</v>
      </c>
      <c r="EC55" s="188">
        <f t="shared" si="39"/>
        <v>87.205298849455431</v>
      </c>
      <c r="ED55" s="188">
        <f>EC55*Basicinfo!$AZ55/(Basicinfo!$AZ55+Basicinfo!$BA55)</f>
        <v>49.331181209838562</v>
      </c>
      <c r="EE55" s="188">
        <f>EC55*Basicinfo!$BC55/(Basicinfo!$BB55+Basicinfo!$BC55)</f>
        <v>36.674489707485719</v>
      </c>
      <c r="EF55" s="190">
        <f>(Basicinfo!BP55-BL55/100)*Intermediate!X55/10</f>
        <v>256.98586876496472</v>
      </c>
      <c r="EG55" s="191">
        <f>(Basicinfo!BQ55-BM55/100)*Intermediate!X55/10</f>
        <v>174.95575894240136</v>
      </c>
      <c r="EH55" s="197">
        <f>IF(AU55=0,0,$BS55*((Basicinfo!$P55+Basicinfo!$Q55)*Intermediate!$AT55*1000+$AW55*3600*24*365)/1000000*Basicinfo!AZ55/(Basicinfo!$AZ55+Basicinfo!$BA55))</f>
        <v>2.2977796976547169</v>
      </c>
      <c r="EI55" s="197">
        <f>IF(AU55=0,0,$BS55*((Basicinfo!$P55+Basicinfo!$Q55)*Intermediate!$AT55*1000+$AW55*3600*24*365)/1000000*Basicinfo!BA55/(Basicinfo!$AZ55+Basicinfo!$BA55))</f>
        <v>1.7641251728539913</v>
      </c>
      <c r="EJ55" s="198">
        <f>IF(AU55=0,0,$BS55*($AT55*$X55*1000)/1000000*Basicinfo!AZ55/(Basicinfo!$AZ55+Basicinfo!$BA55))</f>
        <v>3.2242799596295244</v>
      </c>
      <c r="EK55" s="198">
        <f>IF(AU55=0,0,$BS55*($AT55*$X55*1000)/1000000*Basicinfo!BA55/(Basicinfo!$AZ55+Basicinfo!$BA55))</f>
        <v>2.4754476884432046</v>
      </c>
      <c r="EL55" s="147">
        <f>Parameters!$C$150/Basicinfo!$AV55*100</f>
        <v>0.12802279730451788</v>
      </c>
      <c r="EM55" s="147">
        <f>Parameters!$C$151/Basicinfo!$AV55*100</f>
        <v>0.25604559460903575</v>
      </c>
      <c r="EN55" s="147">
        <f>(Parameters!$C$150+Parameters!$C$151)/Intermediate!$BB55*100</f>
        <v>1.090733433100362</v>
      </c>
      <c r="EO55" s="193">
        <f>IF(EN55=0,0,(1/(1+Parameters!$C$116*$BB55^Parameters!$C$120)*Basicinfo!$AH55/Basicinfo!$G55+1/(1+Parameters!$C$117*$BB55^Parameters!$C$121)*Basicinfo!$AI55/Basicinfo!$G55)*(EN55)^Parameters!$C$124+(1/(1+Parameters!$C$118*$BB55^Parameters!$C$122)*Basicinfo!$AJ55/Basicinfo!AW55+1/(1+Parameters!$C$119*$BB55^Parameters!$C$123)*Basicinfo!$AK55/Basicinfo!$G55)*(EN55)^Parameters!$C$125)</f>
        <v>0.37578202251812121</v>
      </c>
      <c r="EP55" s="199">
        <f>EL55*($AT55*Basicinfo!$P55*1000+$AW55*3600*24*365)/1000000</f>
        <v>0.29927612606864373</v>
      </c>
      <c r="EQ55" s="199">
        <f>EM55*($AT55*Basicinfo!$P55*1000+$AW55*3600*24*365)/1000000</f>
        <v>0.59855225213728747</v>
      </c>
      <c r="ER55" s="199">
        <f t="shared" si="40"/>
        <v>0.41994888224645127</v>
      </c>
      <c r="ES55" s="199">
        <f t="shared" si="41"/>
        <v>0.83989776449290254</v>
      </c>
      <c r="ET55" s="181">
        <f t="shared" si="14"/>
        <v>10.35066866226002</v>
      </c>
      <c r="EU55" s="147">
        <f>Intermediate!F55*(Parameters!$C$150)/1000*100</f>
        <v>6.2378813360419172E-2</v>
      </c>
      <c r="EV55" s="147">
        <f>Intermediate!F55*(Parameters!$C$151)/1000*100</f>
        <v>0.12475762672083834</v>
      </c>
      <c r="EW55" s="181">
        <f>'Local emissions'!$S55*Basicinfo!AZ55/(Basicinfo!$AZ55+Basicinfo!$BA55)-Intermediate!EU55</f>
        <v>0.43358330514710441</v>
      </c>
      <c r="EX55" s="147">
        <f>'Local emissions'!$S55*Basicinfo!BA55/(Basicinfo!$AZ55+Basicinfo!$BA55)-Intermediate!EV55</f>
        <v>0.25601832796887547</v>
      </c>
      <c r="EY55" s="188">
        <f t="shared" si="15"/>
        <v>1.9985035715860731</v>
      </c>
      <c r="EZ55" s="188">
        <f t="shared" si="16"/>
        <v>1.1655729207167038</v>
      </c>
      <c r="FA55" s="188">
        <f t="shared" si="17"/>
        <v>2.8043310773830732</v>
      </c>
      <c r="FB55" s="181">
        <f t="shared" si="18"/>
        <v>1.6355499239503022</v>
      </c>
      <c r="FC55" s="181">
        <f>'Local emissions'!Y55-Intermediate!ET55</f>
        <v>51.051057329174299</v>
      </c>
      <c r="FD55" s="188">
        <f t="shared" si="19"/>
        <v>5.6686444076730114</v>
      </c>
      <c r="FE55" s="188">
        <f t="shared" si="20"/>
        <v>4.114215555118192</v>
      </c>
      <c r="FF55" s="181">
        <f t="shared" si="21"/>
        <v>3.8827447135584126</v>
      </c>
      <c r="FG55" s="201">
        <f t="shared" si="22"/>
        <v>2.8865654043125351</v>
      </c>
      <c r="FH55" s="181">
        <f t="shared" si="23"/>
        <v>34.498887248512148</v>
      </c>
      <c r="FJ55" s="147">
        <f>AVERAGE(Parameters!$C$132:$C$134)*'Local emissions'!J55*3600*24*365/1000000</f>
        <v>1.3772171155102136E-2</v>
      </c>
      <c r="FK55" s="147">
        <f>'Local emissions'!AJ55+CT55*BJ55/100*Intermediate!X55*100/1000000</f>
        <v>0.51828570734972179</v>
      </c>
      <c r="FL55" s="31">
        <f>(Parameters!$C$18*(Basicinfo!AH55+Basicinfo!AI55)+Parameters!$C$19*Basicinfo!AJ55+Parameters!$C$20*Basicinfo!AK55)/Basicinfo!G55</f>
        <v>2.8160744814068678E-2</v>
      </c>
      <c r="FM55" s="181">
        <f t="shared" si="32"/>
        <v>0.16254314367768244</v>
      </c>
    </row>
    <row r="56" spans="1:169">
      <c r="A56" s="39" t="str">
        <f>Basicinfo!A56</f>
        <v>Klammbach</v>
      </c>
      <c r="B56" s="63">
        <f>Basicinfo!B56</f>
        <v>1620</v>
      </c>
      <c r="C56" s="63">
        <f>Basicinfo!C56</f>
        <v>1640</v>
      </c>
      <c r="D56" s="61">
        <f>Basicinfo!U56*Basicinfo!V56/1000+Basicinfo!Y56</f>
        <v>0.40077005233093999</v>
      </c>
      <c r="E56" s="19">
        <f>Basicinfo!W56*Basicinfo!X56/1000+Basicinfo!Z56</f>
        <v>0</v>
      </c>
      <c r="F56" s="19">
        <f t="shared" si="0"/>
        <v>0.40077005233093999</v>
      </c>
      <c r="G56" s="19">
        <f>SUM(Basicinfo!H56:L56)</f>
        <v>24.117266209236462</v>
      </c>
      <c r="H56" s="19">
        <f>IF(Basicinfo!N56&lt;Parameters!$C$68,Parameters!$C$69,Basicinfo!BS56/(Basicinfo!N56*100))</f>
        <v>12.304207721993858</v>
      </c>
      <c r="I56" s="19">
        <f>IF(Basicinfo!N56=0,0,Basicinfo!BU56*(1-Basicinfo!BX56/100))</f>
        <v>2598.7765603551152</v>
      </c>
      <c r="J56" s="19">
        <f>IF(Basicinfo!N56=0,0,Basicinfo!BU56*Basicinfo!BX56/100)</f>
        <v>1661.5128828499917</v>
      </c>
      <c r="K56" s="19">
        <f>IF(Basicinfo!N56=0,0,Basicinfo!BT56-Basicinfo!BU56)</f>
        <v>0</v>
      </c>
      <c r="L56" s="27">
        <f>Basicinfo!BV56*Basicinfo!BW56/100</f>
        <v>596.42000000000007</v>
      </c>
      <c r="M56" s="27">
        <f>Basicinfo!BV56-Intermediate!L56</f>
        <v>596.42000000000007</v>
      </c>
      <c r="N56" s="73">
        <f>Basicinfo!BS56-SUM(I56:K56)-Basicinfo!BV56</f>
        <v>0</v>
      </c>
      <c r="O56" s="19">
        <f>IF(Basicinfo!AH56+Basicinfo!AI56+Basicinfo!AJ56+Basicinfo!AK56=0,0,N56*(Basicinfo!AH56+Basicinfo!AI56)/SUM(Basicinfo!AH56:AK56))</f>
        <v>0</v>
      </c>
      <c r="P56" s="73">
        <f t="shared" si="25"/>
        <v>0</v>
      </c>
      <c r="Q56" s="19">
        <f>IF(Basicinfo!BS56=0,Basicinfo!N56,IF(H56&gt;Parameters!$C$70,Parameters!$C$64*(Parameters!$C$65*Parameters!$C$70)^(Parameters!$C$66-Parameters!$C$67*LOG(Parameters!$C$65*Parameters!$C$70,10))/100*Basicinfo!N56,Parameters!$C$64*(Parameters!$C$65*H56)^(Parameters!$C$66-Parameters!$C$67*LOG(Parameters!$C$65*H56,10))/100*Basicinfo!N56))</f>
        <v>1.0217535081176434</v>
      </c>
      <c r="R56" s="19">
        <f>IF(Basicinfo!BS56=0,Q56*(1-Basicinfo!BX56/100),IF(H56&lt;Parameters!$C$75,Q56*Basicinfo!BU56/Basicinfo!BS56*(1-Basicinfo!BX56/100)*(-Parameters!$C$74+Parameters!$C$73*LN(H56*100)),Q56*Basicinfo!BU56/Basicinfo!BS56*(1-Basicinfo!BX56/100)))</f>
        <v>0.25388151546822413</v>
      </c>
      <c r="S56" s="19">
        <f>IF(Basicinfo!BS56=0,Q56*Basicinfo!BX56/100,Q56*Basicinfo!BU56/Basicinfo!BS56*Basicinfo!BX56/100)</f>
        <v>0.31131786518473531</v>
      </c>
      <c r="T56" s="19">
        <f>IF(Basicinfo!BS56=0,0,IF(H56&lt;Parameters!$C$75,Q56*K56/Basicinfo!BS56*(-Parameters!$C$74+Parameters!$C$73*LN(H56*100)),Q56*K56/Basicinfo!BS56))</f>
        <v>0</v>
      </c>
      <c r="U56" s="19">
        <f t="shared" si="26"/>
        <v>0.45655412746468399</v>
      </c>
      <c r="V56" s="19">
        <f>IF(Basicinfo!AL56&gt;Parameters!$C$14,Basicinfo!Q56,0)</f>
        <v>0</v>
      </c>
      <c r="W56" s="19">
        <f>IF(Basicinfo!AL56&gt;Parameters!$C$14,0,Basicinfo!Q56)</f>
        <v>0</v>
      </c>
      <c r="X56" s="19">
        <f>G56+Basicinfo!M56</f>
        <v>48.895453625471532</v>
      </c>
      <c r="Y56" s="19">
        <f>IF(Basicinfo!G56-F56-Q56-V56-Basicinfo!O56-Basicinfo!R56-Basicinfo!S56&lt;0,0,Basicinfo!G56-F56-Q56-V56-Basicinfo!O56-Basicinfo!R56-Basicinfo!S56)</f>
        <v>97.368850218086095</v>
      </c>
      <c r="Z56" s="19">
        <f>Basicinfo!G56-F56-Basicinfo!BO56-Q56-Basicinfo!O56</f>
        <v>96.121202790161618</v>
      </c>
      <c r="AA56" s="53">
        <f>IF(Z56+Basicinfo!BO56-X56&gt;0,Z56+Basicinfo!BO56-X56,0)</f>
        <v>48.476400170879884</v>
      </c>
      <c r="AB56" s="56">
        <f>IF(Basicinfo!N56=0,0,Parameters!$C$71+Parameters!$C$72*Q56/Basicinfo!N56)</f>
        <v>0.32290806410556572</v>
      </c>
      <c r="AC56" s="43">
        <f>Basicinfo!AU56*AB56*R56/1000/86.4/0.365</f>
        <v>2.3838656741491712E-3</v>
      </c>
      <c r="AD56" s="43">
        <f>Basicinfo!AU56*AB56*S56/1000/86.4/0.365</f>
        <v>2.9231745020687661E-3</v>
      </c>
      <c r="AE56" s="43">
        <f>Basicinfo!AU56*AB56*T56/1000/86.4/0.365</f>
        <v>0</v>
      </c>
      <c r="AF56" s="43">
        <f>Basicinfo!AU56*AB56*U56/1000/86.4/0.365</f>
        <v>4.2868962352259369E-3</v>
      </c>
      <c r="AG56" s="43">
        <f>((Parameters!$C$80+Parameters!$C$81*Parameters!$C$89)/(Parameters!$C$82+Parameters!$C$89)/(Parameters!$C$90/100*Parameters!$C$91+(Parameters!$C$83+Parameters!$C$84*Parameters!$C$89)/(Parameters!$C$85+Parameters!$C$89)))-Parameters!$C$86+(Basicinfo!AU56-Parameters!$C$88)/Parameters!$C$87</f>
        <v>74.314145296069356</v>
      </c>
      <c r="AH56" s="43">
        <f>((Parameters!$C$80+Parameters!$C$81*Parameters!$C$89)/(Parameters!$C$82+Parameters!$C$89)/(Basicinfo!BY56/100*Parameters!$C$91+(Parameters!$C$83+Parameters!$C$84*Parameters!$C$89)/(Parameters!$C$85+Parameters!$C$89)))-Parameters!$C$86+(Basicinfo!AU56-Parameters!$C$88)/Parameters!$C$87</f>
        <v>56.511263429453791</v>
      </c>
      <c r="AI56" s="43">
        <f>Basicinfo!AU56^Parameters!$C$79*Parameters!$C$78*AH56/AG56</f>
        <v>23.237575353084516</v>
      </c>
      <c r="AJ56" s="43">
        <f>(J56*Parameters!$C$92/1000+Parameters!$C$94/100*S56*100*Parameters!$C$93/1000*86400*Parameters!$C$95/24)/86400</f>
        <v>2.5103387757202653E-3</v>
      </c>
      <c r="AK56" s="43">
        <f t="shared" si="1"/>
        <v>1.7422389687949003E-3</v>
      </c>
      <c r="AL56" s="43">
        <f>(K56*Parameters!$C$92/1000+Parameters!$C$94/100*T56*100*Parameters!$C$93/1000*86400*Parameters!$C$95/24)/86400</f>
        <v>0</v>
      </c>
      <c r="AM56" s="43">
        <f>(Intermediate!N56+Basicinfo!BV56-Intermediate!L56)*Parameters!$C$92/1000/86400</f>
        <v>8.9739120370370385E-4</v>
      </c>
      <c r="AN56" s="43">
        <f t="shared" si="2"/>
        <v>4.0357885175158759E-3</v>
      </c>
      <c r="AO56" s="43">
        <f t="shared" si="27"/>
        <v>1.7422389687949003E-3</v>
      </c>
      <c r="AP56" s="43">
        <f t="shared" si="28"/>
        <v>5.184287438929641E-3</v>
      </c>
      <c r="AQ56" s="43">
        <f t="shared" si="33"/>
        <v>9.3103920818737133E-3</v>
      </c>
      <c r="AR56" s="61">
        <f>(Basicinfo!AU56-Basicinfo!AY56)*F56/1000/86.4/0.365</f>
        <v>2.7024908066628091E-3</v>
      </c>
      <c r="AS56" s="19">
        <f>IF(Basicinfo!AP56-Basicinfo!CB56-Basicinfo!CG56&lt;0,0,(Basicinfo!AP56-Basicinfo!CB56-Basicinfo!CG56)/Basicinfo!G56*1000)</f>
        <v>11.755915157332659</v>
      </c>
      <c r="AT56" s="19">
        <f>Parameters!$C$3*((AS56*86.4*0.365)^Parameters!$C$4)</f>
        <v>67.72033000007265</v>
      </c>
      <c r="AU56" s="19">
        <f>IF(AT56/86.4/0.365*(Basicinfo!G56/1000)-AN56&lt;0,0,AT56/86.4/0.365*(Basicinfo!G56/1000)-AN56)</f>
        <v>0.20811501807666857</v>
      </c>
      <c r="AV56" s="19">
        <f>IF(Basicinfo!AU56&gt;Parameters!$C$13,Parameters!$C$11*(Basicinfo!AU56-Parameters!$C$13)^Parameters!$C$12,0)</f>
        <v>69.664928753515412</v>
      </c>
      <c r="AW56" s="19">
        <f>IF(AV56*V56/1000/86.4/0.365&gt;Basicinfo!AP56*Parameters!$C$15,Basicinfo!AP56*Parameters!$C$15,AV56*V56/1000/86.4/0.365)</f>
        <v>0</v>
      </c>
      <c r="AX56" s="19">
        <f>Basicinfo!AU56-Basicinfo!AW56</f>
        <v>320.03531273528563</v>
      </c>
      <c r="AY56" s="19">
        <f>Parameters!$C$56*AX56+Parameters!$C$57*Basicinfo!AW56</f>
        <v>219.71604200099995</v>
      </c>
      <c r="AZ56" s="19">
        <f>AY56*Basicinfo!BO56/1000/86.4/0.365</f>
        <v>8.7134731419517414E-3</v>
      </c>
      <c r="BA56" s="19">
        <f>IF(Basicinfo!AP56-AQ56-AR56-AU56-AW56-AZ56-Basicinfo!CB56-Basicinfo!CG56&lt;0,0,Basicinfo!AP56-AQ56-AR56-AU56-AW56-AZ56-Basicinfo!CB56-Basicinfo!CG56)</f>
        <v>0.93257694412089054</v>
      </c>
      <c r="BB56" s="53">
        <f t="shared" si="34"/>
        <v>305.96523614045543</v>
      </c>
      <c r="BC56" s="56">
        <f>IF(G56=0,0,((Basicinfo!H56*Basicinfo!BE56+Basicinfo!I56*Basicinfo!BF56+Basicinfo!J56*Basicinfo!BG56+Basicinfo!K56*Basicinfo!BH56+Basicinfo!L56*Basicinfo!BI56)*(1-Basicinfo!BN56/G56*Parameters!$C$26/100)/G56)*Basicinfo!BM56)</f>
        <v>4.551720348946044</v>
      </c>
      <c r="BD56" s="43">
        <f>IF(Basicinfo!AW56*Parameters!$C$39-Parameters!$C$40&lt;0,0.001,(Basicinfo!AW56*Parameters!$C$39-Parameters!$C$40)/(Basicinfo!AX56*Parameters!$C$39-Parameters!$C$40))</f>
        <v>1.1595454196283494</v>
      </c>
      <c r="BE56" s="43">
        <f>(BC56*G56*100+Basicinfo!BJ56*Basicinfo!M56*100)*Parameters!$C$29*BD56</f>
        <v>13165.674189734773</v>
      </c>
      <c r="BF56" s="43">
        <f>(Basicinfo!BK56*Basicinfo!P56*100)*BD56*Parameters!$C$29</f>
        <v>662.34156756583332</v>
      </c>
      <c r="BG56" s="43">
        <f>Parameters!$C$27*(V56+W56)*100</f>
        <v>0</v>
      </c>
      <c r="BH56" s="43">
        <f>Parameters!$C$28*Basicinfo!R56*100</f>
        <v>0</v>
      </c>
      <c r="BI56" s="43">
        <f t="shared" si="29"/>
        <v>662.34156756583332</v>
      </c>
      <c r="BJ56" s="43">
        <f>IF(Basicinfo!AM56&lt;Parameters!$C$33,0,Parameters!$C$30*(((Basicinfo!AM56-Parameters!$C$33)^Parameters!$C$31)*(((G56-Basicinfo!BN56)/Basicinfo!G56*100+Parameters!$C$34))^Parameters!$C$32))</f>
        <v>2.9109905502002578</v>
      </c>
      <c r="BK56" s="58">
        <f t="shared" si="30"/>
        <v>1045.5930990991669</v>
      </c>
      <c r="BL56" s="61">
        <f>Basicinfo!AZ56+Basicinfo!BA56</f>
        <v>1405.5059111159135</v>
      </c>
      <c r="BM56" s="19">
        <f>Basicinfo!BB56+Basicinfo!BC56</f>
        <v>1537.7197839069763</v>
      </c>
      <c r="BN56" s="172">
        <f>IF(Basicinfo!AO56=0,0,IF(Basicinfo!AO56="NA",1,IF(OR(Basicinfo!AO56="SA",Basicinfo!AN56="S"),3,IF(Basicinfo!AN56="N",1,IF(Basicinfo!AO56="ZA",2,0)))))</f>
        <v>0</v>
      </c>
      <c r="BO56" s="27">
        <f>IF($BN56=1,(BL56)*(1+Parameters!$C$21*Parameters!$C$22-Parameters!$C$22*Basicinfo!$AL56),IF($BN56=2,(BL56)*(1+Parameters!$C$21*Parameters!$C$23-Parameters!$C$23*Basicinfo!$AL56),IF($BN56=3,(BL56)*(1+Parameters!$C$21*Parameters!$C$24-Parameters!$C$24*Basicinfo!$AL56),BL56)))</f>
        <v>1405.5059111159135</v>
      </c>
      <c r="BP56" s="27">
        <f>IF($BN56=1,(BM56)*(1+Parameters!$C$21*Parameters!$C$22-Parameters!$C$22*Basicinfo!$AL56),IF($BN56=2,(BM56)*(1+Parameters!$C$21*Parameters!$C$23-Parameters!$C$23*Basicinfo!$AL56),IF($BN56=3,(BM56)*(1+Parameters!$C$21*Parameters!$C$24-Parameters!$C$24*Basicinfo!$AL56),BM56)))</f>
        <v>1537.7197839069763</v>
      </c>
      <c r="BQ56" s="27">
        <f>IF(Basicinfo!AU56=0,0,IF(G56+Basicinfo!M56=0,0,(Parameters!$C$16+BO56/Basicinfo!AU56)*G56+(Parameters!$C$17+BO56/Basicinfo!AU56)*Basicinfo!M56)/(G56+Basicinfo!M56))</f>
        <v>1.680662228683846</v>
      </c>
      <c r="BR56" s="27">
        <f>IF(Basicinfo!AU56=0,0,IF(G56+Basicinfo!M56=0,0,(Parameters!$C$16+BP56/Basicinfo!AU56)*G56+(Parameters!$C$17+BP56/Basicinfo!AU56)*Basicinfo!M56)/(G56+Basicinfo!M56))</f>
        <v>1.8248401011325901</v>
      </c>
      <c r="BS56" s="27">
        <f>IF(Basicinfo!AU56=0,0,BO56/Basicinfo!AU56)</f>
        <v>1.5326897828570658</v>
      </c>
      <c r="BT56" s="27">
        <f>IF(Basicinfo!AU56=0,0,BP56/Basicinfo!AU56)</f>
        <v>1.6768676553058097</v>
      </c>
      <c r="BU56" s="27">
        <f>IF(SUM(G56,Basicinfo!M56,Basicinfo!P56,W56)=0,0,(BQ56*(G56+Basicinfo!M56)+BS56*(Basicinfo!P56+W56))/SUM(G56,Basicinfo!M56,Basicinfo!P56,W56))</f>
        <v>1.6096936292765252</v>
      </c>
      <c r="BV56" s="19">
        <f>IF(Basicinfo!BR56/Parameters!$C$10&gt;1,1,Basicinfo!BR56/Parameters!$C$10)</f>
        <v>0.61999097210056231</v>
      </c>
      <c r="BW56" s="19">
        <f>Parameters!$C$5+Parameters!$C$6*EXP(BV56*Parameters!$C$8*Parameters!$C$7)</f>
        <v>3.852489962364207E-2</v>
      </c>
      <c r="BX56" s="19">
        <f>Parameters!$C$5+Parameters!$C$6*EXP(BV56*Parameters!$C$9*Parameters!$C$7)</f>
        <v>3.6348328872646912E-2</v>
      </c>
      <c r="BY56" s="19">
        <f>IF(Basicinfo!AH56+Basicinfo!AI56+Basicinfo!AJ56+Basicinfo!AK56=0,0,(Parameters!$C$18*(Basicinfo!AH56+Basicinfo!AI56)+Parameters!$C$19*Basicinfo!AJ56+Parameters!$C$20*Basicinfo!AK56)/(Basicinfo!AH56+Basicinfo!AI56+Basicinfo!AJ56+Basicinfo!AK56))</f>
        <v>2.6997319151457051E-2</v>
      </c>
      <c r="BZ56" s="19">
        <f>IF(Basicinfo!AJ56+Basicinfo!AK56=0,Parameters!$C$18,(Parameters!$C$19*Basicinfo!AJ56+Parameters!$C$20*Basicinfo!AK56)/(Basicinfo!AJ56+Basicinfo!AK56))</f>
        <v>2.5000000000000001E-2</v>
      </c>
      <c r="CA56" s="19">
        <f>IF(SUM(G56,Basicinfo!M56,Basicinfo!P56,W56)=0,0,(BW56*G56+BX56*Basicinfo!M56+BY56*Basicinfo!P56+BZ56*W56)/(SUM(G56,Basicinfo!M56,Basicinfo!P56,W56)))</f>
        <v>3.2422201572913777E-2</v>
      </c>
      <c r="CB56" s="19">
        <f>IF(Y56=0,Basicinfo!BP56,Basicinfo!BP56-(AU56*X56/Y56*Intermediate!BQ56*86400*365/1000000)*1000/(X56*100))</f>
        <v>76.072417738879167</v>
      </c>
      <c r="CC56" s="19">
        <f>IF(Y56=0,Basicinfo!BQ56,Basicinfo!BQ56-(AU56*Basicinfo!AV56/Basicinfo!AU56*X56/Y56*Intermediate!BR56*86400*365/1000000)*1000/(X56*100))</f>
        <v>35.406698222933542</v>
      </c>
      <c r="CD56" s="19">
        <f>IF(OR(Y56=0,AA56=0),BP56/100,BP56/100-(AU56*Basicinfo!AV56/Basicinfo!AU56*(Basicinfo!P56+W56)/Y56*Intermediate!BT56*86400*365/1000000+AW56*Basicinfo!AV56/Basicinfo!AU56*Intermediate!BT56*86400*365/1000000)*1000/(AA56*100))</f>
        <v>14.403615220774148</v>
      </c>
      <c r="CE56" s="19">
        <f t="shared" si="35"/>
        <v>168694.51482321421</v>
      </c>
      <c r="CF56" s="19">
        <f t="shared" si="36"/>
        <v>69823.541534962395</v>
      </c>
      <c r="CG56" s="19">
        <f>IF(AY56=0,0,((CB56^Parameters!$C$58))/AY56*100)</f>
        <v>18.079289928985524</v>
      </c>
      <c r="CH56" s="19">
        <f>IF(SUM(Basicinfo!AB56:AG56)=0,0,(Parameters!$C$59*Basicinfo!AB56+Parameters!$C$60*SUM(Basicinfo!AC56:AE56)+Parameters!$C$61*Basicinfo!AF56+Parameters!$C$62*Basicinfo!AG56)/SUM(Basicinfo!AB56:AG56))</f>
        <v>8.1506461011907949E-2</v>
      </c>
      <c r="CI56" s="19">
        <f t="shared" si="31"/>
        <v>10</v>
      </c>
      <c r="CJ56" s="19">
        <f t="shared" si="37"/>
        <v>24.814302093043498</v>
      </c>
      <c r="CK56" s="19">
        <f t="shared" si="9"/>
        <v>8.1101704252610975</v>
      </c>
      <c r="CL56" s="19">
        <f>IF($BB56=0,0,$CJ56^Parameters!$C$58*100/$BB56)</f>
        <v>5.0098493985834862</v>
      </c>
      <c r="CM56" s="19">
        <f>IF(CK56=0,0,(1/(1+Parameters!$C$116*BB56^Parameters!$C$120)*Basicinfo!AH56/Basicinfo!G56+1/(1+Parameters!$C$117*BB56^Parameters!$C$121)*Basicinfo!AI56/Basicinfo!G56)*(CK56)^Parameters!$C$124+(1/(1+Parameters!$C$118*BB56^Parameters!$C$122)*Basicinfo!AJ56/Basicinfo!G56+1/(1+Parameters!$C$119*BB56^Parameters!$C$123)*Basicinfo!AK56/Basicinfo!G56)*(CK56)^Parameters!$C$125)</f>
        <v>1.6657636949290044</v>
      </c>
      <c r="CN56" s="19">
        <f>IF(SUM(Basicinfo!AB56:AG56)=0,0,(Parameters!$C$128*Basicinfo!AB56+Parameters!$C$129*(SUM(Basicinfo!AC56:AE56))+Parameters!$C$130*Basicinfo!AF56+Parameters!$C$131*Basicinfo!AG56)/SUM(Basicinfo!AB56:AG56))</f>
        <v>1.4293287530469101E-2</v>
      </c>
      <c r="CO56" s="19">
        <f>IF(Basicinfo!AH56+Basicinfo!AI56+Basicinfo!AJ56+Basicinfo!AK56=0,0,(Parameters!$C$132*(Basicinfo!AH56+Basicinfo!AI56)+Parameters!$C$133*Basicinfo!AJ56+Parameters!$C$134*Basicinfo!AK56)/(Basicinfo!AH56+Basicinfo!AI56+Basicinfo!AJ56+Basicinfo!AK56))</f>
        <v>5.0000000000000001E-4</v>
      </c>
      <c r="CP56" s="19">
        <f>IF(Basicinfo!AJ56+Basicinfo!AK56=0,0,(Parameters!$C$133*Basicinfo!AJ56+Parameters!$C$134*Basicinfo!AK56)/(Basicinfo!AJ56+Basicinfo!AK56))</f>
        <v>5.0000000000000001E-4</v>
      </c>
      <c r="CQ56" s="19">
        <f>IF(Z56=0,0,(CN56*(Z56-AA56)+CO56*Basicinfo!P56+CP56*(Basicinfo!Q56+Basicinfo!R56))/Z56)</f>
        <v>7.3192225708107522E-3</v>
      </c>
      <c r="CR56" s="290">
        <f>CR58</f>
        <v>2.4060867543859648E-2</v>
      </c>
      <c r="CS56" s="19">
        <f>IF(SUM(Basicinfo!AB56:AG56)=0,0,(Basicinfo!AB56*Parameters!$C$43+(Basicinfo!AC56+Basicinfo!AD56)*Parameters!$C$44+Basicinfo!AE56*Parameters!$C$45+(Basicinfo!AF56+Basicinfo!AG56)*Parameters!$C$46)/SUM(Basicinfo!AB56:AG56))</f>
        <v>22.762344626617619</v>
      </c>
      <c r="CT56" s="19">
        <f>(Parameters!$C$41*CS56+Parameters!$C$42)</f>
        <v>507.17591519149971</v>
      </c>
      <c r="CU56" s="19">
        <f>CT56+Basicinfo!BR56/(Parameters!$C$47*Parameters!$C$49*Parameters!$C$48*10000/1000000)</f>
        <v>725.53751542817577</v>
      </c>
      <c r="CV56" s="19">
        <f>IF(BK56/Basicinfo!G56&lt;Parameters!$C$35,Parameters!$C$35,Parameters!$C$37*(BK56/Basicinfo!G56)^Parameters!$C$38)</f>
        <v>2.5271342709446807</v>
      </c>
      <c r="CW56" s="19">
        <f>IF(BK56/Basicinfo!G56&lt;Parameters!$C$35,Parameters!$C$36,Parameters!$C$36*(BK56/Basicinfo!G56)^Parameters!$C$38)</f>
        <v>5.9387655367200001</v>
      </c>
      <c r="CX56" s="27">
        <f>IF(Basicinfo!AJ56+Basicinfo!AK56=0,0,(Parameters!$C$53*Basicinfo!AJ56+Parameters!$C$54*Basicinfo!AK56)/(Basicinfo!AJ56+Basicinfo!AK56))</f>
        <v>750</v>
      </c>
      <c r="CY56" s="56">
        <f>IF(Basicinfo!AU56*AB56=0,0,((Basicinfo!AZ56+Basicinfo!BA56)/Basicinfo!AU56+Parameters!$C$76/(Basicinfo!AU56*AB56)*100))</f>
        <v>2.883525969865568</v>
      </c>
      <c r="CZ56" s="43">
        <f>IF(Basicinfo!AU56*AB56=0,0,(Parameters!$C$77)/(Basicinfo!AU56*AB56)*100)</f>
        <v>0.84427261688031396</v>
      </c>
      <c r="DA56" s="43">
        <f>IF(AD56+AJ56=0,0,((J56*Parameters!$C$96+Parameters!$C$94/100*S56*100*Parameters!$C$93/1000*86400*Parameters!$C$95/24*Parameters!$C$98)*AI56+AD56*CY56*86400*365)/((AD56+AJ56*AI56/365)*86400*365))</f>
        <v>7.499843261410005</v>
      </c>
      <c r="DB56" s="43">
        <f>IF(AD56+AJ56=0,0,((J56*Parameters!$C$97+Parameters!$C$94/100*S56*100*Parameters!$C$93/1000*86400*Parameters!$C$95/24*Parameters!$C$99)*AI56+AD56*CZ56*86400*365)/((AD56+AJ56*AI56/365)*86400*365))</f>
        <v>1.5758082484874238</v>
      </c>
      <c r="DC56" s="42">
        <f>IF(AE56+AL56=0,0,((K56*Parameters!$C$96+Parameters!$C$94/100*T56*100*Parameters!$C$93/1000*86400*Parameters!$C$95/24*Parameters!$C$98)*365+AE56*CY56*86400*365)/((AE56+AL56)*86400*365))</f>
        <v>0</v>
      </c>
      <c r="DD56" s="42">
        <f>IF(AE56+AL56=0,0,((K56*Parameters!$C$97+Parameters!$C$94/100*T56*100*Parameters!$C$93/1000*86400*Parameters!$C$95/24*Parameters!$C$99)*365+AE56*CZ56*86400*365)/((AE56+AL56)*86400*365))</f>
        <v>0</v>
      </c>
      <c r="DE56" s="42">
        <f>IF(Basicinfo!AH56+Basicinfo!AI56+Basicinfo!AJ56+Basicinfo!AK56=0,0,((Basicinfo!AH56+Basicinfo!AI56)*Parameters!$C$107+(Basicinfo!AJ56+Basicinfo!AK56)*Parameters!$C$106)/(Basicinfo!AH56+Basicinfo!AI56+Basicinfo!AJ56+Basicinfo!AK56))</f>
        <v>57.989276605828202</v>
      </c>
      <c r="DF56" s="42">
        <f>IF(Basicinfo!AH56+Basicinfo!AI56+Basicinfo!AJ56+Basicinfo!AK56=0,0,((Basicinfo!AH56+Basicinfo!AI56)*Parameters!$C$109+(Basicinfo!AJ56+Basicinfo!AK56)*Parameters!$C$108)/(Basicinfo!AH56+Basicinfo!AI56+Basicinfo!AJ56+Basicinfo!AK56))</f>
        <v>57.989276605828202</v>
      </c>
      <c r="DG56" s="42">
        <f>Intermediate!AC56*Intermediate!CY56*(1-Parameters!$C$102/100*Basicinfo!BZ56/100)*(1-Parameters!$C$104/100*Basicinfo!CA56/100)*86400*365/1000000</f>
        <v>0.21677652706140998</v>
      </c>
      <c r="DH56" s="42">
        <f>Intermediate!AC56*Intermediate!CZ56*(1-Parameters!$C$103/100*Basicinfo!BZ56/100)*(1-Parameters!$C$105/100*Basicinfo!CA56/100)*86400*365/1000000</f>
        <v>6.3470378867056018E-2</v>
      </c>
      <c r="DI56" s="42">
        <f>(Intermediate!AK56*Intermediate!DA56+(Intermediate!AE56+Intermediate!AL56)*Intermediate!DC56)*86400*365/1000000</f>
        <v>0.41206574917212979</v>
      </c>
      <c r="DJ56" s="42">
        <f>(Intermediate!AK56*Intermediate!DB56+(Intermediate!AE56+Intermediate!AL56)*Intermediate!DD56)*86400*365/1000000</f>
        <v>8.6580023586054738E-2</v>
      </c>
      <c r="DK56" s="42">
        <f>((Basicinfo!AZ56+Basicinfo!BA56)*Intermediate!AB56+Parameters!$C$76*100)/1000*Intermediate!U56*(1-Intermediate!DE56/100)+(1-Parameters!$C$110/100)*M56*Parameters!$C$100*(1-DE56/100)*365/1000000+(1-Parameters!$C$112/100)*P56*Parameters!$C$96*365/1000000+(1-Parameters!$C$112/100)*O56*Parameters!$C$96*(1-DE56/100)*365/1000000</f>
        <v>0.90455141348455537</v>
      </c>
      <c r="DL56" s="42">
        <f>Parameters!$C$77*100/1000*Intermediate!U56*(1-Intermediate!DF56/100)+(1-Parameters!$C$111/100)*M56*Parameters!$C$101*(1-DF56/100)*365/1000000+(1-Parameters!$C$113/100)*P56*Parameters!$C$97*365/1000000+(1-Parameters!$C$113/100)*O56*Parameters!$C$97*(1-DF56/100)*365/1000000</f>
        <v>0.14689179500961813</v>
      </c>
      <c r="DM56" s="31"/>
      <c r="DN56" s="31"/>
      <c r="DO56" s="31"/>
      <c r="DP56" s="31"/>
      <c r="DQ56" s="31"/>
      <c r="DR56" s="31"/>
      <c r="DS56" s="31"/>
      <c r="DT56" s="188">
        <f>BO56*(Basicinfo!$P56+Basicinfo!$Q56)/1000</f>
        <v>63.336632837125215</v>
      </c>
      <c r="DU56" s="188">
        <f>DT56*Basicinfo!$AZ56/(Basicinfo!$AZ56+Basicinfo!$BA56)</f>
        <v>35.828916485815249</v>
      </c>
      <c r="DV56" s="188">
        <f>DT56*Basicinfo!$BC56/(Basicinfo!$BB56+Basicinfo!$BC56)</f>
        <v>26.636427724416954</v>
      </c>
      <c r="DW56" s="188">
        <f>BP56*(Basicinfo!$P56+Basicinfo!$Q56)/1000</f>
        <v>69.294616685299388</v>
      </c>
      <c r="DX56" s="188">
        <f>DW56*Basicinfo!$BB56/(Basicinfo!$BB56+Basicinfo!$BC56)</f>
        <v>40.152539401594332</v>
      </c>
      <c r="DY56" s="188">
        <f>DW56*Basicinfo!$BC56/(Basicinfo!$BB56+Basicinfo!$BC56)</f>
        <v>29.142077283705049</v>
      </c>
      <c r="DZ56" s="188">
        <f t="shared" si="38"/>
        <v>68.722849097294272</v>
      </c>
      <c r="EA56" s="188">
        <f>DZ56*Basicinfo!$AZ56/(Basicinfo!$AZ56+Basicinfo!$BA56)</f>
        <v>38.875846578490133</v>
      </c>
      <c r="EB56" s="188">
        <f>DZ56*Basicinfo!$BC56/(Basicinfo!$BB56+Basicinfo!$BC56)</f>
        <v>28.901618557832666</v>
      </c>
      <c r="EC56" s="188">
        <f t="shared" si="39"/>
        <v>75.187506382993675</v>
      </c>
      <c r="ED56" s="188">
        <f>EC56*Basicinfo!$AZ56/(Basicinfo!$AZ56+Basicinfo!$BA56)</f>
        <v>42.532840258504244</v>
      </c>
      <c r="EE56" s="188">
        <f>EC56*Basicinfo!$BC56/(Basicinfo!$BB56+Basicinfo!$BC56)</f>
        <v>31.620351285486034</v>
      </c>
      <c r="EF56" s="190">
        <f>(Basicinfo!BP56-BL56/100)*Intermediate!X56/10</f>
        <v>308.77578444995709</v>
      </c>
      <c r="EG56" s="191">
        <f>(Basicinfo!BQ56-BM56/100)*Intermediate!X56/10</f>
        <v>103.50797547564903</v>
      </c>
      <c r="EH56" s="197">
        <f>IF(AU56=0,0,$BS56*((Basicinfo!$P56+Basicinfo!$Q56)*Intermediate!$AT56*1000+$AW56*3600*24*365)/1000000*Basicinfo!AZ56/(Basicinfo!$AZ56+Basicinfo!$BA56))</f>
        <v>2.6459054835551234</v>
      </c>
      <c r="EI56" s="197">
        <f>IF(AU56=0,0,$BS56*((Basicinfo!$P56+Basicinfo!$Q56)*Intermediate!$AT56*1000+$AW56*3600*24*365)/1000000*Basicinfo!BA56/(Basicinfo!$AZ56+Basicinfo!$BA56))</f>
        <v>2.0313987882615669</v>
      </c>
      <c r="EJ56" s="198">
        <f>IF(AU56=0,0,$BS56*($AT56*$X56*1000)/1000000*Basicinfo!AZ56/(Basicinfo!$AZ56+Basicinfo!$BA56))</f>
        <v>2.870916168525441</v>
      </c>
      <c r="EK56" s="198">
        <f>IF(AU56=0,0,$BS56*($AT56*$X56*1000)/1000000*Basicinfo!BA56/(Basicinfo!$AZ56+Basicinfo!$BA56))</f>
        <v>2.2041511543742267</v>
      </c>
      <c r="EL56" s="147">
        <f>Parameters!$C$150/Basicinfo!$AV56*100</f>
        <v>0.11768726801112907</v>
      </c>
      <c r="EM56" s="147">
        <f>Parameters!$C$151/Basicinfo!$AV56*100</f>
        <v>0.23537453602225814</v>
      </c>
      <c r="EN56" s="147">
        <f>(Parameters!$C$150+Parameters!$C$151)/Intermediate!$BB56*100</f>
        <v>0.98050354930611439</v>
      </c>
      <c r="EO56" s="193">
        <f>IF(EN56=0,0,(1/(1+Parameters!$C$116*$BB56^Parameters!$C$120)*Basicinfo!$AH56/Basicinfo!$G56+1/(1+Parameters!$C$117*$BB56^Parameters!$C$121)*Basicinfo!$AI56/Basicinfo!$G56)*(EN56)^Parameters!$C$124+(1/(1+Parameters!$C$118*$BB56^Parameters!$C$122)*Basicinfo!$AJ56/Basicinfo!AW56+1/(1+Parameters!$C$119*$BB56^Parameters!$C$123)*Basicinfo!$AK56/Basicinfo!$G56)*(EN56)^Parameters!$C$125)</f>
        <v>0.31735668834123593</v>
      </c>
      <c r="EP56" s="199">
        <f>EL56*($AT56*Basicinfo!$P56*1000+$AW56*3600*24*365)/1000000</f>
        <v>0.35914584122873611</v>
      </c>
      <c r="EQ56" s="199">
        <f>EM56*($AT56*Basicinfo!$P56*1000+$AW56*3600*24*365)/1000000</f>
        <v>0.71829168245747221</v>
      </c>
      <c r="ER56" s="199">
        <f t="shared" si="40"/>
        <v>0.3896879948473671</v>
      </c>
      <c r="ES56" s="199">
        <f t="shared" si="41"/>
        <v>0.77937598969473421</v>
      </c>
      <c r="ET56" s="181">
        <f t="shared" si="14"/>
        <v>9.3333797573042094</v>
      </c>
      <c r="EU56" s="147">
        <f>Intermediate!F56*(Parameters!$C$150)/1000*100</f>
        <v>4.0077005233094001E-2</v>
      </c>
      <c r="EV56" s="147">
        <f>Intermediate!F56*(Parameters!$C$151)/1000*100</f>
        <v>8.0154010466188003E-2</v>
      </c>
      <c r="EW56" s="181">
        <f>'Local emissions'!$S56*Basicinfo!AZ56/(Basicinfo!$AZ56+Basicinfo!$BA56)-Intermediate!EU56</f>
        <v>0.27856765214165047</v>
      </c>
      <c r="EX56" s="147">
        <f>'Local emissions'!$S56*Basicinfo!BA56/(Basicinfo!$AZ56+Basicinfo!$BA56)-Intermediate!EV56</f>
        <v>0.16448600970843769</v>
      </c>
      <c r="EY56" s="188">
        <f t="shared" si="15"/>
        <v>2.2867596423263872</v>
      </c>
      <c r="EZ56" s="188">
        <f t="shared" si="16"/>
        <v>1.3131071058040948</v>
      </c>
      <c r="FA56" s="188">
        <f t="shared" si="17"/>
        <v>2.4812281736780739</v>
      </c>
      <c r="FB56" s="181">
        <f t="shared" si="18"/>
        <v>1.4247751646794926</v>
      </c>
      <c r="FC56" s="181">
        <f>'Local emissions'!Y56-Intermediate!ET56</f>
        <v>39.660903208445731</v>
      </c>
      <c r="FD56" s="188">
        <f t="shared" si="19"/>
        <v>6.4215708132305087</v>
      </c>
      <c r="FE56" s="188">
        <f t="shared" si="20"/>
        <v>4.6606744109070597</v>
      </c>
      <c r="FF56" s="181">
        <f t="shared" si="21"/>
        <v>3.401125429154817</v>
      </c>
      <c r="FG56" s="201">
        <f t="shared" si="22"/>
        <v>2.5285116202502294</v>
      </c>
      <c r="FH56" s="181">
        <f t="shared" si="23"/>
        <v>22.649020934903117</v>
      </c>
      <c r="FJ56" s="147">
        <f>AVERAGE(Parameters!$C$132:$C$134)*'Local emissions'!J56*3600*24*365/1000000</f>
        <v>1.4704873254898202E-2</v>
      </c>
      <c r="FK56" s="147">
        <f>'Local emissions'!AJ56+CT56*BJ56/100*Intermediate!X56*100/1000000</f>
        <v>0.37024218530319392</v>
      </c>
      <c r="FL56" s="31">
        <f>(Parameters!$C$18*(Basicinfo!AH56+Basicinfo!AI56)+Parameters!$C$19*Basicinfo!AJ56+Parameters!$C$20*Basicinfo!AK56)/Basicinfo!G56</f>
        <v>2.6997319151457051E-2</v>
      </c>
      <c r="FM56" s="181">
        <f t="shared" si="32"/>
        <v>0.17718651595392901</v>
      </c>
    </row>
    <row r="57" spans="1:169">
      <c r="A57" s="39" t="str">
        <f>Basicinfo!A57</f>
        <v>Klammleitenbach</v>
      </c>
      <c r="B57" s="63">
        <f>Basicinfo!B57</f>
        <v>1630</v>
      </c>
      <c r="C57" s="63">
        <f>Basicinfo!C57</f>
        <v>1640</v>
      </c>
      <c r="D57" s="61">
        <f>Basicinfo!U57*Basicinfo!V57/1000+Basicinfo!Y57</f>
        <v>0.25588780260401678</v>
      </c>
      <c r="E57" s="19">
        <f>Basicinfo!W57*Basicinfo!X57/1000+Basicinfo!Z57</f>
        <v>0</v>
      </c>
      <c r="F57" s="19">
        <f t="shared" si="0"/>
        <v>0.25588780260401678</v>
      </c>
      <c r="G57" s="19">
        <f>SUM(Basicinfo!H57:L57)</f>
        <v>12.345480413262303</v>
      </c>
      <c r="H57" s="19">
        <f>IF(Basicinfo!N57&lt;Parameters!$C$68,Parameters!$C$69,Basicinfo!BS57/(Basicinfo!N57*100))</f>
        <v>14.480053882277792</v>
      </c>
      <c r="I57" s="19">
        <f>IF(Basicinfo!N57=0,0,Basicinfo!BU57*(1-Basicinfo!BX57/100))</f>
        <v>1399.9425326529476</v>
      </c>
      <c r="J57" s="19">
        <f>IF(Basicinfo!N57=0,0,Basicinfo!BU57*Basicinfo!BX57/100)</f>
        <v>895.04522579450759</v>
      </c>
      <c r="K57" s="19">
        <f>IF(Basicinfo!N57=0,0,Basicinfo!BT57-Basicinfo!BU57)</f>
        <v>0</v>
      </c>
      <c r="L57" s="27">
        <f>Basicinfo!BV57*Basicinfo!BW57/100</f>
        <v>325.92999999999995</v>
      </c>
      <c r="M57" s="27">
        <f>Basicinfo!BV57-Intermediate!L57</f>
        <v>325.92999999999995</v>
      </c>
      <c r="N57" s="73">
        <f>Basicinfo!BS57-SUM(I57:K57)-Basicinfo!BV57</f>
        <v>0</v>
      </c>
      <c r="O57" s="19">
        <f>IF(Basicinfo!AH57+Basicinfo!AI57+Basicinfo!AJ57+Basicinfo!AK57=0,0,N57*(Basicinfo!AH57+Basicinfo!AI57)/SUM(Basicinfo!AH57:AK57))</f>
        <v>0</v>
      </c>
      <c r="P57" s="73">
        <f t="shared" si="25"/>
        <v>0</v>
      </c>
      <c r="Q57" s="19">
        <f>IF(Basicinfo!BS57=0,Basicinfo!N57,IF(H57&gt;Parameters!$C$70,Parameters!$C$64*(Parameters!$C$65*Parameters!$C$70)^(Parameters!$C$66-Parameters!$C$67*LOG(Parameters!$C$65*Parameters!$C$70,10))/100*Basicinfo!N57,Parameters!$C$64*(Parameters!$C$65*H57)^(Parameters!$C$66-Parameters!$C$67*LOG(Parameters!$C$65*H57,10))/100*Basicinfo!N57))</f>
        <v>0.51028297251290577</v>
      </c>
      <c r="R57" s="19">
        <f>IF(Basicinfo!BS57=0,Q57*(1-Basicinfo!BX57/100),IF(H57&lt;Parameters!$C$75,Q57*Basicinfo!BU57/Basicinfo!BS57*(1-Basicinfo!BX57/100)*(-Parameters!$C$74+Parameters!$C$73*LN(H57*100)),Q57*Basicinfo!BU57/Basicinfo!BS57*(1-Basicinfo!BX57/100)))</f>
        <v>0.13132781627003765</v>
      </c>
      <c r="S57" s="19">
        <f>IF(Basicinfo!BS57=0,Q57*Basicinfo!BX57/100,Q57*Basicinfo!BU57/Basicinfo!BS57*Basicinfo!BX57/100)</f>
        <v>0.1549881011133511</v>
      </c>
      <c r="T57" s="19">
        <f>IF(Basicinfo!BS57=0,0,IF(H57&lt;Parameters!$C$75,Q57*K57/Basicinfo!BS57*(-Parameters!$C$74+Parameters!$C$73*LN(H57*100)),Q57*K57/Basicinfo!BS57))</f>
        <v>0</v>
      </c>
      <c r="U57" s="19">
        <f t="shared" si="26"/>
        <v>0.22396705512951703</v>
      </c>
      <c r="V57" s="19">
        <f>IF(Basicinfo!AL57&gt;Parameters!$C$14,Basicinfo!Q57,0)</f>
        <v>0</v>
      </c>
      <c r="W57" s="19">
        <f>IF(Basicinfo!AL57&gt;Parameters!$C$14,0,Basicinfo!Q57)</f>
        <v>0</v>
      </c>
      <c r="X57" s="19">
        <f>G57+Basicinfo!M57</f>
        <v>25.271587771275072</v>
      </c>
      <c r="Y57" s="19">
        <f>IF(Basicinfo!G57-F57-Q57-V57-Basicinfo!O57-Basicinfo!R57-Basicinfo!S57&lt;0,0,Basicinfo!G57-F57-Q57-V57-Basicinfo!O57-Basicinfo!R57-Basicinfo!S57)</f>
        <v>78.536590398283067</v>
      </c>
      <c r="Z57" s="19">
        <f>Basicinfo!G57-F57-Basicinfo!BO57-Q57-Basicinfo!O57</f>
        <v>78.536590398283067</v>
      </c>
      <c r="AA57" s="53">
        <f>IF(Z57+Basicinfo!BO57-X57&gt;0,Z57+Basicinfo!BO57-X57,0)</f>
        <v>53.265002627007995</v>
      </c>
      <c r="AB57" s="56">
        <f>IF(Basicinfo!N57=0,0,Parameters!$C$71+Parameters!$C$72*Q57/Basicinfo!N57)</f>
        <v>0.33805497118101724</v>
      </c>
      <c r="AC57" s="43">
        <f>Basicinfo!AU57*AB57*R57/1000/86.4/0.365</f>
        <v>1.3273194356774667E-3</v>
      </c>
      <c r="AD57" s="43">
        <f>Basicinfo!AU57*AB57*S57/1000/86.4/0.365</f>
        <v>1.5664519882329748E-3</v>
      </c>
      <c r="AE57" s="43">
        <f>Basicinfo!AU57*AB57*T57/1000/86.4/0.365</f>
        <v>0</v>
      </c>
      <c r="AF57" s="43">
        <f>Basicinfo!AU57*AB57*U57/1000/86.4/0.365</f>
        <v>2.2636166020882651E-3</v>
      </c>
      <c r="AG57" s="43">
        <f>((Parameters!$C$80+Parameters!$C$81*Parameters!$C$89)/(Parameters!$C$82+Parameters!$C$89)/(Parameters!$C$90/100*Parameters!$C$91+(Parameters!$C$83+Parameters!$C$84*Parameters!$C$89)/(Parameters!$C$85+Parameters!$C$89)))-Parameters!$C$86+(Basicinfo!AU57-Parameters!$C$88)/Parameters!$C$87</f>
        <v>74.959666715637212</v>
      </c>
      <c r="AH57" s="43">
        <f>((Parameters!$C$80+Parameters!$C$81*Parameters!$C$89)/(Parameters!$C$82+Parameters!$C$89)/(Basicinfo!BY57/100*Parameters!$C$91+(Parameters!$C$83+Parameters!$C$84*Parameters!$C$89)/(Parameters!$C$85+Parameters!$C$89)))-Parameters!$C$86+(Basicinfo!AU57-Parameters!$C$88)/Parameters!$C$87</f>
        <v>57.156784849021648</v>
      </c>
      <c r="AI57" s="43">
        <f>Basicinfo!AU57^Parameters!$C$79*Parameters!$C$78*AH57/AG57</f>
        <v>24.975628047628415</v>
      </c>
      <c r="AJ57" s="43">
        <f>(J57*Parameters!$C$92/1000+Parameters!$C$94/100*S57*100*Parameters!$C$93/1000*86400*Parameters!$C$95/24)/86400</f>
        <v>1.3518778366260699E-3</v>
      </c>
      <c r="AK57" s="43">
        <f t="shared" si="1"/>
        <v>9.4820596446096805E-4</v>
      </c>
      <c r="AL57" s="43">
        <f>(K57*Parameters!$C$92/1000+Parameters!$C$94/100*T57*100*Parameters!$C$93/1000*86400*Parameters!$C$95/24)/86400</f>
        <v>0</v>
      </c>
      <c r="AM57" s="43">
        <f>(Intermediate!N57+Basicinfo!BV57-Intermediate!L57)*Parameters!$C$92/1000/86400</f>
        <v>4.9040393518518508E-4</v>
      </c>
      <c r="AN57" s="43">
        <f t="shared" si="2"/>
        <v>2.22265302835501E-3</v>
      </c>
      <c r="AO57" s="43">
        <f t="shared" si="27"/>
        <v>9.4820596446096805E-4</v>
      </c>
      <c r="AP57" s="43">
        <f t="shared" si="28"/>
        <v>2.7540205372734499E-3</v>
      </c>
      <c r="AQ57" s="43">
        <f t="shared" si="33"/>
        <v>5.0295459374118849E-3</v>
      </c>
      <c r="AR57" s="61">
        <f>(Basicinfo!AU57-Basicinfo!AY57)*F57/1000/86.4/0.365</f>
        <v>2.5674747975604397E-3</v>
      </c>
      <c r="AS57" s="19">
        <f>IF(Basicinfo!AP57-Basicinfo!CB57-Basicinfo!CG57&lt;0,0,(Basicinfo!AP57-Basicinfo!CB57-Basicinfo!CG57)/Basicinfo!G57*1000)</f>
        <v>14.105387896091358</v>
      </c>
      <c r="AT57" s="19">
        <f>Parameters!$C$3*((AS57*86.4*0.365)^Parameters!$C$4)</f>
        <v>84.980875787552478</v>
      </c>
      <c r="AU57" s="19">
        <f>IF(AT57/86.4/0.365*(Basicinfo!G57/1000)-AN57&lt;0,0,AT57/86.4/0.365*(Basicinfo!G57/1000)-AN57)</f>
        <v>0.21147655095714235</v>
      </c>
      <c r="AV57" s="19">
        <f>IF(Basicinfo!AU57&gt;Parameters!$C$13,Parameters!$C$11*(Basicinfo!AU57-Parameters!$C$13)^Parameters!$C$12,0)</f>
        <v>78.518129199820208</v>
      </c>
      <c r="AW57" s="19">
        <f>IF(AV57*V57/1000/86.4/0.365&gt;Basicinfo!AP57*Parameters!$C$15,Basicinfo!AP57*Parameters!$C$15,AV57*V57/1000/86.4/0.365)</f>
        <v>0</v>
      </c>
      <c r="AX57" s="19">
        <f>Basicinfo!AU57-Basicinfo!AW57</f>
        <v>331.46606809571415</v>
      </c>
      <c r="AY57" s="19">
        <f>Parameters!$C$56*AX57+Parameters!$C$57*Basicinfo!AW57</f>
        <v>226.87042982344281</v>
      </c>
      <c r="AZ57" s="19">
        <f>AY57*Basicinfo!BO57/1000/86.4/0.365</f>
        <v>0</v>
      </c>
      <c r="BA57" s="19">
        <f>IF(Basicinfo!AP57-AQ57-AR57-AU57-AW57-AZ57-Basicinfo!CB57-Basicinfo!CG57&lt;0,0,Basicinfo!AP57-AQ57-AR57-AU57-AW57-AZ57-Basicinfo!CB57-Basicinfo!CG57)</f>
        <v>0.89952263588978543</v>
      </c>
      <c r="BB57" s="53">
        <f t="shared" si="34"/>
        <v>361.19910097396377</v>
      </c>
      <c r="BC57" s="56">
        <f>IF(G57=0,0,((Basicinfo!H57*Basicinfo!BE57+Basicinfo!I57*Basicinfo!BF57+Basicinfo!J57*Basicinfo!BG57+Basicinfo!K57*Basicinfo!BH57+Basicinfo!L57*Basicinfo!BI57)*(1-Basicinfo!BN57/G57*Parameters!$C$26/100)/G57)*Basicinfo!BM57)</f>
        <v>0.61544299961936921</v>
      </c>
      <c r="BD57" s="43">
        <f>IF(Basicinfo!AW57*Parameters!$C$39-Parameters!$C$40&lt;0,0.001,(Basicinfo!AW57*Parameters!$C$39-Parameters!$C$40)/(Basicinfo!AX57*Parameters!$C$39-Parameters!$C$40))</f>
        <v>1.148953461698091</v>
      </c>
      <c r="BE57" s="43">
        <f>(BC57*G57*100+Basicinfo!BJ57*Basicinfo!M57*100)*Parameters!$C$29*BD57</f>
        <v>959.21391723147985</v>
      </c>
      <c r="BF57" s="43">
        <f>(Basicinfo!BK57*Basicinfo!P57*100)*BD57*Parameters!$C$29</f>
        <v>556.17179265126276</v>
      </c>
      <c r="BG57" s="43">
        <f>Parameters!$C$27*(V57+W57)*100</f>
        <v>0</v>
      </c>
      <c r="BH57" s="43">
        <f>Parameters!$C$28*Basicinfo!R57*100</f>
        <v>0</v>
      </c>
      <c r="BI57" s="43">
        <f t="shared" si="29"/>
        <v>556.17179265126276</v>
      </c>
      <c r="BJ57" s="43">
        <f>IF(Basicinfo!AM57&lt;Parameters!$C$33,0,Parameters!$C$30*(((Basicinfo!AM57-Parameters!$C$33)^Parameters!$C$31)*(((G57-Basicinfo!BN57)/Basicinfo!G57*100+Parameters!$C$34))^Parameters!$C$32))</f>
        <v>2.0488408988370757</v>
      </c>
      <c r="BK57" s="58">
        <f t="shared" si="30"/>
        <v>575.82455969483851</v>
      </c>
      <c r="BL57" s="61">
        <f>Basicinfo!AZ57+Basicinfo!BA57</f>
        <v>1405.5063755384424</v>
      </c>
      <c r="BM57" s="19">
        <f>Basicinfo!BB57+Basicinfo!BC57</f>
        <v>1537.7109129948119</v>
      </c>
      <c r="BN57" s="172">
        <f>IF(Basicinfo!AO57=0,0,IF(Basicinfo!AO57="NA",1,IF(OR(Basicinfo!AO57="SA",Basicinfo!AN57="S"),3,IF(Basicinfo!AN57="N",1,IF(Basicinfo!AO57="ZA",2,0)))))</f>
        <v>0</v>
      </c>
      <c r="BO57" s="27">
        <f>IF($BN57=1,(BL57)*(1+Parameters!$C$21*Parameters!$C$22-Parameters!$C$22*Basicinfo!$AL57),IF($BN57=2,(BL57)*(1+Parameters!$C$21*Parameters!$C$23-Parameters!$C$23*Basicinfo!$AL57),IF($BN57=3,(BL57)*(1+Parameters!$C$21*Parameters!$C$24-Parameters!$C$24*Basicinfo!$AL57),BL57)))</f>
        <v>1405.5063755384424</v>
      </c>
      <c r="BP57" s="27">
        <f>IF($BN57=1,(BM57)*(1+Parameters!$C$21*Parameters!$C$22-Parameters!$C$22*Basicinfo!$AL57),IF($BN57=2,(BM57)*(1+Parameters!$C$21*Parameters!$C$23-Parameters!$C$23*Basicinfo!$AL57),IF($BN57=3,(BM57)*(1+Parameters!$C$21*Parameters!$C$24-Parameters!$C$24*Basicinfo!$AL57),BM57)))</f>
        <v>1537.7109129948119</v>
      </c>
      <c r="BQ57" s="27">
        <f>IF(Basicinfo!AU57=0,0,IF(G57+Basicinfo!M57=0,0,(Parameters!$C$16+BO57/Basicinfo!AU57)*G57+(Parameters!$C$17+BO57/Basicinfo!AU57)*Basicinfo!M57)/(G57+Basicinfo!M57))</f>
        <v>1.6372693206578197</v>
      </c>
      <c r="BR57" s="27">
        <f>IF(Basicinfo!AU57=0,0,IF(G57+Basicinfo!M57=0,0,(Parameters!$C$16+BP57/Basicinfo!AU57)*G57+(Parameters!$C$17+BP57/Basicinfo!AU57)*Basicinfo!M57)/(G57+Basicinfo!M57))</f>
        <v>1.7774887999241593</v>
      </c>
      <c r="BS57" s="27">
        <f>IF(Basicinfo!AU57=0,0,BO57/Basicinfo!AU57)</f>
        <v>1.4907156431643764</v>
      </c>
      <c r="BT57" s="27">
        <f>IF(Basicinfo!AU57=0,0,BP57/Basicinfo!AU57)</f>
        <v>1.630935122430716</v>
      </c>
      <c r="BU57" s="27">
        <f>IF(SUM(G57,Basicinfo!M57,Basicinfo!P57,W57)=0,0,(BQ57*(G57+Basicinfo!M57)+BS57*(Basicinfo!P57+W57))/SUM(G57,Basicinfo!M57,Basicinfo!P57,W57))</f>
        <v>1.5388075693749288</v>
      </c>
      <c r="BV57" s="19">
        <f>IF(Basicinfo!BR57/Parameters!$C$10&gt;1,1,Basicinfo!BR57/Parameters!$C$10)</f>
        <v>0.56371684274831035</v>
      </c>
      <c r="BW57" s="19">
        <f>Parameters!$C$5+Parameters!$C$6*EXP(BV57*Parameters!$C$8*Parameters!$C$7)</f>
        <v>3.660773741104445E-2</v>
      </c>
      <c r="BX57" s="19">
        <f>Parameters!$C$5+Parameters!$C$6*EXP(BV57*Parameters!$C$9*Parameters!$C$7)</f>
        <v>3.5671035491190731E-2</v>
      </c>
      <c r="BY57" s="19">
        <f>IF(Basicinfo!AH57+Basicinfo!AI57+Basicinfo!AJ57+Basicinfo!AK57=0,0,(Parameters!$C$18*(Basicinfo!AH57+Basicinfo!AI57)+Parameters!$C$19*Basicinfo!AJ57+Parameters!$C$20*Basicinfo!AK57)/(Basicinfo!AH57+Basicinfo!AI57+Basicinfo!AJ57+Basicinfo!AK57))</f>
        <v>2.5182552082645668E-2</v>
      </c>
      <c r="BZ57" s="19">
        <f>IF(Basicinfo!AJ57+Basicinfo!AK57=0,Parameters!$C$18,(Parameters!$C$19*Basicinfo!AJ57+Parameters!$C$20*Basicinfo!AK57)/(Basicinfo!AJ57+Basicinfo!AK57))</f>
        <v>2.5000000000000001E-2</v>
      </c>
      <c r="CA57" s="19">
        <f>IF(SUM(G57,Basicinfo!M57,Basicinfo!P57,W57)=0,0,(BW57*G57+BX57*Basicinfo!M57+BY57*Basicinfo!P57+BZ57*W57)/(SUM(G57,Basicinfo!M57,Basicinfo!P57,W57)))</f>
        <v>2.8774531359233819E-2</v>
      </c>
      <c r="CB57" s="19">
        <f>IF(Y57=0,Basicinfo!BP57,Basicinfo!BP57-(AU57*X57/Y57*Intermediate!BQ57*86400*365/1000000)*1000/(X57*100))</f>
        <v>54.14486736449885</v>
      </c>
      <c r="CC57" s="19">
        <f>IF(Y57=0,Basicinfo!BQ57,Basicinfo!BQ57-(AU57*Basicinfo!AV57/Basicinfo!AU57*X57/Y57*Intermediate!BR57*86400*365/1000000)*1000/(X57*100))</f>
        <v>36.377976691464511</v>
      </c>
      <c r="CD57" s="19">
        <f>IF(OR(Y57=0,AA57=0),BP57/100,BP57/100-(AU57*Basicinfo!AV57/Basicinfo!AU57*(Basicinfo!P57+W57)/Y57*Intermediate!BT57*86400*365/1000000+AW57*Basicinfo!AV57/Basicinfo!AU57*Intermediate!BT57*86400*365/1000000)*1000/(AA57*100))</f>
        <v>14.106278028841437</v>
      </c>
      <c r="CE57" s="19">
        <f t="shared" si="35"/>
        <v>91932.923089974414</v>
      </c>
      <c r="CF57" s="19">
        <f t="shared" si="36"/>
        <v>75137.093626354428</v>
      </c>
      <c r="CG57" s="19">
        <f>IF(AY57=0,0,((CB57^Parameters!$C$58))/AY57*100)</f>
        <v>13.114320894130998</v>
      </c>
      <c r="CH57" s="19">
        <f>IF(SUM(Basicinfo!AB57:AG57)=0,0,(Parameters!$C$59*Basicinfo!AB57+Parameters!$C$60*SUM(Basicinfo!AC57:AE57)+Parameters!$C$61*Basicinfo!AF57+Parameters!$C$62*Basicinfo!AG57)/SUM(Basicinfo!AB57:AG57))</f>
        <v>0.23478259598977194</v>
      </c>
      <c r="CI57" s="19">
        <f t="shared" si="31"/>
        <v>8</v>
      </c>
      <c r="CJ57" s="19">
        <f t="shared" si="37"/>
        <v>21.272888964120508</v>
      </c>
      <c r="CK57" s="19">
        <f t="shared" ref="CK57:CK71" si="42">IF(BB57=0,0,CJ57*100/BB57)</f>
        <v>5.8895188018903504</v>
      </c>
      <c r="CL57" s="19">
        <f>IF($BB57=0,0,$CJ57^Parameters!$C$58*100/$BB57)</f>
        <v>3.7231097759576097</v>
      </c>
      <c r="CM57" s="19">
        <f>IF(CK57=0,0,(1/(1+Parameters!$C$116*BB57^Parameters!$C$120)*Basicinfo!AH57/Basicinfo!G57+1/(1+Parameters!$C$117*BB57^Parameters!$C$121)*Basicinfo!AI57/Basicinfo!G57)*(CK57)^Parameters!$C$124+(1/(1+Parameters!$C$118*BB57^Parameters!$C$122)*Basicinfo!AJ57/Basicinfo!G57+1/(1+Parameters!$C$119*BB57^Parameters!$C$123)*Basicinfo!AK57/Basicinfo!G57)*(CK57)^Parameters!$C$125)</f>
        <v>1.1751139142542451</v>
      </c>
      <c r="CN57" s="19">
        <f>IF(SUM(Basicinfo!AB57:AG57)=0,0,(Parameters!$C$128*Basicinfo!AB57+Parameters!$C$129*(SUM(Basicinfo!AC57:AE57))+Parameters!$C$130*Basicinfo!AF57+Parameters!$C$131*Basicinfo!AG57)/SUM(Basicinfo!AB57:AG57))</f>
        <v>3.4310800644428152E-2</v>
      </c>
      <c r="CO57" s="19">
        <f>IF(Basicinfo!AH57+Basicinfo!AI57+Basicinfo!AJ57+Basicinfo!AK57=0,0,(Parameters!$C$132*(Basicinfo!AH57+Basicinfo!AI57)+Parameters!$C$133*Basicinfo!AJ57+Parameters!$C$134*Basicinfo!AK57)/(Basicinfo!AH57+Basicinfo!AI57+Basicinfo!AJ57+Basicinfo!AK57))</f>
        <v>5.0000000000000001E-4</v>
      </c>
      <c r="CP57" s="19">
        <f>IF(Basicinfo!AJ57+Basicinfo!AK57=0,0,(Parameters!$C$133*Basicinfo!AJ57+Parameters!$C$134*Basicinfo!AK57)/(Basicinfo!AJ57+Basicinfo!AK57))</f>
        <v>5.0000000000000001E-4</v>
      </c>
      <c r="CQ57" s="19">
        <f>IF(Z57=0,0,(CN57*(Z57-AA57)+CO57*Basicinfo!P57+CP57*(Basicinfo!Q57+Basicinfo!R57))/Z57)</f>
        <v>1.1369967732473677E-2</v>
      </c>
      <c r="CR57" s="289">
        <f>Basicinfo!EI57</f>
        <v>2.8345257894736842E-2</v>
      </c>
      <c r="CS57" s="19">
        <f>IF(SUM(Basicinfo!AB57:AG57)=0,0,(Basicinfo!AB57*Parameters!$C$43+(Basicinfo!AC57+Basicinfo!AD57)*Parameters!$C$44+Basicinfo!AE57*Parameters!$C$45+(Basicinfo!AF57+Basicinfo!AG57)*Parameters!$C$46)/SUM(Basicinfo!AB57:AG57))</f>
        <v>4.846307527004531</v>
      </c>
      <c r="CT57" s="19">
        <f>(Parameters!$C$41*CS57+Parameters!$C$42)</f>
        <v>324.43233677544623</v>
      </c>
      <c r="CU57" s="19">
        <f>CT57+Basicinfo!BR57/(Parameters!$C$47*Parameters!$C$49*Parameters!$C$48*10000/1000000)</f>
        <v>522.97411786919076</v>
      </c>
      <c r="CV57" s="19">
        <f>IF(BK57/Basicinfo!G57&lt;Parameters!$C$35,Parameters!$C$35,Parameters!$C$37*(BK57/Basicinfo!G57)^Parameters!$C$38)</f>
        <v>3.0167113789911584</v>
      </c>
      <c r="CW57" s="19">
        <f>IF(BK57/Basicinfo!G57&lt;Parameters!$C$35,Parameters!$C$36,Parameters!$C$36*(BK57/Basicinfo!G57)^Parameters!$C$38)</f>
        <v>7.0892717406292221</v>
      </c>
      <c r="CX57" s="27">
        <f>IF(Basicinfo!AJ57+Basicinfo!AK57=0,0,(Parameters!$C$53*Basicinfo!AJ57+Parameters!$C$54*Basicinfo!AK57)/(Basicinfo!AJ57+Basicinfo!AK57))</f>
        <v>750</v>
      </c>
      <c r="CY57" s="56">
        <f>IF(Basicinfo!AU57*AB57=0,0,((Basicinfo!AZ57+Basicinfo!BA57)/Basicinfo!AU57+Parameters!$C$76/(Basicinfo!AU57*AB57)*100))</f>
        <v>2.7456894267673988</v>
      </c>
      <c r="CZ57" s="43">
        <f>IF(Basicinfo!AU57*AB57=0,0,(Parameters!$C$77)/(Basicinfo!AU57*AB57)*100)</f>
        <v>0.78435861475188906</v>
      </c>
      <c r="DA57" s="43">
        <f>IF(AD57+AJ57=0,0,((J57*Parameters!$C$96+Parameters!$C$94/100*S57*100*Parameters!$C$93/1000*86400*Parameters!$C$95/24*Parameters!$C$98)*AI57+AD57*CY57*86400*365)/((AD57+AJ57*AI57/365)*86400*365))</f>
        <v>7.7204613840481739</v>
      </c>
      <c r="DB57" s="43">
        <f>IF(AD57+AJ57=0,0,((J57*Parameters!$C$97+Parameters!$C$94/100*S57*100*Parameters!$C$93/1000*86400*Parameters!$C$95/24*Parameters!$C$99)*AI57+AD57*CZ57*86400*365)/((AD57+AJ57*AI57/365)*86400*365))</f>
        <v>1.5748240616799987</v>
      </c>
      <c r="DC57" s="42">
        <f>IF(AE57+AL57=0,0,((K57*Parameters!$C$96+Parameters!$C$94/100*T57*100*Parameters!$C$93/1000*86400*Parameters!$C$95/24*Parameters!$C$98)*365+AE57*CY57*86400*365)/((AE57+AL57)*86400*365))</f>
        <v>0</v>
      </c>
      <c r="DD57" s="42">
        <f>IF(AE57+AL57=0,0,((K57*Parameters!$C$97+Parameters!$C$94/100*T57*100*Parameters!$C$93/1000*86400*Parameters!$C$95/24*Parameters!$C$99)*365+AE57*CZ57*86400*365)/((AE57+AL57)*86400*365))</f>
        <v>0</v>
      </c>
      <c r="DE57" s="42">
        <f>IF(Basicinfo!AH57+Basicinfo!AI57+Basicinfo!AJ57+Basicinfo!AK57=0,0,((Basicinfo!AH57+Basicinfo!AI57)*Parameters!$C$107+(Basicinfo!AJ57+Basicinfo!AK57)*Parameters!$C$106)/(Basicinfo!AH57+Basicinfo!AI57+Basicinfo!AJ57+Basicinfo!AK57))</f>
        <v>50.730208330582663</v>
      </c>
      <c r="DF57" s="42">
        <f>IF(Basicinfo!AH57+Basicinfo!AI57+Basicinfo!AJ57+Basicinfo!AK57=0,0,((Basicinfo!AH57+Basicinfo!AI57)*Parameters!$C$109+(Basicinfo!AJ57+Basicinfo!AK57)*Parameters!$C$108)/(Basicinfo!AH57+Basicinfo!AI57+Basicinfo!AJ57+Basicinfo!AK57))</f>
        <v>50.730208330582663</v>
      </c>
      <c r="DG57" s="42">
        <f>Intermediate!AC57*Intermediate!CY57*(1-Parameters!$C$102/100*Basicinfo!BZ57/100)*(1-Parameters!$C$104/100*Basicinfo!CA57/100)*86400*365/1000000</f>
        <v>0.11493001727505583</v>
      </c>
      <c r="DH57" s="42">
        <f>Intermediate!AC57*Intermediate!CZ57*(1-Parameters!$C$103/100*Basicinfo!BZ57/100)*(1-Parameters!$C$105/100*Basicinfo!CA57/100)*86400*365/1000000</f>
        <v>3.2831954067509411E-2</v>
      </c>
      <c r="DI57" s="42">
        <f>(Intermediate!AK57*Intermediate!DA57+(Intermediate!AE57+Intermediate!AL57)*Intermediate!DC57)*86400*365/1000000</f>
        <v>0.23086204843264818</v>
      </c>
      <c r="DJ57" s="42">
        <f>(Intermediate!AK57*Intermediate!DB57+(Intermediate!AE57+Intermediate!AL57)*Intermediate!DD57)*86400*365/1000000</f>
        <v>4.7091370672698515E-2</v>
      </c>
      <c r="DK57" s="42">
        <f>((Basicinfo!AZ57+Basicinfo!BA57)*Intermediate!AB57+Parameters!$C$76*100)/1000*Intermediate!U57*(1-Intermediate!DE57/100)+(1-Parameters!$C$110/100)*M57*Parameters!$C$100*(1-DE57/100)*365/1000000+(1-Parameters!$C$112/100)*P57*Parameters!$C$96*365/1000000+(1-Parameters!$C$112/100)*O57*Parameters!$C$96*(1-DE57/100)*365/1000000</f>
        <v>0.57133950994331895</v>
      </c>
      <c r="DL57" s="42">
        <f>Parameters!$C$77*100/1000*Intermediate!U57*(1-Intermediate!DF57/100)+(1-Parameters!$C$111/100)*M57*Parameters!$C$101*(1-DF57/100)*365/1000000+(1-Parameters!$C$113/100)*P57*Parameters!$C$97*365/1000000+(1-Parameters!$C$113/100)*O57*Parameters!$C$97*(1-DF57/100)*365/1000000</f>
        <v>9.0998905953248485E-2</v>
      </c>
      <c r="DM57" s="31"/>
      <c r="DN57" s="31"/>
      <c r="DO57" s="31"/>
      <c r="DP57" s="31"/>
      <c r="DQ57" s="31"/>
      <c r="DR57" s="31"/>
      <c r="DS57" s="31"/>
      <c r="DT57" s="188">
        <f>BO57*(Basicinfo!$P57+Basicinfo!$Q57)/1000</f>
        <v>72.721149090794896</v>
      </c>
      <c r="DU57" s="188">
        <f>DT57*Basicinfo!$AZ57/(Basicinfo!$AZ57+Basicinfo!$BA57)</f>
        <v>41.137647449555352</v>
      </c>
      <c r="DV57" s="188">
        <f>DT57*Basicinfo!$BC57/(Basicinfo!$BB57+Basicinfo!$BC57)</f>
        <v>30.583114083571505</v>
      </c>
      <c r="DW57" s="188">
        <f>BP57*(Basicinfo!$P57+Basicinfo!$Q57)/1000</f>
        <v>79.561435300924046</v>
      </c>
      <c r="DX57" s="188">
        <f>DW57*Basicinfo!$BB57/(Basicinfo!$BB57+Basicinfo!$BC57)</f>
        <v>46.101616762813876</v>
      </c>
      <c r="DY57" s="188">
        <f>DW57*Basicinfo!$BC57/(Basicinfo!$BB57+Basicinfo!$BC57)</f>
        <v>33.459818538110177</v>
      </c>
      <c r="DZ57" s="188">
        <f t="shared" si="38"/>
        <v>35.519377732506449</v>
      </c>
      <c r="EA57" s="188">
        <f>DZ57*Basicinfo!$AZ57/(Basicinfo!$AZ57+Basicinfo!$BA57)</f>
        <v>20.09296686116852</v>
      </c>
      <c r="EB57" s="188">
        <f>DZ57*Basicinfo!$BC57/(Basicinfo!$BB57+Basicinfo!$BC57)</f>
        <v>14.937789005705053</v>
      </c>
      <c r="EC57" s="188">
        <f t="shared" si="39"/>
        <v>38.860396304595916</v>
      </c>
      <c r="ED57" s="188">
        <f>EC57*Basicinfo!$AZ57/(Basicinfo!$AZ57+Basicinfo!$BA57)</f>
        <v>21.98294860457349</v>
      </c>
      <c r="EE57" s="188">
        <f>EC57*Basicinfo!$BC57/(Basicinfo!$BB57+Basicinfo!$BC57)</f>
        <v>16.342865155120261</v>
      </c>
      <c r="EF57" s="190">
        <f>(Basicinfo!BP57-BL57/100)*Intermediate!X57/10</f>
        <v>104.82687574158142</v>
      </c>
      <c r="EG57" s="191">
        <f>(Basicinfo!BQ57-BM57/100)*Intermediate!X57/10</f>
        <v>56.675861378457363</v>
      </c>
      <c r="EH57" s="197">
        <f>IF(AU57=0,0,$BS57*((Basicinfo!$P57+Basicinfo!$Q57)*Intermediate!$AT57*1000+$AW57*3600*24*365)/1000000*Basicinfo!AZ57/(Basicinfo!$AZ57+Basicinfo!$BA57))</f>
        <v>3.7078541557941249</v>
      </c>
      <c r="EI57" s="197">
        <f>IF(AU57=0,0,$BS57*((Basicinfo!$P57+Basicinfo!$Q57)*Intermediate!$AT57*1000+$AW57*3600*24*365)/1000000*Basicinfo!BA57/(Basicinfo!$AZ57+Basicinfo!$BA57))</f>
        <v>2.8467115908512257</v>
      </c>
      <c r="EJ57" s="198">
        <f>IF(AU57=0,0,$BS57*($AT57*$X57*1000)/1000000*Basicinfo!AZ57/(Basicinfo!$AZ57+Basicinfo!$BA57))</f>
        <v>1.811036733925401</v>
      </c>
      <c r="EK57" s="198">
        <f>IF(AU57=0,0,$BS57*($AT57*$X57*1000)/1000000*Basicinfo!BA57/(Basicinfo!$AZ57+Basicinfo!$BA57))</f>
        <v>1.3904266579273301</v>
      </c>
      <c r="EL57" s="147">
        <f>Parameters!$C$150/Basicinfo!$AV57*100</f>
        <v>0.1122777193365392</v>
      </c>
      <c r="EM57" s="147">
        <f>Parameters!$C$151/Basicinfo!$AV57*100</f>
        <v>0.22455543867307839</v>
      </c>
      <c r="EN57" s="147">
        <f>(Parameters!$C$150+Parameters!$C$151)/Intermediate!$BB57*100</f>
        <v>0.8305668513322928</v>
      </c>
      <c r="EO57" s="193">
        <f>IF(EN57=0,0,(1/(1+Parameters!$C$116*$BB57^Parameters!$C$120)*Basicinfo!$AH57/Basicinfo!$G57+1/(1+Parameters!$C$117*$BB57^Parameters!$C$121)*Basicinfo!$AI57/Basicinfo!$G57)*(EN57)^Parameters!$C$124+(1/(1+Parameters!$C$118*$BB57^Parameters!$C$122)*Basicinfo!$AJ57/Basicinfo!AW57+1/(1+Parameters!$C$119*$BB57^Parameters!$C$123)*Basicinfo!$AK57/Basicinfo!$G57)*(EN57)^Parameters!$C$125)</f>
        <v>0.22564674480938338</v>
      </c>
      <c r="EP57" s="199">
        <f>EL57*($AT57*Basicinfo!$P57*1000+$AW57*3600*24*365)/1000000</f>
        <v>0.49367677641898283</v>
      </c>
      <c r="EQ57" s="199">
        <f>EM57*($AT57*Basicinfo!$P57*1000+$AW57*3600*24*365)/1000000</f>
        <v>0.98735355283796566</v>
      </c>
      <c r="ER57" s="199">
        <f t="shared" si="40"/>
        <v>0.2411278165791744</v>
      </c>
      <c r="ES57" s="199">
        <f t="shared" si="41"/>
        <v>0.4822556331583488</v>
      </c>
      <c r="ET57" s="181">
        <f t="shared" si="14"/>
        <v>6.400999248901071</v>
      </c>
      <c r="EU57" s="147">
        <f>Intermediate!F57*(Parameters!$C$150)/1000*100</f>
        <v>2.5588780260401678E-2</v>
      </c>
      <c r="EV57" s="147">
        <f>Intermediate!F57*(Parameters!$C$151)/1000*100</f>
        <v>5.1177560520803356E-2</v>
      </c>
      <c r="EW57" s="181">
        <f>'Local emissions'!$S57*Basicinfo!AZ57/(Basicinfo!$AZ57+Basicinfo!$BA57)-Intermediate!EU57</f>
        <v>0.17786282651770008</v>
      </c>
      <c r="EX57" s="147">
        <f>'Local emissions'!$S57*Basicinfo!BA57/(Basicinfo!$AZ57+Basicinfo!$BA57)-Intermediate!EV57</f>
        <v>0.10502277068356292</v>
      </c>
      <c r="EY57" s="188">
        <f t="shared" si="15"/>
        <v>3.2141773793751423</v>
      </c>
      <c r="EZ57" s="188">
        <f t="shared" si="16"/>
        <v>1.8593580380132599</v>
      </c>
      <c r="FA57" s="188">
        <f t="shared" si="17"/>
        <v>1.5699089173462266</v>
      </c>
      <c r="FB57" s="181">
        <f t="shared" si="18"/>
        <v>0.90817102476898137</v>
      </c>
      <c r="FC57" s="181">
        <f>'Local emissions'!Y57-Intermediate!ET57</f>
        <v>26.933863564514638</v>
      </c>
      <c r="FD57" s="188">
        <f t="shared" si="19"/>
        <v>7.0914392693157513</v>
      </c>
      <c r="FE57" s="188">
        <f t="shared" si="20"/>
        <v>5.1468535766564525</v>
      </c>
      <c r="FF57" s="181">
        <f t="shared" si="21"/>
        <v>1.6907296960089011</v>
      </c>
      <c r="FG57" s="201">
        <f t="shared" si="22"/>
        <v>1.2569454595314078</v>
      </c>
      <c r="FH57" s="181">
        <f t="shared" si="23"/>
        <v>11.747895563002126</v>
      </c>
      <c r="FJ57" s="147">
        <f>AVERAGE(Parameters!$C$132:$C$134)*'Local emissions'!J57*3600*24*365/1000000</f>
        <v>1.4183672922710135E-2</v>
      </c>
      <c r="FK57" s="147">
        <f>'Local emissions'!AJ57+CT57*BJ57/100*Intermediate!X57*100/1000000</f>
        <v>0.26707558987809732</v>
      </c>
      <c r="FL57" s="31">
        <f>(Parameters!$C$18*(Basicinfo!AH57+Basicinfo!AI57)+Parameters!$C$19*Basicinfo!AJ57+Parameters!$C$20*Basicinfo!AK57)/Basicinfo!G57</f>
        <v>2.5182552082645668E-2</v>
      </c>
      <c r="FM57" s="181">
        <f t="shared" si="32"/>
        <v>0.16794557534351451</v>
      </c>
    </row>
    <row r="58" spans="1:169">
      <c r="A58" s="39" t="str">
        <f>Basicinfo!A58</f>
        <v>Große Naarn</v>
      </c>
      <c r="B58" s="63">
        <f>Basicinfo!B58</f>
        <v>1640</v>
      </c>
      <c r="C58" s="63">
        <f>Basicinfo!C58</f>
        <v>5020</v>
      </c>
      <c r="D58" s="61">
        <f>Basicinfo!U58*Basicinfo!V58/1000+Basicinfo!Y58</f>
        <v>1.8275247773773331</v>
      </c>
      <c r="E58" s="19">
        <f>Basicinfo!W58*Basicinfo!X58/1000+Basicinfo!Z58</f>
        <v>0.18412737829047751</v>
      </c>
      <c r="F58" s="19">
        <f t="shared" ref="F58:F71" si="43">D58+E58</f>
        <v>2.0116521556678104</v>
      </c>
      <c r="G58" s="19">
        <f>SUM(Basicinfo!H58:L58)</f>
        <v>76.471634752961194</v>
      </c>
      <c r="H58" s="19">
        <f>IF(Basicinfo!N58&lt;Parameters!$C$68,Parameters!$C$69,Basicinfo!BS58/(Basicinfo!N58*100))</f>
        <v>17.046303237986653</v>
      </c>
      <c r="I58" s="19">
        <f>IF(Basicinfo!N58=0,0,Basicinfo!BU58*(1-Basicinfo!BX58/100))</f>
        <v>10032.621721607115</v>
      </c>
      <c r="J58" s="19">
        <f>IF(Basicinfo!N58=0,0,Basicinfo!BU58*Basicinfo!BX58/100)</f>
        <v>6414.2991334865164</v>
      </c>
      <c r="K58" s="19">
        <f>IF(Basicinfo!N58=0,0,Basicinfo!BT58-Basicinfo!BU58)</f>
        <v>0</v>
      </c>
      <c r="L58" s="27">
        <f>Basicinfo!BV58*Basicinfo!BW58/100</f>
        <v>2267.0999999999995</v>
      </c>
      <c r="M58" s="27">
        <f>Basicinfo!BV58-Intermediate!L58</f>
        <v>2267.0999999999995</v>
      </c>
      <c r="N58" s="73">
        <f>Basicinfo!BS58-SUM(I58:K58)-Basicinfo!BV58</f>
        <v>0</v>
      </c>
      <c r="O58" s="19">
        <f>IF(Basicinfo!AH58+Basicinfo!AI58+Basicinfo!AJ58+Basicinfo!AK58=0,0,N58*(Basicinfo!AH58+Basicinfo!AI58)/SUM(Basicinfo!AH58:AK58))</f>
        <v>0</v>
      </c>
      <c r="P58" s="73">
        <f t="shared" si="25"/>
        <v>0</v>
      </c>
      <c r="Q58" s="19">
        <f>IF(Basicinfo!BS58=0,Basicinfo!N58,IF(H58&gt;Parameters!$C$70,Parameters!$C$64*(Parameters!$C$65*Parameters!$C$70)^(Parameters!$C$66-Parameters!$C$67*LOG(Parameters!$C$65*Parameters!$C$70,10))/100*Basicinfo!N58,Parameters!$C$64*(Parameters!$C$65*H58)^(Parameters!$C$66-Parameters!$C$67*LOG(Parameters!$C$65*H58,10))/100*Basicinfo!N58))</f>
        <v>3.3540795134208996</v>
      </c>
      <c r="R58" s="19">
        <f>IF(Basicinfo!BS58=0,Q58*(1-Basicinfo!BX58/100),IF(H58&lt;Parameters!$C$75,Q58*Basicinfo!BU58/Basicinfo!BS58*(1-Basicinfo!BX58/100)*(-Parameters!$C$74+Parameters!$C$73*LN(H58*100)),Q58*Basicinfo!BU58/Basicinfo!BS58*(1-Basicinfo!BX58/100)))</f>
        <v>0.90157530323334822</v>
      </c>
      <c r="S58" s="19">
        <f>IF(Basicinfo!BS58=0,Q58*Basicinfo!BX58/100,Q58*Basicinfo!BU58/Basicinfo!BS58*Basicinfo!BX58/100)</f>
        <v>1.0254013341407131</v>
      </c>
      <c r="T58" s="19">
        <f>IF(Basicinfo!BS58=0,0,IF(H58&lt;Parameters!$C$75,Q58*K58/Basicinfo!BS58*(-Parameters!$C$74+Parameters!$C$73*LN(H58*100)),Q58*K58/Basicinfo!BS58))</f>
        <v>0</v>
      </c>
      <c r="U58" s="19">
        <f t="shared" si="26"/>
        <v>1.4271028760468381</v>
      </c>
      <c r="V58" s="19">
        <f>IF(Basicinfo!AL58&gt;Parameters!$C$14,Basicinfo!Q58,0)</f>
        <v>0</v>
      </c>
      <c r="W58" s="19">
        <f>IF(Basicinfo!AL58&gt;Parameters!$C$14,0,Basicinfo!Q58)</f>
        <v>0</v>
      </c>
      <c r="X58" s="19">
        <f>G58+Basicinfo!M58</f>
        <v>135.17897939414644</v>
      </c>
      <c r="Y58" s="19">
        <f>IF(Basicinfo!G58-F58-Q58-V58-Basicinfo!O58-Basicinfo!R58-Basicinfo!S58&lt;0,0,Basicinfo!G58-F58-Q58-V58-Basicinfo!O58-Basicinfo!R58-Basicinfo!S58)</f>
        <v>286.26082151891131</v>
      </c>
      <c r="Z58" s="19">
        <f>Basicinfo!G58-F58-Basicinfo!BO58-Q58-Basicinfo!O58</f>
        <v>284.33951328254921</v>
      </c>
      <c r="AA58" s="53">
        <f>IF(Z58+Basicinfo!BO58-X58&gt;0,Z58+Basicinfo!BO58-X58,0)</f>
        <v>151.08208296276484</v>
      </c>
      <c r="AB58" s="56">
        <f>IF(Basicinfo!N58=0,0,Parameters!$C$71+Parameters!$C$72*Q58/Basicinfo!N58)</f>
        <v>0.35437893975601514</v>
      </c>
      <c r="AC58" s="43">
        <f>Basicinfo!AU58*AB58*R58/1000/86.4/0.365</f>
        <v>9.0516371032333572E-3</v>
      </c>
      <c r="AD58" s="43">
        <f>Basicinfo!AU58*AB58*S58/1000/86.4/0.365</f>
        <v>1.02948258770247E-2</v>
      </c>
      <c r="AE58" s="43">
        <f>Basicinfo!AU58*AB58*T58/1000/86.4/0.365</f>
        <v>0</v>
      </c>
      <c r="AF58" s="43">
        <f>Basicinfo!AU58*AB58*U58/1000/86.4/0.365</f>
        <v>1.4327829629571407E-2</v>
      </c>
      <c r="AG58" s="43">
        <f>((Parameters!$C$80+Parameters!$C$81*Parameters!$C$89)/(Parameters!$C$82+Parameters!$C$89)/(Parameters!$C$90/100*Parameters!$C$91+(Parameters!$C$83+Parameters!$C$84*Parameters!$C$89)/(Parameters!$C$85+Parameters!$C$89)))-Parameters!$C$86+(Basicinfo!AU58-Parameters!$C$88)/Parameters!$C$87</f>
        <v>73.724585711815791</v>
      </c>
      <c r="AH58" s="43">
        <f>((Parameters!$C$80+Parameters!$C$81*Parameters!$C$89)/(Parameters!$C$82+Parameters!$C$89)/(Basicinfo!BY58/100*Parameters!$C$91+(Parameters!$C$83+Parameters!$C$84*Parameters!$C$89)/(Parameters!$C$85+Parameters!$C$89)))-Parameters!$C$86+(Basicinfo!AU58-Parameters!$C$88)/Parameters!$C$87</f>
        <v>55.92170384520022</v>
      </c>
      <c r="AI58" s="43">
        <f>Basicinfo!AU58^Parameters!$C$79*Parameters!$C$78*AH58/AG58</f>
        <v>21.717452236895358</v>
      </c>
      <c r="AJ58" s="43">
        <f>(J58*Parameters!$C$92/1000+Parameters!$C$94/100*S58*100*Parameters!$C$93/1000*86400*Parameters!$C$95/24)/86400</f>
        <v>9.6853245740228296E-3</v>
      </c>
      <c r="AK58" s="43">
        <f t="shared" ref="AK58:AK71" si="44">(AD58+AJ58*AI58/365)*AH58/100</f>
        <v>6.0793051417983726E-3</v>
      </c>
      <c r="AL58" s="43">
        <f>(K58*Parameters!$C$92/1000+Parameters!$C$94/100*T58*100*Parameters!$C$93/1000*86400*Parameters!$C$95/24)/86400</f>
        <v>0</v>
      </c>
      <c r="AM58" s="43">
        <f>(Intermediate!N58+Basicinfo!BV58-Intermediate!L58)*Parameters!$C$92/1000/86400</f>
        <v>3.4111458333333329E-3</v>
      </c>
      <c r="AN58" s="43">
        <f t="shared" ref="AN58:AN71" si="45">AC58+AD58*AH58/100+AE58</f>
        <v>1.4808679141562146E-2</v>
      </c>
      <c r="AO58" s="43">
        <f t="shared" si="27"/>
        <v>6.0793051417983726E-3</v>
      </c>
      <c r="AP58" s="43">
        <f t="shared" si="28"/>
        <v>1.7738975462904739E-2</v>
      </c>
      <c r="AQ58" s="43">
        <f t="shared" si="33"/>
        <v>3.2869917707936472E-2</v>
      </c>
      <c r="AR58" s="61">
        <f>(Basicinfo!AU58-Basicinfo!AY58)*F58/1000/86.4/0.365</f>
        <v>1.2984493050719473E-2</v>
      </c>
      <c r="AS58" s="19">
        <f>IF(Basicinfo!AP58-Basicinfo!CB58-Basicinfo!CG58&lt;0,0,(Basicinfo!AP58-Basicinfo!CB58-Basicinfo!CG58)/Basicinfo!G58*1000)</f>
        <v>12.292209069541066</v>
      </c>
      <c r="AT58" s="19">
        <f>Parameters!$C$3*((AS58*86.4*0.365)^Parameters!$C$4)</f>
        <v>71.591321328282504</v>
      </c>
      <c r="AU58" s="19">
        <f>IF(AT58/86.4/0.365*(Basicinfo!G58/1000)-AN58&lt;0,0,AT58/86.4/0.365*(Basicinfo!G58/1000)-AN58)</f>
        <v>0.64722669373553776</v>
      </c>
      <c r="AV58" s="19">
        <f>IF(Basicinfo!AU58&gt;Parameters!$C$13,Parameters!$C$11*(Basicinfo!AU58-Parameters!$C$13)^Parameters!$C$12,0)</f>
        <v>60.865434308272071</v>
      </c>
      <c r="AW58" s="19">
        <f>IF(AV58*V58/1000/86.4/0.365&gt;Basicinfo!AP58*Parameters!$C$15,Basicinfo!AP58*Parameters!$C$15,AV58*V58/1000/86.4/0.365)</f>
        <v>0</v>
      </c>
      <c r="AX58" s="19">
        <f>Basicinfo!AU58-Basicinfo!AW58</f>
        <v>307.19661760828581</v>
      </c>
      <c r="AY58" s="19">
        <f>Parameters!$C$56*AX58+Parameters!$C$57*Basicinfo!AW58</f>
        <v>212.22232561318577</v>
      </c>
      <c r="AZ58" s="19">
        <f>AY58*Basicinfo!BO58/1000/86.4/0.365</f>
        <v>1.2931114070934278E-2</v>
      </c>
      <c r="BA58" s="19">
        <f>IF(Basicinfo!AP58-AQ58-AR58-AU58-AW58-AZ58-Basicinfo!CB58-Basicinfo!CG58&lt;0,0,Basicinfo!AP58-AQ58-AR58-AU58-AW58-AZ58-Basicinfo!CB58-Basicinfo!CG58)</f>
        <v>2.8787253038824536</v>
      </c>
      <c r="BB58" s="53">
        <f t="shared" si="34"/>
        <v>319.27845741588925</v>
      </c>
      <c r="BC58" s="56">
        <f>IF(G58=0,0,((Basicinfo!H58*Basicinfo!BE58+Basicinfo!I58*Basicinfo!BF58+Basicinfo!J58*Basicinfo!BG58+Basicinfo!K58*Basicinfo!BH58+Basicinfo!L58*Basicinfo!BI58)*(1-Basicinfo!BN58/G58*Parameters!$C$26/100)/G58)*Basicinfo!BM58)</f>
        <v>3.0379921877021312</v>
      </c>
      <c r="BD58" s="43">
        <f>IF(Basicinfo!AW58*Parameters!$C$39-Parameters!$C$40&lt;0,0.001,(Basicinfo!AW58*Parameters!$C$39-Parameters!$C$40)/(Basicinfo!AX58*Parameters!$C$39-Parameters!$C$40))</f>
        <v>1.1381813062754589</v>
      </c>
      <c r="BE58" s="43">
        <f>(BC58*G58*100+Basicinfo!BJ58*Basicinfo!M58*100)*Parameters!$C$29*BD58</f>
        <v>27480.134156889944</v>
      </c>
      <c r="BF58" s="43">
        <f>(Basicinfo!BK58*Basicinfo!P58*100)*BD58*Parameters!$C$29</f>
        <v>1902.5739118904819</v>
      </c>
      <c r="BG58" s="43">
        <f>Parameters!$C$27*(V58+W58)*100</f>
        <v>0</v>
      </c>
      <c r="BH58" s="43">
        <f>Parameters!$C$28*Basicinfo!R58*100</f>
        <v>0</v>
      </c>
      <c r="BI58" s="43">
        <f t="shared" ref="BI58:BI71" si="46">BF58+BG58+BH58</f>
        <v>1902.5739118904819</v>
      </c>
      <c r="BJ58" s="43">
        <f>IF(Basicinfo!AM58&lt;Parameters!$C$33,0,Parameters!$C$30*(((Basicinfo!AM58-Parameters!$C$33)^Parameters!$C$31)*(((G58-Basicinfo!BN58)/Basicinfo!G58*100+Parameters!$C$34))^Parameters!$C$32))</f>
        <v>3.028217506679463</v>
      </c>
      <c r="BK58" s="58">
        <f t="shared" si="30"/>
        <v>2734.7321452884262</v>
      </c>
      <c r="BL58" s="61">
        <f>Basicinfo!AZ58+Basicinfo!BA58</f>
        <v>1405.507448768461</v>
      </c>
      <c r="BM58" s="19">
        <f>Basicinfo!BB58+Basicinfo!BC58</f>
        <v>1537.7135221909093</v>
      </c>
      <c r="BN58" s="172">
        <f>IF(Basicinfo!AO58=0,0,IF(Basicinfo!AO58="NA",1,IF(OR(Basicinfo!AO58="SA",Basicinfo!AN58="S"),3,IF(Basicinfo!AN58="N",1,IF(Basicinfo!AO58="ZA",2,0)))))</f>
        <v>0</v>
      </c>
      <c r="BO58" s="27">
        <f>IF($BN58=1,(BL58)*(1+Parameters!$C$21*Parameters!$C$22-Parameters!$C$22*Basicinfo!$AL58),IF($BN58=2,(BL58)*(1+Parameters!$C$21*Parameters!$C$23-Parameters!$C$23*Basicinfo!$AL58),IF($BN58=3,(BL58)*(1+Parameters!$C$21*Parameters!$C$24-Parameters!$C$24*Basicinfo!$AL58),BL58)))</f>
        <v>1405.507448768461</v>
      </c>
      <c r="BP58" s="27">
        <f>IF($BN58=1,(BM58)*(1+Parameters!$C$21*Parameters!$C$22-Parameters!$C$22*Basicinfo!$AL58),IF($BN58=2,(BM58)*(1+Parameters!$C$21*Parameters!$C$23-Parameters!$C$23*Basicinfo!$AL58),IF($BN58=3,(BM58)*(1+Parameters!$C$21*Parameters!$C$24-Parameters!$C$24*Basicinfo!$AL58),BM58)))</f>
        <v>1537.7135221909093</v>
      </c>
      <c r="BQ58" s="27">
        <f>IF(Basicinfo!AU58=0,0,IF(G58+Basicinfo!M58=0,0,(Parameters!$C$16+BO58/Basicinfo!AU58)*G58+(Parameters!$C$17+BO58/Basicinfo!AU58)*Basicinfo!M58)/(G58+Basicinfo!M58))</f>
        <v>1.7428590221051126</v>
      </c>
      <c r="BR58" s="27">
        <f>IF(Basicinfo!AU58=0,0,IF(G58+Basicinfo!M58=0,0,(Parameters!$C$16+BP58/Basicinfo!AU58)*G58+(Parameters!$C$17+BP58/Basicinfo!AU58)*Basicinfo!M58)/(G58+Basicinfo!M58))</f>
        <v>1.8908337591415512</v>
      </c>
      <c r="BS58" s="27">
        <f>IF(Basicinfo!AU58=0,0,BO58/Basicinfo!AU58)</f>
        <v>1.5731470555796294</v>
      </c>
      <c r="BT58" s="27">
        <f>IF(Basicinfo!AU58=0,0,BP58/Basicinfo!AU58)</f>
        <v>1.7211217926160682</v>
      </c>
      <c r="BU58" s="27">
        <f>IF(SUM(G58,Basicinfo!M58,Basicinfo!P58,W58)=0,0,(BQ58*(G58+Basicinfo!M58)+BS58*(Basicinfo!P58+W58))/SUM(G58,Basicinfo!M58,Basicinfo!P58,W58))</f>
        <v>1.6558767536249903</v>
      </c>
      <c r="BV58" s="19">
        <f>IF(Basicinfo!BR58/Parameters!$C$10&gt;1,1,Basicinfo!BR58/Parameters!$C$10)</f>
        <v>0.49390214255984216</v>
      </c>
      <c r="BW58" s="19">
        <f>Parameters!$C$5+Parameters!$C$6*EXP(BV58*Parameters!$C$8*Parameters!$C$7)</f>
        <v>3.5607084546495915E-2</v>
      </c>
      <c r="BX58" s="19">
        <f>Parameters!$C$5+Parameters!$C$6*EXP(BV58*Parameters!$C$9*Parameters!$C$7)</f>
        <v>3.5282342181864629E-2</v>
      </c>
      <c r="BY58" s="19">
        <f>IF(Basicinfo!AH58+Basicinfo!AI58+Basicinfo!AJ58+Basicinfo!AK58=0,0,(Parameters!$C$18*(Basicinfo!AH58+Basicinfo!AI58)+Parameters!$C$19*Basicinfo!AJ58+Parameters!$C$20*Basicinfo!AK58)/(Basicinfo!AH58+Basicinfo!AI58+Basicinfo!AJ58+Basicinfo!AK58))</f>
        <v>2.7153147882205974E-2</v>
      </c>
      <c r="BZ58" s="19">
        <f>IF(Basicinfo!AJ58+Basicinfo!AK58=0,Parameters!$C$18,(Parameters!$C$19*Basicinfo!AJ58+Parameters!$C$20*Basicinfo!AK58)/(Basicinfo!AJ58+Basicinfo!AK58))</f>
        <v>2.5000000000000001E-2</v>
      </c>
      <c r="CA58" s="19">
        <f>IF(SUM(G58,Basicinfo!M58,Basicinfo!P58,W58)=0,0,(BW58*G58+BX58*Basicinfo!M58+BY58*Basicinfo!P58+BZ58*W58)/(SUM(G58,Basicinfo!M58,Basicinfo!P58,W58)))</f>
        <v>3.120544887415189E-2</v>
      </c>
      <c r="CB58" s="19">
        <f>IF(Y58=0,Basicinfo!BP58,Basicinfo!BP58-(AU58*X58/Y58*Intermediate!BQ58*86400*365/1000000)*1000/(X58*100))</f>
        <v>61.594092661068046</v>
      </c>
      <c r="CC58" s="19">
        <f>IF(Y58=0,Basicinfo!BQ58,Basicinfo!BQ58-(AU58*Basicinfo!AV58/Basicinfo!AU58*X58/Y58*Intermediate!BR58*86400*365/1000000)*1000/(X58*100))</f>
        <v>52.368471484774268</v>
      </c>
      <c r="CD58" s="19">
        <f>IF(OR(Y58=0,AA58=0),BP58/100,BP58/100-(AU58*Basicinfo!AV58/Basicinfo!AU58*(Basicinfo!P58+W58)/Y58*Intermediate!BT58*86400*365/1000000+AW58*Basicinfo!AV58/Basicinfo!AU58*Intermediate!BT58*86400*365/1000000)*1000/(AA58*100))</f>
        <v>14.280077710713735</v>
      </c>
      <c r="CE58" s="19">
        <f t="shared" si="35"/>
        <v>697848.79398359219</v>
      </c>
      <c r="CF58" s="19">
        <f t="shared" si="36"/>
        <v>215746.38854047816</v>
      </c>
      <c r="CG58" s="19">
        <f>IF(AY58=0,0,((CB58^Parameters!$C$58))/AY58*100)</f>
        <v>15.642895113504309</v>
      </c>
      <c r="CH58" s="19">
        <f>IF(SUM(Basicinfo!AB58:AG58)=0,0,(Parameters!$C$59*Basicinfo!AB58+Parameters!$C$60*SUM(Basicinfo!AC58:AE58)+Parameters!$C$61*Basicinfo!AF58+Parameters!$C$62*Basicinfo!AG58)/SUM(Basicinfo!AB58:AG58))</f>
        <v>0.16313210053816835</v>
      </c>
      <c r="CI58" s="19">
        <f t="shared" si="31"/>
        <v>9</v>
      </c>
      <c r="CJ58" s="19">
        <f t="shared" si="37"/>
        <v>32.130433508065678</v>
      </c>
      <c r="CK58" s="19">
        <f t="shared" si="42"/>
        <v>10.063451749333925</v>
      </c>
      <c r="CL58" s="19">
        <f>IF($BB58=0,0,$CJ58^Parameters!$C$58*100/$BB58)</f>
        <v>5.9801142447539952</v>
      </c>
      <c r="CM58" s="19">
        <f>IF(CK58=0,0,(1/(1+Parameters!$C$116*BB58^Parameters!$C$120)*Basicinfo!AH58/Basicinfo!G58+1/(1+Parameters!$C$117*BB58^Parameters!$C$121)*Basicinfo!AI58/Basicinfo!G58)*(CK58)^Parameters!$C$124+(1/(1+Parameters!$C$118*BB58^Parameters!$C$122)*Basicinfo!AJ58/Basicinfo!G58+1/(1+Parameters!$C$119*BB58^Parameters!$C$123)*Basicinfo!AK58/Basicinfo!G58)*(CK58)^Parameters!$C$125)</f>
        <v>2.0682671758567333</v>
      </c>
      <c r="CN58" s="19">
        <f>IF(SUM(Basicinfo!AB58:AG58)=0,0,(Parameters!$C$128*Basicinfo!AB58+Parameters!$C$129*(SUM(Basicinfo!AC58:AE58))+Parameters!$C$130*Basicinfo!AF58+Parameters!$C$131*Basicinfo!AG58)/SUM(Basicinfo!AB58:AG58))</f>
        <v>2.8935868568095373E-2</v>
      </c>
      <c r="CO58" s="19">
        <f>IF(Basicinfo!AH58+Basicinfo!AI58+Basicinfo!AJ58+Basicinfo!AK58=0,0,(Parameters!$C$132*(Basicinfo!AH58+Basicinfo!AI58)+Parameters!$C$133*Basicinfo!AJ58+Parameters!$C$134*Basicinfo!AK58)/(Basicinfo!AH58+Basicinfo!AI58+Basicinfo!AJ58+Basicinfo!AK58))</f>
        <v>4.999999999999999E-4</v>
      </c>
      <c r="CP58" s="19">
        <f>IF(Basicinfo!AJ58+Basicinfo!AK58=0,0,(Parameters!$C$133*Basicinfo!AJ58+Parameters!$C$134*Basicinfo!AK58)/(Basicinfo!AJ58+Basicinfo!AK58))</f>
        <v>5.0000000000000001E-4</v>
      </c>
      <c r="CQ58" s="19">
        <f>IF(Z58=0,0,(CN58*(Z58-AA58)+CO58*Basicinfo!P58+CP58*(Basicinfo!Q58+Basicinfo!R58))/Z58)</f>
        <v>1.3810895465203693E-2</v>
      </c>
      <c r="CR58" s="289">
        <f>Basicinfo!EI58</f>
        <v>2.4060867543859648E-2</v>
      </c>
      <c r="CS58" s="19">
        <f>IF(SUM(Basicinfo!AB58:AG58)=0,0,(Basicinfo!AB58*Parameters!$C$43+(Basicinfo!AC58+Basicinfo!AD58)*Parameters!$C$44+Basicinfo!AE58*Parameters!$C$45+(Basicinfo!AF58+Basicinfo!AG58)*Parameters!$C$46)/SUM(Basicinfo!AB58:AG58))</f>
        <v>11.40470828002822</v>
      </c>
      <c r="CT58" s="19">
        <f>(Parameters!$C$41*CS58+Parameters!$C$42)</f>
        <v>391.32802445628784</v>
      </c>
      <c r="CU58" s="19">
        <f>CT58+Basicinfo!BR58/(Parameters!$C$47*Parameters!$C$49*Parameters!$C$48*10000/1000000)</f>
        <v>565.28098032642094</v>
      </c>
      <c r="CV58" s="19">
        <f>IF(BK58/Basicinfo!G58&lt;Parameters!$C$35,Parameters!$C$35,Parameters!$C$37*(BK58/Basicinfo!G58)^Parameters!$C$38)</f>
        <v>2.6749987164033637</v>
      </c>
      <c r="CW58" s="19">
        <f>IF(BK58/Basicinfo!G58&lt;Parameters!$C$35,Parameters!$C$36,Parameters!$C$36*(BK58/Basicinfo!G58)^Parameters!$C$38)</f>
        <v>6.2862469835479056</v>
      </c>
      <c r="CX58" s="27">
        <f>IF(Basicinfo!AJ58+Basicinfo!AK58=0,0,(Parameters!$C$53*Basicinfo!AJ58+Parameters!$C$54*Basicinfo!AK58)/(Basicinfo!AJ58+Basicinfo!AK58))</f>
        <v>750</v>
      </c>
      <c r="CY58" s="56">
        <f>IF(Basicinfo!AU58*AB58=0,0,((Basicinfo!AZ58+Basicinfo!BA58)/Basicinfo!AU58+Parameters!$C$76/(Basicinfo!AU58*AB58)*100))</f>
        <v>2.8365103564798249</v>
      </c>
      <c r="CZ58" s="43">
        <f>IF(Basicinfo!AU58*AB58=0,0,(Parameters!$C$77)/(Basicinfo!AU58*AB58)*100)</f>
        <v>0.78960206306262237</v>
      </c>
      <c r="DA58" s="43">
        <f>IF(AD58+AJ58=0,0,((J58*Parameters!$C$96+Parameters!$C$94/100*S58*100*Parameters!$C$93/1000*86400*Parameters!$C$95/24*Parameters!$C$98)*AI58+AD58*CY58*86400*365)/((AD58+AJ58*AI58/365)*86400*365))</f>
        <v>7.5624707383620873</v>
      </c>
      <c r="DB58" s="43">
        <f>IF(AD58+AJ58=0,0,((J58*Parameters!$C$97+Parameters!$C$94/100*S58*100*Parameters!$C$93/1000*86400*Parameters!$C$95/24*Parameters!$C$99)*AI58+AD58*CZ58*86400*365)/((AD58+AJ58*AI58/365)*86400*365))</f>
        <v>1.5410222530934943</v>
      </c>
      <c r="DC58" s="42">
        <f>IF(AE58+AL58=0,0,((K58*Parameters!$C$96+Parameters!$C$94/100*T58*100*Parameters!$C$93/1000*86400*Parameters!$C$95/24*Parameters!$C$98)*365+AE58*CY58*86400*365)/((AE58+AL58)*86400*365))</f>
        <v>0</v>
      </c>
      <c r="DD58" s="42">
        <f>IF(AE58+AL58=0,0,((K58*Parameters!$C$97+Parameters!$C$94/100*T58*100*Parameters!$C$93/1000*86400*Parameters!$C$95/24*Parameters!$C$99)*365+AE58*CZ58*86400*365)/((AE58+AL58)*86400*365))</f>
        <v>0</v>
      </c>
      <c r="DE58" s="42">
        <f>IF(Basicinfo!AH58+Basicinfo!AI58+Basicinfo!AJ58+Basicinfo!AK58=0,0,((Basicinfo!AH58+Basicinfo!AI58)*Parameters!$C$107+(Basicinfo!AJ58+Basicinfo!AK58)*Parameters!$C$106)/(Basicinfo!AH58+Basicinfo!AI58+Basicinfo!AJ58+Basicinfo!AK58))</f>
        <v>58.612591528823891</v>
      </c>
      <c r="DF58" s="42">
        <f>IF(Basicinfo!AH58+Basicinfo!AI58+Basicinfo!AJ58+Basicinfo!AK58=0,0,((Basicinfo!AH58+Basicinfo!AI58)*Parameters!$C$109+(Basicinfo!AJ58+Basicinfo!AK58)*Parameters!$C$108)/(Basicinfo!AH58+Basicinfo!AI58+Basicinfo!AJ58+Basicinfo!AK58))</f>
        <v>58.612591528823891</v>
      </c>
      <c r="DG58" s="42">
        <f>Intermediate!AC58*Intermediate!CY58*(1-Parameters!$C$102/100*Basicinfo!BZ58/100)*(1-Parameters!$C$104/100*Basicinfo!CA58/100)*86400*365/1000000</f>
        <v>0.80968876741809248</v>
      </c>
      <c r="DH58" s="42">
        <f>Intermediate!AC58*Intermediate!CZ58*(1-Parameters!$C$103/100*Basicinfo!BZ58/100)*(1-Parameters!$C$105/100*Basicinfo!CA58/100)*86400*365/1000000</f>
        <v>0.22539382580833708</v>
      </c>
      <c r="DI58" s="42">
        <f>(Intermediate!AK58*Intermediate!DA58+(Intermediate!AE58+Intermediate!AL58)*Intermediate!DC58)*86400*365/1000000</f>
        <v>1.449853952620167</v>
      </c>
      <c r="DJ58" s="42">
        <f>(Intermediate!AK58*Intermediate!DB58+(Intermediate!AE58+Intermediate!AL58)*Intermediate!DD58)*86400*365/1000000</f>
        <v>0.29544011236824214</v>
      </c>
      <c r="DK58" s="42">
        <f>((Basicinfo!AZ58+Basicinfo!BA58)*Intermediate!AB58+Parameters!$C$76*100)/1000*Intermediate!U58*(1-Intermediate!DE58/100)+(1-Parameters!$C$110/100)*M58*Parameters!$C$100*(1-DE58/100)*365/1000000+(1-Parameters!$C$112/100)*P58*Parameters!$C$96*365/1000000+(1-Parameters!$C$112/100)*O58*Parameters!$C$96*(1-DE58/100)*365/1000000</f>
        <v>3.3045101252500011</v>
      </c>
      <c r="DL58" s="42">
        <f>Parameters!$C$77*100/1000*Intermediate!U58*(1-Intermediate!DF58/100)+(1-Parameters!$C$111/100)*M58*Parameters!$C$101*(1-DF58/100)*365/1000000+(1-Parameters!$C$113/100)*P58*Parameters!$C$97*365/1000000+(1-Parameters!$C$113/100)*O58*Parameters!$C$97*(1-DF58/100)*365/1000000</f>
        <v>0.51817410318167145</v>
      </c>
      <c r="DM58" s="31"/>
      <c r="DN58" s="31"/>
      <c r="DO58" s="31"/>
      <c r="DP58" s="31"/>
      <c r="DQ58" s="31"/>
      <c r="DR58" s="31"/>
      <c r="DS58" s="31"/>
      <c r="DT58" s="188">
        <f>BO58*(Basicinfo!$P58+Basicinfo!$Q58)/1000</f>
        <v>199.76141485891955</v>
      </c>
      <c r="DU58" s="188">
        <f>DT58*Basicinfo!$AZ58/(Basicinfo!$AZ58+Basicinfo!$BA58)</f>
        <v>113.00306213741692</v>
      </c>
      <c r="DV58" s="188">
        <f>DT58*Basicinfo!$BC58/(Basicinfo!$BB58+Basicinfo!$BC58)</f>
        <v>84.010377815943585</v>
      </c>
      <c r="DW58" s="188">
        <f>BP58*(Basicinfo!$P58+Basicinfo!$Q58)/1000</f>
        <v>218.55154813281379</v>
      </c>
      <c r="DX58" s="188">
        <f>DW58*Basicinfo!$BB58/(Basicinfo!$BB58+Basicinfo!$BC58)</f>
        <v>126.63891253266978</v>
      </c>
      <c r="DY58" s="188">
        <f>DW58*Basicinfo!$BC58/(Basicinfo!$BB58+Basicinfo!$BC58)</f>
        <v>91.912635600144014</v>
      </c>
      <c r="DZ58" s="188">
        <f t="shared" si="38"/>
        <v>189.99506245539112</v>
      </c>
      <c r="EA58" s="188">
        <f>DZ58*Basicinfo!$AZ58/(Basicinfo!$AZ58+Basicinfo!$BA58)</f>
        <v>107.478332908345</v>
      </c>
      <c r="EB58" s="188">
        <f>DZ58*Basicinfo!$BC58/(Basicinfo!$BB58+Basicinfo!$BC58)</f>
        <v>79.903103366152934</v>
      </c>
      <c r="EC58" s="188">
        <f t="shared" si="39"/>
        <v>207.86654453034527</v>
      </c>
      <c r="ED58" s="188">
        <f>EC58*Basicinfo!$AZ58/(Basicinfo!$AZ58+Basicinfo!$BA58)</f>
        <v>117.58805405159009</v>
      </c>
      <c r="EE58" s="188">
        <f>EC58*Basicinfo!$BC58/(Basicinfo!$BB58+Basicinfo!$BC58)</f>
        <v>87.419019101472031</v>
      </c>
      <c r="EF58" s="190">
        <f>(Basicinfo!BP58-BL58/100)*Intermediate!X58/10</f>
        <v>659.42617443484755</v>
      </c>
      <c r="EG58" s="191">
        <f>(Basicinfo!BQ58-BM58/100)*Intermediate!X58/10</f>
        <v>517.36378922966537</v>
      </c>
      <c r="EH58" s="197">
        <f>IF(AU58=0,0,$BS58*((Basicinfo!$P58+Basicinfo!$Q58)*Intermediate!$AT58*1000+$AW58*3600*24*365)/1000000*Basicinfo!AZ58/(Basicinfo!$AZ58+Basicinfo!$BA58))</f>
        <v>9.0549646735586933</v>
      </c>
      <c r="EI58" s="197">
        <f>IF(AU58=0,0,$BS58*((Basicinfo!$P58+Basicinfo!$Q58)*Intermediate!$AT58*1000+$AW58*3600*24*365)/1000000*Basicinfo!BA58/(Basicinfo!$AZ58+Basicinfo!$BA58))</f>
        <v>6.9519693021595561</v>
      </c>
      <c r="EJ58" s="198">
        <f>IF(AU58=0,0,$BS58*($AT58*$X58*1000)/1000000*Basicinfo!AZ58/(Basicinfo!$AZ58+Basicinfo!$BA58))</f>
        <v>8.6122666877342997</v>
      </c>
      <c r="EK58" s="198">
        <f>IF(AU58=0,0,$BS58*($AT58*$X58*1000)/1000000*Basicinfo!BA58/(Basicinfo!$AZ58+Basicinfo!$BA58))</f>
        <v>6.6120869372326156</v>
      </c>
      <c r="EL58" s="147">
        <f>Parameters!$C$150/Basicinfo!$AV58*100</f>
        <v>0.11778364302940546</v>
      </c>
      <c r="EM58" s="147">
        <f>Parameters!$C$151/Basicinfo!$AV58*100</f>
        <v>0.23556728605881092</v>
      </c>
      <c r="EN58" s="147">
        <f>(Parameters!$C$150+Parameters!$C$151)/Intermediate!$BB58*100</f>
        <v>0.93961867151350809</v>
      </c>
      <c r="EO58" s="193">
        <f>IF(EN58=0,0,(1/(1+Parameters!$C$116*$BB58^Parameters!$C$120)*Basicinfo!$AH58/Basicinfo!$G58+1/(1+Parameters!$C$117*$BB58^Parameters!$C$121)*Basicinfo!$AI58/Basicinfo!$G58)*(EN58)^Parameters!$C$124+(1/(1+Parameters!$C$118*$BB58^Parameters!$C$122)*Basicinfo!$AJ58/Basicinfo!AW58+1/(1+Parameters!$C$119*$BB58^Parameters!$C$123)*Basicinfo!$AK58/Basicinfo!$G58)*(EN58)^Parameters!$C$125)</f>
        <v>0.32991335655639287</v>
      </c>
      <c r="EP58" s="199">
        <f>EL58*($AT58*Basicinfo!$P58*1000+$AW58*3600*24*365)/1000000</f>
        <v>1.1984607482843344</v>
      </c>
      <c r="EQ58" s="199">
        <f>EM58*($AT58*Basicinfo!$P58*1000+$AW58*3600*24*365)/1000000</f>
        <v>2.3969214965686687</v>
      </c>
      <c r="ER58" s="199">
        <f t="shared" si="40"/>
        <v>1.1398679013233362</v>
      </c>
      <c r="ES58" s="199">
        <f t="shared" si="41"/>
        <v>2.2797358026466723</v>
      </c>
      <c r="ET58" s="181">
        <f t="shared" si="14"/>
        <v>29.950682997035869</v>
      </c>
      <c r="EU58" s="147">
        <f>Intermediate!F58*(Parameters!$C$150)/1000*100</f>
        <v>0.20116521556678102</v>
      </c>
      <c r="EV58" s="147">
        <f>Intermediate!F58*(Parameters!$C$151)/1000*100</f>
        <v>0.40233043113356204</v>
      </c>
      <c r="EW58" s="181">
        <f>'Local emissions'!$S58*Basicinfo!AZ58/(Basicinfo!$AZ58+Basicinfo!$BA58)-Intermediate!EU58</f>
        <v>1.3982626026611253</v>
      </c>
      <c r="EX58" s="147">
        <f>'Local emissions'!$S58*Basicinfo!BA58/(Basicinfo!$AZ58+Basicinfo!$BA58)-Intermediate!EV58</f>
        <v>0.82563383976077076</v>
      </c>
      <c r="EY58" s="188">
        <f t="shared" si="15"/>
        <v>7.8565039252743585</v>
      </c>
      <c r="EZ58" s="188">
        <f t="shared" si="16"/>
        <v>4.5550478055908874</v>
      </c>
      <c r="FA58" s="188">
        <f t="shared" si="17"/>
        <v>7.4723987864109631</v>
      </c>
      <c r="FB58" s="181">
        <f t="shared" si="18"/>
        <v>4.3323511345859433</v>
      </c>
      <c r="FC58" s="181">
        <f>'Local emissions'!Y58-Intermediate!ET58</f>
        <v>157.8141957161863</v>
      </c>
      <c r="FD58" s="188">
        <f t="shared" si="19"/>
        <v>21.175886622906461</v>
      </c>
      <c r="FE58" s="188">
        <f t="shared" si="20"/>
        <v>15.369142957375438</v>
      </c>
      <c r="FF58" s="181">
        <f t="shared" si="21"/>
        <v>9.8312250595262363</v>
      </c>
      <c r="FG58" s="201">
        <f t="shared" si="22"/>
        <v>7.3088721316242644</v>
      </c>
      <c r="FH58" s="181">
        <f t="shared" si="23"/>
        <v>104.12906894475391</v>
      </c>
      <c r="FJ58" s="147">
        <f>AVERAGE(Parameters!$C$132:$C$134)*'Local emissions'!J58*3600*24*365/1000000</f>
        <v>4.5391740591618532E-2</v>
      </c>
      <c r="FK58" s="147">
        <f>'Local emissions'!AJ58+CT58*BJ58/100*Intermediate!X58*100/1000000</f>
        <v>1.0163489162125054</v>
      </c>
      <c r="FL58" s="31">
        <f>(Parameters!$C$18*(Basicinfo!AH58+Basicinfo!AI58)+Parameters!$C$19*Basicinfo!AJ58+Parameters!$C$20*Basicinfo!AK58)/Basicinfo!G58</f>
        <v>2.7153147882205977E-2</v>
      </c>
      <c r="FM58" s="181">
        <f t="shared" si="32"/>
        <v>0.55422129975845658</v>
      </c>
    </row>
    <row r="59" spans="1:169">
      <c r="A59" s="39" t="str">
        <f>Basicinfo!A59</f>
        <v>Kartenbach</v>
      </c>
      <c r="B59" s="63">
        <f>Basicinfo!B59</f>
        <v>3650</v>
      </c>
      <c r="C59" s="63">
        <f>Basicinfo!C59</f>
        <v>0</v>
      </c>
      <c r="D59" s="61">
        <f>Basicinfo!U59*Basicinfo!V59/1000+Basicinfo!Y59</f>
        <v>0.17996400559196862</v>
      </c>
      <c r="E59" s="19">
        <f>Basicinfo!W59*Basicinfo!X59/1000+Basicinfo!Z59</f>
        <v>0</v>
      </c>
      <c r="F59" s="19">
        <f t="shared" si="43"/>
        <v>0.17996400559196862</v>
      </c>
      <c r="G59" s="19">
        <f>SUM(Basicinfo!H59:L59)</f>
        <v>18.49102257275824</v>
      </c>
      <c r="H59" s="19">
        <f>IF(Basicinfo!N59&lt;Parameters!$C$68,Parameters!$C$69,Basicinfo!BS59/(Basicinfo!N59*100))</f>
        <v>19.173902074480154</v>
      </c>
      <c r="I59" s="19">
        <f>IF(Basicinfo!N59=0,0,Basicinfo!BU59*(1-Basicinfo!BX59/100))</f>
        <v>1377.7955292663632</v>
      </c>
      <c r="J59" s="19">
        <f>IF(Basicinfo!N59=0,0,Basicinfo!BU59*Basicinfo!BX59/100)</f>
        <v>1683.9723135477773</v>
      </c>
      <c r="K59" s="19">
        <f>IF(Basicinfo!N59=0,0,Basicinfo!BT59-Basicinfo!BU59)</f>
        <v>0</v>
      </c>
      <c r="L59" s="27">
        <f>Basicinfo!BV59*Basicinfo!BW59/100</f>
        <v>734.18333333333339</v>
      </c>
      <c r="M59" s="27">
        <f>Basicinfo!BV59-Intermediate!L59</f>
        <v>734.18333333333339</v>
      </c>
      <c r="N59" s="73">
        <f>Basicinfo!BS59-SUM(I59:K59)-Basicinfo!BV59</f>
        <v>0</v>
      </c>
      <c r="O59" s="19">
        <f>IF(Basicinfo!AH59+Basicinfo!AI59+Basicinfo!AJ59+Basicinfo!AK59=0,0,N59*(Basicinfo!AH59+Basicinfo!AI59)/SUM(Basicinfo!AH59:AK59))</f>
        <v>0</v>
      </c>
      <c r="P59" s="73">
        <f t="shared" si="25"/>
        <v>0</v>
      </c>
      <c r="Q59" s="19">
        <f>IF(Basicinfo!BS59=0,Basicinfo!N59,IF(H59&gt;Parameters!$C$70,Parameters!$C$64*(Parameters!$C$65*Parameters!$C$70)^(Parameters!$C$66-Parameters!$C$67*LOG(Parameters!$C$65*Parameters!$C$70,10))/100*Basicinfo!N59,Parameters!$C$64*(Parameters!$C$65*H59)^(Parameters!$C$66-Parameters!$C$67*LOG(Parameters!$C$65*H59,10))/100*Basicinfo!N59))</f>
        <v>0.68326950384627871</v>
      </c>
      <c r="R59" s="19">
        <f>IF(Basicinfo!BS59=0,Q59*(1-Basicinfo!BX59/100),IF(H59&lt;Parameters!$C$75,Q59*Basicinfo!BU59/Basicinfo!BS59*(1-Basicinfo!BX59/100)*(-Parameters!$C$74+Parameters!$C$73*LN(H59*100)),Q59*Basicinfo!BU59/Basicinfo!BS59*(1-Basicinfo!BX59/100)))</f>
        <v>0.11987292571239751</v>
      </c>
      <c r="S59" s="19">
        <f>IF(Basicinfo!BS59=0,Q59*Basicinfo!BX59/100,Q59*Basicinfo!BU59/Basicinfo!BS59*Basicinfo!BX59/100)</f>
        <v>0.25398957244219433</v>
      </c>
      <c r="T59" s="19">
        <f>IF(Basicinfo!BS59=0,0,IF(H59&lt;Parameters!$C$75,Q59*K59/Basicinfo!BS59*(-Parameters!$C$74+Parameters!$C$73*LN(H59*100)),Q59*K59/Basicinfo!BS59))</f>
        <v>0</v>
      </c>
      <c r="U59" s="19">
        <f t="shared" si="26"/>
        <v>0.30940700569168689</v>
      </c>
      <c r="V59" s="19">
        <f>IF(Basicinfo!AL59&gt;Parameters!$C$14,Basicinfo!Q59,0)</f>
        <v>0</v>
      </c>
      <c r="W59" s="19">
        <f>IF(Basicinfo!AL59&gt;Parameters!$C$14,0,Basicinfo!Q59)</f>
        <v>0</v>
      </c>
      <c r="X59" s="19">
        <f>G59+Basicinfo!M59</f>
        <v>40.868775587587876</v>
      </c>
      <c r="Y59" s="19">
        <f>IF(Basicinfo!G59-F59-Q59-V59-Basicinfo!O59-Basicinfo!R59-Basicinfo!S59&lt;0,0,Basicinfo!G59-F59-Q59-V59-Basicinfo!O59-Basicinfo!R59-Basicinfo!S59)</f>
        <v>66.856766490561753</v>
      </c>
      <c r="Z59" s="19">
        <f>Basicinfo!G59-F59-Basicinfo!BO59-Q59-Basicinfo!O59</f>
        <v>58.352251113878786</v>
      </c>
      <c r="AA59" s="53">
        <f>IF(Z59+Basicinfo!BO59-X59&gt;0,Z59+Basicinfo!BO59-X59,0)</f>
        <v>25.987990902973877</v>
      </c>
      <c r="AB59" s="56">
        <f>IF(Basicinfo!N59=0,0,Parameters!$C$71+Parameters!$C$72*Q59/Basicinfo!N59)</f>
        <v>0.36689658215129917</v>
      </c>
      <c r="AC59" s="43">
        <f>Basicinfo!AU59*AB59*R59/1000/86.4/0.365</f>
        <v>1.1823867059509577E-3</v>
      </c>
      <c r="AD59" s="43">
        <f>Basicinfo!AU59*AB59*S59/1000/86.4/0.365</f>
        <v>2.5052687428881136E-3</v>
      </c>
      <c r="AE59" s="43">
        <f>Basicinfo!AU59*AB59*T59/1000/86.4/0.365</f>
        <v>0</v>
      </c>
      <c r="AF59" s="43">
        <f>Basicinfo!AU59*AB59*U59/1000/86.4/0.365</f>
        <v>3.0518878894778413E-3</v>
      </c>
      <c r="AG59" s="43">
        <f>((Parameters!$C$80+Parameters!$C$81*Parameters!$C$89)/(Parameters!$C$82+Parameters!$C$89)/(Parameters!$C$90/100*Parameters!$C$91+(Parameters!$C$83+Parameters!$C$84*Parameters!$C$89)/(Parameters!$C$85+Parameters!$C$89)))-Parameters!$C$86+(Basicinfo!AU59-Parameters!$C$88)/Parameters!$C$87</f>
        <v>72.58405462366936</v>
      </c>
      <c r="AH59" s="43">
        <f>((Parameters!$C$80+Parameters!$C$81*Parameters!$C$89)/(Parameters!$C$82+Parameters!$C$89)/(Basicinfo!BY59/100*Parameters!$C$91+(Parameters!$C$83+Parameters!$C$84*Parameters!$C$89)/(Parameters!$C$85+Parameters!$C$89)))-Parameters!$C$86+(Basicinfo!AU59-Parameters!$C$88)/Parameters!$C$87</f>
        <v>54.781172757053788</v>
      </c>
      <c r="AI59" s="43">
        <f>Basicinfo!AU59^Parameters!$C$79*Parameters!$C$78*AH59/AG59</f>
        <v>18.9550433179508</v>
      </c>
      <c r="AJ59" s="43">
        <f>(J59*Parameters!$C$92/1000+Parameters!$C$94/100*S59*100*Parameters!$C$93/1000*86400*Parameters!$C$95/24)/86400</f>
        <v>2.5422209575213495E-3</v>
      </c>
      <c r="AK59" s="43">
        <f t="shared" si="44"/>
        <v>1.4447386154238793E-3</v>
      </c>
      <c r="AL59" s="43">
        <f>(K59*Parameters!$C$92/1000+Parameters!$C$94/100*T59*100*Parameters!$C$93/1000*86400*Parameters!$C$95/24)/86400</f>
        <v>0</v>
      </c>
      <c r="AM59" s="43">
        <f>(Intermediate!N59+Basicinfo!BV59-Intermediate!L59)*Parameters!$C$92/1000/86400</f>
        <v>1.1046739969135804E-3</v>
      </c>
      <c r="AN59" s="43">
        <f t="shared" si="45"/>
        <v>2.5548023040209648E-3</v>
      </c>
      <c r="AO59" s="43">
        <f t="shared" si="27"/>
        <v>1.4447386154238793E-3</v>
      </c>
      <c r="AP59" s="43">
        <f t="shared" si="28"/>
        <v>4.1565618863914217E-3</v>
      </c>
      <c r="AQ59" s="43">
        <f t="shared" si="33"/>
        <v>6.7836872077662591E-3</v>
      </c>
      <c r="AR59" s="61">
        <f>(Basicinfo!AU59-Basicinfo!AY59)*F59/1000/86.4/0.365</f>
        <v>1.1033929543039194E-3</v>
      </c>
      <c r="AS59" s="19">
        <f>IF(Basicinfo!AP59-Basicinfo!CB59-Basicinfo!CG59&lt;0,0,(Basicinfo!AP59-Basicinfo!CB59-Basicinfo!CG59)/Basicinfo!G59*1000)</f>
        <v>11.341414912032024</v>
      </c>
      <c r="AT59" s="19">
        <f>Parameters!$C$3*((AS59*86.4*0.365)^Parameters!$C$4)</f>
        <v>64.75798969964427</v>
      </c>
      <c r="AU59" s="19">
        <f>IF(AT59/86.4/0.365*(Basicinfo!G59/1000)-AN59&lt;0,0,AT59/86.4/0.365*(Basicinfo!G59/1000)-AN59)</f>
        <v>0.1365056702498828</v>
      </c>
      <c r="AV59" s="19">
        <f>IF(Basicinfo!AU59&gt;Parameters!$C$13,Parameters!$C$11*(Basicinfo!AU59-Parameters!$C$13)^Parameters!$C$12,0)</f>
        <v>40.719406750652553</v>
      </c>
      <c r="AW59" s="19">
        <f>IF(AV59*V59/1000/86.4/0.365&gt;Basicinfo!AP59*Parameters!$C$15,Basicinfo!AP59*Parameters!$C$15,AV59*V59/1000/86.4/0.365)</f>
        <v>0</v>
      </c>
      <c r="AX59" s="19">
        <f>Basicinfo!AU59-Basicinfo!AW59</f>
        <v>306.52052098742854</v>
      </c>
      <c r="AY59" s="19">
        <f>Parameters!$C$56*AX59+Parameters!$C$57*Basicinfo!AW59</f>
        <v>207.38976261225713</v>
      </c>
      <c r="AZ59" s="19">
        <f>AY59*Basicinfo!BO59/1000/86.4/0.365</f>
        <v>5.5928127381486913E-2</v>
      </c>
      <c r="BA59" s="19">
        <f>IF(Basicinfo!AP59-AQ59-AR59-AU59-AW59-AZ59-Basicinfo!CB59-Basicinfo!CG59&lt;0,0,Basicinfo!AP59-AQ59-AR59-AU59-AW59-AZ59-Basicinfo!CB59-Basicinfo!CG59)</f>
        <v>0.56771974004936876</v>
      </c>
      <c r="BB59" s="53">
        <f t="shared" si="34"/>
        <v>306.81952076290355</v>
      </c>
      <c r="BC59" s="56">
        <f>IF(G59=0,0,((Basicinfo!H59*Basicinfo!BE59+Basicinfo!I59*Basicinfo!BF59+Basicinfo!J59*Basicinfo!BG59+Basicinfo!K59*Basicinfo!BH59+Basicinfo!L59*Basicinfo!BI59)*(1-Basicinfo!BN59/G59*Parameters!$C$26/100)/G59)*Basicinfo!BM59)</f>
        <v>2.1602848590669357</v>
      </c>
      <c r="BD59" s="43">
        <f>IF(Basicinfo!AW59*Parameters!$C$39-Parameters!$C$40&lt;0,0.001,(Basicinfo!AW59*Parameters!$C$39-Parameters!$C$40)/(Basicinfo!AX59*Parameters!$C$39-Parameters!$C$40))</f>
        <v>1.1083261948227119</v>
      </c>
      <c r="BE59" s="43">
        <f>(BC59*G59*100+Basicinfo!BJ59*Basicinfo!M59*100)*Parameters!$C$29*BD59</f>
        <v>4655.4549409028641</v>
      </c>
      <c r="BF59" s="43">
        <f>(Basicinfo!BK59*Basicinfo!P59*100)*BD59*Parameters!$C$29</f>
        <v>230.31035561169625</v>
      </c>
      <c r="BG59" s="43">
        <f>Parameters!$C$27*(V59+W59)*100</f>
        <v>0</v>
      </c>
      <c r="BH59" s="43">
        <f>Parameters!$C$28*Basicinfo!R59*100</f>
        <v>0</v>
      </c>
      <c r="BI59" s="43">
        <f t="shared" si="46"/>
        <v>230.31035561169625</v>
      </c>
      <c r="BJ59" s="43">
        <f>IF(Basicinfo!AM59&lt;Parameters!$C$33,0,Parameters!$C$30*(((Basicinfo!AM59-Parameters!$C$33)^Parameters!$C$31)*(((G59-Basicinfo!BN59)/Basicinfo!G59*100+Parameters!$C$34))^Parameters!$C$32))</f>
        <v>2.7539339235239084</v>
      </c>
      <c r="BK59" s="58">
        <f t="shared" ref="BK59:BK71" si="47">BE59*BJ59/100+BI59</f>
        <v>358.51850852359019</v>
      </c>
      <c r="BL59" s="61">
        <f>Basicinfo!AZ59+Basicinfo!BA59</f>
        <v>1345.9241535660549</v>
      </c>
      <c r="BM59" s="19">
        <f>Basicinfo!BB59+Basicinfo!BC59</f>
        <v>1809.7512828125632</v>
      </c>
      <c r="BN59" s="172">
        <f>IF(Basicinfo!AO59=0,0,IF(Basicinfo!AO59="NA",1,IF(OR(Basicinfo!AO59="SA",Basicinfo!AN59="S"),3,IF(Basicinfo!AN59="N",1,IF(Basicinfo!AO59="ZA",2,0)))))</f>
        <v>0</v>
      </c>
      <c r="BO59" s="27">
        <f>IF($BN59=1,(BL59)*(1+Parameters!$C$21*Parameters!$C$22-Parameters!$C$22*Basicinfo!$AL59),IF($BN59=2,(BL59)*(1+Parameters!$C$21*Parameters!$C$23-Parameters!$C$23*Basicinfo!$AL59),IF($BN59=3,(BL59)*(1+Parameters!$C$21*Parameters!$C$24-Parameters!$C$24*Basicinfo!$AL59),BL59)))</f>
        <v>1345.9241535660549</v>
      </c>
      <c r="BP59" s="27">
        <f>IF($BN59=1,(BM59)*(1+Parameters!$C$21*Parameters!$C$22-Parameters!$C$22*Basicinfo!$AL59),IF($BN59=2,(BM59)*(1+Parameters!$C$21*Parameters!$C$23-Parameters!$C$23*Basicinfo!$AL59),IF($BN59=3,(BM59)*(1+Parameters!$C$21*Parameters!$C$24-Parameters!$C$24*Basicinfo!$AL59),BM59)))</f>
        <v>1809.7512828125632</v>
      </c>
      <c r="BQ59" s="27">
        <f>IF(Basicinfo!AU59=0,0,IF(G59+Basicinfo!M59=0,0,(Parameters!$C$16+BO59/Basicinfo!AU59)*G59+(Parameters!$C$17+BO59/Basicinfo!AU59)*Basicinfo!M59)/(G59+Basicinfo!M59))</f>
        <v>1.7232546250695413</v>
      </c>
      <c r="BR59" s="27">
        <f>IF(Basicinfo!AU59=0,0,IF(G59+Basicinfo!M59=0,0,(Parameters!$C$16+BP59/Basicinfo!AU59)*G59+(Parameters!$C$17+BP59/Basicinfo!AU59)*Basicinfo!M59)/(G59+Basicinfo!M59))</f>
        <v>2.2703395818489027</v>
      </c>
      <c r="BS59" s="27">
        <f>IF(Basicinfo!AU59=0,0,BO59/Basicinfo!AU59)</f>
        <v>1.5875200283738615</v>
      </c>
      <c r="BT59" s="27">
        <f>IF(Basicinfo!AU59=0,0,BP59/Basicinfo!AU59)</f>
        <v>2.1346049851532229</v>
      </c>
      <c r="BU59" s="27">
        <f>IF(SUM(G59,Basicinfo!M59,Basicinfo!P59,W59)=0,0,(BQ59*(G59+Basicinfo!M59)+BS59*(Basicinfo!P59+W59))/SUM(G59,Basicinfo!M59,Basicinfo!P59,W59))</f>
        <v>1.6726309490351579</v>
      </c>
      <c r="BV59" s="19">
        <f>IF(Basicinfo!BR59/Parameters!$C$10&gt;1,1,Basicinfo!BR59/Parameters!$C$10)</f>
        <v>0.37885480044392822</v>
      </c>
      <c r="BW59" s="19">
        <f>Parameters!$C$5+Parameters!$C$6*EXP(BV59*Parameters!$C$8*Parameters!$C$7)</f>
        <v>3.512196786942387E-2</v>
      </c>
      <c r="BX59" s="19">
        <f>Parameters!$C$5+Parameters!$C$6*EXP(BV59*Parameters!$C$9*Parameters!$C$7)</f>
        <v>3.5067798000541987E-2</v>
      </c>
      <c r="BY59" s="19">
        <f>IF(Basicinfo!AH59+Basicinfo!AI59+Basicinfo!AJ59+Basicinfo!AK59=0,0,(Parameters!$C$18*(Basicinfo!AH59+Basicinfo!AI59)+Parameters!$C$19*Basicinfo!AJ59+Parameters!$C$20*Basicinfo!AK59)/(Basicinfo!AH59+Basicinfo!AI59+Basicinfo!AJ59+Basicinfo!AK59))</f>
        <v>2.5451264498058498E-2</v>
      </c>
      <c r="BZ59" s="19">
        <f>IF(Basicinfo!AJ59+Basicinfo!AK59=0,Parameters!$C$18,(Parameters!$C$19*Basicinfo!AJ59+Parameters!$C$20*Basicinfo!AK59)/(Basicinfo!AJ59+Basicinfo!AK59))</f>
        <v>2.5000000000000001E-2</v>
      </c>
      <c r="CA59" s="19">
        <f>IF(SUM(G59,Basicinfo!M59,Basicinfo!P59,W59)=0,0,(BW59*G59+BX59*Basicinfo!M59+BY59*Basicinfo!P59+BZ59*W59)/(SUM(G59,Basicinfo!M59,Basicinfo!P59,W59)))</f>
        <v>3.1496576678416502E-2</v>
      </c>
      <c r="CB59" s="19">
        <f>IF(Y59=0,Basicinfo!BP59,Basicinfo!BP59-(AU59*X59/Y59*Intermediate!BQ59*86400*365/1000000)*1000/(X59*100))</f>
        <v>58.319693791007772</v>
      </c>
      <c r="CC59" s="19">
        <f>IF(Y59=0,Basicinfo!BQ59,Basicinfo!BQ59-(AU59*Basicinfo!AV59/Basicinfo!AU59*X59/Y59*Intermediate!BR59*86400*365/1000000)*1000/(X59*100))</f>
        <v>31.821445322709735</v>
      </c>
      <c r="CD59" s="19">
        <f>IF(OR(Y59=0,AA59=0),BP59/100,BP59/100-(AU59*Basicinfo!AV59/Basicinfo!AU59*(Basicinfo!P59+W59)/Y59*Intermediate!BT59*86400*365/1000000+AW59*Basicinfo!AV59/Basicinfo!AU59*Intermediate!BT59*86400*365/1000000)*1000/(AA59*100))</f>
        <v>16.870291253473482</v>
      </c>
      <c r="CE59" s="19">
        <f t="shared" si="35"/>
        <v>102987.75367112608</v>
      </c>
      <c r="CF59" s="19">
        <f t="shared" si="36"/>
        <v>43842.497562578857</v>
      </c>
      <c r="CG59" s="19">
        <f>IF(AY59=0,0,((CB59^Parameters!$C$58))/AY59*100)</f>
        <v>15.281135802782114</v>
      </c>
      <c r="CH59" s="19">
        <f>IF(SUM(Basicinfo!AB59:AG59)=0,0,(Parameters!$C$59*Basicinfo!AB59+Parameters!$C$60*SUM(Basicinfo!AC59:AE59)+Parameters!$C$61*Basicinfo!AF59+Parameters!$C$62*Basicinfo!AG59)/SUM(Basicinfo!AB59:AG59))</f>
        <v>0.199450574125067</v>
      </c>
      <c r="CI59" s="19">
        <f t="shared" si="31"/>
        <v>10</v>
      </c>
      <c r="CJ59" s="19">
        <f t="shared" si="37"/>
        <v>25.162739813954172</v>
      </c>
      <c r="CK59" s="19">
        <f t="shared" si="42"/>
        <v>8.2011534831249584</v>
      </c>
      <c r="CL59" s="19">
        <f>IF($BB59=0,0,$CJ59^Parameters!$C$58*100/$BB59)</f>
        <v>5.0554666604640506</v>
      </c>
      <c r="CM59" s="19">
        <f>IF(CK59=0,0,(1/(1+Parameters!$C$116*BB59^Parameters!$C$120)*Basicinfo!AH59/Basicinfo!G59+1/(1+Parameters!$C$117*BB59^Parameters!$C$121)*Basicinfo!AI59/Basicinfo!G59)*(CK59)^Parameters!$C$124+(1/(1+Parameters!$C$118*BB59^Parameters!$C$122)*Basicinfo!AJ59/Basicinfo!G59+1/(1+Parameters!$C$119*BB59^Parameters!$C$123)*Basicinfo!AK59/Basicinfo!G59)*(CK59)^Parameters!$C$125)</f>
        <v>1.6075013509429767</v>
      </c>
      <c r="CN59" s="19">
        <f>IF(SUM(Basicinfo!AB59:AG59)=0,0,(Parameters!$C$128*Basicinfo!AB59+Parameters!$C$129*(SUM(Basicinfo!AC59:AE59))+Parameters!$C$130*Basicinfo!AF59+Parameters!$C$131*Basicinfo!AG59)/SUM(Basicinfo!AB59:AG59))</f>
        <v>2.9921510589295281E-2</v>
      </c>
      <c r="CO59" s="19">
        <f>IF(Basicinfo!AH59+Basicinfo!AI59+Basicinfo!AJ59+Basicinfo!AK59=0,0,(Parameters!$C$132*(Basicinfo!AH59+Basicinfo!AI59)+Parameters!$C$133*Basicinfo!AJ59+Parameters!$C$134*Basicinfo!AK59)/(Basicinfo!AH59+Basicinfo!AI59+Basicinfo!AJ59+Basicinfo!AK59))</f>
        <v>5.0000000000000001E-4</v>
      </c>
      <c r="CP59" s="19">
        <f>IF(Basicinfo!AJ59+Basicinfo!AK59=0,0,(Parameters!$C$133*Basicinfo!AJ59+Parameters!$C$134*Basicinfo!AK59)/(Basicinfo!AJ59+Basicinfo!AK59))</f>
        <v>5.0000000000000001E-4</v>
      </c>
      <c r="CQ59" s="19">
        <f>IF(Z59=0,0,(CN59*(Z59-AA59)+CO59*Basicinfo!P59+CP59*(Basicinfo!Q59+Basicinfo!R59))/Z59)</f>
        <v>1.6803839403489673E-2</v>
      </c>
      <c r="CR59" s="290">
        <f>CR60</f>
        <v>3.3987257894736847E-2</v>
      </c>
      <c r="CS59" s="19">
        <f>IF(SUM(Basicinfo!AB59:AG59)=0,0,(Basicinfo!AB59*Parameters!$C$43+(Basicinfo!AC59+Basicinfo!AD59)*Parameters!$C$44+Basicinfo!AE59*Parameters!$C$45+(Basicinfo!AF59+Basicinfo!AG59)*Parameters!$C$46)/SUM(Basicinfo!AB59:AG59))</f>
        <v>4.6675570912284128</v>
      </c>
      <c r="CT59" s="19">
        <f>(Parameters!$C$41*CS59+Parameters!$C$42)</f>
        <v>322.60908233052982</v>
      </c>
      <c r="CU59" s="19">
        <f>CT59+Basicinfo!BR59/(Parameters!$C$47*Parameters!$C$49*Parameters!$C$48*10000/1000000)</f>
        <v>456.04221959380016</v>
      </c>
      <c r="CV59" s="19">
        <f>IF(BK59/Basicinfo!G59&lt;Parameters!$C$35,Parameters!$C$35,Parameters!$C$37*(BK59/Basicinfo!G59)^Parameters!$C$38)</f>
        <v>3.4996222253384484</v>
      </c>
      <c r="CW59" s="19">
        <f>IF(BK59/Basicinfo!G59&lt;Parameters!$C$35,Parameters!$C$36,Parameters!$C$36*(BK59/Basicinfo!G59)^Parameters!$C$38)</f>
        <v>8.224112229545355</v>
      </c>
      <c r="CX59" s="27">
        <f>IF(Basicinfo!AJ59+Basicinfo!AK59=0,0,(Parameters!$C$53*Basicinfo!AJ59+Parameters!$C$54*Basicinfo!AK59)/(Basicinfo!AJ59+Basicinfo!AK59))</f>
        <v>750</v>
      </c>
      <c r="CY59" s="56">
        <f>IF(Basicinfo!AU59*AB59=0,0,((Basicinfo!AZ59+Basicinfo!BA59)/Basicinfo!AU59+Parameters!$C$76/(Basicinfo!AU59*AB59)*100))</f>
        <v>2.8734429906988632</v>
      </c>
      <c r="CZ59" s="43">
        <f>IF(Basicinfo!AU59*AB59=0,0,(Parameters!$C$77)/(Basicinfo!AU59*AB59)*100)</f>
        <v>0.803701851453126</v>
      </c>
      <c r="DA59" s="43">
        <f>IF(AD59+AJ59=0,0,((J59*Parameters!$C$96+Parameters!$C$94/100*S59*100*Parameters!$C$93/1000*86400*Parameters!$C$95/24*Parameters!$C$98)*AI59+AD59*CY59*86400*365)/((AD59+AJ59*AI59/365)*86400*365))</f>
        <v>7.3354290736785543</v>
      </c>
      <c r="DB59" s="43">
        <f>IF(AD59+AJ59=0,0,((J59*Parameters!$C$97+Parameters!$C$94/100*S59*100*Parameters!$C$93/1000*86400*Parameters!$C$95/24*Parameters!$C$99)*AI59+AD59*CZ59*86400*365)/((AD59+AJ59*AI59/365)*86400*365))</f>
        <v>1.5127402430452805</v>
      </c>
      <c r="DC59" s="42">
        <f>IF(AE59+AL59=0,0,((K59*Parameters!$C$96+Parameters!$C$94/100*T59*100*Parameters!$C$93/1000*86400*Parameters!$C$95/24*Parameters!$C$98)*365+AE59*CY59*86400*365)/((AE59+AL59)*86400*365))</f>
        <v>0</v>
      </c>
      <c r="DD59" s="42">
        <f>IF(AE59+AL59=0,0,((K59*Parameters!$C$97+Parameters!$C$94/100*T59*100*Parameters!$C$93/1000*86400*Parameters!$C$95/24*Parameters!$C$99)*365+AE59*CZ59*86400*365)/((AE59+AL59)*86400*365))</f>
        <v>0</v>
      </c>
      <c r="DE59" s="42">
        <f>IF(Basicinfo!AH59+Basicinfo!AI59+Basicinfo!AJ59+Basicinfo!AK59=0,0,((Basicinfo!AH59+Basicinfo!AI59)*Parameters!$C$107+(Basicinfo!AJ59+Basicinfo!AK59)*Parameters!$C$106)/(Basicinfo!AH59+Basicinfo!AI59+Basicinfo!AJ59+Basicinfo!AK59))</f>
        <v>51.805057992233984</v>
      </c>
      <c r="DF59" s="42">
        <f>IF(Basicinfo!AH59+Basicinfo!AI59+Basicinfo!AJ59+Basicinfo!AK59=0,0,((Basicinfo!AH59+Basicinfo!AI59)*Parameters!$C$109+(Basicinfo!AJ59+Basicinfo!AK59)*Parameters!$C$108)/(Basicinfo!AH59+Basicinfo!AI59+Basicinfo!AJ59+Basicinfo!AK59))</f>
        <v>51.805057992233984</v>
      </c>
      <c r="DG59" s="42">
        <f>Intermediate!AC59*Intermediate!CY59*(1-Parameters!$C$102/100*Basicinfo!BZ59/100)*(1-Parameters!$C$104/100*Basicinfo!CA59/100)*86400*365/1000000</f>
        <v>0.10714421571260473</v>
      </c>
      <c r="DH59" s="42">
        <f>Intermediate!AC59*Intermediate!CZ59*(1-Parameters!$C$103/100*Basicinfo!BZ59/100)*(1-Parameters!$C$105/100*Basicinfo!CA59/100)*86400*365/1000000</f>
        <v>2.9968231428099377E-2</v>
      </c>
      <c r="DI59" s="42">
        <f>(Intermediate!AK59*Intermediate!DA59+(Intermediate!AE59+Intermediate!AL59)*Intermediate!DC59)*86400*365/1000000</f>
        <v>0.33421151576372643</v>
      </c>
      <c r="DJ59" s="42">
        <f>(Intermediate!AK59*Intermediate!DB59+(Intermediate!AE59+Intermediate!AL59)*Intermediate!DD59)*86400*365/1000000</f>
        <v>6.8922377206138863E-2</v>
      </c>
      <c r="DK59" s="42">
        <f>((Basicinfo!AZ59+Basicinfo!BA59)*Intermediate!AB59+Parameters!$C$76*100)/1000*Intermediate!U59*(1-Intermediate!DE59/100)+(1-Parameters!$C$110/100)*M59*Parameters!$C$100*(1-DE59/100)*365/1000000+(1-Parameters!$C$112/100)*P59*Parameters!$C$96*365/1000000+(1-Parameters!$C$112/100)*O59*Parameters!$C$96*(1-DE59/100)*365/1000000</f>
        <v>1.1794100605790947</v>
      </c>
      <c r="DL59" s="42">
        <f>Parameters!$C$77*100/1000*Intermediate!U59*(1-Intermediate!DF59/100)+(1-Parameters!$C$111/100)*M59*Parameters!$C$101*(1-DF59/100)*365/1000000+(1-Parameters!$C$113/100)*P59*Parameters!$C$97*365/1000000+(1-Parameters!$C$113/100)*O59*Parameters!$C$97*(1-DF59/100)*365/1000000</f>
        <v>0.17700380672239402</v>
      </c>
      <c r="DM59" s="31"/>
      <c r="DN59" s="31"/>
      <c r="DO59" s="31"/>
      <c r="DP59" s="31"/>
      <c r="DQ59" s="31"/>
      <c r="DR59" s="31"/>
      <c r="DS59" s="31"/>
      <c r="DT59" s="188">
        <f>BO59*(Basicinfo!$P59+Basicinfo!$Q59)/1000</f>
        <v>32.71753708654478</v>
      </c>
      <c r="DU59" s="188">
        <f>DT59*Basicinfo!$AZ59/(Basicinfo!$AZ59+Basicinfo!$BA59)</f>
        <v>18.528668292391167</v>
      </c>
      <c r="DV59" s="188">
        <f>DT59*Basicinfo!$BC59/(Basicinfo!$BB59+Basicinfo!$BC59)</f>
        <v>13.32595551536672</v>
      </c>
      <c r="DW59" s="188">
        <f>BP59*(Basicinfo!$P59+Basicinfo!$Q59)/1000</f>
        <v>43.992527035020707</v>
      </c>
      <c r="DX59" s="188">
        <f>DW59*Basicinfo!$BB59/(Basicinfo!$BB59+Basicinfo!$BC59)</f>
        <v>26.074232735345308</v>
      </c>
      <c r="DY59" s="188">
        <f>DW59*Basicinfo!$BC59/(Basicinfo!$BB59+Basicinfo!$BC59)</f>
        <v>17.918294299675399</v>
      </c>
      <c r="DZ59" s="188">
        <f t="shared" si="38"/>
        <v>55.006272190005255</v>
      </c>
      <c r="EA59" s="188">
        <f>DZ59*Basicinfo!$AZ59/(Basicinfo!$AZ59+Basicinfo!$BA59)</f>
        <v>31.151274275738064</v>
      </c>
      <c r="EB59" s="188">
        <f>DZ59*Basicinfo!$BC59/(Basicinfo!$BB59+Basicinfo!$BC59)</f>
        <v>22.404227259869675</v>
      </c>
      <c r="EC59" s="188">
        <f t="shared" si="39"/>
        <v>73.962319046615931</v>
      </c>
      <c r="ED59" s="188">
        <f>EC59*Basicinfo!$AZ59/(Basicinfo!$AZ59+Basicinfo!$BA59)</f>
        <v>41.886504846794963</v>
      </c>
      <c r="EE59" s="188">
        <f>EC59*Basicinfo!$BC59/(Basicinfo!$BB59+Basicinfo!$BC59)</f>
        <v>30.125084624230603</v>
      </c>
      <c r="EF59" s="190">
        <f>(Basicinfo!BP59-BL59/100)*Intermediate!X59/10</f>
        <v>187.87392205159682</v>
      </c>
      <c r="EG59" s="191">
        <f>(Basicinfo!BQ59-BM59/100)*Intermediate!X59/10</f>
        <v>61.790995325990309</v>
      </c>
      <c r="EH59" s="197">
        <f>IF(AU59=0,0,$BS59*((Basicinfo!$P59+Basicinfo!$Q59)*Intermediate!$AT59*1000+$AW59*3600*24*365)/1000000*Basicinfo!AZ59/(Basicinfo!$AZ59+Basicinfo!$BA59))</f>
        <v>1.4152598657859417</v>
      </c>
      <c r="EI59" s="197">
        <f>IF(AU59=0,0,$BS59*((Basicinfo!$P59+Basicinfo!$Q59)*Intermediate!$AT59*1000+$AW59*3600*24*365)/1000000*Basicinfo!BA59/(Basicinfo!$AZ59+Basicinfo!$BA59))</f>
        <v>1.0837765687410164</v>
      </c>
      <c r="EJ59" s="198">
        <f>IF(AU59=0,0,$BS59*($AT59*$X59*1000)/1000000*Basicinfo!AZ59/(Basicinfo!$AZ59+Basicinfo!$BA59))</f>
        <v>2.3794018844110112</v>
      </c>
      <c r="EK59" s="198">
        <f>IF(AU59=0,0,$BS59*($AT59*$X59*1000)/1000000*Basicinfo!BA59/(Basicinfo!$AZ59+Basicinfo!$BA59))</f>
        <v>1.8220964730818627</v>
      </c>
      <c r="EL59" s="147">
        <f>Parameters!$C$150/Basicinfo!$AV59*100</f>
        <v>0.12356412688342693</v>
      </c>
      <c r="EM59" s="147">
        <f>Parameters!$C$151/Basicinfo!$AV59*100</f>
        <v>0.24712825376685385</v>
      </c>
      <c r="EN59" s="147">
        <f>(Parameters!$C$150+Parameters!$C$151)/Intermediate!$BB59*100</f>
        <v>0.97777351080548303</v>
      </c>
      <c r="EO59" s="193">
        <f>IF(EN59=0,0,(1/(1+Parameters!$C$116*$BB59^Parameters!$C$120)*Basicinfo!$AH59/Basicinfo!$G59+1/(1+Parameters!$C$117*$BB59^Parameters!$C$121)*Basicinfo!$AI59/Basicinfo!$G59)*(EN59)^Parameters!$C$124+(1/(1+Parameters!$C$118*$BB59^Parameters!$C$122)*Basicinfo!$AJ59/Basicinfo!AW59+1/(1+Parameters!$C$119*$BB59^Parameters!$C$123)*Basicinfo!$AK59/Basicinfo!$G59)*(EN59)^Parameters!$C$125)</f>
        <v>0.27519440693191555</v>
      </c>
      <c r="EP59" s="199">
        <f>EL59*($AT59*Basicinfo!$P59*1000+$AW59*3600*24*365)/1000000</f>
        <v>0.19451172241177883</v>
      </c>
      <c r="EQ59" s="199">
        <f>EM59*($AT59*Basicinfo!$P59*1000+$AW59*3600*24*365)/1000000</f>
        <v>0.38902344482355766</v>
      </c>
      <c r="ER59" s="199">
        <f t="shared" si="40"/>
        <v>0.32702231585546859</v>
      </c>
      <c r="ES59" s="199">
        <f t="shared" si="41"/>
        <v>0.65404463171093719</v>
      </c>
      <c r="ET59" s="181">
        <f t="shared" ref="ET59:ET71" si="48">EO59*BA59/1000000*365*24*3600</f>
        <v>4.9269732594404525</v>
      </c>
      <c r="EU59" s="147">
        <f>Intermediate!F59*(Parameters!$C$150)/1000*100</f>
        <v>1.7996400559196865E-2</v>
      </c>
      <c r="EV59" s="147">
        <f>Intermediate!F59*(Parameters!$C$151)/1000*100</f>
        <v>3.599280111839373E-2</v>
      </c>
      <c r="EW59" s="181">
        <f>'Local emissions'!$S59*Basicinfo!AZ59/(Basicinfo!$AZ59+Basicinfo!$BA59)-Intermediate!EU59</f>
        <v>0.11917697978690987</v>
      </c>
      <c r="EX59" s="147">
        <f>'Local emissions'!$S59*Basicinfo!BA59/(Basicinfo!$AZ59+Basicinfo!$BA59)-Intermediate!EV59</f>
        <v>6.9051720434226652E-2</v>
      </c>
      <c r="EY59" s="188">
        <f t="shared" ref="EY59:EY71" si="49">EH59-EP59</f>
        <v>1.2207481433741627</v>
      </c>
      <c r="EZ59" s="188">
        <f t="shared" ref="EZ59:EZ71" si="50">EI59-EQ59</f>
        <v>0.69475312391745869</v>
      </c>
      <c r="FA59" s="188">
        <f t="shared" ref="FA59:FA71" si="51">EJ59-ER59</f>
        <v>2.0523795685555424</v>
      </c>
      <c r="FB59" s="181">
        <f t="shared" ref="FB59:FB71" si="52">IF(EK59-ES59&lt;0,0,EK59-ES59)</f>
        <v>1.1680518413709255</v>
      </c>
      <c r="FC59" s="181">
        <f>'Local emissions'!Y59-Intermediate!ET59</f>
        <v>23.85310355574687</v>
      </c>
      <c r="FD59" s="188">
        <f t="shared" ref="FD59:FD71" si="53">FC59*DX59/($DW59+$EC59+$EG59)</f>
        <v>3.4601711433333113</v>
      </c>
      <c r="FE59" s="188">
        <f t="shared" ref="FE59:FE71" si="54">FC59*DY59/($DW59+$EC59+$EG59)</f>
        <v>2.3778404336111136</v>
      </c>
      <c r="FF59" s="181">
        <f t="shared" ref="FF59:FF71" si="55">FC59*ED59/2/(DW59+EC59+EG59)</f>
        <v>2.7792663515176566</v>
      </c>
      <c r="FG59" s="201">
        <f t="shared" ref="FG59:FG71" si="56">FC59*EE59/2/(DW59+EC59+EG59)</f>
        <v>1.9988689516822384</v>
      </c>
      <c r="FH59" s="181">
        <f t="shared" ref="FH59:FH71" si="57">FC59-FD59-FE59-FF59-FG59</f>
        <v>13.236956675602551</v>
      </c>
      <c r="FJ59" s="147">
        <f>AVERAGE(Parameters!$C$132:$C$134)*'Local emissions'!J59*3600*24*365/1000000</f>
        <v>8.9518048610984467E-3</v>
      </c>
      <c r="FK59" s="147">
        <f>'Local emissions'!AJ59+CT59*BJ59/100*Intermediate!X59*100/1000000</f>
        <v>0.13994928240136767</v>
      </c>
      <c r="FL59" s="31">
        <f>(Parameters!$C$18*(Basicinfo!AH59+Basicinfo!AI59)+Parameters!$C$19*Basicinfo!AJ59+Parameters!$C$20*Basicinfo!AK59)/Basicinfo!G59</f>
        <v>2.5451264498058498E-2</v>
      </c>
      <c r="FM59" s="181">
        <f t="shared" si="32"/>
        <v>0.10956369315804196</v>
      </c>
    </row>
    <row r="60" spans="1:169">
      <c r="A60" s="39" t="str">
        <f>Basicinfo!A60</f>
        <v>Maltsch</v>
      </c>
      <c r="B60" s="63">
        <f>Basicinfo!B60</f>
        <v>3660</v>
      </c>
      <c r="C60" s="63">
        <f>Basicinfo!C60</f>
        <v>0</v>
      </c>
      <c r="D60" s="61">
        <f>Basicinfo!U60*Basicinfo!V60/1000+Basicinfo!Y60</f>
        <v>0.3147590791144384</v>
      </c>
      <c r="E60" s="19">
        <f>Basicinfo!W60*Basicinfo!X60/1000+Basicinfo!Z60</f>
        <v>0</v>
      </c>
      <c r="F60" s="19">
        <f t="shared" si="43"/>
        <v>0.3147590791144384</v>
      </c>
      <c r="G60" s="19">
        <f>SUM(Basicinfo!H60:L60)</f>
        <v>14.951100644006415</v>
      </c>
      <c r="H60" s="19">
        <f>IF(Basicinfo!N60&lt;Parameters!$C$68,Parameters!$C$69,Basicinfo!BS60/(Basicinfo!N60*100))</f>
        <v>12.527566822280853</v>
      </c>
      <c r="I60" s="19">
        <f>IF(Basicinfo!N60=0,0,Basicinfo!BU60*(1-Basicinfo!BX60/100))</f>
        <v>929.20203701052276</v>
      </c>
      <c r="J60" s="19">
        <f>IF(Basicinfo!N60=0,0,Basicinfo!BU60*Basicinfo!BX60/100)</f>
        <v>1725.6609258766853</v>
      </c>
      <c r="K60" s="19">
        <f>IF(Basicinfo!N60=0,0,Basicinfo!BT60-Basicinfo!BU60)</f>
        <v>0</v>
      </c>
      <c r="L60" s="27">
        <f>Basicinfo!BV60*Basicinfo!BW60/100</f>
        <v>425.76000000000005</v>
      </c>
      <c r="M60" s="27">
        <f>Basicinfo!BV60-Intermediate!L60</f>
        <v>425.76000000000005</v>
      </c>
      <c r="N60" s="73">
        <f>Basicinfo!BS60-SUM(I60:K60)-Basicinfo!BV60</f>
        <v>0</v>
      </c>
      <c r="O60" s="19">
        <f>IF(Basicinfo!AH60+Basicinfo!AI60+Basicinfo!AJ60+Basicinfo!AK60=0,0,N60*(Basicinfo!AH60+Basicinfo!AI60)/SUM(Basicinfo!AH60:AK60))</f>
        <v>0</v>
      </c>
      <c r="P60" s="73">
        <f t="shared" si="25"/>
        <v>0</v>
      </c>
      <c r="Q60" s="19">
        <f>IF(Basicinfo!BS60=0,Basicinfo!N60,IF(H60&gt;Parameters!$C$70,Parameters!$C$64*(Parameters!$C$65*Parameters!$C$70)^(Parameters!$C$66-Parameters!$C$67*LOG(Parameters!$C$65*Parameters!$C$70,10))/100*Basicinfo!N60,Parameters!$C$64*(Parameters!$C$65*H60)^(Parameters!$C$66-Parameters!$C$67*LOG(Parameters!$C$65*H60,10))/100*Basicinfo!N60))</f>
        <v>0.65132108851028103</v>
      </c>
      <c r="R60" s="19">
        <f>IF(Basicinfo!BS60=0,Q60*(1-Basicinfo!BX60/100),IF(H60&lt;Parameters!$C$75,Q60*Basicinfo!BU60/Basicinfo!BS60*(1-Basicinfo!BX60/100)*(-Parameters!$C$74+Parameters!$C$73*LN(H60*100)),Q60*Basicinfo!BU60/Basicinfo!BS60*(1-Basicinfo!BX60/100)))</f>
        <v>9.0380942878023507E-2</v>
      </c>
      <c r="S60" s="19">
        <f>IF(Basicinfo!BS60=0,Q60*Basicinfo!BX60/100,Q60*Basicinfo!BU60/Basicinfo!BS60*Basicinfo!BX60/100)</f>
        <v>0.32054666148508126</v>
      </c>
      <c r="T60" s="19">
        <f>IF(Basicinfo!BS60=0,0,IF(H60&lt;Parameters!$C$75,Q60*K60/Basicinfo!BS60*(-Parameters!$C$74+Parameters!$C$73*LN(H60*100)),Q60*K60/Basicinfo!BS60))</f>
        <v>0</v>
      </c>
      <c r="U60" s="19">
        <f t="shared" si="26"/>
        <v>0.24039348414717632</v>
      </c>
      <c r="V60" s="19">
        <f>IF(Basicinfo!AL60&gt;Parameters!$C$14,Basicinfo!Q60,0)</f>
        <v>0</v>
      </c>
      <c r="W60" s="19">
        <f>IF(Basicinfo!AL60&gt;Parameters!$C$14,0,Basicinfo!Q60)</f>
        <v>0</v>
      </c>
      <c r="X60" s="19">
        <f>G60+Basicinfo!M60</f>
        <v>42.680175034497076</v>
      </c>
      <c r="Y60" s="19">
        <f>IF(Basicinfo!G60-F60-Q60-V60-Basicinfo!O60-Basicinfo!R60-Basicinfo!S60&lt;0,0,Basicinfo!G60-F60-Q60-V60-Basicinfo!O60-Basicinfo!R60-Basicinfo!S60)</f>
        <v>96.041919832375271</v>
      </c>
      <c r="Z60" s="19">
        <f>Basicinfo!G60-F60-Basicinfo!BO60-Q60-Basicinfo!O60</f>
        <v>91.231207587421309</v>
      </c>
      <c r="AA60" s="53">
        <f>IF(Z60+Basicinfo!BO60-X60&gt;0,Z60+Basicinfo!BO60-X60,0)</f>
        <v>53.361744797878195</v>
      </c>
      <c r="AB60" s="56">
        <f>IF(Basicinfo!N60=0,0,Parameters!$C$71+Parameters!$C$72*Q60/Basicinfo!N60)</f>
        <v>0.32452746631149393</v>
      </c>
      <c r="AC60" s="43">
        <f>Basicinfo!AU60*AB60*R60/1000/86.4/0.365</f>
        <v>9.0032863861654088E-4</v>
      </c>
      <c r="AD60" s="43">
        <f>Basicinfo!AU60*AB60*S60/1000/86.4/0.365</f>
        <v>3.193121582471497E-3</v>
      </c>
      <c r="AE60" s="43">
        <f>Basicinfo!AU60*AB60*T60/1000/86.4/0.365</f>
        <v>0</v>
      </c>
      <c r="AF60" s="43">
        <f>Basicinfo!AU60*AB60*U60/1000/86.4/0.365</f>
        <v>2.3946767031033135E-3</v>
      </c>
      <c r="AG60" s="43">
        <f>((Parameters!$C$80+Parameters!$C$81*Parameters!$C$89)/(Parameters!$C$82+Parameters!$C$89)/(Parameters!$C$90/100*Parameters!$C$91+(Parameters!$C$83+Parameters!$C$84*Parameters!$C$89)/(Parameters!$C$85+Parameters!$C$89)))-Parameters!$C$86+(Basicinfo!AU60-Parameters!$C$88)/Parameters!$C$87</f>
        <v>75.588888274633646</v>
      </c>
      <c r="AH60" s="43">
        <f>((Parameters!$C$80+Parameters!$C$81*Parameters!$C$89)/(Parameters!$C$82+Parameters!$C$89)/(Basicinfo!BY60/100*Parameters!$C$91+(Parameters!$C$83+Parameters!$C$84*Parameters!$C$89)/(Parameters!$C$85+Parameters!$C$89)))-Parameters!$C$86+(Basicinfo!AU60-Parameters!$C$88)/Parameters!$C$87</f>
        <v>57.786006408018075</v>
      </c>
      <c r="AI60" s="43">
        <f>Basicinfo!AU60^Parameters!$C$79*Parameters!$C$78*AH60/AG60</f>
        <v>26.745106521120597</v>
      </c>
      <c r="AJ60" s="43">
        <f>(J60*Parameters!$C$92/1000+Parameters!$C$94/100*S60*100*Parameters!$C$93/1000*86400*Parameters!$C$95/24)/86400</f>
        <v>2.6071654484843298E-3</v>
      </c>
      <c r="AK60" s="43">
        <f t="shared" si="44"/>
        <v>1.955570748603822E-3</v>
      </c>
      <c r="AL60" s="43">
        <f>(K60*Parameters!$C$92/1000+Parameters!$C$94/100*T60*100*Parameters!$C$93/1000*86400*Parameters!$C$95/24)/86400</f>
        <v>0</v>
      </c>
      <c r="AM60" s="43">
        <f>(Intermediate!N60+Basicinfo!BV60-Intermediate!L60)*Parameters!$C$92/1000/86400</f>
        <v>6.4061111111111111E-4</v>
      </c>
      <c r="AN60" s="43">
        <f t="shared" si="45"/>
        <v>2.7455060808793284E-3</v>
      </c>
      <c r="AO60" s="43">
        <f t="shared" si="27"/>
        <v>1.955570748603822E-3</v>
      </c>
      <c r="AP60" s="43">
        <f t="shared" si="28"/>
        <v>3.0352878142144244E-3</v>
      </c>
      <c r="AQ60" s="43">
        <f t="shared" si="33"/>
        <v>5.8911872014347872E-3</v>
      </c>
      <c r="AR60" s="61">
        <f>(Basicinfo!AU60-Basicinfo!AY60)*F60/1000/86.4/0.365</f>
        <v>3.3262066541541223E-3</v>
      </c>
      <c r="AS60" s="19">
        <f>IF(Basicinfo!AP60-Basicinfo!CB60-Basicinfo!CG60&lt;0,0,(Basicinfo!AP60-Basicinfo!CB60-Basicinfo!CG60)/Basicinfo!G60*1000)</f>
        <v>11.820498728487028</v>
      </c>
      <c r="AT60" s="19">
        <f>Parameters!$C$3*((AS60*86.4*0.365)^Parameters!$C$4)</f>
        <v>68.184236710390962</v>
      </c>
      <c r="AU60" s="19">
        <f>IF(AT60/86.4/0.365*(Basicinfo!G60/1000)-AN60&lt;0,0,AT60/86.4/0.365*(Basicinfo!G60/1000)-AN60)</f>
        <v>0.20699626316067335</v>
      </c>
      <c r="AV60" s="19">
        <f>IF(Basicinfo!AU60&gt;Parameters!$C$13,Parameters!$C$11*(Basicinfo!AU60-Parameters!$C$13)^Parameters!$C$12,0)</f>
        <v>86.548460281595766</v>
      </c>
      <c r="AW60" s="19">
        <f>IF(AV60*V60/1000/86.4/0.365&gt;Basicinfo!AP60*Parameters!$C$15,Basicinfo!AP60*Parameters!$C$15,AV60*V60/1000/86.4/0.365)</f>
        <v>0</v>
      </c>
      <c r="AX60" s="19">
        <f>Basicinfo!AU60-Basicinfo!AW60</f>
        <v>321.18206939028562</v>
      </c>
      <c r="AY60" s="19">
        <f>Parameters!$C$56*AX60+Parameters!$C$57*Basicinfo!AW60</f>
        <v>225.27371657725712</v>
      </c>
      <c r="AZ60" s="19">
        <f>AY60*Basicinfo!BO60/1000/86.4/0.365</f>
        <v>3.4364758587154313E-2</v>
      </c>
      <c r="BA60" s="19">
        <f>IF(Basicinfo!AP60-AQ60-AR60-AU60-AW60-AZ60-Basicinfo!CB60-Basicinfo!CG60&lt;0,0,Basicinfo!AP60-AQ60-AR60-AU60-AW60-AZ60-Basicinfo!CB60-Basicinfo!CG60)</f>
        <v>0.8961045250496531</v>
      </c>
      <c r="BB60" s="53">
        <f t="shared" si="34"/>
        <v>309.75751663581184</v>
      </c>
      <c r="BC60" s="56">
        <f>IF(G60=0,0,((Basicinfo!H60*Basicinfo!BE60+Basicinfo!I60*Basicinfo!BF60+Basicinfo!J60*Basicinfo!BG60+Basicinfo!K60*Basicinfo!BH60+Basicinfo!L60*Basicinfo!BI60)*(1-Basicinfo!BN60/G60*Parameters!$C$26/100)/G60)*Basicinfo!BM60)</f>
        <v>1.221947791882813</v>
      </c>
      <c r="BD60" s="43">
        <f>IF(Basicinfo!AW60*Parameters!$C$39-Parameters!$C$40&lt;0,0.001,(Basicinfo!AW60*Parameters!$C$39-Parameters!$C$40)/(Basicinfo!AX60*Parameters!$C$39-Parameters!$C$40))</f>
        <v>1.1721958585723733</v>
      </c>
      <c r="BE60" s="43">
        <f>(BC60*G60*100+Basicinfo!BJ60*Basicinfo!M60*100)*Parameters!$C$29*BD60</f>
        <v>2355.2606805406363</v>
      </c>
      <c r="BF60" s="43">
        <f>(Basicinfo!BK60*Basicinfo!P60*100)*BD60*Parameters!$C$29</f>
        <v>579.90491045685985</v>
      </c>
      <c r="BG60" s="43">
        <f>Parameters!$C$27*(V60+W60)*100</f>
        <v>0</v>
      </c>
      <c r="BH60" s="43">
        <f>Parameters!$C$28*Basicinfo!R60*100</f>
        <v>0</v>
      </c>
      <c r="BI60" s="43">
        <f t="shared" si="46"/>
        <v>579.90491045685985</v>
      </c>
      <c r="BJ60" s="43">
        <f>IF(Basicinfo!AM60&lt;Parameters!$C$33,0,Parameters!$C$30*(((Basicinfo!AM60-Parameters!$C$33)^Parameters!$C$31)*(((G60-Basicinfo!BN60)/Basicinfo!G60*100+Parameters!$C$34))^Parameters!$C$32))</f>
        <v>2.0922519800607677</v>
      </c>
      <c r="BK60" s="58">
        <f t="shared" si="47"/>
        <v>629.18289868106399</v>
      </c>
      <c r="BL60" s="61">
        <f>Basicinfo!AZ60+Basicinfo!BA60</f>
        <v>1340.7981270018072</v>
      </c>
      <c r="BM60" s="19">
        <f>Basicinfo!BB60+Basicinfo!BC60</f>
        <v>1800.7538804916385</v>
      </c>
      <c r="BN60" s="172">
        <f>IF(Basicinfo!AO60=0,0,IF(Basicinfo!AO60="NA",1,IF(OR(Basicinfo!AO60="SA",Basicinfo!AN60="S"),3,IF(Basicinfo!AN60="N",1,IF(Basicinfo!AO60="ZA",2,0)))))</f>
        <v>0</v>
      </c>
      <c r="BO60" s="27">
        <f>IF($BN60=1,(BL60)*(1+Parameters!$C$21*Parameters!$C$22-Parameters!$C$22*Basicinfo!$AL60),IF($BN60=2,(BL60)*(1+Parameters!$C$21*Parameters!$C$23-Parameters!$C$23*Basicinfo!$AL60),IF($BN60=3,(BL60)*(1+Parameters!$C$21*Parameters!$C$24-Parameters!$C$24*Basicinfo!$AL60),BL60)))</f>
        <v>1340.7981270018072</v>
      </c>
      <c r="BP60" s="27">
        <f>IF($BN60=1,(BM60)*(1+Parameters!$C$21*Parameters!$C$22-Parameters!$C$22*Basicinfo!$AL60),IF($BN60=2,(BM60)*(1+Parameters!$C$21*Parameters!$C$23-Parameters!$C$23*Basicinfo!$AL60),IF($BN60=3,(BM60)*(1+Parameters!$C$21*Parameters!$C$24-Parameters!$C$24*Basicinfo!$AL60),BM60)))</f>
        <v>1800.7538804916385</v>
      </c>
      <c r="BQ60" s="27">
        <f>IF(Basicinfo!AU60=0,0,IF(G60+Basicinfo!M60=0,0,(Parameters!$C$16+BO60/Basicinfo!AU60)*G60+(Parameters!$C$17+BO60/Basicinfo!AU60)*Basicinfo!M60)/(G60+Basicinfo!M60))</f>
        <v>1.4902009680385411</v>
      </c>
      <c r="BR60" s="27">
        <f>IF(Basicinfo!AU60=0,0,IF(G60+Basicinfo!M60=0,0,(Parameters!$C$16+BP60/Basicinfo!AU60)*G60+(Parameters!$C$17+BP60/Basicinfo!AU60)*Basicinfo!M60)/(G60+Basicinfo!M60))</f>
        <v>1.9653575074993332</v>
      </c>
      <c r="BS60" s="27">
        <f>IF(Basicinfo!AU60=0,0,BO60/Basicinfo!AU60)</f>
        <v>1.3851093139022455</v>
      </c>
      <c r="BT60" s="27">
        <f>IF(Basicinfo!AU60=0,0,BP60/Basicinfo!AU60)</f>
        <v>1.8602658533630378</v>
      </c>
      <c r="BU60" s="27">
        <f>IF(SUM(G60,Basicinfo!M60,Basicinfo!P60,W60)=0,0,(BQ60*(G60+Basicinfo!M60)+BS60*(Basicinfo!P60+W60))/SUM(G60,Basicinfo!M60,Basicinfo!P60,W60))</f>
        <v>1.4328793047410813</v>
      </c>
      <c r="BV60" s="19">
        <f>IF(Basicinfo!BR60/Parameters!$C$10&gt;1,1,Basicinfo!BR60/Parameters!$C$10)</f>
        <v>0.41436477492085572</v>
      </c>
      <c r="BW60" s="19">
        <f>Parameters!$C$5+Parameters!$C$6*EXP(BV60*Parameters!$C$8*Parameters!$C$7)</f>
        <v>3.5200160949141537E-2</v>
      </c>
      <c r="BX60" s="19">
        <f>Parameters!$C$5+Parameters!$C$6*EXP(BV60*Parameters!$C$9*Parameters!$C$7)</f>
        <v>3.5105304524664913E-2</v>
      </c>
      <c r="BY60" s="19">
        <f>IF(Basicinfo!AH60+Basicinfo!AI60+Basicinfo!AJ60+Basicinfo!AK60=0,0,(Parameters!$C$18*(Basicinfo!AH60+Basicinfo!AI60)+Parameters!$C$19*Basicinfo!AJ60+Parameters!$C$20*Basicinfo!AK60)/(Basicinfo!AH60+Basicinfo!AI60+Basicinfo!AJ60+Basicinfo!AK60))</f>
        <v>2.5267598056476152E-2</v>
      </c>
      <c r="BZ60" s="19">
        <f>IF(Basicinfo!AJ60+Basicinfo!AK60=0,Parameters!$C$18,(Parameters!$C$19*Basicinfo!AJ60+Parameters!$C$20*Basicinfo!AK60)/(Basicinfo!AJ60+Basicinfo!AK60))</f>
        <v>2.5000000000000001E-2</v>
      </c>
      <c r="CA60" s="19">
        <f>IF(SUM(G60,Basicinfo!M60,Basicinfo!P60,W60)=0,0,(BW60*G60+BX60*Basicinfo!M60+BY60*Basicinfo!P60+BZ60*W60)/(SUM(G60,Basicinfo!M60,Basicinfo!P60,W60)))</f>
        <v>2.9754486076200435E-2</v>
      </c>
      <c r="CB60" s="19">
        <f>IF(Y60=0,Basicinfo!BP60,Basicinfo!BP60-(AU60*X60/Y60*Intermediate!BQ60*86400*365/1000000)*1000/(X60*100))</f>
        <v>51.427019675272348</v>
      </c>
      <c r="CC60" s="19">
        <f>IF(Y60=0,Basicinfo!BQ60,Basicinfo!BQ60-(AU60*Basicinfo!AV60/Basicinfo!AU60*X60/Y60*Intermediate!BR60*86400*365/1000000)*1000/(X60*100))</f>
        <v>49.179902789869416</v>
      </c>
      <c r="CD60" s="19">
        <f>IF(OR(Y60=0,AA60=0),BP60/100,BP60/100-(AU60*Basicinfo!AV60/Basicinfo!AU60*(Basicinfo!P60+W60)/Y60*Intermediate!BT60*86400*365/1000000+AW60*Basicinfo!AV60/Basicinfo!AU60*Intermediate!BT60*86400*365/1000000)*1000/(AA60*100))</f>
        <v>16.901426327831707</v>
      </c>
      <c r="CE60" s="19">
        <f t="shared" si="35"/>
        <v>186241.64986943075</v>
      </c>
      <c r="CF60" s="19">
        <f t="shared" si="36"/>
        <v>90188.959842589524</v>
      </c>
      <c r="CG60" s="19">
        <f>IF(AY60=0,0,((CB60^Parameters!$C$58))/AY60*100)</f>
        <v>12.64160246068502</v>
      </c>
      <c r="CH60" s="19">
        <f>IF(SUM(Basicinfo!AB60:AG60)=0,0,(Parameters!$C$59*Basicinfo!AB60+Parameters!$C$60*SUM(Basicinfo!AC60:AE60)+Parameters!$C$61*Basicinfo!AF60+Parameters!$C$62*Basicinfo!AG60)/SUM(Basicinfo!AB60:AG60))</f>
        <v>0.19789613885260859</v>
      </c>
      <c r="CI60" s="19">
        <f t="shared" si="31"/>
        <v>10</v>
      </c>
      <c r="CJ60" s="19">
        <f t="shared" si="37"/>
        <v>30.300005559734991</v>
      </c>
      <c r="CK60" s="19">
        <f t="shared" si="42"/>
        <v>9.7818467454203279</v>
      </c>
      <c r="CL60" s="19">
        <f>IF($BB60=0,0,$CJ60^Parameters!$C$58*100/$BB60)</f>
        <v>5.8641415939168731</v>
      </c>
      <c r="CM60" s="19">
        <f>IF(CK60=0,0,(1/(1+Parameters!$C$116*BB60^Parameters!$C$120)*Basicinfo!AH60/Basicinfo!G60+1/(1+Parameters!$C$117*BB60^Parameters!$C$121)*Basicinfo!AI60/Basicinfo!G60)*(CK60)^Parameters!$C$124+(1/(1+Parameters!$C$118*BB60^Parameters!$C$122)*Basicinfo!AJ60/Basicinfo!G60+1/(1+Parameters!$C$119*BB60^Parameters!$C$123)*Basicinfo!AK60/Basicinfo!G60)*(CK60)^Parameters!$C$125)</f>
        <v>1.8388308376864178</v>
      </c>
      <c r="CN60" s="19">
        <f>IF(SUM(Basicinfo!AB60:AG60)=0,0,(Parameters!$C$128*Basicinfo!AB60+Parameters!$C$129*(SUM(Basicinfo!AC60:AE60))+Parameters!$C$130*Basicinfo!AF60+Parameters!$C$131*Basicinfo!AG60)/SUM(Basicinfo!AB60:AG60))</f>
        <v>3.2828960723971491E-2</v>
      </c>
      <c r="CO60" s="19">
        <f>IF(Basicinfo!AH60+Basicinfo!AI60+Basicinfo!AJ60+Basicinfo!AK60=0,0,(Parameters!$C$132*(Basicinfo!AH60+Basicinfo!AI60)+Parameters!$C$133*Basicinfo!AJ60+Parameters!$C$134*Basicinfo!AK60)/(Basicinfo!AH60+Basicinfo!AI60+Basicinfo!AJ60+Basicinfo!AK60))</f>
        <v>5.0000000000000001E-4</v>
      </c>
      <c r="CP60" s="19">
        <f>IF(Basicinfo!AJ60+Basicinfo!AK60=0,0,(Parameters!$C$133*Basicinfo!AJ60+Parameters!$C$134*Basicinfo!AK60)/(Basicinfo!AJ60+Basicinfo!AK60))</f>
        <v>5.0000000000000001E-4</v>
      </c>
      <c r="CQ60" s="19">
        <f>IF(Z60=0,0,(CN60*(Z60-AA60)+CO60*Basicinfo!P60+CP60*(Basicinfo!Q60+Basicinfo!R60))/Z60)</f>
        <v>1.3907764746031556E-2</v>
      </c>
      <c r="CR60" s="289">
        <f>Basicinfo!EI60</f>
        <v>3.3987257894736847E-2</v>
      </c>
      <c r="CS60" s="19">
        <f>IF(SUM(Basicinfo!AB60:AG60)=0,0,(Basicinfo!AB60*Parameters!$C$43+(Basicinfo!AC60+Basicinfo!AD60)*Parameters!$C$44+Basicinfo!AE60*Parameters!$C$45+(Basicinfo!AF60+Basicinfo!AG60)*Parameters!$C$46)/SUM(Basicinfo!AB60:AG60))</f>
        <v>5.1799395716515102</v>
      </c>
      <c r="CT60" s="19">
        <f>(Parameters!$C$41*CS60+Parameters!$C$42)</f>
        <v>327.8353836308454</v>
      </c>
      <c r="CU60" s="19">
        <f>CT60+Basicinfo!BR60/(Parameters!$C$47*Parameters!$C$49*Parameters!$C$48*10000/1000000)</f>
        <v>473.77517857152418</v>
      </c>
      <c r="CV60" s="19">
        <f>IF(BK60/Basicinfo!G60&lt;Parameters!$C$35,Parameters!$C$35,Parameters!$C$37*(BK60/Basicinfo!G60)^Parameters!$C$38)</f>
        <v>3.1811126164653651</v>
      </c>
      <c r="CW60" s="19">
        <f>IF(BK60/Basicinfo!G60&lt;Parameters!$C$35,Parameters!$C$36,Parameters!$C$36*(BK60/Basicinfo!G60)^Parameters!$C$38)</f>
        <v>7.4756146486936084</v>
      </c>
      <c r="CX60" s="27">
        <f>IF(Basicinfo!AJ60+Basicinfo!AK60=0,0,(Parameters!$C$53*Basicinfo!AJ60+Parameters!$C$54*Basicinfo!AK60)/(Basicinfo!AJ60+Basicinfo!AK60))</f>
        <v>750</v>
      </c>
      <c r="CY60" s="56">
        <f>IF(Basicinfo!AU60*AB60=0,0,((Basicinfo!AZ60+Basicinfo!BA60)/Basicinfo!AU60+Parameters!$C$76/(Basicinfo!AU60*AB60)*100))</f>
        <v>2.6584047640447692</v>
      </c>
      <c r="CZ60" s="43">
        <f>IF(Basicinfo!AU60*AB60=0,0,(Parameters!$C$77)/(Basicinfo!AU60*AB60)*100)</f>
        <v>0.7958096563390773</v>
      </c>
      <c r="DA60" s="43">
        <f>IF(AD60+AJ60=0,0,((J60*Parameters!$C$96+Parameters!$C$94/100*S60*100*Parameters!$C$93/1000*86400*Parameters!$C$95/24*Parameters!$C$98)*AI60+AD60*CY60*86400*365)/((AD60+AJ60*AI60/365)*86400*365))</f>
        <v>7.6982756264119132</v>
      </c>
      <c r="DB60" s="43">
        <f>IF(AD60+AJ60=0,0,((J60*Parameters!$C$97+Parameters!$C$94/100*S60*100*Parameters!$C$93/1000*86400*Parameters!$C$95/24*Parameters!$C$99)*AI60+AD60*CZ60*86400*365)/((AD60+AJ60*AI60/365)*86400*365))</f>
        <v>1.5951870421648218</v>
      </c>
      <c r="DC60" s="42">
        <f>IF(AE60+AL60=0,0,((K60*Parameters!$C$96+Parameters!$C$94/100*T60*100*Parameters!$C$93/1000*86400*Parameters!$C$95/24*Parameters!$C$98)*365+AE60*CY60*86400*365)/((AE60+AL60)*86400*365))</f>
        <v>0</v>
      </c>
      <c r="DD60" s="42">
        <f>IF(AE60+AL60=0,0,((K60*Parameters!$C$97+Parameters!$C$94/100*T60*100*Parameters!$C$93/1000*86400*Parameters!$C$95/24*Parameters!$C$99)*365+AE60*CZ60*86400*365)/((AE60+AL60)*86400*365))</f>
        <v>0</v>
      </c>
      <c r="DE60" s="42">
        <f>IF(Basicinfo!AH60+Basicinfo!AI60+Basicinfo!AJ60+Basicinfo!AK60=0,0,((Basicinfo!AH60+Basicinfo!AI60)*Parameters!$C$107+(Basicinfo!AJ60+Basicinfo!AK60)*Parameters!$C$106)/(Basicinfo!AH60+Basicinfo!AI60+Basicinfo!AJ60+Basicinfo!AK60))</f>
        <v>51.070392225904598</v>
      </c>
      <c r="DF60" s="42">
        <f>IF(Basicinfo!AH60+Basicinfo!AI60+Basicinfo!AJ60+Basicinfo!AK60=0,0,((Basicinfo!AH60+Basicinfo!AI60)*Parameters!$C$109+(Basicinfo!AJ60+Basicinfo!AK60)*Parameters!$C$108)/(Basicinfo!AH60+Basicinfo!AI60+Basicinfo!AJ60+Basicinfo!AK60))</f>
        <v>51.070392225904598</v>
      </c>
      <c r="DG60" s="42">
        <f>Intermediate!AC60*Intermediate!CY60*(1-Parameters!$C$102/100*Basicinfo!BZ60/100)*(1-Parameters!$C$104/100*Basicinfo!CA60/100)*86400*365/1000000</f>
        <v>7.5479458942196598E-2</v>
      </c>
      <c r="DH60" s="42">
        <f>Intermediate!AC60*Intermediate!CZ60*(1-Parameters!$C$103/100*Basicinfo!BZ60/100)*(1-Parameters!$C$105/100*Basicinfo!CA60/100)*86400*365/1000000</f>
        <v>2.2595235719505877E-2</v>
      </c>
      <c r="DI60" s="42">
        <f>(Intermediate!AK60*Intermediate!DA60+(Intermediate!AE60+Intermediate!AL60)*Intermediate!DC60)*86400*365/1000000</f>
        <v>0.47475942565024765</v>
      </c>
      <c r="DJ60" s="42">
        <f>(Intermediate!AK60*Intermediate!DB60+(Intermediate!AE60+Intermediate!AL60)*Intermediate!DD60)*86400*365/1000000</f>
        <v>9.8376587263850915E-2</v>
      </c>
      <c r="DK60" s="42">
        <f>((Basicinfo!AZ60+Basicinfo!BA60)*Intermediate!AB60+Parameters!$C$76*100)/1000*Intermediate!U60*(1-Intermediate!DE60/100)+(1-Parameters!$C$110/100)*M60*Parameters!$C$100*(1-DE60/100)*365/1000000+(1-Parameters!$C$112/100)*P60*Parameters!$C$96*365/1000000+(1-Parameters!$C$112/100)*O60*Parameters!$C$96*(1-DE60/100)*365/1000000</f>
        <v>0.71413655283061084</v>
      </c>
      <c r="DL60" s="42">
        <f>Parameters!$C$77*100/1000*Intermediate!U60*(1-Intermediate!DF60/100)+(1-Parameters!$C$111/100)*M60*Parameters!$C$101*(1-DF60/100)*365/1000000+(1-Parameters!$C$113/100)*P60*Parameters!$C$97*365/1000000+(1-Parameters!$C$113/100)*O60*Parameters!$C$97*(1-DF60/100)*365/1000000</f>
        <v>0.11166844616467791</v>
      </c>
      <c r="DM60" s="31"/>
      <c r="DN60" s="31"/>
      <c r="DO60" s="31"/>
      <c r="DP60" s="31"/>
      <c r="DQ60" s="31"/>
      <c r="DR60" s="31"/>
      <c r="DS60" s="31"/>
      <c r="DT60" s="188">
        <f>BO60*(Basicinfo!$P60+Basicinfo!$Q60)/1000</f>
        <v>68.667812439718219</v>
      </c>
      <c r="DU60" s="188">
        <f>DT60*Basicinfo!$AZ60/(Basicinfo!$AZ60+Basicinfo!$BA60)</f>
        <v>38.528886622109603</v>
      </c>
      <c r="DV60" s="188">
        <f>DT60*Basicinfo!$BC60/(Basicinfo!$BB60+Basicinfo!$BC60)</f>
        <v>28.466618534934643</v>
      </c>
      <c r="DW60" s="188">
        <f>BP60*(Basicinfo!$P60+Basicinfo!$Q60)/1000</f>
        <v>92.224047174200706</v>
      </c>
      <c r="DX60" s="188">
        <f>DW60*Basicinfo!$BB60/(Basicinfo!$BB60+Basicinfo!$BC60)</f>
        <v>53.9920622400588</v>
      </c>
      <c r="DY60" s="188">
        <f>DW60*Basicinfo!$BC60/(Basicinfo!$BB60+Basicinfo!$BC60)</f>
        <v>38.231984934141899</v>
      </c>
      <c r="DZ60" s="188">
        <f t="shared" si="38"/>
        <v>57.225498746362973</v>
      </c>
      <c r="EA60" s="188">
        <f>DZ60*Basicinfo!$AZ60/(Basicinfo!$AZ60+Basicinfo!$BA60)</f>
        <v>32.108708210675339</v>
      </c>
      <c r="EB60" s="188">
        <f>DZ60*Basicinfo!$BC60/(Basicinfo!$BB60+Basicinfo!$BC60)</f>
        <v>23.723144591422201</v>
      </c>
      <c r="EC60" s="188">
        <f t="shared" si="39"/>
        <v>76.856490813432956</v>
      </c>
      <c r="ED60" s="188">
        <f>EC60*Basicinfo!$AZ60/(Basicinfo!$AZ60+Basicinfo!$BA60)</f>
        <v>43.123479771887688</v>
      </c>
      <c r="EE60" s="188">
        <f>EC60*Basicinfo!$BC60/(Basicinfo!$BB60+Basicinfo!$BC60)</f>
        <v>31.861280098887082</v>
      </c>
      <c r="EF60" s="190">
        <f>(Basicinfo!BP60-BL60/100)*Intermediate!X60/10</f>
        <v>166.5888624198023</v>
      </c>
      <c r="EG60" s="191">
        <f>(Basicinfo!BQ60-BM60/100)*Intermediate!X60/10</f>
        <v>138.24095001715392</v>
      </c>
      <c r="EH60" s="197">
        <f>IF(AU60=0,0,$BS60*((Basicinfo!$P60+Basicinfo!$Q60)*Intermediate!$AT60*1000+$AW60*3600*24*365)/1000000*Basicinfo!AZ60/(Basicinfo!$AZ60+Basicinfo!$BA60))</f>
        <v>2.7138828554391798</v>
      </c>
      <c r="EI60" s="197">
        <f>IF(AU60=0,0,$BS60*((Basicinfo!$P60+Basicinfo!$Q60)*Intermediate!$AT60*1000+$AW60*3600*24*365)/1000000*Basicinfo!BA60/(Basicinfo!$AZ60+Basicinfo!$BA60))</f>
        <v>2.1229140322685707</v>
      </c>
      <c r="EJ60" s="198">
        <f>IF(AU60=0,0,$BS60*($AT60*$X60*1000)/1000000*Basicinfo!AZ60/(Basicinfo!$AZ60+Basicinfo!$BA60))</f>
        <v>2.2616608047336251</v>
      </c>
      <c r="EK60" s="198">
        <f>IF(AU60=0,0,$BS60*($AT60*$X60*1000)/1000000*Basicinfo!BA60/(Basicinfo!$AZ60+Basicinfo!$BA60))</f>
        <v>1.7691668042996118</v>
      </c>
      <c r="EL60" s="147">
        <f>Parameters!$C$150/Basicinfo!$AV60*100</f>
        <v>0.11333510561410594</v>
      </c>
      <c r="EM60" s="147">
        <f>Parameters!$C$151/Basicinfo!$AV60*100</f>
        <v>0.22667021122821188</v>
      </c>
      <c r="EN60" s="147">
        <f>(Parameters!$C$150+Parameters!$C$151)/Intermediate!$BB60*100</f>
        <v>0.96849950005479934</v>
      </c>
      <c r="EO60" s="193">
        <f>IF(EN60=0,0,(1/(1+Parameters!$C$116*$BB60^Parameters!$C$120)*Basicinfo!$AH60/Basicinfo!$G60+1/(1+Parameters!$C$117*$BB60^Parameters!$C$121)*Basicinfo!$AI60/Basicinfo!$G60)*(EN60)^Parameters!$C$124+(1/(1+Parameters!$C$118*$BB60^Parameters!$C$122)*Basicinfo!$AJ60/Basicinfo!AW60+1/(1+Parameters!$C$119*$BB60^Parameters!$C$123)*Basicinfo!$AK60/Basicinfo!$G60)*(EN60)^Parameters!$C$125)</f>
        <v>0.26483744091919453</v>
      </c>
      <c r="EP60" s="199">
        <f>EL60*($AT60*Basicinfo!$P60*1000+$AW60*3600*24*365)/1000000</f>
        <v>0.39576579306795762</v>
      </c>
      <c r="EQ60" s="199">
        <f>EM60*($AT60*Basicinfo!$P60*1000+$AW60*3600*24*365)/1000000</f>
        <v>0.79153158613591523</v>
      </c>
      <c r="ER60" s="199">
        <f t="shared" si="40"/>
        <v>0.32981820871235384</v>
      </c>
      <c r="ES60" s="199">
        <f t="shared" si="41"/>
        <v>0.65963641742470769</v>
      </c>
      <c r="ET60" s="181">
        <f t="shared" si="48"/>
        <v>7.4841875131747715</v>
      </c>
      <c r="EU60" s="147">
        <f>Intermediate!F60*(Parameters!$C$150)/1000*100</f>
        <v>3.1475907911443834E-2</v>
      </c>
      <c r="EV60" s="147">
        <f>Intermediate!F60*(Parameters!$C$151)/1000*100</f>
        <v>6.2951815822887669E-2</v>
      </c>
      <c r="EW60" s="181">
        <f>'Local emissions'!$S60*Basicinfo!AZ60/(Basicinfo!$AZ60+Basicinfo!$BA60)-Intermediate!EU60</f>
        <v>0.20532038966178764</v>
      </c>
      <c r="EX60" s="147">
        <f>'Local emissions'!$S60*Basicinfo!BA60/(Basicinfo!$AZ60+Basicinfo!$BA60)-Intermediate!EV60</f>
        <v>0.12228027033733349</v>
      </c>
      <c r="EY60" s="188">
        <f t="shared" si="49"/>
        <v>2.3181170623712224</v>
      </c>
      <c r="EZ60" s="188">
        <f t="shared" si="50"/>
        <v>1.3313824461326553</v>
      </c>
      <c r="FA60" s="188">
        <f t="shared" si="51"/>
        <v>1.9318425960212713</v>
      </c>
      <c r="FB60" s="181">
        <f t="shared" si="52"/>
        <v>1.109530386874904</v>
      </c>
      <c r="FC60" s="181">
        <f>'Local emissions'!Y60-Intermediate!ET60</f>
        <v>44.480348718892245</v>
      </c>
      <c r="FD60" s="188">
        <f t="shared" si="53"/>
        <v>7.8145715487767546</v>
      </c>
      <c r="FE60" s="188">
        <f t="shared" si="54"/>
        <v>5.5335278802879353</v>
      </c>
      <c r="FF60" s="181">
        <f t="shared" si="55"/>
        <v>3.1207505708090588</v>
      </c>
      <c r="FG60" s="201">
        <f t="shared" si="56"/>
        <v>2.3057301632724121</v>
      </c>
      <c r="FH60" s="181">
        <f t="shared" si="57"/>
        <v>25.705768555746086</v>
      </c>
      <c r="FJ60" s="147">
        <f>AVERAGE(Parameters!$C$132:$C$134)*'Local emissions'!J60*3600*24*365/1000000</f>
        <v>1.4129776150982931E-2</v>
      </c>
      <c r="FK60" s="147">
        <f>'Local emissions'!AJ60+CT60*BJ60/100*Intermediate!X60*100/1000000</f>
        <v>0.29023214912349948</v>
      </c>
      <c r="FL60" s="31">
        <f>(Parameters!$C$18*(Basicinfo!AH60+Basicinfo!AI60)+Parameters!$C$19*Basicinfo!AJ60+Parameters!$C$20*Basicinfo!AK60)/Basicinfo!G60</f>
        <v>2.5267598056476152E-2</v>
      </c>
      <c r="FM60" s="181">
        <f t="shared" si="32"/>
        <v>0.16494268960876088</v>
      </c>
    </row>
    <row r="61" spans="1:169">
      <c r="A61" s="39" t="str">
        <f>Basicinfo!A61</f>
        <v>Traun</v>
      </c>
      <c r="B61" s="63">
        <f>Basicinfo!B61</f>
        <v>4010</v>
      </c>
      <c r="C61" s="63">
        <f>Basicinfo!C61</f>
        <v>4020</v>
      </c>
      <c r="D61" s="61">
        <f>Basicinfo!U61*Basicinfo!V61/1000+Basicinfo!Y61</f>
        <v>6.7897857606381899</v>
      </c>
      <c r="E61" s="19">
        <f>Basicinfo!W61*Basicinfo!X61/1000+Basicinfo!Z61</f>
        <v>20.568291068091352</v>
      </c>
      <c r="F61" s="19">
        <f t="shared" si="43"/>
        <v>27.358076828729541</v>
      </c>
      <c r="G61" s="19">
        <f>SUM(Basicinfo!H61:L61)</f>
        <v>1.0133256970524818</v>
      </c>
      <c r="H61" s="19">
        <f>IF(Basicinfo!N61&lt;Parameters!$C$68,Parameters!$C$69,Basicinfo!BS61/(Basicinfo!N61*100))</f>
        <v>28.228074004389679</v>
      </c>
      <c r="I61" s="19">
        <f>IF(Basicinfo!N61=0,0,Basicinfo!BU61*(1-Basicinfo!BX61/100))</f>
        <v>20632.69485697932</v>
      </c>
      <c r="J61" s="19">
        <f>IF(Basicinfo!N61=0,0,Basicinfo!BU61*Basicinfo!BX61/100)</f>
        <v>20632.69485697932</v>
      </c>
      <c r="K61" s="19">
        <f>IF(Basicinfo!N61=0,0,Basicinfo!BT61-Basicinfo!BU61)</f>
        <v>0</v>
      </c>
      <c r="L61" s="27">
        <f>Basicinfo!BV61*Basicinfo!BW61/100</f>
        <v>1820.0400000000009</v>
      </c>
      <c r="M61" s="27">
        <f>Basicinfo!BV61-Intermediate!L61</f>
        <v>1820.0400000000009</v>
      </c>
      <c r="N61" s="73">
        <f>Basicinfo!BS61-SUM(I61:K61)-Basicinfo!BV61</f>
        <v>0</v>
      </c>
      <c r="O61" s="19">
        <f>IF(Basicinfo!AH61+Basicinfo!AI61+Basicinfo!AJ61+Basicinfo!AK61=0,0,N61*(Basicinfo!AH61+Basicinfo!AI61)/SUM(Basicinfo!AH61:AK61))</f>
        <v>0</v>
      </c>
      <c r="P61" s="73">
        <f t="shared" si="25"/>
        <v>0</v>
      </c>
      <c r="Q61" s="19">
        <f>IF(Basicinfo!BS61=0,Basicinfo!N61,IF(H61&gt;Parameters!$C$70,Parameters!$C$64*(Parameters!$C$65*Parameters!$C$70)^(Parameters!$C$66-Parameters!$C$67*LOG(Parameters!$C$65*Parameters!$C$70,10))/100*Basicinfo!N61,Parameters!$C$64*(Parameters!$C$65*H61)^(Parameters!$C$66-Parameters!$C$67*LOG(Parameters!$C$65*H61,10))/100*Basicinfo!N61))</f>
        <v>5.5752600308172884</v>
      </c>
      <c r="R61" s="19">
        <f>IF(Basicinfo!BS61=0,Q61*(1-Basicinfo!BX61/100),IF(H61&lt;Parameters!$C$75,Q61*Basicinfo!BU61/Basicinfo!BS61*(1-Basicinfo!BX61/100)*(-Parameters!$C$74+Parameters!$C$73*LN(H61*100)),Q61*Basicinfo!BU61/Basicinfo!BS61*(1-Basicinfo!BX61/100)))</f>
        <v>1.6015150134189959</v>
      </c>
      <c r="S61" s="19">
        <f>IF(Basicinfo!BS61=0,Q61*Basicinfo!BX61/100,Q61*Basicinfo!BU61/Basicinfo!BS61*Basicinfo!BX61/100)</f>
        <v>2.5616620802968439</v>
      </c>
      <c r="T61" s="19">
        <f>IF(Basicinfo!BS61=0,0,IF(H61&lt;Parameters!$C$75,Q61*K61/Basicinfo!BS61*(-Parameters!$C$74+Parameters!$C$73*LN(H61*100)),Q61*K61/Basicinfo!BS61))</f>
        <v>0</v>
      </c>
      <c r="U61" s="19">
        <f t="shared" si="26"/>
        <v>1.4120829371014487</v>
      </c>
      <c r="V61" s="19">
        <f>IF(Basicinfo!AL61&gt;Parameters!$C$14,Basicinfo!Q61,0)</f>
        <v>25.593108356491701</v>
      </c>
      <c r="W61" s="19">
        <f>IF(Basicinfo!AL61&gt;Parameters!$C$14,0,Basicinfo!Q61)</f>
        <v>0</v>
      </c>
      <c r="X61" s="19">
        <f>G61+Basicinfo!M61</f>
        <v>40.338363111221518</v>
      </c>
      <c r="Y61" s="19">
        <f>IF(Basicinfo!G61-F61-Q61-V61-Basicinfo!O61-Basicinfo!R61-Basicinfo!S61&lt;0,0,Basicinfo!G61-F61-Q61-V61-Basicinfo!O61-Basicinfo!R61-Basicinfo!S61)</f>
        <v>654.01981835774973</v>
      </c>
      <c r="Z61" s="19">
        <f>Basicinfo!G61-F61-Basicinfo!BO61-Q61-Basicinfo!O61</f>
        <v>682.95194433350503</v>
      </c>
      <c r="AA61" s="53">
        <f>IF(Z61+Basicinfo!BO61-X61&gt;0,Z61+Basicinfo!BO61-X61,0)</f>
        <v>642.92139308353353</v>
      </c>
      <c r="AB61" s="56">
        <f>IF(Basicinfo!N61=0,0,Parameters!$C$71+Parameters!$C$72*Q61/Basicinfo!N61)</f>
        <v>0.41285025033605072</v>
      </c>
      <c r="AC61" s="43">
        <f>Basicinfo!AU61*AB61*R61/1000/86.4/0.365</f>
        <v>3.8794850164622821E-2</v>
      </c>
      <c r="AD61" s="43">
        <f>Basicinfo!AU61*AB61*S61/1000/86.4/0.365</f>
        <v>6.2053303119120981E-2</v>
      </c>
      <c r="AE61" s="43">
        <f>Basicinfo!AU61*AB61*T61/1000/86.4/0.365</f>
        <v>0</v>
      </c>
      <c r="AF61" s="43">
        <f>Basicinfo!AU61*AB61*U61/1000/86.4/0.365</f>
        <v>3.4206077061944472E-2</v>
      </c>
      <c r="AG61" s="43">
        <f>((Parameters!$C$80+Parameters!$C$81*Parameters!$C$89)/(Parameters!$C$82+Parameters!$C$89)/(Parameters!$C$90/100*Parameters!$C$91+(Parameters!$C$83+Parameters!$C$84*Parameters!$C$89)/(Parameters!$C$85+Parameters!$C$89)))-Parameters!$C$86+(Basicinfo!AU61-Parameters!$C$88)/Parameters!$C$87</f>
        <v>97.647760618930079</v>
      </c>
      <c r="AH61" s="43">
        <f>((Parameters!$C$80+Parameters!$C$81*Parameters!$C$89)/(Parameters!$C$82+Parameters!$C$89)/(Basicinfo!BY61/100*Parameters!$C$91+(Parameters!$C$83+Parameters!$C$84*Parameters!$C$89)/(Parameters!$C$85+Parameters!$C$89)))-Parameters!$C$86+(Basicinfo!AU61-Parameters!$C$88)/Parameters!$C$87</f>
        <v>79.8448787523145</v>
      </c>
      <c r="AI61" s="43">
        <f>Basicinfo!AU61^Parameters!$C$79*Parameters!$C$78*AH61/AG61</f>
        <v>144.51363390446701</v>
      </c>
      <c r="AJ61" s="43">
        <f>(J61*Parameters!$C$92/1000+Parameters!$C$94/100*S61*100*Parameters!$C$93/1000*86400*Parameters!$C$95/24)/86400</f>
        <v>3.112995275692786E-2</v>
      </c>
      <c r="AK61" s="43">
        <f t="shared" si="44"/>
        <v>5.9387435687530174E-2</v>
      </c>
      <c r="AL61" s="43">
        <f>(K61*Parameters!$C$92/1000+Parameters!$C$94/100*T61*100*Parameters!$C$93/1000*86400*Parameters!$C$95/24)/86400</f>
        <v>0</v>
      </c>
      <c r="AM61" s="43">
        <f>(Intermediate!N61+Basicinfo!BV61-Intermediate!L61)*Parameters!$C$92/1000/86400</f>
        <v>2.7384861111111125E-3</v>
      </c>
      <c r="AN61" s="43">
        <f t="shared" si="45"/>
        <v>8.8341234801891155E-2</v>
      </c>
      <c r="AO61" s="43">
        <f t="shared" si="27"/>
        <v>5.9387435687530174E-2</v>
      </c>
      <c r="AP61" s="43">
        <f t="shared" si="28"/>
        <v>3.6944563173055583E-2</v>
      </c>
      <c r="AQ61" s="43">
        <f t="shared" si="33"/>
        <v>0.13512684902520858</v>
      </c>
      <c r="AR61" s="61">
        <f>(Basicinfo!AU61-Basicinfo!AY61)*F61/1000/86.4/0.365</f>
        <v>1.040990065640057</v>
      </c>
      <c r="AS61" s="19">
        <f>IF(Basicinfo!AP61-Basicinfo!CB61-Basicinfo!CG61&lt;0,0,(Basicinfo!AP61-Basicinfo!CB61-Basicinfo!CG61)/Basicinfo!G61*1000)</f>
        <v>44.056508384978549</v>
      </c>
      <c r="AT61" s="19">
        <f>Parameters!$C$3*((AS61*86.4*0.365)^Parameters!$C$4)</f>
        <v>351.29621167675839</v>
      </c>
      <c r="AU61" s="19">
        <f>IF(AT61/86.4/0.365*(Basicinfo!G61/1000)-AN61&lt;0,0,AT61/86.4/0.365*(Basicinfo!G61/1000)-AN61)</f>
        <v>7.9026568371352637</v>
      </c>
      <c r="AV61" s="19">
        <f>IF(Basicinfo!AU61&gt;Parameters!$C$13,Parameters!$C$11*(Basicinfo!AU61-Parameters!$C$13)^Parameters!$C$12,0)</f>
        <v>259.93444547285765</v>
      </c>
      <c r="AW61" s="19">
        <f>IF(AV61*V61/1000/86.4/0.365&gt;Basicinfo!AP61*Parameters!$C$15,Basicinfo!AP61*Parameters!$C$15,AV61*V61/1000/86.4/0.365)</f>
        <v>0.21095035605566431</v>
      </c>
      <c r="AX61" s="19">
        <f>Basicinfo!AU61-Basicinfo!AW61</f>
        <v>729.1768012102857</v>
      </c>
      <c r="AY61" s="19">
        <f>Parameters!$C$56*AX61+Parameters!$C$57*Basicinfo!AW61</f>
        <v>476.70709868244285</v>
      </c>
      <c r="AZ61" s="19">
        <f>AY61*Basicinfo!BO61/1000/86.4/0.365</f>
        <v>4.6529711858361803E-3</v>
      </c>
      <c r="BA61" s="19">
        <f>IF(Basicinfo!AP61-AQ61-AR61-AU61-AW61-AZ61-Basicinfo!CB61-Basicinfo!CG61&lt;0,0,Basicinfo!AP61-AQ61-AR61-AU61-AW61-AZ61-Basicinfo!CB61-Basicinfo!CG61)</f>
        <v>22.309782160865556</v>
      </c>
      <c r="BB61" s="53">
        <f t="shared" si="34"/>
        <v>1030.1768609966605</v>
      </c>
      <c r="BC61" s="56">
        <f>IF(G61=0,0,((Basicinfo!H61*Basicinfo!BE61+Basicinfo!I61*Basicinfo!BF61+Basicinfo!J61*Basicinfo!BG61+Basicinfo!K61*Basicinfo!BH61+Basicinfo!L61*Basicinfo!BI61)*(1-Basicinfo!BN61/G61*Parameters!$C$26/100)/G61)*Basicinfo!BM61)</f>
        <v>9.723453399932918</v>
      </c>
      <c r="BD61" s="43">
        <f>IF(Basicinfo!AW61*Parameters!$C$39-Parameters!$C$40&lt;0,0.001,(Basicinfo!AW61*Parameters!$C$39-Parameters!$C$40)/(Basicinfo!AX61*Parameters!$C$39-Parameters!$C$40))</f>
        <v>1.0914844401320394</v>
      </c>
      <c r="BE61" s="43">
        <f>(BC61*G61*100+Basicinfo!BJ61*Basicinfo!M61*100)*Parameters!$C$29*BD61</f>
        <v>3202.6753938494935</v>
      </c>
      <c r="BF61" s="43">
        <f>(Basicinfo!BK61*Basicinfo!P61*100)*BD61*Parameters!$C$29</f>
        <v>5142.8125674707417</v>
      </c>
      <c r="BG61" s="43">
        <f>Parameters!$C$27*(V61+W61)*100</f>
        <v>511.86216712983406</v>
      </c>
      <c r="BH61" s="43">
        <f>Parameters!$C$28*Basicinfo!R61*100</f>
        <v>11664.942737012039</v>
      </c>
      <c r="BI61" s="43">
        <f t="shared" si="46"/>
        <v>17319.617471612615</v>
      </c>
      <c r="BJ61" s="43">
        <f>IF(Basicinfo!AM61&lt;Parameters!$C$33,0,Parameters!$C$30*(((Basicinfo!AM61-Parameters!$C$33)^Parameters!$C$31)*(((G61-Basicinfo!BN61)/Basicinfo!G61*100+Parameters!$C$34))^Parameters!$C$32))</f>
        <v>1.4537489218530779</v>
      </c>
      <c r="BK61" s="58">
        <f t="shared" si="47"/>
        <v>17366.176330621158</v>
      </c>
      <c r="BL61" s="61">
        <f>Basicinfo!AZ61+Basicinfo!BA61</f>
        <v>1374.7461939451177</v>
      </c>
      <c r="BM61" s="19">
        <f>Basicinfo!BB61+Basicinfo!BC61</f>
        <v>1752.5953411765242</v>
      </c>
      <c r="BN61" s="172">
        <f>IF(Basicinfo!AO61=0,0,IF(Basicinfo!AO61="NA",1,IF(OR(Basicinfo!AO61="SA",Basicinfo!AN61="S"),3,IF(Basicinfo!AN61="N",1,IF(Basicinfo!AO61="ZA",2,0)))))</f>
        <v>1</v>
      </c>
      <c r="BO61" s="27">
        <f>IF($BN61=1,(BL61)*(1+Parameters!$C$21*Parameters!$C$22-Parameters!$C$22*Basicinfo!$AL61),IF($BN61=2,(BL61)*(1+Parameters!$C$21*Parameters!$C$23-Parameters!$C$23*Basicinfo!$AL61),IF($BN61=3,(BL61)*(1+Parameters!$C$21*Parameters!$C$24-Parameters!$C$24*Basicinfo!$AL61),BL61)))</f>
        <v>1200.1861043547428</v>
      </c>
      <c r="BP61" s="27">
        <f>IF($BN61=1,(BM61)*(1+Parameters!$C$21*Parameters!$C$22-Parameters!$C$22*Basicinfo!$AL61),IF($BN61=2,(BM61)*(1+Parameters!$C$21*Parameters!$C$23-Parameters!$C$23*Basicinfo!$AL61),IF($BN61=3,(BM61)*(1+Parameters!$C$21*Parameters!$C$24-Parameters!$C$24*Basicinfo!$AL61),BM61)))</f>
        <v>1530.0573911760887</v>
      </c>
      <c r="BQ61" s="27">
        <f>IF(Basicinfo!AU61=0,0,IF(G61+Basicinfo!M61=0,0,(Parameters!$C$16+BO61/Basicinfo!AU61)*G61+(Parameters!$C$17+BO61/Basicinfo!AU61)*Basicinfo!M61)/(G61+Basicinfo!M61))</f>
        <v>0.65615789481394904</v>
      </c>
      <c r="BR61" s="27">
        <f>IF(Basicinfo!AU61=0,0,IF(G61+Basicinfo!M61=0,0,(Parameters!$C$16+BP61/Basicinfo!AU61)*G61+(Parameters!$C$17+BP61/Basicinfo!AU61)*Basicinfo!M61)/(G61+Basicinfo!M61))</f>
        <v>0.83443164294566941</v>
      </c>
      <c r="BS61" s="27">
        <f>IF(Basicinfo!AU61=0,0,BO61/Basicinfo!AU61)</f>
        <v>0.648621701332881</v>
      </c>
      <c r="BT61" s="27">
        <f>IF(Basicinfo!AU61=0,0,BP61/Basicinfo!AU61)</f>
        <v>0.82689544946460136</v>
      </c>
      <c r="BU61" s="27">
        <f>IF(SUM(G61,Basicinfo!M61,Basicinfo!P61,W61)=0,0,(BQ61*(G61+Basicinfo!M61)+BS61*(Basicinfo!P61+W61))/SUM(G61,Basicinfo!M61,Basicinfo!P61,W61))</f>
        <v>0.64910499037405434</v>
      </c>
      <c r="BV61" s="19">
        <f>IF(Basicinfo!BR61/Parameters!$C$10&gt;1,1,Basicinfo!BR61/Parameters!$C$10)</f>
        <v>0.17185067187324113</v>
      </c>
      <c r="BW61" s="19">
        <f>Parameters!$C$5+Parameters!$C$6*EXP(BV61*Parameters!$C$8*Parameters!$C$7)</f>
        <v>3.5006794069172578E-2</v>
      </c>
      <c r="BX61" s="19">
        <f>Parameters!$C$5+Parameters!$C$6*EXP(BV61*Parameters!$C$9*Parameters!$C$7)</f>
        <v>3.5005205321718698E-2</v>
      </c>
      <c r="BY61" s="19">
        <f>IF(Basicinfo!AH61+Basicinfo!AI61+Basicinfo!AJ61+Basicinfo!AK61=0,0,(Parameters!$C$18*(Basicinfo!AH61+Basicinfo!AI61)+Parameters!$C$19*Basicinfo!AJ61+Parameters!$C$20*Basicinfo!AK61)/(Basicinfo!AH61+Basicinfo!AI61+Basicinfo!AJ61+Basicinfo!AK61))</f>
        <v>1.1152518856552072E-2</v>
      </c>
      <c r="BZ61" s="19">
        <f>IF(Basicinfo!AJ61+Basicinfo!AK61=0,Parameters!$C$18,(Parameters!$C$19*Basicinfo!AJ61+Parameters!$C$20*Basicinfo!AK61)/(Basicinfo!AJ61+Basicinfo!AK61))</f>
        <v>5.1536271823011248E-3</v>
      </c>
      <c r="CA61" s="19">
        <f>IF(SUM(G61,Basicinfo!M61,Basicinfo!P61,W61)=0,0,(BW61*G61+BX61*Basicinfo!M61+BY61*Basicinfo!P61+BZ61*W61)/(SUM(G61,Basicinfo!M61,Basicinfo!P61,W61)))</f>
        <v>1.268217189536488E-2</v>
      </c>
      <c r="CB61" s="19">
        <f>IF(Y61=0,Basicinfo!BP61,Basicinfo!BP61-(AU61*X61/Y61*Intermediate!BQ61*86400*365/1000000)*1000/(X61*100))</f>
        <v>27.221202818334952</v>
      </c>
      <c r="CC61" s="19">
        <f>IF(Y61=0,Basicinfo!BQ61,Basicinfo!BQ61-(AU61*Basicinfo!AV61/Basicinfo!AU61*X61/Y61*Intermediate!BR61*86400*365/1000000)*1000/(X61*100))</f>
        <v>56.004056412695419</v>
      </c>
      <c r="CD61" s="19">
        <f>IF(OR(Y61=0,AA61=0),BP61/100,BP61/100-(AU61*Basicinfo!AV61/Basicinfo!AU61*(Basicinfo!P61+W61)/Y61*Intermediate!BT61*86400*365/1000000+AW61*Basicinfo!AV61/Basicinfo!AU61*Intermediate!BT61*86400*365/1000000)*1000/(AA61*100))</f>
        <v>12.177695247338775</v>
      </c>
      <c r="CE61" s="19">
        <f t="shared" si="35"/>
        <v>224187.32504346987</v>
      </c>
      <c r="CF61" s="19">
        <f t="shared" si="36"/>
        <v>782930.07929657702</v>
      </c>
      <c r="CG61" s="19">
        <f>IF(AY61=0,0,((CB61^Parameters!$C$58))/AY61*100)</f>
        <v>3.4787209734162787</v>
      </c>
      <c r="CH61" s="19">
        <f>IF(SUM(Basicinfo!AB61:AG61)=0,0,(Parameters!$C$59*Basicinfo!AB61+Parameters!$C$60*SUM(Basicinfo!AC61:AE61)+Parameters!$C$61*Basicinfo!AF61+Parameters!$C$62*Basicinfo!AG61)/SUM(Basicinfo!AB61:AG61))</f>
        <v>0.10950325613317587</v>
      </c>
      <c r="CI61" s="19">
        <f t="shared" si="31"/>
        <v>3</v>
      </c>
      <c r="CJ61" s="19">
        <f t="shared" si="37"/>
        <v>14.746533964741779</v>
      </c>
      <c r="CK61" s="19">
        <f t="shared" si="42"/>
        <v>1.4314565316944721</v>
      </c>
      <c r="CL61" s="19">
        <f>IF($BB61=0,0,$CJ61^Parameters!$C$58*100/$BB61)</f>
        <v>0.95603693577501703</v>
      </c>
      <c r="CM61" s="19">
        <f>IF(CK61=0,0,(1/(1+Parameters!$C$116*BB61^Parameters!$C$120)*Basicinfo!AH61/Basicinfo!G61+1/(1+Parameters!$C$117*BB61^Parameters!$C$121)*Basicinfo!AI61/Basicinfo!G61)*(CK61)^Parameters!$C$124+(1/(1+Parameters!$C$118*BB61^Parameters!$C$122)*Basicinfo!AJ61/Basicinfo!G61+1/(1+Parameters!$C$119*BB61^Parameters!$C$123)*Basicinfo!AK61/Basicinfo!G61)*(CK61)^Parameters!$C$125)</f>
        <v>0.80211735868741985</v>
      </c>
      <c r="CN61" s="19">
        <f>IF(SUM(Basicinfo!AB61:AG61)=0,0,(Parameters!$C$128*Basicinfo!AB61+Parameters!$C$129*(SUM(Basicinfo!AC61:AE61))+Parameters!$C$130*Basicinfo!AF61+Parameters!$C$131*Basicinfo!AG61)/SUM(Basicinfo!AB61:AG61))</f>
        <v>2.4163067079424026E-2</v>
      </c>
      <c r="CO61" s="19">
        <f>IF(Basicinfo!AH61+Basicinfo!AI61+Basicinfo!AJ61+Basicinfo!AK61=0,0,(Parameters!$C$132*(Basicinfo!AH61+Basicinfo!AI61)+Parameters!$C$133*Basicinfo!AJ61+Parameters!$C$134*Basicinfo!AK61)/(Basicinfo!AH61+Basicinfo!AI61+Basicinfo!AJ61+Basicinfo!AK61))</f>
        <v>5.0000000000000001E-4</v>
      </c>
      <c r="CP61" s="19">
        <f>IF(Basicinfo!AJ61+Basicinfo!AK61=0,0,(Parameters!$C$133*Basicinfo!AJ61+Parameters!$C$134*Basicinfo!AK61)/(Basicinfo!AJ61+Basicinfo!AK61))</f>
        <v>5.0000000000000012E-4</v>
      </c>
      <c r="CQ61" s="19">
        <f>IF(Z61=0,0,(CN61*(Z61-AA61)+CO61*Basicinfo!P61+CP61*(Basicinfo!Q61+Basicinfo!R61))/Z61)</f>
        <v>1.868453422990271E-3</v>
      </c>
      <c r="CR61" s="289">
        <f>Basicinfo!EI61</f>
        <v>7.7006719298245612E-3</v>
      </c>
      <c r="CS61" s="19">
        <f>IF(SUM(Basicinfo!AB61:AG61)=0,0,(Basicinfo!AB61*Parameters!$C$43+(Basicinfo!AC61+Basicinfo!AD61)*Parameters!$C$44+Basicinfo!AE61*Parameters!$C$45+(Basicinfo!AF61+Basicinfo!AG61)*Parameters!$C$46)/SUM(Basicinfo!AB61:AG61))</f>
        <v>25.577288456180518</v>
      </c>
      <c r="CT61" s="19">
        <f>(Parameters!$C$41*CS61+Parameters!$C$42)</f>
        <v>535.88834225304129</v>
      </c>
      <c r="CU61" s="19">
        <f>CT61+Basicinfo!BR61/(Parameters!$C$47*Parameters!$C$49*Parameters!$C$48*10000/1000000)</f>
        <v>596.41436505116394</v>
      </c>
      <c r="CV61" s="19">
        <f>IF(BK61/Basicinfo!G61&lt;Parameters!$C$35,Parameters!$C$35,Parameters!$C$37*(BK61/Basicinfo!G61)^Parameters!$C$38)</f>
        <v>1.712926483438884</v>
      </c>
      <c r="CW61" s="19">
        <f>IF(BK61/Basicinfo!G61&lt;Parameters!$C$35,Parameters!$C$36,Parameters!$C$36*(BK61/Basicinfo!G61)^Parameters!$C$38)</f>
        <v>4.0253772360813773</v>
      </c>
      <c r="CX61" s="27">
        <f>IF(Basicinfo!AJ61+Basicinfo!AK61=0,0,(Parameters!$C$53*Basicinfo!AJ61+Parameters!$C$54*Basicinfo!AK61)/(Basicinfo!AJ61+Basicinfo!AK61))</f>
        <v>572.64943439503134</v>
      </c>
      <c r="CY61" s="56">
        <f>IF(Basicinfo!AU61*AB61=0,0,((Basicinfo!AZ61+Basicinfo!BA61)/Basicinfo!AU61+Parameters!$C$76/(Basicinfo!AU61*AB61)*100))</f>
        <v>1.2665728346536613</v>
      </c>
      <c r="CZ61" s="43">
        <f>IF(Basicinfo!AU61*AB61=0,0,(Parameters!$C$77)/(Basicinfo!AU61*AB61)*100)</f>
        <v>0.32725804919271334</v>
      </c>
      <c r="DA61" s="43">
        <f>IF(AD61+AJ61=0,0,((J61*Parameters!$C$96+Parameters!$C$94/100*S61*100*Parameters!$C$93/1000*86400*Parameters!$C$95/24*Parameters!$C$98)*AI61+AD61*CY61*86400*365)/((AD61+AJ61*AI61/365)*86400*365))</f>
        <v>16.311885847818861</v>
      </c>
      <c r="DB61" s="43">
        <f>IF(AD61+AJ61=0,0,((J61*Parameters!$C$97+Parameters!$C$94/100*S61*100*Parameters!$C$93/1000*86400*Parameters!$C$95/24*Parameters!$C$99)*AI61+AD61*CZ61*86400*365)/((AD61+AJ61*AI61/365)*86400*365))</f>
        <v>2.7547101307603206</v>
      </c>
      <c r="DC61" s="42">
        <f>IF(AE61+AL61=0,0,((K61*Parameters!$C$96+Parameters!$C$94/100*T61*100*Parameters!$C$93/1000*86400*Parameters!$C$95/24*Parameters!$C$98)*365+AE61*CY61*86400*365)/((AE61+AL61)*86400*365))</f>
        <v>0</v>
      </c>
      <c r="DD61" s="42">
        <f>IF(AE61+AL61=0,0,((K61*Parameters!$C$97+Parameters!$C$94/100*T61*100*Parameters!$C$93/1000*86400*Parameters!$C$95/24*Parameters!$C$99)*365+AE61*CZ61*86400*365)/((AE61+AL61)*86400*365))</f>
        <v>0</v>
      </c>
      <c r="DE61" s="42">
        <f>IF(Basicinfo!AH61+Basicinfo!AI61+Basicinfo!AJ61+Basicinfo!AK61=0,0,((Basicinfo!AH61+Basicinfo!AI61)*Parameters!$C$107+(Basicinfo!AJ61+Basicinfo!AK61)*Parameters!$C$106)/(Basicinfo!AH61+Basicinfo!AI61+Basicinfo!AJ61+Basicinfo!AK61))</f>
        <v>58.039692743760952</v>
      </c>
      <c r="DF61" s="42">
        <f>IF(Basicinfo!AH61+Basicinfo!AI61+Basicinfo!AJ61+Basicinfo!AK61=0,0,((Basicinfo!AH61+Basicinfo!AI61)*Parameters!$C$109+(Basicinfo!AJ61+Basicinfo!AK61)*Parameters!$C$108)/(Basicinfo!AH61+Basicinfo!AI61+Basicinfo!AJ61+Basicinfo!AK61))</f>
        <v>58.039692743760952</v>
      </c>
      <c r="DG61" s="42">
        <f>Intermediate!AC61*Intermediate!CY61*(1-Parameters!$C$102/100*Basicinfo!BZ61/100)*(1-Parameters!$C$104/100*Basicinfo!CA61/100)*86400*365/1000000</f>
        <v>1.549568769423914</v>
      </c>
      <c r="DH61" s="42">
        <f>Intermediate!AC61*Intermediate!CZ61*(1-Parameters!$C$103/100*Basicinfo!BZ61/100)*(1-Parameters!$C$105/100*Basicinfo!CA61/100)*86400*365/1000000</f>
        <v>0.40037875335474893</v>
      </c>
      <c r="DI61" s="42">
        <f>(Intermediate!AK61*Intermediate!DA61+(Intermediate!AE61+Intermediate!AL61)*Intermediate!DC61)*86400*365/1000000</f>
        <v>30.549587718067066</v>
      </c>
      <c r="DJ61" s="42">
        <f>(Intermediate!AK61*Intermediate!DB61+(Intermediate!AE61+Intermediate!AL61)*Intermediate!DD61)*86400*365/1000000</f>
        <v>5.1591373040881843</v>
      </c>
      <c r="DK61" s="42">
        <f>((Basicinfo!AZ61+Basicinfo!BA61)*Intermediate!AB61+Parameters!$C$76*100)/1000*Intermediate!U61*(1-Intermediate!DE61/100)+(1-Parameters!$C$110/100)*M61*Parameters!$C$100*(1-DE61/100)*365/1000000+(1-Parameters!$C$112/100)*P61*Parameters!$C$96*365/1000000+(1-Parameters!$C$112/100)*O61*Parameters!$C$96*(1-DE61/100)*365/1000000</f>
        <v>2.831158151080547</v>
      </c>
      <c r="DL61" s="42">
        <f>Parameters!$C$77*100/1000*Intermediate!U61*(1-Intermediate!DF61/100)+(1-Parameters!$C$111/100)*M61*Parameters!$C$101*(1-DF61/100)*365/1000000+(1-Parameters!$C$113/100)*P61*Parameters!$C$97*365/1000000+(1-Parameters!$C$113/100)*O61*Parameters!$C$97*(1-DF61/100)*365/1000000</f>
        <v>0.4496965203909945</v>
      </c>
      <c r="DM61" s="31"/>
      <c r="DN61" s="31"/>
      <c r="DO61" s="31"/>
      <c r="DP61" s="31"/>
      <c r="DQ61" s="31"/>
      <c r="DR61" s="31"/>
      <c r="DS61" s="31"/>
      <c r="DT61" s="188">
        <f>BO61*(Basicinfo!$P61+Basicinfo!$Q61)/1000</f>
        <v>737.24211728886132</v>
      </c>
      <c r="DU61" s="188">
        <f>DT61*Basicinfo!$AZ61/(Basicinfo!$AZ61+Basicinfo!$BA61)</f>
        <v>391.39514535041258</v>
      </c>
      <c r="DV61" s="188">
        <f>DT61*Basicinfo!$BC61/(Basicinfo!$BB61+Basicinfo!$BC61)</f>
        <v>330.10011165544336</v>
      </c>
      <c r="DW61" s="188">
        <f>BP61*(Basicinfo!$P61+Basicinfo!$Q61)/1000</f>
        <v>939.87319679108521</v>
      </c>
      <c r="DX61" s="188">
        <f>DW61*Basicinfo!$BB61/(Basicinfo!$BB61+Basicinfo!$BC61)</f>
        <v>519.04503203074944</v>
      </c>
      <c r="DY61" s="188">
        <f>DW61*Basicinfo!$BC61/(Basicinfo!$BB61+Basicinfo!$BC61)</f>
        <v>420.82816476033577</v>
      </c>
      <c r="DZ61" s="188">
        <f t="shared" si="38"/>
        <v>48.413542878504018</v>
      </c>
      <c r="EA61" s="188">
        <f>DZ61*Basicinfo!$AZ61/(Basicinfo!$AZ61+Basicinfo!$BA61)</f>
        <v>25.702310282466012</v>
      </c>
      <c r="EB61" s="188">
        <f>DZ61*Basicinfo!$BC61/(Basicinfo!$BB61+Basicinfo!$BC61)</f>
        <v>21.677160779418788</v>
      </c>
      <c r="EC61" s="188">
        <f t="shared" si="39"/>
        <v>61.720010626269364</v>
      </c>
      <c r="ED61" s="188">
        <f>EC61*Basicinfo!$AZ61/(Basicinfo!$AZ61+Basicinfo!$BA61)</f>
        <v>32.76659317692333</v>
      </c>
      <c r="EE61" s="188">
        <f>EC61*Basicinfo!$BC61/(Basicinfo!$BB61+Basicinfo!$BC61)</f>
        <v>27.63513087671841</v>
      </c>
      <c r="EF61" s="190">
        <f>(Basicinfo!BP61-BL61/100)*Intermediate!X61/10</f>
        <v>64.436783634654546</v>
      </c>
      <c r="EG61" s="191">
        <f>(Basicinfo!BQ61-BM61/100)*Intermediate!X61/10</f>
        <v>168.69777987495101</v>
      </c>
      <c r="EH61" s="197">
        <f>IF(AU61=0,0,$BS61*((Basicinfo!$P61+Basicinfo!$Q61)*Intermediate!$AT61*1000+$AW61*3600*24*365)/1000000*Basicinfo!AZ61/(Basicinfo!$AZ61+Basicinfo!$BA61))</f>
        <v>76.598132800223084</v>
      </c>
      <c r="EI61" s="197">
        <f>IF(AU61=0,0,$BS61*((Basicinfo!$P61+Basicinfo!$Q61)*Intermediate!$AT61*1000+$AW61*3600*24*365)/1000000*Basicinfo!BA61/(Basicinfo!$AZ61+Basicinfo!$BA61))</f>
        <v>67.684110546079864</v>
      </c>
      <c r="EJ61" s="198">
        <f>IF(AU61=0,0,$BS61*($AT61*$X61*1000)/1000000*Basicinfo!AZ61/(Basicinfo!$AZ61+Basicinfo!$BA61))</f>
        <v>4.8796481651263015</v>
      </c>
      <c r="EK61" s="198">
        <f>IF(AU61=0,0,$BS61*($AT61*$X61*1000)/1000000*Basicinfo!BA61/(Basicinfo!$AZ61+Basicinfo!$BA61))</f>
        <v>4.3117845534926991</v>
      </c>
      <c r="EL61" s="147">
        <f>Parameters!$C$150/Basicinfo!$AV61*100</f>
        <v>5.1409214948779688E-2</v>
      </c>
      <c r="EM61" s="147">
        <f>Parameters!$C$151/Basicinfo!$AV61*100</f>
        <v>0.10281842989755938</v>
      </c>
      <c r="EN61" s="147">
        <f>(Parameters!$C$150+Parameters!$C$151)/Intermediate!$BB61*100</f>
        <v>0.29121213197291229</v>
      </c>
      <c r="EO61" s="193">
        <f>IF(EN61=0,0,(1/(1+Parameters!$C$116*$BB61^Parameters!$C$120)*Basicinfo!$AH61/Basicinfo!$G61+1/(1+Parameters!$C$117*$BB61^Parameters!$C$121)*Basicinfo!$AI61/Basicinfo!$G61)*(EN61)^Parameters!$C$124+(1/(1+Parameters!$C$118*$BB61^Parameters!$C$122)*Basicinfo!$AJ61/Basicinfo!AW61+1/(1+Parameters!$C$119*$BB61^Parameters!$C$123)*Basicinfo!$AK61/Basicinfo!$G61)*(EN61)^Parameters!$C$125)</f>
        <v>0.18326673711642599</v>
      </c>
      <c r="EP61" s="199">
        <f>EL61*($AT61*Basicinfo!$P61*1000+$AW61*3600*24*365)/1000000</f>
        <v>10.973482226474172</v>
      </c>
      <c r="EQ61" s="199">
        <f>EM61*($AT61*Basicinfo!$P61*1000+$AW61*3600*24*365)/1000000</f>
        <v>21.946964452948343</v>
      </c>
      <c r="ER61" s="199">
        <f t="shared" si="40"/>
        <v>0.72850528952040883</v>
      </c>
      <c r="ES61" s="199">
        <f t="shared" si="41"/>
        <v>1.4570105790408177</v>
      </c>
      <c r="ET61" s="181">
        <f t="shared" si="48"/>
        <v>128.93938202096888</v>
      </c>
      <c r="EU61" s="147">
        <f>Intermediate!F61*(Parameters!$C$150)/1000*100</f>
        <v>2.7358076828729541</v>
      </c>
      <c r="EV61" s="147">
        <f>Intermediate!F61*(Parameters!$C$151)/1000*100</f>
        <v>5.4716153657459081</v>
      </c>
      <c r="EW61" s="181">
        <f>'Local emissions'!$S61*Basicinfo!AZ61/(Basicinfo!$AZ61+Basicinfo!$BA61)-Intermediate!EU61</f>
        <v>14.695880793051851</v>
      </c>
      <c r="EX61" s="147">
        <f>'Local emissions'!$S61*Basicinfo!BA61/(Basicinfo!$AZ61+Basicinfo!$BA61)-Intermediate!EV61</f>
        <v>9.9314798100399511</v>
      </c>
      <c r="EY61" s="188">
        <f t="shared" si="49"/>
        <v>65.624650573748909</v>
      </c>
      <c r="EZ61" s="188">
        <f t="shared" si="50"/>
        <v>45.737146093131521</v>
      </c>
      <c r="FA61" s="188">
        <f t="shared" si="51"/>
        <v>4.1511428756058928</v>
      </c>
      <c r="FB61" s="181">
        <f t="shared" si="52"/>
        <v>2.8547739744518816</v>
      </c>
      <c r="FC61" s="181">
        <f>'Local emissions'!Y61-Intermediate!ET61</f>
        <v>437.01666122816437</v>
      </c>
      <c r="FD61" s="188">
        <f t="shared" si="53"/>
        <v>193.82472341341523</v>
      </c>
      <c r="FE61" s="188">
        <f t="shared" si="54"/>
        <v>157.14802686795582</v>
      </c>
      <c r="FF61" s="181">
        <f t="shared" si="55"/>
        <v>6.1179430182281527</v>
      </c>
      <c r="FG61" s="201">
        <f t="shared" si="56"/>
        <v>5.1598332207485154</v>
      </c>
      <c r="FH61" s="181">
        <f t="shared" si="57"/>
        <v>74.766134707816661</v>
      </c>
      <c r="FJ61" s="147">
        <f>AVERAGE(Parameters!$C$132:$C$134)*'Local emissions'!J61*3600*24*365/1000000</f>
        <v>0.3517806451125281</v>
      </c>
      <c r="FK61" s="147">
        <f>'Local emissions'!AJ61+CT61*BJ61/100*Intermediate!X61*100/1000000</f>
        <v>9.3187315812491516</v>
      </c>
      <c r="FL61" s="31">
        <f>(Parameters!$C$18*(Basicinfo!AH61+Basicinfo!AI61)+Parameters!$C$19*Basicinfo!AJ61+Parameters!$C$20*Basicinfo!AK61)/Basicinfo!G61</f>
        <v>1.1152518856552072E-2</v>
      </c>
      <c r="FM61" s="181">
        <f t="shared" si="32"/>
        <v>2.8536029899864306</v>
      </c>
    </row>
    <row r="62" spans="1:169">
      <c r="A62" s="39" t="str">
        <f>Basicinfo!A62</f>
        <v>Traun</v>
      </c>
      <c r="B62" s="63">
        <f>Basicinfo!B62</f>
        <v>4020</v>
      </c>
      <c r="C62" s="63">
        <f>Basicinfo!C62</f>
        <v>5010</v>
      </c>
      <c r="D62" s="61">
        <f>Basicinfo!U62*Basicinfo!V62/1000+Basicinfo!Y62</f>
        <v>10.4486554309218</v>
      </c>
      <c r="E62" s="19">
        <f>Basicinfo!W62*Basicinfo!X62/1000+Basicinfo!Z62</f>
        <v>1.2084232115863089</v>
      </c>
      <c r="F62" s="19">
        <f t="shared" si="43"/>
        <v>11.657078642508109</v>
      </c>
      <c r="G62" s="19">
        <f>SUM(Basicinfo!H62:L62)</f>
        <v>392.6946031100365</v>
      </c>
      <c r="H62" s="19">
        <f>IF(Basicinfo!N62&lt;Parameters!$C$68,Parameters!$C$69,Basicinfo!BS62/(Basicinfo!N62*100))</f>
        <v>31.784948719908439</v>
      </c>
      <c r="I62" s="19">
        <f>IF(Basicinfo!N62=0,0,Basicinfo!BU62*(1-Basicinfo!BX62/100))</f>
        <v>110871.96374276282</v>
      </c>
      <c r="J62" s="19">
        <f>IF(Basicinfo!N62=0,0,Basicinfo!BU62*Basicinfo!BX62/100)</f>
        <v>110871.96374276282</v>
      </c>
      <c r="K62" s="19">
        <f>IF(Basicinfo!N62=0,0,Basicinfo!BT62-Basicinfo!BU62)</f>
        <v>0</v>
      </c>
      <c r="L62" s="27">
        <f>Basicinfo!BV62*Basicinfo!BW62/100</f>
        <v>9105.7599999999984</v>
      </c>
      <c r="M62" s="27">
        <f>Basicinfo!BV62-Intermediate!L62</f>
        <v>9105.7599999999984</v>
      </c>
      <c r="N62" s="73">
        <f>Basicinfo!BS62-SUM(I62:K62)-Basicinfo!BV62</f>
        <v>0</v>
      </c>
      <c r="O62" s="19">
        <f>IF(Basicinfo!AH62+Basicinfo!AI62+Basicinfo!AJ62+Basicinfo!AK62=0,0,N62*(Basicinfo!AH62+Basicinfo!AI62)/SUM(Basicinfo!AH62:AK62))</f>
        <v>0</v>
      </c>
      <c r="P62" s="73">
        <f t="shared" si="25"/>
        <v>0</v>
      </c>
      <c r="Q62" s="19">
        <f>IF(Basicinfo!BS62=0,Basicinfo!N62,IF(H62&gt;Parameters!$C$70,Parameters!$C$64*(Parameters!$C$65*Parameters!$C$70)^(Parameters!$C$66-Parameters!$C$67*LOG(Parameters!$C$65*Parameters!$C$70,10))/100*Basicinfo!N62,Parameters!$C$64*(Parameters!$C$65*H62)^(Parameters!$C$66-Parameters!$C$67*LOG(Parameters!$C$65*H62,10))/100*Basicinfo!N62))</f>
        <v>28.036349893002971</v>
      </c>
      <c r="R62" s="19">
        <f>IF(Basicinfo!BS62=0,Q62*(1-Basicinfo!BX62/100),IF(H62&lt;Parameters!$C$75,Q62*Basicinfo!BU62/Basicinfo!BS62*(1-Basicinfo!BX62/100)*(-Parameters!$C$74+Parameters!$C$73*LN(H62*100)),Q62*Basicinfo!BU62/Basicinfo!BS62*(1-Basicinfo!BX62/100)))</f>
        <v>8.2909901986658578</v>
      </c>
      <c r="S62" s="19">
        <f>IF(Basicinfo!BS62=0,Q62*Basicinfo!BX62/100,Q62*Basicinfo!BU62/Basicinfo!BS62*Basicinfo!BX62/100)</f>
        <v>12.954259640235684</v>
      </c>
      <c r="T62" s="19">
        <f>IF(Basicinfo!BS62=0,0,IF(H62&lt;Parameters!$C$75,Q62*K62/Basicinfo!BS62*(-Parameters!$C$74+Parameters!$C$73*LN(H62*100)),Q62*K62/Basicinfo!BS62))</f>
        <v>0</v>
      </c>
      <c r="U62" s="19">
        <f t="shared" si="26"/>
        <v>6.7911000541014275</v>
      </c>
      <c r="V62" s="19">
        <f>IF(Basicinfo!AL62&gt;Parameters!$C$14,Basicinfo!Q62,0)</f>
        <v>0</v>
      </c>
      <c r="W62" s="19">
        <f>IF(Basicinfo!AL62&gt;Parameters!$C$14,0,Basicinfo!Q62)</f>
        <v>0</v>
      </c>
      <c r="X62" s="19">
        <f>G62+Basicinfo!M62</f>
        <v>436.43498431124328</v>
      </c>
      <c r="Y62" s="19">
        <f>IF(Basicinfo!G62-F62-Q62-V62-Basicinfo!O62-Basicinfo!R62-Basicinfo!S62&lt;0,0,Basicinfo!G62-F62-Q62-V62-Basicinfo!O62-Basicinfo!R62-Basicinfo!S62)</f>
        <v>678.70759916161137</v>
      </c>
      <c r="Z62" s="19">
        <f>Basicinfo!G62-F62-Basicinfo!BO62-Q62-Basicinfo!O62</f>
        <v>662.45080974379891</v>
      </c>
      <c r="AA62" s="53">
        <f>IF(Z62+Basicinfo!BO62-X62&gt;0,Z62+Basicinfo!BO62-X62,0)</f>
        <v>242.29428576647194</v>
      </c>
      <c r="AB62" s="56">
        <f>IF(Basicinfo!N62=0,0,Parameters!$C$71+Parameters!$C$72*Q62/Basicinfo!N62)</f>
        <v>0.42853106263494933</v>
      </c>
      <c r="AC62" s="43">
        <f>Basicinfo!AU62*AB62*R62/1000/86.4/0.365</f>
        <v>0.10622910871985046</v>
      </c>
      <c r="AD62" s="43">
        <f>Basicinfo!AU62*AB62*S62/1000/86.4/0.365</f>
        <v>0.16597769660000383</v>
      </c>
      <c r="AE62" s="43">
        <f>Basicinfo!AU62*AB62*T62/1000/86.4/0.365</f>
        <v>0</v>
      </c>
      <c r="AF62" s="43">
        <f>Basicinfo!AU62*AB62*U62/1000/86.4/0.365</f>
        <v>8.7011622096792335E-2</v>
      </c>
      <c r="AG62" s="43">
        <f>((Parameters!$C$80+Parameters!$C$81*Parameters!$C$89)/(Parameters!$C$82+Parameters!$C$89)/(Parameters!$C$90/100*Parameters!$C$91+(Parameters!$C$83+Parameters!$C$84*Parameters!$C$89)/(Parameters!$C$85+Parameters!$C$89)))-Parameters!$C$86+(Basicinfo!AU62-Parameters!$C$88)/Parameters!$C$87</f>
        <v>74.960938068683646</v>
      </c>
      <c r="AH62" s="43">
        <f>((Parameters!$C$80+Parameters!$C$81*Parameters!$C$89)/(Parameters!$C$82+Parameters!$C$89)/(Basicinfo!BY62/100*Parameters!$C$91+(Parameters!$C$83+Parameters!$C$84*Parameters!$C$89)/(Parameters!$C$85+Parameters!$C$89)))-Parameters!$C$86+(Basicinfo!AU62-Parameters!$C$88)/Parameters!$C$87</f>
        <v>57.158056202068074</v>
      </c>
      <c r="AI62" s="43">
        <f>Basicinfo!AU62^Parameters!$C$79*Parameters!$C$78*AH62/AG62</f>
        <v>24.979127926397453</v>
      </c>
      <c r="AJ62" s="43">
        <f>(J62*Parameters!$C$92/1000+Parameters!$C$94/100*S62*100*Parameters!$C$93/1000*86400*Parameters!$C$95/24)/86400</f>
        <v>0.16725305039725746</v>
      </c>
      <c r="AK62" s="43">
        <f t="shared" si="44"/>
        <v>0.10141200722274336</v>
      </c>
      <c r="AL62" s="43">
        <f>(K62*Parameters!$C$92/1000+Parameters!$C$94/100*T62*100*Parameters!$C$93/1000*86400*Parameters!$C$95/24)/86400</f>
        <v>0</v>
      </c>
      <c r="AM62" s="43">
        <f>(Intermediate!N62+Basicinfo!BV62-Intermediate!L62)*Parameters!$C$92/1000/86400</f>
        <v>1.3700796296296294E-2</v>
      </c>
      <c r="AN62" s="43">
        <f t="shared" si="45"/>
        <v>0.20109873382537868</v>
      </c>
      <c r="AO62" s="43">
        <f t="shared" si="27"/>
        <v>0.10141200722274336</v>
      </c>
      <c r="AP62" s="43">
        <f t="shared" si="28"/>
        <v>0.10071241839308863</v>
      </c>
      <c r="AQ62" s="43">
        <f t="shared" si="33"/>
        <v>0.30835353433568247</v>
      </c>
      <c r="AR62" s="61">
        <f>(Basicinfo!AU62-Basicinfo!AY62)*F62/1000/86.4/0.365</f>
        <v>7.7395000388050278E-2</v>
      </c>
      <c r="AS62" s="19">
        <f>IF(Basicinfo!AP62-Basicinfo!CB62-Basicinfo!CG62&lt;0,0,(Basicinfo!AP62-Basicinfo!CB62-Basicinfo!CG62)/Basicinfo!G62*1000)</f>
        <v>32.912919460654834</v>
      </c>
      <c r="AT62" s="19">
        <f>Parameters!$C$3*((AS62*86.4*0.365)^Parameters!$C$4)</f>
        <v>244.265871302851</v>
      </c>
      <c r="AU62" s="19">
        <f>IF(AT62/86.4/0.365*(Basicinfo!G62/1000)-AN62&lt;0,0,AT62/86.4/0.365*(Basicinfo!G62/1000)-AN62)</f>
        <v>5.3796873267055485</v>
      </c>
      <c r="AV62" s="19">
        <f>IF(Basicinfo!AU62&gt;Parameters!$C$13,Parameters!$C$11*(Basicinfo!AU62-Parameters!$C$13)^Parameters!$C$12,0)</f>
        <v>78.534900491551852</v>
      </c>
      <c r="AW62" s="19">
        <f>IF(AV62*V62/1000/86.4/0.365&gt;Basicinfo!AP62*Parameters!$C$15,Basicinfo!AP62*Parameters!$C$15,AV62*V62/1000/86.4/0.365)</f>
        <v>0</v>
      </c>
      <c r="AX62" s="19">
        <f>Basicinfo!AU62-Basicinfo!AW62</f>
        <v>325.06399777557112</v>
      </c>
      <c r="AY62" s="19">
        <f>Parameters!$C$56*AX62+Parameters!$C$57*Basicinfo!AW62</f>
        <v>224.31468710757127</v>
      </c>
      <c r="AZ62" s="19">
        <f>AY62*Basicinfo!BO62/1000/86.4/0.365</f>
        <v>0.11578823365028697</v>
      </c>
      <c r="BA62" s="19">
        <f>IF(Basicinfo!AP62-AQ62-AR62-AU62-AW62-AZ62-Basicinfo!CB62-Basicinfo!CG62&lt;0,0,Basicinfo!AP62-AQ62-AR62-AU62-AW62-AZ62-Basicinfo!CB62-Basicinfo!CG62)</f>
        <v>17.832818538339367</v>
      </c>
      <c r="BB62" s="53">
        <f t="shared" si="34"/>
        <v>848.93211262367936</v>
      </c>
      <c r="BC62" s="56">
        <f>IF(G62=0,0,((Basicinfo!H62*Basicinfo!BE62+Basicinfo!I62*Basicinfo!BF62+Basicinfo!J62*Basicinfo!BG62+Basicinfo!K62*Basicinfo!BH62+Basicinfo!L62*Basicinfo!BI62)*(1-Basicinfo!BN62/G62*Parameters!$C$26/100)/G62)*Basicinfo!BM62)</f>
        <v>8.5921967511494017</v>
      </c>
      <c r="BD62" s="43">
        <f>IF(Basicinfo!AW62*Parameters!$C$39-Parameters!$C$40&lt;0,0.001,(Basicinfo!AW62*Parameters!$C$39-Parameters!$C$40)/(Basicinfo!AX62*Parameters!$C$39-Parameters!$C$40))</f>
        <v>1.0991245153718294</v>
      </c>
      <c r="BE62" s="43">
        <f>(BC62*G62*100+Basicinfo!BJ62*Basicinfo!M62*100)*Parameters!$C$29*BD62</f>
        <v>372082.26141035109</v>
      </c>
      <c r="BF62" s="43">
        <f>(Basicinfo!BK62*Basicinfo!P62*100)*BD62*Parameters!$C$29</f>
        <v>8415.4728580336559</v>
      </c>
      <c r="BG62" s="43">
        <f>Parameters!$C$27*(V62+W62)*100</f>
        <v>0</v>
      </c>
      <c r="BH62" s="43">
        <f>Parameters!$C$28*Basicinfo!R62*100</f>
        <v>0</v>
      </c>
      <c r="BI62" s="43">
        <f t="shared" si="46"/>
        <v>8415.4728580336559</v>
      </c>
      <c r="BJ62" s="43">
        <f>IF(Basicinfo!AM62&lt;Parameters!$C$33,0,Parameters!$C$30*(((Basicinfo!AM62-Parameters!$C$33)^Parameters!$C$31)*(((G62-Basicinfo!BN62)/Basicinfo!G62*100+Parameters!$C$34))^Parameters!$C$32))</f>
        <v>4.5518942607379715</v>
      </c>
      <c r="BK62" s="58">
        <f t="shared" si="47"/>
        <v>25352.263960395485</v>
      </c>
      <c r="BL62" s="61">
        <f>Basicinfo!AZ62+Basicinfo!BA62</f>
        <v>1600.8784072121234</v>
      </c>
      <c r="BM62" s="19">
        <f>Basicinfo!BB62+Basicinfo!BC62</f>
        <v>1736.0018500606498</v>
      </c>
      <c r="BN62" s="172">
        <f>IF(Basicinfo!AO62=0,0,IF(Basicinfo!AO62="NA",1,IF(OR(Basicinfo!AO62="SA",Basicinfo!AN62="S"),3,IF(Basicinfo!AN62="N",1,IF(Basicinfo!AO62="ZA",2,0)))))</f>
        <v>1</v>
      </c>
      <c r="BO62" s="27">
        <f>IF($BN62=1,(BL62)*(1+Parameters!$C$21*Parameters!$C$22-Parameters!$C$22*Basicinfo!$AL62),IF($BN62=2,(BL62)*(1+Parameters!$C$21*Parameters!$C$23-Parameters!$C$23*Basicinfo!$AL62),IF($BN62=3,(BL62)*(1+Parameters!$C$21*Parameters!$C$24-Parameters!$C$24*Basicinfo!$AL62),BL62)))</f>
        <v>1636.301305410652</v>
      </c>
      <c r="BP62" s="27">
        <f>IF($BN62=1,(BM62)*(1+Parameters!$C$21*Parameters!$C$22-Parameters!$C$22*Basicinfo!$AL62),IF($BN62=2,(BM62)*(1+Parameters!$C$21*Parameters!$C$23-Parameters!$C$23*Basicinfo!$AL62),IF($BN62=3,(BM62)*(1+Parameters!$C$21*Parameters!$C$24-Parameters!$C$24*Basicinfo!$AL62),BM62)))</f>
        <v>1774.4146467665819</v>
      </c>
      <c r="BQ62" s="27">
        <f>IF(Basicinfo!AU62=0,0,IF(G62+Basicinfo!M62=0,0,(Parameters!$C$16+BO62/Basicinfo!AU62)*G62+(Parameters!$C$17+BO62/Basicinfo!AU62)*Basicinfo!M62)/(G62+Basicinfo!M62))</f>
        <v>2.0053423894406621</v>
      </c>
      <c r="BR62" s="27">
        <f>IF(Basicinfo!AU62=0,0,IF(G62+Basicinfo!M62=0,0,(Parameters!$C$16+BP62/Basicinfo!AU62)*G62+(Parameters!$C$17+BP62/Basicinfo!AU62)*Basicinfo!M62)/(G62+Basicinfo!M62))</f>
        <v>2.151820995066609</v>
      </c>
      <c r="BS62" s="27">
        <f>IF(Basicinfo!AU62=0,0,BO62/Basicinfo!AU62)</f>
        <v>1.7354089854562649</v>
      </c>
      <c r="BT62" s="27">
        <f>IF(Basicinfo!AU62=0,0,BP62/Basicinfo!AU62)</f>
        <v>1.8818875910822117</v>
      </c>
      <c r="BU62" s="27">
        <f>IF(SUM(G62,Basicinfo!M62,Basicinfo!P62,W62)=0,0,(BQ62*(G62+Basicinfo!M62)+BS62*(Basicinfo!P62+W62))/SUM(G62,Basicinfo!M62,Basicinfo!P62,W62))</f>
        <v>1.9220359670753224</v>
      </c>
      <c r="BV62" s="19">
        <f>IF(Basicinfo!BR62/Parameters!$C$10&gt;1,1,Basicinfo!BR62/Parameters!$C$10)</f>
        <v>0.60410512227015001</v>
      </c>
      <c r="BW62" s="19">
        <f>Parameters!$C$5+Parameters!$C$6*EXP(BV62*Parameters!$C$8*Parameters!$C$7)</f>
        <v>3.7824254271786158E-2</v>
      </c>
      <c r="BX62" s="19">
        <f>Parameters!$C$5+Parameters!$C$6*EXP(BV62*Parameters!$C$9*Parameters!$C$7)</f>
        <v>3.6107252161157143E-2</v>
      </c>
      <c r="BY62" s="19">
        <f>IF(Basicinfo!AH62+Basicinfo!AI62+Basicinfo!AJ62+Basicinfo!AK62=0,0,(Parameters!$C$18*(Basicinfo!AH62+Basicinfo!AI62)+Parameters!$C$19*Basicinfo!AJ62+Parameters!$C$20*Basicinfo!AK62)/(Basicinfo!AH62+Basicinfo!AI62+Basicinfo!AJ62+Basicinfo!AK62))</f>
        <v>3.4806415852714753E-2</v>
      </c>
      <c r="BZ62" s="19">
        <f>IF(Basicinfo!AJ62+Basicinfo!AK62=0,Parameters!$C$18,(Parameters!$C$19*Basicinfo!AJ62+Parameters!$C$20*Basicinfo!AK62)/(Basicinfo!AJ62+Basicinfo!AK62))</f>
        <v>2.5000000000000001E-2</v>
      </c>
      <c r="CA62" s="19">
        <f>IF(SUM(G62,Basicinfo!M62,Basicinfo!P62,W62)=0,0,(BW62*G62+BX62*Basicinfo!M62+BY62*Basicinfo!P62+BZ62*W62)/(SUM(G62,Basicinfo!M62,Basicinfo!P62,W62)))</f>
        <v>3.6773919844467158E-2</v>
      </c>
      <c r="CB62" s="19">
        <f>IF(Y62=0,Basicinfo!BP62,Basicinfo!BP62-(AU62*X62/Y62*Intermediate!BQ62*86400*365/1000000)*1000/(X62*100))</f>
        <v>49.145129897657007</v>
      </c>
      <c r="CC62" s="19">
        <f>IF(Y62=0,Basicinfo!BQ62,Basicinfo!BQ62-(AU62*Basicinfo!AV62/Basicinfo!AU62*X62/Y62*Intermediate!BR62*86400*365/1000000)*1000/(X62*100))</f>
        <v>53.045176733536834</v>
      </c>
      <c r="CD62" s="19">
        <f>IF(OR(Y62=0,AA62=0),BP62/100,BP62/100-(AU62*Basicinfo!AV62/Basicinfo!AU62*(Basicinfo!P62+W62)/Y62*Intermediate!BT62*86400*365/1000000+AW62*Basicinfo!AV62/Basicinfo!AU62*Intermediate!BT62*86400*365/1000000)*1000/(AA62*100))</f>
        <v>13.979372077877899</v>
      </c>
      <c r="CE62" s="19">
        <f t="shared" si="35"/>
        <v>2228727.7070125816</v>
      </c>
      <c r="CF62" s="19">
        <f t="shared" si="36"/>
        <v>338712.19730731862</v>
      </c>
      <c r="CG62" s="19">
        <f>IF(AY62=0,0,((CB62^Parameters!$C$58))/AY62*100)</f>
        <v>12.215203430776821</v>
      </c>
      <c r="CH62" s="19">
        <f>IF(SUM(Basicinfo!AB62:AG62)=0,0,(Parameters!$C$59*Basicinfo!AB62+Parameters!$C$60*SUM(Basicinfo!AC62:AE62)+Parameters!$C$61*Basicinfo!AF62+Parameters!$C$62*Basicinfo!AG62)/SUM(Basicinfo!AB62:AG62))</f>
        <v>7.0455668372245761E-2</v>
      </c>
      <c r="CI62" s="19">
        <f t="shared" si="31"/>
        <v>4</v>
      </c>
      <c r="CJ62" s="19">
        <f t="shared" si="37"/>
        <v>38.756687539001589</v>
      </c>
      <c r="CK62" s="19">
        <f t="shared" si="42"/>
        <v>4.56534591667425</v>
      </c>
      <c r="CL62" s="19">
        <f>IF($BB62=0,0,$CJ62^Parameters!$C$58*100/$BB62)</f>
        <v>2.6376774828770744</v>
      </c>
      <c r="CM62" s="19">
        <f>IF(CK62=0,0,(1/(1+Parameters!$C$116*BB62^Parameters!$C$120)*Basicinfo!AH62/Basicinfo!G62+1/(1+Parameters!$C$117*BB62^Parameters!$C$121)*Basicinfo!AI62/Basicinfo!G62)*(CK62)^Parameters!$C$124+(1/(1+Parameters!$C$118*BB62^Parameters!$C$122)*Basicinfo!AJ62/Basicinfo!G62+1/(1+Parameters!$C$119*BB62^Parameters!$C$123)*Basicinfo!AK62/Basicinfo!G62)*(CK62)^Parameters!$C$125)</f>
        <v>2.3428807490604138</v>
      </c>
      <c r="CN62" s="19">
        <f>IF(SUM(Basicinfo!AB62:AG62)=0,0,(Parameters!$C$128*Basicinfo!AB62+Parameters!$C$129*(SUM(Basicinfo!AC62:AE62))+Parameters!$C$130*Basicinfo!AF62+Parameters!$C$131*Basicinfo!AG62)/SUM(Basicinfo!AB62:AG62))</f>
        <v>1.1493666910320824E-2</v>
      </c>
      <c r="CO62" s="19">
        <f>IF(Basicinfo!AH62+Basicinfo!AI62+Basicinfo!AJ62+Basicinfo!AK62=0,0,(Parameters!$C$132*(Basicinfo!AH62+Basicinfo!AI62)+Parameters!$C$133*Basicinfo!AJ62+Parameters!$C$134*Basicinfo!AK62)/(Basicinfo!AH62+Basicinfo!AI62+Basicinfo!AJ62+Basicinfo!AK62))</f>
        <v>5.0000000000000001E-4</v>
      </c>
      <c r="CP62" s="19">
        <f>IF(Basicinfo!AJ62+Basicinfo!AK62=0,0,(Parameters!$C$133*Basicinfo!AJ62+Parameters!$C$134*Basicinfo!AK62)/(Basicinfo!AJ62+Basicinfo!AK62))</f>
        <v>5.0000000000000001E-4</v>
      </c>
      <c r="CQ62" s="19">
        <f>IF(Z62=0,0,(CN62*(Z62-AA62)+CO62*Basicinfo!P62+CP62*(Basicinfo!Q62+Basicinfo!R62))/Z62)</f>
        <v>7.4368494035125425E-3</v>
      </c>
      <c r="CR62" s="289">
        <f>Basicinfo!EI62</f>
        <v>4.4348712018853098E-2</v>
      </c>
      <c r="CS62" s="19">
        <f>IF(SUM(Basicinfo!AB62:AG62)=0,0,(Basicinfo!AB62*Parameters!$C$43+(Basicinfo!AC62+Basicinfo!AD62)*Parameters!$C$44+Basicinfo!AE62*Parameters!$C$45+(Basicinfo!AF62+Basicinfo!AG62)*Parameters!$C$46)/SUM(Basicinfo!AB62:AG62))</f>
        <v>23.153337498757956</v>
      </c>
      <c r="CT62" s="19">
        <f>(Parameters!$C$41*CS62+Parameters!$C$42)</f>
        <v>511.16404248733113</v>
      </c>
      <c r="CU62" s="19">
        <f>CT62+Basicinfo!BR62/(Parameters!$C$47*Parameters!$C$49*Parameters!$C$48*10000/1000000)</f>
        <v>723.93062643153485</v>
      </c>
      <c r="CV62" s="19">
        <f>IF(BK62/Basicinfo!G62&lt;Parameters!$C$35,Parameters!$C$35,Parameters!$C$37*(BK62/Basicinfo!G62)^Parameters!$C$38)</f>
        <v>1.4368359653288074</v>
      </c>
      <c r="CW62" s="19">
        <f>IF(BK62/Basicinfo!G62&lt;Parameters!$C$35,Parameters!$C$36,Parameters!$C$36*(BK62/Basicinfo!G62)^Parameters!$C$38)</f>
        <v>3.3765645185226978</v>
      </c>
      <c r="CX62" s="27">
        <f>IF(Basicinfo!AJ62+Basicinfo!AK62=0,0,(Parameters!$C$53*Basicinfo!AJ62+Parameters!$C$54*Basicinfo!AK62)/(Basicinfo!AJ62+Basicinfo!AK62))</f>
        <v>750</v>
      </c>
      <c r="CY62" s="56">
        <f>IF(Basicinfo!AU62*AB62=0,0,((Basicinfo!AZ62+Basicinfo!BA62)/Basicinfo!AU62+Parameters!$C$76/(Basicinfo!AU62*AB62)*100))</f>
        <v>2.6877974012612258</v>
      </c>
      <c r="CZ62" s="43">
        <f>IF(Basicinfo!AU62*AB62=0,0,(Parameters!$C$77)/(Basicinfo!AU62*AB62)*100)</f>
        <v>0.61872300753380427</v>
      </c>
      <c r="DA62" s="43">
        <f>IF(AD62+AJ62=0,0,((J62*Parameters!$C$96+Parameters!$C$94/100*S62*100*Parameters!$C$93/1000*86400*Parameters!$C$95/24*Parameters!$C$98)*AI62+AD62*CY62*86400*365)/((AD62+AJ62*AI62/365)*86400*365))</f>
        <v>8.4543948107339126</v>
      </c>
      <c r="DB62" s="43">
        <f>IF(AD62+AJ62=0,0,((J62*Parameters!$C$97+Parameters!$C$94/100*S62*100*Parameters!$C$93/1000*86400*Parameters!$C$95/24*Parameters!$C$99)*AI62+AD62*CZ62*86400*365)/((AD62+AJ62*AI62/365)*86400*365))</f>
        <v>1.5451109221985846</v>
      </c>
      <c r="DC62" s="42">
        <f>IF(AE62+AL62=0,0,((K62*Parameters!$C$96+Parameters!$C$94/100*T62*100*Parameters!$C$93/1000*86400*Parameters!$C$95/24*Parameters!$C$98)*365+AE62*CY62*86400*365)/((AE62+AL62)*86400*365))</f>
        <v>0</v>
      </c>
      <c r="DD62" s="42">
        <f>IF(AE62+AL62=0,0,((K62*Parameters!$C$97+Parameters!$C$94/100*T62*100*Parameters!$C$93/1000*86400*Parameters!$C$95/24*Parameters!$C$99)*365+AE62*CZ62*86400*365)/((AE62+AL62)*86400*365))</f>
        <v>0</v>
      </c>
      <c r="DE62" s="42">
        <f>IF(Basicinfo!AH62+Basicinfo!AI62+Basicinfo!AJ62+Basicinfo!AK62=0,0,((Basicinfo!AH62+Basicinfo!AI62)*Parameters!$C$107+(Basicinfo!AJ62+Basicinfo!AK62)*Parameters!$C$106)/(Basicinfo!AH62+Basicinfo!AI62+Basicinfo!AJ62+Basicinfo!AK62))</f>
        <v>89.225663410858999</v>
      </c>
      <c r="DF62" s="42">
        <f>IF(Basicinfo!AH62+Basicinfo!AI62+Basicinfo!AJ62+Basicinfo!AK62=0,0,((Basicinfo!AH62+Basicinfo!AI62)*Parameters!$C$109+(Basicinfo!AJ62+Basicinfo!AK62)*Parameters!$C$108)/(Basicinfo!AH62+Basicinfo!AI62+Basicinfo!AJ62+Basicinfo!AK62))</f>
        <v>89.225663410858999</v>
      </c>
      <c r="DG62" s="42">
        <f>Intermediate!AC62*Intermediate!CY62*(1-Parameters!$C$102/100*Basicinfo!BZ62/100)*(1-Parameters!$C$104/100*Basicinfo!CA62/100)*86400*365/1000000</f>
        <v>9.0042319578033716</v>
      </c>
      <c r="DH62" s="42">
        <f>Intermediate!AC62*Intermediate!CZ62*(1-Parameters!$C$103/100*Basicinfo!BZ62/100)*(1-Parameters!$C$105/100*Basicinfo!CA62/100)*86400*365/1000000</f>
        <v>2.0727475496664645</v>
      </c>
      <c r="DI62" s="42">
        <f>(Intermediate!AK62*Intermediate!DA62+(Intermediate!AE62+Intermediate!AL62)*Intermediate!DC62)*86400*365/1000000</f>
        <v>27.038245727031214</v>
      </c>
      <c r="DJ62" s="42">
        <f>(Intermediate!AK62*Intermediate!DB62+(Intermediate!AE62+Intermediate!AL62)*Intermediate!DD62)*86400*365/1000000</f>
        <v>4.9414641408612594</v>
      </c>
      <c r="DK62" s="42">
        <f>((Basicinfo!AZ62+Basicinfo!BA62)*Intermediate!AB62+Parameters!$C$76*100)/1000*Intermediate!U62*(1-Intermediate!DE62/100)+(1-Parameters!$C$110/100)*M62*Parameters!$C$100*(1-DE62/100)*365/1000000+(1-Parameters!$C$112/100)*P62*Parameters!$C$96*365/1000000+(1-Parameters!$C$112/100)*O62*Parameters!$C$96*(1-DE62/100)*365/1000000</f>
        <v>3.6952194342203288</v>
      </c>
      <c r="DL62" s="42">
        <f>Parameters!$C$77*100/1000*Intermediate!U62*(1-Intermediate!DF62/100)+(1-Parameters!$C$111/100)*M62*Parameters!$C$101*(1-DF62/100)*365/1000000+(1-Parameters!$C$113/100)*P62*Parameters!$C$97*365/1000000+(1-Parameters!$C$113/100)*O62*Parameters!$C$97*(1-DF62/100)*365/1000000</f>
        <v>0.57033531649535685</v>
      </c>
      <c r="DM62" s="31"/>
      <c r="DN62" s="31"/>
      <c r="DO62" s="31"/>
      <c r="DP62" s="31"/>
      <c r="DQ62" s="31"/>
      <c r="DR62" s="31"/>
      <c r="DS62" s="31"/>
      <c r="DT62" s="188">
        <f>BO62*(Basicinfo!$P62+Basicinfo!$Q62)/1000</f>
        <v>318.77693061726319</v>
      </c>
      <c r="DU62" s="188">
        <f>DT62*Basicinfo!$AZ62/(Basicinfo!$AZ62+Basicinfo!$BA62)</f>
        <v>191.97655111904322</v>
      </c>
      <c r="DV62" s="188">
        <f>DT62*Basicinfo!$BC62/(Basicinfo!$BB62+Basicinfo!$BC62)</f>
        <v>121.92223864187085</v>
      </c>
      <c r="DW62" s="188">
        <f>BP62*(Basicinfo!$P62+Basicinfo!$Q62)/1000</f>
        <v>345.68355648693353</v>
      </c>
      <c r="DX62" s="188">
        <f>DW62*Basicinfo!$BB62/(Basicinfo!$BB62+Basicinfo!$BC62)</f>
        <v>213.47037221741874</v>
      </c>
      <c r="DY62" s="188">
        <f>DW62*Basicinfo!$BC62/(Basicinfo!$BB62+Basicinfo!$BC62)</f>
        <v>132.21318426951481</v>
      </c>
      <c r="DZ62" s="188">
        <f t="shared" si="38"/>
        <v>714.13913455536488</v>
      </c>
      <c r="EA62" s="188">
        <f>DZ62*Basicinfo!$AZ62/(Basicinfo!$AZ62+Basicinfo!$BA62)</f>
        <v>430.07493611789243</v>
      </c>
      <c r="EB62" s="188">
        <f>DZ62*Basicinfo!$BC62/(Basicinfo!$BB62+Basicinfo!$BC62)</f>
        <v>273.13595691558214</v>
      </c>
      <c r="EC62" s="188">
        <f t="shared" si="39"/>
        <v>774.41662852321349</v>
      </c>
      <c r="ED62" s="188">
        <f>EC62*Basicinfo!$AZ62/(Basicinfo!$AZ62+Basicinfo!$BA62)</f>
        <v>466.37576058357547</v>
      </c>
      <c r="EE62" s="188">
        <f>EC62*Basicinfo!$BC62/(Basicinfo!$BB62+Basicinfo!$BC62)</f>
        <v>296.19021931170795</v>
      </c>
      <c r="EF62" s="190">
        <f>(Basicinfo!BP62-BL62/100)*Intermediate!X62/10</f>
        <v>1664.9566883528501</v>
      </c>
      <c r="EG62" s="191">
        <f>(Basicinfo!BQ62-BM62/100)*Intermediate!X62/10</f>
        <v>1791.0884644417488</v>
      </c>
      <c r="EH62" s="197">
        <f>IF(AU62=0,0,$BS62*((Basicinfo!$P62+Basicinfo!$Q62)*Intermediate!$AT62*1000+$AW62*3600*24*365)/1000000*Basicinfo!AZ62/(Basicinfo!$AZ62+Basicinfo!$BA62))</f>
        <v>49.733559338415603</v>
      </c>
      <c r="EI62" s="197">
        <f>IF(AU62=0,0,$BS62*((Basicinfo!$P62+Basicinfo!$Q62)*Intermediate!$AT62*1000+$AW62*3600*24*365)/1000000*Basicinfo!BA62/(Basicinfo!$AZ62+Basicinfo!$BA62))</f>
        <v>32.848981613373674</v>
      </c>
      <c r="EJ62" s="198">
        <f>IF(AU62=0,0,$BS62*($AT62*$X62*1000)/1000000*Basicinfo!AZ62/(Basicinfo!$AZ62+Basicinfo!$BA62))</f>
        <v>111.41546835124281</v>
      </c>
      <c r="EK62" s="198">
        <f>IF(AU62=0,0,$BS62*($AT62*$X62*1000)/1000000*Basicinfo!BA62/(Basicinfo!$AZ62+Basicinfo!$BA62))</f>
        <v>73.589839939093054</v>
      </c>
      <c r="EL62" s="147">
        <f>Parameters!$C$150/Basicinfo!$AV62*100</f>
        <v>0.10655029432945064</v>
      </c>
      <c r="EM62" s="147">
        <f>Parameters!$C$151/Basicinfo!$AV62*100</f>
        <v>0.21310058865890127</v>
      </c>
      <c r="EN62" s="147">
        <f>(Parameters!$C$150+Parameters!$C$151)/Intermediate!$BB62*100</f>
        <v>0.35338514769199941</v>
      </c>
      <c r="EO62" s="193">
        <f>IF(EN62=0,0,(1/(1+Parameters!$C$116*$BB62^Parameters!$C$120)*Basicinfo!$AH62/Basicinfo!$G62+1/(1+Parameters!$C$117*$BB62^Parameters!$C$121)*Basicinfo!$AI62/Basicinfo!$G62)*(EN62)^Parameters!$C$124+(1/(1+Parameters!$C$118*$BB62^Parameters!$C$122)*Basicinfo!$AJ62/Basicinfo!AW62+1/(1+Parameters!$C$119*$BB62^Parameters!$C$123)*Basicinfo!$AK62/Basicinfo!$G62)*(EN62)^Parameters!$C$125)</f>
        <v>0.45793311669828834</v>
      </c>
      <c r="EP62" s="199">
        <f>EL62*($AT62*Basicinfo!$P62*1000+$AW62*3600*24*365)/1000000</f>
        <v>5.0703863576997783</v>
      </c>
      <c r="EQ62" s="199">
        <f>EM62*($AT62*Basicinfo!$P62*1000+$AW62*3600*24*365)/1000000</f>
        <v>10.140772715399557</v>
      </c>
      <c r="ER62" s="199">
        <f t="shared" si="40"/>
        <v>11.35891897301855</v>
      </c>
      <c r="ES62" s="199">
        <f t="shared" si="41"/>
        <v>22.7178379460371</v>
      </c>
      <c r="ET62" s="181">
        <f t="shared" si="48"/>
        <v>257.53048701668797</v>
      </c>
      <c r="EU62" s="147">
        <f>Intermediate!F62*(Parameters!$C$150)/1000*100</f>
        <v>1.165707864250811</v>
      </c>
      <c r="EV62" s="147">
        <f>Intermediate!F62*(Parameters!$C$151)/1000*100</f>
        <v>2.3314157285016219</v>
      </c>
      <c r="EW62" s="181">
        <f>'Local emissions'!$S62*Basicinfo!AZ62/(Basicinfo!$AZ62+Basicinfo!$BA62)-Intermediate!EU62</f>
        <v>10.321495345202738</v>
      </c>
      <c r="EX62" s="147">
        <f>'Local emissions'!$S62*Basicinfo!BA62/(Basicinfo!$AZ62+Basicinfo!$BA62)-Intermediate!EV62</f>
        <v>5.2558740620554829</v>
      </c>
      <c r="EY62" s="188">
        <f t="shared" si="49"/>
        <v>44.663172980715828</v>
      </c>
      <c r="EZ62" s="188">
        <f t="shared" si="50"/>
        <v>22.708208897974117</v>
      </c>
      <c r="FA62" s="188">
        <f t="shared" si="51"/>
        <v>100.05654937822426</v>
      </c>
      <c r="FB62" s="181">
        <f t="shared" si="52"/>
        <v>50.872001993055953</v>
      </c>
      <c r="FC62" s="181">
        <f>'Local emissions'!Y62-Intermediate!ET62</f>
        <v>1060.140853218777</v>
      </c>
      <c r="FD62" s="188">
        <f t="shared" si="53"/>
        <v>77.737546339400737</v>
      </c>
      <c r="FE62" s="188">
        <f t="shared" si="54"/>
        <v>48.146861937183047</v>
      </c>
      <c r="FF62" s="181">
        <f t="shared" si="55"/>
        <v>84.917890298644082</v>
      </c>
      <c r="FG62" s="201">
        <f t="shared" si="56"/>
        <v>53.930436949747268</v>
      </c>
      <c r="FH62" s="181">
        <f t="shared" si="57"/>
        <v>795.40811769380184</v>
      </c>
      <c r="FJ62" s="147">
        <f>AVERAGE(Parameters!$C$132:$C$134)*'Local emissions'!J62*3600*24*365/1000000</f>
        <v>0.28118788271253514</v>
      </c>
      <c r="FK62" s="147">
        <f>'Local emissions'!AJ62+CT62*BJ62/100*Intermediate!X62*100/1000000</f>
        <v>4.8024442889271679</v>
      </c>
      <c r="FL62" s="31">
        <f>(Parameters!$C$18*(Basicinfo!AH62+Basicinfo!AI62)+Parameters!$C$19*Basicinfo!AJ62+Parameters!$C$20*Basicinfo!AK62)/Basicinfo!G62</f>
        <v>3.480641585271476E-2</v>
      </c>
      <c r="FM62" s="181">
        <f t="shared" si="32"/>
        <v>5.905041393736151</v>
      </c>
    </row>
    <row r="63" spans="1:169">
      <c r="A63" s="39" t="str">
        <f>Basicinfo!A63</f>
        <v>Enns</v>
      </c>
      <c r="B63" s="63">
        <f>Basicinfo!B63</f>
        <v>4080</v>
      </c>
      <c r="C63" s="63">
        <f>Basicinfo!C63</f>
        <v>5020</v>
      </c>
      <c r="D63" s="61">
        <f>Basicinfo!U63*Basicinfo!V63/1000+Basicinfo!Y63</f>
        <v>12.274153223112044</v>
      </c>
      <c r="E63" s="19">
        <f>Basicinfo!W63*Basicinfo!X63/1000+Basicinfo!Z63</f>
        <v>1.4496608815732939</v>
      </c>
      <c r="F63" s="19">
        <f t="shared" si="43"/>
        <v>13.723814104685339</v>
      </c>
      <c r="G63" s="19">
        <f>SUM(Basicinfo!H63:L63)</f>
        <v>53.55404465438491</v>
      </c>
      <c r="H63" s="19">
        <f>IF(Basicinfo!N63&lt;Parameters!$C$68,Parameters!$C$69,Basicinfo!BS63/(Basicinfo!N63*100))</f>
        <v>21.882695057980616</v>
      </c>
      <c r="I63" s="19">
        <f>IF(Basicinfo!N63=0,0,Basicinfo!BU63*(1-Basicinfo!BX63/100))</f>
        <v>31286.593968219633</v>
      </c>
      <c r="J63" s="19">
        <f>IF(Basicinfo!N63=0,0,Basicinfo!BU63*Basicinfo!BX63/100)</f>
        <v>28879.932893741199</v>
      </c>
      <c r="K63" s="19">
        <f>IF(Basicinfo!N63=0,0,Basicinfo!BT63-Basicinfo!BU63)</f>
        <v>0</v>
      </c>
      <c r="L63" s="27">
        <f>Basicinfo!BV63*Basicinfo!BW63/100</f>
        <v>3868.3500000000004</v>
      </c>
      <c r="M63" s="27">
        <f>Basicinfo!BV63-Intermediate!L63</f>
        <v>3868.3500000000013</v>
      </c>
      <c r="N63" s="73">
        <f>Basicinfo!BS63-SUM(I63:K63)-Basicinfo!BV63</f>
        <v>0</v>
      </c>
      <c r="O63" s="19">
        <f>IF(Basicinfo!AH63+Basicinfo!AI63+Basicinfo!AJ63+Basicinfo!AK63=0,0,N63*(Basicinfo!AH63+Basicinfo!AI63)/SUM(Basicinfo!AH63:AK63))</f>
        <v>0</v>
      </c>
      <c r="P63" s="73">
        <f t="shared" si="25"/>
        <v>0</v>
      </c>
      <c r="Q63" s="19">
        <f>IF(Basicinfo!BS63=0,Basicinfo!N63,IF(H63&gt;Parameters!$C$70,Parameters!$C$64*(Parameters!$C$65*Parameters!$C$70)^(Parameters!$C$66-Parameters!$C$67*LOG(Parameters!$C$65*Parameters!$C$70,10))/100*Basicinfo!N63,Parameters!$C$64*(Parameters!$C$65*H63)^(Parameters!$C$66-Parameters!$C$67*LOG(Parameters!$C$65*H63,10))/100*Basicinfo!N63))</f>
        <v>9.5883386205157777</v>
      </c>
      <c r="R63" s="19">
        <f>IF(Basicinfo!BS63=0,Q63*(1-Basicinfo!BX63/100),IF(H63&lt;Parameters!$C$75,Q63*Basicinfo!BU63/Basicinfo!BS63*(1-Basicinfo!BX63/100)*(-Parameters!$C$74+Parameters!$C$73*LN(H63*100)),Q63*Basicinfo!BU63/Basicinfo!BS63*(1-Basicinfo!BX63/100)))</f>
        <v>2.6213695565714716</v>
      </c>
      <c r="S63" s="19">
        <f>IF(Basicinfo!BS63=0,Q63*Basicinfo!BX63/100,Q63*Basicinfo!BU63/Basicinfo!BS63*Basicinfo!BX63/100)</f>
        <v>4.0780179193234645</v>
      </c>
      <c r="T63" s="19">
        <f>IF(Basicinfo!BS63=0,0,IF(H63&lt;Parameters!$C$75,Q63*K63/Basicinfo!BS63*(-Parameters!$C$74+Parameters!$C$73*LN(H63*100)),Q63*K63/Basicinfo!BS63))</f>
        <v>0</v>
      </c>
      <c r="U63" s="19">
        <f t="shared" si="26"/>
        <v>2.888951144620842</v>
      </c>
      <c r="V63" s="19">
        <f>IF(Basicinfo!AL63&gt;Parameters!$C$14,Basicinfo!Q63,0)</f>
        <v>0</v>
      </c>
      <c r="W63" s="19">
        <f>IF(Basicinfo!AL63&gt;Parameters!$C$14,0,Basicinfo!Q63)</f>
        <v>1.4012614885295298</v>
      </c>
      <c r="X63" s="19">
        <f>G63+Basicinfo!M63</f>
        <v>219.44861182169601</v>
      </c>
      <c r="Y63" s="19">
        <f>IF(Basicinfo!G63-F63-Q63-V63-Basicinfo!O63-Basicinfo!R63-Basicinfo!S63&lt;0,0,Basicinfo!G63-F63-Q63-V63-Basicinfo!O63-Basicinfo!R63-Basicinfo!S63)</f>
        <v>622.00208689518604</v>
      </c>
      <c r="Z63" s="19">
        <f>Basicinfo!G63-F63-Basicinfo!BO63-Q63-Basicinfo!O63</f>
        <v>618.30972289611373</v>
      </c>
      <c r="AA63" s="53">
        <f>IF(Z63+Basicinfo!BO63-X63&gt;0,Z63+Basicinfo!BO63-X63,0)</f>
        <v>402.55381850369349</v>
      </c>
      <c r="AB63" s="56">
        <f>IF(Basicinfo!N63=0,0,Parameters!$C$71+Parameters!$C$72*Q63/Basicinfo!N63)</f>
        <v>0.38174748076252141</v>
      </c>
      <c r="AC63" s="43">
        <f>Basicinfo!AU63*AB63*R63/1000/86.4/0.365</f>
        <v>4.4870810258891024E-2</v>
      </c>
      <c r="AD63" s="43">
        <f>Basicinfo!AU63*AB63*S63/1000/86.4/0.365</f>
        <v>6.9804720143941928E-2</v>
      </c>
      <c r="AE63" s="43">
        <f>Basicinfo!AU63*AB63*T63/1000/86.4/0.365</f>
        <v>0</v>
      </c>
      <c r="AF63" s="43">
        <f>Basicinfo!AU63*AB63*U63/1000/86.4/0.365</f>
        <v>4.9451088776293076E-2</v>
      </c>
      <c r="AG63" s="43">
        <f>((Parameters!$C$80+Parameters!$C$81*Parameters!$C$89)/(Parameters!$C$82+Parameters!$C$89)/(Parameters!$C$90/100*Parameters!$C$91+(Parameters!$C$83+Parameters!$C$84*Parameters!$C$89)/(Parameters!$C$85+Parameters!$C$89)))-Parameters!$C$86+(Basicinfo!AU63-Parameters!$C$88)/Parameters!$C$87</f>
        <v>86.740023644058653</v>
      </c>
      <c r="AH63" s="43">
        <f>((Parameters!$C$80+Parameters!$C$81*Parameters!$C$89)/(Parameters!$C$82+Parameters!$C$89)/(Basicinfo!BY63/100*Parameters!$C$91+(Parameters!$C$83+Parameters!$C$84*Parameters!$C$89)/(Parameters!$C$85+Parameters!$C$89)))-Parameters!$C$86+(Basicinfo!AU63-Parameters!$C$88)/Parameters!$C$87</f>
        <v>68.937141777443074</v>
      </c>
      <c r="AI63" s="43">
        <f>Basicinfo!AU63^Parameters!$C$79*Parameters!$C$78*AH63/AG63</f>
        <v>71.71007919867867</v>
      </c>
      <c r="AJ63" s="43">
        <f>(J63*Parameters!$C$92/1000+Parameters!$C$94/100*S63*100*Parameters!$C$93/1000*86400*Parameters!$C$95/24)/86400</f>
        <v>4.3589536664282488E-2</v>
      </c>
      <c r="AK63" s="43">
        <f t="shared" si="44"/>
        <v>5.4025059630453037E-2</v>
      </c>
      <c r="AL63" s="43">
        <f>(K63*Parameters!$C$92/1000+Parameters!$C$94/100*T63*100*Parameters!$C$93/1000*86400*Parameters!$C$95/24)/86400</f>
        <v>0</v>
      </c>
      <c r="AM63" s="43">
        <f>(Intermediate!N63+Basicinfo!BV63-Intermediate!L63)*Parameters!$C$92/1000/86400</f>
        <v>5.8204340277777794E-3</v>
      </c>
      <c r="AN63" s="43">
        <f t="shared" si="45"/>
        <v>9.2992189151867632E-2</v>
      </c>
      <c r="AO63" s="43">
        <f t="shared" si="27"/>
        <v>5.4025059630453037E-2</v>
      </c>
      <c r="AP63" s="43">
        <f t="shared" si="28"/>
        <v>5.5271522804070855E-2</v>
      </c>
      <c r="AQ63" s="43">
        <f t="shared" si="33"/>
        <v>0.15416739269341492</v>
      </c>
      <c r="AR63" s="61">
        <f>(Basicinfo!AU63-Basicinfo!AY63)*F63/1000/86.4/0.365</f>
        <v>0.30973087947592076</v>
      </c>
      <c r="AS63" s="19">
        <f>IF(Basicinfo!AP63-Basicinfo!CB63-Basicinfo!CG63&lt;0,0,(Basicinfo!AP63-Basicinfo!CB63-Basicinfo!CG63)/Basicinfo!G63*1000)</f>
        <v>37.185775406318285</v>
      </c>
      <c r="AT63" s="19">
        <f>Parameters!$C$3*((AS63*86.4*0.365)^Parameters!$C$4)</f>
        <v>284.39312585274592</v>
      </c>
      <c r="AU63" s="19">
        <f>IF(AT63/86.4/0.365*(Basicinfo!G63/1000)-AN63&lt;0,0,AT63/86.4/0.365*(Basicinfo!G63/1000)-AN63)</f>
        <v>5.7387617445407146</v>
      </c>
      <c r="AV63" s="19">
        <f>IF(Basicinfo!AU63&gt;Parameters!$C$13,Parameters!$C$11*(Basicinfo!AU63-Parameters!$C$13)^Parameters!$C$12,0)</f>
        <v>188.35799493654281</v>
      </c>
      <c r="AW63" s="19">
        <f>IF(AV63*V63/1000/86.4/0.365&gt;Basicinfo!AP63*Parameters!$C$15,Basicinfo!AP63*Parameters!$C$15,AV63*V63/1000/86.4/0.365)</f>
        <v>0</v>
      </c>
      <c r="AX63" s="19">
        <f>Basicinfo!AU63-Basicinfo!AW63</f>
        <v>532.60350751900012</v>
      </c>
      <c r="AY63" s="19">
        <f>Parameters!$C$56*AX63+Parameters!$C$57*Basicinfo!AW63</f>
        <v>354.4468333064429</v>
      </c>
      <c r="AZ63" s="19">
        <f>AY63*Basicinfo!BO63/1000/86.4/0.365</f>
        <v>4.1503946430554085E-2</v>
      </c>
      <c r="BA63" s="19">
        <f>IF(Basicinfo!AP63-AQ63-AR63-AU63-AW63-AZ63-Basicinfo!CB63-Basicinfo!CG63&lt;0,0,Basicinfo!AP63-AQ63-AR63-AU63-AW63-AZ63-Basicinfo!CB63-Basicinfo!CG63)</f>
        <v>17.802982310550025</v>
      </c>
      <c r="BB63" s="53">
        <f t="shared" si="34"/>
        <v>908.01556138530259</v>
      </c>
      <c r="BC63" s="56">
        <f>IF(G63=0,0,((Basicinfo!H63*Basicinfo!BE63+Basicinfo!I63*Basicinfo!BF63+Basicinfo!J63*Basicinfo!BG63+Basicinfo!K63*Basicinfo!BH63+Basicinfo!L63*Basicinfo!BI63)*(1-Basicinfo!BN63/G63*Parameters!$C$26/100)/G63)*Basicinfo!BM63)</f>
        <v>11.698462631708187</v>
      </c>
      <c r="BD63" s="43">
        <f>IF(Basicinfo!AW63*Parameters!$C$39-Parameters!$C$40&lt;0,0.001,(Basicinfo!AW63*Parameters!$C$39-Parameters!$C$40)/(Basicinfo!AX63*Parameters!$C$39-Parameters!$C$40))</f>
        <v>1.178481898338122</v>
      </c>
      <c r="BE63" s="43">
        <f>(BC63*G63*100+Basicinfo!BJ63*Basicinfo!M63*100)*Parameters!$C$29*BD63</f>
        <v>90418.814285731816</v>
      </c>
      <c r="BF63" s="43">
        <f>(Basicinfo!BK63*Basicinfo!P63*100)*BD63*Parameters!$C$29</f>
        <v>6766.1865484492018</v>
      </c>
      <c r="BG63" s="43">
        <f>Parameters!$C$27*(V63+W63)*100</f>
        <v>28.025229770590599</v>
      </c>
      <c r="BH63" s="43">
        <f>Parameters!$C$28*Basicinfo!R63*100</f>
        <v>0</v>
      </c>
      <c r="BI63" s="43">
        <f t="shared" si="46"/>
        <v>6794.211778219792</v>
      </c>
      <c r="BJ63" s="43">
        <f>IF(Basicinfo!AM63&lt;Parameters!$C$33,0,Parameters!$C$30*(((Basicinfo!AM63-Parameters!$C$33)^Parameters!$C$31)*(((G63-Basicinfo!BN63)/Basicinfo!G63*100+Parameters!$C$34))^Parameters!$C$32))</f>
        <v>1.9683617638473165</v>
      </c>
      <c r="BK63" s="58">
        <f t="shared" si="47"/>
        <v>8573.9811459442517</v>
      </c>
      <c r="BL63" s="61">
        <f>Basicinfo!AZ63+Basicinfo!BA63</f>
        <v>1550.5193758659668</v>
      </c>
      <c r="BM63" s="19">
        <f>Basicinfo!BB63+Basicinfo!BC63</f>
        <v>1782.8017187912264</v>
      </c>
      <c r="BN63" s="172">
        <f>IF(Basicinfo!AO63=0,0,IF(Basicinfo!AO63="NA",1,IF(OR(Basicinfo!AO63="SA",Basicinfo!AN63="S"),3,IF(Basicinfo!AN63="N",1,IF(Basicinfo!AO63="ZA",2,0)))))</f>
        <v>1</v>
      </c>
      <c r="BO63" s="27">
        <f>IF($BN63=1,(BL63)*(1+Parameters!$C$21*Parameters!$C$22-Parameters!$C$22*Basicinfo!$AL63),IF($BN63=2,(BL63)*(1+Parameters!$C$21*Parameters!$C$23-Parameters!$C$23*Basicinfo!$AL63),IF($BN63=3,(BL63)*(1+Parameters!$C$21*Parameters!$C$24-Parameters!$C$24*Basicinfo!$AL63),BL63)))</f>
        <v>1515.766468229838</v>
      </c>
      <c r="BP63" s="27">
        <f>IF($BN63=1,(BM63)*(1+Parameters!$C$21*Parameters!$C$22-Parameters!$C$22*Basicinfo!$AL63),IF($BN63=2,(BM63)*(1+Parameters!$C$21*Parameters!$C$23-Parameters!$C$23*Basicinfo!$AL63),IF($BN63=3,(BM63)*(1+Parameters!$C$21*Parameters!$C$24-Parameters!$C$24*Basicinfo!$AL63),BM63)))</f>
        <v>1742.8424996862861</v>
      </c>
      <c r="BQ63" s="27">
        <f>IF(Basicinfo!AU63=0,0,IF(G63+Basicinfo!M63=0,0,(Parameters!$C$16+BO63/Basicinfo!AU63)*G63+(Parameters!$C$17+BO63/Basicinfo!AU63)*Basicinfo!M63)/(G63+Basicinfo!M63))</f>
        <v>1.1451411959963425</v>
      </c>
      <c r="BR63" s="27">
        <f>IF(Basicinfo!AU63=0,0,IF(G63+Basicinfo!M63=0,0,(Parameters!$C$16+BP63/Basicinfo!AU63)*G63+(Parameters!$C$17+BP63/Basicinfo!AU63)*Basicinfo!M63)/(G63+Basicinfo!M63))</f>
        <v>1.305726281715152</v>
      </c>
      <c r="BS63" s="27">
        <f>IF(Basicinfo!AU63=0,0,BO63/Basicinfo!AU63)</f>
        <v>1.0719294619919852</v>
      </c>
      <c r="BT63" s="27">
        <f>IF(Basicinfo!AU63=0,0,BP63/Basicinfo!AU63)</f>
        <v>1.2325145477107946</v>
      </c>
      <c r="BU63" s="27">
        <f>IF(SUM(G63,Basicinfo!M63,Basicinfo!P63,W63)=0,0,(BQ63*(G63+Basicinfo!M63)+BS63*(Basicinfo!P63+W63))/SUM(G63,Basicinfo!M63,Basicinfo!P63,W63))</f>
        <v>1.0986815216991594</v>
      </c>
      <c r="BV63" s="19">
        <f>IF(Basicinfo!BR63/Parameters!$C$10&gt;1,1,Basicinfo!BR63/Parameters!$C$10)</f>
        <v>0.45825763963883559</v>
      </c>
      <c r="BW63" s="19">
        <f>Parameters!$C$5+Parameters!$C$6*EXP(BV63*Parameters!$C$8*Parameters!$C$7)</f>
        <v>3.5369232767514164E-2</v>
      </c>
      <c r="BX63" s="19">
        <f>Parameters!$C$5+Parameters!$C$6*EXP(BV63*Parameters!$C$9*Parameters!$C$7)</f>
        <v>3.5181476815997877E-2</v>
      </c>
      <c r="BY63" s="19">
        <f>IF(Basicinfo!AH63+Basicinfo!AI63+Basicinfo!AJ63+Basicinfo!AK63=0,0,(Parameters!$C$18*(Basicinfo!AH63+Basicinfo!AI63)+Parameters!$C$19*Basicinfo!AJ63+Parameters!$C$20*Basicinfo!AK63)/(Basicinfo!AH63+Basicinfo!AI63+Basicinfo!AJ63+Basicinfo!AK63))</f>
        <v>1.8639674235347438E-2</v>
      </c>
      <c r="BZ63" s="19">
        <f>IF(Basicinfo!AJ63+Basicinfo!AK63=0,Parameters!$C$18,(Parameters!$C$19*Basicinfo!AJ63+Parameters!$C$20*Basicinfo!AK63)/(Basicinfo!AJ63+Basicinfo!AK63))</f>
        <v>1.4074058953878541E-2</v>
      </c>
      <c r="CA63" s="19">
        <f>IF(SUM(G63,Basicinfo!M63,Basicinfo!P63,W63)=0,0,(BW63*G63+BX63*Basicinfo!M63+BY63*Basicinfo!P63+BZ63*W63)/(SUM(G63,Basicinfo!M63,Basicinfo!P63,W63)))</f>
        <v>2.4690250186322926E-2</v>
      </c>
      <c r="CB63" s="19">
        <f>IF(Y63=0,Basicinfo!BP63,Basicinfo!BP63-(AU63*X63/Y63*Intermediate!BQ63*86400*365/1000000)*1000/(X63*100))</f>
        <v>65.70848467448667</v>
      </c>
      <c r="CC63" s="19">
        <f>IF(Y63=0,Basicinfo!BQ63,Basicinfo!BQ63-(AU63*Basicinfo!AV63/Basicinfo!AU63*X63/Y63*Intermediate!BR63*86400*365/1000000)*1000/(X63*100))</f>
        <v>44.181693823252722</v>
      </c>
      <c r="CD63" s="19">
        <f>IF(OR(Y63=0,AA63=0),BP63/100,BP63/100-(AU63*Basicinfo!AV63/Basicinfo!AU63*(Basicinfo!P63+W63)/Y63*Intermediate!BT63*86400*365/1000000+AW63*Basicinfo!AV63/Basicinfo!AU63*Intermediate!BT63*86400*365/1000000)*1000/(AA63*100))</f>
        <v>14.253811650847183</v>
      </c>
      <c r="CE63" s="19">
        <f t="shared" si="35"/>
        <v>953246.13084248977</v>
      </c>
      <c r="CF63" s="19">
        <f t="shared" si="36"/>
        <v>573792.63082809688</v>
      </c>
      <c r="CG63" s="19">
        <f>IF(AY63=0,0,((CB63^Parameters!$C$58))/AY63*100)</f>
        <v>9.8952582593117988</v>
      </c>
      <c r="CH63" s="19">
        <f>IF(SUM(Basicinfo!AB63:AG63)=0,0,(Parameters!$C$59*Basicinfo!AB63+Parameters!$C$60*SUM(Basicinfo!AC63:AE63)+Parameters!$C$61*Basicinfo!AF63+Parameters!$C$62*Basicinfo!AG63)/SUM(Basicinfo!AB63:AG63))</f>
        <v>8.0305660090532568E-2</v>
      </c>
      <c r="CI63" s="19">
        <f t="shared" si="31"/>
        <v>3</v>
      </c>
      <c r="CJ63" s="19">
        <f t="shared" si="37"/>
        <v>24.69698769280318</v>
      </c>
      <c r="CK63" s="19">
        <f t="shared" si="42"/>
        <v>2.7198859516377154</v>
      </c>
      <c r="CL63" s="19">
        <f>IF($BB63=0,0,$CJ63^Parameters!$C$58*100/$BB63)</f>
        <v>1.6813343898555406</v>
      </c>
      <c r="CM63" s="19">
        <f>IF(CK63=0,0,(1/(1+Parameters!$C$116*BB63^Parameters!$C$120)*Basicinfo!AH63/Basicinfo!G63+1/(1+Parameters!$C$117*BB63^Parameters!$C$121)*Basicinfo!AI63/Basicinfo!G63)*(CK63)^Parameters!$C$124+(1/(1+Parameters!$C$118*BB63^Parameters!$C$122)*Basicinfo!AJ63/Basicinfo!G63+1/(1+Parameters!$C$119*BB63^Parameters!$C$123)*Basicinfo!AK63/Basicinfo!G63)*(CK63)^Parameters!$C$125)</f>
        <v>1.0839139032296838</v>
      </c>
      <c r="CN63" s="19">
        <f>IF(SUM(Basicinfo!AB63:AG63)=0,0,(Parameters!$C$128*Basicinfo!AB63+Parameters!$C$129*(SUM(Basicinfo!AC63:AE63))+Parameters!$C$130*Basicinfo!AF63+Parameters!$C$131*Basicinfo!AG63)/SUM(Basicinfo!AB63:AG63))</f>
        <v>1.3042989386167061E-2</v>
      </c>
      <c r="CO63" s="19">
        <f>IF(Basicinfo!AH63+Basicinfo!AI63+Basicinfo!AJ63+Basicinfo!AK63=0,0,(Parameters!$C$132*(Basicinfo!AH63+Basicinfo!AI63)+Parameters!$C$133*Basicinfo!AJ63+Parameters!$C$134*Basicinfo!AK63)/(Basicinfo!AH63+Basicinfo!AI63+Basicinfo!AJ63+Basicinfo!AK63))</f>
        <v>5.0000000000000001E-4</v>
      </c>
      <c r="CP63" s="19">
        <f>IF(Basicinfo!AJ63+Basicinfo!AK63=0,0,(Parameters!$C$133*Basicinfo!AJ63+Parameters!$C$134*Basicinfo!AK63)/(Basicinfo!AJ63+Basicinfo!AK63))</f>
        <v>4.999999999999999E-4</v>
      </c>
      <c r="CQ63" s="19">
        <f>IF(Z63=0,0,(CN63*(Z63-AA63)+CO63*Basicinfo!P63+CP63*(Basicinfo!Q63+Basicinfo!R63))/Z63)</f>
        <v>4.8594700792855341E-3</v>
      </c>
      <c r="CR63" s="289">
        <f>Basicinfo!EI63</f>
        <v>1.2376729605263159E-2</v>
      </c>
      <c r="CS63" s="19">
        <f>IF(SUM(Basicinfo!AB63:AG63)=0,0,(Basicinfo!AB63*Parameters!$C$43+(Basicinfo!AC63+Basicinfo!AD63)*Parameters!$C$44+Basicinfo!AE63*Parameters!$C$45+(Basicinfo!AF63+Basicinfo!AG63)*Parameters!$C$46)/SUM(Basicinfo!AB63:AG63))</f>
        <v>23.804856061829778</v>
      </c>
      <c r="CT63" s="19">
        <f>(Parameters!$C$41*CS63+Parameters!$C$42)</f>
        <v>517.80953183066367</v>
      </c>
      <c r="CU63" s="19">
        <f>CT63+Basicinfo!BR63/(Parameters!$C$47*Parameters!$C$49*Parameters!$C$48*10000/1000000)</f>
        <v>679.2084489361655</v>
      </c>
      <c r="CV63" s="19">
        <f>IF(BK63/Basicinfo!G63&lt;Parameters!$C$35,Parameters!$C$35,Parameters!$C$37*(BK63/Basicinfo!G63)^Parameters!$C$38)</f>
        <v>2.27316838332283</v>
      </c>
      <c r="CW63" s="19">
        <f>IF(BK63/Basicinfo!G63&lt;Parameters!$C$35,Parameters!$C$36,Parameters!$C$36*(BK63/Basicinfo!G63)^Parameters!$C$38)</f>
        <v>5.3419457008086511</v>
      </c>
      <c r="CX63" s="27">
        <f>IF(Basicinfo!AJ63+Basicinfo!AK63=0,0,(Parameters!$C$53*Basicinfo!AJ63+Parameters!$C$54*Basicinfo!AK63)/(Basicinfo!AJ63+Basicinfo!AK63))</f>
        <v>652.36393107721244</v>
      </c>
      <c r="CY63" s="56">
        <f>IF(Basicinfo!AU63*AB63=0,0,((Basicinfo!AZ63+Basicinfo!BA63)/Basicinfo!AU63+Parameters!$C$76/(Basicinfo!AU63*AB63)*100))</f>
        <v>1.8375054203677663</v>
      </c>
      <c r="CZ63" s="43">
        <f>IF(Basicinfo!AU63*AB63=0,0,(Parameters!$C$77)/(Basicinfo!AU63*AB63)*100)</f>
        <v>0.46312448377831533</v>
      </c>
      <c r="DA63" s="43">
        <f>IF(AD63+AJ63=0,0,((J63*Parameters!$C$96+Parameters!$C$94/100*S63*100*Parameters!$C$93/1000*86400*Parameters!$C$95/24*Parameters!$C$98)*AI63+AD63*CY63*86400*365)/((AD63+AJ63*AI63/365)*86400*365))</f>
        <v>11.693014741489925</v>
      </c>
      <c r="DB63" s="43">
        <f>IF(AD63+AJ63=0,0,((J63*Parameters!$C$97+Parameters!$C$94/100*S63*100*Parameters!$C$93/1000*86400*Parameters!$C$95/24*Parameters!$C$99)*AI63+AD63*CZ63*86400*365)/((AD63+AJ63*AI63/365)*86400*365))</f>
        <v>2.0484607150753193</v>
      </c>
      <c r="DC63" s="42">
        <f>IF(AE63+AL63=0,0,((K63*Parameters!$C$96+Parameters!$C$94/100*T63*100*Parameters!$C$93/1000*86400*Parameters!$C$95/24*Parameters!$C$98)*365+AE63*CY63*86400*365)/((AE63+AL63)*86400*365))</f>
        <v>0</v>
      </c>
      <c r="DD63" s="42">
        <f>IF(AE63+AL63=0,0,((K63*Parameters!$C$97+Parameters!$C$94/100*T63*100*Parameters!$C$93/1000*86400*Parameters!$C$95/24*Parameters!$C$99)*365+AE63*CZ63*86400*365)/((AE63+AL63)*86400*365))</f>
        <v>0</v>
      </c>
      <c r="DE63" s="42">
        <f>IF(Basicinfo!AH63+Basicinfo!AI63+Basicinfo!AJ63+Basicinfo!AK63=0,0,((Basicinfo!AH63+Basicinfo!AI63)*Parameters!$C$107+(Basicinfo!AJ63+Basicinfo!AK63)*Parameters!$C$106)/(Basicinfo!AH63+Basicinfo!AI63+Basicinfo!AJ63+Basicinfo!AK63))</f>
        <v>58.727187506466031</v>
      </c>
      <c r="DF63" s="42">
        <f>IF(Basicinfo!AH63+Basicinfo!AI63+Basicinfo!AJ63+Basicinfo!AK63=0,0,((Basicinfo!AH63+Basicinfo!AI63)*Parameters!$C$109+(Basicinfo!AJ63+Basicinfo!AK63)*Parameters!$C$108)/(Basicinfo!AH63+Basicinfo!AI63+Basicinfo!AJ63+Basicinfo!AK63))</f>
        <v>58.727187506466031</v>
      </c>
      <c r="DG63" s="42">
        <f>Intermediate!AC63*Intermediate!CY63*(1-Parameters!$C$102/100*Basicinfo!BZ63/100)*(1-Parameters!$C$104/100*Basicinfo!CA63/100)*86400*365/1000000</f>
        <v>2.6001544604650961</v>
      </c>
      <c r="DH63" s="42">
        <f>Intermediate!AC63*Intermediate!CZ63*(1-Parameters!$C$103/100*Basicinfo!BZ63/100)*(1-Parameters!$C$105/100*Basicinfo!CA63/100)*86400*365/1000000</f>
        <v>0.6553423891428678</v>
      </c>
      <c r="DI63" s="42">
        <f>(Intermediate!AK63*Intermediate!DA63+(Intermediate!AE63+Intermediate!AL63)*Intermediate!DC63)*86400*365/1000000</f>
        <v>19.921790057538004</v>
      </c>
      <c r="DJ63" s="42">
        <f>(Intermediate!AK63*Intermediate!DB63+(Intermediate!AE63+Intermediate!AL63)*Intermediate!DD63)*86400*365/1000000</f>
        <v>3.4900327425435878</v>
      </c>
      <c r="DK63" s="42">
        <f>((Basicinfo!AZ63+Basicinfo!BA63)*Intermediate!AB63+Parameters!$C$76*100)/1000*Intermediate!U63*(1-Intermediate!DE63/100)+(1-Parameters!$C$110/100)*M63*Parameters!$C$100*(1-DE63/100)*365/1000000+(1-Parameters!$C$112/100)*P63*Parameters!$C$96*365/1000000+(1-Parameters!$C$112/100)*O63*Parameters!$C$96*(1-DE63/100)*365/1000000</f>
        <v>5.9029809625684573</v>
      </c>
      <c r="DL63" s="42">
        <f>Parameters!$C$77*100/1000*Intermediate!U63*(1-Intermediate!DF63/100)+(1-Parameters!$C$111/100)*M63*Parameters!$C$101*(1-DF63/100)*365/1000000+(1-Parameters!$C$113/100)*P63*Parameters!$C$97*365/1000000+(1-Parameters!$C$113/100)*O63*Parameters!$C$97*(1-DF63/100)*365/1000000</f>
        <v>0.92854473853783248</v>
      </c>
      <c r="DM63" s="31"/>
      <c r="DN63" s="31"/>
      <c r="DO63" s="31"/>
      <c r="DP63" s="31"/>
      <c r="DQ63" s="31"/>
      <c r="DR63" s="31"/>
      <c r="DS63" s="31"/>
      <c r="DT63" s="188">
        <f>BO63*(Basicinfo!$P63+Basicinfo!$Q63)/1000</f>
        <v>577.67565993835615</v>
      </c>
      <c r="DU63" s="188">
        <f>DT63*Basicinfo!$AZ63/(Basicinfo!$AZ63+Basicinfo!$BA63)</f>
        <v>324.63503875300268</v>
      </c>
      <c r="DV63" s="188">
        <f>DT63*Basicinfo!$BC63/(Basicinfo!$BB63+Basicinfo!$BC63)</f>
        <v>246.65576155548274</v>
      </c>
      <c r="DW63" s="188">
        <f>BP63*(Basicinfo!$P63+Basicinfo!$Q63)/1000</f>
        <v>664.21689110899842</v>
      </c>
      <c r="DX63" s="188">
        <f>DW63*Basicinfo!$BB63/(Basicinfo!$BB63+Basicinfo!$BC63)</f>
        <v>380.60978339047733</v>
      </c>
      <c r="DY63" s="188">
        <f>DW63*Basicinfo!$BC63/(Basicinfo!$BB63+Basicinfo!$BC63)</f>
        <v>283.60710771852115</v>
      </c>
      <c r="DZ63" s="188">
        <f t="shared" si="38"/>
        <v>332.63284729891279</v>
      </c>
      <c r="EA63" s="188">
        <f>DZ63*Basicinfo!$AZ63/(Basicinfo!$AZ63+Basicinfo!$BA63)</f>
        <v>186.92890277725601</v>
      </c>
      <c r="EB63" s="188">
        <f>DZ63*Basicinfo!$BC63/(Basicinfo!$BB63+Basicinfo!$BC63)</f>
        <v>142.02746274204637</v>
      </c>
      <c r="EC63" s="188">
        <f t="shared" si="39"/>
        <v>382.46436718001013</v>
      </c>
      <c r="ED63" s="188">
        <f>EC63*Basicinfo!$AZ63/(Basicinfo!$AZ63+Basicinfo!$BA63)</f>
        <v>214.9326053903232</v>
      </c>
      <c r="EE63" s="188">
        <f>EC63*Basicinfo!$BC63/(Basicinfo!$BB63+Basicinfo!$BC63)</f>
        <v>163.30450856227506</v>
      </c>
      <c r="EF63" s="190">
        <f>(Basicinfo!BP63-BL63/100)*Intermediate!X63/10</f>
        <v>1174.8223396976666</v>
      </c>
      <c r="EG63" s="191">
        <f>(Basicinfo!BQ63-BM63/100)*Intermediate!X63/10</f>
        <v>656.28492369707919</v>
      </c>
      <c r="EH63" s="197">
        <f>IF(AU63=0,0,$BS63*((Basicinfo!$P63+Basicinfo!$Q63)*Intermediate!$AT63*1000+$AW63*3600*24*365)/1000000*Basicinfo!AZ63/(Basicinfo!$AZ63+Basicinfo!$BA63))</f>
        <v>65.290260237657378</v>
      </c>
      <c r="EI63" s="197">
        <f>IF(AU63=0,0,$BS63*((Basicinfo!$P63+Basicinfo!$Q63)*Intermediate!$AT63*1000+$AW63*3600*24*365)/1000000*Basicinfo!BA63/(Basicinfo!$AZ63+Basicinfo!$BA63))</f>
        <v>50.891265685156718</v>
      </c>
      <c r="EJ63" s="198">
        <f>IF(AU63=0,0,$BS63*($AT63*$X63*1000)/1000000*Basicinfo!AZ63/(Basicinfo!$AZ63+Basicinfo!$BA63))</f>
        <v>37.594945866433889</v>
      </c>
      <c r="EK63" s="198">
        <f>IF(AU63=0,0,$BS63*($AT63*$X63*1000)/1000000*Basicinfo!BA63/(Basicinfo!$AZ63+Basicinfo!$BA63))</f>
        <v>29.303825280271528</v>
      </c>
      <c r="EL63" s="147">
        <f>Parameters!$C$150/Basicinfo!$AV63*100</f>
        <v>7.563031540896395E-2</v>
      </c>
      <c r="EM63" s="147">
        <f>Parameters!$C$151/Basicinfo!$AV63*100</f>
        <v>0.1512606308179279</v>
      </c>
      <c r="EN63" s="147">
        <f>(Parameters!$C$150+Parameters!$C$151)/Intermediate!$BB63*100</f>
        <v>0.33039081350357996</v>
      </c>
      <c r="EO63" s="193">
        <f>IF(EN63=0,0,(1/(1+Parameters!$C$116*$BB63^Parameters!$C$120)*Basicinfo!$AH63/Basicinfo!$G63+1/(1+Parameters!$C$117*$BB63^Parameters!$C$121)*Basicinfo!$AI63/Basicinfo!$G63)*(EN63)^Parameters!$C$124+(1/(1+Parameters!$C$118*$BB63^Parameters!$C$122)*Basicinfo!$AJ63/Basicinfo!AW63+1/(1+Parameters!$C$119*$BB63^Parameters!$C$123)*Basicinfo!$AK63/Basicinfo!$G63)*(EN63)^Parameters!$C$125)</f>
        <v>0.19536749805722964</v>
      </c>
      <c r="EP63" s="199">
        <f>EL63*($AT63*Basicinfo!$P63*1000+$AW63*3600*24*365)/1000000</f>
        <v>8.1670841975220441</v>
      </c>
      <c r="EQ63" s="199">
        <f>EM63*($AT63*Basicinfo!$P63*1000+$AW63*3600*24*365)/1000000</f>
        <v>16.334168395044088</v>
      </c>
      <c r="ER63" s="199">
        <f t="shared" si="40"/>
        <v>4.7200635318812214</v>
      </c>
      <c r="ES63" s="199">
        <f t="shared" si="41"/>
        <v>9.4401270637624428</v>
      </c>
      <c r="ET63" s="181">
        <f t="shared" si="48"/>
        <v>109.68612199506308</v>
      </c>
      <c r="EU63" s="147">
        <f>Intermediate!F63*(Parameters!$C$150)/1000*100</f>
        <v>1.3723814104685339</v>
      </c>
      <c r="EV63" s="147">
        <f>Intermediate!F63*(Parameters!$C$151)/1000*100</f>
        <v>2.7447628209370678</v>
      </c>
      <c r="EW63" s="181">
        <f>'Local emissions'!$S63*Basicinfo!AZ63/(Basicinfo!$AZ63+Basicinfo!$BA63)-Intermediate!EU63</f>
        <v>10.317724492740608</v>
      </c>
      <c r="EX63" s="147">
        <f>'Local emissions'!$S63*Basicinfo!BA63/(Basicinfo!$AZ63+Basicinfo!$BA63)-Intermediate!EV63</f>
        <v>6.3672285119555188</v>
      </c>
      <c r="EY63" s="188">
        <f t="shared" si="49"/>
        <v>57.123176040135334</v>
      </c>
      <c r="EZ63" s="188">
        <f t="shared" si="50"/>
        <v>34.55709729011263</v>
      </c>
      <c r="FA63" s="188">
        <f t="shared" si="51"/>
        <v>32.874882334552666</v>
      </c>
      <c r="FB63" s="181">
        <f t="shared" si="52"/>
        <v>19.863698216509086</v>
      </c>
      <c r="FC63" s="181">
        <f>'Local emissions'!Y63-Intermediate!ET63</f>
        <v>498.86247703516938</v>
      </c>
      <c r="FD63" s="188">
        <f t="shared" si="53"/>
        <v>111.49483843804475</v>
      </c>
      <c r="FE63" s="188">
        <f t="shared" si="54"/>
        <v>83.079127323737637</v>
      </c>
      <c r="FF63" s="181">
        <f t="shared" si="55"/>
        <v>31.480898756190086</v>
      </c>
      <c r="FG63" s="201">
        <f t="shared" si="56"/>
        <v>23.918998660730036</v>
      </c>
      <c r="FH63" s="181">
        <f t="shared" si="57"/>
        <v>248.88861385646686</v>
      </c>
      <c r="FJ63" s="147">
        <f>AVERAGE(Parameters!$C$132:$C$134)*'Local emissions'!J63*3600*24*365/1000000</f>
        <v>0.28071742507275282</v>
      </c>
      <c r="FK63" s="147">
        <f>'Local emissions'!AJ63+CT63*BJ63/100*Intermediate!X63*100/1000000</f>
        <v>3.2867366272672309</v>
      </c>
      <c r="FL63" s="31">
        <f>(Parameters!$C$18*(Basicinfo!AH63+Basicinfo!AI63)+Parameters!$C$19*Basicinfo!AJ63+Parameters!$C$20*Basicinfo!AK63)/Basicinfo!G63</f>
        <v>1.8639674235347441E-2</v>
      </c>
      <c r="FM63" s="181">
        <f t="shared" si="32"/>
        <v>3.373363328503733</v>
      </c>
    </row>
    <row r="64" spans="1:169">
      <c r="A64" s="39" t="str">
        <f>Basicinfo!A64</f>
        <v>Donau</v>
      </c>
      <c r="B64" s="63">
        <f>Basicinfo!B64</f>
        <v>4990</v>
      </c>
      <c r="C64" s="63">
        <f>Basicinfo!C64</f>
        <v>5000</v>
      </c>
      <c r="D64" s="61">
        <f>Basicinfo!U64*Basicinfo!V64/1000+Basicinfo!Y64</f>
        <v>3.0498698596834268</v>
      </c>
      <c r="E64" s="19">
        <f>Basicinfo!W64*Basicinfo!X64/1000+Basicinfo!Z64</f>
        <v>0.4860202176539134</v>
      </c>
      <c r="F64" s="19">
        <f t="shared" si="43"/>
        <v>3.5358900773373403</v>
      </c>
      <c r="G64" s="19">
        <f>SUM(Basicinfo!H64:L64)</f>
        <v>23.410981803833785</v>
      </c>
      <c r="H64" s="19">
        <f>IF(Basicinfo!N64&lt;Parameters!$C$68,Parameters!$C$69,Basicinfo!BS64/(Basicinfo!N64*100))</f>
        <v>14.848595780229203</v>
      </c>
      <c r="I64" s="19">
        <f>IF(Basicinfo!N64=0,0,Basicinfo!BU64*(1-Basicinfo!BX64/100))</f>
        <v>2761.7680258855416</v>
      </c>
      <c r="J64" s="19">
        <f>IF(Basicinfo!N64=0,0,Basicinfo!BU64*Basicinfo!BX64/100)</f>
        <v>6444.1253937329293</v>
      </c>
      <c r="K64" s="19">
        <f>IF(Basicinfo!N64=0,0,Basicinfo!BT64-Basicinfo!BU64)</f>
        <v>0</v>
      </c>
      <c r="L64" s="27">
        <f>Basicinfo!BV64*Basicinfo!BW64/100</f>
        <v>224.42000000000007</v>
      </c>
      <c r="M64" s="27">
        <f>Basicinfo!BV64-Intermediate!L64</f>
        <v>224.42000000000007</v>
      </c>
      <c r="N64" s="73">
        <f>Basicinfo!BS64-SUM(I64:K64)-Basicinfo!BV64</f>
        <v>0</v>
      </c>
      <c r="O64" s="19">
        <f>IF(Basicinfo!AH64+Basicinfo!AI64+Basicinfo!AJ64+Basicinfo!AK64=0,0,N64*(Basicinfo!AH64+Basicinfo!AI64)/SUM(Basicinfo!AH64:AK64))</f>
        <v>0</v>
      </c>
      <c r="P64" s="73">
        <f t="shared" si="25"/>
        <v>0</v>
      </c>
      <c r="Q64" s="19">
        <f>IF(Basicinfo!BS64=0,Basicinfo!N64,IF(H64&gt;Parameters!$C$70,Parameters!$C$64*(Parameters!$C$65*Parameters!$C$70)^(Parameters!$C$66-Parameters!$C$67*LOG(Parameters!$C$65*Parameters!$C$70,10))/100*Basicinfo!N64,Parameters!$C$64*(Parameters!$C$65*H64)^(Parameters!$C$66-Parameters!$C$67*LOG(Parameters!$C$65*H64,10))/100*Basicinfo!N64))</f>
        <v>1.6514778509738259</v>
      </c>
      <c r="R64" s="19">
        <f>IF(Basicinfo!BS64=0,Q64*(1-Basicinfo!BX64/100),IF(H64&lt;Parameters!$C$75,Q64*Basicinfo!BU64/Basicinfo!BS64*(1-Basicinfo!BX64/100)*(-Parameters!$C$74+Parameters!$C$73*LN(H64*100)),Q64*Basicinfo!BU64/Basicinfo!BS64*(1-Basicinfo!BX64/100)))</f>
        <v>0.25740920112577242</v>
      </c>
      <c r="S64" s="19">
        <f>IF(Basicinfo!BS64=0,Q64*Basicinfo!BX64/100,Q64*Basicinfo!BU64/Basicinfo!BS64*Basicinfo!BX64/100)</f>
        <v>1.1022914765334324</v>
      </c>
      <c r="T64" s="19">
        <f>IF(Basicinfo!BS64=0,0,IF(H64&lt;Parameters!$C$75,Q64*K64/Basicinfo!BS64*(-Parameters!$C$74+Parameters!$C$73*LN(H64*100)),Q64*K64/Basicinfo!BS64))</f>
        <v>0</v>
      </c>
      <c r="U64" s="19">
        <f t="shared" si="26"/>
        <v>0.29177717331462105</v>
      </c>
      <c r="V64" s="19">
        <f>IF(Basicinfo!AL64&gt;Parameters!$C$14,Basicinfo!Q64,0)</f>
        <v>0</v>
      </c>
      <c r="W64" s="19">
        <f>IF(Basicinfo!AL64&gt;Parameters!$C$14,0,Basicinfo!Q64)</f>
        <v>0</v>
      </c>
      <c r="X64" s="19">
        <f>G64+Basicinfo!M64</f>
        <v>59.145766365713342</v>
      </c>
      <c r="Y64" s="19">
        <f>IF(Basicinfo!G64-F64-Q64-V64-Basicinfo!O64-Basicinfo!R64-Basicinfo!S64&lt;0,0,Basicinfo!G64-F64-Q64-V64-Basicinfo!O64-Basicinfo!R64-Basicinfo!S64)</f>
        <v>128.31194126368882</v>
      </c>
      <c r="Z64" s="19">
        <f>Basicinfo!G64-F64-Basicinfo!BO64-Q64-Basicinfo!O64</f>
        <v>125.34747978003873</v>
      </c>
      <c r="AA64" s="53">
        <f>IF(Z64+Basicinfo!BO64-X64&gt;0,Z64+Basicinfo!BO64-X64,0)</f>
        <v>69.16617489797548</v>
      </c>
      <c r="AB64" s="56">
        <f>IF(Basicinfo!N64=0,0,Parameters!$C$71+Parameters!$C$72*Q64/Basicinfo!N64)</f>
        <v>0.34049304095193489</v>
      </c>
      <c r="AC64" s="43">
        <f>Basicinfo!AU64*AB64*R64/1000/86.4/0.365</f>
        <v>2.8249200126957922E-3</v>
      </c>
      <c r="AD64" s="43">
        <f>Basicinfo!AU64*AB64*S64/1000/86.4/0.365</f>
        <v>1.209702387585522E-2</v>
      </c>
      <c r="AE64" s="43">
        <f>Basicinfo!AU64*AB64*T64/1000/86.4/0.365</f>
        <v>0</v>
      </c>
      <c r="AF64" s="43">
        <f>Basicinfo!AU64*AB64*U64/1000/86.4/0.365</f>
        <v>3.2020890183391201E-3</v>
      </c>
      <c r="AG64" s="43">
        <f>((Parameters!$C$80+Parameters!$C$81*Parameters!$C$89)/(Parameters!$C$82+Parameters!$C$89)/(Parameters!$C$90/100*Parameters!$C$91+(Parameters!$C$83+Parameters!$C$84*Parameters!$C$89)/(Parameters!$C$85+Parameters!$C$89)))-Parameters!$C$86+(Basicinfo!AU64-Parameters!$C$88)/Parameters!$C$87</f>
        <v>76.799590462726499</v>
      </c>
      <c r="AH64" s="43">
        <f>((Parameters!$C$80+Parameters!$C$81*Parameters!$C$89)/(Parameters!$C$82+Parameters!$C$89)/(Basicinfo!BY64/100*Parameters!$C$91+(Parameters!$C$83+Parameters!$C$84*Parameters!$C$89)/(Parameters!$C$85+Parameters!$C$89)))-Parameters!$C$86+(Basicinfo!AU64-Parameters!$C$88)/Parameters!$C$87</f>
        <v>58.996708596110928</v>
      </c>
      <c r="AI64" s="43">
        <f>Basicinfo!AU64^Parameters!$C$79*Parameters!$C$78*AH64/AG64</f>
        <v>30.363460304436877</v>
      </c>
      <c r="AJ64" s="43">
        <f>(J64*Parameters!$C$92/1000+Parameters!$C$94/100*S64*100*Parameters!$C$93/1000*86400*Parameters!$C$95/24)/86400</f>
        <v>9.7327650536770498E-3</v>
      </c>
      <c r="AK64" s="43">
        <f t="shared" si="44"/>
        <v>7.6145098267347043E-3</v>
      </c>
      <c r="AL64" s="43">
        <f>(K64*Parameters!$C$92/1000+Parameters!$C$94/100*T64*100*Parameters!$C$93/1000*86400*Parameters!$C$95/24)/86400</f>
        <v>0</v>
      </c>
      <c r="AM64" s="43">
        <f>(Intermediate!N64+Basicinfo!BV64-Intermediate!L64)*Parameters!$C$92/1000/86400</f>
        <v>3.376689814814816E-4</v>
      </c>
      <c r="AN64" s="43">
        <f t="shared" si="45"/>
        <v>9.9617659375360601E-3</v>
      </c>
      <c r="AO64" s="43">
        <f t="shared" si="27"/>
        <v>7.6145098267347043E-3</v>
      </c>
      <c r="AP64" s="43">
        <f t="shared" si="28"/>
        <v>3.5397579998206019E-3</v>
      </c>
      <c r="AQ64" s="43">
        <f t="shared" si="33"/>
        <v>1.39791878392511E-2</v>
      </c>
      <c r="AR64" s="61">
        <f>(Basicinfo!AU64-Basicinfo!AY64)*F64/1000/86.4/0.365</f>
        <v>3.5371116905749234E-2</v>
      </c>
      <c r="AS64" s="19">
        <f>IF(Basicinfo!AP64-Basicinfo!CB64-Basicinfo!CG64&lt;0,0,(Basicinfo!AP64-Basicinfo!CB64-Basicinfo!CG64)/Basicinfo!G64*1000)</f>
        <v>18.399935777703572</v>
      </c>
      <c r="AT64" s="19">
        <f>Parameters!$C$3*((AS64*86.4*0.365)^Parameters!$C$4)</f>
        <v>118.34777908523988</v>
      </c>
      <c r="AU64" s="19">
        <f>IF(AT64/86.4/0.365*(Basicinfo!G64/1000)-AN64&lt;0,0,AT64/86.4/0.365*(Basicinfo!G64/1000)-AN64)</f>
        <v>0.49103223305684973</v>
      </c>
      <c r="AV64" s="19">
        <f>IF(Basicinfo!AU64&gt;Parameters!$C$13,Parameters!$C$11*(Basicinfo!AU64-Parameters!$C$13)^Parameters!$C$12,0)</f>
        <v>100.75320392525896</v>
      </c>
      <c r="AW64" s="19">
        <f>IF(AV64*V64/1000/86.4/0.365&gt;Basicinfo!AP64*Parameters!$C$15,Basicinfo!AP64*Parameters!$C$15,AV64*V64/1000/86.4/0.365)</f>
        <v>0</v>
      </c>
      <c r="AX64" s="19">
        <f>Basicinfo!AU64-Basicinfo!AW64</f>
        <v>403.08803042671411</v>
      </c>
      <c r="AY64" s="19">
        <f>Parameters!$C$56*AX64+Parameters!$C$57*Basicinfo!AW64</f>
        <v>262.87890974419992</v>
      </c>
      <c r="AZ64" s="19">
        <f>AY64*Basicinfo!BO64/1000/86.4/0.365</f>
        <v>2.4711263406919488E-2</v>
      </c>
      <c r="BA64" s="19">
        <f>IF(Basicinfo!AP64-AQ64-AR64-AU64-AW64-AZ64-Basicinfo!CB64-Basicinfo!CG64&lt;0,0,Basicinfo!AP64-AQ64-AR64-AU64-AW64-AZ64-Basicinfo!CB64-Basicinfo!CG64)</f>
        <v>1.8912849142918222</v>
      </c>
      <c r="BB64" s="53">
        <f t="shared" si="34"/>
        <v>475.8257697862785</v>
      </c>
      <c r="BC64" s="56">
        <f>IF(G64=0,0,((Basicinfo!H64*Basicinfo!BE64+Basicinfo!I64*Basicinfo!BF64+Basicinfo!J64*Basicinfo!BG64+Basicinfo!K64*Basicinfo!BH64+Basicinfo!L64*Basicinfo!BI64)*(1-Basicinfo!BN64/G64*Parameters!$C$26/100)/G64)*Basicinfo!BM64)</f>
        <v>9.6884364220520016</v>
      </c>
      <c r="BD64" s="43">
        <f>IF(Basicinfo!AW64*Parameters!$C$39-Parameters!$C$40&lt;0,0.001,(Basicinfo!AW64*Parameters!$C$39-Parameters!$C$40)/(Basicinfo!AX64*Parameters!$C$39-Parameters!$C$40))</f>
        <v>1.0733046464048626</v>
      </c>
      <c r="BE64" s="43">
        <f>(BC64*G64*100+Basicinfo!BJ64*Basicinfo!M64*100)*Parameters!$C$29*BD64</f>
        <v>25403.218440550223</v>
      </c>
      <c r="BF64" s="43">
        <f>(Basicinfo!BK64*Basicinfo!P64*100)*BD64*Parameters!$C$29</f>
        <v>758.39986814486724</v>
      </c>
      <c r="BG64" s="43">
        <f>Parameters!$C$27*(V64+W64)*100</f>
        <v>0</v>
      </c>
      <c r="BH64" s="43">
        <f>Parameters!$C$28*Basicinfo!R64*100</f>
        <v>0</v>
      </c>
      <c r="BI64" s="43">
        <f t="shared" si="46"/>
        <v>758.39986814486724</v>
      </c>
      <c r="BJ64" s="43">
        <f>IF(Basicinfo!AM64&lt;Parameters!$C$33,0,Parameters!$C$30*(((Basicinfo!AM64-Parameters!$C$33)^Parameters!$C$31)*(((G64-Basicinfo!BN64)/Basicinfo!G64*100+Parameters!$C$34))^Parameters!$C$32))</f>
        <v>2.4227931363222286</v>
      </c>
      <c r="BK64" s="58">
        <f t="shared" si="47"/>
        <v>1373.8673009274607</v>
      </c>
      <c r="BL64" s="61">
        <f>Basicinfo!AZ64+Basicinfo!BA64</f>
        <v>1893.8217488389428</v>
      </c>
      <c r="BM64" s="19">
        <f>Basicinfo!BB64+Basicinfo!BC64</f>
        <v>2337.3030169625431</v>
      </c>
      <c r="BN64" s="172">
        <f>IF(Basicinfo!AO64=0,0,IF(Basicinfo!AO64="NA",1,IF(OR(Basicinfo!AO64="SA",Basicinfo!AN64="S"),3,IF(Basicinfo!AN64="N",1,IF(Basicinfo!AO64="ZA",2,0)))))</f>
        <v>0</v>
      </c>
      <c r="BO64" s="27">
        <f>IF($BN64=1,(BL64)*(1+Parameters!$C$21*Parameters!$C$22-Parameters!$C$22*Basicinfo!$AL64),IF($BN64=2,(BL64)*(1+Parameters!$C$21*Parameters!$C$23-Parameters!$C$23*Basicinfo!$AL64),IF($BN64=3,(BL64)*(1+Parameters!$C$21*Parameters!$C$24-Parameters!$C$24*Basicinfo!$AL64),BL64)))</f>
        <v>1893.8217488389428</v>
      </c>
      <c r="BP64" s="27">
        <f>IF($BN64=1,(BM64)*(1+Parameters!$C$21*Parameters!$C$22-Parameters!$C$22*Basicinfo!$AL64),IF($BN64=2,(BM64)*(1+Parameters!$C$21*Parameters!$C$23-Parameters!$C$23*Basicinfo!$AL64),IF($BN64=3,(BM64)*(1+Parameters!$C$21*Parameters!$C$24-Parameters!$C$24*Basicinfo!$AL64),BM64)))</f>
        <v>2337.3030169625431</v>
      </c>
      <c r="BQ64" s="27">
        <f>IF(Basicinfo!AU64=0,0,IF(G64+Basicinfo!M64=0,0,(Parameters!$C$16+BO64/Basicinfo!AU64)*G64+(Parameters!$C$17+BO64/Basicinfo!AU64)*Basicinfo!M64)/(G64+Basicinfo!M64))</f>
        <v>1.9819419501719446</v>
      </c>
      <c r="BR64" s="27">
        <f>IF(Basicinfo!AU64=0,0,IF(G64+Basicinfo!M64=0,0,(Parameters!$C$16+BP64/Basicinfo!AU64)*G64+(Parameters!$C$17+BP64/Basicinfo!AU64)*Basicinfo!M64)/(G64+Basicinfo!M64))</f>
        <v>2.4182516070523921</v>
      </c>
      <c r="BS64" s="27">
        <f>IF(Basicinfo!AU64=0,0,BO64/Basicinfo!AU64)</f>
        <v>1.8631964342592195</v>
      </c>
      <c r="BT64" s="27">
        <f>IF(Basicinfo!AU64=0,0,BP64/Basicinfo!AU64)</f>
        <v>2.2995060911396674</v>
      </c>
      <c r="BU64" s="27">
        <f>IF(SUM(G64,Basicinfo!M64,Basicinfo!P64,W64)=0,0,(BQ64*(G64+Basicinfo!M64)+BS64*(Basicinfo!P64+W64))/SUM(G64,Basicinfo!M64,Basicinfo!P64,W64))</f>
        <v>1.9200830418428021</v>
      </c>
      <c r="BV64" s="19">
        <f>IF(Basicinfo!BR64/Parameters!$C$10&gt;1,1,Basicinfo!BR64/Parameters!$C$10)</f>
        <v>0.24919018407984242</v>
      </c>
      <c r="BW64" s="19">
        <f>Parameters!$C$5+Parameters!$C$6*EXP(BV64*Parameters!$C$8*Parameters!$C$7)</f>
        <v>3.5019984085791621E-2</v>
      </c>
      <c r="BX64" s="19">
        <f>Parameters!$C$5+Parameters!$C$6*EXP(BV64*Parameters!$C$9*Parameters!$C$7)</f>
        <v>3.5013581267601901E-2</v>
      </c>
      <c r="BY64" s="19">
        <f>IF(Basicinfo!AH64+Basicinfo!AI64+Basicinfo!AJ64+Basicinfo!AK64=0,0,(Parameters!$C$18*(Basicinfo!AH64+Basicinfo!AI64)+Parameters!$C$19*Basicinfo!AJ64+Parameters!$C$20*Basicinfo!AK64)/(Basicinfo!AH64+Basicinfo!AI64+Basicinfo!AJ64+Basicinfo!AK64))</f>
        <v>2.6039533739424421E-2</v>
      </c>
      <c r="BZ64" s="19">
        <f>IF(Basicinfo!AJ64+Basicinfo!AK64=0,Parameters!$C$18,(Parameters!$C$19*Basicinfo!AJ64+Parameters!$C$20*Basicinfo!AK64)/(Basicinfo!AJ64+Basicinfo!AK64))</f>
        <v>2.4970715817260687E-2</v>
      </c>
      <c r="CA64" s="19">
        <f>IF(SUM(G64,Basicinfo!M64,Basicinfo!P64,W64)=0,0,(BW64*G64+BX64*Basicinfo!M64+BY64*Basicinfo!P64+BZ64*W64)/(SUM(G64,Basicinfo!M64,Basicinfo!P64,W64)))</f>
        <v>3.0339883836863785E-2</v>
      </c>
      <c r="CB64" s="19">
        <f>IF(Y64=0,Basicinfo!BP64,Basicinfo!BP64-(AU64*X64/Y64*Intermediate!BQ64*86400*365/1000000)*1000/(X64*100))</f>
        <v>55.263623288022714</v>
      </c>
      <c r="CC64" s="19">
        <f>IF(Y64=0,Basicinfo!BQ64,Basicinfo!BQ64-(AU64*Basicinfo!AV64/Basicinfo!AU64*X64/Y64*Intermediate!BR64*86400*365/1000000)*1000/(X64*100))</f>
        <v>60.107967988800795</v>
      </c>
      <c r="CD64" s="19">
        <f>IF(OR(Y64=0,AA64=0),BP64/100,BP64/100-(AU64*Basicinfo!AV64/Basicinfo!AU64*(Basicinfo!P64+W64)/Y64*Intermediate!BT64*86400*365/1000000+AW64*Basicinfo!AV64/Basicinfo!AU64*Intermediate!BT64*86400*365/1000000)*1000/(AA64*100))</f>
        <v>20.77275158147712</v>
      </c>
      <c r="CE64" s="19">
        <f t="shared" si="35"/>
        <v>337694.40754201153</v>
      </c>
      <c r="CF64" s="19">
        <f t="shared" si="36"/>
        <v>143677.17689966434</v>
      </c>
      <c r="CG64" s="19">
        <f>IF(AY64=0,0,((CB64^Parameters!$C$58))/AY64*100)</f>
        <v>11.516425626081315</v>
      </c>
      <c r="CH64" s="19">
        <f>IF(SUM(Basicinfo!AB64:AG64)=0,0,(Parameters!$C$59*Basicinfo!AB64+Parameters!$C$60*SUM(Basicinfo!AC64:AE64)+Parameters!$C$61*Basicinfo!AF64+Parameters!$C$62*Basicinfo!AG64)/SUM(Basicinfo!AB64:AG64))</f>
        <v>0.14848174503307354</v>
      </c>
      <c r="CI64" s="19">
        <f t="shared" si="31"/>
        <v>6</v>
      </c>
      <c r="CJ64" s="19">
        <f t="shared" si="37"/>
        <v>38.402972703271942</v>
      </c>
      <c r="CK64" s="19">
        <f t="shared" si="42"/>
        <v>8.070805564087248</v>
      </c>
      <c r="CL64" s="19">
        <f>IF($BB64=0,0,$CJ64^Parameters!$C$58*100/$BB64)</f>
        <v>4.6694116034118673</v>
      </c>
      <c r="CM64" s="19">
        <f>IF(CK64=0,0,(1/(1+Parameters!$C$116*BB64^Parameters!$C$120)*Basicinfo!AH64/Basicinfo!G64+1/(1+Parameters!$C$117*BB64^Parameters!$C$121)*Basicinfo!AI64/Basicinfo!G64)*(CK64)^Parameters!$C$124+(1/(1+Parameters!$C$118*BB64^Parameters!$C$122)*Basicinfo!AJ64/Basicinfo!G64+1/(1+Parameters!$C$119*BB64^Parameters!$C$123)*Basicinfo!AK64/Basicinfo!G64)*(CK64)^Parameters!$C$125)</f>
        <v>1.6703366901448908</v>
      </c>
      <c r="CN64" s="19">
        <f>IF(SUM(Basicinfo!AB64:AG64)=0,0,(Parameters!$C$128*Basicinfo!AB64+Parameters!$C$129*(SUM(Basicinfo!AC64:AE64))+Parameters!$C$130*Basicinfo!AF64+Parameters!$C$131*Basicinfo!AG64)/SUM(Basicinfo!AB64:AG64))</f>
        <v>2.492197500079105E-2</v>
      </c>
      <c r="CO64" s="19">
        <f>IF(Basicinfo!AH64+Basicinfo!AI64+Basicinfo!AJ64+Basicinfo!AK64=0,0,(Parameters!$C$132*(Basicinfo!AH64+Basicinfo!AI64)+Parameters!$C$133*Basicinfo!AJ64+Parameters!$C$134*Basicinfo!AK64)/(Basicinfo!AH64+Basicinfo!AI64+Basicinfo!AJ64+Basicinfo!AK64))</f>
        <v>5.0000000000000001E-4</v>
      </c>
      <c r="CP64" s="19">
        <f>IF(Basicinfo!AJ64+Basicinfo!AK64=0,0,(Parameters!$C$133*Basicinfo!AJ64+Parameters!$C$134*Basicinfo!AK64)/(Basicinfo!AJ64+Basicinfo!AK64))</f>
        <v>5.0000000000000001E-4</v>
      </c>
      <c r="CQ64" s="19">
        <f>IF(Z64=0,0,(CN64*(Z64-AA64)+CO64*Basicinfo!P64+CP64*(Basicinfo!Q64+Basicinfo!R64))/Z64)</f>
        <v>1.1426690391034292E-2</v>
      </c>
      <c r="CR64" s="19">
        <f>IF(CK64=0,0,IF(AND((Basicinfo!AI64+Basicinfo!AK64)&gt;0,(CM64/CK64)&lt;Parameters!$C$135),CQ64*Parameters!$C$136,CQ64))</f>
        <v>2.8566725977585729E-2</v>
      </c>
      <c r="CS64" s="19">
        <f>IF(SUM(Basicinfo!AB64:AG64)=0,0,(Basicinfo!AB64*Parameters!$C$43+(Basicinfo!AC64+Basicinfo!AD64)*Parameters!$C$44+Basicinfo!AE64*Parameters!$C$45+(Basicinfo!AF64+Basicinfo!AG64)*Parameters!$C$46)/SUM(Basicinfo!AB64:AG64))</f>
        <v>11.803811030507617</v>
      </c>
      <c r="CT64" s="19">
        <f>(Parameters!$C$41*CS64+Parameters!$C$42)</f>
        <v>395.39887251117767</v>
      </c>
      <c r="CU64" s="19">
        <f>CT64+Basicinfo!BR64/(Parameters!$C$47*Parameters!$C$49*Parameters!$C$48*10000/1000000)</f>
        <v>483.16396879087063</v>
      </c>
      <c r="CV64" s="19">
        <f>IF(BK64/Basicinfo!G64&lt;Parameters!$C$35,Parameters!$C$35,Parameters!$C$37*(BK64/Basicinfo!G64)^Parameters!$C$38)</f>
        <v>2.560623527369819</v>
      </c>
      <c r="CW64" s="19">
        <f>IF(BK64/Basicinfo!G64&lt;Parameters!$C$35,Parameters!$C$36,Parameters!$C$36*(BK64/Basicinfo!G64)^Parameters!$C$38)</f>
        <v>6.017465289319075</v>
      </c>
      <c r="CX64" s="27">
        <f>IF(Basicinfo!AJ64+Basicinfo!AK64=0,0,(Parameters!$C$53*Basicinfo!AJ64+Parameters!$C$54*Basicinfo!AK64)/(Basicinfo!AJ64+Basicinfo!AK64))</f>
        <v>749.73831155849973</v>
      </c>
      <c r="CY64" s="56">
        <f>IF(Basicinfo!AU64*AB64=0,0,((Basicinfo!AZ64+Basicinfo!BA64)/Basicinfo!AU64+Parameters!$C$76/(Basicinfo!AU64*AB64)*100))</f>
        <v>3.0189661106708323</v>
      </c>
      <c r="CZ64" s="43">
        <f>IF(Basicinfo!AU64*AB64=0,0,(Parameters!$C$77)/(Basicinfo!AU64*AB64)*100)</f>
        <v>0.72235604775725815</v>
      </c>
      <c r="DA64" s="43">
        <f>IF(AD64+AJ64=0,0,((J64*Parameters!$C$96+Parameters!$C$94/100*S64*100*Parameters!$C$93/1000*86400*Parameters!$C$95/24*Parameters!$C$98)*AI64+AD64*CY64*86400*365)/((AD64+AJ64*AI64/365)*86400*365))</f>
        <v>8.5987280300569306</v>
      </c>
      <c r="DB64" s="43">
        <f>IF(AD64+AJ64=0,0,((J64*Parameters!$C$97+Parameters!$C$94/100*S64*100*Parameters!$C$93/1000*86400*Parameters!$C$95/24*Parameters!$C$99)*AI64+AD64*CZ64*86400*365)/((AD64+AJ64*AI64/365)*86400*365))</f>
        <v>1.6155651217430584</v>
      </c>
      <c r="DC64" s="42">
        <f>IF(AE64+AL64=0,0,((K64*Parameters!$C$96+Parameters!$C$94/100*T64*100*Parameters!$C$93/1000*86400*Parameters!$C$95/24*Parameters!$C$98)*365+AE64*CY64*86400*365)/((AE64+AL64)*86400*365))</f>
        <v>0</v>
      </c>
      <c r="DD64" s="42">
        <f>IF(AE64+AL64=0,0,((K64*Parameters!$C$97+Parameters!$C$94/100*T64*100*Parameters!$C$93/1000*86400*Parameters!$C$95/24*Parameters!$C$99)*365+AE64*CZ64*86400*365)/((AE64+AL64)*86400*365))</f>
        <v>0</v>
      </c>
      <c r="DE64" s="42">
        <f>IF(Basicinfo!AH64+Basicinfo!AI64+Basicinfo!AJ64+Basicinfo!AK64=0,0,((Basicinfo!AH64+Basicinfo!AI64)*Parameters!$C$107+(Basicinfo!AJ64+Basicinfo!AK64)*Parameters!$C$106)/(Basicinfo!AH64+Basicinfo!AI64+Basicinfo!AJ64+Basicinfo!AK64))</f>
        <v>54.26278846102776</v>
      </c>
      <c r="DF64" s="42">
        <f>IF(Basicinfo!AH64+Basicinfo!AI64+Basicinfo!AJ64+Basicinfo!AK64=0,0,((Basicinfo!AH64+Basicinfo!AI64)*Parameters!$C$109+(Basicinfo!AJ64+Basicinfo!AK64)*Parameters!$C$108)/(Basicinfo!AH64+Basicinfo!AI64+Basicinfo!AJ64+Basicinfo!AK64))</f>
        <v>54.26278846102776</v>
      </c>
      <c r="DG64" s="42">
        <f>Intermediate!AC64*Intermediate!CY64*(1-Parameters!$C$102/100*Basicinfo!BZ64/100)*(1-Parameters!$C$104/100*Basicinfo!CA64/100)*86400*365/1000000</f>
        <v>0.26894966034627171</v>
      </c>
      <c r="DH64" s="42">
        <f>Intermediate!AC64*Intermediate!CZ64*(1-Parameters!$C$103/100*Basicinfo!BZ64/100)*(1-Parameters!$C$105/100*Basicinfo!CA64/100)*86400*365/1000000</f>
        <v>6.4352300281443092E-2</v>
      </c>
      <c r="DI64" s="42">
        <f>(Intermediate!AK64*Intermediate!DA64+(Intermediate!AE64+Intermediate!AL64)*Intermediate!DC64)*86400*365/1000000</f>
        <v>2.0648227246590229</v>
      </c>
      <c r="DJ64" s="42">
        <f>(Intermediate!AK64*Intermediate!DB64+(Intermediate!AE64+Intermediate!AL64)*Intermediate!DD64)*86400*365/1000000</f>
        <v>0.38794756211396325</v>
      </c>
      <c r="DK64" s="42">
        <f>((Basicinfo!AZ64+Basicinfo!BA64)*Intermediate!AB64+Parameters!$C$76*100)/1000*Intermediate!U64*(1-Intermediate!DE64/100)+(1-Parameters!$C$110/100)*M64*Parameters!$C$100*(1-DE64/100)*365/1000000+(1-Parameters!$C$112/100)*P64*Parameters!$C$96*365/1000000+(1-Parameters!$C$112/100)*O64*Parameters!$C$96*(1-DE64/100)*365/1000000</f>
        <v>0.44289911732037468</v>
      </c>
      <c r="DL64" s="42">
        <f>Parameters!$C$77*100/1000*Intermediate!U64*(1-Intermediate!DF64/100)+(1-Parameters!$C$111/100)*M64*Parameters!$C$101*(1-DF64/100)*365/1000000+(1-Parameters!$C$113/100)*P64*Parameters!$C$97*365/1000000+(1-Parameters!$C$113/100)*O64*Parameters!$C$97*(1-DF64/100)*365/1000000</f>
        <v>7.3894571702102785E-2</v>
      </c>
      <c r="DM64" s="31"/>
      <c r="DN64" s="31"/>
      <c r="DO64" s="31"/>
      <c r="DP64" s="31"/>
      <c r="DQ64" s="31"/>
      <c r="DR64" s="31"/>
      <c r="DS64" s="31"/>
      <c r="DT64" s="188">
        <f>BO64*(Basicinfo!$P64+Basicinfo!$Q64)/1000</f>
        <v>121.80215692714756</v>
      </c>
      <c r="DU64" s="188">
        <f>DT64*Basicinfo!$AZ64/(Basicinfo!$AZ64+Basicinfo!$BA64)</f>
        <v>81.134377495314681</v>
      </c>
      <c r="DV64" s="188">
        <f>DT64*Basicinfo!$BC64/(Basicinfo!$BB64+Basicinfo!$BC64)</f>
        <v>39.467636705224308</v>
      </c>
      <c r="DW64" s="188">
        <f>BP64*(Basicinfo!$P64+Basicinfo!$Q64)/1000</f>
        <v>150.32489147033132</v>
      </c>
      <c r="DX64" s="188">
        <f>DW64*Basicinfo!$BB64/(Basicinfo!$BB64+Basicinfo!$BC64)</f>
        <v>101.61501346831908</v>
      </c>
      <c r="DY64" s="188">
        <f>DW64*Basicinfo!$BC64/(Basicinfo!$BB64+Basicinfo!$BC64)</f>
        <v>48.709878002012253</v>
      </c>
      <c r="DZ64" s="188">
        <f t="shared" si="38"/>
        <v>112.01153869513476</v>
      </c>
      <c r="EA64" s="188">
        <f>DZ64*Basicinfo!$AZ64/(Basicinfo!$AZ64+Basicinfo!$BA64)</f>
        <v>74.61268908199898</v>
      </c>
      <c r="EB64" s="188">
        <f>DZ64*Basicinfo!$BC64/(Basicinfo!$BB64+Basicinfo!$BC64)</f>
        <v>36.295175943862354</v>
      </c>
      <c r="EC64" s="188">
        <f t="shared" si="39"/>
        <v>138.2415781671435</v>
      </c>
      <c r="ED64" s="188">
        <f>EC64*Basicinfo!$AZ64/(Basicinfo!$AZ64+Basicinfo!$BA64)</f>
        <v>92.084940624406869</v>
      </c>
      <c r="EE64" s="188">
        <f>EC64*Basicinfo!$BC64/(Basicinfo!$BB64+Basicinfo!$BC64)</f>
        <v>44.794513679434083</v>
      </c>
      <c r="EF64" s="190">
        <f>(Basicinfo!BP64-BL64/100)*Intermediate!X64/10</f>
        <v>228.9963890629586</v>
      </c>
      <c r="EG64" s="191">
        <f>(Basicinfo!BQ64-BM64/100)*Intermediate!X64/10</f>
        <v>234.66515950602184</v>
      </c>
      <c r="EH64" s="197">
        <f>IF(AU64=0,0,$BS64*((Basicinfo!$P64+Basicinfo!$Q64)*Intermediate!$AT64*1000+$AW64*3600*24*365)/1000000*Basicinfo!AZ64/(Basicinfo!$AZ64+Basicinfo!$BA64))</f>
        <v>9.4467966172612083</v>
      </c>
      <c r="EI64" s="197">
        <f>IF(AU64=0,0,$BS64*((Basicinfo!$P64+Basicinfo!$Q64)*Intermediate!$AT64*1000+$AW64*3600*24*365)/1000000*Basicinfo!BA64/(Basicinfo!$AZ64+Basicinfo!$BA64))</f>
        <v>4.7351104800224721</v>
      </c>
      <c r="EJ64" s="198">
        <f>IF(AU64=0,0,$BS64*($AT64*$X64*1000)/1000000*Basicinfo!AZ64/(Basicinfo!$AZ64+Basicinfo!$BA64))</f>
        <v>8.6874506292390521</v>
      </c>
      <c r="EK64" s="198">
        <f>IF(AU64=0,0,$BS64*($AT64*$X64*1000)/1000000*Basicinfo!BA64/(Basicinfo!$AZ64+Basicinfo!$BA64))</f>
        <v>4.3544960462072186</v>
      </c>
      <c r="EL64" s="147">
        <f>Parameters!$C$150/Basicinfo!$AV64*100</f>
        <v>9.763507921454774E-2</v>
      </c>
      <c r="EM64" s="147">
        <f>Parameters!$C$151/Basicinfo!$AV64*100</f>
        <v>0.19527015842909548</v>
      </c>
      <c r="EN64" s="147">
        <f>(Parameters!$C$150+Parameters!$C$151)/Intermediate!$BB64*100</f>
        <v>0.63048287639979594</v>
      </c>
      <c r="EO64" s="193">
        <f>IF(EN64=0,0,(1/(1+Parameters!$C$116*$BB64^Parameters!$C$120)*Basicinfo!$AH64/Basicinfo!$G64+1/(1+Parameters!$C$117*$BB64^Parameters!$C$121)*Basicinfo!$AI64/Basicinfo!$G64)*(EN64)^Parameters!$C$124+(1/(1+Parameters!$C$118*$BB64^Parameters!$C$122)*Basicinfo!$AJ64/Basicinfo!AW64+1/(1+Parameters!$C$119*$BB64^Parameters!$C$123)*Basicinfo!$AK64/Basicinfo!$G64)*(EN64)^Parameters!$C$125)</f>
        <v>0.21860629657339958</v>
      </c>
      <c r="EP64" s="199">
        <f>EL64*($AT64*Basicinfo!$P64*1000+$AW64*3600*24*365)/1000000</f>
        <v>0.74315922754927699</v>
      </c>
      <c r="EQ64" s="199">
        <f>EM64*($AT64*Basicinfo!$P64*1000+$AW64*3600*24*365)/1000000</f>
        <v>1.486318455098554</v>
      </c>
      <c r="ER64" s="199">
        <f t="shared" si="40"/>
        <v>0.68342310738447221</v>
      </c>
      <c r="ES64" s="199">
        <f t="shared" si="41"/>
        <v>1.3668462147689444</v>
      </c>
      <c r="ET64" s="181">
        <f t="shared" si="48"/>
        <v>13.038457997143578</v>
      </c>
      <c r="EU64" s="147">
        <f>Intermediate!F64*(Parameters!$C$150)/1000*100</f>
        <v>0.35358900773373403</v>
      </c>
      <c r="EV64" s="147">
        <f>Intermediate!F64*(Parameters!$C$151)/1000*100</f>
        <v>0.70717801546746806</v>
      </c>
      <c r="EW64" s="181">
        <f>'Local emissions'!$S64*Basicinfo!AZ64/(Basicinfo!$AZ64+Basicinfo!$BA64)-Intermediate!EU64</f>
        <v>4.1069545472726547</v>
      </c>
      <c r="EX64" s="147">
        <f>'Local emissions'!$S64*Basicinfo!BA64/(Basicinfo!$AZ64+Basicinfo!$BA64)-Intermediate!EV64</f>
        <v>1.5286239594914091</v>
      </c>
      <c r="EY64" s="188">
        <f t="shared" si="49"/>
        <v>8.7036373897119308</v>
      </c>
      <c r="EZ64" s="188">
        <f t="shared" si="50"/>
        <v>3.2487920249239179</v>
      </c>
      <c r="FA64" s="188">
        <f t="shared" si="51"/>
        <v>8.0040275218545798</v>
      </c>
      <c r="FB64" s="181">
        <f t="shared" si="52"/>
        <v>2.987649831438274</v>
      </c>
      <c r="FC64" s="181">
        <f>'Local emissions'!Y64-Intermediate!ET64</f>
        <v>86.586370367439088</v>
      </c>
      <c r="FD64" s="188">
        <f t="shared" si="53"/>
        <v>16.815640915024268</v>
      </c>
      <c r="FE64" s="188">
        <f t="shared" si="54"/>
        <v>8.0606968354321786</v>
      </c>
      <c r="FF64" s="181">
        <f t="shared" si="55"/>
        <v>7.6192840131056441</v>
      </c>
      <c r="FG64" s="201">
        <f t="shared" si="56"/>
        <v>3.7063836892141406</v>
      </c>
      <c r="FH64" s="181">
        <f t="shared" si="57"/>
        <v>50.384364914662861</v>
      </c>
      <c r="FJ64" s="147">
        <f>AVERAGE(Parameters!$C$132:$C$134)*'Local emissions'!J64*3600*24*365/1000000</f>
        <v>2.9821780528553457E-2</v>
      </c>
      <c r="FK64" s="147">
        <f>'Local emissions'!AJ64+CT64*BJ64/100*Intermediate!X64*100/1000000</f>
        <v>0.39793979121444362</v>
      </c>
      <c r="FL64" s="31">
        <f>(Parameters!$C$18*(Basicinfo!AH64+Basicinfo!AI64)+Parameters!$C$19*Basicinfo!AJ64+Parameters!$C$20*Basicinfo!AK64)/Basicinfo!G64</f>
        <v>2.6039533739424421E-2</v>
      </c>
      <c r="FM64" s="181">
        <f t="shared" si="32"/>
        <v>0.40322719260899959</v>
      </c>
    </row>
    <row r="65" spans="1:169">
      <c r="A65" s="39" t="str">
        <f>Basicinfo!A65</f>
        <v>Donau</v>
      </c>
      <c r="B65" s="63">
        <f>Basicinfo!B65</f>
        <v>5000</v>
      </c>
      <c r="C65" s="63">
        <f>Basicinfo!C65</f>
        <v>5010</v>
      </c>
      <c r="D65" s="61">
        <f>Basicinfo!U65*Basicinfo!V65/1000+Basicinfo!Y65</f>
        <v>14.37103900490138</v>
      </c>
      <c r="E65" s="19">
        <f>Basicinfo!W65*Basicinfo!X65/1000+Basicinfo!Z65</f>
        <v>4.118357387784422</v>
      </c>
      <c r="F65" s="19">
        <f t="shared" si="43"/>
        <v>18.489396392685801</v>
      </c>
      <c r="G65" s="19">
        <f>SUM(Basicinfo!H65:L65)</f>
        <v>44.656977526551046</v>
      </c>
      <c r="H65" s="19">
        <f>IF(Basicinfo!N65&lt;Parameters!$C$68,Parameters!$C$69,Basicinfo!BS65/(Basicinfo!N65*100))</f>
        <v>30.871399777872409</v>
      </c>
      <c r="I65" s="19">
        <f>IF(Basicinfo!N65=0,0,Basicinfo!BU65*(1-Basicinfo!BX65/100))</f>
        <v>8836.5679116618467</v>
      </c>
      <c r="J65" s="19">
        <f>IF(Basicinfo!N65=0,0,Basicinfo!BU65*Basicinfo!BX65/100)</f>
        <v>20618.658460544306</v>
      </c>
      <c r="K65" s="19">
        <f>IF(Basicinfo!N65=0,0,Basicinfo!BT65-Basicinfo!BU65)</f>
        <v>0</v>
      </c>
      <c r="L65" s="27">
        <f>Basicinfo!BV65*Basicinfo!BW65/100</f>
        <v>684.08666666666613</v>
      </c>
      <c r="M65" s="27">
        <f>Basicinfo!BV65-Intermediate!L65</f>
        <v>684.08666666666613</v>
      </c>
      <c r="N65" s="73">
        <f>Basicinfo!BS65-SUM(I65:K65)-Basicinfo!BV65</f>
        <v>-3.637978807091713E-12</v>
      </c>
      <c r="O65" s="19">
        <f>IF(Basicinfo!AH65+Basicinfo!AI65+Basicinfo!AJ65+Basicinfo!AK65=0,0,N65*(Basicinfo!AH65+Basicinfo!AI65)/SUM(Basicinfo!AH65:AK65))</f>
        <v>-4.7418446925913094E-13</v>
      </c>
      <c r="P65" s="73">
        <f t="shared" si="25"/>
        <v>-3.1637943378325818E-12</v>
      </c>
      <c r="Q65" s="19">
        <f>IF(Basicinfo!BS65=0,Basicinfo!N65,IF(H65&gt;Parameters!$C$70,Parameters!$C$64*(Parameters!$C$65*Parameters!$C$70)^(Parameters!$C$66-Parameters!$C$67*LOG(Parameters!$C$65*Parameters!$C$70,10))/100*Basicinfo!N65,Parameters!$C$64*(Parameters!$C$65*H65)^(Parameters!$C$66-Parameters!$C$67*LOG(Parameters!$C$65*H65,10))/100*Basicinfo!N65))</f>
        <v>3.655711258760753</v>
      </c>
      <c r="R65" s="19">
        <f>IF(Basicinfo!BS65=0,Q65*(1-Basicinfo!BX65/100),IF(H65&lt;Parameters!$C$75,Q65*Basicinfo!BU65/Basicinfo!BS65*(1-Basicinfo!BX65/100)*(-Parameters!$C$74+Parameters!$C$73*LN(H65*100)),Q65*Basicinfo!BU65/Basicinfo!BS65*(1-Basicinfo!BX65/100)))</f>
        <v>0.66694206382734256</v>
      </c>
      <c r="S65" s="19">
        <f>IF(Basicinfo!BS65=0,Q65*Basicinfo!BX65/100,Q65*Basicinfo!BU65/Basicinfo!BS65*Basicinfo!BX65/100)</f>
        <v>2.4454103893415806</v>
      </c>
      <c r="T65" s="19">
        <f>IF(Basicinfo!BS65=0,0,IF(H65&lt;Parameters!$C$75,Q65*K65/Basicinfo!BS65*(-Parameters!$C$74+Parameters!$C$73*LN(H65*100)),Q65*K65/Basicinfo!BS65))</f>
        <v>0</v>
      </c>
      <c r="U65" s="19">
        <f t="shared" si="26"/>
        <v>0.5433588055918297</v>
      </c>
      <c r="V65" s="19">
        <f>IF(Basicinfo!AL65&gt;Parameters!$C$14,Basicinfo!Q65,0)</f>
        <v>0</v>
      </c>
      <c r="W65" s="19">
        <f>IF(Basicinfo!AL65&gt;Parameters!$C$14,0,Basicinfo!Q65)</f>
        <v>0</v>
      </c>
      <c r="X65" s="19">
        <f>G65+Basicinfo!M65</f>
        <v>96.849607604969151</v>
      </c>
      <c r="Y65" s="19">
        <f>IF(Basicinfo!G65-F65-Q65-V65-Basicinfo!O65-Basicinfo!R65-Basicinfo!S65&lt;0,0,Basicinfo!G65-F65-Q65-V65-Basicinfo!O65-Basicinfo!R65-Basicinfo!S65)</f>
        <v>205.4375793819255</v>
      </c>
      <c r="Z65" s="19">
        <f>Basicinfo!G65-F65-Basicinfo!BO65-Q65-Basicinfo!O65</f>
        <v>200.33907097209143</v>
      </c>
      <c r="AA65" s="53">
        <f>IF(Z65+Basicinfo!BO65-X65&gt;0,Z65+Basicinfo!BO65-X65,0)</f>
        <v>108.5881894115843</v>
      </c>
      <c r="AB65" s="56">
        <f>IF(Basicinfo!N65=0,0,Parameters!$C$71+Parameters!$C$72*Q65/Basicinfo!N65)</f>
        <v>0.42460531159722326</v>
      </c>
      <c r="AC65" s="43">
        <f>Basicinfo!AU65*AB65*R65/1000/86.4/0.365</f>
        <v>8.4732378181594722E-3</v>
      </c>
      <c r="AD65" s="43">
        <f>Basicinfo!AU65*AB65*S65/1000/86.4/0.365</f>
        <v>3.1067981636937622E-2</v>
      </c>
      <c r="AE65" s="43">
        <f>Basicinfo!AU65*AB65*T65/1000/86.4/0.365</f>
        <v>0</v>
      </c>
      <c r="AF65" s="43">
        <f>Basicinfo!AU65*AB65*U65/1000/86.4/0.365</f>
        <v>6.9031609041869243E-3</v>
      </c>
      <c r="AG65" s="43">
        <f>((Parameters!$C$80+Parameters!$C$81*Parameters!$C$89)/(Parameters!$C$82+Parameters!$C$89)/(Parameters!$C$90/100*Parameters!$C$91+(Parameters!$C$83+Parameters!$C$84*Parameters!$C$89)/(Parameters!$C$85+Parameters!$C$89)))-Parameters!$C$86+(Basicinfo!AU65-Parameters!$C$88)/Parameters!$C$87</f>
        <v>74.978369433380067</v>
      </c>
      <c r="AH65" s="43">
        <f>((Parameters!$C$80+Parameters!$C$81*Parameters!$C$89)/(Parameters!$C$82+Parameters!$C$89)/(Basicinfo!BY65/100*Parameters!$C$91+(Parameters!$C$83+Parameters!$C$84*Parameters!$C$89)/(Parameters!$C$85+Parameters!$C$89)))-Parameters!$C$86+(Basicinfo!AU65-Parameters!$C$88)/Parameters!$C$87</f>
        <v>57.175487566764502</v>
      </c>
      <c r="AI65" s="43">
        <f>Basicinfo!AU65^Parameters!$C$79*Parameters!$C$78*AH65/AG65</f>
        <v>25.027144953448548</v>
      </c>
      <c r="AJ65" s="43">
        <f>(J65*Parameters!$C$92/1000+Parameters!$C$94/100*S65*100*Parameters!$C$93/1000*86400*Parameters!$C$95/24)/86400</f>
        <v>3.110495812259333E-2</v>
      </c>
      <c r="AK65" s="43">
        <f t="shared" si="44"/>
        <v>1.898270297429679E-2</v>
      </c>
      <c r="AL65" s="43">
        <f>(K65*Parameters!$C$92/1000+Parameters!$C$94/100*T65*100*Parameters!$C$93/1000*86400*Parameters!$C$95/24)/86400</f>
        <v>0</v>
      </c>
      <c r="AM65" s="43">
        <f>(Intermediate!N65+Basicinfo!BV65-Intermediate!L65)*Parameters!$C$92/1000/86400</f>
        <v>1.0292970679012282E-3</v>
      </c>
      <c r="AN65" s="43">
        <f t="shared" si="45"/>
        <v>2.623650779623142E-2</v>
      </c>
      <c r="AO65" s="43">
        <f t="shared" si="27"/>
        <v>1.898270297429679E-2</v>
      </c>
      <c r="AP65" s="43">
        <f t="shared" si="28"/>
        <v>7.9324579720881534E-3</v>
      </c>
      <c r="AQ65" s="43">
        <f t="shared" si="33"/>
        <v>3.5388398764544415E-2</v>
      </c>
      <c r="AR65" s="61">
        <f>(Basicinfo!AU65-Basicinfo!AY65)*F65/1000/86.4/0.365</f>
        <v>0.13675367898988172</v>
      </c>
      <c r="AS65" s="19">
        <f>IF(Basicinfo!AP65-Basicinfo!CB65-Basicinfo!CG65&lt;0,0,(Basicinfo!AP65-Basicinfo!CB65-Basicinfo!CG65)/Basicinfo!G65*1000)</f>
        <v>16.281433186530972</v>
      </c>
      <c r="AT65" s="19">
        <f>Parameters!$C$3*((AS65*86.4*0.365)^Parameters!$C$4)</f>
        <v>101.61614145310932</v>
      </c>
      <c r="AU65" s="19">
        <f>IF(AT65/86.4/0.365*(Basicinfo!G65/1000)-AN65&lt;0,0,AT65/86.4/0.365*(Basicinfo!G65/1000)-AN65)</f>
        <v>0.70708720583431706</v>
      </c>
      <c r="AV65" s="19">
        <f>IF(Basicinfo!AU65&gt;Parameters!$C$13,Parameters!$C$11*(Basicinfo!AU65-Parameters!$C$13)^Parameters!$C$12,0)</f>
        <v>78.764609345480352</v>
      </c>
      <c r="AW65" s="19">
        <f>IF(AV65*V65/1000/86.4/0.365&gt;Basicinfo!AP65*Parameters!$C$15,Basicinfo!AP65*Parameters!$C$15,AV65*V65/1000/86.4/0.365)</f>
        <v>0</v>
      </c>
      <c r="AX65" s="19">
        <f>Basicinfo!AU65-Basicinfo!AW65</f>
        <v>368.65937942399989</v>
      </c>
      <c r="AY65" s="19">
        <f>Parameters!$C$56*AX65+Parameters!$C$57*Basicinfo!AW65</f>
        <v>241.82256522572851</v>
      </c>
      <c r="AZ65" s="19">
        <f>AY65*Basicinfo!BO65/1000/86.4/0.365</f>
        <v>3.9097761651922788E-2</v>
      </c>
      <c r="BA65" s="19">
        <f>IF(Basicinfo!AP65-AQ65-AR65-AU65-AW65-AZ65-Basicinfo!CB65-Basicinfo!CG65&lt;0,0,Basicinfo!AP65-AQ65-AR65-AU65-AW65-AZ65-Basicinfo!CB65-Basicinfo!CG65)</f>
        <v>2.7870488115080234</v>
      </c>
      <c r="BB65" s="53">
        <f t="shared" si="34"/>
        <v>438.71807377983208</v>
      </c>
      <c r="BC65" s="56">
        <f>IF(G65=0,0,((Basicinfo!H65*Basicinfo!BE65+Basicinfo!I65*Basicinfo!BF65+Basicinfo!J65*Basicinfo!BG65+Basicinfo!K65*Basicinfo!BH65+Basicinfo!L65*Basicinfo!BI65)*(1-Basicinfo!BN65/G65*Parameters!$C$26/100)/G65)*Basicinfo!BM65)</f>
        <v>7.2548789301100314</v>
      </c>
      <c r="BD65" s="43">
        <f>IF(Basicinfo!AW65*Parameters!$C$39-Parameters!$C$40&lt;0,0.001,(Basicinfo!AW65*Parameters!$C$39-Parameters!$C$40)/(Basicinfo!AX65*Parameters!$C$39-Parameters!$C$40))</f>
        <v>1.0881290517085211</v>
      </c>
      <c r="BE65" s="43">
        <f>(BC65*G65*100+Basicinfo!BJ65*Basicinfo!M65*100)*Parameters!$C$29*BD65</f>
        <v>36612.489973589152</v>
      </c>
      <c r="BF65" s="43">
        <f>(Basicinfo!BK65*Basicinfo!P65*100)*BD65*Parameters!$C$29</f>
        <v>1577.4589955555598</v>
      </c>
      <c r="BG65" s="43">
        <f>Parameters!$C$27*(V65+W65)*100</f>
        <v>0</v>
      </c>
      <c r="BH65" s="43">
        <f>Parameters!$C$28*Basicinfo!R65*100</f>
        <v>0</v>
      </c>
      <c r="BI65" s="43">
        <f t="shared" si="46"/>
        <v>1577.4589955555598</v>
      </c>
      <c r="BJ65" s="43">
        <f>IF(Basicinfo!AM65&lt;Parameters!$C$33,0,Parameters!$C$30*(((Basicinfo!AM65-Parameters!$C$33)^Parameters!$C$31)*(((G65-Basicinfo!BN65)/Basicinfo!G65*100+Parameters!$C$34))^Parameters!$C$32))</f>
        <v>2.772532864093284</v>
      </c>
      <c r="BK65" s="58">
        <f t="shared" si="47"/>
        <v>2592.5523124361775</v>
      </c>
      <c r="BL65" s="61">
        <f>Basicinfo!AZ65+Basicinfo!BA65</f>
        <v>1611.1392310915139</v>
      </c>
      <c r="BM65" s="19">
        <f>Basicinfo!BB65+Basicinfo!BC65</f>
        <v>1761.1100552942689</v>
      </c>
      <c r="BN65" s="172">
        <f>IF(Basicinfo!AO65=0,0,IF(Basicinfo!AO65="NA",1,IF(OR(Basicinfo!AO65="SA",Basicinfo!AN65="S"),3,IF(Basicinfo!AN65="N",1,IF(Basicinfo!AO65="ZA",2,0)))))</f>
        <v>0</v>
      </c>
      <c r="BO65" s="27">
        <f>IF($BN65=1,(BL65)*(1+Parameters!$C$21*Parameters!$C$22-Parameters!$C$22*Basicinfo!$AL65),IF($BN65=2,(BL65)*(1+Parameters!$C$21*Parameters!$C$23-Parameters!$C$23*Basicinfo!$AL65),IF($BN65=3,(BL65)*(1+Parameters!$C$21*Parameters!$C$24-Parameters!$C$24*Basicinfo!$AL65),BL65)))</f>
        <v>1611.1392310915139</v>
      </c>
      <c r="BP65" s="27">
        <f>IF($BN65=1,(BM65)*(1+Parameters!$C$21*Parameters!$C$22-Parameters!$C$22*Basicinfo!$AL65),IF($BN65=2,(BM65)*(1+Parameters!$C$21*Parameters!$C$23-Parameters!$C$23*Basicinfo!$AL65),IF($BN65=3,(BM65)*(1+Parameters!$C$21*Parameters!$C$24-Parameters!$C$24*Basicinfo!$AL65),BM65)))</f>
        <v>1761.1100552942689</v>
      </c>
      <c r="BQ65" s="27">
        <f>IF(Basicinfo!AU65=0,0,IF(G65+Basicinfo!M65=0,0,(Parameters!$C$16+BO65/Basicinfo!AU65)*G65+(Parameters!$C$17+BO65/Basicinfo!AU65)*Basicinfo!M65)/(G65+Basicinfo!M65))</f>
        <v>1.8457890825286931</v>
      </c>
      <c r="BR65" s="27">
        <f>IF(Basicinfo!AU65=0,0,IF(G65+Basicinfo!M65=0,0,(Parameters!$C$16+BP65/Basicinfo!AU65)*G65+(Parameters!$C$17+BP65/Basicinfo!AU65)*Basicinfo!M65)/(G65+Basicinfo!M65))</f>
        <v>2.0047258248526978</v>
      </c>
      <c r="BS65" s="27">
        <f>IF(Basicinfo!AU65=0,0,BO65/Basicinfo!AU65)</f>
        <v>1.7074602488940807</v>
      </c>
      <c r="BT65" s="27">
        <f>IF(Basicinfo!AU65=0,0,BP65/Basicinfo!AU65)</f>
        <v>1.8663969912180851</v>
      </c>
      <c r="BU65" s="27">
        <f>IF(SUM(G65,Basicinfo!M65,Basicinfo!P65,W65)=0,0,(BQ65*(G65+Basicinfo!M65)+BS65*(Basicinfo!P65+W65))/SUM(G65,Basicinfo!M65,Basicinfo!P65,W65))</f>
        <v>1.774745525242623</v>
      </c>
      <c r="BV65" s="19">
        <f>IF(Basicinfo!BR65/Parameters!$C$10&gt;1,1,Basicinfo!BR65/Parameters!$C$10)</f>
        <v>0.36002651940632657</v>
      </c>
      <c r="BW65" s="19">
        <f>Parameters!$C$5+Parameters!$C$6*EXP(BV65*Parameters!$C$8*Parameters!$C$7)</f>
        <v>3.5093794209734165E-2</v>
      </c>
      <c r="BX65" s="19">
        <f>Parameters!$C$5+Parameters!$C$6*EXP(BV65*Parameters!$C$9*Parameters!$C$7)</f>
        <v>3.505368115555231E-2</v>
      </c>
      <c r="BY65" s="19">
        <f>IF(Basicinfo!AH65+Basicinfo!AI65+Basicinfo!AJ65+Basicinfo!AK65=0,0,(Parameters!$C$18*(Basicinfo!AH65+Basicinfo!AI65)+Parameters!$C$19*Basicinfo!AJ65+Parameters!$C$20*Basicinfo!AK65)/(Basicinfo!AH65+Basicinfo!AI65+Basicinfo!AJ65+Basicinfo!AK65))</f>
        <v>2.6303428344153015E-2</v>
      </c>
      <c r="BZ65" s="19">
        <f>IF(Basicinfo!AJ65+Basicinfo!AK65=0,Parameters!$C$18,(Parameters!$C$19*Basicinfo!AJ65+Parameters!$C$20*Basicinfo!AK65)/(Basicinfo!AJ65+Basicinfo!AK65))</f>
        <v>2.5000000000000001E-2</v>
      </c>
      <c r="CA65" s="19">
        <f>IF(SUM(G65,Basicinfo!M65,Basicinfo!P65,W65)=0,0,(BW65*G65+BX65*Basicinfo!M65+BY65*Basicinfo!P65+BZ65*W65)/(SUM(G65,Basicinfo!M65,Basicinfo!P65,W65)))</f>
        <v>3.0568682880816083E-2</v>
      </c>
      <c r="CB65" s="19">
        <f>IF(Y65=0,Basicinfo!BP65,Basicinfo!BP65-(AU65*X65/Y65*Intermediate!BQ65*86400*365/1000000)*1000/(X65*100))</f>
        <v>50.216415323522163</v>
      </c>
      <c r="CC65" s="19">
        <f>IF(Y65=0,Basicinfo!BQ65,Basicinfo!BQ65-(AU65*Basicinfo!AV65/Basicinfo!AU65*X65/Y65*Intermediate!BR65*86400*365/1000000)*1000/(X65*100))</f>
        <v>52.537925324361744</v>
      </c>
      <c r="CD65" s="19">
        <f>IF(OR(Y65=0,AA65=0),BP65/100,BP65/100-(AU65*Basicinfo!AV65/Basicinfo!AU65*(Basicinfo!P65+W65)/Y65*Intermediate!BT65*86400*365/1000000+AW65*Basicinfo!AV65/Basicinfo!AU65*Intermediate!BT65*86400*365/1000000)*1000/(AA65*100))</f>
        <v>15.697823675510035</v>
      </c>
      <c r="CE65" s="19">
        <f t="shared" si="35"/>
        <v>482040.09638702829</v>
      </c>
      <c r="CF65" s="19">
        <f t="shared" si="36"/>
        <v>170459.82506259362</v>
      </c>
      <c r="CG65" s="19">
        <f>IF(AY65=0,0,((CB65^Parameters!$C$58))/AY65*100)</f>
        <v>11.540430971486018</v>
      </c>
      <c r="CH65" s="19">
        <f>IF(SUM(Basicinfo!AB65:AG65)=0,0,(Parameters!$C$59*Basicinfo!AB65+Parameters!$C$60*SUM(Basicinfo!AC65:AE65)+Parameters!$C$61*Basicinfo!AF65+Parameters!$C$62*Basicinfo!AG65)/SUM(Basicinfo!AB65:AG65))</f>
        <v>0.17831738549100873</v>
      </c>
      <c r="CI65" s="19">
        <f t="shared" si="31"/>
        <v>7</v>
      </c>
      <c r="CJ65" s="19">
        <f t="shared" si="37"/>
        <v>32.569778739790578</v>
      </c>
      <c r="CK65" s="19">
        <f t="shared" si="42"/>
        <v>7.4238515999993915</v>
      </c>
      <c r="CL65" s="19">
        <f>IF($BB65=0,0,$CJ65^Parameters!$C$58*100/$BB65)</f>
        <v>4.4025780164608301</v>
      </c>
      <c r="CM65" s="19">
        <f>IF(CK65=0,0,(1/(1+Parameters!$C$116*BB65^Parameters!$C$120)*Basicinfo!AH65/Basicinfo!G65+1/(1+Parameters!$C$117*BB65^Parameters!$C$121)*Basicinfo!AI65/Basicinfo!G65)*(CK65)^Parameters!$C$124+(1/(1+Parameters!$C$118*BB65^Parameters!$C$122)*Basicinfo!AJ65/Basicinfo!G65+1/(1+Parameters!$C$119*BB65^Parameters!$C$123)*Basicinfo!AK65/Basicinfo!G65)*(CK65)^Parameters!$C$125)</f>
        <v>1.5447878844563925</v>
      </c>
      <c r="CN65" s="19">
        <f>IF(SUM(Basicinfo!AB65:AG65)=0,0,(Parameters!$C$128*Basicinfo!AB65+Parameters!$C$129*(SUM(Basicinfo!AC65:AE65))+Parameters!$C$130*Basicinfo!AF65+Parameters!$C$131*Basicinfo!AG65)/SUM(Basicinfo!AB65:AG65))</f>
        <v>2.9654530772849533E-2</v>
      </c>
      <c r="CO65" s="19">
        <f>IF(Basicinfo!AH65+Basicinfo!AI65+Basicinfo!AJ65+Basicinfo!AK65=0,0,(Parameters!$C$132*(Basicinfo!AH65+Basicinfo!AI65)+Parameters!$C$133*Basicinfo!AJ65+Parameters!$C$134*Basicinfo!AK65)/(Basicinfo!AH65+Basicinfo!AI65+Basicinfo!AJ65+Basicinfo!AK65))</f>
        <v>5.0000000000000001E-4</v>
      </c>
      <c r="CP65" s="19">
        <f>IF(Basicinfo!AJ65+Basicinfo!AK65=0,0,(Parameters!$C$133*Basicinfo!AJ65+Parameters!$C$134*Basicinfo!AK65)/(Basicinfo!AJ65+Basicinfo!AK65))</f>
        <v>5.0000000000000001E-4</v>
      </c>
      <c r="CQ65" s="19">
        <f>IF(Z65=0,0,(CN65*(Z65-AA65)+CO65*Basicinfo!P65+CP65*(Basicinfo!Q65+Basicinfo!R65))/Z65)</f>
        <v>1.3836337280278841E-2</v>
      </c>
      <c r="CR65" s="19">
        <f>IF(CK65=0,0,IF(AND((Basicinfo!AI65+Basicinfo!AK65)&gt;0,(CM65/CK65)&lt;Parameters!$C$135),CQ65*Parameters!$C$136,CQ65))</f>
        <v>3.4590843200697101E-2</v>
      </c>
      <c r="CS65" s="19">
        <f>IF(SUM(Basicinfo!AB65:AG65)=0,0,(Basicinfo!AB65*Parameters!$C$43+(Basicinfo!AC65+Basicinfo!AD65)*Parameters!$C$44+Basicinfo!AE65*Parameters!$C$45+(Basicinfo!AF65+Basicinfo!AG65)*Parameters!$C$46)/SUM(Basicinfo!AB65:AG65))</f>
        <v>7.8276028457269584</v>
      </c>
      <c r="CT65" s="19">
        <f>(Parameters!$C$41*CS65+Parameters!$C$42)</f>
        <v>354.84154902641495</v>
      </c>
      <c r="CU65" s="19">
        <f>CT65+Basicinfo!BR65/(Parameters!$C$47*Parameters!$C$49*Parameters!$C$48*10000/1000000)</f>
        <v>481.64334202486958</v>
      </c>
      <c r="CV65" s="19">
        <f>IF(BK65/Basicinfo!G65&lt;Parameters!$C$35,Parameters!$C$35,Parameters!$C$37*(BK65/Basicinfo!G65)^Parameters!$C$38)</f>
        <v>2.4412279491760693</v>
      </c>
      <c r="CW65" s="19">
        <f>IF(BK65/Basicinfo!G65&lt;Parameters!$C$35,Parameters!$C$36,Parameters!$C$36*(BK65/Basicinfo!G65)^Parameters!$C$38)</f>
        <v>5.7368856805637627</v>
      </c>
      <c r="CX65" s="27">
        <f>IF(Basicinfo!AJ65+Basicinfo!AK65=0,0,(Parameters!$C$53*Basicinfo!AJ65+Parameters!$C$54*Basicinfo!AK65)/(Basicinfo!AJ65+Basicinfo!AK65))</f>
        <v>750</v>
      </c>
      <c r="CY65" s="56">
        <f>IF(Basicinfo!AU65*AB65=0,0,((Basicinfo!AZ65+Basicinfo!BA65)/Basicinfo!AU65+Parameters!$C$76/(Basicinfo!AU65*AB65)*100))</f>
        <v>2.7058315710756879</v>
      </c>
      <c r="CZ65" s="43">
        <f>IF(Basicinfo!AU65*AB65=0,0,(Parameters!$C$77)/(Basicinfo!AU65*AB65)*100)</f>
        <v>0.62398207636350467</v>
      </c>
      <c r="DA65" s="43">
        <f>IF(AD65+AJ65=0,0,((J65*Parameters!$C$96+Parameters!$C$94/100*S65*100*Parameters!$C$93/1000*86400*Parameters!$C$95/24*Parameters!$C$98)*AI65+AD65*CY65*86400*365)/((AD65+AJ65*AI65/365)*86400*365))</f>
        <v>8.4465774560997939</v>
      </c>
      <c r="DB65" s="43">
        <f>IF(AD65+AJ65=0,0,((J65*Parameters!$C$97+Parameters!$C$94/100*S65*100*Parameters!$C$93/1000*86400*Parameters!$C$95/24*Parameters!$C$99)*AI65+AD65*CZ65*86400*365)/((AD65+AJ65*AI65/365)*86400*365))</f>
        <v>1.5460652662154313</v>
      </c>
      <c r="DC65" s="42">
        <f>IF(AE65+AL65=0,0,((K65*Parameters!$C$96+Parameters!$C$94/100*T65*100*Parameters!$C$93/1000*86400*Parameters!$C$95/24*Parameters!$C$98)*365+AE65*CY65*86400*365)/((AE65+AL65)*86400*365))</f>
        <v>0</v>
      </c>
      <c r="DD65" s="42">
        <f>IF(AE65+AL65=0,0,((K65*Parameters!$C$97+Parameters!$C$94/100*T65*100*Parameters!$C$93/1000*86400*Parameters!$C$95/24*Parameters!$C$99)*365+AE65*CZ65*86400*365)/((AE65+AL65)*86400*365))</f>
        <v>0</v>
      </c>
      <c r="DE65" s="42">
        <f>IF(Basicinfo!AH65+Basicinfo!AI65+Basicinfo!AJ65+Basicinfo!AK65=0,0,((Basicinfo!AH65+Basicinfo!AI65)*Parameters!$C$107+(Basicinfo!AJ65+Basicinfo!AK65)*Parameters!$C$106)/(Basicinfo!AH65+Basicinfo!AI65+Basicinfo!AJ65+Basicinfo!AK65))</f>
        <v>55.213713376612056</v>
      </c>
      <c r="DF65" s="42">
        <f>IF(Basicinfo!AH65+Basicinfo!AI65+Basicinfo!AJ65+Basicinfo!AK65=0,0,((Basicinfo!AH65+Basicinfo!AI65)*Parameters!$C$109+(Basicinfo!AJ65+Basicinfo!AK65)*Parameters!$C$108)/(Basicinfo!AH65+Basicinfo!AI65+Basicinfo!AJ65+Basicinfo!AK65))</f>
        <v>55.213713376612056</v>
      </c>
      <c r="DG65" s="42">
        <f>Intermediate!AC65*Intermediate!CY65*(1-Parameters!$C$102/100*Basicinfo!BZ65/100)*(1-Parameters!$C$104/100*Basicinfo!CA65/100)*86400*365/1000000</f>
        <v>0.72303074108297782</v>
      </c>
      <c r="DH65" s="42">
        <f>Intermediate!AC65*Intermediate!CZ65*(1-Parameters!$C$103/100*Basicinfo!BZ65/100)*(1-Parameters!$C$105/100*Basicinfo!CA65/100)*86400*365/1000000</f>
        <v>0.16673551595683564</v>
      </c>
      <c r="DI65" s="42">
        <f>(Intermediate!AK65*Intermediate!DA65+(Intermediate!AE65+Intermediate!AL65)*Intermediate!DC65)*86400*365/1000000</f>
        <v>5.0564466358097615</v>
      </c>
      <c r="DJ65" s="42">
        <f>(Intermediate!AK65*Intermediate!DB65+(Intermediate!AE65+Intermediate!AL65)*Intermediate!DD65)*86400*365/1000000</f>
        <v>0.92553422433269372</v>
      </c>
      <c r="DK65" s="42">
        <f>((Basicinfo!AZ65+Basicinfo!BA65)*Intermediate!AB65+Parameters!$C$76*100)/1000*Intermediate!U65*(1-Intermediate!DE65/100)+(1-Parameters!$C$110/100)*M65*Parameters!$C$100*(1-DE65/100)*365/1000000+(1-Parameters!$C$112/100)*P65*Parameters!$C$96*365/1000000+(1-Parameters!$C$112/100)*O65*Parameters!$C$96*(1-DE65/100)*365/1000000</f>
        <v>1.1696192125549647</v>
      </c>
      <c r="DL65" s="42">
        <f>Parameters!$C$77*100/1000*Intermediate!U65*(1-Intermediate!DF65/100)+(1-Parameters!$C$111/100)*M65*Parameters!$C$101*(1-DF65/100)*365/1000000+(1-Parameters!$C$113/100)*P65*Parameters!$C$97*365/1000000+(1-Parameters!$C$113/100)*O65*Parameters!$C$97*(1-DF65/100)*365/1000000</f>
        <v>0.18181983430304938</v>
      </c>
      <c r="DM65" s="31"/>
      <c r="DN65" s="31"/>
      <c r="DO65" s="31"/>
      <c r="DP65" s="31"/>
      <c r="DQ65" s="31"/>
      <c r="DR65" s="31"/>
      <c r="DS65" s="31"/>
      <c r="DT65" s="188">
        <f>BO65*(Basicinfo!$P65+Basicinfo!$Q65)/1000</f>
        <v>164.75385949957553</v>
      </c>
      <c r="DU65" s="188">
        <f>DT65*Basicinfo!$AZ65/(Basicinfo!$AZ65+Basicinfo!$BA65)</f>
        <v>102.44529941505536</v>
      </c>
      <c r="DV65" s="188">
        <f>DT65*Basicinfo!$BC65/(Basicinfo!$BB65+Basicinfo!$BC65)</f>
        <v>59.636928147613013</v>
      </c>
      <c r="DW65" s="188">
        <f>BP65*(Basicinfo!$P65+Basicinfo!$Q65)/1000</f>
        <v>180.08976071960657</v>
      </c>
      <c r="DX65" s="188">
        <f>DW65*Basicinfo!$BB65/(Basicinfo!$BB65+Basicinfo!$BC65)</f>
        <v>114.90160577878915</v>
      </c>
      <c r="DY65" s="188">
        <f>DW65*Basicinfo!$BC65/(Basicinfo!$BB65+Basicinfo!$BC65)</f>
        <v>65.188154940817441</v>
      </c>
      <c r="DZ65" s="188">
        <f t="shared" si="38"/>
        <v>156.03820232818481</v>
      </c>
      <c r="EA65" s="188">
        <f>DZ65*Basicinfo!$AZ65/(Basicinfo!$AZ65+Basicinfo!$BA65)</f>
        <v>97.025832391738689</v>
      </c>
      <c r="EB65" s="188">
        <f>DZ65*Basicinfo!$BC65/(Basicinfo!$BB65+Basicinfo!$BC65)</f>
        <v>56.482070215494005</v>
      </c>
      <c r="EC65" s="188">
        <f t="shared" si="39"/>
        <v>170.56281780441549</v>
      </c>
      <c r="ED65" s="188">
        <f>EC65*Basicinfo!$AZ65/(Basicinfo!$AZ65+Basicinfo!$BA65)</f>
        <v>106.05735727298028</v>
      </c>
      <c r="EE65" s="188">
        <f>EC65*Basicinfo!$BC65/(Basicinfo!$BB65+Basicinfo!$BC65)</f>
        <v>61.7396311136647</v>
      </c>
      <c r="EF65" s="190">
        <f>(Basicinfo!BP65-BL65/100)*Intermediate!X65/10</f>
        <v>349.7092899641865</v>
      </c>
      <c r="EG65" s="191">
        <f>(Basicinfo!BQ65-BM65/100)*Intermediate!X65/10</f>
        <v>359.40014459803058</v>
      </c>
      <c r="EH65" s="197">
        <f>IF(AU65=0,0,$BS65*((Basicinfo!$P65+Basicinfo!$Q65)*Intermediate!$AT65*1000+$AW65*3600*24*365)/1000000*Basicinfo!AZ65/(Basicinfo!$AZ65+Basicinfo!$BA65))</f>
        <v>11.032457547176024</v>
      </c>
      <c r="EI65" s="197">
        <f>IF(AU65=0,0,$BS65*((Basicinfo!$P65+Basicinfo!$Q65)*Intermediate!$AT65*1000+$AW65*3600*24*365)/1000000*Basicinfo!BA65/(Basicinfo!$AZ65+Basicinfo!$BA65))</f>
        <v>6.7100837996780998</v>
      </c>
      <c r="EJ65" s="198">
        <f>IF(AU65=0,0,$BS65*($AT65*$X65*1000)/1000000*Basicinfo!AZ65/(Basicinfo!$AZ65+Basicinfo!$BA65))</f>
        <v>10.448828623209266</v>
      </c>
      <c r="EK65" s="198">
        <f>IF(AU65=0,0,$BS65*($AT65*$X65*1000)/1000000*Basicinfo!BA65/(Basicinfo!$AZ65+Basicinfo!$BA65))</f>
        <v>6.3551131169460975</v>
      </c>
      <c r="EL65" s="147">
        <f>Parameters!$C$150/Basicinfo!$AV65*100</f>
        <v>0.1056728355025795</v>
      </c>
      <c r="EM65" s="147">
        <f>Parameters!$C$151/Basicinfo!$AV65*100</f>
        <v>0.211345671005159</v>
      </c>
      <c r="EN65" s="147">
        <f>(Parameters!$C$150+Parameters!$C$151)/Intermediate!$BB65*100</f>
        <v>0.68381044212587672</v>
      </c>
      <c r="EO65" s="193">
        <f>IF(EN65=0,0,(1/(1+Parameters!$C$116*$BB65^Parameters!$C$120)*Basicinfo!$AH65/Basicinfo!$G65+1/(1+Parameters!$C$117*$BB65^Parameters!$C$121)*Basicinfo!$AI65/Basicinfo!$G65)*(EN65)^Parameters!$C$124+(1/(1+Parameters!$C$118*$BB65^Parameters!$C$122)*Basicinfo!$AJ65/Basicinfo!AW65+1/(1+Parameters!$C$119*$BB65^Parameters!$C$123)*Basicinfo!$AK65/Basicinfo!$G65)*(EN65)^Parameters!$C$125)</f>
        <v>0.23213335727364087</v>
      </c>
      <c r="EP65" s="199">
        <f>EL65*($AT65*Basicinfo!$P65*1000+$AW65*3600*24*365)/1000000</f>
        <v>1.0980663557808763</v>
      </c>
      <c r="EQ65" s="199">
        <f>EM65*($AT65*Basicinfo!$P65*1000+$AW65*3600*24*365)/1000000</f>
        <v>2.1961327115617526</v>
      </c>
      <c r="ER65" s="199">
        <f t="shared" si="40"/>
        <v>1.0399774591838951</v>
      </c>
      <c r="ES65" s="199">
        <f t="shared" si="41"/>
        <v>2.0799549183677901</v>
      </c>
      <c r="ET65" s="181">
        <f t="shared" si="48"/>
        <v>20.402751233187377</v>
      </c>
      <c r="EU65" s="147">
        <f>Intermediate!F65*(Parameters!$C$150)/1000*100</f>
        <v>1.8489396392685802</v>
      </c>
      <c r="EV65" s="147">
        <f>Intermediate!F65*(Parameters!$C$151)/1000*100</f>
        <v>3.6978792785371604</v>
      </c>
      <c r="EW65" s="181">
        <f>'Local emissions'!$S65*Basicinfo!AZ65/(Basicinfo!$AZ65+Basicinfo!$BA65)-Intermediate!EU65</f>
        <v>16.67409953233367</v>
      </c>
      <c r="EX65" s="147">
        <f>'Local emissions'!$S65*Basicinfo!BA65/(Basicinfo!$AZ65+Basicinfo!$BA65)-Intermediate!EV65</f>
        <v>7.5680734373186009</v>
      </c>
      <c r="EY65" s="188">
        <f t="shared" si="49"/>
        <v>9.9343911913951484</v>
      </c>
      <c r="EZ65" s="188">
        <f t="shared" si="50"/>
        <v>4.5139510881163467</v>
      </c>
      <c r="FA65" s="188">
        <f t="shared" si="51"/>
        <v>9.4088511640253714</v>
      </c>
      <c r="FB65" s="181">
        <f t="shared" si="52"/>
        <v>4.2751581985783069</v>
      </c>
      <c r="FC65" s="181">
        <f>'Local emissions'!Y65-Intermediate!ET65</f>
        <v>115.37279651887776</v>
      </c>
      <c r="FD65" s="188">
        <f t="shared" si="53"/>
        <v>18.669767964441501</v>
      </c>
      <c r="FE65" s="188">
        <f t="shared" si="54"/>
        <v>10.592086320518504</v>
      </c>
      <c r="FF65" s="181">
        <f t="shared" si="55"/>
        <v>8.6163558715640445</v>
      </c>
      <c r="FG65" s="201">
        <f t="shared" si="56"/>
        <v>5.0158767551145704</v>
      </c>
      <c r="FH65" s="181">
        <f t="shared" si="57"/>
        <v>72.478709607239139</v>
      </c>
      <c r="FJ65" s="147">
        <f>AVERAGE(Parameters!$C$132:$C$134)*'Local emissions'!J65*3600*24*365/1000000</f>
        <v>4.3946185659858514E-2</v>
      </c>
      <c r="FK65" s="147">
        <f>'Local emissions'!AJ65+CT65*BJ65/100*Intermediate!X65*100/1000000</f>
        <v>0.80513814653295568</v>
      </c>
      <c r="FL65" s="31">
        <f>(Parameters!$C$18*(Basicinfo!AH65+Basicinfo!AI65)+Parameters!$C$19*Basicinfo!AJ65+Parameters!$C$20*Basicinfo!AK65)/Basicinfo!G65</f>
        <v>2.6303428344153012E-2</v>
      </c>
      <c r="FM65" s="181">
        <f t="shared" si="32"/>
        <v>0.5865323134649677</v>
      </c>
    </row>
    <row r="66" spans="1:169">
      <c r="A66" s="39" t="str">
        <f>Basicinfo!A66</f>
        <v>Donau</v>
      </c>
      <c r="B66" s="63">
        <f>Basicinfo!B66</f>
        <v>5010</v>
      </c>
      <c r="C66" s="63">
        <f>Basicinfo!C66</f>
        <v>5020</v>
      </c>
      <c r="D66" s="61">
        <f>Basicinfo!U66*Basicinfo!V66/1000+Basicinfo!Y66</f>
        <v>7.5154783574717463</v>
      </c>
      <c r="E66" s="19">
        <f>Basicinfo!W66*Basicinfo!X66/1000+Basicinfo!Z66</f>
        <v>1.4262474553586024</v>
      </c>
      <c r="F66" s="19">
        <f t="shared" si="43"/>
        <v>8.9417258128303487</v>
      </c>
      <c r="G66" s="19">
        <f>SUM(Basicinfo!H66:L66)</f>
        <v>44.242840406624083</v>
      </c>
      <c r="H66" s="19">
        <f>IF(Basicinfo!N66&lt;Parameters!$C$68,Parameters!$C$69,Basicinfo!BS66/(Basicinfo!N66*100))</f>
        <v>52.736979246180866</v>
      </c>
      <c r="I66" s="19">
        <f>IF(Basicinfo!N66=0,0,Basicinfo!BU66*(1-Basicinfo!BX66/100))</f>
        <v>46025.429935264932</v>
      </c>
      <c r="J66" s="19">
        <f>IF(Basicinfo!N66=0,0,Basicinfo!BU66*Basicinfo!BX66/100)</f>
        <v>107392.6698489515</v>
      </c>
      <c r="K66" s="19">
        <f>IF(Basicinfo!N66=0,0,Basicinfo!BT66-Basicinfo!BU66)</f>
        <v>0</v>
      </c>
      <c r="L66" s="27">
        <f>Basicinfo!BV66*Basicinfo!BW66/100</f>
        <v>2660.8166666666657</v>
      </c>
      <c r="M66" s="27">
        <f>Basicinfo!BV66-Intermediate!L66</f>
        <v>2660.8166666666657</v>
      </c>
      <c r="N66" s="73">
        <f>Basicinfo!BS66-SUM(I66:K66)-Basicinfo!BV66</f>
        <v>-2.9103830456733704E-11</v>
      </c>
      <c r="O66" s="19">
        <f>IF(Basicinfo!AH66+Basicinfo!AI66+Basicinfo!AJ66+Basicinfo!AK66=0,0,N66*(Basicinfo!AH66+Basicinfo!AI66)/SUM(Basicinfo!AH66:AK66))</f>
        <v>-2.0803827411017294E-11</v>
      </c>
      <c r="P66" s="73">
        <f t="shared" si="25"/>
        <v>-8.3000030457164096E-12</v>
      </c>
      <c r="Q66" s="19">
        <f>IF(Basicinfo!BS66=0,Basicinfo!N66,IF(H66&gt;Parameters!$C$70,Parameters!$C$64*(Parameters!$C$65*Parameters!$C$70)^(Parameters!$C$66-Parameters!$C$67*LOG(Parameters!$C$65*Parameters!$C$70,10))/100*Basicinfo!N66,Parameters!$C$64*(Parameters!$C$65*H66)^(Parameters!$C$66-Parameters!$C$67*LOG(Parameters!$C$65*H66,10))/100*Basicinfo!N66))</f>
        <v>14.236890553845875</v>
      </c>
      <c r="R66" s="19">
        <f>IF(Basicinfo!BS66=0,Q66*(1-Basicinfo!BX66/100),IF(H66&lt;Parameters!$C$75,Q66*Basicinfo!BU66/Basicinfo!BS66*(1-Basicinfo!BX66/100)*(-Parameters!$C$74+Parameters!$C$73*LN(H66*100)),Q66*Basicinfo!BU66/Basicinfo!BS66*(1-Basicinfo!BX66/100)))</f>
        <v>2.9031848862398912</v>
      </c>
      <c r="S66" s="19">
        <f>IF(Basicinfo!BS66=0,Q66*Basicinfo!BX66/100,Q66*Basicinfo!BU66/Basicinfo!BS66*Basicinfo!BX66/100)</f>
        <v>9.6317264549803614</v>
      </c>
      <c r="T66" s="19">
        <f>IF(Basicinfo!BS66=0,0,IF(H66&lt;Parameters!$C$75,Q66*K66/Basicinfo!BS66*(-Parameters!$C$74+Parameters!$C$73*LN(H66*100)),Q66*K66/Basicinfo!BS66))</f>
        <v>0</v>
      </c>
      <c r="U66" s="19">
        <f t="shared" si="26"/>
        <v>1.7019792126256217</v>
      </c>
      <c r="V66" s="19">
        <f>IF(Basicinfo!AL66&gt;Parameters!$C$14,Basicinfo!Q66,0)</f>
        <v>0</v>
      </c>
      <c r="W66" s="19">
        <f>IF(Basicinfo!AL66&gt;Parameters!$C$14,0,Basicinfo!Q66)</f>
        <v>0</v>
      </c>
      <c r="X66" s="19">
        <f>G66+Basicinfo!M66</f>
        <v>57.721587911150486</v>
      </c>
      <c r="Y66" s="19">
        <f>IF(Basicinfo!G66-F66-Q66-V66-Basicinfo!O66-Basicinfo!R66-Basicinfo!S66&lt;0,0,Basicinfo!G66-F66-Q66-V66-Basicinfo!O66-Basicinfo!R66-Basicinfo!S66)</f>
        <v>129.15098963976902</v>
      </c>
      <c r="Z66" s="19">
        <f>Basicinfo!G66-F66-Basicinfo!BO66-Q66-Basicinfo!O66</f>
        <v>127.75342253530495</v>
      </c>
      <c r="AA66" s="53">
        <f>IF(Z66+Basicinfo!BO66-X66&gt;0,Z66+Basicinfo!BO66-X66,0)</f>
        <v>71.466401156089404</v>
      </c>
      <c r="AB66" s="56">
        <f>IF(Basicinfo!N66=0,0,Parameters!$C$71+Parameters!$C$72*Q66/Basicinfo!N66)</f>
        <v>0.50473661205808296</v>
      </c>
      <c r="AC66" s="43">
        <f>Basicinfo!AU66*AB66*R66/1000/86.4/0.365</f>
        <v>3.9647946091559298E-2</v>
      </c>
      <c r="AD66" s="43">
        <f>Basicinfo!AU66*AB66*S66/1000/86.4/0.365</f>
        <v>0.13153766853281704</v>
      </c>
      <c r="AE66" s="43">
        <f>Basicinfo!AU66*AB66*T66/1000/86.4/0.365</f>
        <v>0</v>
      </c>
      <c r="AF66" s="43">
        <f>Basicinfo!AU66*AB66*U66/1000/86.4/0.365</f>
        <v>2.3243431856843615E-2</v>
      </c>
      <c r="AG66" s="43">
        <f>((Parameters!$C$80+Parameters!$C$81*Parameters!$C$89)/(Parameters!$C$82+Parameters!$C$89)/(Parameters!$C$90/100*Parameters!$C$91+(Parameters!$C$83+Parameters!$C$84*Parameters!$C$89)/(Parameters!$C$85+Parameters!$C$89)))-Parameters!$C$86+(Basicinfo!AU66-Parameters!$C$88)/Parameters!$C$87</f>
        <v>72.720481001594365</v>
      </c>
      <c r="AH66" s="43">
        <f>((Parameters!$C$80+Parameters!$C$81*Parameters!$C$89)/(Parameters!$C$82+Parameters!$C$89)/(Basicinfo!BY66/100*Parameters!$C$91+(Parameters!$C$83+Parameters!$C$84*Parameters!$C$89)/(Parameters!$C$85+Parameters!$C$89)))-Parameters!$C$86+(Basicinfo!AU66-Parameters!$C$88)/Parameters!$C$87</f>
        <v>54.917599134978794</v>
      </c>
      <c r="AI66" s="43">
        <f>Basicinfo!AU66^Parameters!$C$79*Parameters!$C$78*AH66/AG66</f>
        <v>19.273276071363444</v>
      </c>
      <c r="AJ66" s="43">
        <f>(J66*Parameters!$C$92/1000+Parameters!$C$94/100*S66*100*Parameters!$C$93/1000*86400*Parameters!$C$95/24)/86400</f>
        <v>0.16190725060826433</v>
      </c>
      <c r="AK66" s="43">
        <f t="shared" si="44"/>
        <v>7.6932382725421813E-2</v>
      </c>
      <c r="AL66" s="43">
        <f>(K66*Parameters!$C$92/1000+Parameters!$C$94/100*T66*100*Parameters!$C$93/1000*86400*Parameters!$C$95/24)/86400</f>
        <v>0</v>
      </c>
      <c r="AM66" s="43">
        <f>(Intermediate!N66+Basicinfo!BV66-Intermediate!L66)*Parameters!$C$92/1000/86400</f>
        <v>4.0035435956789671E-3</v>
      </c>
      <c r="AN66" s="43">
        <f t="shared" si="45"/>
        <v>0.1118852756079089</v>
      </c>
      <c r="AO66" s="43">
        <f t="shared" si="27"/>
        <v>7.6932382725421813E-2</v>
      </c>
      <c r="AP66" s="43">
        <f t="shared" si="28"/>
        <v>2.7246975452522582E-2</v>
      </c>
      <c r="AQ66" s="43">
        <f t="shared" si="33"/>
        <v>0.14382730426950369</v>
      </c>
      <c r="AR66" s="61">
        <f>(Basicinfo!AU66-Basicinfo!AY66)*F66/1000/86.4/0.365</f>
        <v>3.0824449302106843E-2</v>
      </c>
      <c r="AS66" s="19">
        <f>IF(Basicinfo!AP66-Basicinfo!CB66-Basicinfo!CG66&lt;0,0,(Basicinfo!AP66-Basicinfo!CB66-Basicinfo!CG66)/Basicinfo!G66*1000)</f>
        <v>8.6732956428456838</v>
      </c>
      <c r="AT66" s="19">
        <f>Parameters!$C$3*((AS66*86.4*0.365)^Parameters!$C$4)</f>
        <v>46.360037824925897</v>
      </c>
      <c r="AU66" s="19">
        <f>IF(AT66/86.4/0.365*(Basicinfo!G66/1000)-AN66&lt;0,0,AT66/86.4/0.365*(Basicinfo!G66/1000)-AN66)</f>
        <v>0.1145389591918467</v>
      </c>
      <c r="AV66" s="19">
        <f>IF(Basicinfo!AU66&gt;Parameters!$C$13,Parameters!$C$11*(Basicinfo!AU66-Parameters!$C$13)^Parameters!$C$12,0)</f>
        <v>43.447252113500511</v>
      </c>
      <c r="AW66" s="19">
        <f>IF(AV66*V66/1000/86.4/0.365&gt;Basicinfo!AP66*Parameters!$C$15,Basicinfo!AP66*Parameters!$C$15,AV66*V66/1000/86.4/0.365)</f>
        <v>0</v>
      </c>
      <c r="AX66" s="19">
        <f>Basicinfo!AU66-Basicinfo!AW66</f>
        <v>303.83002644614294</v>
      </c>
      <c r="AY66" s="19">
        <f>Parameters!$C$56*AX66+Parameters!$C$57*Basicinfo!AW66</f>
        <v>206.8592703074429</v>
      </c>
      <c r="AZ66" s="19">
        <f>AY66*Basicinfo!BO66/1000/86.4/0.365</f>
        <v>9.4099881406501003E-3</v>
      </c>
      <c r="BA66" s="19">
        <f>IF(Basicinfo!AP66-AQ66-AR66-AU66-AW66-AZ66-Basicinfo!CB66-Basicinfo!CG66&lt;0,0,Basicinfo!AP66-AQ66-AR66-AU66-AW66-AZ66-Basicinfo!CB66-Basicinfo!CG66)</f>
        <v>1.0372867933450229</v>
      </c>
      <c r="BB66" s="53">
        <f t="shared" si="34"/>
        <v>256.05479419456367</v>
      </c>
      <c r="BC66" s="56">
        <f>IF(G66=0,0,((Basicinfo!H66*Basicinfo!BE66+Basicinfo!I66*Basicinfo!BF66+Basicinfo!J66*Basicinfo!BG66+Basicinfo!K66*Basicinfo!BH66+Basicinfo!L66*Basicinfo!BI66)*(1-Basicinfo!BN66/G66*Parameters!$C$26/100)/G66)*Basicinfo!BM66)</f>
        <v>7.282171093979561</v>
      </c>
      <c r="BD66" s="43">
        <f>IF(Basicinfo!AW66*Parameters!$C$39-Parameters!$C$40&lt;0,0.001,(Basicinfo!AW66*Parameters!$C$39-Parameters!$C$40)/(Basicinfo!AX66*Parameters!$C$39-Parameters!$C$40))</f>
        <v>1.1321906255487242</v>
      </c>
      <c r="BE66" s="43">
        <f>(BC66*G66*100+Basicinfo!BJ66*Basicinfo!M66*100)*Parameters!$C$29*BD66</f>
        <v>36904.229443061064</v>
      </c>
      <c r="BF66" s="43">
        <f>(Basicinfo!BK66*Basicinfo!P66*100)*BD66*Parameters!$C$29</f>
        <v>1112.033236583273</v>
      </c>
      <c r="BG66" s="43">
        <f>Parameters!$C$27*(V66+W66)*100</f>
        <v>0</v>
      </c>
      <c r="BH66" s="43">
        <f>Parameters!$C$28*Basicinfo!R66*100</f>
        <v>0</v>
      </c>
      <c r="BI66" s="43">
        <f t="shared" si="46"/>
        <v>1112.033236583273</v>
      </c>
      <c r="BJ66" s="43">
        <f>IF(Basicinfo!AM66&lt;Parameters!$C$33,0,Parameters!$C$30*(((Basicinfo!AM66-Parameters!$C$33)^Parameters!$C$31)*(((G66-Basicinfo!BN66)/Basicinfo!G66*100+Parameters!$C$34))^Parameters!$C$32))</f>
        <v>3.2203348719628799</v>
      </c>
      <c r="BK66" s="58">
        <f t="shared" si="47"/>
        <v>2300.4730065673612</v>
      </c>
      <c r="BL66" s="61">
        <f>Basicinfo!AZ66+Basicinfo!BA66</f>
        <v>1496.1322510897721</v>
      </c>
      <c r="BM66" s="19">
        <f>Basicinfo!BB66+Basicinfo!BC66</f>
        <v>1688.8179525444634</v>
      </c>
      <c r="BN66" s="172">
        <f>IF(Basicinfo!AO66=0,0,IF(Basicinfo!AO66="NA",1,IF(OR(Basicinfo!AO66="SA",Basicinfo!AN66="S"),3,IF(Basicinfo!AN66="N",1,IF(Basicinfo!AO66="ZA",2,0)))))</f>
        <v>0</v>
      </c>
      <c r="BO66" s="27">
        <f>IF($BN66=1,(BL66)*(1+Parameters!$C$21*Parameters!$C$22-Parameters!$C$22*Basicinfo!$AL66),IF($BN66=2,(BL66)*(1+Parameters!$C$21*Parameters!$C$23-Parameters!$C$23*Basicinfo!$AL66),IF($BN66=3,(BL66)*(1+Parameters!$C$21*Parameters!$C$24-Parameters!$C$24*Basicinfo!$AL66),BL66)))</f>
        <v>1496.1322510897721</v>
      </c>
      <c r="BP66" s="27">
        <f>IF($BN66=1,(BM66)*(1+Parameters!$C$21*Parameters!$C$22-Parameters!$C$22*Basicinfo!$AL66),IF($BN66=2,(BM66)*(1+Parameters!$C$21*Parameters!$C$23-Parameters!$C$23*Basicinfo!$AL66),IF($BN66=3,(BM66)*(1+Parameters!$C$21*Parameters!$C$24-Parameters!$C$24*Basicinfo!$AL66),BM66)))</f>
        <v>1688.8179525444634</v>
      </c>
      <c r="BQ66" s="27">
        <f>IF(Basicinfo!AU66=0,0,IF(G66+Basicinfo!M66=0,0,(Parameters!$C$16+BO66/Basicinfo!AU66)*G66+(Parameters!$C$17+BO66/Basicinfo!AU66)*Basicinfo!M66)/(G66+Basicinfo!M66))</f>
        <v>1.9833508474346719</v>
      </c>
      <c r="BR66" s="27">
        <f>IF(Basicinfo!AU66=0,0,IF(G66+Basicinfo!M66=0,0,(Parameters!$C$16+BP66/Basicinfo!AU66)*G66+(Parameters!$C$17+BP66/Basicinfo!AU66)*Basicinfo!M66)/(G66+Basicinfo!M66))</f>
        <v>2.2091704765504958</v>
      </c>
      <c r="BS66" s="27">
        <f>IF(Basicinfo!AU66=0,0,BO66/Basicinfo!AU66)</f>
        <v>1.7534047804204065</v>
      </c>
      <c r="BT66" s="27">
        <f>IF(Basicinfo!AU66=0,0,BP66/Basicinfo!AU66)</f>
        <v>1.9792244095362304</v>
      </c>
      <c r="BU66" s="27">
        <f>IF(SUM(G66,Basicinfo!M66,Basicinfo!P66,W66)=0,0,(BQ66*(G66+Basicinfo!M66)+BS66*(Basicinfo!P66+W66))/SUM(G66,Basicinfo!M66,Basicinfo!P66,W66))</f>
        <v>1.8705654490655141</v>
      </c>
      <c r="BV66" s="19">
        <f>IF(Basicinfo!BR66/Parameters!$C$10&gt;1,1,Basicinfo!BR66/Parameters!$C$10)</f>
        <v>0.55592243768323701</v>
      </c>
      <c r="BW66" s="19">
        <f>Parameters!$C$5+Parameters!$C$6*EXP(BV66*Parameters!$C$8*Parameters!$C$7)</f>
        <v>3.6442093540255412E-2</v>
      </c>
      <c r="BX66" s="19">
        <f>Parameters!$C$5+Parameters!$C$6*EXP(BV66*Parameters!$C$9*Parameters!$C$7)</f>
        <v>3.5609215099042614E-2</v>
      </c>
      <c r="BY66" s="19">
        <f>IF(Basicinfo!AH66+Basicinfo!AI66+Basicinfo!AJ66+Basicinfo!AK66=0,0,(Parameters!$C$18*(Basicinfo!AH66+Basicinfo!AI66)+Parameters!$C$19*Basicinfo!AJ66+Parameters!$C$20*Basicinfo!AK66)/(Basicinfo!AH66+Basicinfo!AI66+Basicinfo!AJ66+Basicinfo!AK66))</f>
        <v>3.2148140668955813E-2</v>
      </c>
      <c r="BZ66" s="19">
        <f>IF(Basicinfo!AJ66+Basicinfo!AK66=0,Parameters!$C$18,(Parameters!$C$19*Basicinfo!AJ66+Parameters!$C$20*Basicinfo!AK66)/(Basicinfo!AJ66+Basicinfo!AK66))</f>
        <v>2.5000000000000001E-2</v>
      </c>
      <c r="CA66" s="19">
        <f>IF(SUM(G66,Basicinfo!M66,Basicinfo!P66,W66)=0,0,(BW66*G66+BX66*Basicinfo!M66+BY66*Basicinfo!P66+BZ66*W66)/(SUM(G66,Basicinfo!M66,Basicinfo!P66,W66)))</f>
        <v>3.4236874116507388E-2</v>
      </c>
      <c r="CB66" s="19">
        <f>IF(Y66=0,Basicinfo!BP66,Basicinfo!BP66-(AU66*X66/Y66*Intermediate!BQ66*86400*365/1000000)*1000/(X66*100))</f>
        <v>43.433196267546847</v>
      </c>
      <c r="CC66" s="19">
        <f>IF(Y66=0,Basicinfo!BQ66,Basicinfo!BQ66-(AU66*Basicinfo!AV66/Basicinfo!AU66*X66/Y66*Intermediate!BR66*86400*365/1000000)*1000/(X66*100))</f>
        <v>54.716386812428574</v>
      </c>
      <c r="CD66" s="19">
        <f>IF(OR(Y66=0,AA66=0),BP66/100,BP66/100-(AU66*Basicinfo!AV66/Basicinfo!AU66*(Basicinfo!P66+W66)/Y66*Intermediate!BT66*86400*365/1000000+AW66*Basicinfo!AV66/Basicinfo!AU66*Intermediate!BT66*86400*365/1000000)*1000/(AA66*100))</f>
        <v>16.470270437458097</v>
      </c>
      <c r="CE66" s="19">
        <f t="shared" si="35"/>
        <v>307982.24343045946</v>
      </c>
      <c r="CF66" s="19">
        <f t="shared" si="36"/>
        <v>117707.09542326606</v>
      </c>
      <c r="CG66" s="19">
        <f>IF(AY66=0,0,((CB66^Parameters!$C$58))/AY66*100)</f>
        <v>11.92541588532929</v>
      </c>
      <c r="CH66" s="19">
        <f>IF(SUM(Basicinfo!AB66:AG66)=0,0,(Parameters!$C$59*Basicinfo!AB66+Parameters!$C$60*SUM(Basicinfo!AC66:AE66)+Parameters!$C$61*Basicinfo!AF66+Parameters!$C$62*Basicinfo!AG66)/SUM(Basicinfo!AB66:AG66))</f>
        <v>0.10028605714455208</v>
      </c>
      <c r="CI66" s="19">
        <f t="shared" si="31"/>
        <v>12</v>
      </c>
      <c r="CJ66" s="19">
        <f t="shared" si="37"/>
        <v>33.321169046260607</v>
      </c>
      <c r="CK66" s="19">
        <f t="shared" si="42"/>
        <v>13.013296295066228</v>
      </c>
      <c r="CL66" s="19">
        <f>IF($BB66=0,0,$CJ66^Parameters!$C$58*100/$BB66)</f>
        <v>7.690937528596705</v>
      </c>
      <c r="CM66" s="19">
        <f>IF(CK66=0,0,(1/(1+Parameters!$C$116*BB66^Parameters!$C$120)*Basicinfo!AH66/Basicinfo!G66+1/(1+Parameters!$C$117*BB66^Parameters!$C$121)*Basicinfo!AI66/Basicinfo!G66)*(CK66)^Parameters!$C$124+(1/(1+Parameters!$C$118*BB66^Parameters!$C$122)*Basicinfo!AJ66/Basicinfo!G66+1/(1+Parameters!$C$119*BB66^Parameters!$C$123)*Basicinfo!AK66/Basicinfo!G66)*(CK66)^Parameters!$C$125)</f>
        <v>2.7832227646420282</v>
      </c>
      <c r="CN66" s="19">
        <f>IF(SUM(Basicinfo!AB66:AG66)=0,0,(Parameters!$C$128*Basicinfo!AB66+Parameters!$C$129*(SUM(Basicinfo!AC66:AE66))+Parameters!$C$130*Basicinfo!AF66+Parameters!$C$131*Basicinfo!AG66)/SUM(Basicinfo!AB66:AG66))</f>
        <v>1.5755151020650296E-2</v>
      </c>
      <c r="CO66" s="19">
        <f>IF(Basicinfo!AH66+Basicinfo!AI66+Basicinfo!AJ66+Basicinfo!AK66=0,0,(Parameters!$C$132*(Basicinfo!AH66+Basicinfo!AI66)+Parameters!$C$133*Basicinfo!AJ66+Parameters!$C$134*Basicinfo!AK66)/(Basicinfo!AH66+Basicinfo!AI66+Basicinfo!AJ66+Basicinfo!AK66))</f>
        <v>5.0000000000000001E-4</v>
      </c>
      <c r="CP66" s="19">
        <f>IF(Basicinfo!AJ66+Basicinfo!AK66=0,0,(Parameters!$C$133*Basicinfo!AJ66+Parameters!$C$134*Basicinfo!AK66)/(Basicinfo!AJ66+Basicinfo!AK66))</f>
        <v>5.0000000000000001E-4</v>
      </c>
      <c r="CQ66" s="19">
        <f>IF(Z66=0,0,(CN66*(Z66-AA66)+CO66*Basicinfo!P66+CP66*(Basicinfo!Q66+Basicinfo!R66))/Z66)</f>
        <v>7.1590530818111398E-3</v>
      </c>
      <c r="CR66" s="19">
        <f>IF(CK66=0,0,IF(AND((Basicinfo!AI66+Basicinfo!AK66)&gt;0,(CM66/CK66)&lt;Parameters!$C$135),CQ66*Parameters!$C$136,CQ66))</f>
        <v>1.7897632704527849E-2</v>
      </c>
      <c r="CS66" s="19">
        <f>IF(SUM(Basicinfo!AB66:AG66)=0,0,(Basicinfo!AB66*Parameters!$C$43+(Basicinfo!AC66+Basicinfo!AD66)*Parameters!$C$44+Basicinfo!AE66*Parameters!$C$45+(Basicinfo!AF66+Basicinfo!AG66)*Parameters!$C$46)/SUM(Basicinfo!AB66:AG66))</f>
        <v>18.929803310196647</v>
      </c>
      <c r="CT66" s="19">
        <f>(Parameters!$C$41*CS66+Parameters!$C$42)</f>
        <v>468.08399376400575</v>
      </c>
      <c r="CU66" s="19">
        <f>CT66+Basicinfo!BR66/(Parameters!$C$47*Parameters!$C$49*Parameters!$C$48*10000/1000000)</f>
        <v>663.88057558954836</v>
      </c>
      <c r="CV66" s="19">
        <f>IF(BK66/Basicinfo!G66&lt;Parameters!$C$35,Parameters!$C$35,Parameters!$C$37*(BK66/Basicinfo!G66)^Parameters!$C$38)</f>
        <v>2.1493932527640394</v>
      </c>
      <c r="CW66" s="19">
        <f>IF(BK66/Basicinfo!G66&lt;Parameters!$C$35,Parameters!$C$36,Parameters!$C$36*(BK66/Basicinfo!G66)^Parameters!$C$38)</f>
        <v>5.0510741439954927</v>
      </c>
      <c r="CX66" s="27">
        <f>IF(Basicinfo!AJ66+Basicinfo!AK66=0,0,(Parameters!$C$53*Basicinfo!AJ66+Parameters!$C$54*Basicinfo!AK66)/(Basicinfo!AJ66+Basicinfo!AK66))</f>
        <v>749.99999999999989</v>
      </c>
      <c r="CY66" s="56">
        <f>IF(Basicinfo!AU66*AB66=0,0,((Basicinfo!AZ66+Basicinfo!BA66)/Basicinfo!AU66+Parameters!$C$76/(Basicinfo!AU66*AB66)*100))</f>
        <v>2.682173081512047</v>
      </c>
      <c r="CZ66" s="43">
        <f>IF(Basicinfo!AU66*AB66=0,0,(Parameters!$C$77)/(Basicinfo!AU66*AB66)*100)</f>
        <v>0.58048018818227531</v>
      </c>
      <c r="DA66" s="43">
        <f>IF(AD66+AJ66=0,0,((J66*Parameters!$C$96+Parameters!$C$94/100*S66*100*Parameters!$C$93/1000*86400*Parameters!$C$95/24*Parameters!$C$98)*AI66+AD66*CY66*86400*365)/((AD66+AJ66*AI66/365)*86400*365))</f>
        <v>8.1409381397470479</v>
      </c>
      <c r="DB66" s="43">
        <f>IF(AD66+AJ66=0,0,((J66*Parameters!$C$97+Parameters!$C$94/100*S66*100*Parameters!$C$93/1000*86400*Parameters!$C$95/24*Parameters!$C$99)*AI66+AD66*CZ66*86400*365)/((AD66+AJ66*AI66/365)*86400*365))</f>
        <v>1.4596947426888467</v>
      </c>
      <c r="DC66" s="42">
        <f>IF(AE66+AL66=0,0,((K66*Parameters!$C$96+Parameters!$C$94/100*T66*100*Parameters!$C$93/1000*86400*Parameters!$C$95/24*Parameters!$C$98)*365+AE66*CY66*86400*365)/((AE66+AL66)*86400*365))</f>
        <v>0</v>
      </c>
      <c r="DD66" s="42">
        <f>IF(AE66+AL66=0,0,((K66*Parameters!$C$97+Parameters!$C$94/100*T66*100*Parameters!$C$93/1000*86400*Parameters!$C$95/24*Parameters!$C$99)*365+AE66*CZ66*86400*365)/((AE66+AL66)*86400*365))</f>
        <v>0</v>
      </c>
      <c r="DE66" s="42">
        <f>IF(Basicinfo!AH66+Basicinfo!AI66+Basicinfo!AJ66+Basicinfo!AK66=0,0,((Basicinfo!AH66+Basicinfo!AI66)*Parameters!$C$107+(Basicinfo!AJ66+Basicinfo!AK66)*Parameters!$C$106)/(Basicinfo!AH66+Basicinfo!AI66+Basicinfo!AJ66+Basicinfo!AK66))</f>
        <v>78.592562675823245</v>
      </c>
      <c r="DF66" s="42">
        <f>IF(Basicinfo!AH66+Basicinfo!AI66+Basicinfo!AJ66+Basicinfo!AK66=0,0,((Basicinfo!AH66+Basicinfo!AI66)*Parameters!$C$109+(Basicinfo!AJ66+Basicinfo!AK66)*Parameters!$C$108)/(Basicinfo!AH66+Basicinfo!AI66+Basicinfo!AJ66+Basicinfo!AK66))</f>
        <v>78.592562675823245</v>
      </c>
      <c r="DG66" s="42">
        <f>Intermediate!AC66*Intermediate!CY66*(1-Parameters!$C$102/100*Basicinfo!BZ66/100)*(1-Parameters!$C$104/100*Basicinfo!CA66/100)*86400*365/1000000</f>
        <v>3.3536219284714499</v>
      </c>
      <c r="DH66" s="42">
        <f>Intermediate!AC66*Intermediate!CZ66*(1-Parameters!$C$103/100*Basicinfo!BZ66/100)*(1-Parameters!$C$105/100*Basicinfo!CA66/100)*86400*365/1000000</f>
        <v>0.7257962215599727</v>
      </c>
      <c r="DI66" s="42">
        <f>(Intermediate!AK66*Intermediate!DA66+(Intermediate!AE66+Intermediate!AL66)*Intermediate!DC66)*86400*365/1000000</f>
        <v>19.751052578070205</v>
      </c>
      <c r="DJ66" s="42">
        <f>(Intermediate!AK66*Intermediate!DB66+(Intermediate!AE66+Intermediate!AL66)*Intermediate!DD66)*86400*365/1000000</f>
        <v>3.5414232507208165</v>
      </c>
      <c r="DK66" s="42">
        <f>((Basicinfo!AZ66+Basicinfo!BA66)*Intermediate!AB66+Parameters!$C$76*100)/1000*Intermediate!U66*(1-Intermediate!DE66/100)+(1-Parameters!$C$110/100)*M66*Parameters!$C$100*(1-DE66/100)*365/1000000+(1-Parameters!$C$112/100)*P66*Parameters!$C$96*365/1000000+(1-Parameters!$C$112/100)*O66*Parameters!$C$96*(1-DE66/100)*365/1000000</f>
        <v>2.1049398786913587</v>
      </c>
      <c r="DL66" s="42">
        <f>Parameters!$C$77*100/1000*Intermediate!U66*(1-Intermediate!DF66/100)+(1-Parameters!$C$111/100)*M66*Parameters!$C$101*(1-DF66/100)*365/1000000+(1-Parameters!$C$113/100)*P66*Parameters!$C$97*365/1000000+(1-Parameters!$C$113/100)*O66*Parameters!$C$97*(1-DF66/100)*365/1000000</f>
        <v>0.31601640458885449</v>
      </c>
      <c r="DM66" s="31"/>
      <c r="DN66" s="31"/>
      <c r="DO66" s="31"/>
      <c r="DP66" s="31"/>
      <c r="DQ66" s="31"/>
      <c r="DR66" s="31"/>
      <c r="DS66" s="31"/>
      <c r="DT66" s="188">
        <f>BO66*(Basicinfo!$P66+Basicinfo!$Q66)/1000</f>
        <v>83.134117522657448</v>
      </c>
      <c r="DU66" s="188">
        <f>DT66*Basicinfo!$AZ66/(Basicinfo!$AZ66+Basicinfo!$BA66)</f>
        <v>49.333683817404015</v>
      </c>
      <c r="DV66" s="188">
        <f>DT66*Basicinfo!$BC66/(Basicinfo!$BB66+Basicinfo!$BC66)</f>
        <v>32.421913694730065</v>
      </c>
      <c r="DW66" s="188">
        <f>BP66*(Basicinfo!$P66+Basicinfo!$Q66)/1000</f>
        <v>93.840895441522605</v>
      </c>
      <c r="DX66" s="188">
        <f>DW66*Basicinfo!$BB66/(Basicinfo!$BB66+Basicinfo!$BC66)</f>
        <v>57.243388861723673</v>
      </c>
      <c r="DY66" s="188">
        <f>DW66*Basicinfo!$BC66/(Basicinfo!$BB66+Basicinfo!$BC66)</f>
        <v>36.597506579798932</v>
      </c>
      <c r="DZ66" s="188">
        <f t="shared" si="38"/>
        <v>86.359129257985757</v>
      </c>
      <c r="EA66" s="188">
        <f>DZ66*Basicinfo!$AZ66/(Basicinfo!$AZ66+Basicinfo!$BA66)</f>
        <v>51.247479428631159</v>
      </c>
      <c r="EB66" s="188">
        <f>DZ66*Basicinfo!$BC66/(Basicinfo!$BB66+Basicinfo!$BC66)</f>
        <v>33.67965305930332</v>
      </c>
      <c r="EC66" s="188">
        <f t="shared" si="39"/>
        <v>97.481253913724416</v>
      </c>
      <c r="ED66" s="188">
        <f>EC66*Basicinfo!$AZ66/(Basicinfo!$AZ66+Basicinfo!$BA66)</f>
        <v>57.84760218803163</v>
      </c>
      <c r="EE66" s="188">
        <f>EC66*Basicinfo!$BC66/(Basicinfo!$BB66+Basicinfo!$BC66)</f>
        <v>38.017229212584915</v>
      </c>
      <c r="EF66" s="190">
        <f>(Basicinfo!BP66-BL66/100)*Intermediate!X66/10</f>
        <v>167.54601855021752</v>
      </c>
      <c r="EG66" s="191">
        <f>(Basicinfo!BQ66-BM66/100)*Intermediate!X66/10</f>
        <v>221.81337453284837</v>
      </c>
      <c r="EH66" s="197">
        <f>IF(AU66=0,0,$BS66*((Basicinfo!$P66+Basicinfo!$Q66)*Intermediate!$AT66*1000+$AW66*3600*24*365)/1000000*Basicinfo!AZ66/(Basicinfo!$AZ66+Basicinfo!$BA66))</f>
        <v>2.6803995054828316</v>
      </c>
      <c r="EI66" s="197">
        <f>IF(AU66=0,0,$BS66*((Basicinfo!$P66+Basicinfo!$Q66)*Intermediate!$AT66*1000+$AW66*3600*24*365)/1000000*Basicinfo!BA66/(Basicinfo!$AZ66+Basicinfo!$BA66))</f>
        <v>1.8364463947998348</v>
      </c>
      <c r="EJ66" s="198">
        <f>IF(AU66=0,0,$BS66*($AT66*$X66*1000)/1000000*Basicinfo!AZ66/(Basicinfo!$AZ66+Basicinfo!$BA66))</f>
        <v>2.7843799183162798</v>
      </c>
      <c r="EK66" s="198">
        <f>IF(AU66=0,0,$BS66*($AT66*$X66*1000)/1000000*Basicinfo!BA66/(Basicinfo!$AZ66+Basicinfo!$BA66))</f>
        <v>1.9076874369979038</v>
      </c>
      <c r="EL66" s="147">
        <f>Parameters!$C$150/Basicinfo!$AV66*100</f>
        <v>0.12069656731655631</v>
      </c>
      <c r="EM66" s="147">
        <f>Parameters!$C$151/Basicinfo!$AV66*100</f>
        <v>0.24139313463311263</v>
      </c>
      <c r="EN66" s="147">
        <f>(Parameters!$C$150+Parameters!$C$151)/Intermediate!$BB66*100</f>
        <v>1.1716242257586651</v>
      </c>
      <c r="EO66" s="193">
        <f>IF(EN66=0,0,(1/(1+Parameters!$C$116*$BB66^Parameters!$C$120)*Basicinfo!$AH66/Basicinfo!$G66+1/(1+Parameters!$C$117*$BB66^Parameters!$C$121)*Basicinfo!$AI66/Basicinfo!$G66)*(EN66)^Parameters!$C$124+(1/(1+Parameters!$C$118*$BB66^Parameters!$C$122)*Basicinfo!$AJ66/Basicinfo!AW66+1/(1+Parameters!$C$119*$BB66^Parameters!$C$123)*Basicinfo!$AK66/Basicinfo!$G66)*(EN66)^Parameters!$C$125)</f>
        <v>0.54327648795785943</v>
      </c>
      <c r="EP66" s="199">
        <f>EL66*($AT66*Basicinfo!$P66*1000+$AW66*3600*24*365)/1000000</f>
        <v>0.3109195328709356</v>
      </c>
      <c r="EQ66" s="199">
        <f>EM66*($AT66*Basicinfo!$P66*1000+$AW66*3600*24*365)/1000000</f>
        <v>0.6218390657418712</v>
      </c>
      <c r="ER66" s="199">
        <f t="shared" si="40"/>
        <v>0.3229809965892253</v>
      </c>
      <c r="ES66" s="199">
        <f t="shared" si="41"/>
        <v>0.6459619931784506</v>
      </c>
      <c r="ET66" s="181">
        <f t="shared" si="48"/>
        <v>17.771593278886318</v>
      </c>
      <c r="EU66" s="147">
        <f>Intermediate!F66*(Parameters!$C$150)/1000*100</f>
        <v>0.8941725812830349</v>
      </c>
      <c r="EV66" s="147">
        <f>Intermediate!F66*(Parameters!$C$151)/1000*100</f>
        <v>1.7883451625660698</v>
      </c>
      <c r="EW66" s="181">
        <f>'Local emissions'!$S66*Basicinfo!AZ66/(Basicinfo!$AZ66+Basicinfo!$BA66)-Intermediate!EU66</f>
        <v>7.044640716002605</v>
      </c>
      <c r="EX66" s="147">
        <f>'Local emissions'!$S66*Basicinfo!BA66/(Basicinfo!$AZ66+Basicinfo!$BA66)-Intermediate!EV66</f>
        <v>3.6508459091256826</v>
      </c>
      <c r="EY66" s="188">
        <f t="shared" si="49"/>
        <v>2.369479972611896</v>
      </c>
      <c r="EZ66" s="188">
        <f t="shared" si="50"/>
        <v>1.2146073290579635</v>
      </c>
      <c r="FA66" s="188">
        <f t="shared" si="51"/>
        <v>2.4613989217270547</v>
      </c>
      <c r="FB66" s="181">
        <f t="shared" si="52"/>
        <v>1.2617254438194532</v>
      </c>
      <c r="FC66" s="181">
        <f>'Local emissions'!Y66-Intermediate!ET66</f>
        <v>73.32021495890929</v>
      </c>
      <c r="FD66" s="188">
        <f t="shared" si="53"/>
        <v>10.159130197322046</v>
      </c>
      <c r="FE66" s="188">
        <f t="shared" si="54"/>
        <v>6.4950528198049158</v>
      </c>
      <c r="FF66" s="181">
        <f t="shared" si="55"/>
        <v>5.133180738571399</v>
      </c>
      <c r="FG66" s="201">
        <f t="shared" si="56"/>
        <v>3.3735073079359235</v>
      </c>
      <c r="FH66" s="181">
        <f t="shared" si="57"/>
        <v>48.159343895275008</v>
      </c>
      <c r="FJ66" s="147">
        <f>AVERAGE(Parameters!$C$132:$C$134)*'Local emissions'!J66*3600*24*365/1000000</f>
        <v>1.6355938157464323E-2</v>
      </c>
      <c r="FK66" s="147">
        <f>'Local emissions'!AJ66+CT66*BJ66/100*Intermediate!X66*100/1000000</f>
        <v>0.58742373971245465</v>
      </c>
      <c r="FL66" s="31">
        <f>(Parameters!$C$18*(Basicinfo!AH66+Basicinfo!AI66)+Parameters!$C$19*Basicinfo!AJ66+Parameters!$C$20*Basicinfo!AK66)/Basicinfo!G66</f>
        <v>3.2148140668955806E-2</v>
      </c>
      <c r="FM66" s="181">
        <f t="shared" si="32"/>
        <v>0.11612231874811953</v>
      </c>
    </row>
    <row r="67" spans="1:169">
      <c r="A67" s="39" t="str">
        <f>Basicinfo!A67</f>
        <v>Donau</v>
      </c>
      <c r="B67" s="63">
        <f>Basicinfo!B67</f>
        <v>5020</v>
      </c>
      <c r="C67" s="63">
        <f>Basicinfo!C67</f>
        <v>0</v>
      </c>
      <c r="D67" s="61">
        <f>Basicinfo!U67*Basicinfo!V67/1000+Basicinfo!Y67</f>
        <v>15.38735265385667</v>
      </c>
      <c r="E67" s="19">
        <f>Basicinfo!W67*Basicinfo!X67/1000+Basicinfo!Z67</f>
        <v>1.7025515559451063</v>
      </c>
      <c r="F67" s="19">
        <f t="shared" si="43"/>
        <v>17.089904209801777</v>
      </c>
      <c r="G67" s="19">
        <f>SUM(Basicinfo!H67:L67)</f>
        <v>105.98425529059172</v>
      </c>
      <c r="H67" s="19">
        <f>IF(Basicinfo!N67&lt;Parameters!$C$68,Parameters!$C$69,Basicinfo!BS67/(Basicinfo!N67*100))</f>
        <v>15.545143708813242</v>
      </c>
      <c r="I67" s="19">
        <f>IF(Basicinfo!N67=0,0,Basicinfo!BU67*(1-Basicinfo!BX67/100))</f>
        <v>8110.4826644559771</v>
      </c>
      <c r="J67" s="19">
        <f>IF(Basicinfo!N67=0,0,Basicinfo!BU67*Basicinfo!BX67/100)</f>
        <v>18924.459550397278</v>
      </c>
      <c r="K67" s="19">
        <f>IF(Basicinfo!N67=0,0,Basicinfo!BT67-Basicinfo!BU67)</f>
        <v>0</v>
      </c>
      <c r="L67" s="27">
        <f>Basicinfo!BV67*Basicinfo!BW67/100</f>
        <v>660.28666666666686</v>
      </c>
      <c r="M67" s="27">
        <f>Basicinfo!BV67-Intermediate!L67</f>
        <v>660.28666666666686</v>
      </c>
      <c r="N67" s="73">
        <f>Basicinfo!BS67-SUM(I67:K67)-Basicinfo!BV67</f>
        <v>0</v>
      </c>
      <c r="O67" s="19">
        <f>IF(Basicinfo!AH67+Basicinfo!AI67+Basicinfo!AJ67+Basicinfo!AK67=0,0,N67*(Basicinfo!AH67+Basicinfo!AI67)/SUM(Basicinfo!AH67:AK67))</f>
        <v>0</v>
      </c>
      <c r="P67" s="73">
        <f t="shared" si="25"/>
        <v>0</v>
      </c>
      <c r="Q67" s="19">
        <f>IF(Basicinfo!BS67=0,Basicinfo!N67,IF(H67&gt;Parameters!$C$70,Parameters!$C$64*(Parameters!$C$65*Parameters!$C$70)^(Parameters!$C$66-Parameters!$C$67*LOG(Parameters!$C$65*Parameters!$C$70,10))/100*Basicinfo!N67,Parameters!$C$64*(Parameters!$C$65*H67)^(Parameters!$C$66-Parameters!$C$67*LOG(Parameters!$C$65*H67,10))/100*Basicinfo!N67))</f>
        <v>4.7428639710518148</v>
      </c>
      <c r="R67" s="19">
        <f>IF(Basicinfo!BS67=0,Q67*(1-Basicinfo!BX67/100),IF(H67&lt;Parameters!$C$75,Q67*Basicinfo!BU67/Basicinfo!BS67*(1-Basicinfo!BX67/100)*(-Parameters!$C$74+Parameters!$C$73*LN(H67*100)),Q67*Basicinfo!BU67/Basicinfo!BS67*(1-Basicinfo!BX67/100)))</f>
        <v>0.74696062534737062</v>
      </c>
      <c r="S67" s="19">
        <f>IF(Basicinfo!BS67=0,Q67*Basicinfo!BX67/100,Q67*Basicinfo!BU67/Basicinfo!BS67*Basicinfo!BX67/100)</f>
        <v>3.1653854863149125</v>
      </c>
      <c r="T67" s="19">
        <f>IF(Basicinfo!BS67=0,0,IF(H67&lt;Parameters!$C$75,Q67*K67/Basicinfo!BS67*(-Parameters!$C$74+Parameters!$C$73*LN(H67*100)),Q67*K67/Basicinfo!BS67))</f>
        <v>0</v>
      </c>
      <c r="U67" s="19">
        <f t="shared" si="26"/>
        <v>0.83051785938953149</v>
      </c>
      <c r="V67" s="19">
        <f>IF(Basicinfo!AL67&gt;Parameters!$C$14,Basicinfo!Q67,0)</f>
        <v>0</v>
      </c>
      <c r="W67" s="19">
        <f>IF(Basicinfo!AL67&gt;Parameters!$C$14,0,Basicinfo!Q67)</f>
        <v>5.5399762186554298E-5</v>
      </c>
      <c r="X67" s="19">
        <f>G67+Basicinfo!M67</f>
        <v>178.4966749149641</v>
      </c>
      <c r="Y67" s="19">
        <f>IF(Basicinfo!G67-F67-Q67-V67-Basicinfo!O67-Basicinfo!R67-Basicinfo!S67&lt;0,0,Basicinfo!G67-F67-Q67-V67-Basicinfo!O67-Basicinfo!R67-Basicinfo!S67)</f>
        <v>368.81648741911084</v>
      </c>
      <c r="Z67" s="19">
        <f>Basicinfo!G67-F67-Basicinfo!BO67-Q67-Basicinfo!O67</f>
        <v>368.09009354617859</v>
      </c>
      <c r="AA67" s="53">
        <f>IF(Z67+Basicinfo!BO67-X67&gt;0,Z67+Basicinfo!BO67-X67,0)</f>
        <v>190.33973220737028</v>
      </c>
      <c r="AB67" s="56">
        <f>IF(Basicinfo!N67=0,0,Parameters!$C$71+Parameters!$C$72*Q67/Basicinfo!N67)</f>
        <v>0.34501100737190149</v>
      </c>
      <c r="AC67" s="43">
        <f>Basicinfo!AU67*AB67*R67/1000/86.4/0.365</f>
        <v>7.5744655924573677E-3</v>
      </c>
      <c r="AD67" s="43">
        <f>Basicinfo!AU67*AB67*S67/1000/86.4/0.365</f>
        <v>3.2098215942515392E-2</v>
      </c>
      <c r="AE67" s="43">
        <f>Basicinfo!AU67*AB67*T67/1000/86.4/0.365</f>
        <v>0</v>
      </c>
      <c r="AF67" s="43">
        <f>Basicinfo!AU67*AB67*U67/1000/86.4/0.365</f>
        <v>8.4217678099724174E-3</v>
      </c>
      <c r="AG67" s="43">
        <f>((Parameters!$C$80+Parameters!$C$81*Parameters!$C$89)/(Parameters!$C$82+Parameters!$C$89)/(Parameters!$C$90/100*Parameters!$C$91+(Parameters!$C$83+Parameters!$C$84*Parameters!$C$89)/(Parameters!$C$85+Parameters!$C$89)))-Parameters!$C$86+(Basicinfo!AU67-Parameters!$C$88)/Parameters!$C$87</f>
        <v>74.560902558637224</v>
      </c>
      <c r="AH67" s="43">
        <f>((Parameters!$C$80+Parameters!$C$81*Parameters!$C$89)/(Parameters!$C$82+Parameters!$C$89)/(Basicinfo!BY67/100*Parameters!$C$91+(Parameters!$C$83+Parameters!$C$84*Parameters!$C$89)/(Parameters!$C$85+Parameters!$C$89)))-Parameters!$C$86+(Basicinfo!AU67-Parameters!$C$88)/Parameters!$C$87</f>
        <v>56.758020692021645</v>
      </c>
      <c r="AI67" s="43">
        <f>Basicinfo!AU67^Parameters!$C$79*Parameters!$C$78*AH67/AG67</f>
        <v>23.892807837350773</v>
      </c>
      <c r="AJ67" s="43">
        <f>(J67*Parameters!$C$92/1000+Parameters!$C$94/100*S67*100*Parameters!$C$93/1000*86400*Parameters!$C$95/24)/86400</f>
        <v>2.8579815413798997E-2</v>
      </c>
      <c r="AK67" s="43">
        <f t="shared" si="44"/>
        <v>1.9280156706309483E-2</v>
      </c>
      <c r="AL67" s="43">
        <f>(K67*Parameters!$C$92/1000+Parameters!$C$94/100*T67*100*Parameters!$C$93/1000*86400*Parameters!$C$95/24)/86400</f>
        <v>0</v>
      </c>
      <c r="AM67" s="43">
        <f>(Intermediate!N67+Basicinfo!BV67-Intermediate!L67)*Parameters!$C$92/1000/86400</f>
        <v>9.9348688271604958E-4</v>
      </c>
      <c r="AN67" s="43">
        <f t="shared" si="45"/>
        <v>2.5792777638880042E-2</v>
      </c>
      <c r="AO67" s="43">
        <f t="shared" si="27"/>
        <v>1.9280156706309483E-2</v>
      </c>
      <c r="AP67" s="43">
        <f t="shared" si="28"/>
        <v>9.415254692688467E-3</v>
      </c>
      <c r="AQ67" s="43">
        <f t="shared" si="33"/>
        <v>3.6269876991455313E-2</v>
      </c>
      <c r="AR67" s="61">
        <f>(Basicinfo!AU67-Basicinfo!AY67)*F67/1000/86.4/0.365</f>
        <v>0.11471544869547246</v>
      </c>
      <c r="AS67" s="19">
        <f>IF(Basicinfo!AP67-Basicinfo!CB67-Basicinfo!CG67&lt;0,0,(Basicinfo!AP67-Basicinfo!CB67-Basicinfo!CG67)/Basicinfo!G67*1000)</f>
        <v>14.454516191436205</v>
      </c>
      <c r="AT67" s="19">
        <f>Parameters!$C$3*((AS67*86.4*0.365)^Parameters!$C$4)</f>
        <v>87.609852274947983</v>
      </c>
      <c r="AU67" s="19">
        <f>IF(AT67/86.4/0.365*(Basicinfo!G67/1000)-AN67&lt;0,0,AT67/86.4/0.365*(Basicinfo!G67/1000)-AN67)</f>
        <v>1.0595215645081135</v>
      </c>
      <c r="AV67" s="19">
        <f>IF(Basicinfo!AU67&gt;Parameters!$C$13,Parameters!$C$11*(Basicinfo!AU67-Parameters!$C$13)^Parameters!$C$12,0)</f>
        <v>73.133325154701012</v>
      </c>
      <c r="AW67" s="19">
        <f>IF(AV67*V67/1000/86.4/0.365&gt;Basicinfo!AP67*Parameters!$C$15,Basicinfo!AP67*Parameters!$C$15,AV67*V67/1000/86.4/0.365)</f>
        <v>0</v>
      </c>
      <c r="AX67" s="19">
        <f>Basicinfo!AU67-Basicinfo!AW67</f>
        <v>335.53490145128558</v>
      </c>
      <c r="AY67" s="19">
        <f>Parameters!$C$56*AX67+Parameters!$C$57*Basicinfo!AW67</f>
        <v>226.90290653767136</v>
      </c>
      <c r="AZ67" s="19">
        <f>AY67*Basicinfo!BO67/1000/86.4/0.365</f>
        <v>5.3697589934763841E-3</v>
      </c>
      <c r="BA67" s="19">
        <f>IF(Basicinfo!AP67-AQ67-AR67-AU67-AW67-AZ67-Basicinfo!CB67-Basicinfo!CG67&lt;0,0,Basicinfo!AP67-AQ67-AR67-AU67-AW67-AZ67-Basicinfo!CB67-Basicinfo!CG67)</f>
        <v>4.4310579896190889</v>
      </c>
      <c r="BB67" s="53">
        <f t="shared" si="34"/>
        <v>379.62946357614163</v>
      </c>
      <c r="BC67" s="56">
        <f>IF(G67=0,0,((Basicinfo!H67*Basicinfo!BE67+Basicinfo!I67*Basicinfo!BF67+Basicinfo!J67*Basicinfo!BG67+Basicinfo!K67*Basicinfo!BH67+Basicinfo!L67*Basicinfo!BI67)*(1-Basicinfo!BN67/G67*Parameters!$C$26/100)/G67)*Basicinfo!BM67)</f>
        <v>7.204202094334172</v>
      </c>
      <c r="BD67" s="43">
        <f>IF(Basicinfo!AW67*Parameters!$C$39-Parameters!$C$40&lt;0,0.001,(Basicinfo!AW67*Parameters!$C$39-Parameters!$C$40)/(Basicinfo!AX67*Parameters!$C$39-Parameters!$C$40))</f>
        <v>1.1323502291923289</v>
      </c>
      <c r="BE67" s="43">
        <f>(BC67*G67*100+Basicinfo!BJ67*Basicinfo!M67*100)*Parameters!$C$29*BD67</f>
        <v>88694.26060866534</v>
      </c>
      <c r="BF67" s="43">
        <f>(Basicinfo!BK67*Basicinfo!P67*100)*BD67*Parameters!$C$29</f>
        <v>3387.3343144094961</v>
      </c>
      <c r="BG67" s="43">
        <f>Parameters!$C$27*(V67+W67)*100</f>
        <v>1.107995243731086E-3</v>
      </c>
      <c r="BH67" s="43">
        <f>Parameters!$C$28*Basicinfo!R67*100</f>
        <v>0</v>
      </c>
      <c r="BI67" s="43">
        <f t="shared" si="46"/>
        <v>3387.3354224047398</v>
      </c>
      <c r="BJ67" s="43">
        <f>IF(Basicinfo!AM67&lt;Parameters!$C$33,0,Parameters!$C$30*(((Basicinfo!AM67-Parameters!$C$33)^Parameters!$C$31)*(((G67-Basicinfo!BN67)/Basicinfo!G67*100+Parameters!$C$34))^Parameters!$C$32))</f>
        <v>3.2157400674341807</v>
      </c>
      <c r="BK67" s="58">
        <f t="shared" si="47"/>
        <v>6239.5122983120827</v>
      </c>
      <c r="BL67" s="61">
        <f>Basicinfo!AZ67+Basicinfo!BA67</f>
        <v>1405.5056352410866</v>
      </c>
      <c r="BM67" s="19">
        <f>Basicinfo!BB67+Basicinfo!BC67</f>
        <v>1537.7091132119701</v>
      </c>
      <c r="BN67" s="172">
        <f>IF(Basicinfo!AO67=0,0,IF(Basicinfo!AO67="NA",1,IF(OR(Basicinfo!AO67="SA",Basicinfo!AN67="S"),3,IF(Basicinfo!AN67="N",1,IF(Basicinfo!AO67="ZA",2,0)))))</f>
        <v>0</v>
      </c>
      <c r="BO67" s="27">
        <f>IF($BN67=1,(BL67)*(1+Parameters!$C$21*Parameters!$C$22-Parameters!$C$22*Basicinfo!$AL67),IF($BN67=2,(BL67)*(1+Parameters!$C$21*Parameters!$C$23-Parameters!$C$23*Basicinfo!$AL67),IF($BN67=3,(BL67)*(1+Parameters!$C$21*Parameters!$C$24-Parameters!$C$24*Basicinfo!$AL67),BL67)))</f>
        <v>1405.5056352410866</v>
      </c>
      <c r="BP67" s="27">
        <f>IF($BN67=1,(BM67)*(1+Parameters!$C$21*Parameters!$C$22-Parameters!$C$22*Basicinfo!$AL67),IF($BN67=2,(BM67)*(1+Parameters!$C$21*Parameters!$C$23-Parameters!$C$23*Basicinfo!$AL67),IF($BN67=3,(BM67)*(1+Parameters!$C$21*Parameters!$C$24-Parameters!$C$24*Basicinfo!$AL67),BM67)))</f>
        <v>1537.7091132119701</v>
      </c>
      <c r="BQ67" s="27">
        <f>IF(Basicinfo!AU67=0,0,IF(G67+Basicinfo!M67=0,0,(Parameters!$C$16+BO67/Basicinfo!AU67)*G67+(Parameters!$C$17+BO67/Basicinfo!AU67)*Basicinfo!M67)/(G67+Basicinfo!M67))</f>
        <v>1.6944962455777257</v>
      </c>
      <c r="BR67" s="27">
        <f>IF(Basicinfo!AU67=0,0,IF(G67+Basicinfo!M67=0,0,(Parameters!$C$16+BP67/Basicinfo!AU67)*G67+(Parameters!$C$17+BP67/Basicinfo!AU67)*Basicinfo!M67)/(G67+Basicinfo!M67))</f>
        <v>1.8371275772922875</v>
      </c>
      <c r="BS67" s="27">
        <f>IF(Basicinfo!AU67=0,0,BO67/Basicinfo!AU67)</f>
        <v>1.5163681286123829</v>
      </c>
      <c r="BT67" s="27">
        <f>IF(Basicinfo!AU67=0,0,BP67/Basicinfo!AU67)</f>
        <v>1.6589994603269445</v>
      </c>
      <c r="BU67" s="27">
        <f>IF(SUM(G67,Basicinfo!M67,Basicinfo!P67,W67)=0,0,(BQ67*(G67+Basicinfo!M67)+BS67*(Basicinfo!P67+W67))/SUM(G67,Basicinfo!M67,Basicinfo!P67,W67))</f>
        <v>1.6058519802786617</v>
      </c>
      <c r="BV67" s="19">
        <f>IF(Basicinfo!BR67/Parameters!$C$10&gt;1,1,Basicinfo!BR67/Parameters!$C$10)</f>
        <v>0.60736101336289072</v>
      </c>
      <c r="BW67" s="19">
        <f>Parameters!$C$5+Parameters!$C$6*EXP(BV67*Parameters!$C$8*Parameters!$C$7)</f>
        <v>3.7955488753231022E-2</v>
      </c>
      <c r="BX67" s="19">
        <f>Parameters!$C$5+Parameters!$C$6*EXP(BV67*Parameters!$C$9*Parameters!$C$7)</f>
        <v>3.6152869976495923E-2</v>
      </c>
      <c r="BY67" s="19">
        <f>IF(Basicinfo!AH67+Basicinfo!AI67+Basicinfo!AJ67+Basicinfo!AK67=0,0,(Parameters!$C$18*(Basicinfo!AH67+Basicinfo!AI67)+Parameters!$C$19*Basicinfo!AJ67+Parameters!$C$20*Basicinfo!AK67)/(Basicinfo!AH67+Basicinfo!AI67+Basicinfo!AJ67+Basicinfo!AK67))</f>
        <v>2.8645467320283002E-2</v>
      </c>
      <c r="BZ67" s="19">
        <f>IF(Basicinfo!AJ67+Basicinfo!AK67=0,Parameters!$C$18,(Parameters!$C$19*Basicinfo!AJ67+Parameters!$C$20*Basicinfo!AK67)/(Basicinfo!AJ67+Basicinfo!AK67))</f>
        <v>2.5000000000000001E-2</v>
      </c>
      <c r="CA67" s="19">
        <f>IF(SUM(G67,Basicinfo!M67,Basicinfo!P67,W67)=0,0,(BW67*G67+BX67*Basicinfo!M67+BY67*Basicinfo!P67+BZ67*W67)/(SUM(G67,Basicinfo!M67,Basicinfo!P67,W67)))</f>
        <v>3.2954544956388762E-2</v>
      </c>
      <c r="CB67" s="19">
        <f>IF(Y67=0,Basicinfo!BP67,Basicinfo!BP67-(AU67*X67/Y67*Intermediate!BQ67*86400*365/1000000)*1000/(X67*100))</f>
        <v>73.382290597272416</v>
      </c>
      <c r="CC67" s="19">
        <f>IF(Y67=0,Basicinfo!BQ67,Basicinfo!BQ67-(AU67*Basicinfo!AV67/Basicinfo!AU67*X67/Y67*Intermediate!BR67*86400*365/1000000)*1000/(X67*100))</f>
        <v>54.888770074538286</v>
      </c>
      <c r="CD67" s="19">
        <f>IF(OR(Y67=0,AA67=0),BP67/100,BP67/100-(AU67*Basicinfo!AV67/Basicinfo!AU67*(Basicinfo!P67+W67)/Y67*Intermediate!BT67*86400*365/1000000+AW67*Basicinfo!AV67/Basicinfo!AU67*Intermediate!BT67*86400*365/1000000)*1000/(AA67*100))</f>
        <v>14.04601565484786</v>
      </c>
      <c r="CE67" s="19">
        <f t="shared" si="35"/>
        <v>975649.87141919497</v>
      </c>
      <c r="CF67" s="19">
        <f t="shared" si="36"/>
        <v>267351.48583242722</v>
      </c>
      <c r="CG67" s="19">
        <f>IF(AY67=0,0,((CB67^Parameters!$C$58))/AY67*100)</f>
        <v>16.979015910529245</v>
      </c>
      <c r="CH67" s="19">
        <f>IF(SUM(Basicinfo!AB67:AG67)=0,0,(Parameters!$C$59*Basicinfo!AB67+Parameters!$C$60*SUM(Basicinfo!AC67:AE67)+Parameters!$C$61*Basicinfo!AF67+Parameters!$C$62*Basicinfo!AG67)/SUM(Basicinfo!AB67:AG67))</f>
        <v>9.4390032375061439E-2</v>
      </c>
      <c r="CI67" s="19">
        <f t="shared" si="31"/>
        <v>8</v>
      </c>
      <c r="CJ67" s="19">
        <f t="shared" si="37"/>
        <v>33.768943501753924</v>
      </c>
      <c r="CK67" s="19">
        <f t="shared" si="42"/>
        <v>8.8952377888817225</v>
      </c>
      <c r="CL67" s="19">
        <f>IF($BB67=0,0,$CJ67^Parameters!$C$58*100/$BB67)</f>
        <v>5.2466239956494434</v>
      </c>
      <c r="CM67" s="19">
        <f>IF(CK67=0,0,(1/(1+Parameters!$C$116*BB67^Parameters!$C$120)*Basicinfo!AH67/Basicinfo!G67+1/(1+Parameters!$C$117*BB67^Parameters!$C$121)*Basicinfo!AI67/Basicinfo!G67)*(CK67)^Parameters!$C$124+(1/(1+Parameters!$C$118*BB67^Parameters!$C$122)*Basicinfo!AJ67/Basicinfo!G67+1/(1+Parameters!$C$119*BB67^Parameters!$C$123)*Basicinfo!AK67/Basicinfo!G67)*(CK67)^Parameters!$C$125)</f>
        <v>2.0525207721612455</v>
      </c>
      <c r="CN67" s="19">
        <f>IF(SUM(Basicinfo!AB67:AG67)=0,0,(Parameters!$C$128*Basicinfo!AB67+Parameters!$C$129*(SUM(Basicinfo!AC67:AE67))+Parameters!$C$130*Basicinfo!AF67+Parameters!$C$131*Basicinfo!AG67)/SUM(Basicinfo!AB67:AG67))</f>
        <v>1.9043443643970766E-2</v>
      </c>
      <c r="CO67" s="19">
        <f>IF(Basicinfo!AH67+Basicinfo!AI67+Basicinfo!AJ67+Basicinfo!AK67=0,0,(Parameters!$C$132*(Basicinfo!AH67+Basicinfo!AI67)+Parameters!$C$133*Basicinfo!AJ67+Parameters!$C$134*Basicinfo!AK67)/(Basicinfo!AH67+Basicinfo!AI67+Basicinfo!AJ67+Basicinfo!AK67))</f>
        <v>5.0000000000000001E-4</v>
      </c>
      <c r="CP67" s="19">
        <f>IF(Basicinfo!AJ67+Basicinfo!AK67=0,0,(Parameters!$C$133*Basicinfo!AJ67+Parameters!$C$134*Basicinfo!AK67)/(Basicinfo!AJ67+Basicinfo!AK67))</f>
        <v>5.0000000000000001E-4</v>
      </c>
      <c r="CQ67" s="19">
        <f>IF(Z67=0,0,(CN67*(Z67-AA67)+CO67*Basicinfo!P67+CP67*(Basicinfo!Q67+Basicinfo!R67))/Z67)</f>
        <v>9.4362494687145974E-3</v>
      </c>
      <c r="CR67" s="19">
        <f>IF(CK67=0,0,IF(AND((Basicinfo!AI67+Basicinfo!AK67)&gt;0,(CM67/CK67)&lt;Parameters!$C$135),CQ67*Parameters!$C$136,CQ67))</f>
        <v>2.3590623671786493E-2</v>
      </c>
      <c r="CS67" s="19">
        <f>IF(SUM(Basicinfo!AB67:AG67)=0,0,(Basicinfo!AB67*Parameters!$C$43+(Basicinfo!AC67+Basicinfo!AD67)*Parameters!$C$44+Basicinfo!AE67*Parameters!$C$45+(Basicinfo!AF67+Basicinfo!AG67)*Parameters!$C$46)/SUM(Basicinfo!AB67:AG67))</f>
        <v>20.34921879693329</v>
      </c>
      <c r="CT67" s="19">
        <f>(Parameters!$C$41*CS67+Parameters!$C$42)</f>
        <v>482.56203172871955</v>
      </c>
      <c r="CU67" s="19">
        <f>CT67+Basicinfo!BR67/(Parameters!$C$47*Parameters!$C$49*Parameters!$C$48*10000/1000000)</f>
        <v>696.47534461124701</v>
      </c>
      <c r="CV67" s="19">
        <f>IF(BK67/Basicinfo!G67&lt;Parameters!$C$35,Parameters!$C$35,Parameters!$C$37*(BK67/Basicinfo!G67)^Parameters!$C$38)</f>
        <v>2.0827357136077547</v>
      </c>
      <c r="CW67" s="19">
        <f>IF(BK67/Basicinfo!G67&lt;Parameters!$C$35,Parameters!$C$36,Parameters!$C$36*(BK67/Basicinfo!G67)^Parameters!$C$38)</f>
        <v>4.8944289269782235</v>
      </c>
      <c r="CX67" s="27">
        <f>IF(Basicinfo!AJ67+Basicinfo!AK67=0,0,(Parameters!$C$53*Basicinfo!AJ67+Parameters!$C$54*Basicinfo!AK67)/(Basicinfo!AJ67+Basicinfo!AK67))</f>
        <v>750</v>
      </c>
      <c r="CY67" s="56">
        <f>IF(Basicinfo!AU67*AB67=0,0,((Basicinfo!AZ67+Basicinfo!BA67)/Basicinfo!AU67+Parameters!$C$76/(Basicinfo!AU67*AB67)*100))</f>
        <v>2.7672004552343035</v>
      </c>
      <c r="CZ67" s="43">
        <f>IF(Basicinfo!AU67*AB67=0,0,(Parameters!$C$77)/(Basicinfo!AU67*AB67)*100)</f>
        <v>0.78177020413870046</v>
      </c>
      <c r="DA67" s="43">
        <f>IF(AD67+AJ67=0,0,((J67*Parameters!$C$96+Parameters!$C$94/100*S67*100*Parameters!$C$93/1000*86400*Parameters!$C$95/24*Parameters!$C$98)*AI67+AD67*CY67*86400*365)/((AD67+AJ67*AI67/365)*86400*365))</f>
        <v>7.6802346908027443</v>
      </c>
      <c r="DB67" s="43">
        <f>IF(AD67+AJ67=0,0,((J67*Parameters!$C$97+Parameters!$C$94/100*S67*100*Parameters!$C$93/1000*86400*Parameters!$C$95/24*Parameters!$C$99)*AI67+AD67*CZ67*86400*365)/((AD67+AJ67*AI67/365)*86400*365))</f>
        <v>1.5627578361925047</v>
      </c>
      <c r="DC67" s="42">
        <f>IF(AE67+AL67=0,0,((K67*Parameters!$C$96+Parameters!$C$94/100*T67*100*Parameters!$C$93/1000*86400*Parameters!$C$95/24*Parameters!$C$98)*365+AE67*CY67*86400*365)/((AE67+AL67)*86400*365))</f>
        <v>0</v>
      </c>
      <c r="DD67" s="42">
        <f>IF(AE67+AL67=0,0,((K67*Parameters!$C$97+Parameters!$C$94/100*T67*100*Parameters!$C$93/1000*86400*Parameters!$C$95/24*Parameters!$C$99)*365+AE67*CZ67*86400*365)/((AE67+AL67)*86400*365))</f>
        <v>0</v>
      </c>
      <c r="DE67" s="42">
        <f>IF(Basicinfo!AH67+Basicinfo!AI67+Basicinfo!AJ67+Basicinfo!AK67=0,0,((Basicinfo!AH67+Basicinfo!AI67)*Parameters!$C$107+(Basicinfo!AJ67+Basicinfo!AK67)*Parameters!$C$106)/(Basicinfo!AH67+Basicinfo!AI67+Basicinfo!AJ67+Basicinfo!AK67))</f>
        <v>64.581869281132001</v>
      </c>
      <c r="DF67" s="42">
        <f>IF(Basicinfo!AH67+Basicinfo!AI67+Basicinfo!AJ67+Basicinfo!AK67=0,0,((Basicinfo!AH67+Basicinfo!AI67)*Parameters!$C$109+(Basicinfo!AJ67+Basicinfo!AK67)*Parameters!$C$108)/(Basicinfo!AH67+Basicinfo!AI67+Basicinfo!AJ67+Basicinfo!AK67))</f>
        <v>64.581869281132001</v>
      </c>
      <c r="DG67" s="42">
        <f>Intermediate!AC67*Intermediate!CY67*(1-Parameters!$C$102/100*Basicinfo!BZ67/100)*(1-Parameters!$C$104/100*Basicinfo!CA67/100)*86400*365/1000000</f>
        <v>0.6609965983484265</v>
      </c>
      <c r="DH67" s="42">
        <f>Intermediate!AC67*Intermediate!CZ67*(1-Parameters!$C$103/100*Basicinfo!BZ67/100)*(1-Parameters!$C$105/100*Basicinfo!CA67/100)*86400*365/1000000</f>
        <v>0.18674015633684266</v>
      </c>
      <c r="DI67" s="42">
        <f>(Intermediate!AK67*Intermediate!DA67+(Intermediate!AE67+Intermediate!AL67)*Intermediate!DC67)*86400*365/1000000</f>
        <v>4.669728784588882</v>
      </c>
      <c r="DJ67" s="42">
        <f>(Intermediate!AK67*Intermediate!DB67+(Intermediate!AE67+Intermediate!AL67)*Intermediate!DD67)*86400*365/1000000</f>
        <v>0.95018649101297437</v>
      </c>
      <c r="DK67" s="42">
        <f>((Basicinfo!AZ67+Basicinfo!BA67)*Intermediate!AB67+Parameters!$C$76*100)/1000*Intermediate!U67*(1-Intermediate!DE67/100)+(1-Parameters!$C$110/100)*M67*Parameters!$C$100*(1-DE67/100)*365/1000000+(1-Parameters!$C$112/100)*P67*Parameters!$C$96*365/1000000+(1-Parameters!$C$112/100)*O67*Parameters!$C$96*(1-DE67/100)*365/1000000</f>
        <v>0.95171179658443894</v>
      </c>
      <c r="DL67" s="42">
        <f>Parameters!$C$77*100/1000*Intermediate!U67*(1-Intermediate!DF67/100)+(1-Parameters!$C$111/100)*M67*Parameters!$C$101*(1-DF67/100)*365/1000000+(1-Parameters!$C$113/100)*P67*Parameters!$C$97*365/1000000+(1-Parameters!$C$113/100)*O67*Parameters!$C$97*(1-DF67/100)*365/1000000</f>
        <v>0.16588567581315861</v>
      </c>
      <c r="DM67" s="31"/>
      <c r="DN67" s="31"/>
      <c r="DO67" s="31"/>
      <c r="DP67" s="31"/>
      <c r="DQ67" s="31"/>
      <c r="DR67" s="31"/>
      <c r="DS67" s="31"/>
      <c r="DT67" s="188">
        <f>BO67*(Basicinfo!$P67+Basicinfo!$Q67)/1000</f>
        <v>248.52420728005745</v>
      </c>
      <c r="DU67" s="188">
        <f>DT67*Basicinfo!$AZ67/(Basicinfo!$AZ67+Basicinfo!$BA67)</f>
        <v>140.5876649510603</v>
      </c>
      <c r="DV67" s="188">
        <f>DT67*Basicinfo!$BC67/(Basicinfo!$BB67+Basicinfo!$BC67)</f>
        <v>104.51779687463683</v>
      </c>
      <c r="DW67" s="188">
        <f>BP67*(Basicinfo!$P67+Basicinfo!$Q67)/1000</f>
        <v>271.90068030056199</v>
      </c>
      <c r="DX67" s="188">
        <f>DW67*Basicinfo!$BB67/(Basicinfo!$BB67+Basicinfo!$BC67)</f>
        <v>157.5518191382952</v>
      </c>
      <c r="DY67" s="188">
        <f>DW67*Basicinfo!$BC67/(Basicinfo!$BB67+Basicinfo!$BC67)</f>
        <v>114.3488611622668</v>
      </c>
      <c r="DZ67" s="188">
        <f t="shared" si="38"/>
        <v>250.87808246477832</v>
      </c>
      <c r="EA67" s="188">
        <f>DZ67*Basicinfo!$AZ67/(Basicinfo!$AZ67+Basicinfo!$BA67)</f>
        <v>141.91922866241032</v>
      </c>
      <c r="EB67" s="188">
        <f>DZ67*Basicinfo!$BC67/(Basicinfo!$BB67+Basicinfo!$BC67)</f>
        <v>105.50772800093418</v>
      </c>
      <c r="EC67" s="188">
        <f t="shared" si="39"/>
        <v>274.4759636947748</v>
      </c>
      <c r="ED67" s="188">
        <f>EC67*Basicinfo!$AZ67/(Basicinfo!$AZ67+Basicinfo!$BA67)</f>
        <v>155.26831467791925</v>
      </c>
      <c r="EE67" s="188">
        <f>EC67*Basicinfo!$BC67/(Basicinfo!$BB67+Basicinfo!$BC67)</f>
        <v>115.43190634984342</v>
      </c>
      <c r="EF67" s="190">
        <f>(Basicinfo!BP67-BL67/100)*Intermediate!X67/10</f>
        <v>1086.373061177306</v>
      </c>
      <c r="EG67" s="191">
        <f>(Basicinfo!BQ67-BM67/100)*Intermediate!X67/10</f>
        <v>733.59202556189291</v>
      </c>
      <c r="EH67" s="197">
        <f>IF(AU67=0,0,$BS67*((Basicinfo!$P67+Basicinfo!$Q67)*Intermediate!$AT67*1000+$AW67*3600*24*365)/1000000*Basicinfo!AZ67/(Basicinfo!$AZ67+Basicinfo!$BA67))</f>
        <v>13.288385611522004</v>
      </c>
      <c r="EI67" s="197">
        <f>IF(AU67=0,0,$BS67*((Basicinfo!$P67+Basicinfo!$Q67)*Intermediate!$AT67*1000+$AW67*3600*24*365)/1000000*Basicinfo!BA67/(Basicinfo!$AZ67+Basicinfo!$BA67))</f>
        <v>10.202192322785741</v>
      </c>
      <c r="EJ67" s="198">
        <f>IF(AU67=0,0,$BS67*($AT67*$X67*1000)/1000000*Basicinfo!AZ67/(Basicinfo!$AZ67+Basicinfo!$BA67))</f>
        <v>13.414245387832311</v>
      </c>
      <c r="EK67" s="198">
        <f>IF(AU67=0,0,$BS67*($AT67*$X67*1000)/1000000*Basicinfo!BA67/(Basicinfo!$AZ67+Basicinfo!$BA67))</f>
        <v>10.29882149062891</v>
      </c>
      <c r="EL67" s="147">
        <f>Parameters!$C$150/Basicinfo!$AV67*100</f>
        <v>0.113169227369601</v>
      </c>
      <c r="EM67" s="147">
        <f>Parameters!$C$151/Basicinfo!$AV67*100</f>
        <v>0.226338454739202</v>
      </c>
      <c r="EN67" s="147">
        <f>(Parameters!$C$150+Parameters!$C$151)/Intermediate!$BB67*100</f>
        <v>0.7902442480991192</v>
      </c>
      <c r="EO67" s="193">
        <f>IF(EN67=0,0,(1/(1+Parameters!$C$116*$BB67^Parameters!$C$120)*Basicinfo!$AH67/Basicinfo!$G67+1/(1+Parameters!$C$117*$BB67^Parameters!$C$121)*Basicinfo!$AI67/Basicinfo!$G67)*(EN67)^Parameters!$C$124+(1/(1+Parameters!$C$118*$BB67^Parameters!$C$122)*Basicinfo!$AJ67/Basicinfo!AW67+1/(1+Parameters!$C$119*$BB67^Parameters!$C$123)*Basicinfo!$AK67/Basicinfo!$G67)*(EN67)^Parameters!$C$125)</f>
        <v>0.34907847236453848</v>
      </c>
      <c r="EP67" s="199">
        <f>EL67*($AT67*Basicinfo!$P67*1000+$AW67*3600*24*365)/1000000</f>
        <v>1.7531427047479606</v>
      </c>
      <c r="EQ67" s="199">
        <f>EM67*($AT67*Basicinfo!$P67*1000+$AW67*3600*24*365)/1000000</f>
        <v>3.5062854094959213</v>
      </c>
      <c r="ER67" s="199">
        <f t="shared" si="40"/>
        <v>1.7697479962565985</v>
      </c>
      <c r="ES67" s="199">
        <f t="shared" si="41"/>
        <v>3.539495992513197</v>
      </c>
      <c r="ET67" s="181">
        <f t="shared" si="48"/>
        <v>48.779473380552908</v>
      </c>
      <c r="EU67" s="147">
        <f>Intermediate!F67*(Parameters!$C$150)/1000*100</f>
        <v>1.7089904209801776</v>
      </c>
      <c r="EV67" s="147">
        <f>Intermediate!F67*(Parameters!$C$151)/1000*100</f>
        <v>3.4179808419603552</v>
      </c>
      <c r="EW67" s="181">
        <f>'Local emissions'!$S67*Basicinfo!AZ67/(Basicinfo!$AZ67+Basicinfo!$BA67)-Intermediate!EU67</f>
        <v>11.87885946207788</v>
      </c>
      <c r="EX67" s="147">
        <f>'Local emissions'!$S67*Basicinfo!BA67/(Basicinfo!$AZ67+Basicinfo!$BA67)-Intermediate!EV67</f>
        <v>7.0141259475883491</v>
      </c>
      <c r="EY67" s="188">
        <f t="shared" si="49"/>
        <v>11.535242906774045</v>
      </c>
      <c r="EZ67" s="188">
        <f t="shared" si="50"/>
        <v>6.6959069132898197</v>
      </c>
      <c r="FA67" s="188">
        <f t="shared" si="51"/>
        <v>11.644497391575714</v>
      </c>
      <c r="FB67" s="181">
        <f t="shared" si="52"/>
        <v>6.7593254981157127</v>
      </c>
      <c r="FC67" s="181">
        <f>'Local emissions'!Y67-Intermediate!ET67</f>
        <v>238.0731661789255</v>
      </c>
      <c r="FD67" s="188">
        <f t="shared" si="53"/>
        <v>29.304514486654227</v>
      </c>
      <c r="FE67" s="188">
        <f t="shared" si="54"/>
        <v>21.268798270876758</v>
      </c>
      <c r="FF67" s="181">
        <f t="shared" si="55"/>
        <v>14.439892226199991</v>
      </c>
      <c r="FG67" s="201">
        <f t="shared" si="56"/>
        <v>10.735121912117906</v>
      </c>
      <c r="FH67" s="181">
        <f t="shared" si="57"/>
        <v>162.32483928307661</v>
      </c>
      <c r="FJ67" s="147">
        <f>AVERAGE(Parameters!$C$132:$C$134)*'Local emissions'!J67*3600*24*365/1000000</f>
        <v>6.9868922380313794E-2</v>
      </c>
      <c r="FK67" s="147">
        <f>'Local emissions'!AJ67+CT67*BJ67/100*Intermediate!X67*100/1000000</f>
        <v>1.8012913524242657</v>
      </c>
      <c r="FL67" s="31">
        <f>(Parameters!$C$18*(Basicinfo!AH67+Basicinfo!AI67)+Parameters!$C$19*Basicinfo!AJ67+Parameters!$C$20*Basicinfo!AK67)/Basicinfo!G67</f>
        <v>2.8645467320282999E-2</v>
      </c>
      <c r="FM67" s="181">
        <f t="shared" si="32"/>
        <v>0.95713306371709206</v>
      </c>
    </row>
    <row r="68" spans="1:169">
      <c r="A68" s="39" t="str">
        <f>Basicinfo!A68</f>
        <v>Talbach</v>
      </c>
      <c r="B68" s="63">
        <f>Basicinfo!B68</f>
        <v>1390</v>
      </c>
      <c r="C68" s="63">
        <f>Basicinfo!C68</f>
        <v>4050</v>
      </c>
      <c r="D68" s="61">
        <f>Basicinfo!U68*Basicinfo!V68/1000+Basicinfo!Y68</f>
        <v>1.5051365353374431</v>
      </c>
      <c r="E68" s="19">
        <f>Basicinfo!W68*Basicinfo!X68/1000+Basicinfo!Z68</f>
        <v>0</v>
      </c>
      <c r="F68" s="19">
        <f t="shared" si="43"/>
        <v>1.5051365353374431</v>
      </c>
      <c r="G68" s="19">
        <f>SUM(Basicinfo!H68:L68)</f>
        <v>7.1668816054477141E-2</v>
      </c>
      <c r="H68" s="19">
        <f>IF(Basicinfo!N68&lt;Parameters!$C$68,Parameters!$C$69,Basicinfo!BS68/(Basicinfo!N68*100))</f>
        <v>18.155589891712605</v>
      </c>
      <c r="I68" s="19">
        <f>IF(Basicinfo!N68=0,0,Basicinfo!BU68*(1-Basicinfo!BX68/100))</f>
        <v>675.5490999451074</v>
      </c>
      <c r="J68" s="19">
        <f>IF(Basicinfo!N68=0,0,Basicinfo!BU68*Basicinfo!BX68/100)</f>
        <v>623.58378456471451</v>
      </c>
      <c r="K68" s="19">
        <f>IF(Basicinfo!N68=0,0,Basicinfo!BT68-Basicinfo!BU68)</f>
        <v>0</v>
      </c>
      <c r="L68" s="27">
        <f>Basicinfo!BV68*Basicinfo!BW68/100</f>
        <v>71.75</v>
      </c>
      <c r="M68" s="27">
        <f>Basicinfo!BV68-Intermediate!L68</f>
        <v>71.75</v>
      </c>
      <c r="N68" s="73">
        <f>Basicinfo!BS68-SUM(I68:K68)-Basicinfo!BV68</f>
        <v>0</v>
      </c>
      <c r="O68" s="19">
        <f>IF(Basicinfo!AH68+Basicinfo!AI68+Basicinfo!AJ68+Basicinfo!AK68=0,0,N68*(Basicinfo!AH68+Basicinfo!AI68)/SUM(Basicinfo!AH68:AK68))</f>
        <v>0</v>
      </c>
      <c r="P68" s="73">
        <f t="shared" si="25"/>
        <v>0</v>
      </c>
      <c r="Q68" s="19">
        <f>IF(Basicinfo!BS68=0,Basicinfo!N68,IF(H68&gt;Parameters!$C$70,Parameters!$C$64*(Parameters!$C$65*Parameters!$C$70)^(Parameters!$C$66-Parameters!$C$67*LOG(Parameters!$C$65*Parameters!$C$70,10))/100*Basicinfo!N68,Parameters!$C$64*(Parameters!$C$65*H68)^(Parameters!$C$66-Parameters!$C$67*LOG(Parameters!$C$65*H68,10))/100*Basicinfo!N68))</f>
        <v>0.22355477895530607</v>
      </c>
      <c r="R68" s="19">
        <f>IF(Basicinfo!BS68=0,Q68*(1-Basicinfo!BX68/100),IF(H68&lt;Parameters!$C$75,Q68*Basicinfo!BU68/Basicinfo!BS68*(1-Basicinfo!BX68/100)*(-Parameters!$C$74+Parameters!$C$73*LN(H68*100)),Q68*Basicinfo!BU68/Basicinfo!BS68*(1-Basicinfo!BX68/100)))</f>
        <v>5.9672477074027147E-2</v>
      </c>
      <c r="S68" s="19">
        <f>IF(Basicinfo!BS68=0,Q68*Basicinfo!BX68/100,Q68*Basicinfo!BU68/Basicinfo!BS68*Basicinfo!BX68/100)</f>
        <v>9.6632439628495673E-2</v>
      </c>
      <c r="T68" s="19">
        <f>IF(Basicinfo!BS68=0,0,IF(H68&lt;Parameters!$C$75,Q68*K68/Basicinfo!BS68*(-Parameters!$C$74+Parameters!$C$73*LN(H68*100)),Q68*K68/Basicinfo!BS68))</f>
        <v>0</v>
      </c>
      <c r="U68" s="19">
        <f t="shared" si="26"/>
        <v>6.7249862252783246E-2</v>
      </c>
      <c r="V68" s="19">
        <f>IF(Basicinfo!AL68&gt;Parameters!$C$14,Basicinfo!Q68,0)</f>
        <v>0.35651500433089101</v>
      </c>
      <c r="W68" s="19">
        <f>IF(Basicinfo!AL68&gt;Parameters!$C$14,0,Basicinfo!Q68)</f>
        <v>0</v>
      </c>
      <c r="X68" s="19">
        <f>G68+Basicinfo!M68</f>
        <v>21.48255447318256</v>
      </c>
      <c r="Y68" s="19">
        <f>IF(Basicinfo!G68-F68-Q68-V68-Basicinfo!O68-Basicinfo!R68-Basicinfo!S68&lt;0,0,Basicinfo!G68-F68-Q68-V68-Basicinfo!O68-Basicinfo!R68-Basicinfo!S68)</f>
        <v>132.74316649937634</v>
      </c>
      <c r="Z68" s="19">
        <f>Basicinfo!G68-F68-Basicinfo!BO68-Q68-Basicinfo!O68</f>
        <v>132.51851755595314</v>
      </c>
      <c r="AA68" s="53">
        <f>IF(Z68+Basicinfo!BO68-X68&gt;0,Z68+Basicinfo!BO68-X68,0)</f>
        <v>111.61712703052468</v>
      </c>
      <c r="AB68" s="56">
        <f>IF(Basicinfo!N68=0,0,Parameters!$C$71+Parameters!$C$72*Q68/Basicinfo!N68)</f>
        <v>0.36100840667569195</v>
      </c>
      <c r="AC68" s="43">
        <f>Basicinfo!AU68*AB68*R68/1000/86.4/0.365</f>
        <v>8.7201601247279882E-4</v>
      </c>
      <c r="AD68" s="43">
        <f>Basicinfo!AU68*AB68*S68/1000/86.4/0.365</f>
        <v>1.4121256366787594E-3</v>
      </c>
      <c r="AE68" s="43">
        <f>Basicinfo!AU68*AB68*T68/1000/86.4/0.365</f>
        <v>0</v>
      </c>
      <c r="AF68" s="43">
        <f>Basicinfo!AU68*AB68*U68/1000/86.4/0.365</f>
        <v>9.8274714904606798E-4</v>
      </c>
      <c r="AG68" s="43">
        <f>((Parameters!$C$80+Parameters!$C$81*Parameters!$C$89)/(Parameters!$C$82+Parameters!$C$89)/(Parameters!$C$90/100*Parameters!$C$91+(Parameters!$C$83+Parameters!$C$84*Parameters!$C$89)/(Parameters!$C$85+Parameters!$C$89)))-Parameters!$C$86+(Basicinfo!AU68-Parameters!$C$88)/Parameters!$C$87</f>
        <v>83.302552396537223</v>
      </c>
      <c r="AH68" s="43">
        <f>((Parameters!$C$80+Parameters!$C$81*Parameters!$C$89)/(Parameters!$C$82+Parameters!$C$89)/(Basicinfo!BY68/100*Parameters!$C$91+(Parameters!$C$83+Parameters!$C$84*Parameters!$C$89)/(Parameters!$C$85+Parameters!$C$89)))-Parameters!$C$86+(Basicinfo!AU68-Parameters!$C$88)/Parameters!$C$87</f>
        <v>65.499670529921644</v>
      </c>
      <c r="AI68" s="43">
        <f>Basicinfo!AU68^Parameters!$C$79*Parameters!$C$78*AH68/AG68</f>
        <v>54.936535269555527</v>
      </c>
      <c r="AJ68" s="43">
        <f>(J68*Parameters!$C$92/1000+Parameters!$C$94/100*S68*100*Parameters!$C$93/1000*86400*Parameters!$C$95/24)/86400</f>
        <v>9.4148372013359892E-4</v>
      </c>
      <c r="AK68" s="43">
        <f t="shared" si="44"/>
        <v>1.0177531016791546E-3</v>
      </c>
      <c r="AL68" s="43">
        <f>(K68*Parameters!$C$92/1000+Parameters!$C$94/100*T68*100*Parameters!$C$93/1000*86400*Parameters!$C$95/24)/86400</f>
        <v>0</v>
      </c>
      <c r="AM68" s="43">
        <f>(Intermediate!N68+Basicinfo!BV68-Intermediate!L68)*Parameters!$C$92/1000/86400</f>
        <v>1.0795717592592594E-4</v>
      </c>
      <c r="AN68" s="43">
        <f t="shared" si="45"/>
        <v>1.7969536519659446E-3</v>
      </c>
      <c r="AO68" s="43">
        <f t="shared" si="27"/>
        <v>1.0177531016791546E-3</v>
      </c>
      <c r="AP68" s="43">
        <f t="shared" si="28"/>
        <v>1.0907043249719938E-3</v>
      </c>
      <c r="AQ68" s="43">
        <f t="shared" ref="AQ68:AQ88" si="58">AC68+AO68+AP68</f>
        <v>2.9804734391239473E-3</v>
      </c>
      <c r="AR68" s="61">
        <f>(Basicinfo!AU68-Basicinfo!AY68)*F68/1000/86.4/0.365</f>
        <v>3.5798155581563733E-2</v>
      </c>
      <c r="AS68" s="19">
        <f>IF(Basicinfo!AP68-Basicinfo!CB68-Basicinfo!CG68&lt;0,0,(Basicinfo!AP68-Basicinfo!CB68-Basicinfo!CG68)/Basicinfo!G68*1000)</f>
        <v>39.194635454435058</v>
      </c>
      <c r="AT68" s="19">
        <f>Parameters!$C$3*((AS68*86.4*0.365)^Parameters!$C$4)</f>
        <v>303.66323543596212</v>
      </c>
      <c r="AU68" s="19">
        <f>IF(AT68/86.4/0.365*(Basicinfo!G68/1000)-AN68&lt;0,0,AT68/86.4/0.365*(Basicinfo!G68/1000)-AN68)</f>
        <v>1.2964786652749751</v>
      </c>
      <c r="AV68" s="19">
        <f>IF(Basicinfo!AU68&gt;Parameters!$C$13,Parameters!$C$11*(Basicinfo!AU68-Parameters!$C$13)^Parameters!$C$12,0)</f>
        <v>161.78120184021179</v>
      </c>
      <c r="AW68" s="19">
        <f>IF(AV68*V68/1000/86.4/0.365&gt;Basicinfo!AP68*Parameters!$C$15,Basicinfo!AP68*Parameters!$C$15,AV68*V68/1000/86.4/0.365)</f>
        <v>1.8289391766463676E-3</v>
      </c>
      <c r="AX68" s="19">
        <f>Basicinfo!AU68-Basicinfo!AW68</f>
        <v>450.77170258371427</v>
      </c>
      <c r="AY68" s="19">
        <f>Parameters!$C$56*AX68+Parameters!$C$57*Basicinfo!AW68</f>
        <v>307.96422634224285</v>
      </c>
      <c r="AZ68" s="19">
        <f>AY68*Basicinfo!BO68/1000/86.4/0.365</f>
        <v>5.6753458126615561E-3</v>
      </c>
      <c r="BA68" s="19">
        <f>IF(Basicinfo!AP68-AQ68-AR68-AU68-AW68-AZ68-Basicinfo!CB68-Basicinfo!CG68&lt;0,0,Basicinfo!AP68-AQ68-AR68-AU68-AW68-AZ68-Basicinfo!CB68-Basicinfo!CG68)</f>
        <v>3.9417873422311991</v>
      </c>
      <c r="BB68" s="53">
        <f t="shared" ref="BB68:BB88" si="59">IF(Z68=0,0,BA68*86.4*0.365/Z68*1000)</f>
        <v>938.0440403139628</v>
      </c>
      <c r="BC68" s="56">
        <f>IF(G68=0,0,((Basicinfo!H68*Basicinfo!BE68+Basicinfo!I68*Basicinfo!BF68+Basicinfo!J68*Basicinfo!BG68+Basicinfo!K68*Basicinfo!BH68+Basicinfo!L68*Basicinfo!BI68)*(1-Basicinfo!BN68/G68*Parameters!$C$26/100)/G68)*Basicinfo!BM68)</f>
        <v>4.4697545981705007</v>
      </c>
      <c r="BD68" s="43">
        <f>IF(Basicinfo!AW68*Parameters!$C$39-Parameters!$C$40&lt;0,0.001,(Basicinfo!AW68*Parameters!$C$39-Parameters!$C$40)/(Basicinfo!AX68*Parameters!$C$39-Parameters!$C$40))</f>
        <v>1.1313839967036869</v>
      </c>
      <c r="BE68" s="43">
        <f>(BC68*G68*100+Basicinfo!BJ68*Basicinfo!M68*100)*Parameters!$C$29*BD68</f>
        <v>326.8575387611217</v>
      </c>
      <c r="BF68" s="43">
        <f>(Basicinfo!BK68*Basicinfo!P68*100)*BD68*Parameters!$C$29</f>
        <v>730.71108039626108</v>
      </c>
      <c r="BG68" s="43">
        <f>Parameters!$C$27*(V68+W68)*100</f>
        <v>7.1303000866178206</v>
      </c>
      <c r="BH68" s="43">
        <f>Parameters!$C$28*Basicinfo!R68*100</f>
        <v>0</v>
      </c>
      <c r="BI68" s="43">
        <f t="shared" si="46"/>
        <v>737.84138048287889</v>
      </c>
      <c r="BJ68" s="43">
        <f>IF(Basicinfo!AM68&lt;Parameters!$C$33,0,Parameters!$C$30*(((Basicinfo!AM68-Parameters!$C$33)^Parameters!$C$31)*(((G68-Basicinfo!BN68)/Basicinfo!G68*100+Parameters!$C$34))^Parameters!$C$32))</f>
        <v>1.5431880453253388</v>
      </c>
      <c r="BK68" s="58">
        <f t="shared" si="47"/>
        <v>742.88540694628512</v>
      </c>
      <c r="BL68" s="61">
        <f>Basicinfo!AZ68+Basicinfo!BA68</f>
        <v>1071.3078034573678</v>
      </c>
      <c r="BM68" s="19">
        <f>Basicinfo!BB68+Basicinfo!BC68</f>
        <v>1531.5431116053669</v>
      </c>
      <c r="BN68" s="172">
        <f>IF(Basicinfo!AO68=0,0,IF(Basicinfo!AO68="NA",1,IF(OR(Basicinfo!AO68="SA",Basicinfo!AN68="S"),3,IF(Basicinfo!AN68="N",1,IF(Basicinfo!AO68="ZA",2,0)))))</f>
        <v>1</v>
      </c>
      <c r="BO68" s="27">
        <f>IF($BN68=1,(BL68)*(1+Parameters!$C$21*Parameters!$C$22-Parameters!$C$22*Basicinfo!$AL68),IF($BN68=2,(BL68)*(1+Parameters!$C$21*Parameters!$C$23-Parameters!$C$23*Basicinfo!$AL68),IF($BN68=3,(BL68)*(1+Parameters!$C$21*Parameters!$C$24-Parameters!$C$24*Basicinfo!$AL68),BL68)))</f>
        <v>796.51421939224701</v>
      </c>
      <c r="BP68" s="27">
        <f>IF($BN68=1,(BM68)*(1+Parameters!$C$21*Parameters!$C$22-Parameters!$C$22*Basicinfo!$AL68),IF($BN68=2,(BM68)*(1+Parameters!$C$21*Parameters!$C$23-Parameters!$C$23*Basicinfo!$AL68),IF($BN68=3,(BM68)*(1+Parameters!$C$21*Parameters!$C$24-Parameters!$C$24*Basicinfo!$AL68),BM68)))</f>
        <v>1138.6978252832891</v>
      </c>
      <c r="BQ68" s="27">
        <f>IF(Basicinfo!AU68=0,0,IF(G68+Basicinfo!M68=0,0,(Parameters!$C$16+BO68/Basicinfo!AU68)*G68+(Parameters!$C$17+BO68/Basicinfo!AU68)*Basicinfo!M68)/(G68+Basicinfo!M68))</f>
        <v>0.62495667375529407</v>
      </c>
      <c r="BR68" s="27">
        <f>IF(Basicinfo!AU68=0,0,IF(G68+Basicinfo!M68=0,0,(Parameters!$C$16+BP68/Basicinfo!AU68)*G68+(Parameters!$C$17+BP68/Basicinfo!AU68)*Basicinfo!M68)/(G68+Basicinfo!M68))</f>
        <v>0.89300895856862639</v>
      </c>
      <c r="BS68" s="27">
        <f>IF(Basicinfo!AU68=0,0,BO68/Basicinfo!AU68)</f>
        <v>0.62395583166069202</v>
      </c>
      <c r="BT68" s="27">
        <f>IF(Basicinfo!AU68=0,0,BP68/Basicinfo!AU68)</f>
        <v>0.89200811647402423</v>
      </c>
      <c r="BU68" s="27">
        <f>IF(SUM(G68,Basicinfo!M68,Basicinfo!P68,W68)=0,0,(BQ68*(G68+Basicinfo!M68)+BS68*(Basicinfo!P68+W68))/SUM(G68,Basicinfo!M68,Basicinfo!P68,W68))</f>
        <v>0.62411850321114137</v>
      </c>
      <c r="BV68" s="19">
        <f>IF(Basicinfo!BR68/Parameters!$C$10&gt;1,1,Basicinfo!BR68/Parameters!$C$10)</f>
        <v>0.34829560515278246</v>
      </c>
      <c r="BW68" s="19">
        <f>Parameters!$C$5+Parameters!$C$6*EXP(BV68*Parameters!$C$8*Parameters!$C$7)</f>
        <v>3.5079635252893544E-2</v>
      </c>
      <c r="BX68" s="19">
        <f>Parameters!$C$5+Parameters!$C$6*EXP(BV68*Parameters!$C$9*Parameters!$C$7)</f>
        <v>3.5046413886031004E-2</v>
      </c>
      <c r="BY68" s="19">
        <f>IF(Basicinfo!AH68+Basicinfo!AI68+Basicinfo!AJ68+Basicinfo!AK68=0,0,(Parameters!$C$18*(Basicinfo!AH68+Basicinfo!AI68)+Parameters!$C$19*Basicinfo!AJ68+Parameters!$C$20*Basicinfo!AK68)/(Basicinfo!AH68+Basicinfo!AI68+Basicinfo!AJ68+Basicinfo!AK68))</f>
        <v>2.5008618449258908E-2</v>
      </c>
      <c r="BZ68" s="19">
        <f>IF(Basicinfo!AJ68+Basicinfo!AK68=0,Parameters!$C$18,(Parameters!$C$19*Basicinfo!AJ68+Parameters!$C$20*Basicinfo!AK68)/(Basicinfo!AJ68+Basicinfo!AK68))</f>
        <v>2.5000000000000001E-2</v>
      </c>
      <c r="CA68" s="19">
        <f>IF(SUM(G68,Basicinfo!M68,Basicinfo!P68,W68)=0,0,(BW68*G68+BX68*Basicinfo!M68+BY68*Basicinfo!P68+BZ68*W68)/(SUM(G68,Basicinfo!M68,Basicinfo!P68,W68)))</f>
        <v>2.6640126341136747E-2</v>
      </c>
      <c r="CB68" s="19">
        <f>IF(Y68=0,Basicinfo!BP68,Basicinfo!BP68-(AU68*X68/Y68*Intermediate!BQ68*86400*365/1000000)*1000/(X68*100))</f>
        <v>16.210101443547128</v>
      </c>
      <c r="CC68" s="19">
        <f>IF(Y68=0,Basicinfo!BQ68,Basicinfo!BQ68-(AU68*Basicinfo!AV68/Basicinfo!AU68*X68/Y68*Intermediate!BR68*86400*365/1000000)*1000/(X68*100))</f>
        <v>57.212748133740078</v>
      </c>
      <c r="CD68" s="19">
        <f>IF(OR(Y68=0,AA68=0),BP68/100,BP68/100-(AU68*Basicinfo!AV68/Basicinfo!AU68*(Basicinfo!P68+W68)/Y68*Intermediate!BT68*86400*365/1000000+AW68*Basicinfo!AV68/Basicinfo!AU68*Intermediate!BT68*86400*365/1000000)*1000/(AA68*100))</f>
        <v>8.7457257811941247</v>
      </c>
      <c r="CE68" s="19">
        <f t="shared" ref="CE68:CE88" si="60">(Z68-AA68)*100*CC68</f>
        <v>119582.59917762794</v>
      </c>
      <c r="CF68" s="19">
        <f t="shared" ref="CF68:CF88" si="61">CD68*AA68*100</f>
        <v>97617.27854936794</v>
      </c>
      <c r="CG68" s="19">
        <f>IF(AY68=0,0,((CB68^Parameters!$C$58))/AY68*100)</f>
        <v>3.4659125589375952</v>
      </c>
      <c r="CH68" s="19">
        <f>IF(SUM(Basicinfo!AB68:AG68)=0,0,(Parameters!$C$59*Basicinfo!AB68+Parameters!$C$60*SUM(Basicinfo!AC68:AE68)+Parameters!$C$61*Basicinfo!AF68+Parameters!$C$62*Basicinfo!AG68)/SUM(Basicinfo!AB68:AG68))</f>
        <v>0.69211751533381327</v>
      </c>
      <c r="CI68" s="19">
        <f t="shared" si="31"/>
        <v>3</v>
      </c>
      <c r="CJ68" s="19">
        <f t="shared" ref="CJ68:CJ88" si="62">IF(Z68=0,0,(CE68+CF68)/(Z68*100))</f>
        <v>16.39015299392312</v>
      </c>
      <c r="CK68" s="19">
        <f t="shared" si="42"/>
        <v>1.7472690289079973</v>
      </c>
      <c r="CL68" s="19">
        <f>IF($BB68=0,0,$CJ68^Parameters!$C$58*100/$BB68)</f>
        <v>1.1486092985843761</v>
      </c>
      <c r="CM68" s="19">
        <f>IF(CK68=0,0,(1/(1+Parameters!$C$116*BB68^Parameters!$C$120)*Basicinfo!AH68/Basicinfo!G68+1/(1+Parameters!$C$117*BB68^Parameters!$C$121)*Basicinfo!AI68/Basicinfo!G68)*(CK68)^Parameters!$C$124+(1/(1+Parameters!$C$118*BB68^Parameters!$C$122)*Basicinfo!AJ68/Basicinfo!G68+1/(1+Parameters!$C$119*BB68^Parameters!$C$123)*Basicinfo!AK68/Basicinfo!G68)*(CK68)^Parameters!$C$125)</f>
        <v>0.3916002846338188</v>
      </c>
      <c r="CN68" s="19">
        <f>IF(SUM(Basicinfo!AB68:AG68)=0,0,(Parameters!$C$128*Basicinfo!AB68+Parameters!$C$129*(SUM(Basicinfo!AC68:AE68))+Parameters!$C$130*Basicinfo!AF68+Parameters!$C$131*Basicinfo!AG68)/SUM(Basicinfo!AB68:AG68))</f>
        <v>9.1144387711911828E-2</v>
      </c>
      <c r="CO68" s="19">
        <f>IF(Basicinfo!AH68+Basicinfo!AI68+Basicinfo!AJ68+Basicinfo!AK68=0,0,(Parameters!$C$132*(Basicinfo!AH68+Basicinfo!AI68)+Parameters!$C$133*Basicinfo!AJ68+Parameters!$C$134*Basicinfo!AK68)/(Basicinfo!AH68+Basicinfo!AI68+Basicinfo!AJ68+Basicinfo!AK68))</f>
        <v>5.0000000000000001E-4</v>
      </c>
      <c r="CP68" s="19">
        <f>IF(Basicinfo!AJ68+Basicinfo!AK68=0,0,(Parameters!$C$133*Basicinfo!AJ68+Parameters!$C$134*Basicinfo!AK68)/(Basicinfo!AJ68+Basicinfo!AK68))</f>
        <v>5.0000000000000001E-4</v>
      </c>
      <c r="CQ68" s="19">
        <f>IF(Z68=0,0,(CN68*(Z68-AA68)+CO68*Basicinfo!P68+CP68*(Basicinfo!Q68+Basicinfo!R68))/Z68)</f>
        <v>1.4794668108764718E-2</v>
      </c>
      <c r="CR68" s="19">
        <f>IF(CK68=0,0,IF(AND((Basicinfo!AI68+Basicinfo!AK68)&gt;0,(CM68/CK68)&lt;Parameters!$C$135),CQ68*Parameters!$C$136,CQ68))</f>
        <v>3.6986670271911798E-2</v>
      </c>
      <c r="CS68" s="19">
        <f>IF(SUM(Basicinfo!AB68:AG68)=0,0,(Basicinfo!AB68*Parameters!$C$43+(Basicinfo!AC68+Basicinfo!AD68)*Parameters!$C$44+Basicinfo!AE68*Parameters!$C$45+(Basicinfo!AF68+Basicinfo!AG68)*Parameters!$C$46)/SUM(Basicinfo!AB68:AG68))</f>
        <v>7.0167592816115816</v>
      </c>
      <c r="CT68" s="19">
        <f>(Parameters!$C$41*CS68+Parameters!$C$42)</f>
        <v>346.57094467243815</v>
      </c>
      <c r="CU68" s="19">
        <f>CT68+Basicinfo!BR68/(Parameters!$C$47*Parameters!$C$49*Parameters!$C$48*10000/1000000)</f>
        <v>469.24109491492754</v>
      </c>
      <c r="CV68" s="19">
        <f>IF(BK68/Basicinfo!G68&lt;Parameters!$C$35,Parameters!$C$35,Parameters!$C$37*(BK68/Basicinfo!G68)^Parameters!$C$38)</f>
        <v>3.4345401039210972</v>
      </c>
      <c r="CW68" s="19">
        <f>IF(BK68/Basicinfo!G68&lt;Parameters!$C$35,Parameters!$C$36,Parameters!$C$36*(BK68/Basicinfo!G68)^Parameters!$C$38)</f>
        <v>8.0711692442145786</v>
      </c>
      <c r="CX68" s="27">
        <f>IF(Basicinfo!AJ68+Basicinfo!AK68=0,0,(Parameters!$C$53*Basicinfo!AJ68+Parameters!$C$54*Basicinfo!AK68)/(Basicinfo!AJ68+Basicinfo!AK68))</f>
        <v>750</v>
      </c>
      <c r="CY68" s="56">
        <f>IF(Basicinfo!AU68*AB68=0,0,((Basicinfo!AZ68+Basicinfo!BA68)/Basicinfo!AU68+Parameters!$C$76/(Basicinfo!AU68*AB68)*100))</f>
        <v>1.7071841546745874</v>
      </c>
      <c r="CZ68" s="43">
        <f>IF(Basicinfo!AU68*AB68=0,0,(Parameters!$C$77)/(Basicinfo!AU68*AB68)*100)</f>
        <v>0.54247909674490824</v>
      </c>
      <c r="DA68" s="43">
        <f>IF(AD68+AJ68=0,0,((J68*Parameters!$C$96+Parameters!$C$94/100*S68*100*Parameters!$C$93/1000*86400*Parameters!$C$95/24*Parameters!$C$98)*AI68+AD68*CY68*86400*365)/((AD68+AJ68*AI68/365)*86400*365))</f>
        <v>9.9414513941406657</v>
      </c>
      <c r="DB68" s="43">
        <f>IF(AD68+AJ68=0,0,((J68*Parameters!$C$97+Parameters!$C$94/100*S68*100*Parameters!$C$93/1000*86400*Parameters!$C$95/24*Parameters!$C$99)*AI68+AD68*CZ68*86400*365)/((AD68+AJ68*AI68/365)*86400*365))</f>
        <v>1.8578774506391429</v>
      </c>
      <c r="DC68" s="42">
        <f>IF(AE68+AL68=0,0,((K68*Parameters!$C$96+Parameters!$C$94/100*T68*100*Parameters!$C$93/1000*86400*Parameters!$C$95/24*Parameters!$C$98)*365+AE68*CY68*86400*365)/((AE68+AL68)*86400*365))</f>
        <v>0</v>
      </c>
      <c r="DD68" s="42">
        <f>IF(AE68+AL68=0,0,((K68*Parameters!$C$97+Parameters!$C$94/100*T68*100*Parameters!$C$93/1000*86400*Parameters!$C$95/24*Parameters!$C$99)*365+AE68*CZ68*86400*365)/((AE68+AL68)*86400*365))</f>
        <v>0</v>
      </c>
      <c r="DE68" s="42">
        <f>IF(Basicinfo!AH68+Basicinfo!AI68+Basicinfo!AJ68+Basicinfo!AK68=0,0,((Basicinfo!AH68+Basicinfo!AI68)*Parameters!$C$107+(Basicinfo!AJ68+Basicinfo!AK68)*Parameters!$C$106)/(Basicinfo!AH68+Basicinfo!AI68+Basicinfo!AJ68+Basicinfo!AK68))</f>
        <v>50.034473797035616</v>
      </c>
      <c r="DF68" s="42">
        <f>IF(Basicinfo!AH68+Basicinfo!AI68+Basicinfo!AJ68+Basicinfo!AK68=0,0,((Basicinfo!AH68+Basicinfo!AI68)*Parameters!$C$109+(Basicinfo!AJ68+Basicinfo!AK68)*Parameters!$C$108)/(Basicinfo!AH68+Basicinfo!AI68+Basicinfo!AJ68+Basicinfo!AK68))</f>
        <v>50.034473797035616</v>
      </c>
      <c r="DG68" s="42">
        <f>Intermediate!AC68*Intermediate!CY68*(1-Parameters!$C$102/100*Basicinfo!BZ68/100)*(1-Parameters!$C$104/100*Basicinfo!CA68/100)*86400*365/1000000</f>
        <v>4.6947388361244687E-2</v>
      </c>
      <c r="DH68" s="42">
        <f>Intermediate!AC68*Intermediate!CZ68*(1-Parameters!$C$103/100*Basicinfo!BZ68/100)*(1-Parameters!$C$105/100*Basicinfo!CA68/100)*86400*365/1000000</f>
        <v>1.4918119268506787E-2</v>
      </c>
      <c r="DI68" s="42">
        <f>(Intermediate!AK68*Intermediate!DA68+(Intermediate!AE68+Intermediate!AL68)*Intermediate!DC68)*86400*365/1000000</f>
        <v>0.31907945018244221</v>
      </c>
      <c r="DJ68" s="42">
        <f>(Intermediate!AK68*Intermediate!DB68+(Intermediate!AE68+Intermediate!AL68)*Intermediate!DD68)*86400*365/1000000</f>
        <v>5.9630177924089471E-2</v>
      </c>
      <c r="DK68" s="42">
        <f>((Basicinfo!AZ68+Basicinfo!BA68)*Intermediate!AB68+Parameters!$C$76*100)/1000*Intermediate!U68*(1-Intermediate!DE68/100)+(1-Parameters!$C$110/100)*M68*Parameters!$C$100*(1-DE68/100)*365/1000000+(1-Parameters!$C$112/100)*P68*Parameters!$C$96*365/1000000+(1-Parameters!$C$112/100)*O68*Parameters!$C$96*(1-DE68/100)*365/1000000</f>
        <v>0.13242752124449148</v>
      </c>
      <c r="DL68" s="42">
        <f>Parameters!$C$77*100/1000*Intermediate!U68*(1-Intermediate!DF68/100)+(1-Parameters!$C$111/100)*M68*Parameters!$C$101*(1-DF68/100)*365/1000000+(1-Parameters!$C$113/100)*P68*Parameters!$C$97*365/1000000+(1-Parameters!$C$113/100)*O68*Parameters!$C$97*(1-DF68/100)*365/1000000</f>
        <v>2.255700364856671E-2</v>
      </c>
      <c r="DM68" s="31"/>
      <c r="DN68" s="31"/>
      <c r="DO68" s="31"/>
      <c r="DP68" s="31"/>
      <c r="DQ68" s="31"/>
      <c r="DR68" s="31"/>
      <c r="DS68" s="31"/>
      <c r="DT68" s="188">
        <f>BO68*(Basicinfo!$P68+Basicinfo!$Q68)/1000</f>
        <v>88.449787682677922</v>
      </c>
      <c r="DU68" s="188">
        <f>DT68*Basicinfo!$AZ68/(Basicinfo!$AZ68+Basicinfo!$BA68)</f>
        <v>46.777540382826018</v>
      </c>
      <c r="DV68" s="188">
        <f>DT68*Basicinfo!$BC68/(Basicinfo!$BB68+Basicinfo!$BC68)</f>
        <v>40.151244635323799</v>
      </c>
      <c r="DW68" s="188">
        <f>BP68*(Basicinfo!$P68+Basicinfo!$Q68)/1000</f>
        <v>126.44793831538013</v>
      </c>
      <c r="DX68" s="188">
        <f>DW68*Basicinfo!$BB68/(Basicinfo!$BB68+Basicinfo!$BC68)</f>
        <v>69.047663674274887</v>
      </c>
      <c r="DY68" s="188">
        <f>DW68*Basicinfo!$BC68/(Basicinfo!$BB68+Basicinfo!$BC68)</f>
        <v>57.400274641105248</v>
      </c>
      <c r="DZ68" s="188">
        <f t="shared" ref="DZ68:DZ84" si="63">BO68*X68/1000</f>
        <v>17.11116010675843</v>
      </c>
      <c r="EA68" s="188">
        <f>DZ68*Basicinfo!$AZ68/(Basicinfo!$AZ68+Basicinfo!$BA68)</f>
        <v>9.0494053616326386</v>
      </c>
      <c r="EB68" s="188">
        <f>DZ68*Basicinfo!$BC68/(Basicinfo!$BB68+Basicinfo!$BC68)</f>
        <v>7.7675073444546028</v>
      </c>
      <c r="EC68" s="188">
        <f t="shared" ref="EC68:EC84" si="64">BP68*X68/1000</f>
        <v>24.462138060142777</v>
      </c>
      <c r="ED68" s="188">
        <f>EC68*Basicinfo!$AZ68/(Basicinfo!$AZ68+Basicinfo!$BA68)</f>
        <v>12.937042371020757</v>
      </c>
      <c r="EE68" s="188">
        <f>EC68*Basicinfo!$BC68/(Basicinfo!$BB68+Basicinfo!$BC68)</f>
        <v>11.104439199781252</v>
      </c>
      <c r="EF68" s="190">
        <f>(Basicinfo!BP68-BL68/100)*Intermediate!X68/10</f>
        <v>15.944202111364868</v>
      </c>
      <c r="EG68" s="191">
        <f>(Basicinfo!BQ68-BM68/100)*Intermediate!X68/10</f>
        <v>95.724517712895207</v>
      </c>
      <c r="EH68" s="197">
        <f>IF(AU68=0,0,$BS68*((Basicinfo!$P68+Basicinfo!$Q68)*Intermediate!$AT68*1000+$AW68*3600*24*365)/1000000*Basicinfo!AZ68/(Basicinfo!$AZ68+Basicinfo!$BA68))</f>
        <v>11.146335645295498</v>
      </c>
      <c r="EI68" s="197">
        <f>IF(AU68=0,0,$BS68*((Basicinfo!$P68+Basicinfo!$Q68)*Intermediate!$AT68*1000+$AW68*3600*24*365)/1000000*Basicinfo!BA68/(Basicinfo!$AZ68+Basicinfo!$BA68))</f>
        <v>9.9298264016558484</v>
      </c>
      <c r="EJ68" s="198">
        <f>IF(AU68=0,0,$BS68*($AT68*$X68*1000)/1000000*Basicinfo!AZ68/(Basicinfo!$AZ68+Basicinfo!$BA68))</f>
        <v>2.1526457814570161</v>
      </c>
      <c r="EK68" s="198">
        <f>IF(AU68=0,0,$BS68*($AT68*$X68*1000)/1000000*Basicinfo!BA68/(Basicinfo!$AZ68+Basicinfo!$BA68))</f>
        <v>1.9177063740357414</v>
      </c>
      <c r="EL68" s="147">
        <f>Parameters!$C$150/Basicinfo!$AV68*100</f>
        <v>8.0944805737844724E-2</v>
      </c>
      <c r="EM68" s="147">
        <f>Parameters!$C$151/Basicinfo!$AV68*100</f>
        <v>0.16188961147568945</v>
      </c>
      <c r="EN68" s="147">
        <f>(Parameters!$C$150+Parameters!$C$151)/Intermediate!$BB68*100</f>
        <v>0.31981440860664723</v>
      </c>
      <c r="EO68" s="193">
        <f>IF(EN68=0,0,(1/(1+Parameters!$C$116*$BB68^Parameters!$C$120)*Basicinfo!$AH68/Basicinfo!$G68+1/(1+Parameters!$C$117*$BB68^Parameters!$C$121)*Basicinfo!$AI68/Basicinfo!$G68)*(EN68)^Parameters!$C$124+(1/(1+Parameters!$C$118*$BB68^Parameters!$C$122)*Basicinfo!$AJ68/Basicinfo!AW68+1/(1+Parameters!$C$119*$BB68^Parameters!$C$123)*Basicinfo!$AK68/Basicinfo!$G68)*(EN68)^Parameters!$C$125)</f>
        <v>9.2587999433128676E-2</v>
      </c>
      <c r="EP68" s="199">
        <f>EL68*($AT68*Basicinfo!$P68*1000+$AW68*3600*24*365)/1000000</f>
        <v>2.7254141291434055</v>
      </c>
      <c r="EQ68" s="199">
        <f>EM68*($AT68*Basicinfo!$P68*1000+$AW68*3600*24*365)/1000000</f>
        <v>5.4508282582868111</v>
      </c>
      <c r="ER68" s="199">
        <f t="shared" ref="ER68:ER84" si="65">EL68*($AT68*$X68*1000)/1000000</f>
        <v>0.52804036406562038</v>
      </c>
      <c r="ES68" s="199">
        <f t="shared" ref="ES68:ES84" si="66">EM68*($AT68*$X68*1000)/1000000</f>
        <v>1.0560807281312408</v>
      </c>
      <c r="ET68" s="181">
        <f t="shared" si="48"/>
        <v>11.509448071903995</v>
      </c>
      <c r="EU68" s="147">
        <f>Intermediate!F68*(Parameters!$C$150)/1000*100</f>
        <v>0.1505136535337443</v>
      </c>
      <c r="EV68" s="147">
        <f>Intermediate!F68*(Parameters!$C$151)/1000*100</f>
        <v>0.30102730706748859</v>
      </c>
      <c r="EW68" s="181">
        <f>'Local emissions'!$S68*Basicinfo!AZ68/(Basicinfo!$AZ68+Basicinfo!$BA68)-Intermediate!EU68</f>
        <v>0.4835166546344441</v>
      </c>
      <c r="EX68" s="147">
        <f>'Local emissions'!$S68*Basicinfo!BA68/(Basicinfo!$AZ68+Basicinfo!$BA68)-Intermediate!EV68</f>
        <v>0.26380503728737803</v>
      </c>
      <c r="EY68" s="188">
        <f t="shared" si="49"/>
        <v>8.4209215161520916</v>
      </c>
      <c r="EZ68" s="188">
        <f t="shared" si="50"/>
        <v>4.4789981433690373</v>
      </c>
      <c r="FA68" s="188">
        <f t="shared" si="51"/>
        <v>1.6246054173913957</v>
      </c>
      <c r="FB68" s="181">
        <f t="shared" si="52"/>
        <v>0.86162564590450064</v>
      </c>
      <c r="FC68" s="181">
        <f>'Local emissions'!Y68-Intermediate!ET68</f>
        <v>37.169680633009861</v>
      </c>
      <c r="FD68" s="188">
        <f t="shared" si="53"/>
        <v>10.406000085730856</v>
      </c>
      <c r="FE68" s="188">
        <f t="shared" si="54"/>
        <v>8.6506513189794561</v>
      </c>
      <c r="FF68" s="181">
        <f t="shared" si="55"/>
        <v>0.97485459216270487</v>
      </c>
      <c r="FG68" s="201">
        <f t="shared" si="56"/>
        <v>0.83676108007089844</v>
      </c>
      <c r="FH68" s="181">
        <f t="shared" si="57"/>
        <v>16.301413556065945</v>
      </c>
      <c r="FJ68" s="147">
        <f>AVERAGE(Parameters!$C$132:$C$134)*'Local emissions'!J68*3600*24*365/1000000</f>
        <v>6.2154102812301555E-2</v>
      </c>
      <c r="FK68" s="147">
        <f>'Local emissions'!AJ68+CT68*BJ68/100*Intermediate!X68*100/1000000</f>
        <v>0.34565709993595273</v>
      </c>
      <c r="FL68" s="31">
        <f>(Parameters!$C$18*(Basicinfo!AH68+Basicinfo!AI68)+Parameters!$C$19*Basicinfo!AJ68+Parameters!$C$20*Basicinfo!AK68)/Basicinfo!G68</f>
        <v>2.5008618499564806E-2</v>
      </c>
      <c r="FM68" s="181">
        <f t="shared" si="32"/>
        <v>1.0239385862713497</v>
      </c>
    </row>
    <row r="69" spans="1:169">
      <c r="A69" s="39" t="str">
        <f>Basicinfo!A69</f>
        <v>Kleinsölkbach</v>
      </c>
      <c r="B69" s="63">
        <f>Basicinfo!B69</f>
        <v>1400</v>
      </c>
      <c r="C69" s="63">
        <f>Basicinfo!C69</f>
        <v>1410</v>
      </c>
      <c r="D69" s="61">
        <f>Basicinfo!U69*Basicinfo!V69/1000+Basicinfo!Y69</f>
        <v>0.81250793543547895</v>
      </c>
      <c r="E69" s="19">
        <f>Basicinfo!W69*Basicinfo!X69/1000+Basicinfo!Z69</f>
        <v>0</v>
      </c>
      <c r="F69" s="19">
        <f t="shared" si="43"/>
        <v>0.81250793543547895</v>
      </c>
      <c r="G69" s="19">
        <f>SUM(Basicinfo!H69:L69)</f>
        <v>9.093709348874377E-4</v>
      </c>
      <c r="H69" s="19">
        <f>IF(Basicinfo!N69&lt;Parameters!$C$68,Parameters!$C$69,Basicinfo!BS69/(Basicinfo!N69*100))</f>
        <v>15.750825426047799</v>
      </c>
      <c r="I69" s="19">
        <f>IF(Basicinfo!N69=0,0,Basicinfo!BU69*(1-Basicinfo!BX69/100))</f>
        <v>265.04355429392007</v>
      </c>
      <c r="J69" s="19">
        <f>IF(Basicinfo!N69=0,0,Basicinfo!BU69*Basicinfo!BX69/100)</f>
        <v>244.65558857900314</v>
      </c>
      <c r="K69" s="19">
        <f>IF(Basicinfo!N69=0,0,Basicinfo!BT69-Basicinfo!BU69)</f>
        <v>0</v>
      </c>
      <c r="L69" s="27">
        <f>Basicinfo!BV69*Basicinfo!BW69/100</f>
        <v>66.399999999999991</v>
      </c>
      <c r="M69" s="27">
        <f>Basicinfo!BV69-Intermediate!L69</f>
        <v>66.399999999999991</v>
      </c>
      <c r="N69" s="73">
        <f>Basicinfo!BS69-SUM(I69:K69)-Basicinfo!BV69</f>
        <v>0</v>
      </c>
      <c r="O69" s="19">
        <f>IF(Basicinfo!AH69+Basicinfo!AI69+Basicinfo!AJ69+Basicinfo!AK69=0,0,N69*(Basicinfo!AH69+Basicinfo!AI69)/SUM(Basicinfo!AH69:AK69))</f>
        <v>0</v>
      </c>
      <c r="P69" s="73">
        <f t="shared" ref="P69:P84" si="67">N69-O69</f>
        <v>0</v>
      </c>
      <c r="Q69" s="19">
        <f>IF(Basicinfo!BS69=0,Basicinfo!N69,IF(H69&gt;Parameters!$C$70,Parameters!$C$64*(Parameters!$C$65*Parameters!$C$70)^(Parameters!$C$66-Parameters!$C$67*LOG(Parameters!$C$65*Parameters!$C$70,10))/100*Basicinfo!N69,Parameters!$C$64*(Parameters!$C$65*H69)^(Parameters!$C$66-Parameters!$C$67*LOG(Parameters!$C$65*H69,10))/100*Basicinfo!N69))</f>
        <v>0.10677762984588306</v>
      </c>
      <c r="R69" s="19">
        <f>IF(Basicinfo!BS69=0,Q69*(1-Basicinfo!BX69/100),IF(H69&lt;Parameters!$C$75,Q69*Basicinfo!BU69/Basicinfo!BS69*(1-Basicinfo!BX69/100)*(-Parameters!$C$74+Parameters!$C$73*LN(H69*100)),Q69*Basicinfo!BU69/Basicinfo!BS69*(1-Basicinfo!BX69/100)))</f>
        <v>2.4325786130114969E-2</v>
      </c>
      <c r="S69" s="19">
        <f>IF(Basicinfo!BS69=0,Q69*Basicinfo!BX69/100,Q69*Basicinfo!BU69/Basicinfo!BS69*Basicinfo!BX69/100)</f>
        <v>4.0659577785899612E-2</v>
      </c>
      <c r="T69" s="19">
        <f>IF(Basicinfo!BS69=0,0,IF(H69&lt;Parameters!$C$75,Q69*K69/Basicinfo!BS69*(-Parameters!$C$74+Parameters!$C$73*LN(H69*100)),Q69*K69/Basicinfo!BS69))</f>
        <v>0</v>
      </c>
      <c r="U69" s="19">
        <f t="shared" ref="U69:U84" si="68">Q69-R69-S69-T69</f>
        <v>4.1792265929868469E-2</v>
      </c>
      <c r="V69" s="19">
        <f>IF(Basicinfo!AL69&gt;Parameters!$C$14,Basicinfo!Q69,0)</f>
        <v>0.132860029275747</v>
      </c>
      <c r="W69" s="19">
        <f>IF(Basicinfo!AL69&gt;Parameters!$C$14,0,Basicinfo!Q69)</f>
        <v>0</v>
      </c>
      <c r="X69" s="19">
        <f>G69+Basicinfo!M69</f>
        <v>17.875834050031106</v>
      </c>
      <c r="Y69" s="19">
        <f>IF(Basicinfo!G69-F69-Q69-V69-Basicinfo!O69-Basicinfo!R69-Basicinfo!S69&lt;0,0,Basicinfo!G69-F69-Q69-V69-Basicinfo!O69-Basicinfo!R69-Basicinfo!S69)</f>
        <v>127.53700964144291</v>
      </c>
      <c r="Z69" s="19">
        <f>Basicinfo!G69-F69-Basicinfo!BO69-Q69-Basicinfo!O69</f>
        <v>127.66986967071865</v>
      </c>
      <c r="AA69" s="53">
        <f>IF(Z69+Basicinfo!BO69-X69&gt;0,Z69+Basicinfo!BO69-X69,0)</f>
        <v>109.79403562068755</v>
      </c>
      <c r="AB69" s="56">
        <f>IF(Basicinfo!N69=0,0,Parameters!$C$71+Parameters!$C$72*Q69/Basicinfo!N69)</f>
        <v>0.34632350787146859</v>
      </c>
      <c r="AC69" s="43">
        <f>Basicinfo!AU69*AB69*R69/1000/86.4/0.365</f>
        <v>3.4911747187012519E-4</v>
      </c>
      <c r="AD69" s="43">
        <f>Basicinfo!AU69*AB69*S69/1000/86.4/0.365</f>
        <v>5.8353587949812693E-4</v>
      </c>
      <c r="AE69" s="43">
        <f>Basicinfo!AU69*AB69*T69/1000/86.4/0.365</f>
        <v>0</v>
      </c>
      <c r="AF69" s="43">
        <f>Basicinfo!AU69*AB69*U69/1000/86.4/0.365</f>
        <v>5.9979193055129825E-4</v>
      </c>
      <c r="AG69" s="43">
        <f>((Parameters!$C$80+Parameters!$C$81*Parameters!$C$89)/(Parameters!$C$82+Parameters!$C$89)/(Parameters!$C$90/100*Parameters!$C$91+(Parameters!$C$83+Parameters!$C$84*Parameters!$C$89)/(Parameters!$C$85+Parameters!$C$89)))-Parameters!$C$86+(Basicinfo!AU69-Parameters!$C$88)/Parameters!$C$87</f>
        <v>84.060186352294366</v>
      </c>
      <c r="AH69" s="43">
        <f>((Parameters!$C$80+Parameters!$C$81*Parameters!$C$89)/(Parameters!$C$82+Parameters!$C$89)/(Basicinfo!BY69/100*Parameters!$C$91+(Parameters!$C$83+Parameters!$C$84*Parameters!$C$89)/(Parameters!$C$85+Parameters!$C$89)))-Parameters!$C$86+(Basicinfo!AU69-Parameters!$C$88)/Parameters!$C$87</f>
        <v>66.257304485678787</v>
      </c>
      <c r="AI69" s="43">
        <f>Basicinfo!AU69^Parameters!$C$79*Parameters!$C$78*AH69/AG69</f>
        <v>58.398003374637867</v>
      </c>
      <c r="AJ69" s="43">
        <f>(J69*Parameters!$C$92/1000+Parameters!$C$94/100*S69*100*Parameters!$C$93/1000*86400*Parameters!$C$95/24)/86400</f>
        <v>3.6947136688997452E-4</v>
      </c>
      <c r="AK69" s="43">
        <f t="shared" si="44"/>
        <v>4.2580208831366939E-4</v>
      </c>
      <c r="AL69" s="43">
        <f>(K69*Parameters!$C$92/1000+Parameters!$C$94/100*T69*100*Parameters!$C$93/1000*86400*Parameters!$C$95/24)/86400</f>
        <v>0</v>
      </c>
      <c r="AM69" s="43">
        <f>(Intermediate!N69+Basicinfo!BV69-Intermediate!L69)*Parameters!$C$92/1000/86400</f>
        <v>9.9907407407407388E-5</v>
      </c>
      <c r="AN69" s="43">
        <f t="shared" si="45"/>
        <v>7.3575261633238281E-4</v>
      </c>
      <c r="AO69" s="43">
        <f t="shared" ref="AO69:AO88" si="69">AK69+AE69+AL69</f>
        <v>4.2580208831366939E-4</v>
      </c>
      <c r="AP69" s="43">
        <f t="shared" ref="AP69:AP88" si="70">AF69+AM69</f>
        <v>6.9969933795870564E-4</v>
      </c>
      <c r="AQ69" s="43">
        <f t="shared" si="58"/>
        <v>1.4746188981425001E-3</v>
      </c>
      <c r="AR69" s="61">
        <f>(Basicinfo!AU69-Basicinfo!AY69)*F69/1000/86.4/0.365</f>
        <v>2.025219512840834E-2</v>
      </c>
      <c r="AS69" s="19">
        <f>IF(Basicinfo!AP69-Basicinfo!CB69-Basicinfo!CG69&lt;0,0,(Basicinfo!AP69-Basicinfo!CB69-Basicinfo!CG69)/Basicinfo!G69*1000)</f>
        <v>32.784408984289058</v>
      </c>
      <c r="AT69" s="19">
        <f>Parameters!$C$3*((AS69*86.4*0.365)^Parameters!$C$4)</f>
        <v>243.07797399123635</v>
      </c>
      <c r="AU69" s="19">
        <f>IF(AT69/86.4/0.365*(Basicinfo!G69/1000)-AN69&lt;0,0,AT69/86.4/0.365*(Basicinfo!G69/1000)-AN69)</f>
        <v>0.99042328251848055</v>
      </c>
      <c r="AV69" s="19">
        <f>IF(Basicinfo!AU69&gt;Parameters!$C$13,Parameters!$C$11*(Basicinfo!AU69-Parameters!$C$13)^Parameters!$C$12,0)</f>
        <v>167.87778095340951</v>
      </c>
      <c r="AW69" s="19">
        <f>IF(AV69*V69/1000/86.4/0.365&gt;Basicinfo!AP69*Parameters!$C$15,Basicinfo!AP69*Parameters!$C$15,AV69*V69/1000/86.4/0.365)</f>
        <v>7.0726302930674244E-4</v>
      </c>
      <c r="AX69" s="19">
        <f>Basicinfo!AU69-Basicinfo!AW69</f>
        <v>450.49080918514301</v>
      </c>
      <c r="AY69" s="19">
        <f>Parameters!$C$56*AX69+Parameters!$C$57*Basicinfo!AW69</f>
        <v>310.88240480584295</v>
      </c>
      <c r="AZ69" s="19">
        <f>AY69*Basicinfo!BO69/1000/86.4/0.365</f>
        <v>0</v>
      </c>
      <c r="BA69" s="19">
        <f>IF(Basicinfo!AP69-AQ69-AR69-AU69-AW69-AZ69-Basicinfo!CB69-Basicinfo!CG69&lt;0,0,Basicinfo!AP69-AQ69-AR69-AU69-AW69-AZ69-Basicinfo!CB69-Basicinfo!CG69)</f>
        <v>3.2028620966269217</v>
      </c>
      <c r="BB69" s="53">
        <f t="shared" si="59"/>
        <v>791.14562691836454</v>
      </c>
      <c r="BC69" s="56">
        <f>IF(G69=0,0,((Basicinfo!H69*Basicinfo!BE69+Basicinfo!I69*Basicinfo!BF69+Basicinfo!J69*Basicinfo!BG69+Basicinfo!K69*Basicinfo!BH69+Basicinfo!L69*Basicinfo!BI69)*(1-Basicinfo!BN69/G69*Parameters!$C$26/100)/G69)*Basicinfo!BM69)</f>
        <v>0.99692898994492851</v>
      </c>
      <c r="BD69" s="43">
        <f>IF(Basicinfo!AW69*Parameters!$C$39-Parameters!$C$40&lt;0,0.001,(Basicinfo!AW69*Parameters!$C$39-Parameters!$C$40)/(Basicinfo!AX69*Parameters!$C$39-Parameters!$C$40))</f>
        <v>1.1789323946464336</v>
      </c>
      <c r="BE69" s="43">
        <f>(BC69*G69*100+Basicinfo!BJ69*Basicinfo!M69*100)*Parameters!$C$29*BD69</f>
        <v>163.84065122034667</v>
      </c>
      <c r="BF69" s="43">
        <f>(Basicinfo!BK69*Basicinfo!P69*100)*BD69*Parameters!$C$29</f>
        <v>595.39895487165336</v>
      </c>
      <c r="BG69" s="43">
        <f>Parameters!$C$27*(V69+W69)*100</f>
        <v>2.6572005855149401</v>
      </c>
      <c r="BH69" s="43">
        <f>Parameters!$C$28*Basicinfo!R69*100</f>
        <v>0</v>
      </c>
      <c r="BI69" s="43">
        <f t="shared" si="46"/>
        <v>598.0561554571683</v>
      </c>
      <c r="BJ69" s="43">
        <f>IF(Basicinfo!AM69&lt;Parameters!$C$33,0,Parameters!$C$30*(((Basicinfo!AM69-Parameters!$C$33)^Parameters!$C$31)*(((G69-Basicinfo!BN69)/Basicinfo!G69*100+Parameters!$C$34))^Parameters!$C$32))</f>
        <v>1.5601809039499752</v>
      </c>
      <c r="BK69" s="58">
        <f t="shared" si="47"/>
        <v>600.61236601041549</v>
      </c>
      <c r="BL69" s="61">
        <f>Basicinfo!AZ69+Basicinfo!BA69</f>
        <v>906.86009608092445</v>
      </c>
      <c r="BM69" s="19">
        <f>Basicinfo!BB69+Basicinfo!BC69</f>
        <v>1293.4377591818825</v>
      </c>
      <c r="BN69" s="172">
        <f>IF(Basicinfo!AO69=0,0,IF(Basicinfo!AO69="NA",1,IF(OR(Basicinfo!AO69="SA",Basicinfo!AN69="S"),3,IF(Basicinfo!AN69="N",1,IF(Basicinfo!AO69="ZA",2,0)))))</f>
        <v>1</v>
      </c>
      <c r="BO69" s="27">
        <f>IF($BN69=1,(BL69)*(1+Parameters!$C$21*Parameters!$C$22-Parameters!$C$22*Basicinfo!$AL69),IF($BN69=2,(BL69)*(1+Parameters!$C$21*Parameters!$C$23-Parameters!$C$23*Basicinfo!$AL69),IF($BN69=3,(BL69)*(1+Parameters!$C$21*Parameters!$C$24-Parameters!$C$24*Basicinfo!$AL69),BL69)))</f>
        <v>680.98994425181706</v>
      </c>
      <c r="BP69" s="27">
        <f>IF($BN69=1,(BM69)*(1+Parameters!$C$21*Parameters!$C$22-Parameters!$C$22*Basicinfo!$AL69),IF($BN69=2,(BM69)*(1+Parameters!$C$21*Parameters!$C$23-Parameters!$C$23*Basicinfo!$AL69),IF($BN69=3,(BM69)*(1+Parameters!$C$21*Parameters!$C$24-Parameters!$C$24*Basicinfo!$AL69),BM69)))</f>
        <v>971.28334494482453</v>
      </c>
      <c r="BQ69" s="27">
        <f>IF(Basicinfo!AU69=0,0,IF(G69+Basicinfo!M69=0,0,(Parameters!$C$16+BO69/Basicinfo!AU69)*G69+(Parameters!$C$17+BO69/Basicinfo!AU69)*Basicinfo!M69)/(G69+Basicinfo!M69))</f>
        <v>0.52110361176545039</v>
      </c>
      <c r="BR69" s="27">
        <f>IF(Basicinfo!AU69=0,0,IF(G69+Basicinfo!M69=0,0,(Parameters!$C$16+BP69/Basicinfo!AU69)*G69+(Parameters!$C$17+BP69/Basicinfo!AU69)*Basicinfo!M69)/(G69+Basicinfo!M69))</f>
        <v>0.74323392448044523</v>
      </c>
      <c r="BS69" s="27">
        <f>IF(Basicinfo!AU69=0,0,BO69/Basicinfo!AU69)</f>
        <v>0.52108835030801559</v>
      </c>
      <c r="BT69" s="27">
        <f>IF(Basicinfo!AU69=0,0,BP69/Basicinfo!AU69)</f>
        <v>0.74321866302301043</v>
      </c>
      <c r="BU69" s="27">
        <f>IF(SUM(G69,Basicinfo!M69,Basicinfo!P69,W69)=0,0,(BQ69*(G69+Basicinfo!M69)+BS69*(Basicinfo!P69+W69))/SUM(G69,Basicinfo!M69,Basicinfo!P69,W69))</f>
        <v>0.52109049444610112</v>
      </c>
      <c r="BV69" s="19">
        <f>IF(Basicinfo!BR69/Parameters!$C$10&gt;1,1,Basicinfo!BR69/Parameters!$C$10)</f>
        <v>0.47919365441078632</v>
      </c>
      <c r="BW69" s="19">
        <f>Parameters!$C$5+Parameters!$C$6*EXP(BV69*Parameters!$C$8*Parameters!$C$7)</f>
        <v>3.5494469097901792E-2</v>
      </c>
      <c r="BX69" s="19">
        <f>Parameters!$C$5+Parameters!$C$6*EXP(BV69*Parameters!$C$9*Parameters!$C$7)</f>
        <v>3.5235270165248293E-2</v>
      </c>
      <c r="BY69" s="19">
        <f>IF(Basicinfo!AH69+Basicinfo!AI69+Basicinfo!AJ69+Basicinfo!AK69=0,0,(Parameters!$C$18*(Basicinfo!AH69+Basicinfo!AI69)+Parameters!$C$19*Basicinfo!AJ69+Parameters!$C$20*Basicinfo!AK69)/(Basicinfo!AH69+Basicinfo!AI69+Basicinfo!AJ69+Basicinfo!AK69))</f>
        <v>2.5000000000000001E-2</v>
      </c>
      <c r="BZ69" s="19">
        <f>IF(Basicinfo!AJ69+Basicinfo!AK69=0,Parameters!$C$18,(Parameters!$C$19*Basicinfo!AJ69+Parameters!$C$20*Basicinfo!AK69)/(Basicinfo!AJ69+Basicinfo!AK69))</f>
        <v>2.5000000000000001E-2</v>
      </c>
      <c r="CA69" s="19">
        <f>IF(SUM(G69,Basicinfo!M69,Basicinfo!P69,W69)=0,0,(BW69*G69+BX69*Basicinfo!M69+BY69*Basicinfo!P69+BZ69*W69)/(SUM(G69,Basicinfo!M69,Basicinfo!P69,W69)))</f>
        <v>2.6437992468455556E-2</v>
      </c>
      <c r="CB69" s="19">
        <f>IF(Y69=0,Basicinfo!BP69,Basicinfo!BP69-(AU69*X69/Y69*Intermediate!BQ69*86400*365/1000000)*1000/(X69*100))</f>
        <v>33.107491185248463</v>
      </c>
      <c r="CC69" s="19">
        <f>IF(Y69=0,Basicinfo!BQ69,Basicinfo!BQ69-(AU69*Basicinfo!AV69/Basicinfo!AU69*X69/Y69*Intermediate!BR69*86400*365/1000000)*1000/(X69*100))</f>
        <v>75.719511796955302</v>
      </c>
      <c r="CD69" s="19">
        <f>IF(OR(Y69=0,AA69=0),BP69/100,BP69/100-(AU69*Basicinfo!AV69/Basicinfo!AU69*(Basicinfo!P69+W69)/Y69*Intermediate!BT69*86400*365/1000000+AW69*Basicinfo!AV69/Basicinfo!AU69*Intermediate!BT69*86400*365/1000000)*1000/(AA69*100))</f>
        <v>8.1167752682895991</v>
      </c>
      <c r="CE69" s="19">
        <f t="shared" si="60"/>
        <v>135354.94272317455</v>
      </c>
      <c r="CF69" s="19">
        <f t="shared" si="61"/>
        <v>89117.351293170388</v>
      </c>
      <c r="CG69" s="19">
        <f>IF(AY69=0,0,((CB69^Parameters!$C$58))/AY69*100)</f>
        <v>6.3000092710784106</v>
      </c>
      <c r="CH69" s="19">
        <f>IF(SUM(Basicinfo!AB69:AG69)=0,0,(Parameters!$C$59*Basicinfo!AB69+Parameters!$C$60*SUM(Basicinfo!AC69:AE69)+Parameters!$C$61*Basicinfo!AF69+Parameters!$C$62*Basicinfo!AG69)/SUM(Basicinfo!AB69:AG69))</f>
        <v>0.47661279565555931</v>
      </c>
      <c r="CI69" s="19">
        <f t="shared" si="31"/>
        <v>4</v>
      </c>
      <c r="CJ69" s="19">
        <f t="shared" si="62"/>
        <v>17.582245097868078</v>
      </c>
      <c r="CK69" s="19">
        <f t="shared" si="42"/>
        <v>2.222377840392503</v>
      </c>
      <c r="CL69" s="19">
        <f>IF($BB69=0,0,$CJ69^Parameters!$C$58*100/$BB69)</f>
        <v>1.4456286562769889</v>
      </c>
      <c r="CM69" s="19">
        <f>IF(CK69=0,0,(1/(1+Parameters!$C$116*BB69^Parameters!$C$120)*Basicinfo!AH69/Basicinfo!G69+1/(1+Parameters!$C$117*BB69^Parameters!$C$121)*Basicinfo!AI69/Basicinfo!G69)*(CK69)^Parameters!$C$124+(1/(1+Parameters!$C$118*BB69^Parameters!$C$122)*Basicinfo!AJ69/Basicinfo!G69+1/(1+Parameters!$C$119*BB69^Parameters!$C$123)*Basicinfo!AK69/Basicinfo!G69)*(CK69)^Parameters!$C$125)</f>
        <v>0.4844007913625738</v>
      </c>
      <c r="CN69" s="19">
        <f>IF(SUM(Basicinfo!AB69:AG69)=0,0,(Parameters!$C$128*Basicinfo!AB69+Parameters!$C$129*(SUM(Basicinfo!AC69:AE69))+Parameters!$C$130*Basicinfo!AF69+Parameters!$C$131*Basicinfo!AG69)/SUM(Basicinfo!AB69:AG69))</f>
        <v>6.5427312031582502E-2</v>
      </c>
      <c r="CO69" s="19">
        <f>IF(Basicinfo!AH69+Basicinfo!AI69+Basicinfo!AJ69+Basicinfo!AK69=0,0,(Parameters!$C$132*(Basicinfo!AH69+Basicinfo!AI69)+Parameters!$C$133*Basicinfo!AJ69+Parameters!$C$134*Basicinfo!AK69)/(Basicinfo!AH69+Basicinfo!AI69+Basicinfo!AJ69+Basicinfo!AK69))</f>
        <v>5.0000000000000001E-4</v>
      </c>
      <c r="CP69" s="19">
        <f>IF(Basicinfo!AJ69+Basicinfo!AK69=0,0,(Parameters!$C$133*Basicinfo!AJ69+Parameters!$C$134*Basicinfo!AK69)/(Basicinfo!AJ69+Basicinfo!AK69))</f>
        <v>5.0000000000000001E-4</v>
      </c>
      <c r="CQ69" s="19">
        <f>IF(Z69=0,0,(CN69*(Z69-AA69)+CO69*Basicinfo!P69+CP69*(Basicinfo!Q69+Basicinfo!R69))/Z69)</f>
        <v>9.5896880345086449E-3</v>
      </c>
      <c r="CR69" s="19">
        <f>IF(CK69=0,0,IF(AND((Basicinfo!AI69+Basicinfo!AK69)&gt;0,(CM69/CK69)&lt;Parameters!$C$135),CQ69*Parameters!$C$136,CQ69))</f>
        <v>2.3974220086271612E-2</v>
      </c>
      <c r="CS69" s="19">
        <f>IF(SUM(Basicinfo!AB69:AG69)=0,0,(Basicinfo!AB69*Parameters!$C$43+(Basicinfo!AC69+Basicinfo!AD69)*Parameters!$C$44+Basicinfo!AE69*Parameters!$C$45+(Basicinfo!AF69+Basicinfo!AG69)*Parameters!$C$46)/SUM(Basicinfo!AB69:AG69))</f>
        <v>11.978548062786748</v>
      </c>
      <c r="CT69" s="19">
        <f>(Parameters!$C$41*CS69+Parameters!$C$42)</f>
        <v>397.18119024042483</v>
      </c>
      <c r="CU69" s="19">
        <f>CT69+Basicinfo!BR69/(Parameters!$C$47*Parameters!$C$49*Parameters!$C$48*10000/1000000)</f>
        <v>565.95379808321752</v>
      </c>
      <c r="CV69" s="19">
        <f>IF(BK69/Basicinfo!G69&lt;Parameters!$C$35,Parameters!$C$35,Parameters!$C$37*(BK69/Basicinfo!G69)^Parameters!$C$38)</f>
        <v>3.711858203652497</v>
      </c>
      <c r="CW69" s="19">
        <f>IF(BK69/Basicinfo!G69&lt;Parameters!$C$35,Parameters!$C$36,Parameters!$C$36*(BK69/Basicinfo!G69)^Parameters!$C$38)</f>
        <v>8.7228667785833682</v>
      </c>
      <c r="CX69" s="27">
        <f>IF(Basicinfo!AJ69+Basicinfo!AK69=0,0,(Parameters!$C$53*Basicinfo!AJ69+Parameters!$C$54*Basicinfo!AK69)/(Basicinfo!AJ69+Basicinfo!AK69))</f>
        <v>750</v>
      </c>
      <c r="CY69" s="56">
        <f>IF(Basicinfo!AU69*AB69=0,0,((Basicinfo!AZ69+Basicinfo!BA69)/Basicinfo!AU69+Parameters!$C$76/(Basicinfo!AU69*AB69)*100))</f>
        <v>1.577711669330256</v>
      </c>
      <c r="CZ69" s="43">
        <f>IF(Basicinfo!AU69*AB69=0,0,(Parameters!$C$77)/(Basicinfo!AU69*AB69)*100)</f>
        <v>0.55236824291226405</v>
      </c>
      <c r="DA69" s="43">
        <f>IF(AD69+AJ69=0,0,((J69*Parameters!$C$96+Parameters!$C$94/100*S69*100*Parameters!$C$93/1000*86400*Parameters!$C$95/24*Parameters!$C$98)*AI69+AD69*CY69*86400*365)/((AD69+AJ69*AI69/365)*86400*365))</f>
        <v>9.8929389019666445</v>
      </c>
      <c r="DB69" s="43">
        <f>IF(AD69+AJ69=0,0,((J69*Parameters!$C$97+Parameters!$C$94/100*S69*100*Parameters!$C$93/1000*86400*Parameters!$C$95/24*Parameters!$C$99)*AI69+AD69*CZ69*86400*365)/((AD69+AJ69*AI69/365)*86400*365))</f>
        <v>1.8778855374678807</v>
      </c>
      <c r="DC69" s="42">
        <f>IF(AE69+AL69=0,0,((K69*Parameters!$C$96+Parameters!$C$94/100*T69*100*Parameters!$C$93/1000*86400*Parameters!$C$95/24*Parameters!$C$98)*365+AE69*CY69*86400*365)/((AE69+AL69)*86400*365))</f>
        <v>0</v>
      </c>
      <c r="DD69" s="42">
        <f>IF(AE69+AL69=0,0,((K69*Parameters!$C$97+Parameters!$C$94/100*T69*100*Parameters!$C$93/1000*86400*Parameters!$C$95/24*Parameters!$C$99)*365+AE69*CZ69*86400*365)/((AE69+AL69)*86400*365))</f>
        <v>0</v>
      </c>
      <c r="DE69" s="42">
        <f>IF(Basicinfo!AH69+Basicinfo!AI69+Basicinfo!AJ69+Basicinfo!AK69=0,0,((Basicinfo!AH69+Basicinfo!AI69)*Parameters!$C$107+(Basicinfo!AJ69+Basicinfo!AK69)*Parameters!$C$106)/(Basicinfo!AH69+Basicinfo!AI69+Basicinfo!AJ69+Basicinfo!AK69))</f>
        <v>50</v>
      </c>
      <c r="DF69" s="42">
        <f>IF(Basicinfo!AH69+Basicinfo!AI69+Basicinfo!AJ69+Basicinfo!AK69=0,0,((Basicinfo!AH69+Basicinfo!AI69)*Parameters!$C$109+(Basicinfo!AJ69+Basicinfo!AK69)*Parameters!$C$108)/(Basicinfo!AH69+Basicinfo!AI69+Basicinfo!AJ69+Basicinfo!AK69))</f>
        <v>50</v>
      </c>
      <c r="DG69" s="42">
        <f>Intermediate!AC69*Intermediate!CY69*(1-Parameters!$C$102/100*Basicinfo!BZ69/100)*(1-Parameters!$C$104/100*Basicinfo!CA69/100)*86400*365/1000000</f>
        <v>1.7370240385638194E-2</v>
      </c>
      <c r="DH69" s="42">
        <f>Intermediate!AC69*Intermediate!CZ69*(1-Parameters!$C$103/100*Basicinfo!BZ69/100)*(1-Parameters!$C$105/100*Basicinfo!CA69/100)*86400*365/1000000</f>
        <v>6.0814465325287424E-3</v>
      </c>
      <c r="DI69" s="42">
        <f>(Intermediate!AK69*Intermediate!DA69+(Intermediate!AE69+Intermediate!AL69)*Intermediate!DC69)*86400*365/1000000</f>
        <v>0.13284332001211815</v>
      </c>
      <c r="DJ69" s="42">
        <f>(Intermediate!AK69*Intermediate!DB69+(Intermediate!AE69+Intermediate!AL69)*Intermediate!DD69)*86400*365/1000000</f>
        <v>2.5216424752242471E-2</v>
      </c>
      <c r="DK69" s="42">
        <f>((Basicinfo!AZ69+Basicinfo!BA69)*Intermediate!AB69+Parameters!$C$76*100)/1000*Intermediate!U69*(1-Intermediate!DE69/100)+(1-Parameters!$C$110/100)*M69*Parameters!$C$100*(1-DE69/100)*365/1000000+(1-Parameters!$C$112/100)*P69*Parameters!$C$96*365/1000000+(1-Parameters!$C$112/100)*O69*Parameters!$C$96*(1-DE69/100)*365/1000000</f>
        <v>0.11307703834311827</v>
      </c>
      <c r="DL69" s="42">
        <f>Parameters!$C$77*100/1000*Intermediate!U69*(1-Intermediate!DF69/100)+(1-Parameters!$C$111/100)*M69*Parameters!$C$101*(1-DF69/100)*365/1000000+(1-Parameters!$C$113/100)*P69*Parameters!$C$97*365/1000000+(1-Parameters!$C$113/100)*O69*Parameters!$C$97*(1-DF69/100)*365/1000000</f>
        <v>1.8334062297981325E-2</v>
      </c>
      <c r="DM69" s="31"/>
      <c r="DN69" s="31"/>
      <c r="DO69" s="31"/>
      <c r="DP69" s="31"/>
      <c r="DQ69" s="31"/>
      <c r="DR69" s="31"/>
      <c r="DS69" s="31"/>
      <c r="DT69" s="188">
        <f>BO69*(Basicinfo!$P69+Basicinfo!$Q69)/1000</f>
        <v>74.563562957707518</v>
      </c>
      <c r="DU69" s="188">
        <f>DT69*Basicinfo!$AZ69/(Basicinfo!$AZ69+Basicinfo!$BA69)</f>
        <v>38.74485320043771</v>
      </c>
      <c r="DV69" s="188">
        <f>DT69*Basicinfo!$BC69/(Basicinfo!$BB69+Basicinfo!$BC69)</f>
        <v>34.838254081082944</v>
      </c>
      <c r="DW69" s="188">
        <f>BP69*(Basicinfo!$P69+Basicinfo!$Q69)/1000</f>
        <v>106.34862886284526</v>
      </c>
      <c r="DX69" s="188">
        <f>DW69*Basicinfo!$BB69/(Basicinfo!$BB69+Basicinfo!$BC69)</f>
        <v>56.659472302554917</v>
      </c>
      <c r="DY69" s="188">
        <f>DW69*Basicinfo!$BC69/(Basicinfo!$BB69+Basicinfo!$BC69)</f>
        <v>49.68915656029035</v>
      </c>
      <c r="DZ69" s="188">
        <f t="shared" si="63"/>
        <v>12.173263233185416</v>
      </c>
      <c r="EA69" s="188">
        <f>DZ69*Basicinfo!$AZ69/(Basicinfo!$AZ69+Basicinfo!$BA69)</f>
        <v>6.3254930187225025</v>
      </c>
      <c r="EB69" s="188">
        <f>DZ69*Basicinfo!$BC69/(Basicinfo!$BB69+Basicinfo!$BC69)</f>
        <v>5.6877008111075087</v>
      </c>
      <c r="EC69" s="188">
        <f t="shared" si="64"/>
        <v>17.362499889792801</v>
      </c>
      <c r="ED69" s="188">
        <f>EC69*Basicinfo!$AZ69/(Basicinfo!$AZ69+Basicinfo!$BA69)</f>
        <v>9.0219335388277777</v>
      </c>
      <c r="EE69" s="188">
        <f>EC69*Basicinfo!$BC69/(Basicinfo!$BB69+Basicinfo!$BC69)</f>
        <v>8.1122623255874178</v>
      </c>
      <c r="EF69" s="190">
        <f>(Basicinfo!BP69-BL69/100)*Intermediate!X69/10</f>
        <v>45.252817117069974</v>
      </c>
      <c r="EG69" s="191">
        <f>(Basicinfo!BQ69-BM69/100)*Intermediate!X69/10</f>
        <v>115.09574891475548</v>
      </c>
      <c r="EH69" s="197">
        <f>IF(AU69=0,0,$BS69*((Basicinfo!$P69+Basicinfo!$Q69)*Intermediate!$AT69*1000+$AW69*3600*24*365)/1000000*Basicinfo!AZ69/(Basicinfo!$AZ69+Basicinfo!$BA69))</f>
        <v>7.2126372264082876</v>
      </c>
      <c r="EI69" s="197">
        <f>IF(AU69=0,0,$BS69*((Basicinfo!$P69+Basicinfo!$Q69)*Intermediate!$AT69*1000+$AW69*3600*24*365)/1000000*Basicinfo!BA69/(Basicinfo!$AZ69+Basicinfo!$BA69))</f>
        <v>6.6679142662045088</v>
      </c>
      <c r="EJ69" s="198">
        <f>IF(AU69=0,0,$BS69*($AT69*$X69*1000)/1000000*Basicinfo!AZ69/(Basicinfo!$AZ69+Basicinfo!$BA69))</f>
        <v>1.176550719227895</v>
      </c>
      <c r="EK69" s="198">
        <f>IF(AU69=0,0,$BS69*($AT69*$X69*1000)/1000000*Basicinfo!BA69/(Basicinfo!$AZ69+Basicinfo!$BA69))</f>
        <v>1.0876935965847183</v>
      </c>
      <c r="EL69" s="147">
        <f>Parameters!$C$150/Basicinfo!$AV69*100</f>
        <v>8.699037542206936E-2</v>
      </c>
      <c r="EM69" s="147">
        <f>Parameters!$C$151/Basicinfo!$AV69*100</f>
        <v>0.17398075084413872</v>
      </c>
      <c r="EN69" s="147">
        <f>(Parameters!$C$150+Parameters!$C$151)/Intermediate!$BB69*100</f>
        <v>0.37919693896122103</v>
      </c>
      <c r="EO69" s="193">
        <f>IF(EN69=0,0,(1/(1+Parameters!$C$116*$BB69^Parameters!$C$120)*Basicinfo!$AH69/Basicinfo!$G69+1/(1+Parameters!$C$117*$BB69^Parameters!$C$121)*Basicinfo!$AI69/Basicinfo!$G69)*(EN69)^Parameters!$C$124+(1/(1+Parameters!$C$118*$BB69^Parameters!$C$122)*Basicinfo!$AJ69/Basicinfo!AW69+1/(1+Parameters!$C$119*$BB69^Parameters!$C$123)*Basicinfo!$AK69/Basicinfo!$G69)*(EN69)^Parameters!$C$125)</f>
        <v>0.10775681097364673</v>
      </c>
      <c r="EP69" s="199">
        <f>EL69*($AT69*Basicinfo!$P69*1000+$AW69*3600*24*365)/1000000</f>
        <v>2.3144068510553732</v>
      </c>
      <c r="EQ69" s="199">
        <f>EM69*($AT69*Basicinfo!$P69*1000+$AW69*3600*24*365)/1000000</f>
        <v>4.6288137021107465</v>
      </c>
      <c r="ER69" s="199">
        <f t="shared" si="65"/>
        <v>0.37799245168961887</v>
      </c>
      <c r="ES69" s="199">
        <f t="shared" si="66"/>
        <v>0.75598490337923774</v>
      </c>
      <c r="ET69" s="181">
        <f t="shared" si="48"/>
        <v>10.884026161306629</v>
      </c>
      <c r="EU69" s="147">
        <f>Intermediate!F69*(Parameters!$C$150)/1000*100</f>
        <v>8.1250793543547889E-2</v>
      </c>
      <c r="EV69" s="147">
        <f>Intermediate!F69*(Parameters!$C$151)/1000*100</f>
        <v>0.16250158708709578</v>
      </c>
      <c r="EW69" s="181">
        <f>'Local emissions'!$S69*Basicinfo!AZ69/(Basicinfo!$AZ69+Basicinfo!$BA69)-Intermediate!EU69</f>
        <v>0.20626100919915055</v>
      </c>
      <c r="EX69" s="147">
        <f>'Local emissions'!$S69*Basicinfo!BA69/(Basicinfo!$AZ69+Basicinfo!$BA69)-Intermediate!EV69</f>
        <v>0.10329634382657166</v>
      </c>
      <c r="EY69" s="188">
        <f t="shared" si="49"/>
        <v>4.8982303753529148</v>
      </c>
      <c r="EZ69" s="188">
        <f t="shared" si="50"/>
        <v>2.0391005640937623</v>
      </c>
      <c r="FA69" s="188">
        <f t="shared" si="51"/>
        <v>0.79855826753827608</v>
      </c>
      <c r="FB69" s="181">
        <f t="shared" si="52"/>
        <v>0.33170869320548058</v>
      </c>
      <c r="FC69" s="181">
        <f>'Local emissions'!Y69-Intermediate!ET69</f>
        <v>38.043098148610802</v>
      </c>
      <c r="FD69" s="188">
        <f t="shared" si="53"/>
        <v>9.026129761877046</v>
      </c>
      <c r="FE69" s="188">
        <f t="shared" si="54"/>
        <v>7.915724531927574</v>
      </c>
      <c r="FF69" s="181">
        <f t="shared" si="55"/>
        <v>0.71861896621315779</v>
      </c>
      <c r="FG69" s="201">
        <f t="shared" si="56"/>
        <v>0.64616143989252017</v>
      </c>
      <c r="FH69" s="181">
        <f t="shared" si="57"/>
        <v>19.736463448700508</v>
      </c>
      <c r="FJ69" s="147">
        <f>AVERAGE(Parameters!$C$132:$C$134)*'Local emissions'!J69*3600*24*365/1000000</f>
        <v>5.0502729539613295E-2</v>
      </c>
      <c r="FK69" s="147">
        <f>'Local emissions'!AJ69+CT69*BJ69/100*Intermediate!X69*100/1000000</f>
        <v>0.28099962880895279</v>
      </c>
      <c r="FL69" s="31">
        <f>(Parameters!$C$18*(Basicinfo!AH69+Basicinfo!AI69)+Parameters!$C$19*Basicinfo!AJ69+Parameters!$C$20*Basicinfo!AK69)/Basicinfo!G69</f>
        <v>2.5000000000000001E-2</v>
      </c>
      <c r="FM69" s="181">
        <f t="shared" si="32"/>
        <v>0.78140732210987562</v>
      </c>
    </row>
    <row r="70" spans="1:169">
      <c r="A70" s="39" t="str">
        <f>Basicinfo!A70</f>
        <v>Sölkbach</v>
      </c>
      <c r="B70" s="63">
        <f>Basicinfo!B70</f>
        <v>1410</v>
      </c>
      <c r="C70" s="63">
        <f>Basicinfo!C70</f>
        <v>4060</v>
      </c>
      <c r="D70" s="61">
        <f>Basicinfo!U70*Basicinfo!V70/1000+Basicinfo!Y70</f>
        <v>1.1840820556243972</v>
      </c>
      <c r="E70" s="19">
        <f>Basicinfo!W70*Basicinfo!X70/1000+Basicinfo!Z70</f>
        <v>0</v>
      </c>
      <c r="F70" s="19">
        <f t="shared" si="43"/>
        <v>1.1840820556243972</v>
      </c>
      <c r="G70" s="19">
        <f>SUM(Basicinfo!H70:L70)</f>
        <v>5.6317620975098435E-4</v>
      </c>
      <c r="H70" s="19">
        <f>IF(Basicinfo!N70&lt;Parameters!$C$68,Parameters!$C$69,Basicinfo!BS70/(Basicinfo!N70*100))</f>
        <v>8.1649536909218341</v>
      </c>
      <c r="I70" s="19">
        <f>IF(Basicinfo!N70=0,0,Basicinfo!BU70*(1-Basicinfo!BX70/100))</f>
        <v>467.53901045320129</v>
      </c>
      <c r="J70" s="19">
        <f>IF(Basicinfo!N70=0,0,Basicinfo!BU70*Basicinfo!BX70/100)</f>
        <v>431.5744711875704</v>
      </c>
      <c r="K70" s="19">
        <f>IF(Basicinfo!N70=0,0,Basicinfo!BT70-Basicinfo!BU70)</f>
        <v>0</v>
      </c>
      <c r="L70" s="27">
        <f>Basicinfo!BV70*Basicinfo!BW70/100</f>
        <v>9.5099999999999909</v>
      </c>
      <c r="M70" s="27">
        <f>Basicinfo!BV70-Intermediate!L70</f>
        <v>9.5099999999999909</v>
      </c>
      <c r="N70" s="73">
        <f>Basicinfo!BS70-SUM(I70:K70)-Basicinfo!BV70</f>
        <v>0</v>
      </c>
      <c r="O70" s="19">
        <f>IF(Basicinfo!AH70+Basicinfo!AI70+Basicinfo!AJ70+Basicinfo!AK70=0,0,N70*(Basicinfo!AH70+Basicinfo!AI70)/SUM(Basicinfo!AH70:AK70))</f>
        <v>0</v>
      </c>
      <c r="P70" s="73">
        <f t="shared" si="67"/>
        <v>0</v>
      </c>
      <c r="Q70" s="19">
        <f>IF(Basicinfo!BS70=0,Basicinfo!N70,IF(H70&gt;Parameters!$C$70,Parameters!$C$64*(Parameters!$C$65*Parameters!$C$70)^(Parameters!$C$66-Parameters!$C$67*LOG(Parameters!$C$65*Parameters!$C$70,10))/100*Basicinfo!N70,Parameters!$C$64*(Parameters!$C$65*H70)^(Parameters!$C$66-Parameters!$C$67*LOG(Parameters!$C$65*H70,10))/100*Basicinfo!N70))</f>
        <v>0.20898956393241896</v>
      </c>
      <c r="R70" s="19">
        <f>IF(Basicinfo!BS70=0,Q70*(1-Basicinfo!BX70/100),IF(H70&lt;Parameters!$C$75,Q70*Basicinfo!BU70/Basicinfo!BS70*(1-Basicinfo!BX70/100)*(-Parameters!$C$74+Parameters!$C$73*LN(H70*100)),Q70*Basicinfo!BU70/Basicinfo!BS70*(1-Basicinfo!BX70/100)))</f>
        <v>5.0032525702347126E-2</v>
      </c>
      <c r="S70" s="19">
        <f>IF(Basicinfo!BS70=0,Q70*Basicinfo!BX70/100,Q70*Basicinfo!BU70/Basicinfo!BS70*Basicinfo!BX70/100)</f>
        <v>9.8236871153713282E-2</v>
      </c>
      <c r="T70" s="19">
        <f>IF(Basicinfo!BS70=0,0,IF(H70&lt;Parameters!$C$75,Q70*K70/Basicinfo!BS70*(-Parameters!$C$74+Parameters!$C$73*LN(H70*100)),Q70*K70/Basicinfo!BS70))</f>
        <v>0</v>
      </c>
      <c r="U70" s="19">
        <f t="shared" si="68"/>
        <v>6.0720167076358564E-2</v>
      </c>
      <c r="V70" s="19">
        <f>IF(Basicinfo!AL70&gt;Parameters!$C$14,Basicinfo!Q70,0)</f>
        <v>3.4528104206735</v>
      </c>
      <c r="W70" s="19">
        <f>IF(Basicinfo!AL70&gt;Parameters!$C$14,0,Basicinfo!Q70)</f>
        <v>0</v>
      </c>
      <c r="X70" s="19">
        <f>G70+Basicinfo!M70</f>
        <v>18.800138878806312</v>
      </c>
      <c r="Y70" s="19">
        <f>IF(Basicinfo!G70-F70-Q70-V70-Basicinfo!O70-Basicinfo!R70-Basicinfo!S70&lt;0,0,Basicinfo!G70-F70-Q70-V70-Basicinfo!O70-Basicinfo!R70-Basicinfo!S70)</f>
        <v>152.75410251920965</v>
      </c>
      <c r="Z70" s="19">
        <f>Basicinfo!G70-F70-Basicinfo!BO70-Q70-Basicinfo!O70</f>
        <v>156.04113902956965</v>
      </c>
      <c r="AA70" s="53">
        <f>IF(Z70+Basicinfo!BO70-X70&gt;0,Z70+Basicinfo!BO70-X70,0)</f>
        <v>137.41299962963686</v>
      </c>
      <c r="AB70" s="56">
        <f>IF(Basicinfo!N70=0,0,Parameters!$C$71+Parameters!$C$72*Q70/Basicinfo!N70)</f>
        <v>0.28939068873281137</v>
      </c>
      <c r="AC70" s="43">
        <f>Basicinfo!AU70*AB70*R70/1000/86.4/0.365</f>
        <v>6.6806414168638247E-4</v>
      </c>
      <c r="AD70" s="43">
        <f>Basicinfo!AU70*AB70*S70/1000/86.4/0.365</f>
        <v>1.3117173296366776E-3</v>
      </c>
      <c r="AE70" s="43">
        <f>Basicinfo!AU70*AB70*T70/1000/86.4/0.365</f>
        <v>0</v>
      </c>
      <c r="AF70" s="43">
        <f>Basicinfo!AU70*AB70*U70/1000/86.4/0.365</f>
        <v>8.1077190750372696E-4</v>
      </c>
      <c r="AG70" s="43">
        <f>((Parameters!$C$80+Parameters!$C$81*Parameters!$C$89)/(Parameters!$C$82+Parameters!$C$89)/(Parameters!$C$90/100*Parameters!$C$91+(Parameters!$C$83+Parameters!$C$84*Parameters!$C$89)/(Parameters!$C$85+Parameters!$C$89)))-Parameters!$C$86+(Basicinfo!AU70-Parameters!$C$88)/Parameters!$C$87</f>
        <v>87.76574284743009</v>
      </c>
      <c r="AH70" s="43">
        <f>((Parameters!$C$80+Parameters!$C$81*Parameters!$C$89)/(Parameters!$C$82+Parameters!$C$89)/(Basicinfo!BY70/100*Parameters!$C$91+(Parameters!$C$83+Parameters!$C$84*Parameters!$C$89)/(Parameters!$C$85+Parameters!$C$89)))-Parameters!$C$86+(Basicinfo!AU70-Parameters!$C$88)/Parameters!$C$87</f>
        <v>69.962860980814511</v>
      </c>
      <c r="AI70" s="43">
        <f>Basicinfo!AU70^Parameters!$C$79*Parameters!$C$78*AH70/AG70</f>
        <v>77.257961315785366</v>
      </c>
      <c r="AJ70" s="43">
        <f>(J70*Parameters!$C$92/1000+Parameters!$C$94/100*S70*100*Parameters!$C$93/1000*86400*Parameters!$C$95/24)/86400</f>
        <v>6.5263429911234776E-4</v>
      </c>
      <c r="AK70" s="43">
        <f t="shared" si="44"/>
        <v>1.0143618508812013E-3</v>
      </c>
      <c r="AL70" s="43">
        <f>(K70*Parameters!$C$92/1000+Parameters!$C$94/100*T70*100*Parameters!$C$93/1000*86400*Parameters!$C$95/24)/86400</f>
        <v>0</v>
      </c>
      <c r="AM70" s="43">
        <f>(Intermediate!N70+Basicinfo!BV70-Intermediate!L70)*Parameters!$C$92/1000/86400</f>
        <v>1.4309027777777765E-5</v>
      </c>
      <c r="AN70" s="43">
        <f t="shared" si="45"/>
        <v>1.5857791134813435E-3</v>
      </c>
      <c r="AO70" s="43">
        <f t="shared" si="69"/>
        <v>1.0143618508812013E-3</v>
      </c>
      <c r="AP70" s="43">
        <f t="shared" si="70"/>
        <v>8.2508093528150476E-4</v>
      </c>
      <c r="AQ70" s="43">
        <f t="shared" si="58"/>
        <v>2.5075069278490884E-3</v>
      </c>
      <c r="AR70" s="61">
        <f>(Basicinfo!AU70-Basicinfo!AY70)*F70/1000/86.4/0.365</f>
        <v>3.4384814672907361E-2</v>
      </c>
      <c r="AS70" s="19">
        <f>IF(Basicinfo!AP70-Basicinfo!CB70-Basicinfo!CG70&lt;0,0,(Basicinfo!AP70-Basicinfo!CB70-Basicinfo!CG70)/Basicinfo!G70*1000)</f>
        <v>22.942483711670448</v>
      </c>
      <c r="AT70" s="19">
        <f>Parameters!$C$3*((AS70*86.4*0.365)^Parameters!$C$4)</f>
        <v>155.79967750399609</v>
      </c>
      <c r="AU70" s="19">
        <f>IF(AT70/86.4/0.365*(Basicinfo!G70/1000)-AN70&lt;0,0,AT70/86.4/0.365*(Basicinfo!G70/1000)-AN70)</f>
        <v>0.77704805874069927</v>
      </c>
      <c r="AV70" s="19">
        <f>IF(Basicinfo!AU70&gt;Parameters!$C$13,Parameters!$C$11*(Basicinfo!AU70-Parameters!$C$13)^Parameters!$C$12,0)</f>
        <v>195.81132995508401</v>
      </c>
      <c r="AW70" s="19">
        <f>IF(AV70*V70/1000/86.4/0.365&gt;Basicinfo!AP70*Parameters!$C$15,Basicinfo!AP70*Parameters!$C$15,AV70*V70/1000/86.4/0.365)</f>
        <v>2.1438971351942258E-2</v>
      </c>
      <c r="AX70" s="19">
        <f>Basicinfo!AU70-Basicinfo!AW70</f>
        <v>510.27226234014313</v>
      </c>
      <c r="AY70" s="19">
        <f>Parameters!$C$56*AX70+Parameters!$C$57*Basicinfo!AW70</f>
        <v>349.61721204838585</v>
      </c>
      <c r="AZ70" s="19">
        <f>AY70*Basicinfo!BO70/1000/86.4/0.365</f>
        <v>1.9068359423369179E-3</v>
      </c>
      <c r="BA70" s="19">
        <f>IF(Basicinfo!AP70-AQ70-AR70-AU70-AW70-AZ70-Basicinfo!CB70-Basicinfo!CG70&lt;0,0,Basicinfo!AP70-AQ70-AR70-AU70-AW70-AZ70-Basicinfo!CB70-Basicinfo!CG70)</f>
        <v>2.7785917210840148</v>
      </c>
      <c r="BB70" s="53">
        <f t="shared" si="59"/>
        <v>561.55491469144249</v>
      </c>
      <c r="BC70" s="56">
        <f>IF(G70=0,0,((Basicinfo!H70*Basicinfo!BE70+Basicinfo!I70*Basicinfo!BF70+Basicinfo!J70*Basicinfo!BG70+Basicinfo!K70*Basicinfo!BH70+Basicinfo!L70*Basicinfo!BI70)*(1-Basicinfo!BN70/G70*Parameters!$C$26/100)/G70)*Basicinfo!BM70)</f>
        <v>0.51033867968141089</v>
      </c>
      <c r="BD70" s="43">
        <f>IF(Basicinfo!AW70*Parameters!$C$39-Parameters!$C$40&lt;0,0.001,(Basicinfo!AW70*Parameters!$C$39-Parameters!$C$40)/(Basicinfo!AX70*Parameters!$C$39-Parameters!$C$40))</f>
        <v>1.1960092404421112</v>
      </c>
      <c r="BE70" s="43">
        <f>(BC70*G70*100+Basicinfo!BJ70*Basicinfo!M70*100)*Parameters!$C$29*BD70</f>
        <v>187.34016408206134</v>
      </c>
      <c r="BF70" s="43">
        <f>(Basicinfo!BK70*Basicinfo!P70*100)*BD70*Parameters!$C$29</f>
        <v>736.19758473189859</v>
      </c>
      <c r="BG70" s="43">
        <f>Parameters!$C$27*(V70+W70)*100</f>
        <v>69.056208413470003</v>
      </c>
      <c r="BH70" s="43">
        <f>Parameters!$C$28*Basicinfo!R70*100</f>
        <v>0</v>
      </c>
      <c r="BI70" s="43">
        <f t="shared" si="46"/>
        <v>805.2537931453686</v>
      </c>
      <c r="BJ70" s="43">
        <f>IF(Basicinfo!AM70&lt;Parameters!$C$33,0,Parameters!$C$30*(((Basicinfo!AM70-Parameters!$C$33)^Parameters!$C$31)*(((G70-Basicinfo!BN70)/Basicinfo!G70*100+Parameters!$C$34))^Parameters!$C$32))</f>
        <v>1.484657497943104</v>
      </c>
      <c r="BK70" s="58">
        <f t="shared" si="47"/>
        <v>808.03515293807186</v>
      </c>
      <c r="BL70" s="61">
        <f>Basicinfo!AZ70+Basicinfo!BA70</f>
        <v>1037.7193941372791</v>
      </c>
      <c r="BM70" s="19">
        <f>Basicinfo!BB70+Basicinfo!BC70</f>
        <v>1512.3924619361801</v>
      </c>
      <c r="BN70" s="172">
        <f>IF(Basicinfo!AO70=0,0,IF(Basicinfo!AO70="NA",1,IF(OR(Basicinfo!AO70="SA",Basicinfo!AN70="S"),3,IF(Basicinfo!AN70="N",1,IF(Basicinfo!AO70="ZA",2,0)))))</f>
        <v>3</v>
      </c>
      <c r="BO70" s="27">
        <f>IF($BN70=1,(BL70)*(1+Parameters!$C$21*Parameters!$C$22-Parameters!$C$22*Basicinfo!$AL70),IF($BN70=2,(BL70)*(1+Parameters!$C$21*Parameters!$C$23-Parameters!$C$23*Basicinfo!$AL70),IF($BN70=3,(BL70)*(1+Parameters!$C$21*Parameters!$C$24-Parameters!$C$24*Basicinfo!$AL70),BL70)))</f>
        <v>558.19916998141059</v>
      </c>
      <c r="BP70" s="27">
        <f>IF($BN70=1,(BM70)*(1+Parameters!$C$21*Parameters!$C$22-Parameters!$C$22*Basicinfo!$AL70),IF($BN70=2,(BM70)*(1+Parameters!$C$21*Parameters!$C$23-Parameters!$C$23*Basicinfo!$AL70),IF($BN70=3,(BM70)*(1+Parameters!$C$21*Parameters!$C$24-Parameters!$C$24*Basicinfo!$AL70),BM70)))</f>
        <v>813.53034520547578</v>
      </c>
      <c r="BQ70" s="27">
        <f>IF(Basicinfo!AU70=0,0,IF(G70+Basicinfo!M70=0,0,(Parameters!$C$16+BO70/Basicinfo!AU70)*G70+(Parameters!$C$17+BO70/Basicinfo!AU70)*Basicinfo!M70)/(G70+Basicinfo!M70))</f>
        <v>0.38362912577465613</v>
      </c>
      <c r="BR70" s="27">
        <f>IF(Basicinfo!AU70=0,0,IF(G70+Basicinfo!M70=0,0,(Parameters!$C$16+BP70/Basicinfo!AU70)*G70+(Parameters!$C$17+BP70/Basicinfo!AU70)*Basicinfo!M70)/(G70+Basicinfo!M70))</f>
        <v>0.55910445106103746</v>
      </c>
      <c r="BS70" s="27">
        <f>IF(Basicinfo!AU70=0,0,BO70/Basicinfo!AU70)</f>
        <v>0.38362013898663222</v>
      </c>
      <c r="BT70" s="27">
        <f>IF(Basicinfo!AU70=0,0,BP70/Basicinfo!AU70)</f>
        <v>0.55909546427301349</v>
      </c>
      <c r="BU70" s="27">
        <f>IF(SUM(G70,Basicinfo!M70,Basicinfo!P70,W70)=0,0,(BQ70*(G70+Basicinfo!M70)+BS70*(Basicinfo!P70+W70))/SUM(G70,Basicinfo!M70,Basicinfo!P70,W70))</f>
        <v>0.38362125170006955</v>
      </c>
      <c r="BV70" s="19">
        <f>IF(Basicinfo!BR70/Parameters!$C$10&gt;1,1,Basicinfo!BR70/Parameters!$C$10)</f>
        <v>0.47283335317001346</v>
      </c>
      <c r="BW70" s="19">
        <f>Parameters!$C$5+Parameters!$C$6*EXP(BV70*Parameters!$C$8*Parameters!$C$7)</f>
        <v>3.5452486738350247E-2</v>
      </c>
      <c r="BX70" s="19">
        <f>Parameters!$C$5+Parameters!$C$6*EXP(BV70*Parameters!$C$9*Parameters!$C$7)</f>
        <v>3.5217427781820194E-2</v>
      </c>
      <c r="BY70" s="19">
        <f>IF(Basicinfo!AH70+Basicinfo!AI70+Basicinfo!AJ70+Basicinfo!AK70=0,0,(Parameters!$C$18*(Basicinfo!AH70+Basicinfo!AI70)+Parameters!$C$19*Basicinfo!AJ70+Parameters!$C$20*Basicinfo!AK70)/(Basicinfo!AH70+Basicinfo!AI70+Basicinfo!AJ70+Basicinfo!AK70))</f>
        <v>2.5024165552924811E-2</v>
      </c>
      <c r="BZ70" s="19">
        <f>IF(Basicinfo!AJ70+Basicinfo!AK70=0,Parameters!$C$18,(Parameters!$C$19*Basicinfo!AJ70+Parameters!$C$20*Basicinfo!AK70)/(Basicinfo!AJ70+Basicinfo!AK70))</f>
        <v>2.5000000000000001E-2</v>
      </c>
      <c r="CA70" s="19">
        <f>IF(SUM(G70,Basicinfo!M70,Basicinfo!P70,W70)=0,0,(BW70*G70+BX70*Basicinfo!M70+BY70*Basicinfo!P70+BZ70*W70)/(SUM(G70,Basicinfo!M70,Basicinfo!P70,W70)))</f>
        <v>2.6286261382638329E-2</v>
      </c>
      <c r="CB70" s="19">
        <f>IF(Y70=0,Basicinfo!BP70,Basicinfo!BP70-(AU70*X70/Y70*Intermediate!BQ70*86400*365/1000000)*1000/(X70*100))</f>
        <v>37.259387082335358</v>
      </c>
      <c r="CC70" s="19">
        <f>IF(Y70=0,Basicinfo!BQ70,Basicinfo!BQ70-(AU70*Basicinfo!AV70/Basicinfo!AU70*X70/Y70*Intermediate!BR70*86400*365/1000000)*1000/(X70*100))</f>
        <v>51.709421500709581</v>
      </c>
      <c r="CD70" s="19">
        <f>IF(OR(Y70=0,AA70=0),BP70/100,BP70/100-(AU70*Basicinfo!AV70/Basicinfo!AU70*(Basicinfo!P70+W70)/Y70*Intermediate!BT70*86400*365/1000000+AW70*Basicinfo!AV70/Basicinfo!AU70*Intermediate!BT70*86400*365/1000000)*1000/(AA70*100))</f>
        <v>7.3633459728336152</v>
      </c>
      <c r="CE70" s="19">
        <f t="shared" si="60"/>
        <v>96325.031200509999</v>
      </c>
      <c r="CF70" s="19">
        <f t="shared" si="61"/>
        <v>101181.94574378736</v>
      </c>
      <c r="CG70" s="19">
        <f>IF(AY70=0,0,((CB70^Parameters!$C$58))/AY70*100)</f>
        <v>6.1938052408771211</v>
      </c>
      <c r="CH70" s="19">
        <f>IF(SUM(Basicinfo!AB70:AG70)=0,0,(Parameters!$C$59*Basicinfo!AB70+Parameters!$C$60*SUM(Basicinfo!AC70:AE70)+Parameters!$C$61*Basicinfo!AF70+Parameters!$C$62*Basicinfo!AG70)/SUM(Basicinfo!AB70:AG70))</f>
        <v>0.23717321301253955</v>
      </c>
      <c r="CI70" s="19">
        <f t="shared" si="31"/>
        <v>5</v>
      </c>
      <c r="CJ70" s="19">
        <f t="shared" si="62"/>
        <v>12.657365754480297</v>
      </c>
      <c r="CK70" s="19">
        <f t="shared" si="42"/>
        <v>2.2539853936520418</v>
      </c>
      <c r="CL70" s="19">
        <f>IF($BB70=0,0,$CJ70^Parameters!$C$58*100/$BB70)</f>
        <v>1.540279721989221</v>
      </c>
      <c r="CM70" s="19">
        <f>IF(CK70=0,0,(1/(1+Parameters!$C$116*BB70^Parameters!$C$120)*Basicinfo!AH70/Basicinfo!G70+1/(1+Parameters!$C$117*BB70^Parameters!$C$121)*Basicinfo!AI70/Basicinfo!G70)*(CK70)^Parameters!$C$124+(1/(1+Parameters!$C$118*BB70^Parameters!$C$122)*Basicinfo!AJ70/Basicinfo!G70+1/(1+Parameters!$C$119*BB70^Parameters!$C$123)*Basicinfo!AK70/Basicinfo!G70)*(CK70)^Parameters!$C$125)</f>
        <v>0.50274580923481826</v>
      </c>
      <c r="CN70" s="19">
        <f>IF(SUM(Basicinfo!AB70:AG70)=0,0,(Parameters!$C$128*Basicinfo!AB70+Parameters!$C$129*(SUM(Basicinfo!AC70:AE70))+Parameters!$C$130*Basicinfo!AF70+Parameters!$C$131*Basicinfo!AG70)/SUM(Basicinfo!AB70:AG70))</f>
        <v>5.1165185191795283E-2</v>
      </c>
      <c r="CO70" s="19">
        <f>IF(Basicinfo!AH70+Basicinfo!AI70+Basicinfo!AJ70+Basicinfo!AK70=0,0,(Parameters!$C$132*(Basicinfo!AH70+Basicinfo!AI70)+Parameters!$C$133*Basicinfo!AJ70+Parameters!$C$134*Basicinfo!AK70)/(Basicinfo!AH70+Basicinfo!AI70+Basicinfo!AJ70+Basicinfo!AK70))</f>
        <v>5.0000000000000001E-4</v>
      </c>
      <c r="CP70" s="19">
        <f>IF(Basicinfo!AJ70+Basicinfo!AK70=0,0,(Parameters!$C$133*Basicinfo!AJ70+Parameters!$C$134*Basicinfo!AK70)/(Basicinfo!AJ70+Basicinfo!AK70))</f>
        <v>5.0000000000000001E-4</v>
      </c>
      <c r="CQ70" s="19">
        <f>IF(Z70=0,0,(CN70*(Z70-AA70)+CO70*Basicinfo!P70+CP70*(Basicinfo!Q70+Basicinfo!R70))/Z70)</f>
        <v>6.5454395543996912E-3</v>
      </c>
      <c r="CR70" s="19">
        <f>IF(CK70=0,0,IF(AND((Basicinfo!AI70+Basicinfo!AK70)&gt;0,(CM70/CK70)&lt;Parameters!$C$135),CQ70*Parameters!$C$136,CQ70))</f>
        <v>1.6363598885999229E-2</v>
      </c>
      <c r="CS70" s="19">
        <f>IF(SUM(Basicinfo!AB70:AG70)=0,0,(Basicinfo!AB70*Parameters!$C$43+(Basicinfo!AC70+Basicinfo!AD70)*Parameters!$C$44+Basicinfo!AE70*Parameters!$C$45+(Basicinfo!AF70+Basicinfo!AG70)*Parameters!$C$46)/SUM(Basicinfo!AB70:AG70))</f>
        <v>12.534752106610069</v>
      </c>
      <c r="CT70" s="19">
        <f>(Parameters!$C$41*CS70+Parameters!$C$42)</f>
        <v>402.8544714874227</v>
      </c>
      <c r="CU70" s="19">
        <f>CT70+Basicinfo!BR70/(Parameters!$C$47*Parameters!$C$49*Parameters!$C$48*10000/1000000)</f>
        <v>569.38697323283623</v>
      </c>
      <c r="CV70" s="19">
        <f>IF(BK70/Basicinfo!G70&lt;Parameters!$C$35,Parameters!$C$35,Parameters!$C$37*(BK70/Basicinfo!G70)^Parameters!$C$38)</f>
        <v>3.5528092120240782</v>
      </c>
      <c r="CW70" s="19">
        <f>IF(BK70/Basicinfo!G70&lt;Parameters!$C$35,Parameters!$C$36,Parameters!$C$36*(BK70/Basicinfo!G70)^Parameters!$C$38)</f>
        <v>8.3491016482565854</v>
      </c>
      <c r="CX70" s="27">
        <f>IF(Basicinfo!AJ70+Basicinfo!AK70=0,0,(Parameters!$C$53*Basicinfo!AJ70+Parameters!$C$54*Basicinfo!AK70)/(Basicinfo!AJ70+Basicinfo!AK70))</f>
        <v>750</v>
      </c>
      <c r="CY70" s="56">
        <f>IF(Basicinfo!AU70*AB70=0,0,((Basicinfo!AZ70+Basicinfo!BA70)/Basicinfo!AU70+Parameters!$C$76/(Basicinfo!AU70*AB70)*100))</f>
        <v>1.6630898406931558</v>
      </c>
      <c r="CZ70" s="43">
        <f>IF(Basicinfo!AU70*AB70=0,0,(Parameters!$C$77)/(Basicinfo!AU70*AB70)*100)</f>
        <v>0.59370084526575384</v>
      </c>
      <c r="DA70" s="43">
        <f>IF(AD70+AJ70=0,0,((J70*Parameters!$C$96+Parameters!$C$94/100*S70*100*Parameters!$C$93/1000*86400*Parameters!$C$95/24*Parameters!$C$98)*AI70+AD70*CY70*86400*365)/((AD70+AJ70*AI70/365)*86400*365))</f>
        <v>10.256399820498215</v>
      </c>
      <c r="DB70" s="43">
        <f>IF(AD70+AJ70=0,0,((J70*Parameters!$C$97+Parameters!$C$94/100*S70*100*Parameters!$C$93/1000*86400*Parameters!$C$95/24*Parameters!$C$99)*AI70+AD70*CZ70*86400*365)/((AD70+AJ70*AI70/365)*86400*365))</f>
        <v>1.960890063177084</v>
      </c>
      <c r="DC70" s="42">
        <f>IF(AE70+AL70=0,0,((K70*Parameters!$C$96+Parameters!$C$94/100*T70*100*Parameters!$C$93/1000*86400*Parameters!$C$95/24*Parameters!$C$98)*365+AE70*CY70*86400*365)/((AE70+AL70)*86400*365))</f>
        <v>0</v>
      </c>
      <c r="DD70" s="42">
        <f>IF(AE70+AL70=0,0,((K70*Parameters!$C$97+Parameters!$C$94/100*T70*100*Parameters!$C$93/1000*86400*Parameters!$C$95/24*Parameters!$C$99)*365+AE70*CZ70*86400*365)/((AE70+AL70)*86400*365))</f>
        <v>0</v>
      </c>
      <c r="DE70" s="42">
        <f>IF(Basicinfo!AH70+Basicinfo!AI70+Basicinfo!AJ70+Basicinfo!AK70=0,0,((Basicinfo!AH70+Basicinfo!AI70)*Parameters!$C$107+(Basicinfo!AJ70+Basicinfo!AK70)*Parameters!$C$106)/(Basicinfo!AH70+Basicinfo!AI70+Basicinfo!AJ70+Basicinfo!AK70))</f>
        <v>50.096662211699247</v>
      </c>
      <c r="DF70" s="42">
        <f>IF(Basicinfo!AH70+Basicinfo!AI70+Basicinfo!AJ70+Basicinfo!AK70=0,0,((Basicinfo!AH70+Basicinfo!AI70)*Parameters!$C$109+(Basicinfo!AJ70+Basicinfo!AK70)*Parameters!$C$108)/(Basicinfo!AH70+Basicinfo!AI70+Basicinfo!AJ70+Basicinfo!AK70))</f>
        <v>50.096662211699247</v>
      </c>
      <c r="DG70" s="42">
        <f>Intermediate!AC70*Intermediate!CY70*(1-Parameters!$C$102/100*Basicinfo!BZ70/100)*(1-Parameters!$C$104/100*Basicinfo!CA70/100)*86400*365/1000000</f>
        <v>3.5038094464286414E-2</v>
      </c>
      <c r="DH70" s="42">
        <f>Intermediate!AC70*Intermediate!CZ70*(1-Parameters!$C$103/100*Basicinfo!BZ70/100)*(1-Parameters!$C$105/100*Basicinfo!CA70/100)*86400*365/1000000</f>
        <v>1.250813142558678E-2</v>
      </c>
      <c r="DI70" s="42">
        <f>(Intermediate!AK70*Intermediate!DA70+(Intermediate!AE70+Intermediate!AL70)*Intermediate!DC70)*86400*365/1000000</f>
        <v>0.32809110544228376</v>
      </c>
      <c r="DJ70" s="42">
        <f>(Intermediate!AK70*Intermediate!DB70+(Intermediate!AE70+Intermediate!AL70)*Intermediate!DD70)*86400*365/1000000</f>
        <v>6.2726746201213102E-2</v>
      </c>
      <c r="DK70" s="42">
        <f>((Basicinfo!AZ70+Basicinfo!BA70)*Intermediate!AB70+Parameters!$C$76*100)/1000*Intermediate!U70*(1-Intermediate!DE70/100)+(1-Parameters!$C$110/100)*M70*Parameters!$C$100*(1-DE70/100)*365/1000000+(1-Parameters!$C$112/100)*P70*Parameters!$C$96*365/1000000+(1-Parameters!$C$112/100)*O70*Parameters!$C$96*(1-DE70/100)*365/1000000</f>
        <v>3.5251234935589432E-2</v>
      </c>
      <c r="DL70" s="42">
        <f>Parameters!$C$77*100/1000*Intermediate!U70*(1-Intermediate!DF70/100)+(1-Parameters!$C$111/100)*M70*Parameters!$C$101*(1-DF70/100)*365/1000000+(1-Parameters!$C$113/100)*P70*Parameters!$C$97*365/1000000+(1-Parameters!$C$113/100)*O70*Parameters!$C$97*(1-DF70/100)*365/1000000</f>
        <v>9.4493738223016856E-3</v>
      </c>
      <c r="DM70" s="31"/>
      <c r="DN70" s="31"/>
      <c r="DO70" s="31"/>
      <c r="DP70" s="31"/>
      <c r="DQ70" s="31"/>
      <c r="DR70" s="31"/>
      <c r="DS70" s="31"/>
      <c r="DT70" s="188">
        <f>BO70*(Basicinfo!$P70+Basicinfo!$Q70)/1000</f>
        <v>76.189320703445901</v>
      </c>
      <c r="DU70" s="188">
        <f>DT70*Basicinfo!$AZ70/(Basicinfo!$AZ70+Basicinfo!$BA70)</f>
        <v>39.604970505264554</v>
      </c>
      <c r="DV70" s="188">
        <f>DT70*Basicinfo!$BC70/(Basicinfo!$BB70+Basicinfo!$BC70)</f>
        <v>35.598030743967115</v>
      </c>
      <c r="DW70" s="188">
        <f>BP70*(Basicinfo!$P70+Basicinfo!$Q70)/1000</f>
        <v>111.03980031878086</v>
      </c>
      <c r="DX70" s="188">
        <f>DW70*Basicinfo!$BB70/(Basicinfo!$BB70+Basicinfo!$BC70)</f>
        <v>59.158536789243271</v>
      </c>
      <c r="DY70" s="188">
        <f>DW70*Basicinfo!$BC70/(Basicinfo!$BB70+Basicinfo!$BC70)</f>
        <v>51.881263529537591</v>
      </c>
      <c r="DZ70" s="188">
        <f t="shared" si="63"/>
        <v>10.49422191768493</v>
      </c>
      <c r="EA70" s="188">
        <f>DZ70*Basicinfo!$AZ70/(Basicinfo!$AZ70+Basicinfo!$BA70)</f>
        <v>5.4551391938951177</v>
      </c>
      <c r="EB70" s="188">
        <f>DZ70*Basicinfo!$BC70/(Basicinfo!$BB70+Basicinfo!$BC70)</f>
        <v>4.9032283135038597</v>
      </c>
      <c r="EC70" s="188">
        <f t="shared" si="64"/>
        <v>15.294483471986185</v>
      </c>
      <c r="ED70" s="188">
        <f>EC70*Basicinfo!$AZ70/(Basicinfo!$AZ70+Basicinfo!$BA70)</f>
        <v>7.9504261385791919</v>
      </c>
      <c r="EE70" s="188">
        <f>EC70*Basicinfo!$BC70/(Basicinfo!$BB70+Basicinfo!$BC70)</f>
        <v>7.1460604691312932</v>
      </c>
      <c r="EF70" s="190">
        <f>(Basicinfo!BP70-BL70/100)*Intermediate!X70/10</f>
        <v>51.69589877131169</v>
      </c>
      <c r="EG70" s="191">
        <f>(Basicinfo!BQ70-BM70/100)*Intermediate!X70/10</f>
        <v>70.234248175465623</v>
      </c>
      <c r="EH70" s="197">
        <f>IF(AU70=0,0,$BS70*((Basicinfo!$P70+Basicinfo!$Q70)*Intermediate!$AT70*1000+$AW70*3600*24*365)/1000000*Basicinfo!AZ70/(Basicinfo!$AZ70+Basicinfo!$BA70))</f>
        <v>4.3754353476875147</v>
      </c>
      <c r="EI70" s="197">
        <f>IF(AU70=0,0,$BS70*((Basicinfo!$P70+Basicinfo!$Q70)*Intermediate!$AT70*1000+$AW70*3600*24*365)/1000000*Basicinfo!BA70/(Basicinfo!$AZ70+Basicinfo!$BA70))</f>
        <v>4.0417265052128624</v>
      </c>
      <c r="EJ70" s="198">
        <f>IF(AU70=0,0,$BS70*($AT70*$X70*1000)/1000000*Basicinfo!AZ70/(Basicinfo!$AZ70+Basicinfo!$BA70))</f>
        <v>0.58409649869141922</v>
      </c>
      <c r="EK70" s="198">
        <f>IF(AU70=0,0,$BS70*($AT70*$X70*1000)/1000000*Basicinfo!BA70/(Basicinfo!$AZ70+Basicinfo!$BA70))</f>
        <v>0.53954820783966917</v>
      </c>
      <c r="EL70" s="147">
        <f>Parameters!$C$150/Basicinfo!$AV70*100</f>
        <v>7.9755461459983218E-2</v>
      </c>
      <c r="EM70" s="147">
        <f>Parameters!$C$151/Basicinfo!$AV70*100</f>
        <v>0.15951092291996644</v>
      </c>
      <c r="EN70" s="147">
        <f>(Parameters!$C$150+Parameters!$C$151)/Intermediate!$BB70*100</f>
        <v>0.53423092230408309</v>
      </c>
      <c r="EO70" s="193">
        <f>IF(EN70=0,0,(1/(1+Parameters!$C$116*$BB70^Parameters!$C$120)*Basicinfo!$AH70/Basicinfo!$G70+1/(1+Parameters!$C$117*$BB70^Parameters!$C$121)*Basicinfo!$AI70/Basicinfo!$G70)*(EN70)^Parameters!$C$124+(1/(1+Parameters!$C$118*$BB70^Parameters!$C$122)*Basicinfo!$AJ70/Basicinfo!AW70+1/(1+Parameters!$C$119*$BB70^Parameters!$C$123)*Basicinfo!$AK70/Basicinfo!$G70)*(EN70)^Parameters!$C$125)</f>
        <v>0.14824930645803458</v>
      </c>
      <c r="EP70" s="199">
        <f>EL70*($AT70*Basicinfo!$P70*1000+$AW70*3600*24*365)/1000000</f>
        <v>1.707042069443744</v>
      </c>
      <c r="EQ70" s="199">
        <f>EM70*($AT70*Basicinfo!$P70*1000+$AW70*3600*24*365)/1000000</f>
        <v>3.4140841388874881</v>
      </c>
      <c r="ER70" s="199">
        <f t="shared" si="65"/>
        <v>0.23360817897408975</v>
      </c>
      <c r="ES70" s="199">
        <f t="shared" si="66"/>
        <v>0.46721635794817951</v>
      </c>
      <c r="ET70" s="181">
        <f t="shared" si="48"/>
        <v>12.990444585434275</v>
      </c>
      <c r="EU70" s="147">
        <f>Intermediate!F70*(Parameters!$C$150)/1000*100</f>
        <v>0.11840820556243972</v>
      </c>
      <c r="EV70" s="147">
        <f>Intermediate!F70*(Parameters!$C$151)/1000*100</f>
        <v>0.23681641112487944</v>
      </c>
      <c r="EW70" s="181">
        <f>'Local emissions'!$S70*Basicinfo!AZ70/(Basicinfo!$AZ70+Basicinfo!$BA70)-Intermediate!EU70</f>
        <v>0.22517076861770605</v>
      </c>
      <c r="EX70" s="147">
        <f>'Local emissions'!$S70*Basicinfo!BA70/(Basicinfo!$AZ70+Basicinfo!$BA70)-Intermediate!EV70</f>
        <v>8.0558235334395711E-2</v>
      </c>
      <c r="EY70" s="188">
        <f t="shared" si="49"/>
        <v>2.6683932782437707</v>
      </c>
      <c r="EZ70" s="188">
        <f t="shared" si="50"/>
        <v>0.62764236632537429</v>
      </c>
      <c r="FA70" s="188">
        <f t="shared" si="51"/>
        <v>0.35048831971732947</v>
      </c>
      <c r="FB70" s="181">
        <f t="shared" si="52"/>
        <v>7.2331849891489663E-2</v>
      </c>
      <c r="FC70" s="181">
        <f>'Local emissions'!Y70-Intermediate!ET70</f>
        <v>31.080473035545261</v>
      </c>
      <c r="FD70" s="188">
        <f t="shared" si="53"/>
        <v>9.3538639634152769</v>
      </c>
      <c r="FE70" s="188">
        <f t="shared" si="54"/>
        <v>8.2032164357660839</v>
      </c>
      <c r="FF70" s="181">
        <f t="shared" si="55"/>
        <v>0.62854161535797892</v>
      </c>
      <c r="FG70" s="201">
        <f t="shared" si="56"/>
        <v>0.56495039541569347</v>
      </c>
      <c r="FH70" s="181">
        <f t="shared" si="57"/>
        <v>12.329900625590227</v>
      </c>
      <c r="FJ70" s="147">
        <f>AVERAGE(Parameters!$C$132:$C$134)*'Local emissions'!J70*3600*24*365/1000000</f>
        <v>4.3812834258052755E-2</v>
      </c>
      <c r="FK70" s="147">
        <f>'Local emissions'!AJ70+CT70*BJ70/100*Intermediate!X70*100/1000000</f>
        <v>0.39432544964246324</v>
      </c>
      <c r="FL70" s="31">
        <f>(Parameters!$C$18*(Basicinfo!AH70+Basicinfo!AI70)+Parameters!$C$19*Basicinfo!AJ70+Parameters!$C$20*Basicinfo!AK70)/Basicinfo!G70</f>
        <v>2.5024165552924818E-2</v>
      </c>
      <c r="FM70" s="181">
        <f t="shared" si="32"/>
        <v>0.6301356894151825</v>
      </c>
    </row>
    <row r="71" spans="1:169">
      <c r="A71" s="39" t="str">
        <f>Basicinfo!A71</f>
        <v>Salza</v>
      </c>
      <c r="B71" s="63">
        <f>Basicinfo!B71</f>
        <v>1420</v>
      </c>
      <c r="C71" s="63">
        <f>Basicinfo!C71</f>
        <v>4060</v>
      </c>
      <c r="D71" s="61">
        <f>Basicinfo!U71*Basicinfo!V71/1000+Basicinfo!Y71</f>
        <v>1.307425446634459</v>
      </c>
      <c r="E71" s="19">
        <f>Basicinfo!W71*Basicinfo!X71/1000+Basicinfo!Z71</f>
        <v>0</v>
      </c>
      <c r="F71" s="19">
        <f t="shared" si="43"/>
        <v>1.307425446634459</v>
      </c>
      <c r="G71" s="19">
        <f>SUM(Basicinfo!H71:L71)</f>
        <v>0.27815307706192965</v>
      </c>
      <c r="H71" s="19">
        <f>IF(Basicinfo!N71&lt;Parameters!$C$68,Parameters!$C$69,Basicinfo!BS71/(Basicinfo!N71*100))</f>
        <v>19.041736038808985</v>
      </c>
      <c r="I71" s="19">
        <f>IF(Basicinfo!N71=0,0,Basicinfo!BU71*(1-Basicinfo!BX71/100))</f>
        <v>3247.0088438442367</v>
      </c>
      <c r="J71" s="19">
        <f>IF(Basicinfo!N71=0,0,Basicinfo!BU71*Basicinfo!BX71/100)</f>
        <v>2997.2389327792953</v>
      </c>
      <c r="K71" s="19">
        <f>IF(Basicinfo!N71=0,0,Basicinfo!BT71-Basicinfo!BU71)</f>
        <v>0</v>
      </c>
      <c r="L71" s="27">
        <f>Basicinfo!BV71*Basicinfo!BW71/100</f>
        <v>265.60000000000002</v>
      </c>
      <c r="M71" s="27">
        <f>Basicinfo!BV71-Intermediate!L71</f>
        <v>265.60000000000002</v>
      </c>
      <c r="N71" s="73">
        <f>Basicinfo!BS71-SUM(I71:K71)-Basicinfo!BV71</f>
        <v>0</v>
      </c>
      <c r="O71" s="19">
        <f>IF(Basicinfo!AH71+Basicinfo!AI71+Basicinfo!AJ71+Basicinfo!AK71=0,0,N71*(Basicinfo!AH71+Basicinfo!AI71)/SUM(Basicinfo!AH71:AK71))</f>
        <v>0</v>
      </c>
      <c r="P71" s="73">
        <f t="shared" si="67"/>
        <v>0</v>
      </c>
      <c r="Q71" s="19">
        <f>IF(Basicinfo!BS71=0,Basicinfo!N71,IF(H71&gt;Parameters!$C$70,Parameters!$C$64*(Parameters!$C$65*Parameters!$C$70)^(Parameters!$C$66-Parameters!$C$67*LOG(Parameters!$C$65*Parameters!$C$70,10))/100*Basicinfo!N71,Parameters!$C$64*(Parameters!$C$65*H71)^(Parameters!$C$66-Parameters!$C$67*LOG(Parameters!$C$65*H71,10))/100*Basicinfo!N71))</f>
        <v>1.0254401445653105</v>
      </c>
      <c r="R71" s="19">
        <f>IF(Basicinfo!BS71=0,Q71*(1-Basicinfo!BX71/100),IF(H71&lt;Parameters!$C$75,Q71*Basicinfo!BU71/Basicinfo!BS71*(1-Basicinfo!BX71/100)*(-Parameters!$C$74+Parameters!$C$73*LN(H71*100)),Q71*Basicinfo!BU71/Basicinfo!BS71*(1-Basicinfo!BX71/100)))</f>
        <v>0.28304777003679127</v>
      </c>
      <c r="S71" s="19">
        <f>IF(Basicinfo!BS71=0,Q71*Basicinfo!BX71/100,Q71*Basicinfo!BU71/Basicinfo!BS71*Basicinfo!BX71/100)</f>
        <v>0.45362155031731588</v>
      </c>
      <c r="T71" s="19">
        <f>IF(Basicinfo!BS71=0,0,IF(H71&lt;Parameters!$C$75,Q71*K71/Basicinfo!BS71*(-Parameters!$C$74+Parameters!$C$73*LN(H71*100)),Q71*K71/Basicinfo!BS71))</f>
        <v>0</v>
      </c>
      <c r="U71" s="19">
        <f t="shared" si="68"/>
        <v>0.28877082421120337</v>
      </c>
      <c r="V71" s="19">
        <f>IF(Basicinfo!AL71&gt;Parameters!$C$14,Basicinfo!Q71,0)</f>
        <v>13.543719366426799</v>
      </c>
      <c r="W71" s="19">
        <f>IF(Basicinfo!AL71&gt;Parameters!$C$14,0,Basicinfo!Q71)</f>
        <v>0</v>
      </c>
      <c r="X71" s="19">
        <f>G71+Basicinfo!M71</f>
        <v>48.293178103229195</v>
      </c>
      <c r="Y71" s="19">
        <f>IF(Basicinfo!G71-F71-Q71-V71-Basicinfo!O71-Basicinfo!R71-Basicinfo!S71&lt;0,0,Basicinfo!G71-F71-Q71-V71-Basicinfo!O71-Basicinfo!R71-Basicinfo!S71)</f>
        <v>215.6555624372246</v>
      </c>
      <c r="Z71" s="19">
        <f>Basicinfo!G71-F71-Basicinfo!BO71-Q71-Basicinfo!O71</f>
        <v>225.27278490805224</v>
      </c>
      <c r="AA71" s="53">
        <f>IF(Z71+Basicinfo!BO71-X71&gt;0,Z71+Basicinfo!BO71-X71,0)</f>
        <v>181.20121311157104</v>
      </c>
      <c r="AB71" s="56">
        <f>IF(Basicinfo!N71=0,0,Parameters!$C$71+Parameters!$C$72*Q71/Basicinfo!N71)</f>
        <v>0.36614247353266527</v>
      </c>
      <c r="AC71" s="43">
        <f>Basicinfo!AU71*AB71*R71/1000/86.4/0.365</f>
        <v>4.7299389894231826E-3</v>
      </c>
      <c r="AD71" s="43">
        <f>Basicinfo!AU71*AB71*S71/1000/86.4/0.365</f>
        <v>7.5803538639769939E-3</v>
      </c>
      <c r="AE71" s="43">
        <f>Basicinfo!AU71*AB71*T71/1000/86.4/0.365</f>
        <v>0</v>
      </c>
      <c r="AF71" s="43">
        <f>Basicinfo!AU71*AB71*U71/1000/86.4/0.365</f>
        <v>4.8255754859573702E-3</v>
      </c>
      <c r="AG71" s="43">
        <f>((Parameters!$C$80+Parameters!$C$81*Parameters!$C$89)/(Parameters!$C$82+Parameters!$C$89)/(Parameters!$C$90/100*Parameters!$C$91+(Parameters!$C$83+Parameters!$C$84*Parameters!$C$89)/(Parameters!$C$85+Parameters!$C$89)))-Parameters!$C$86+(Basicinfo!AU71-Parameters!$C$88)/Parameters!$C$87</f>
        <v>87.371246568330079</v>
      </c>
      <c r="AH71" s="43">
        <f>((Parameters!$C$80+Parameters!$C$81*Parameters!$C$89)/(Parameters!$C$82+Parameters!$C$89)/(Basicinfo!BY71/100*Parameters!$C$91+(Parameters!$C$83+Parameters!$C$84*Parameters!$C$89)/(Parameters!$C$85+Parameters!$C$89)))-Parameters!$C$86+(Basicinfo!AU71-Parameters!$C$88)/Parameters!$C$87</f>
        <v>69.568364701714501</v>
      </c>
      <c r="AI71" s="43">
        <f>Basicinfo!AU71^Parameters!$C$79*Parameters!$C$78*AH71/AG71</f>
        <v>75.094002236232697</v>
      </c>
      <c r="AJ71" s="43">
        <f>(J71*Parameters!$C$92/1000+Parameters!$C$94/100*S71*100*Parameters!$C$93/1000*86400*Parameters!$C$95/24)/86400</f>
        <v>4.5248552236831279E-3</v>
      </c>
      <c r="AK71" s="43">
        <f t="shared" si="44"/>
        <v>5.9211610722619337E-3</v>
      </c>
      <c r="AL71" s="43">
        <f>(K71*Parameters!$C$92/1000+Parameters!$C$94/100*T71*100*Parameters!$C$93/1000*86400*Parameters!$C$95/24)/86400</f>
        <v>0</v>
      </c>
      <c r="AM71" s="43">
        <f>(Intermediate!N71+Basicinfo!BV71-Intermediate!L71)*Parameters!$C$92/1000/86400</f>
        <v>3.9962962962962961E-4</v>
      </c>
      <c r="AN71" s="43">
        <f t="shared" si="45"/>
        <v>1.0003467211195206E-2</v>
      </c>
      <c r="AO71" s="43">
        <f t="shared" si="69"/>
        <v>5.9211610722619337E-3</v>
      </c>
      <c r="AP71" s="43">
        <f t="shared" si="70"/>
        <v>5.2252051155870002E-3</v>
      </c>
      <c r="AQ71" s="43">
        <f t="shared" si="58"/>
        <v>1.5876305177272114E-2</v>
      </c>
      <c r="AR71" s="61">
        <f>(Basicinfo!AU71-Basicinfo!AY71)*F71/1000/86.4/0.365</f>
        <v>3.5092419679616488E-2</v>
      </c>
      <c r="AS71" s="19">
        <f>IF(Basicinfo!AP71-Basicinfo!CB71-Basicinfo!CG71&lt;0,0,(Basicinfo!AP71-Basicinfo!CB71-Basicinfo!CG71)/Basicinfo!G71*1000)</f>
        <v>49.299352977106189</v>
      </c>
      <c r="AT71" s="19">
        <f>Parameters!$C$3*((AS71*86.4*0.365)^Parameters!$C$4)</f>
        <v>404.1308046749291</v>
      </c>
      <c r="AU71" s="19">
        <f>IF(AT71/86.4/0.365*(Basicinfo!G71/1000)-AN71&lt;0,0,AT71/86.4/0.365*(Basicinfo!G71/1000)-AN71)</f>
        <v>2.9608405154939739</v>
      </c>
      <c r="AV71" s="19">
        <f>IF(Basicinfo!AU71&gt;Parameters!$C$13,Parameters!$C$11*(Basicinfo!AU71-Parameters!$C$13)^Parameters!$C$12,0)</f>
        <v>192.96748048141032</v>
      </c>
      <c r="AW71" s="19">
        <f>IF(AV71*V71/1000/86.4/0.365&gt;Basicinfo!AP71*Parameters!$C$15,Basicinfo!AP71*Parameters!$C$15,AV71*V71/1000/86.4/0.365)</f>
        <v>8.287345898296114E-2</v>
      </c>
      <c r="AX71" s="19">
        <f>Basicinfo!AU71-Basicinfo!AW71</f>
        <v>534.03351056514282</v>
      </c>
      <c r="AY71" s="19">
        <f>Parameters!$C$56*AX71+Parameters!$C$57*Basicinfo!AW71</f>
        <v>357.54372622198571</v>
      </c>
      <c r="AZ71" s="19">
        <f>AY71*Basicinfo!BO71/1000/86.4/0.365</f>
        <v>4.7863040637903018E-2</v>
      </c>
      <c r="BA71" s="19">
        <f>IF(Basicinfo!AP71-AQ71-AR71-AU71-AW71-AZ71-Basicinfo!CB71-Basicinfo!CG71&lt;0,0,Basicinfo!AP71-AQ71-AR71-AU71-AW71-AZ71-Basicinfo!CB71-Basicinfo!CG71)</f>
        <v>8.2863880230215106</v>
      </c>
      <c r="BB71" s="53">
        <f t="shared" si="59"/>
        <v>1160.0137708630316</v>
      </c>
      <c r="BC71" s="56">
        <f>IF(G71=0,0,((Basicinfo!H71*Basicinfo!BE71+Basicinfo!I71*Basicinfo!BF71+Basicinfo!J71*Basicinfo!BG71+Basicinfo!K71*Basicinfo!BH71+Basicinfo!L71*Basicinfo!BI71)*(1-Basicinfo!BN71/G71*Parameters!$C$26/100)/G71)*Basicinfo!BM71)</f>
        <v>2.3904972747987654</v>
      </c>
      <c r="BD71" s="43">
        <f>IF(Basicinfo!AW71*Parameters!$C$39-Parameters!$C$40&lt;0,0.001,(Basicinfo!AW71*Parameters!$C$39-Parameters!$C$40)/(Basicinfo!AX71*Parameters!$C$39-Parameters!$C$40))</f>
        <v>1.0697736721078273</v>
      </c>
      <c r="BE71" s="43">
        <f>(BC71*G71*100+Basicinfo!BJ71*Basicinfo!M71*100)*Parameters!$C$29*BD71</f>
        <v>1016.2278416456546</v>
      </c>
      <c r="BF71" s="43">
        <f>(Basicinfo!BK71*Basicinfo!P71*100)*BD71*Parameters!$C$29</f>
        <v>1301.6832300949434</v>
      </c>
      <c r="BG71" s="43">
        <f>Parameters!$C$27*(V71+W71)*100</f>
        <v>270.87438732853599</v>
      </c>
      <c r="BH71" s="43">
        <f>Parameters!$C$28*Basicinfo!R71*100</f>
        <v>0</v>
      </c>
      <c r="BI71" s="43">
        <f t="shared" si="46"/>
        <v>1572.5576174234793</v>
      </c>
      <c r="BJ71" s="43">
        <f>IF(Basicinfo!AM71&lt;Parameters!$C$33,0,Parameters!$C$30*(((Basicinfo!AM71-Parameters!$C$33)^Parameters!$C$31)*(((G71-Basicinfo!BN71)/Basicinfo!G71*100+Parameters!$C$34))^Parameters!$C$32))</f>
        <v>1.3714820397353009</v>
      </c>
      <c r="BK71" s="58">
        <f t="shared" si="47"/>
        <v>1586.494999754439</v>
      </c>
      <c r="BL71" s="61">
        <f>Basicinfo!AZ71+Basicinfo!BA71</f>
        <v>1385.3541554348717</v>
      </c>
      <c r="BM71" s="19">
        <f>Basicinfo!BB71+Basicinfo!BC71</f>
        <v>1743.1606260980443</v>
      </c>
      <c r="BN71" s="172">
        <f>IF(Basicinfo!AO71=0,0,IF(Basicinfo!AO71="NA",1,IF(OR(Basicinfo!AO71="SA",Basicinfo!AN71="S"),3,IF(Basicinfo!AN71="N",1,IF(Basicinfo!AO71="ZA",2,0)))))</f>
        <v>1</v>
      </c>
      <c r="BO71" s="27">
        <f>IF($BN71=1,(BL71)*(1+Parameters!$C$21*Parameters!$C$22-Parameters!$C$22*Basicinfo!$AL71),IF($BN71=2,(BL71)*(1+Parameters!$C$21*Parameters!$C$23-Parameters!$C$23*Basicinfo!$AL71),IF($BN71=3,(BL71)*(1+Parameters!$C$21*Parameters!$C$24-Parameters!$C$24*Basicinfo!$AL71),BL71)))</f>
        <v>1162.0099650866073</v>
      </c>
      <c r="BP71" s="27">
        <f>IF($BN71=1,(BM71)*(1+Parameters!$C$21*Parameters!$C$22-Parameters!$C$22*Basicinfo!$AL71),IF($BN71=2,(BM71)*(1+Parameters!$C$21*Parameters!$C$23-Parameters!$C$23*Basicinfo!$AL71),IF($BN71=3,(BM71)*(1+Parameters!$C$21*Parameters!$C$24-Parameters!$C$24*Basicinfo!$AL71),BM71)))</f>
        <v>1462.1315497745031</v>
      </c>
      <c r="BQ71" s="27">
        <f>IF(Basicinfo!AU71=0,0,IF(G71+Basicinfo!M71=0,0,(Parameters!$C$16+BO71/Basicinfo!AU71)*G71+(Parameters!$C$17+BO71/Basicinfo!AU71)*Basicinfo!M71)/(G71+Basicinfo!M71))</f>
        <v>0.80906992019783452</v>
      </c>
      <c r="BR71" s="27">
        <f>IF(Basicinfo!AU71=0,0,IF(G71+Basicinfo!M71=0,0,(Parameters!$C$16+BP71/Basicinfo!AU71)*G71+(Parameters!$C$17+BP71/Basicinfo!AU71)*Basicinfo!M71)/(G71+Basicinfo!M71))</f>
        <v>1.0175885843167027</v>
      </c>
      <c r="BS71" s="27">
        <f>IF(Basicinfo!AU71=0,0,BO71/Basicinfo!AU71)</f>
        <v>0.80734201728491772</v>
      </c>
      <c r="BT71" s="27">
        <f>IF(Basicinfo!AU71=0,0,BP71/Basicinfo!AU71)</f>
        <v>1.015860681403786</v>
      </c>
      <c r="BU71" s="27">
        <f>IF(SUM(G71,Basicinfo!M71,Basicinfo!P71,W71)=0,0,(BQ71*(G71+Basicinfo!M71)+BS71*(Basicinfo!P71+W71))/SUM(G71,Basicinfo!M71,Basicinfo!P71,W71))</f>
        <v>0.80773355646165801</v>
      </c>
      <c r="BV71" s="19">
        <f>IF(Basicinfo!BR71/Parameters!$C$10&gt;1,1,Basicinfo!BR71/Parameters!$C$10)</f>
        <v>0.34594470571270375</v>
      </c>
      <c r="BW71" s="19">
        <f>Parameters!$C$5+Parameters!$C$6*EXP(BV71*Parameters!$C$8*Parameters!$C$7)</f>
        <v>3.5077065971146043E-2</v>
      </c>
      <c r="BX71" s="19">
        <f>Parameters!$C$5+Parameters!$C$6*EXP(BV71*Parameters!$C$9*Parameters!$C$7)</f>
        <v>3.5045080398515345E-2</v>
      </c>
      <c r="BY71" s="19">
        <f>IF(Basicinfo!AH71+Basicinfo!AI71+Basicinfo!AJ71+Basicinfo!AK71=0,0,(Parameters!$C$18*(Basicinfo!AH71+Basicinfo!AI71)+Parameters!$C$19*Basicinfo!AJ71+Parameters!$C$20*Basicinfo!AK71)/(Basicinfo!AH71+Basicinfo!AI71+Basicinfo!AJ71+Basicinfo!AK71))</f>
        <v>1.3753190840423556E-2</v>
      </c>
      <c r="BZ71" s="19">
        <f>IF(Basicinfo!AJ71+Basicinfo!AK71=0,Parameters!$C$18,(Parameters!$C$19*Basicinfo!AJ71+Parameters!$C$20*Basicinfo!AK71)/(Basicinfo!AJ71+Basicinfo!AK71))</f>
        <v>4.6704609122536793E-3</v>
      </c>
      <c r="CA71" s="19">
        <f>IF(SUM(G71,Basicinfo!M71,Basicinfo!P71,W71)=0,0,(BW71*G71+BX71*Basicinfo!M71+BY71*Basicinfo!P71+BZ71*W71)/(SUM(G71,Basicinfo!M71,Basicinfo!P71,W71)))</f>
        <v>1.8577930111600985E-2</v>
      </c>
      <c r="CB71" s="19">
        <f>IF(Y71=0,Basicinfo!BP71,Basicinfo!BP71-(AU71*X71/Y71*Intermediate!BQ71*86400*365/1000000)*1000/(X71*100))</f>
        <v>51.005873950712662</v>
      </c>
      <c r="CC71" s="19">
        <f>IF(Y71=0,Basicinfo!BQ71,Basicinfo!BQ71-(AU71*Basicinfo!AV71/Basicinfo!AU71*X71/Y71*Intermediate!BR71*86400*365/1000000)*1000/(X71*100))</f>
        <v>57.147685134503845</v>
      </c>
      <c r="CD71" s="19">
        <f>IF(OR(Y71=0,AA71=0),BP71/100,BP71/100-(AU71*Basicinfo!AV71/Basicinfo!AU71*(Basicinfo!P71+W71)/Y71*Intermediate!BT71*86400*365/1000000+AW71*Basicinfo!AV71/Basicinfo!AU71*Intermediate!BT71*86400*365/1000000)*1000/(AA71*100))</f>
        <v>10.504799306910307</v>
      </c>
      <c r="CE71" s="19">
        <f t="shared" si="60"/>
        <v>251858.83084079882</v>
      </c>
      <c r="CF71" s="19">
        <f t="shared" si="61"/>
        <v>190348.23779057382</v>
      </c>
      <c r="CG71" s="19">
        <f>IF(AY71=0,0,((CB71^Parameters!$C$58))/AY71*100)</f>
        <v>7.9094812776292933</v>
      </c>
      <c r="CH71" s="19">
        <f>IF(SUM(Basicinfo!AB71:AG71)=0,0,(Parameters!$C$59*Basicinfo!AB71+Parameters!$C$60*SUM(Basicinfo!AC71:AE71)+Parameters!$C$61*Basicinfo!AF71+Parameters!$C$62*Basicinfo!AG71)/SUM(Basicinfo!AB71:AG71))</f>
        <v>0.56212727948340657</v>
      </c>
      <c r="CI71" s="19">
        <f t="shared" si="31"/>
        <v>3</v>
      </c>
      <c r="CJ71" s="19">
        <f t="shared" si="62"/>
        <v>19.629848710391926</v>
      </c>
      <c r="CK71" s="19">
        <f t="shared" si="42"/>
        <v>1.6922082481648155</v>
      </c>
      <c r="CL71" s="19">
        <f>IF($BB71=0,0,$CJ71^Parameters!$C$58*100/$BB71)</f>
        <v>1.082720263145071</v>
      </c>
      <c r="CM71" s="19">
        <f>IF(CK71=0,0,(1/(1+Parameters!$C$116*BB71^Parameters!$C$120)*Basicinfo!AH71/Basicinfo!G71+1/(1+Parameters!$C$117*BB71^Parameters!$C$121)*Basicinfo!AI71/Basicinfo!G71)*(CK71)^Parameters!$C$124+(1/(1+Parameters!$C$118*BB71^Parameters!$C$122)*Basicinfo!AJ71/Basicinfo!G71+1/(1+Parameters!$C$119*BB71^Parameters!$C$123)*Basicinfo!AK71/Basicinfo!G71)*(CK71)^Parameters!$C$125)</f>
        <v>0.99395732859477226</v>
      </c>
      <c r="CN71" s="19">
        <f>IF(SUM(Basicinfo!AB71:AG71)=0,0,(Parameters!$C$128*Basicinfo!AB71+Parameters!$C$129*(SUM(Basicinfo!AC71:AE71))+Parameters!$C$130*Basicinfo!AF71+Parameters!$C$131*Basicinfo!AG71)/SUM(Basicinfo!AB71:AG71))</f>
        <v>0.11596715595545917</v>
      </c>
      <c r="CO71" s="19">
        <f>IF(Basicinfo!AH71+Basicinfo!AI71+Basicinfo!AJ71+Basicinfo!AK71=0,0,(Parameters!$C$132*(Basicinfo!AH71+Basicinfo!AI71)+Parameters!$C$133*Basicinfo!AJ71+Parameters!$C$134*Basicinfo!AK71)/(Basicinfo!AH71+Basicinfo!AI71+Basicinfo!AJ71+Basicinfo!AK71))</f>
        <v>4.999999999999999E-4</v>
      </c>
      <c r="CP71" s="19">
        <f>IF(Basicinfo!AJ71+Basicinfo!AK71=0,0,(Parameters!$C$133*Basicinfo!AJ71+Parameters!$C$134*Basicinfo!AK71)/(Basicinfo!AJ71+Basicinfo!AK71))</f>
        <v>5.0000000000000001E-4</v>
      </c>
      <c r="CQ71" s="19">
        <f>IF(Z71=0,0,(CN71*(Z71-AA71)+CO71*Basicinfo!P71+CP71*(Basicinfo!Q71+Basicinfo!R71))/Z71)</f>
        <v>2.3083309904646229E-2</v>
      </c>
      <c r="CR71" s="19">
        <f>IF(CK71=0,0,IF(AND((Basicinfo!AI71+Basicinfo!AK71)&gt;0,(CM71/CK71)&lt;Parameters!$C$135),CQ71*Parameters!$C$136,CQ71))</f>
        <v>2.3083309904646229E-2</v>
      </c>
      <c r="CS71" s="19">
        <f>IF(SUM(Basicinfo!AB71:AG71)=0,0,(Basicinfo!AB71*Parameters!$C$43+(Basicinfo!AC71+Basicinfo!AD71)*Parameters!$C$44+Basicinfo!AE71*Parameters!$C$45+(Basicinfo!AF71+Basicinfo!AG71)*Parameters!$C$46)/SUM(Basicinfo!AB71:AG71))</f>
        <v>25.402180721794824</v>
      </c>
      <c r="CT71" s="19">
        <f>(Parameters!$C$41*CS71+Parameters!$C$42)</f>
        <v>534.10224336230726</v>
      </c>
      <c r="CU71" s="19">
        <f>CT71+Basicinfo!BR71/(Parameters!$C$47*Parameters!$C$49*Parameters!$C$48*10000/1000000)</f>
        <v>655.94440386489475</v>
      </c>
      <c r="CV71" s="19">
        <f>IF(BK71/Basicinfo!G71&lt;Parameters!$C$35,Parameters!$C$35,Parameters!$C$37*(BK71/Basicinfo!G71)^Parameters!$C$38)</f>
        <v>3.1018855059814538</v>
      </c>
      <c r="CW71" s="19">
        <f>IF(BK71/Basicinfo!G71&lt;Parameters!$C$35,Parameters!$C$36,Parameters!$C$36*(BK71/Basicinfo!G71)^Parameters!$C$38)</f>
        <v>7.2894309390564178</v>
      </c>
      <c r="CX71" s="27">
        <f>IF(Basicinfo!AJ71+Basicinfo!AK71=0,0,(Parameters!$C$53*Basicinfo!AJ71+Parameters!$C$54*Basicinfo!AK71)/(Basicinfo!AJ71+Basicinfo!AK71))</f>
        <v>568.33177836482014</v>
      </c>
      <c r="CY71" s="56">
        <f>IF(Basicinfo!AU71*AB71=0,0,((Basicinfo!AZ71+Basicinfo!BA71)/Basicinfo!AU71+Parameters!$C$76/(Basicinfo!AU71*AB71)*100))</f>
        <v>1.7215448611942346</v>
      </c>
      <c r="CZ71" s="43">
        <f>IF(Basicinfo!AU71*AB71=0,0,(Parameters!$C$77)/(Basicinfo!AU71*AB71)*100)</f>
        <v>0.47439226644388688</v>
      </c>
      <c r="DA71" s="43">
        <f>IF(AD71+AJ71=0,0,((J71*Parameters!$C$96+Parameters!$C$94/100*S71*100*Parameters!$C$93/1000*86400*Parameters!$C$95/24*Parameters!$C$98)*AI71+AD71*CY71*86400*365)/((AD71+AJ71*AI71/365)*86400*365))</f>
        <v>11.596486721195767</v>
      </c>
      <c r="DB71" s="43">
        <f>IF(AD71+AJ71=0,0,((J71*Parameters!$C$97+Parameters!$C$94/100*S71*100*Parameters!$C$93/1000*86400*Parameters!$C$95/24*Parameters!$C$99)*AI71+AD71*CZ71*86400*365)/((AD71+AJ71*AI71/365)*86400*365))</f>
        <v>2.0595820038499095</v>
      </c>
      <c r="DC71" s="42">
        <f>IF(AE71+AL71=0,0,((K71*Parameters!$C$96+Parameters!$C$94/100*T71*100*Parameters!$C$93/1000*86400*Parameters!$C$95/24*Parameters!$C$98)*365+AE71*CY71*86400*365)/((AE71+AL71)*86400*365))</f>
        <v>0</v>
      </c>
      <c r="DD71" s="42">
        <f>IF(AE71+AL71=0,0,((K71*Parameters!$C$97+Parameters!$C$94/100*T71*100*Parameters!$C$93/1000*86400*Parameters!$C$95/24*Parameters!$C$99)*365+AE71*CZ71*86400*365)/((AE71+AL71)*86400*365))</f>
        <v>0</v>
      </c>
      <c r="DE71" s="42">
        <f>IF(Basicinfo!AH71+Basicinfo!AI71+Basicinfo!AJ71+Basicinfo!AK71=0,0,((Basicinfo!AH71+Basicinfo!AI71)*Parameters!$C$107+(Basicinfo!AJ71+Basicinfo!AK71)*Parameters!$C$106)/(Basicinfo!AH71+Basicinfo!AI71+Basicinfo!AJ71+Basicinfo!AK71))</f>
        <v>61.978724637908478</v>
      </c>
      <c r="DF71" s="42">
        <f>IF(Basicinfo!AH71+Basicinfo!AI71+Basicinfo!AJ71+Basicinfo!AK71=0,0,((Basicinfo!AH71+Basicinfo!AI71)*Parameters!$C$109+(Basicinfo!AJ71+Basicinfo!AK71)*Parameters!$C$108)/(Basicinfo!AH71+Basicinfo!AI71+Basicinfo!AJ71+Basicinfo!AK71))</f>
        <v>61.978724637908478</v>
      </c>
      <c r="DG71" s="42">
        <f>Intermediate!AC71*Intermediate!CY71*(1-Parameters!$C$102/100*Basicinfo!BZ71/100)*(1-Parameters!$C$104/100*Basicinfo!CA71/100)*86400*365/1000000</f>
        <v>0.25679140894941366</v>
      </c>
      <c r="DH71" s="42">
        <f>Intermediate!AC71*Intermediate!CZ71*(1-Parameters!$C$103/100*Basicinfo!BZ71/100)*(1-Parameters!$C$105/100*Basicinfo!CA71/100)*86400*365/1000000</f>
        <v>7.0761942509197817E-2</v>
      </c>
      <c r="DI71" s="42">
        <f>(Intermediate!AK71*Intermediate!DA71+(Intermediate!AE71+Intermediate!AL71)*Intermediate!DC71)*86400*365/1000000</f>
        <v>2.165408899046172</v>
      </c>
      <c r="DJ71" s="42">
        <f>(Intermediate!AK71*Intermediate!DB71+(Intermediate!AE71+Intermediate!AL71)*Intermediate!DD71)*86400*365/1000000</f>
        <v>0.38458520297361809</v>
      </c>
      <c r="DK71" s="42">
        <f>((Basicinfo!AZ71+Basicinfo!BA71)*Intermediate!AB71+Parameters!$C$76*100)/1000*Intermediate!U71*(1-Intermediate!DE71/100)+(1-Parameters!$C$110/100)*M71*Parameters!$C$100*(1-DE71/100)*365/1000000+(1-Parameters!$C$112/100)*P71*Parameters!$C$96*365/1000000+(1-Parameters!$C$112/100)*O71*Parameters!$C$96*(1-DE71/100)*365/1000000</f>
        <v>0.39817019263388165</v>
      </c>
      <c r="DL71" s="42">
        <f>Parameters!$C$77*100/1000*Intermediate!U71*(1-Intermediate!DF71/100)+(1-Parameters!$C$111/100)*M71*Parameters!$C$101*(1-DF71/100)*365/1000000+(1-Parameters!$C$113/100)*P71*Parameters!$C$97*365/1000000+(1-Parameters!$C$113/100)*O71*Parameters!$C$97*(1-DF71/100)*365/1000000</f>
        <v>6.7325389541410957E-2</v>
      </c>
      <c r="DM71" s="31"/>
      <c r="DN71" s="31"/>
      <c r="DO71" s="31"/>
      <c r="DP71" s="31"/>
      <c r="DQ71" s="31"/>
      <c r="DR71" s="31"/>
      <c r="DS71" s="31"/>
      <c r="DT71" s="188">
        <f>BO71*(Basicinfo!$P71+Basicinfo!$Q71)/1000</f>
        <v>207.27159252131946</v>
      </c>
      <c r="DU71" s="188">
        <f>DT71*Basicinfo!$AZ71/(Basicinfo!$AZ71+Basicinfo!$BA71)</f>
        <v>109.90311320968478</v>
      </c>
      <c r="DV71" s="188">
        <f>DT71*Basicinfo!$BC71/(Basicinfo!$BB71+Basicinfo!$BC71)</f>
        <v>92.949479059213829</v>
      </c>
      <c r="DW71" s="188">
        <f>BP71*(Basicinfo!$P71+Basicinfo!$Q71)/1000</f>
        <v>260.8052804218753</v>
      </c>
      <c r="DX71" s="188">
        <f>DW71*Basicinfo!$BB71/(Basicinfo!$BB71+Basicinfo!$BC71)</f>
        <v>143.84899781594106</v>
      </c>
      <c r="DY71" s="188">
        <f>DW71*Basicinfo!$BC71/(Basicinfo!$BB71+Basicinfo!$BC71)</f>
        <v>116.95628260593425</v>
      </c>
      <c r="DZ71" s="188">
        <f t="shared" si="63"/>
        <v>56.117154201654664</v>
      </c>
      <c r="EA71" s="188">
        <f>DZ71*Basicinfo!$AZ71/(Basicinfo!$AZ71+Basicinfo!$BA71)</f>
        <v>29.755403894025758</v>
      </c>
      <c r="EB71" s="188">
        <f>DZ71*Basicinfo!$BC71/(Basicinfo!$BB71+Basicinfo!$BC71)</f>
        <v>25.165340729424184</v>
      </c>
      <c r="EC71" s="188">
        <f t="shared" si="64"/>
        <v>70.610979343610595</v>
      </c>
      <c r="ED71" s="188">
        <f>EC71*Basicinfo!$AZ71/(Basicinfo!$AZ71+Basicinfo!$BA71)</f>
        <v>37.440569458881996</v>
      </c>
      <c r="EE71" s="188">
        <f>EC71*Basicinfo!$BC71/(Basicinfo!$BB71+Basicinfo!$BC71)</f>
        <v>31.664994059301364</v>
      </c>
      <c r="EF71" s="190">
        <f>(Basicinfo!BP71-BL71/100)*Intermediate!X71/10</f>
        <v>196.33778864051436</v>
      </c>
      <c r="EG71" s="191">
        <f>(Basicinfo!BQ71-BM71/100)*Intermediate!X71/10</f>
        <v>212.91990305548831</v>
      </c>
      <c r="EH71" s="197">
        <f>IF(AU71=0,0,$BS71*((Basicinfo!$P71+Basicinfo!$Q71)*Intermediate!$AT71*1000+$AW71*3600*24*365)/1000000*Basicinfo!AZ71/(Basicinfo!$AZ71+Basicinfo!$BA71))</f>
        <v>31.977637284310735</v>
      </c>
      <c r="EI71" s="197">
        <f>IF(AU71=0,0,$BS71*((Basicinfo!$P71+Basicinfo!$Q71)*Intermediate!$AT71*1000+$AW71*3600*24*365)/1000000*Basicinfo!BA71/(Basicinfo!$AZ71+Basicinfo!$BA71))</f>
        <v>28.330534262590785</v>
      </c>
      <c r="EJ71" s="198">
        <f>IF(AU71=0,0,$BS71*($AT71*$X71*1000)/1000000*Basicinfo!AZ71/(Basicinfo!$AZ71+Basicinfo!$BA71))</f>
        <v>8.35478942335744</v>
      </c>
      <c r="EK71" s="198">
        <f>IF(AU71=0,0,$BS71*($AT71*$X71*1000)/1000000*Basicinfo!BA71/(Basicinfo!$AZ71+Basicinfo!$BA71))</f>
        <v>7.4019117144495743</v>
      </c>
      <c r="EL71" s="147">
        <f>Parameters!$C$150/Basicinfo!$AV71*100</f>
        <v>7.0001440651531521E-2</v>
      </c>
      <c r="EM71" s="147">
        <f>Parameters!$C$151/Basicinfo!$AV71*100</f>
        <v>0.14000288130306304</v>
      </c>
      <c r="EN71" s="147">
        <f>(Parameters!$C$150+Parameters!$C$151)/Intermediate!$BB71*100</f>
        <v>0.2586176194932624</v>
      </c>
      <c r="EO71" s="193">
        <f>IF(EN71=0,0,(1/(1+Parameters!$C$116*$BB71^Parameters!$C$120)*Basicinfo!$AH71/Basicinfo!$G71+1/(1+Parameters!$C$117*$BB71^Parameters!$C$121)*Basicinfo!$AI71/Basicinfo!$G71)*(EN71)^Parameters!$C$124+(1/(1+Parameters!$C$118*$BB71^Parameters!$C$122)*Basicinfo!$AJ71/Basicinfo!AW71+1/(1+Parameters!$C$119*$BB71^Parameters!$C$123)*Basicinfo!$AK71/Basicinfo!$G71)*(EN71)^Parameters!$C$125)</f>
        <v>0.15653307135817415</v>
      </c>
      <c r="EP71" s="199">
        <f>EL71*($AT71*Basicinfo!$P71*1000+$AW71*3600*24*365)/1000000</f>
        <v>4.8459353068617448</v>
      </c>
      <c r="EQ71" s="199">
        <f>EM71*($AT71*Basicinfo!$P71*1000+$AW71*3600*24*365)/1000000</f>
        <v>9.6918706137234896</v>
      </c>
      <c r="ER71" s="199">
        <f t="shared" si="65"/>
        <v>1.3662013817532577</v>
      </c>
      <c r="ES71" s="199">
        <f t="shared" si="66"/>
        <v>2.7324027635065153</v>
      </c>
      <c r="ET71" s="181">
        <f t="shared" si="48"/>
        <v>40.905149058475629</v>
      </c>
      <c r="EU71" s="147">
        <f>Intermediate!F71*(Parameters!$C$150)/1000*100</f>
        <v>0.1307425446634459</v>
      </c>
      <c r="EV71" s="147">
        <f>Intermediate!F71*(Parameters!$C$151)/1000*100</f>
        <v>0.2614850893268918</v>
      </c>
      <c r="EW71" s="181">
        <f>'Local emissions'!$S71*Basicinfo!AZ71/(Basicinfo!$AZ71+Basicinfo!$BA71)-Intermediate!EU71</f>
        <v>0.67481579201877051</v>
      </c>
      <c r="EX71" s="147">
        <f>'Local emissions'!$S71*Basicinfo!BA71/(Basicinfo!$AZ71+Basicinfo!$BA71)-Intermediate!EV71</f>
        <v>0.45219797158794134</v>
      </c>
      <c r="EY71" s="188">
        <f t="shared" si="49"/>
        <v>27.131701977448991</v>
      </c>
      <c r="EZ71" s="188">
        <f t="shared" si="50"/>
        <v>18.638663648867293</v>
      </c>
      <c r="FA71" s="188">
        <f t="shared" si="51"/>
        <v>6.9885880416041823</v>
      </c>
      <c r="FB71" s="181">
        <f t="shared" si="52"/>
        <v>4.669508950943059</v>
      </c>
      <c r="FC71" s="181">
        <f>'Local emissions'!Y71-Intermediate!ET71</f>
        <v>220.54697047191263</v>
      </c>
      <c r="FD71" s="188">
        <f t="shared" si="53"/>
        <v>58.282845860014469</v>
      </c>
      <c r="FE71" s="188">
        <f t="shared" si="54"/>
        <v>47.386809049611337</v>
      </c>
      <c r="FF71" s="181">
        <f t="shared" si="55"/>
        <v>7.5848388651108278</v>
      </c>
      <c r="FG71" s="201">
        <f t="shared" si="56"/>
        <v>6.4148030084920675</v>
      </c>
      <c r="FH71" s="181">
        <f t="shared" si="57"/>
        <v>100.87767368868391</v>
      </c>
      <c r="FJ71" s="147">
        <f>AVERAGE(Parameters!$C$132:$C$134)*'Local emissions'!J71*3600*24*365/1000000</f>
        <v>0.13065976634700319</v>
      </c>
      <c r="FK71" s="147">
        <f>'Local emissions'!AJ71+CT71*BJ71/100*Intermediate!X71*100/1000000</f>
        <v>0.77507929061750624</v>
      </c>
      <c r="FL71" s="31">
        <f>(Parameters!$C$18*(Basicinfo!AH71+Basicinfo!AI71)+Parameters!$C$19*Basicinfo!AJ71+Parameters!$C$20*Basicinfo!AK71)/Basicinfo!G71</f>
        <v>1.3753190840423556E-2</v>
      </c>
      <c r="FM71" s="181">
        <f t="shared" si="32"/>
        <v>1.3201215314208963</v>
      </c>
    </row>
    <row r="72" spans="1:169">
      <c r="A72" s="39" t="str">
        <f>Basicinfo!A72</f>
        <v>Donnersbach</v>
      </c>
      <c r="B72" s="63">
        <f>Basicinfo!B72</f>
        <v>1430</v>
      </c>
      <c r="C72" s="63">
        <f>Basicinfo!C72</f>
        <v>4060</v>
      </c>
      <c r="D72" s="61">
        <f>Basicinfo!U72*Basicinfo!V72/1000+Basicinfo!Y72</f>
        <v>1.061501829198725</v>
      </c>
      <c r="E72" s="19">
        <f>Basicinfo!W72*Basicinfo!X72/1000+Basicinfo!Z72</f>
        <v>0</v>
      </c>
      <c r="F72" s="19">
        <f t="shared" ref="F72:F84" si="71">D72+E72</f>
        <v>1.061501829198725</v>
      </c>
      <c r="G72" s="19">
        <f>SUM(Basicinfo!H72:L72)</f>
        <v>0.70479932271910739</v>
      </c>
      <c r="H72" s="19">
        <f>IF(Basicinfo!N72&lt;Parameters!$C$68,Parameters!$C$69,Basicinfo!BS72/(Basicinfo!N72*100))</f>
        <v>13.638028833687706</v>
      </c>
      <c r="I72" s="19">
        <f>IF(Basicinfo!N72=0,0,Basicinfo!BU72*(1-Basicinfo!BX72/100))</f>
        <v>1012.136461446387</v>
      </c>
      <c r="J72" s="19">
        <f>IF(Basicinfo!N72=0,0,Basicinfo!BU72*Basicinfo!BX72/100)</f>
        <v>934.27981056589579</v>
      </c>
      <c r="K72" s="19">
        <f>IF(Basicinfo!N72=0,0,Basicinfo!BT72-Basicinfo!BU72)</f>
        <v>0</v>
      </c>
      <c r="L72" s="27">
        <f>Basicinfo!BV72*Basicinfo!BW72/100</f>
        <v>776.75333333333333</v>
      </c>
      <c r="M72" s="27">
        <f>Basicinfo!BV72-Intermediate!L72</f>
        <v>776.75333333333333</v>
      </c>
      <c r="N72" s="73">
        <f>Basicinfo!BS72-SUM(I72:K72)-Basicinfo!BV72</f>
        <v>0</v>
      </c>
      <c r="O72" s="19">
        <f>IF(Basicinfo!AH72+Basicinfo!AI72+Basicinfo!AJ72+Basicinfo!AK72=0,0,N72*(Basicinfo!AH72+Basicinfo!AI72)/SUM(Basicinfo!AH72:AK72))</f>
        <v>0</v>
      </c>
      <c r="P72" s="73">
        <f t="shared" si="67"/>
        <v>0</v>
      </c>
      <c r="Q72" s="19">
        <f>IF(Basicinfo!BS72=0,Basicinfo!N72,IF(H72&gt;Parameters!$C$70,Parameters!$C$64*(Parameters!$C$65*Parameters!$C$70)^(Parameters!$C$66-Parameters!$C$67*LOG(Parameters!$C$65*Parameters!$C$70,10))/100*Basicinfo!N72,Parameters!$C$64*(Parameters!$C$65*H72)^(Parameters!$C$66-Parameters!$C$67*LOG(Parameters!$C$65*H72,10))/100*Basicinfo!N72))</f>
        <v>0.62396141928746984</v>
      </c>
      <c r="R72" s="19">
        <f>IF(Basicinfo!BS72=0,Q72*(1-Basicinfo!BX72/100),IF(H72&lt;Parameters!$C$75,Q72*Basicinfo!BU72/Basicinfo!BS72*(1-Basicinfo!BX72/100)*(-Parameters!$C$74+Parameters!$C$73*LN(H72*100)),Q72*Basicinfo!BU72/Basicinfo!BS72*(1-Basicinfo!BX72/100)))</f>
        <v>9.6402021240279467E-2</v>
      </c>
      <c r="S72" s="19">
        <f>IF(Basicinfo!BS72=0,Q72*Basicinfo!BX72/100,Q72*Basicinfo!BU72/Basicinfo!BS72*Basicinfo!BX72/100)</f>
        <v>0.16656211203106136</v>
      </c>
      <c r="T72" s="19">
        <f>IF(Basicinfo!BS72=0,0,IF(H72&lt;Parameters!$C$75,Q72*K72/Basicinfo!BS72*(-Parameters!$C$74+Parameters!$C$73*LN(H72*100)),Q72*K72/Basicinfo!BS72))</f>
        <v>0</v>
      </c>
      <c r="U72" s="19">
        <f t="shared" si="68"/>
        <v>0.36099728601612907</v>
      </c>
      <c r="V72" s="19">
        <f>IF(Basicinfo!AL72&gt;Parameters!$C$14,Basicinfo!Q72,0)</f>
        <v>3.7773693171664604</v>
      </c>
      <c r="W72" s="19">
        <f>IF(Basicinfo!AL72&gt;Parameters!$C$14,0,Basicinfo!Q72)</f>
        <v>0</v>
      </c>
      <c r="X72" s="19">
        <f>G72+Basicinfo!M72</f>
        <v>33.105272213278305</v>
      </c>
      <c r="Y72" s="19">
        <f>IF(Basicinfo!G72-F72-Q72-V72-Basicinfo!O72-Basicinfo!R72-Basicinfo!S72&lt;0,0,Basicinfo!G72-F72-Q72-V72-Basicinfo!O72-Basicinfo!R72-Basicinfo!S72)</f>
        <v>190.75923478218294</v>
      </c>
      <c r="Z72" s="19">
        <f>Basicinfo!G72-F72-Basicinfo!BO72-Q72-Basicinfo!O72</f>
        <v>191.03617179626488</v>
      </c>
      <c r="AA72" s="53">
        <f>IF(Z72+Basicinfo!BO72-X72&gt;0,Z72+Basicinfo!BO72-X72,0)</f>
        <v>161.43658834523549</v>
      </c>
      <c r="AB72" s="56">
        <f>IF(Basicinfo!N72=0,0,Parameters!$C$71+Parameters!$C$72*Q72/Basicinfo!N72)</f>
        <v>0.3323526683968186</v>
      </c>
      <c r="AC72" s="43">
        <f>Basicinfo!AU72*AB72*R72/1000/86.4/0.365</f>
        <v>1.5355668678210164E-3</v>
      </c>
      <c r="AD72" s="43">
        <f>Basicinfo!AU72*AB72*S72/1000/86.4/0.365</f>
        <v>2.6531317225361598E-3</v>
      </c>
      <c r="AE72" s="43">
        <f>Basicinfo!AU72*AB72*T72/1000/86.4/0.365</f>
        <v>0</v>
      </c>
      <c r="AF72" s="43">
        <f>Basicinfo!AU72*AB72*U72/1000/86.4/0.365</f>
        <v>5.7502473978010117E-3</v>
      </c>
      <c r="AG72" s="43">
        <f>((Parameters!$C$80+Parameters!$C$81*Parameters!$C$89)/(Parameters!$C$82+Parameters!$C$89)/(Parameters!$C$90/100*Parameters!$C$91+(Parameters!$C$83+Parameters!$C$84*Parameters!$C$89)/(Parameters!$C$85+Parameters!$C$89)))-Parameters!$C$86+(Basicinfo!AU72-Parameters!$C$88)/Parameters!$C$87</f>
        <v>89.174589383608648</v>
      </c>
      <c r="AH72" s="43">
        <f>((Parameters!$C$80+Parameters!$C$81*Parameters!$C$89)/(Parameters!$C$82+Parameters!$C$89)/(Basicinfo!BY72/100*Parameters!$C$91+(Parameters!$C$83+Parameters!$C$84*Parameters!$C$89)/(Parameters!$C$85+Parameters!$C$89)))-Parameters!$C$86+(Basicinfo!AU72-Parameters!$C$88)/Parameters!$C$87</f>
        <v>71.371707516993069</v>
      </c>
      <c r="AI72" s="43">
        <f>Basicinfo!AU72^Parameters!$C$79*Parameters!$C$78*AH72/AG72</f>
        <v>85.29847962500827</v>
      </c>
      <c r="AJ72" s="43">
        <f>(J72*Parameters!$C$92/1000+Parameters!$C$94/100*S72*100*Parameters!$C$93/1000*86400*Parameters!$C$95/24)/86400</f>
        <v>1.4112971557432396E-3</v>
      </c>
      <c r="AK72" s="43">
        <f t="shared" ref="AK72:AK84" si="72">(AD72+AJ72*AI72/365)*AH72/100</f>
        <v>2.1289781069845919E-3</v>
      </c>
      <c r="AL72" s="43">
        <f>(K72*Parameters!$C$92/1000+Parameters!$C$94/100*T72*100*Parameters!$C$93/1000*86400*Parameters!$C$95/24)/86400</f>
        <v>0</v>
      </c>
      <c r="AM72" s="43">
        <f>(Intermediate!N72+Basicinfo!BV72-Intermediate!L72)*Parameters!$C$92/1000/86400</f>
        <v>1.1687260802469136E-3</v>
      </c>
      <c r="AN72" s="43">
        <f t="shared" ref="AN72:AN84" si="73">AC72+AD72*AH72/100+AE72</f>
        <v>3.4291522808700846E-3</v>
      </c>
      <c r="AO72" s="43">
        <f t="shared" si="69"/>
        <v>2.1289781069845919E-3</v>
      </c>
      <c r="AP72" s="43">
        <f t="shared" si="70"/>
        <v>6.9189734780479252E-3</v>
      </c>
      <c r="AQ72" s="43">
        <f t="shared" si="58"/>
        <v>1.0583518452853533E-2</v>
      </c>
      <c r="AR72" s="61">
        <f>(Basicinfo!AU72-Basicinfo!AY72)*F72/1000/86.4/0.365</f>
        <v>3.1966635122782333E-2</v>
      </c>
      <c r="AS72" s="19">
        <f>IF(Basicinfo!AP72-Basicinfo!CB72-Basicinfo!CG72&lt;0,0,(Basicinfo!AP72-Basicinfo!CB72-Basicinfo!CG72)/Basicinfo!G72*1000)</f>
        <v>13.570028912761817</v>
      </c>
      <c r="AT72" s="19">
        <f>Parameters!$C$3*((AS72*86.4*0.365)^Parameters!$C$4)</f>
        <v>80.980678876127726</v>
      </c>
      <c r="AU72" s="19">
        <f>IF(AT72/86.4/0.365*(Basicinfo!G72/1000)-AN72&lt;0,0,AT72/86.4/0.365*(Basicinfo!G72/1000)-AN72)</f>
        <v>0.50045916253193434</v>
      </c>
      <c r="AV72" s="19">
        <f>IF(Basicinfo!AU72&gt;Parameters!$C$13,Parameters!$C$11*(Basicinfo!AU72-Parameters!$C$13)^Parameters!$C$12,0)</f>
        <v>205.750943502681</v>
      </c>
      <c r="AW72" s="19">
        <f>IF(AV72*V72/1000/86.4/0.365&gt;Basicinfo!AP72*Parameters!$C$15,Basicinfo!AP72*Parameters!$C$15,AV72*V72/1000/86.4/0.365)</f>
        <v>2.464476474394587E-2</v>
      </c>
      <c r="AX72" s="19">
        <f>Basicinfo!AU72-Basicinfo!AW72</f>
        <v>542.08749827785709</v>
      </c>
      <c r="AY72" s="19">
        <f>Parameters!$C$56*AX72+Parameters!$C$57*Basicinfo!AW72</f>
        <v>367.97869256818569</v>
      </c>
      <c r="AZ72" s="19">
        <f>AY72*Basicinfo!BO72/1000/86.4/0.365</f>
        <v>4.0906226765707265E-2</v>
      </c>
      <c r="BA72" s="19">
        <f>IF(Basicinfo!AP72-AQ72-AR72-AU72-AW72-AZ72-Basicinfo!CB72-Basicinfo!CG72&lt;0,0,Basicinfo!AP72-AQ72-AR72-AU72-AW72-AZ72-Basicinfo!CB72-Basicinfo!CG72)</f>
        <v>2.054250149917642</v>
      </c>
      <c r="BB72" s="53">
        <f t="shared" si="59"/>
        <v>339.11291311308293</v>
      </c>
      <c r="BC72" s="56">
        <f>IF(G72=0,0,((Basicinfo!H72*Basicinfo!BE72+Basicinfo!I72*Basicinfo!BF72+Basicinfo!J72*Basicinfo!BG72+Basicinfo!K72*Basicinfo!BH72+Basicinfo!L72*Basicinfo!BI72)*(1-Basicinfo!BN72/G72*Parameters!$C$26/100)/G72)*Basicinfo!BM72)</f>
        <v>2.2144803452084756</v>
      </c>
      <c r="BD72" s="43">
        <f>IF(Basicinfo!AW72*Parameters!$C$39-Parameters!$C$40&lt;0,0.001,(Basicinfo!AW72*Parameters!$C$39-Parameters!$C$40)/(Basicinfo!AX72*Parameters!$C$39-Parameters!$C$40))</f>
        <v>1.1857095582243422</v>
      </c>
      <c r="BE72" s="43">
        <f>(BC72*G72*100+Basicinfo!BJ72*Basicinfo!M72*100)*Parameters!$C$29*BD72</f>
        <v>739.39655106032137</v>
      </c>
      <c r="BF72" s="43">
        <f>(Basicinfo!BK72*Basicinfo!P72*100)*BD72*Parameters!$C$29</f>
        <v>941.53654111921264</v>
      </c>
      <c r="BG72" s="43">
        <f>Parameters!$C$27*(V72+W72)*100</f>
        <v>75.547386343329208</v>
      </c>
      <c r="BH72" s="43">
        <f>Parameters!$C$28*Basicinfo!R72*100</f>
        <v>0</v>
      </c>
      <c r="BI72" s="43">
        <f t="shared" ref="BI72:BI84" si="74">BF72+BG72+BH72</f>
        <v>1017.0839274625419</v>
      </c>
      <c r="BJ72" s="43">
        <f>IF(Basicinfo!AM72&lt;Parameters!$C$33,0,Parameters!$C$30*(((Basicinfo!AM72-Parameters!$C$33)^Parameters!$C$31)*(((G72-Basicinfo!BN72)/Basicinfo!G72*100+Parameters!$C$34))^Parameters!$C$32))</f>
        <v>1.448611072967376</v>
      </c>
      <c r="BK72" s="58">
        <f t="shared" ref="BK72:BK84" si="75">BE72*BJ72/100+BI72</f>
        <v>1027.7949077743406</v>
      </c>
      <c r="BL72" s="61">
        <f>Basicinfo!AZ72+Basicinfo!BA72</f>
        <v>1082.5344804282795</v>
      </c>
      <c r="BM72" s="19">
        <f>Basicinfo!BB72+Basicinfo!BC72</f>
        <v>1584.503617175958</v>
      </c>
      <c r="BN72" s="172">
        <f>IF(Basicinfo!AO72=0,0,IF(Basicinfo!AO72="NA",1,IF(OR(Basicinfo!AO72="SA",Basicinfo!AN72="S"),3,IF(Basicinfo!AN72="N",1,IF(Basicinfo!AO72="ZA",2,0)))))</f>
        <v>1</v>
      </c>
      <c r="BO72" s="27">
        <f>IF($BN72=1,(BL72)*(1+Parameters!$C$21*Parameters!$C$22-Parameters!$C$22*Basicinfo!$AL72),IF($BN72=2,(BL72)*(1+Parameters!$C$21*Parameters!$C$23-Parameters!$C$23*Basicinfo!$AL72),IF($BN72=3,(BL72)*(1+Parameters!$C$21*Parameters!$C$24-Parameters!$C$24*Basicinfo!$AL72),BL72)))</f>
        <v>872.01072097265421</v>
      </c>
      <c r="BP72" s="27">
        <f>IF($BN72=1,(BM72)*(1+Parameters!$C$21*Parameters!$C$22-Parameters!$C$22*Basicinfo!$AL72),IF($BN72=2,(BM72)*(1+Parameters!$C$21*Parameters!$C$23-Parameters!$C$23*Basicinfo!$AL72),IF($BN72=3,(BM72)*(1+Parameters!$C$21*Parameters!$C$24-Parameters!$C$24*Basicinfo!$AL72),BM72)))</f>
        <v>1276.3603992094058</v>
      </c>
      <c r="BQ72" s="27">
        <f>IF(Basicinfo!AU72=0,0,IF(G72+Basicinfo!M72=0,0,(Parameters!$C$16+BO72/Basicinfo!AU72)*G72+(Parameters!$C$17+BO72/Basicinfo!AU72)*Basicinfo!M72)/(G72+Basicinfo!M72))</f>
        <v>0.58332841176548189</v>
      </c>
      <c r="BR72" s="27">
        <f>IF(Basicinfo!AU72=0,0,IF(G72+Basicinfo!M72=0,0,(Parameters!$C$16+BP72/Basicinfo!AU72)*G72+(Parameters!$C$17+BP72/Basicinfo!AU72)*Basicinfo!M72)/(G72+Basicinfo!M72))</f>
        <v>0.85085507432300811</v>
      </c>
      <c r="BS72" s="27">
        <f>IF(Basicinfo!AU72=0,0,BO72/Basicinfo!AU72)</f>
        <v>0.57694151980901198</v>
      </c>
      <c r="BT72" s="27">
        <f>IF(Basicinfo!AU72=0,0,BP72/Basicinfo!AU72)</f>
        <v>0.8444681823665382</v>
      </c>
      <c r="BU72" s="27">
        <f>IF(SUM(G72,Basicinfo!M72,Basicinfo!P72,W72)=0,0,(BQ72*(G72+Basicinfo!M72)+BS72*(Basicinfo!P72+W72))/SUM(G72,Basicinfo!M72,Basicinfo!P72,W72))</f>
        <v>0.57806133375286872</v>
      </c>
      <c r="BV72" s="19">
        <f>IF(Basicinfo!BR72/Parameters!$C$10&gt;1,1,Basicinfo!BR72/Parameters!$C$10)</f>
        <v>0.38495216548122096</v>
      </c>
      <c r="BW72" s="19">
        <f>Parameters!$C$5+Parameters!$C$6*EXP(BV72*Parameters!$C$8*Parameters!$C$7)</f>
        <v>3.5132796235159594E-2</v>
      </c>
      <c r="BX72" s="19">
        <f>Parameters!$C$5+Parameters!$C$6*EXP(BV72*Parameters!$C$9*Parameters!$C$7)</f>
        <v>3.5073122786166144E-2</v>
      </c>
      <c r="BY72" s="19">
        <f>IF(Basicinfo!AH72+Basicinfo!AI72+Basicinfo!AJ72+Basicinfo!AK72=0,0,(Parameters!$C$18*(Basicinfo!AH72+Basicinfo!AI72)+Parameters!$C$19*Basicinfo!AJ72+Parameters!$C$20*Basicinfo!AK72)/(Basicinfo!AH72+Basicinfo!AI72+Basicinfo!AJ72+Basicinfo!AK72))</f>
        <v>2.5427010159219599E-2</v>
      </c>
      <c r="BZ72" s="19">
        <f>IF(Basicinfo!AJ72+Basicinfo!AK72=0,Parameters!$C$18,(Parameters!$C$19*Basicinfo!AJ72+Parameters!$C$20*Basicinfo!AK72)/(Basicinfo!AJ72+Basicinfo!AK72))</f>
        <v>2.5000000000000001E-2</v>
      </c>
      <c r="CA72" s="19">
        <f>IF(SUM(G72,Basicinfo!M72,Basicinfo!P72,W72)=0,0,(BW72*G72+BX72*Basicinfo!M72+BY72*Basicinfo!P72+BZ72*W72)/(SUM(G72,Basicinfo!M72,Basicinfo!P72,W72)))</f>
        <v>2.7118486097487154E-2</v>
      </c>
      <c r="CB72" s="19">
        <f>IF(Y72=0,Basicinfo!BP72,Basicinfo!BP72-(AU72*X72/Y72*Intermediate!BQ72*86400*365/1000000)*1000/(X72*100))</f>
        <v>52.634914672071886</v>
      </c>
      <c r="CC72" s="19">
        <f>IF(Y72=0,Basicinfo!BQ72,Basicinfo!BQ72-(AU72*Basicinfo!AV72/Basicinfo!AU72*X72/Y72*Intermediate!BR72*86400*365/1000000)*1000/(X72*100))</f>
        <v>56.148610309008141</v>
      </c>
      <c r="CD72" s="19">
        <f>IF(OR(Y72=0,AA72=0),BP72/100,BP72/100-(AU72*Basicinfo!AV72/Basicinfo!AU72*(Basicinfo!P72+W72)/Y72*Intermediate!BT72*86400*365/1000000+AW72*Basicinfo!AV72/Basicinfo!AU72*Intermediate!BT72*86400*365/1000000)*1000/(AA72*100))</f>
        <v>12.133012586106677</v>
      </c>
      <c r="CE72" s="19">
        <f t="shared" si="60"/>
        <v>166197.54765008154</v>
      </c>
      <c r="CF72" s="19">
        <f t="shared" si="61"/>
        <v>195871.21582508646</v>
      </c>
      <c r="CG72" s="19">
        <f>IF(AY72=0,0,((CB72^Parameters!$C$58))/AY72*100)</f>
        <v>7.893328233199</v>
      </c>
      <c r="CH72" s="19">
        <f>IF(SUM(Basicinfo!AB72:AG72)=0,0,(Parameters!$C$59*Basicinfo!AB72+Parameters!$C$60*SUM(Basicinfo!AC72:AE72)+Parameters!$C$61*Basicinfo!AF72+Parameters!$C$62*Basicinfo!AG72)/SUM(Basicinfo!AB72:AG72))</f>
        <v>0.26546793526134443</v>
      </c>
      <c r="CI72" s="19">
        <f>IF(BB72=0,0,ROUND(3000/BB72,0))</f>
        <v>9</v>
      </c>
      <c r="CJ72" s="19">
        <f t="shared" si="62"/>
        <v>18.952890443245739</v>
      </c>
      <c r="CK72" s="19">
        <f t="shared" ref="CK72:CK84" si="76">IF(BB72=0,0,CJ72*100/BB72)</f>
        <v>5.5889615848764738</v>
      </c>
      <c r="CL72" s="19">
        <f>IF($BB72=0,0,$CJ72^Parameters!$C$58*100/$BB72)</f>
        <v>3.5948419969802963</v>
      </c>
      <c r="CM72" s="19">
        <f>IF(CK72=0,0,(1/(1+Parameters!$C$116*BB72^Parameters!$C$120)*Basicinfo!AH72/Basicinfo!G72+1/(1+Parameters!$C$117*BB72^Parameters!$C$121)*Basicinfo!AI72/Basicinfo!G72)*(CK72)^Parameters!$C$124+(1/(1+Parameters!$C$118*BB72^Parameters!$C$122)*Basicinfo!AJ72/Basicinfo!G72+1/(1+Parameters!$C$119*BB72^Parameters!$C$123)*Basicinfo!AK72/Basicinfo!G72)*(CK72)^Parameters!$C$125)</f>
        <v>1.1630080551968831</v>
      </c>
      <c r="CN72" s="19">
        <f>IF(SUM(Basicinfo!AB72:AG72)=0,0,(Parameters!$C$128*Basicinfo!AB72+Parameters!$C$129*(SUM(Basicinfo!AC72:AE72))+Parameters!$C$130*Basicinfo!AF72+Parameters!$C$131*Basicinfo!AG72)/SUM(Basicinfo!AB72:AG72))</f>
        <v>7.3084642953945664E-2</v>
      </c>
      <c r="CO72" s="19">
        <f>IF(Basicinfo!AH72+Basicinfo!AI72+Basicinfo!AJ72+Basicinfo!AK72=0,0,(Parameters!$C$132*(Basicinfo!AH72+Basicinfo!AI72)+Parameters!$C$133*Basicinfo!AJ72+Parameters!$C$134*Basicinfo!AK72)/(Basicinfo!AH72+Basicinfo!AI72+Basicinfo!AJ72+Basicinfo!AK72))</f>
        <v>5.0000000000000001E-4</v>
      </c>
      <c r="CP72" s="19">
        <f>IF(Basicinfo!AJ72+Basicinfo!AK72=0,0,(Parameters!$C$133*Basicinfo!AJ72+Parameters!$C$134*Basicinfo!AK72)/(Basicinfo!AJ72+Basicinfo!AK72))</f>
        <v>5.0000000000000001E-4</v>
      </c>
      <c r="CQ72" s="19">
        <f>IF(Z72=0,0,(CN72*(Z72-AA72)+CO72*Basicinfo!P72+CP72*(Basicinfo!Q72+Basicinfo!R72))/Z72)</f>
        <v>1.1741333933147871E-2</v>
      </c>
      <c r="CR72" s="19">
        <f>IF(CK72=0,0,IF(AND((Basicinfo!AI72+Basicinfo!AK72)&gt;0,(CM72/CK72)&lt;Parameters!$C$135),CQ72*Parameters!$C$136,CQ72))</f>
        <v>2.9353334832869678E-2</v>
      </c>
      <c r="CS72" s="19">
        <f>IF(SUM(Basicinfo!AB72:AG72)=0,0,(Basicinfo!AB72*Parameters!$C$43+(Basicinfo!AC72+Basicinfo!AD72)*Parameters!$C$44+Basicinfo!AE72*Parameters!$C$45+(Basicinfo!AF72+Basicinfo!AG72)*Parameters!$C$46)/SUM(Basicinfo!AB72:AG72))</f>
        <v>18.452487125271269</v>
      </c>
      <c r="CT72" s="19">
        <f>(Parameters!$C$41*CS72+Parameters!$C$42)</f>
        <v>463.21536867776695</v>
      </c>
      <c r="CU72" s="19">
        <f>CT72+Basicinfo!BR72/(Parameters!$C$47*Parameters!$C$49*Parameters!$C$48*10000/1000000)</f>
        <v>598.79600557681329</v>
      </c>
      <c r="CV72" s="19">
        <f>IF(BK72/Basicinfo!G72&lt;Parameters!$C$35,Parameters!$C$35,Parameters!$C$37*(BK72/Basicinfo!G72)^Parameters!$C$38)</f>
        <v>3.5172688181008285</v>
      </c>
      <c r="CW72" s="19">
        <f>IF(BK72/Basicinfo!G72&lt;Parameters!$C$35,Parameters!$C$36,Parameters!$C$36*(BK72/Basicinfo!G72)^Parameters!$C$38)</f>
        <v>8.2655817225369486</v>
      </c>
      <c r="CX72" s="27">
        <f>IF(Basicinfo!AJ72+Basicinfo!AK72=0,0,(Parameters!$C$53*Basicinfo!AJ72+Parameters!$C$54*Basicinfo!AK72)/(Basicinfo!AJ72+Basicinfo!AK72))</f>
        <v>750</v>
      </c>
      <c r="CY72" s="56">
        <f>IF(Basicinfo!AU72*AB72=0,0,((Basicinfo!AZ72+Basicinfo!BA72)/Basicinfo!AU72+Parameters!$C$76/(Basicinfo!AU72*AB72)*100))</f>
        <v>1.5125178179674115</v>
      </c>
      <c r="CZ72" s="43">
        <f>IF(Basicinfo!AU72*AB72=0,0,(Parameters!$C$77)/(Basicinfo!AU72*AB72)*100)</f>
        <v>0.49768071068788261</v>
      </c>
      <c r="DA72" s="43">
        <f>IF(AD72+AJ72=0,0,((J72*Parameters!$C$96+Parameters!$C$94/100*S72*100*Parameters!$C$93/1000*86400*Parameters!$C$95/24*Parameters!$C$98)*AI72+AD72*CY72*86400*365)/((AD72+AJ72*AI72/365)*86400*365))</f>
        <v>11.51210032473578</v>
      </c>
      <c r="DB72" s="43">
        <f>IF(AD72+AJ72=0,0,((J72*Parameters!$C$97+Parameters!$C$94/100*S72*100*Parameters!$C$93/1000*86400*Parameters!$C$95/24*Parameters!$C$99)*AI72+AD72*CZ72*86400*365)/((AD72+AJ72*AI72/365)*86400*365))</f>
        <v>2.0965924328107408</v>
      </c>
      <c r="DC72" s="42">
        <f>IF(AE72+AL72=0,0,((K72*Parameters!$C$96+Parameters!$C$94/100*T72*100*Parameters!$C$93/1000*86400*Parameters!$C$95/24*Parameters!$C$98)*365+AE72*CY72*86400*365)/((AE72+AL72)*86400*365))</f>
        <v>0</v>
      </c>
      <c r="DD72" s="42">
        <f>IF(AE72+AL72=0,0,((K72*Parameters!$C$97+Parameters!$C$94/100*T72*100*Parameters!$C$93/1000*86400*Parameters!$C$95/24*Parameters!$C$99)*365+AE72*CZ72*86400*365)/((AE72+AL72)*86400*365))</f>
        <v>0</v>
      </c>
      <c r="DE72" s="42">
        <f>IF(Basicinfo!AH72+Basicinfo!AI72+Basicinfo!AJ72+Basicinfo!AK72=0,0,((Basicinfo!AH72+Basicinfo!AI72)*Parameters!$C$107+(Basicinfo!AJ72+Basicinfo!AK72)*Parameters!$C$106)/(Basicinfo!AH72+Basicinfo!AI72+Basicinfo!AJ72+Basicinfo!AK72))</f>
        <v>51.708040636878387</v>
      </c>
      <c r="DF72" s="42">
        <f>IF(Basicinfo!AH72+Basicinfo!AI72+Basicinfo!AJ72+Basicinfo!AK72=0,0,((Basicinfo!AH72+Basicinfo!AI72)*Parameters!$C$109+(Basicinfo!AJ72+Basicinfo!AK72)*Parameters!$C$108)/(Basicinfo!AH72+Basicinfo!AI72+Basicinfo!AJ72+Basicinfo!AK72))</f>
        <v>51.708040636878387</v>
      </c>
      <c r="DG72" s="42">
        <f>Intermediate!AC72*Intermediate!CY72*(1-Parameters!$C$102/100*Basicinfo!BZ72/100)*(1-Parameters!$C$104/100*Basicinfo!CA72/100)*86400*365/1000000</f>
        <v>7.324463842111778E-2</v>
      </c>
      <c r="DH72" s="42">
        <f>Intermediate!AC72*Intermediate!CZ72*(1-Parameters!$C$103/100*Basicinfo!BZ72/100)*(1-Parameters!$C$105/100*Basicinfo!CA72/100)*86400*365/1000000</f>
        <v>2.4100505310069867E-2</v>
      </c>
      <c r="DI72" s="42">
        <f>(Intermediate!AK72*Intermediate!DA72+(Intermediate!AE72+Intermediate!AL72)*Intermediate!DC72)*86400*365/1000000</f>
        <v>0.77291612538238352</v>
      </c>
      <c r="DJ72" s="42">
        <f>(Intermediate!AK72*Intermediate!DB72+(Intermediate!AE72+Intermediate!AL72)*Intermediate!DD72)*86400*365/1000000</f>
        <v>0.14076407032278843</v>
      </c>
      <c r="DK72" s="42">
        <f>((Basicinfo!AZ72+Basicinfo!BA72)*Intermediate!AB72+Parameters!$C$76*100)/1000*Intermediate!U72*(1-Intermediate!DE72/100)+(1-Parameters!$C$110/100)*M72*Parameters!$C$100*(1-DE72/100)*365/1000000+(1-Parameters!$C$112/100)*P72*Parameters!$C$96*365/1000000+(1-Parameters!$C$112/100)*O72*Parameters!$C$96*(1-DE72/100)*365/1000000</f>
        <v>1.2414659855262722</v>
      </c>
      <c r="DL72" s="42">
        <f>Parameters!$C$77*100/1000*Intermediate!U72*(1-Intermediate!DF72/100)+(1-Parameters!$C$111/100)*M72*Parameters!$C$101*(1-DF72/100)*365/1000000+(1-Parameters!$C$113/100)*P72*Parameters!$C$97*365/1000000+(1-Parameters!$C$113/100)*O72*Parameters!$C$97*(1-DF72/100)*365/1000000</f>
        <v>0.19170651467266692</v>
      </c>
      <c r="DM72" s="31"/>
      <c r="DN72" s="31"/>
      <c r="DO72" s="31"/>
      <c r="DP72" s="31"/>
      <c r="DQ72" s="31"/>
      <c r="DR72" s="31"/>
      <c r="DS72" s="31"/>
      <c r="DT72" s="188">
        <f>BO72*(Basicinfo!$P72+Basicinfo!$Q72)/1000</f>
        <v>139.07611485333499</v>
      </c>
      <c r="DU72" s="188">
        <f>DT72*Basicinfo!$AZ72/(Basicinfo!$AZ72+Basicinfo!$BA72)</f>
        <v>72.299272630604207</v>
      </c>
      <c r="DV72" s="188">
        <f>DT72*Basicinfo!$BC72/(Basicinfo!$BB72+Basicinfo!$BC72)</f>
        <v>64.980912594425604</v>
      </c>
      <c r="DW72" s="188">
        <f>BP72*(Basicinfo!$P72+Basicinfo!$Q72)/1000</f>
        <v>203.56543928347239</v>
      </c>
      <c r="DX72" s="188">
        <f>DW72*Basicinfo!$BB72/(Basicinfo!$BB72+Basicinfo!$BC72)</f>
        <v>108.45300368462898</v>
      </c>
      <c r="DY72" s="188">
        <f>DW72*Basicinfo!$BC72/(Basicinfo!$BB72+Basicinfo!$BC72)</f>
        <v>95.11243559884339</v>
      </c>
      <c r="DZ72" s="188">
        <f t="shared" si="63"/>
        <v>28.868152290696791</v>
      </c>
      <c r="EA72" s="188">
        <f>DZ72*Basicinfo!$AZ72/(Basicinfo!$AZ72+Basicinfo!$BA72)</f>
        <v>15.007224029862522</v>
      </c>
      <c r="EB72" s="188">
        <f>DZ72*Basicinfo!$BC72/(Basicinfo!$BB72+Basicinfo!$BC72)</f>
        <v>13.488145557866456</v>
      </c>
      <c r="EC72" s="188">
        <f t="shared" si="64"/>
        <v>42.254258458075952</v>
      </c>
      <c r="ED72" s="188">
        <f>EC72*Basicinfo!$AZ72/(Basicinfo!$AZ72+Basicinfo!$BA72)</f>
        <v>21.966044674789035</v>
      </c>
      <c r="EE72" s="188">
        <f>EC72*Basicinfo!$BC72/(Basicinfo!$BB72+Basicinfo!$BC72)</f>
        <v>19.742572464740238</v>
      </c>
      <c r="EF72" s="190">
        <f>(Basicinfo!BP72-BL72/100)*Intermediate!X72/10</f>
        <v>140.00943658997457</v>
      </c>
      <c r="EG72" s="191">
        <f>(Basicinfo!BQ72-BM72/100)*Intermediate!X72/10</f>
        <v>135.48271854033746</v>
      </c>
      <c r="EH72" s="197">
        <f>IF(AU72=0,0,$BS72*((Basicinfo!$P72+Basicinfo!$Q72)*Intermediate!$AT72*1000+$AW72*3600*24*365)/1000000*Basicinfo!AZ72/(Basicinfo!$AZ72+Basicinfo!$BA72))</f>
        <v>4.10679517329379</v>
      </c>
      <c r="EI72" s="197">
        <f>IF(AU72=0,0,$BS72*((Basicinfo!$P72+Basicinfo!$Q72)*Intermediate!$AT72*1000+$AW72*3600*24*365)/1000000*Basicinfo!BA72/(Basicinfo!$AZ72+Basicinfo!$BA72))</f>
        <v>3.7931061178065941</v>
      </c>
      <c r="EJ72" s="198">
        <f>IF(AU72=0,0,$BS72*($AT72*$X72*1000)/1000000*Basicinfo!AZ72/(Basicinfo!$AZ72+Basicinfo!$BA72))</f>
        <v>0.80406609352704506</v>
      </c>
      <c r="EK72" s="198">
        <f>IF(AU72=0,0,$BS72*($AT72*$X72*1000)/1000000*Basicinfo!BA72/(Basicinfo!$AZ72+Basicinfo!$BA72))</f>
        <v>0.74264916797205471</v>
      </c>
      <c r="EL72" s="147">
        <f>Parameters!$C$150/Basicinfo!$AV72*100</f>
        <v>7.4971169965765111E-2</v>
      </c>
      <c r="EM72" s="147">
        <f>Parameters!$C$151/Basicinfo!$AV72*100</f>
        <v>0.14994233993153022</v>
      </c>
      <c r="EN72" s="147">
        <f>(Parameters!$C$150+Parameters!$C$151)/Intermediate!$BB72*100</f>
        <v>0.88466109192356213</v>
      </c>
      <c r="EO72" s="193">
        <f>IF(EN72=0,0,(1/(1+Parameters!$C$116*$BB72^Parameters!$C$120)*Basicinfo!$AH72/Basicinfo!$G72+1/(1+Parameters!$C$117*$BB72^Parameters!$C$121)*Basicinfo!$AI72/Basicinfo!$G72)*(EN72)^Parameters!$C$124+(1/(1+Parameters!$C$118*$BB72^Parameters!$C$122)*Basicinfo!$AJ72/Basicinfo!AW72+1/(1+Parameters!$C$119*$BB72^Parameters!$C$123)*Basicinfo!$AK72/Basicinfo!$G72)*(EN72)^Parameters!$C$125)</f>
        <v>0.25223786635864809</v>
      </c>
      <c r="EP72" s="199">
        <f>EL72*($AT72*Basicinfo!$P72*1000+$AW72*3600*24*365)/1000000</f>
        <v>1.0036263508475076</v>
      </c>
      <c r="EQ72" s="199">
        <f>EM72*($AT72*Basicinfo!$P72*1000+$AW72*3600*24*365)/1000000</f>
        <v>2.0072527016950152</v>
      </c>
      <c r="ER72" s="199">
        <f t="shared" si="65"/>
        <v>0.20098926628972444</v>
      </c>
      <c r="ES72" s="199">
        <f t="shared" si="66"/>
        <v>0.40197853257944888</v>
      </c>
      <c r="ET72" s="181">
        <f t="shared" ref="ET72:ET84" si="77">EO72*BA72/1000000*365*24*3600</f>
        <v>16.340683503930165</v>
      </c>
      <c r="EU72" s="147">
        <f>Intermediate!F72*(Parameters!$C$150)/1000*100</f>
        <v>0.10615018291987249</v>
      </c>
      <c r="EV72" s="147">
        <f>Intermediate!F72*(Parameters!$C$151)/1000*100</f>
        <v>0.21230036583974499</v>
      </c>
      <c r="EW72" s="181">
        <f>'Local emissions'!$S72*Basicinfo!AZ72/(Basicinfo!$AZ72+Basicinfo!$BA72)-Intermediate!EU72</f>
        <v>0.37504796752169478</v>
      </c>
      <c r="EX72" s="147">
        <f>'Local emissions'!$S72*Basicinfo!BA72/(Basicinfo!$AZ72+Basicinfo!$BA72)-Intermediate!EV72</f>
        <v>0.23214245911205927</v>
      </c>
      <c r="EY72" s="188">
        <f t="shared" ref="EY72:EY84" si="78">EH72-EP72</f>
        <v>3.1031688224462823</v>
      </c>
      <c r="EZ72" s="188">
        <f t="shared" ref="EZ72:EZ84" si="79">EI72-EQ72</f>
        <v>1.7858534161115789</v>
      </c>
      <c r="FA72" s="188">
        <f t="shared" ref="FA72:FA84" si="80">EJ72-ER72</f>
        <v>0.60307682723732059</v>
      </c>
      <c r="FB72" s="181">
        <f t="shared" ref="FB72:FB84" si="81">IF(EK72-ES72&lt;0,0,EK72-ES72)</f>
        <v>0.34067063539260584</v>
      </c>
      <c r="FC72" s="181">
        <f>'Local emissions'!Y72-Intermediate!ET72</f>
        <v>59.011185462876199</v>
      </c>
      <c r="FD72" s="188">
        <f t="shared" ref="FD72:FD84" si="82">FC72*DX72/($DW72+$EC72+$EG72)</f>
        <v>16.784421081948629</v>
      </c>
      <c r="FE72" s="188">
        <f t="shared" ref="FE72:FE84" si="83">FC72*DY72/($DW72+$EC72+$EG72)</f>
        <v>14.719805952658612</v>
      </c>
      <c r="FF72" s="181">
        <f t="shared" ref="FF72:FF84" si="84">FC72*ED72/2/(DW72+EC72+EG72)</f>
        <v>1.6997562575521756</v>
      </c>
      <c r="FG72" s="201">
        <f t="shared" ref="FG72:FG84" si="85">FC72*EE72/2/(DW72+EC72+EG72)</f>
        <v>1.5277015768630537</v>
      </c>
      <c r="FH72" s="181">
        <f t="shared" ref="FH72:FH84" si="86">FC72-FD72-FE72-FF72-FG72</f>
        <v>24.279500593853733</v>
      </c>
      <c r="FJ72" s="147">
        <f>AVERAGE(Parameters!$C$132:$C$134)*'Local emissions'!J72*3600*24*365/1000000</f>
        <v>3.2391416363901381E-2</v>
      </c>
      <c r="FK72" s="147">
        <f>'Local emissions'!AJ72+CT72*BJ72/100*Intermediate!X72*100/1000000</f>
        <v>0.50256624701094943</v>
      </c>
      <c r="FL72" s="31">
        <f>(Parameters!$C$18*(Basicinfo!AH72+Basicinfo!AI72)+Parameters!$C$19*Basicinfo!AJ72+Parameters!$C$20*Basicinfo!AK72)/Basicinfo!G72</f>
        <v>2.5427010159219599E-2</v>
      </c>
      <c r="FM72" s="181">
        <f t="shared" ref="FM72:FM80" si="87">FL72*(AU72+AW72)*3600*24*365/1000000</f>
        <v>0.42106308676909787</v>
      </c>
    </row>
    <row r="73" spans="1:169">
      <c r="A73" s="39" t="str">
        <f>Basicinfo!A73</f>
        <v>Gufling</v>
      </c>
      <c r="B73" s="63">
        <f>Basicinfo!B73</f>
        <v>1440</v>
      </c>
      <c r="C73" s="63">
        <f>Basicinfo!C73</f>
        <v>4060</v>
      </c>
      <c r="D73" s="61">
        <f>Basicinfo!U73*Basicinfo!V73/1000+Basicinfo!Y73</f>
        <v>0.82290490521569604</v>
      </c>
      <c r="E73" s="19">
        <f>Basicinfo!W73*Basicinfo!X73/1000+Basicinfo!Z73</f>
        <v>0</v>
      </c>
      <c r="F73" s="19">
        <f t="shared" si="71"/>
        <v>0.82290490521569604</v>
      </c>
      <c r="G73" s="19">
        <f>SUM(Basicinfo!H73:L73)</f>
        <v>0.70076794079042581</v>
      </c>
      <c r="H73" s="19">
        <f>IF(Basicinfo!N73&lt;Parameters!$C$68,Parameters!$C$69,Basicinfo!BS73/(Basicinfo!N73*100))</f>
        <v>14.868884567735975</v>
      </c>
      <c r="I73" s="19">
        <f>IF(Basicinfo!N73=0,0,Basicinfo!BU73*(1-Basicinfo!BX73/100))</f>
        <v>1177.6888178415188</v>
      </c>
      <c r="J73" s="19">
        <f>IF(Basicinfo!N73=0,0,Basicinfo!BU73*Basicinfo!BX73/100)</f>
        <v>1087.0973703152481</v>
      </c>
      <c r="K73" s="19">
        <f>IF(Basicinfo!N73=0,0,Basicinfo!BT73-Basicinfo!BU73)</f>
        <v>0</v>
      </c>
      <c r="L73" s="27">
        <f>Basicinfo!BV73*Basicinfo!BW73/100</f>
        <v>134.61333333333337</v>
      </c>
      <c r="M73" s="27">
        <f>Basicinfo!BV73-Intermediate!L73</f>
        <v>134.61333333333337</v>
      </c>
      <c r="N73" s="73">
        <f>Basicinfo!BS73-SUM(I73:K73)-Basicinfo!BV73</f>
        <v>0</v>
      </c>
      <c r="O73" s="19">
        <f>IF(Basicinfo!AH73+Basicinfo!AI73+Basicinfo!AJ73+Basicinfo!AK73=0,0,N73*(Basicinfo!AH73+Basicinfo!AI73)/SUM(Basicinfo!AH73:AK73))</f>
        <v>0</v>
      </c>
      <c r="P73" s="73">
        <f t="shared" si="67"/>
        <v>0</v>
      </c>
      <c r="Q73" s="19">
        <f>IF(Basicinfo!BS73=0,Basicinfo!N73,IF(H73&gt;Parameters!$C$70,Parameters!$C$64*(Parameters!$C$65*Parameters!$C$70)^(Parameters!$C$66-Parameters!$C$67*LOG(Parameters!$C$65*Parameters!$C$70,10))/100*Basicinfo!N73,Parameters!$C$64*(Parameters!$C$65*H73)^(Parameters!$C$66-Parameters!$C$67*LOG(Parameters!$C$65*H73,10))/100*Basicinfo!N73))</f>
        <v>0.43316358281068013</v>
      </c>
      <c r="R73" s="19">
        <f>IF(Basicinfo!BS73=0,Q73*(1-Basicinfo!BX73/100),IF(H73&lt;Parameters!$C$75,Q73*Basicinfo!BU73/Basicinfo!BS73*(1-Basicinfo!BX73/100)*(-Parameters!$C$74+Parameters!$C$73*LN(H73*100)),Q73*Basicinfo!BU73/Basicinfo!BS73*(1-Basicinfo!BX73/100)))</f>
        <v>0.10972714911568282</v>
      </c>
      <c r="S73" s="19">
        <f>IF(Basicinfo!BS73=0,Q73*Basicinfo!BX73/100,Q73*Basicinfo!BU73/Basicinfo!BS73*Basicinfo!BX73/100)</f>
        <v>0.18582817798003337</v>
      </c>
      <c r="T73" s="19">
        <f>IF(Basicinfo!BS73=0,0,IF(H73&lt;Parameters!$C$75,Q73*K73/Basicinfo!BS73*(-Parameters!$C$74+Parameters!$C$73*LN(H73*100)),Q73*K73/Basicinfo!BS73))</f>
        <v>0</v>
      </c>
      <c r="U73" s="19">
        <f t="shared" si="68"/>
        <v>0.13760825571496393</v>
      </c>
      <c r="V73" s="19">
        <f>IF(Basicinfo!AL73&gt;Parameters!$C$14,Basicinfo!Q73,0)</f>
        <v>0.76106110705896801</v>
      </c>
      <c r="W73" s="19">
        <f>IF(Basicinfo!AL73&gt;Parameters!$C$14,0,Basicinfo!Q73)</f>
        <v>0</v>
      </c>
      <c r="X73" s="19">
        <f>G73+Basicinfo!M73</f>
        <v>21.15444131847703</v>
      </c>
      <c r="Y73" s="19">
        <f>IF(Basicinfo!G73-F73-Q73-V73-Basicinfo!O73-Basicinfo!R73-Basicinfo!S73&lt;0,0,Basicinfo!G73-F73-Q73-V73-Basicinfo!O73-Basicinfo!R73-Basicinfo!S73)</f>
        <v>166.14714533859529</v>
      </c>
      <c r="Z73" s="19">
        <f>Basicinfo!G73-F73-Basicinfo!BO73-Q73-Basicinfo!O73</f>
        <v>165.36573998971147</v>
      </c>
      <c r="AA73" s="53">
        <f>IF(Z73+Basicinfo!BO73-X73&gt;0,Z73+Basicinfo!BO73-X73,0)</f>
        <v>145.78238671849658</v>
      </c>
      <c r="AB73" s="56">
        <f>IF(Basicinfo!N73=0,0,Parameters!$C$71+Parameters!$C$72*Q73/Basicinfo!N73)</f>
        <v>0.34062628173430443</v>
      </c>
      <c r="AC73" s="43">
        <f>Basicinfo!AU73*AB73*R73/1000/86.4/0.365</f>
        <v>1.8116753980466612E-3</v>
      </c>
      <c r="AD73" s="43">
        <f>Basicinfo!AU73*AB73*S73/1000/86.4/0.365</f>
        <v>3.0681589836561727E-3</v>
      </c>
      <c r="AE73" s="43">
        <f>Basicinfo!AU73*AB73*T73/1000/86.4/0.365</f>
        <v>0</v>
      </c>
      <c r="AF73" s="43">
        <f>Basicinfo!AU73*AB73*U73/1000/86.4/0.365</f>
        <v>2.2720128378080902E-3</v>
      </c>
      <c r="AG73" s="43">
        <f>((Parameters!$C$80+Parameters!$C$81*Parameters!$C$89)/(Parameters!$C$82+Parameters!$C$89)/(Parameters!$C$90/100*Parameters!$C$91+(Parameters!$C$83+Parameters!$C$84*Parameters!$C$89)/(Parameters!$C$85+Parameters!$C$89)))-Parameters!$C$86+(Basicinfo!AU73-Parameters!$C$88)/Parameters!$C$87</f>
        <v>89.603744292644365</v>
      </c>
      <c r="AH73" s="43">
        <f>((Parameters!$C$80+Parameters!$C$81*Parameters!$C$89)/(Parameters!$C$82+Parameters!$C$89)/(Basicinfo!BY73/100*Parameters!$C$91+(Parameters!$C$83+Parameters!$C$84*Parameters!$C$89)/(Parameters!$C$85+Parameters!$C$89)))-Parameters!$C$86+(Basicinfo!AU73-Parameters!$C$88)/Parameters!$C$87</f>
        <v>71.8008624260288</v>
      </c>
      <c r="AI73" s="43">
        <f>Basicinfo!AU73^Parameters!$C$79*Parameters!$C$78*AH73/AG73</f>
        <v>87.845922794093568</v>
      </c>
      <c r="AJ73" s="43">
        <f>(J73*Parameters!$C$92/1000+Parameters!$C$94/100*S73*100*Parameters!$C$93/1000*86400*Parameters!$C$95/24)/86400</f>
        <v>1.6418731862681104E-3</v>
      </c>
      <c r="AK73" s="43">
        <f t="shared" si="72"/>
        <v>2.4866898795709831E-3</v>
      </c>
      <c r="AL73" s="43">
        <f>(K73*Parameters!$C$92/1000+Parameters!$C$94/100*T73*100*Parameters!$C$93/1000*86400*Parameters!$C$95/24)/86400</f>
        <v>0</v>
      </c>
      <c r="AM73" s="43">
        <f>(Intermediate!N73+Basicinfo!BV73-Intermediate!L73)*Parameters!$C$92/1000/86400</f>
        <v>2.0254320987654327E-4</v>
      </c>
      <c r="AN73" s="43">
        <f t="shared" si="73"/>
        <v>4.0146400089134731E-3</v>
      </c>
      <c r="AO73" s="43">
        <f t="shared" si="69"/>
        <v>2.4866898795709831E-3</v>
      </c>
      <c r="AP73" s="43">
        <f t="shared" si="70"/>
        <v>2.4745560476846333E-3</v>
      </c>
      <c r="AQ73" s="43">
        <f t="shared" si="58"/>
        <v>6.7729213253022776E-3</v>
      </c>
      <c r="AR73" s="61">
        <f>(Basicinfo!AU73-Basicinfo!AY73)*F73/1000/86.4/0.365</f>
        <v>2.5046090657325736E-2</v>
      </c>
      <c r="AS73" s="19">
        <f>IF(Basicinfo!AP73-Basicinfo!CB73-Basicinfo!CG73&lt;0,0,(Basicinfo!AP73-Basicinfo!CB73-Basicinfo!CG73)/Basicinfo!G73*1000)</f>
        <v>30.424361588200668</v>
      </c>
      <c r="AT73" s="19">
        <f>Parameters!$C$3*((AS73*86.4*0.365)^Parameters!$C$4)</f>
        <v>221.46994137528651</v>
      </c>
      <c r="AU73" s="19">
        <f>IF(AT73/86.4/0.365*(Basicinfo!G73/1000)-AN73&lt;0,0,AT73/86.4/0.365*(Basicinfo!G73/1000)-AN73)</f>
        <v>1.1771646767443646</v>
      </c>
      <c r="AV73" s="19">
        <f>IF(Basicinfo!AU73&gt;Parameters!$C$13,Parameters!$C$11*(Basicinfo!AU73-Parameters!$C$13)^Parameters!$C$12,0)</f>
        <v>208.71545573437271</v>
      </c>
      <c r="AW73" s="19">
        <f>IF(AV73*V73/1000/86.4/0.365&gt;Basicinfo!AP73*Parameters!$C$15,Basicinfo!AP73*Parameters!$C$15,AV73*V73/1000/86.4/0.365)</f>
        <v>5.0369487506823542E-3</v>
      </c>
      <c r="AX73" s="19">
        <f>Basicinfo!AU73-Basicinfo!AW73</f>
        <v>545.81701701428597</v>
      </c>
      <c r="AY73" s="19">
        <f>Parameters!$C$56*AX73+Parameters!$C$57*Basicinfo!AW73</f>
        <v>371.18711969890012</v>
      </c>
      <c r="AZ73" s="19">
        <f>AY73*Basicinfo!BO73/1000/86.4/0.365</f>
        <v>1.8492124779826331E-2</v>
      </c>
      <c r="BA73" s="19">
        <f>IF(Basicinfo!AP73-AQ73-AR73-AU73-AW73-AZ73-Basicinfo!CB73-Basicinfo!CG73&lt;0,0,Basicinfo!AP73-AQ73-AR73-AU73-AW73-AZ73-Basicinfo!CB73-Basicinfo!CG73)</f>
        <v>3.8846487381859189</v>
      </c>
      <c r="BB73" s="53">
        <f t="shared" si="59"/>
        <v>740.82021230669113</v>
      </c>
      <c r="BC73" s="56">
        <f>IF(G73=0,0,((Basicinfo!H73*Basicinfo!BE73+Basicinfo!I73*Basicinfo!BF73+Basicinfo!J73*Basicinfo!BG73+Basicinfo!K73*Basicinfo!BH73+Basicinfo!L73*Basicinfo!BI73)*(1-Basicinfo!BN73/G73*Parameters!$C$26/100)/G73)*Basicinfo!BM73)</f>
        <v>4.0873761156650295</v>
      </c>
      <c r="BD73" s="43">
        <f>IF(Basicinfo!AW73*Parameters!$C$39-Parameters!$C$40&lt;0,0.001,(Basicinfo!AW73*Parameters!$C$39-Parameters!$C$40)/(Basicinfo!AX73*Parameters!$C$39-Parameters!$C$40))</f>
        <v>1.2106541655036052</v>
      </c>
      <c r="BE73" s="43">
        <f>(BC73*G73*100+Basicinfo!BJ73*Basicinfo!M73*100)*Parameters!$C$29*BD73</f>
        <v>743.81670840037532</v>
      </c>
      <c r="BF73" s="43">
        <f>(Basicinfo!BK73*Basicinfo!P73*100)*BD73*Parameters!$C$29</f>
        <v>1187.5899719275903</v>
      </c>
      <c r="BG73" s="43">
        <f>Parameters!$C$27*(V73+W73)*100</f>
        <v>15.221222141179361</v>
      </c>
      <c r="BH73" s="43">
        <f>Parameters!$C$28*Basicinfo!R73*100</f>
        <v>0</v>
      </c>
      <c r="BI73" s="43">
        <f t="shared" si="74"/>
        <v>1202.8111940687697</v>
      </c>
      <c r="BJ73" s="43">
        <f>IF(Basicinfo!AM73&lt;Parameters!$C$33,0,Parameters!$C$30*(((Basicinfo!AM73-Parameters!$C$33)^Parameters!$C$31)*(((G73-Basicinfo!BN73)/Basicinfo!G73*100+Parameters!$C$34))^Parameters!$C$32))</f>
        <v>1.4229289361762147</v>
      </c>
      <c r="BK73" s="58">
        <f t="shared" si="75"/>
        <v>1213.3951772447122</v>
      </c>
      <c r="BL73" s="61">
        <f>Basicinfo!AZ73+Basicinfo!BA73</f>
        <v>1082.5320457391213</v>
      </c>
      <c r="BM73" s="19">
        <f>Basicinfo!BB73+Basicinfo!BC73</f>
        <v>1584.4976684250382</v>
      </c>
      <c r="BN73" s="172">
        <f>IF(Basicinfo!AO73=0,0,IF(Basicinfo!AO73="NA",1,IF(OR(Basicinfo!AO73="SA",Basicinfo!AN73="S"),3,IF(Basicinfo!AN73="N",1,IF(Basicinfo!AO73="ZA",2,0)))))</f>
        <v>1</v>
      </c>
      <c r="BO73" s="27">
        <f>IF($BN73=1,(BL73)*(1+Parameters!$C$21*Parameters!$C$22-Parameters!$C$22*Basicinfo!$AL73),IF($BN73=2,(BL73)*(1+Parameters!$C$21*Parameters!$C$23-Parameters!$C$23*Basicinfo!$AL73),IF($BN73=3,(BL73)*(1+Parameters!$C$21*Parameters!$C$24-Parameters!$C$24*Basicinfo!$AL73),BL73)))</f>
        <v>880.30184558969484</v>
      </c>
      <c r="BP73" s="27">
        <f>IF($BN73=1,(BM73)*(1+Parameters!$C$21*Parameters!$C$22-Parameters!$C$22*Basicinfo!$AL73),IF($BN73=2,(BM73)*(1+Parameters!$C$21*Parameters!$C$23-Parameters!$C$23*Basicinfo!$AL73),IF($BN73=3,(BM73)*(1+Parameters!$C$21*Parameters!$C$24-Parameters!$C$24*Basicinfo!$AL73),BM73)))</f>
        <v>1288.4941626783677</v>
      </c>
      <c r="BQ73" s="27">
        <f>IF(Basicinfo!AU73=0,0,IF(G73+Basicinfo!M73=0,0,(Parameters!$C$16+BO73/Basicinfo!AU73)*G73+(Parameters!$C$17+BO73/Basicinfo!AU73)*Basicinfo!M73)/(G73+Basicinfo!M73))</f>
        <v>0.58582434452563048</v>
      </c>
      <c r="BR73" s="27">
        <f>IF(Basicinfo!AU73=0,0,IF(G73+Basicinfo!M73=0,0,(Parameters!$C$16+BP73/Basicinfo!AU73)*G73+(Parameters!$C$17+BP73/Basicinfo!AU73)*Basicinfo!M73)/(G73+Basicinfo!M73))</f>
        <v>0.8528605093501167</v>
      </c>
      <c r="BS73" s="27">
        <f>IF(Basicinfo!AU73=0,0,BO73/Basicinfo!AU73)</f>
        <v>0.57588646060460691</v>
      </c>
      <c r="BT73" s="27">
        <f>IF(Basicinfo!AU73=0,0,BP73/Basicinfo!AU73)</f>
        <v>0.84292262542909313</v>
      </c>
      <c r="BU73" s="27">
        <f>IF(SUM(G73,Basicinfo!M73,Basicinfo!P73,W73)=0,0,(BQ73*(G73+Basicinfo!M73)+BS73*(Basicinfo!P73+W73))/SUM(G73,Basicinfo!M73,Basicinfo!P73,W73))</f>
        <v>0.57716154183354706</v>
      </c>
      <c r="BV73" s="19">
        <f>IF(Basicinfo!BR73/Parameters!$C$10&gt;1,1,Basicinfo!BR73/Parameters!$C$10)</f>
        <v>0.50167112611860121</v>
      </c>
      <c r="BW73" s="19">
        <f>Parameters!$C$5+Parameters!$C$6*EXP(BV73*Parameters!$C$8*Parameters!$C$7)</f>
        <v>3.5676576408372997E-2</v>
      </c>
      <c r="BX73" s="19">
        <f>Parameters!$C$5+Parameters!$C$6*EXP(BV73*Parameters!$C$9*Parameters!$C$7)</f>
        <v>3.5310894971320693E-2</v>
      </c>
      <c r="BY73" s="19">
        <f>IF(Basicinfo!AH73+Basicinfo!AI73+Basicinfo!AJ73+Basicinfo!AK73=0,0,(Parameters!$C$18*(Basicinfo!AH73+Basicinfo!AI73)+Parameters!$C$19*Basicinfo!AJ73+Parameters!$C$20*Basicinfo!AK73)/(Basicinfo!AH73+Basicinfo!AI73+Basicinfo!AJ73+Basicinfo!AK73))</f>
        <v>2.5264922833613177E-2</v>
      </c>
      <c r="BZ73" s="19">
        <f>IF(Basicinfo!AJ73+Basicinfo!AK73=0,Parameters!$C$18,(Parameters!$C$19*Basicinfo!AJ73+Parameters!$C$20*Basicinfo!AK73)/(Basicinfo!AJ73+Basicinfo!AK73))</f>
        <v>2.5000000000000005E-2</v>
      </c>
      <c r="CA73" s="19">
        <f>IF(SUM(G73,Basicinfo!M73,Basicinfo!P73,W73)=0,0,(BW73*G73+BX73*Basicinfo!M73+BY73*Basicinfo!P73+BZ73*W73)/(SUM(G73,Basicinfo!M73,Basicinfo!P73,W73)))</f>
        <v>2.6555426577544866E-2</v>
      </c>
      <c r="CB73" s="19">
        <f>IF(Y73=0,Basicinfo!BP73,Basicinfo!BP73-(AU73*X73/Y73*Intermediate!BQ73*86400*365/1000000)*1000/(X73*100))</f>
        <v>57.993102094551624</v>
      </c>
      <c r="CC73" s="19">
        <f>IF(Y73=0,Basicinfo!BQ73,Basicinfo!BQ73-(AU73*Basicinfo!AV73/Basicinfo!AU73*X73/Y73*Intermediate!BR73*86400*365/1000000)*1000/(X73*100))</f>
        <v>48.486282831040192</v>
      </c>
      <c r="CD73" s="19">
        <f>IF(OR(Y73=0,AA73=0),BP73/100,BP73/100-(AU73*Basicinfo!AV73/Basicinfo!AU73*(Basicinfo!P73+W73)/Y73*Intermediate!BT73*86400*365/1000000+AW73*Basicinfo!AV73/Basicinfo!AU73*Intermediate!BT73*86400*365/1000000)*1000/(AA73*100))</f>
        <v>11.216330742701599</v>
      </c>
      <c r="CE73" s="19">
        <f t="shared" si="60"/>
        <v>94952.400548830134</v>
      </c>
      <c r="CF73" s="19">
        <f t="shared" si="61"/>
        <v>163514.34658950867</v>
      </c>
      <c r="CG73" s="19">
        <f>IF(AY73=0,0,((CB73^Parameters!$C$58))/AY73*100)</f>
        <v>8.497222519823783</v>
      </c>
      <c r="CH73" s="19">
        <f>IF(SUM(Basicinfo!AB73:AG73)=0,0,(Parameters!$C$59*Basicinfo!AB73+Parameters!$C$60*SUM(Basicinfo!AC73:AE73)+Parameters!$C$61*Basicinfo!AF73+Parameters!$C$62*Basicinfo!AG73)/SUM(Basicinfo!AB73:AG73))</f>
        <v>0.37826429879918921</v>
      </c>
      <c r="CI73" s="19">
        <f>IF(BB73=0,0,ROUND(3000/BB73,0))</f>
        <v>4</v>
      </c>
      <c r="CJ73" s="19">
        <f t="shared" si="62"/>
        <v>15.630005777159148</v>
      </c>
      <c r="CK73" s="19">
        <f t="shared" si="76"/>
        <v>2.1098244239978303</v>
      </c>
      <c r="CL73" s="19">
        <f>IF($BB73=0,0,$CJ73^Parameters!$C$58*100/$BB73)</f>
        <v>1.39685859620556</v>
      </c>
      <c r="CM73" s="19">
        <f>IF(CK73=0,0,(1/(1+Parameters!$C$116*BB73^Parameters!$C$120)*Basicinfo!AH73/Basicinfo!G73+1/(1+Parameters!$C$117*BB73^Parameters!$C$121)*Basicinfo!AI73/Basicinfo!G73)*(CK73)^Parameters!$C$124+(1/(1+Parameters!$C$118*BB73^Parameters!$C$122)*Basicinfo!AJ73/Basicinfo!G73+1/(1+Parameters!$C$119*BB73^Parameters!$C$123)*Basicinfo!AK73/Basicinfo!G73)*(CK73)^Parameters!$C$125)</f>
        <v>0.4915562615592648</v>
      </c>
      <c r="CN73" s="19">
        <f>IF(SUM(Basicinfo!AB73:AG73)=0,0,(Parameters!$C$128*Basicinfo!AB73+Parameters!$C$129*(SUM(Basicinfo!AC73:AE73))+Parameters!$C$130*Basicinfo!AF73+Parameters!$C$131*Basicinfo!AG73)/SUM(Basicinfo!AB73:AG73))</f>
        <v>6.94362488076848E-2</v>
      </c>
      <c r="CO73" s="19">
        <f>IF(Basicinfo!AH73+Basicinfo!AI73+Basicinfo!AJ73+Basicinfo!AK73=0,0,(Parameters!$C$132*(Basicinfo!AH73+Basicinfo!AI73)+Parameters!$C$133*Basicinfo!AJ73+Parameters!$C$134*Basicinfo!AK73)/(Basicinfo!AH73+Basicinfo!AI73+Basicinfo!AJ73+Basicinfo!AK73))</f>
        <v>5.0000000000000001E-4</v>
      </c>
      <c r="CP73" s="19">
        <f>IF(Basicinfo!AJ73+Basicinfo!AK73=0,0,(Parameters!$C$133*Basicinfo!AJ73+Parameters!$C$134*Basicinfo!AK73)/(Basicinfo!AJ73+Basicinfo!AK73))</f>
        <v>5.0000000000000001E-4</v>
      </c>
      <c r="CQ73" s="19">
        <f>IF(Z73=0,0,(CN73*(Z73-AA73)+CO73*Basicinfo!P73+CP73*(Basicinfo!Q73+Basicinfo!R73))/Z73)</f>
        <v>8.6598102806635831E-3</v>
      </c>
      <c r="CR73" s="19">
        <f>IF(CK73=0,0,IF(AND((Basicinfo!AI73+Basicinfo!AK73)&gt;0,(CM73/CK73)&lt;Parameters!$C$135),CQ73*Parameters!$C$136,CQ73))</f>
        <v>2.1649525701658956E-2</v>
      </c>
      <c r="CS73" s="19">
        <f>IF(SUM(Basicinfo!AB73:AG73)=0,0,(Basicinfo!AB73*Parameters!$C$43+(Basicinfo!AC73+Basicinfo!AD73)*Parameters!$C$44+Basicinfo!AE73*Parameters!$C$45+(Basicinfo!AF73+Basicinfo!AG73)*Parameters!$C$46)/SUM(Basicinfo!AB73:AG73))</f>
        <v>14.565113989409227</v>
      </c>
      <c r="CT73" s="19">
        <f>(Parameters!$C$41*CS73+Parameters!$C$42)</f>
        <v>423.5641626919741</v>
      </c>
      <c r="CU73" s="19">
        <f>CT73+Basicinfo!BR73/(Parameters!$C$47*Parameters!$C$49*Parameters!$C$48*10000/1000000)</f>
        <v>600.25336434380847</v>
      </c>
      <c r="CV73" s="19">
        <f>IF(BK73/Basicinfo!G73&lt;Parameters!$C$35,Parameters!$C$35,Parameters!$C$37*(BK73/Basicinfo!G73)^Parameters!$C$38)</f>
        <v>3.025890263732117</v>
      </c>
      <c r="CW73" s="19">
        <f>IF(BK73/Basicinfo!G73&lt;Parameters!$C$35,Parameters!$C$36,Parameters!$C$36*(BK73/Basicinfo!G73)^Parameters!$C$38)</f>
        <v>7.1108421197704752</v>
      </c>
      <c r="CX73" s="27">
        <f>IF(Basicinfo!AJ73+Basicinfo!AK73=0,0,(Parameters!$C$53*Basicinfo!AJ73+Parameters!$C$54*Basicinfo!AK73)/(Basicinfo!AJ73+Basicinfo!AK73))</f>
        <v>750</v>
      </c>
      <c r="CY73" s="56">
        <f>IF(Basicinfo!AU73*AB73=0,0,((Basicinfo!AZ73+Basicinfo!BA73)/Basicinfo!AU73+Parameters!$C$76/(Basicinfo!AU73*AB73)*100))</f>
        <v>1.4764064725760515</v>
      </c>
      <c r="CZ73" s="43">
        <f>IF(Basicinfo!AU73*AB73=0,0,(Parameters!$C$77)/(Basicinfo!AU73*AB73)*100)</f>
        <v>0.48013914043063649</v>
      </c>
      <c r="DA73" s="43">
        <f>IF(AD73+AJ73=0,0,((J73*Parameters!$C$96+Parameters!$C$94/100*S73*100*Parameters!$C$93/1000*86400*Parameters!$C$95/24*Parameters!$C$98)*AI73+AD73*CY73*86400*365)/((AD73+AJ73*AI73/365)*86400*365))</f>
        <v>11.801161985682848</v>
      </c>
      <c r="DB73" s="43">
        <f>IF(AD73+AJ73=0,0,((J73*Parameters!$C$97+Parameters!$C$94/100*S73*100*Parameters!$C$93/1000*86400*Parameters!$C$95/24*Parameters!$C$99)*AI73+AD73*CZ73*86400*365)/((AD73+AJ73*AI73/365)*86400*365))</f>
        <v>2.1323893608095035</v>
      </c>
      <c r="DC73" s="42">
        <f>IF(AE73+AL73=0,0,((K73*Parameters!$C$96+Parameters!$C$94/100*T73*100*Parameters!$C$93/1000*86400*Parameters!$C$95/24*Parameters!$C$98)*365+AE73*CY73*86400*365)/((AE73+AL73)*86400*365))</f>
        <v>0</v>
      </c>
      <c r="DD73" s="42">
        <f>IF(AE73+AL73=0,0,((K73*Parameters!$C$97+Parameters!$C$94/100*T73*100*Parameters!$C$93/1000*86400*Parameters!$C$95/24*Parameters!$C$99)*365+AE73*CZ73*86400*365)/((AE73+AL73)*86400*365))</f>
        <v>0</v>
      </c>
      <c r="DE73" s="42">
        <f>IF(Basicinfo!AH73+Basicinfo!AI73+Basicinfo!AJ73+Basicinfo!AK73=0,0,((Basicinfo!AH73+Basicinfo!AI73)*Parameters!$C$107+(Basicinfo!AJ73+Basicinfo!AK73)*Parameters!$C$106)/(Basicinfo!AH73+Basicinfo!AI73+Basicinfo!AJ73+Basicinfo!AK73))</f>
        <v>51.059691334452701</v>
      </c>
      <c r="DF73" s="42">
        <f>IF(Basicinfo!AH73+Basicinfo!AI73+Basicinfo!AJ73+Basicinfo!AK73=0,0,((Basicinfo!AH73+Basicinfo!AI73)*Parameters!$C$109+(Basicinfo!AJ73+Basicinfo!AK73)*Parameters!$C$108)/(Basicinfo!AH73+Basicinfo!AI73+Basicinfo!AJ73+Basicinfo!AK73))</f>
        <v>51.059691334452701</v>
      </c>
      <c r="DG73" s="42">
        <f>Intermediate!AC73*Intermediate!CY73*(1-Parameters!$C$102/100*Basicinfo!BZ73/100)*(1-Parameters!$C$104/100*Basicinfo!CA73/100)*86400*365/1000000</f>
        <v>8.4351524136530673E-2</v>
      </c>
      <c r="DH73" s="42">
        <f>Intermediate!AC73*Intermediate!CZ73*(1-Parameters!$C$103/100*Basicinfo!BZ73/100)*(1-Parameters!$C$105/100*Basicinfo!CA73/100)*86400*365/1000000</f>
        <v>2.7431787278920705E-2</v>
      </c>
      <c r="DI73" s="42">
        <f>(Intermediate!AK73*Intermediate!DA73+(Intermediate!AE73+Intermediate!AL73)*Intermediate!DC73)*86400*365/1000000</f>
        <v>0.9254500973074945</v>
      </c>
      <c r="DJ73" s="42">
        <f>(Intermediate!AK73*Intermediate!DB73+(Intermediate!AE73+Intermediate!AL73)*Intermediate!DD73)*86400*365/1000000</f>
        <v>0.16722251112668152</v>
      </c>
      <c r="DK73" s="42">
        <f>((Basicinfo!AZ73+Basicinfo!BA73)*Intermediate!AB73+Parameters!$C$76*100)/1000*Intermediate!U73*(1-Intermediate!DE73/100)+(1-Parameters!$C$110/100)*M73*Parameters!$C$100*(1-DE73/100)*365/1000000+(1-Parameters!$C$112/100)*P73*Parameters!$C$96*365/1000000+(1-Parameters!$C$112/100)*O73*Parameters!$C$96*(1-DE73/100)*365/1000000</f>
        <v>0.24654616933481005</v>
      </c>
      <c r="DL73" s="42">
        <f>Parameters!$C$77*100/1000*Intermediate!U73*(1-Intermediate!DF73/100)+(1-Parameters!$C$111/100)*M73*Parameters!$C$101*(1-DF73/100)*365/1000000+(1-Parameters!$C$113/100)*P73*Parameters!$C$97*365/1000000+(1-Parameters!$C$113/100)*O73*Parameters!$C$97*(1-DF73/100)*365/1000000</f>
        <v>4.2851267992542123E-2</v>
      </c>
      <c r="DM73" s="31"/>
      <c r="DN73" s="31"/>
      <c r="DO73" s="31"/>
      <c r="DP73" s="31"/>
      <c r="DQ73" s="31"/>
      <c r="DR73" s="31"/>
      <c r="DS73" s="31"/>
      <c r="DT73" s="188">
        <f>BO73*(Basicinfo!$P73+Basicinfo!$Q73)/1000</f>
        <v>127.18837866906564</v>
      </c>
      <c r="DU73" s="188">
        <f>DT73*Basicinfo!$AZ73/(Basicinfo!$AZ73+Basicinfo!$BA73)</f>
        <v>66.119364702544146</v>
      </c>
      <c r="DV73" s="188">
        <f>DT73*Basicinfo!$BC73/(Basicinfo!$BB73+Basicinfo!$BC73)</f>
        <v>59.426601889764278</v>
      </c>
      <c r="DW73" s="188">
        <f>BP73*(Basicinfo!$P73+Basicinfo!$Q73)/1000</f>
        <v>186.16510268229223</v>
      </c>
      <c r="DX73" s="188">
        <f>DW73*Basicinfo!$BB73/(Basicinfo!$BB73+Basicinfo!$BC73)</f>
        <v>99.182631810066127</v>
      </c>
      <c r="DY73" s="188">
        <f>DW73*Basicinfo!$BC73/(Basicinfo!$BB73+Basicinfo!$BC73)</f>
        <v>86.982470872226131</v>
      </c>
      <c r="DZ73" s="188">
        <f t="shared" si="63"/>
        <v>18.62229373507423</v>
      </c>
      <c r="EA73" s="188">
        <f>DZ73*Basicinfo!$AZ73/(Basicinfo!$AZ73+Basicinfo!$BA73)</f>
        <v>9.680870563426307</v>
      </c>
      <c r="EB73" s="188">
        <f>DZ73*Basicinfo!$BC73/(Basicinfo!$BB73+Basicinfo!$BC73)</f>
        <v>8.7009493135214093</v>
      </c>
      <c r="EC73" s="188">
        <f t="shared" si="64"/>
        <v>27.257374153579725</v>
      </c>
      <c r="ED73" s="188">
        <f>EC73*Basicinfo!$AZ73/(Basicinfo!$AZ73+Basicinfo!$BA73)</f>
        <v>14.169850118016903</v>
      </c>
      <c r="EE73" s="188">
        <f>EC73*Basicinfo!$BC73/(Basicinfo!$BB73+Basicinfo!$BC73)</f>
        <v>12.735543446148974</v>
      </c>
      <c r="EF73" s="190">
        <f>(Basicinfo!BP73-BL73/100)*Intermediate!X73/10</f>
        <v>102.54978752334907</v>
      </c>
      <c r="EG73" s="191">
        <f>(Basicinfo!BQ73-BM73/100)*Intermediate!X73/10</f>
        <v>72.655707027420817</v>
      </c>
      <c r="EH73" s="197">
        <f>IF(AU73=0,0,$BS73*((Basicinfo!$P73+Basicinfo!$Q73)*Intermediate!$AT73*1000+$AW73*3600*24*365)/1000000*Basicinfo!AZ73/(Basicinfo!$AZ73+Basicinfo!$BA73))</f>
        <v>9.6271841974991439</v>
      </c>
      <c r="EI73" s="197">
        <f>IF(AU73=0,0,$BS73*((Basicinfo!$P73+Basicinfo!$Q73)*Intermediate!$AT73*1000+$AW73*3600*24*365)/1000000*Basicinfo!BA73/(Basicinfo!$AZ73+Basicinfo!$BA73))</f>
        <v>8.8918374951162846</v>
      </c>
      <c r="EJ73" s="198">
        <f>IF(AU73=0,0,$BS73*($AT73*$X73*1000)/1000000*Basicinfo!AZ73/(Basicinfo!$AZ73+Basicinfo!$BA73))</f>
        <v>1.4026020198205009</v>
      </c>
      <c r="EK73" s="198">
        <f>IF(AU73=0,0,$BS73*($AT73*$X73*1000)/1000000*Basicinfo!BA73/(Basicinfo!$AZ73+Basicinfo!$BA73))</f>
        <v>1.2954680179283933</v>
      </c>
      <c r="EL73" s="147">
        <f>Parameters!$C$150/Basicinfo!$AV73*100</f>
        <v>7.3155818083050536E-2</v>
      </c>
      <c r="EM73" s="147">
        <f>Parameters!$C$151/Basicinfo!$AV73*100</f>
        <v>0.14631163616610107</v>
      </c>
      <c r="EN73" s="147">
        <f>(Parameters!$C$150+Parameters!$C$151)/Intermediate!$BB73*100</f>
        <v>0.40495655358253563</v>
      </c>
      <c r="EO73" s="193">
        <f>IF(EN73=0,0,(1/(1+Parameters!$C$116*$BB73^Parameters!$C$120)*Basicinfo!$AH73/Basicinfo!$G73+1/(1+Parameters!$C$117*$BB73^Parameters!$C$121)*Basicinfo!$AI73/Basicinfo!$G73)*(EN73)^Parameters!$C$124+(1/(1+Parameters!$C$118*$BB73^Parameters!$C$122)*Basicinfo!$AJ73/Basicinfo!AW73+1/(1+Parameters!$C$119*$BB73^Parameters!$C$123)*Basicinfo!$AK73/Basicinfo!$G73)*(EN73)^Parameters!$C$125)</f>
        <v>0.12485464674269549</v>
      </c>
      <c r="EP73" s="199">
        <f>EL73*($AT73*Basicinfo!$P73*1000+$AW73*3600*24*365)/1000000</f>
        <v>2.340171657584861</v>
      </c>
      <c r="EQ73" s="199">
        <f>EM73*($AT73*Basicinfo!$P73*1000+$AW73*3600*24*365)/1000000</f>
        <v>4.680343315169722</v>
      </c>
      <c r="ER73" s="199">
        <f t="shared" si="65"/>
        <v>0.3427403392148935</v>
      </c>
      <c r="ES73" s="199">
        <f t="shared" si="66"/>
        <v>0.68548067842978699</v>
      </c>
      <c r="ET73" s="181">
        <f t="shared" si="77"/>
        <v>15.295478638711634</v>
      </c>
      <c r="EU73" s="147">
        <f>Intermediate!F73*(Parameters!$C$150)/1000*100</f>
        <v>8.2290490521569615E-2</v>
      </c>
      <c r="EV73" s="147">
        <f>Intermediate!F73*(Parameters!$C$151)/1000*100</f>
        <v>0.16458098104313923</v>
      </c>
      <c r="EW73" s="181">
        <f>'Local emissions'!$S73*Basicinfo!AZ73/(Basicinfo!$AZ73+Basicinfo!$BA73)-Intermediate!EU73</f>
        <v>0.29429406463014601</v>
      </c>
      <c r="EX73" s="147">
        <f>'Local emissions'!$S73*Basicinfo!BA73/(Basicinfo!$AZ73+Basicinfo!$BA73)-Intermediate!EV73</f>
        <v>0.18323917061133516</v>
      </c>
      <c r="EY73" s="188">
        <f t="shared" si="78"/>
        <v>7.2870125399142829</v>
      </c>
      <c r="EZ73" s="188">
        <f t="shared" si="79"/>
        <v>4.2114941799465626</v>
      </c>
      <c r="FA73" s="188">
        <f t="shared" si="80"/>
        <v>1.0598616806056074</v>
      </c>
      <c r="FB73" s="181">
        <f t="shared" si="81"/>
        <v>0.60998733949860628</v>
      </c>
      <c r="FC73" s="181">
        <f>'Local emissions'!Y73-Intermediate!ET73</f>
        <v>45.029268924108841</v>
      </c>
      <c r="FD73" s="188">
        <f t="shared" si="82"/>
        <v>15.611541362799445</v>
      </c>
      <c r="FE73" s="188">
        <f t="shared" si="83"/>
        <v>13.691212030556731</v>
      </c>
      <c r="FF73" s="181">
        <f t="shared" si="84"/>
        <v>1.1151811420255051</v>
      </c>
      <c r="FG73" s="201">
        <f t="shared" si="85"/>
        <v>1.0022997961378231</v>
      </c>
      <c r="FH73" s="181">
        <f t="shared" si="86"/>
        <v>13.609034592589339</v>
      </c>
      <c r="FJ73" s="147">
        <f>AVERAGE(Parameters!$C$132:$C$134)*'Local emissions'!J73*3600*24*365/1000000</f>
        <v>6.1253141303715571E-2</v>
      </c>
      <c r="FK73" s="147">
        <f>'Local emissions'!AJ73+CT73*BJ73/100*Intermediate!X73*100/1000000</f>
        <v>0.55858122179087988</v>
      </c>
      <c r="FL73" s="31">
        <f>(Parameters!$C$18*(Basicinfo!AH73+Basicinfo!AI73)+Parameters!$C$19*Basicinfo!AJ73+Parameters!$C$20*Basicinfo!AK73)/Basicinfo!G73</f>
        <v>2.5264922833613177E-2</v>
      </c>
      <c r="FM73" s="181">
        <f t="shared" si="87"/>
        <v>0.94192459090229796</v>
      </c>
    </row>
    <row r="74" spans="1:169">
      <c r="A74" s="39" t="str">
        <f>Basicinfo!A74</f>
        <v>Triebenbach</v>
      </c>
      <c r="B74" s="63">
        <f>Basicinfo!B74</f>
        <v>1450</v>
      </c>
      <c r="C74" s="63">
        <f>Basicinfo!C74</f>
        <v>1460</v>
      </c>
      <c r="D74" s="61">
        <f>Basicinfo!U74*Basicinfo!V74/1000+Basicinfo!Y74</f>
        <v>0.56790278721981202</v>
      </c>
      <c r="E74" s="19">
        <f>Basicinfo!W74*Basicinfo!X74/1000+Basicinfo!Z74</f>
        <v>0</v>
      </c>
      <c r="F74" s="19">
        <f t="shared" si="71"/>
        <v>0.56790278721981202</v>
      </c>
      <c r="G74" s="19">
        <f>SUM(Basicinfo!H74:L74)</f>
        <v>0.52207242110584429</v>
      </c>
      <c r="H74" s="19">
        <f>IF(Basicinfo!N74&lt;Parameters!$C$68,Parameters!$C$69,Basicinfo!BS74/(Basicinfo!N74*100))</f>
        <v>17.770902416244148</v>
      </c>
      <c r="I74" s="19">
        <f>IF(Basicinfo!N74=0,0,Basicinfo!BU74*(1-Basicinfo!BX74/100))</f>
        <v>768.67130354441349</v>
      </c>
      <c r="J74" s="19">
        <f>IF(Basicinfo!N74=0,0,Basicinfo!BU74*Basicinfo!BX74/100)</f>
        <v>709.54274173330475</v>
      </c>
      <c r="K74" s="19">
        <f>IF(Basicinfo!N74=0,0,Basicinfo!BT74-Basicinfo!BU74)</f>
        <v>0</v>
      </c>
      <c r="L74" s="27">
        <f>Basicinfo!BV74*Basicinfo!BW74/100</f>
        <v>267.51</v>
      </c>
      <c r="M74" s="27">
        <f>Basicinfo!BV74-Intermediate!L74</f>
        <v>267.51</v>
      </c>
      <c r="N74" s="73">
        <f>Basicinfo!BS74-SUM(I74:K74)-Basicinfo!BV74</f>
        <v>0</v>
      </c>
      <c r="O74" s="19">
        <f>IF(Basicinfo!AH74+Basicinfo!AI74+Basicinfo!AJ74+Basicinfo!AK74=0,0,N74*(Basicinfo!AH74+Basicinfo!AI74)/SUM(Basicinfo!AH74:AK74))</f>
        <v>0</v>
      </c>
      <c r="P74" s="73">
        <f t="shared" si="67"/>
        <v>0</v>
      </c>
      <c r="Q74" s="19">
        <f>IF(Basicinfo!BS74=0,Basicinfo!N74,IF(H74&gt;Parameters!$C$70,Parameters!$C$64*(Parameters!$C$65*Parameters!$C$70)^(Parameters!$C$66-Parameters!$C$67*LOG(Parameters!$C$65*Parameters!$C$70,10))/100*Basicinfo!N74,Parameters!$C$64*(Parameters!$C$65*H74)^(Parameters!$C$66-Parameters!$C$67*LOG(Parameters!$C$65*H74,10))/100*Basicinfo!N74))</f>
        <v>0.31529745279583488</v>
      </c>
      <c r="R74" s="19">
        <f>IF(Basicinfo!BS74=0,Q74*(1-Basicinfo!BX74/100),IF(H74&lt;Parameters!$C$75,Q74*Basicinfo!BU74/Basicinfo!BS74*(1-Basicinfo!BX74/100)*(-Parameters!$C$74+Parameters!$C$73*LN(H74*100)),Q74*Basicinfo!BU74/Basicinfo!BS74*(1-Basicinfo!BX74/100)))</f>
        <v>6.8298548681568677E-2</v>
      </c>
      <c r="S74" s="19">
        <f>IF(Basicinfo!BS74=0,Q74*Basicinfo!BX74/100,Q74*Basicinfo!BU74/Basicinfo!BS74*Basicinfo!BX74/100)</f>
        <v>0.11112320479729566</v>
      </c>
      <c r="T74" s="19">
        <f>IF(Basicinfo!BS74=0,0,IF(H74&lt;Parameters!$C$75,Q74*K74/Basicinfo!BS74*(-Parameters!$C$74+Parameters!$C$73*LN(H74*100)),Q74*K74/Basicinfo!BS74))</f>
        <v>0</v>
      </c>
      <c r="U74" s="19">
        <f t="shared" si="68"/>
        <v>0.13587569931697052</v>
      </c>
      <c r="V74" s="19">
        <f>IF(Basicinfo!AL74&gt;Parameters!$C$14,Basicinfo!Q74,0)</f>
        <v>13.7278207501942</v>
      </c>
      <c r="W74" s="19">
        <f>IF(Basicinfo!AL74&gt;Parameters!$C$14,0,Basicinfo!Q74)</f>
        <v>0</v>
      </c>
      <c r="X74" s="19">
        <f>G74+Basicinfo!M74</f>
        <v>11.349792557580598</v>
      </c>
      <c r="Y74" s="19">
        <f>IF(Basicinfo!G74-F74-Q74-V74-Basicinfo!O74-Basicinfo!R74-Basicinfo!S74&lt;0,0,Basicinfo!G74-F74-Q74-V74-Basicinfo!O74-Basicinfo!R74-Basicinfo!S74)</f>
        <v>96.300979617149792</v>
      </c>
      <c r="Z74" s="19">
        <f>Basicinfo!G74-F74-Basicinfo!BO74-Q74-Basicinfo!O74</f>
        <v>110.08606016837447</v>
      </c>
      <c r="AA74" s="53">
        <f>IF(Z74+Basicinfo!BO74-X74&gt;0,Z74+Basicinfo!BO74-X74,0)</f>
        <v>98.765014422742951</v>
      </c>
      <c r="AB74" s="56">
        <f>IF(Basicinfo!N74=0,0,Parameters!$C$71+Parameters!$C$72*Q74/Basicinfo!N74)</f>
        <v>0.35873580044759013</v>
      </c>
      <c r="AC74" s="43">
        <f>Basicinfo!AU74*AB74*R74/1000/86.4/0.365</f>
        <v>1.0723984404331268E-3</v>
      </c>
      <c r="AD74" s="43">
        <f>Basicinfo!AU74*AB74*S74/1000/86.4/0.365</f>
        <v>1.7448152826226903E-3</v>
      </c>
      <c r="AE74" s="43">
        <f>Basicinfo!AU74*AB74*T74/1000/86.4/0.365</f>
        <v>0</v>
      </c>
      <c r="AF74" s="43">
        <f>Basicinfo!AU74*AB74*U74/1000/86.4/0.365</f>
        <v>2.1334697567241619E-3</v>
      </c>
      <c r="AG74" s="43">
        <f>((Parameters!$C$80+Parameters!$C$81*Parameters!$C$89)/(Parameters!$C$82+Parameters!$C$89)/(Parameters!$C$90/100*Parameters!$C$91+(Parameters!$C$83+Parameters!$C$84*Parameters!$C$89)/(Parameters!$C$85+Parameters!$C$89)))-Parameters!$C$86+(Basicinfo!AU74-Parameters!$C$88)/Parameters!$C$87</f>
        <v>85.896412205690794</v>
      </c>
      <c r="AH74" s="43">
        <f>((Parameters!$C$80+Parameters!$C$81*Parameters!$C$89)/(Parameters!$C$82+Parameters!$C$89)/(Basicinfo!BY74/100*Parameters!$C$91+(Parameters!$C$83+Parameters!$C$84*Parameters!$C$89)/(Parameters!$C$85+Parameters!$C$89)))-Parameters!$C$86+(Basicinfo!AU74-Parameters!$C$88)/Parameters!$C$87</f>
        <v>68.093530339075215</v>
      </c>
      <c r="AI74" s="43">
        <f>Basicinfo!AU74^Parameters!$C$79*Parameters!$C$78*AH74/AG74</f>
        <v>67.336964850134535</v>
      </c>
      <c r="AJ74" s="43">
        <f>(J74*Parameters!$C$92/1000+Parameters!$C$94/100*S74*100*Parameters!$C$93/1000*86400*Parameters!$C$95/24)/86400</f>
        <v>1.0713031395271507E-3</v>
      </c>
      <c r="AK74" s="43">
        <f t="shared" si="72"/>
        <v>1.3226858209744478E-3</v>
      </c>
      <c r="AL74" s="43">
        <f>(K74*Parameters!$C$92/1000+Parameters!$C$94/100*T74*100*Parameters!$C$93/1000*86400*Parameters!$C$95/24)/86400</f>
        <v>0</v>
      </c>
      <c r="AM74" s="43">
        <f>(Intermediate!N74+Basicinfo!BV74-Intermediate!L74)*Parameters!$C$92/1000/86400</f>
        <v>4.0250347222222223E-4</v>
      </c>
      <c r="AN74" s="43">
        <f t="shared" si="73"/>
        <v>2.2605047642666291E-3</v>
      </c>
      <c r="AO74" s="43">
        <f t="shared" si="69"/>
        <v>1.3226858209744478E-3</v>
      </c>
      <c r="AP74" s="43">
        <f t="shared" si="70"/>
        <v>2.5359732289463839E-3</v>
      </c>
      <c r="AQ74" s="43">
        <f t="shared" si="58"/>
        <v>4.9310574903539588E-3</v>
      </c>
      <c r="AR74" s="61">
        <f>(Basicinfo!AU74-Basicinfo!AY74)*F74/1000/86.4/0.365</f>
        <v>1.4865625142644945E-2</v>
      </c>
      <c r="AS74" s="19">
        <f>IF(Basicinfo!AP74-Basicinfo!CB74-Basicinfo!CG74&lt;0,0,(Basicinfo!AP74-Basicinfo!CB74-Basicinfo!CG74)/Basicinfo!G74*1000)</f>
        <v>28.271873515648636</v>
      </c>
      <c r="AT74" s="19">
        <f>Parameters!$C$3*((AS74*86.4*0.365)^Parameters!$C$4)</f>
        <v>202.11822034014457</v>
      </c>
      <c r="AU74" s="19">
        <f>IF(AT74/86.4/0.365*(Basicinfo!G74/1000)-AN74&lt;0,0,AT74/86.4/0.365*(Basicinfo!G74/1000)-AN74)</f>
        <v>0.71327706888468756</v>
      </c>
      <c r="AV74" s="19">
        <f>IF(Basicinfo!AU74&gt;Parameters!$C$13,Parameters!$C$11*(Basicinfo!AU74-Parameters!$C$13)^Parameters!$C$12,0)</f>
        <v>182.07736286346685</v>
      </c>
      <c r="AW74" s="19">
        <f>IF(AV74*V74/1000/86.4/0.365&gt;Basicinfo!AP74*Parameters!$C$15,Basicinfo!AP74*Parameters!$C$15,AV74*V74/1000/86.4/0.365)</f>
        <v>7.9259430493966859E-2</v>
      </c>
      <c r="AX74" s="19">
        <f>Basicinfo!AU74-Basicinfo!AW74</f>
        <v>453.46251876199995</v>
      </c>
      <c r="AY74" s="19">
        <f>Parameters!$C$56*AX74+Parameters!$C$57*Basicinfo!AW74</f>
        <v>319.41599205017138</v>
      </c>
      <c r="AZ74" s="19">
        <f>AY74*Basicinfo!BO74/1000/86.4/0.365</f>
        <v>2.9116538105641518E-4</v>
      </c>
      <c r="BA74" s="19">
        <f>IF(Basicinfo!AP74-AQ74-AR74-AU74-AW74-AZ74-Basicinfo!CB74-Basicinfo!CG74&lt;0,0,Basicinfo!AP74-AQ74-AR74-AU74-AW74-AZ74-Basicinfo!CB74-Basicinfo!CG74)</f>
        <v>2.3437475971561206</v>
      </c>
      <c r="BB74" s="53">
        <f t="shared" si="59"/>
        <v>671.40584476243237</v>
      </c>
      <c r="BC74" s="56">
        <f>IF(G74=0,0,((Basicinfo!H74*Basicinfo!BE74+Basicinfo!I74*Basicinfo!BF74+Basicinfo!J74*Basicinfo!BG74+Basicinfo!K74*Basicinfo!BH74+Basicinfo!L74*Basicinfo!BI74)*(1-Basicinfo!BN74/G74*Parameters!$C$26/100)/G74)*Basicinfo!BM74)</f>
        <v>3.2920066836234527</v>
      </c>
      <c r="BD74" s="43">
        <f>IF(Basicinfo!AW74*Parameters!$C$39-Parameters!$C$40&lt;0,0.001,(Basicinfo!AW74*Parameters!$C$39-Parameters!$C$40)/(Basicinfo!AX74*Parameters!$C$39-Parameters!$C$40))</f>
        <v>1.2281760899378686</v>
      </c>
      <c r="BE74" s="43">
        <f>(BC74*G74*100+Basicinfo!BJ74*Basicinfo!M74*100)*Parameters!$C$29*BD74</f>
        <v>449.2815204227872</v>
      </c>
      <c r="BF74" s="43">
        <f>(Basicinfo!BK74*Basicinfo!P74*100)*BD74*Parameters!$C$29</f>
        <v>692.38818507185886</v>
      </c>
      <c r="BG74" s="43">
        <f>Parameters!$C$27*(V74+W74)*100</f>
        <v>274.55641500388401</v>
      </c>
      <c r="BH74" s="43">
        <f>Parameters!$C$28*Basicinfo!R74*100</f>
        <v>0</v>
      </c>
      <c r="BI74" s="43">
        <f t="shared" si="74"/>
        <v>966.94460007574287</v>
      </c>
      <c r="BJ74" s="43">
        <f>IF(Basicinfo!AM74&lt;Parameters!$C$33,0,Parameters!$C$30*(((Basicinfo!AM74-Parameters!$C$33)^Parameters!$C$31)*(((G74-Basicinfo!BN74)/Basicinfo!G74*100+Parameters!$C$34))^Parameters!$C$32))</f>
        <v>1.4342508295809939</v>
      </c>
      <c r="BK74" s="58">
        <f t="shared" si="75"/>
        <v>973.38842400956082</v>
      </c>
      <c r="BL74" s="61">
        <f>Basicinfo!AZ74+Basicinfo!BA74</f>
        <v>1082.5331293172942</v>
      </c>
      <c r="BM74" s="19">
        <f>Basicinfo!BB74+Basicinfo!BC74</f>
        <v>1584.5003159649232</v>
      </c>
      <c r="BN74" s="172">
        <f>IF(Basicinfo!AO74=0,0,IF(Basicinfo!AO74="NA",1,IF(OR(Basicinfo!AO74="SA",Basicinfo!AN74="S"),3,IF(Basicinfo!AN74="N",1,IF(Basicinfo!AO74="ZA",2,0)))))</f>
        <v>1</v>
      </c>
      <c r="BO74" s="27">
        <f>IF($BN74=1,(BL74)*(1+Parameters!$C$21*Parameters!$C$22-Parameters!$C$22*Basicinfo!$AL74),IF($BN74=2,(BL74)*(1+Parameters!$C$21*Parameters!$C$23-Parameters!$C$23*Basicinfo!$AL74),IF($BN74=3,(BL74)*(1+Parameters!$C$21*Parameters!$C$24-Parameters!$C$24*Basicinfo!$AL74),BL74)))</f>
        <v>857.77730843220888</v>
      </c>
      <c r="BP74" s="27">
        <f>IF($BN74=1,(BM74)*(1+Parameters!$C$21*Parameters!$C$22-Parameters!$C$22*Basicinfo!$AL74),IF($BN74=2,(BM74)*(1+Parameters!$C$21*Parameters!$C$23-Parameters!$C$23*Basicinfo!$AL74),IF($BN74=3,(BM74)*(1+Parameters!$C$21*Parameters!$C$24-Parameters!$C$24*Basicinfo!$AL74),BM74)))</f>
        <v>1255.5259321213857</v>
      </c>
      <c r="BQ74" s="27">
        <f>IF(Basicinfo!AU74=0,0,IF(G74+Basicinfo!M74=0,0,(Parameters!$C$16+BO74/Basicinfo!AU74)*G74+(Parameters!$C$17+BO74/Basicinfo!AU74)*Basicinfo!M74)/(G74+Basicinfo!M74))</f>
        <v>0.63523775413969186</v>
      </c>
      <c r="BR74" s="27">
        <f>IF(Basicinfo!AU74=0,0,IF(G74+Basicinfo!M74=0,0,(Parameters!$C$16+BP74/Basicinfo!AU74)*G74+(Parameters!$C$17+BP74/Basicinfo!AU74)*Basicinfo!M74)/(G74+Basicinfo!M74))</f>
        <v>0.92339669540873348</v>
      </c>
      <c r="BS74" s="27">
        <f>IF(Basicinfo!AU74=0,0,BO74/Basicinfo!AU74)</f>
        <v>0.62143823088522099</v>
      </c>
      <c r="BT74" s="27">
        <f>IF(Basicinfo!AU74=0,0,BP74/Basicinfo!AU74)</f>
        <v>0.90959717215426261</v>
      </c>
      <c r="BU74" s="27">
        <f>IF(SUM(G74,Basicinfo!M74,Basicinfo!P74,W74)=0,0,(BQ74*(G74+Basicinfo!M74)+BS74*(Basicinfo!P74+W74))/SUM(G74,Basicinfo!M74,Basicinfo!P74,W74))</f>
        <v>0.62307853417226733</v>
      </c>
      <c r="BV74" s="19">
        <f>IF(Basicinfo!BR74/Parameters!$C$10&gt;1,1,Basicinfo!BR74/Parameters!$C$10)</f>
        <v>0.39708089786690853</v>
      </c>
      <c r="BW74" s="19">
        <f>Parameters!$C$5+Parameters!$C$6*EXP(BV74*Parameters!$C$8*Parameters!$C$7)</f>
        <v>3.5157277490982519E-2</v>
      </c>
      <c r="BX74" s="19">
        <f>Parameters!$C$5+Parameters!$C$6*EXP(BV74*Parameters!$C$9*Parameters!$C$7)</f>
        <v>3.5084990230281971E-2</v>
      </c>
      <c r="BY74" s="19">
        <f>IF(Basicinfo!AH74+Basicinfo!AI74+Basicinfo!AJ74+Basicinfo!AK74=0,0,(Parameters!$C$18*(Basicinfo!AH74+Basicinfo!AI74)+Parameters!$C$19*Basicinfo!AJ74+Parameters!$C$20*Basicinfo!AK74)/(Basicinfo!AH74+Basicinfo!AI74+Basicinfo!AJ74+Basicinfo!AK74))</f>
        <v>2.1278809404094736E-2</v>
      </c>
      <c r="BZ74" s="19">
        <f>IF(Basicinfo!AJ74+Basicinfo!AK74=0,Parameters!$C$18,(Parameters!$C$19*Basicinfo!AJ74+Parameters!$C$20*Basicinfo!AK74)/(Basicinfo!AJ74+Basicinfo!AK74))</f>
        <v>2.1036904052822818E-2</v>
      </c>
      <c r="CA74" s="19">
        <f>IF(SUM(G74,Basicinfo!M74,Basicinfo!P74,W74)=0,0,(BW74*G74+BX74*Basicinfo!M74+BY74*Basicinfo!P74+BZ74*W74)/(SUM(G74,Basicinfo!M74,Basicinfo!P74,W74)))</f>
        <v>2.2920299297915739E-2</v>
      </c>
      <c r="CB74" s="19">
        <f>IF(Y74=0,Basicinfo!BP74,Basicinfo!BP74-(AU74*X74/Y74*Intermediate!BQ74*86400*365/1000000)*1000/(X74*100))</f>
        <v>41.579516898641316</v>
      </c>
      <c r="CC74" s="19">
        <f>IF(Y74=0,Basicinfo!BQ74,Basicinfo!BQ74-(AU74*Basicinfo!AV74/Basicinfo!AU74*X74/Y74*Intermediate!BR74*86400*365/1000000)*1000/(X74*100))</f>
        <v>50.703477360352203</v>
      </c>
      <c r="CD74" s="19">
        <f>IF(OR(Y74=0,AA74=0),BP74/100,BP74/100-(AU74*Basicinfo!AV74/Basicinfo!AU74*(Basicinfo!P74+W74)/Y74*Intermediate!BT74*86400*365/1000000+AW74*Basicinfo!AV74/Basicinfo!AU74*Intermediate!BT74*86400*365/1000000)*1000/(AA74*100))</f>
        <v>10.75963925067547</v>
      </c>
      <c r="CE74" s="19">
        <f t="shared" si="60"/>
        <v>57401.638665913953</v>
      </c>
      <c r="CF74" s="19">
        <f t="shared" si="61"/>
        <v>106267.59257764739</v>
      </c>
      <c r="CG74" s="19">
        <f>IF(AY74=0,0,((CB74^Parameters!$C$58))/AY74*100)</f>
        <v>7.4420205897990641</v>
      </c>
      <c r="CH74" s="19">
        <f>IF(SUM(Basicinfo!AB74:AG74)=0,0,(Parameters!$C$59*Basicinfo!AB74+Parameters!$C$60*SUM(Basicinfo!AC74:AE74)+Parameters!$C$61*Basicinfo!AF74+Parameters!$C$62*Basicinfo!AG74)/SUM(Basicinfo!AB74:AG74))</f>
        <v>0.13075738655619129</v>
      </c>
      <c r="CI74" s="19">
        <f>IF(BB74=0,0,ROUND(3000/BB74,0))</f>
        <v>4</v>
      </c>
      <c r="CJ74" s="19">
        <f t="shared" si="62"/>
        <v>14.867389294632986</v>
      </c>
      <c r="CK74" s="19">
        <f t="shared" si="76"/>
        <v>2.214366974999094</v>
      </c>
      <c r="CL74" s="19">
        <f>IF($BB74=0,0,$CJ74^Parameters!$C$58*100/$BB74)</f>
        <v>1.4771152733711768</v>
      </c>
      <c r="CM74" s="19">
        <f>IF(CK74=0,0,(1/(1+Parameters!$C$116*BB74^Parameters!$C$120)*Basicinfo!AH74/Basicinfo!G74+1/(1+Parameters!$C$117*BB74^Parameters!$C$121)*Basicinfo!AI74/Basicinfo!G74)*(CK74)^Parameters!$C$124+(1/(1+Parameters!$C$118*BB74^Parameters!$C$122)*Basicinfo!AJ74/Basicinfo!G74+1/(1+Parameters!$C$119*BB74^Parameters!$C$123)*Basicinfo!AK74/Basicinfo!G74)*(CK74)^Parameters!$C$125)</f>
        <v>0.58728870785752751</v>
      </c>
      <c r="CN74" s="19">
        <f>IF(SUM(Basicinfo!AB74:AG74)=0,0,(Parameters!$C$128*Basicinfo!AB74+Parameters!$C$129*(SUM(Basicinfo!AC74:AE74))+Parameters!$C$130*Basicinfo!AF74+Parameters!$C$131*Basicinfo!AG74)/SUM(Basicinfo!AB74:AG74))</f>
        <v>3.8334916435199401E-2</v>
      </c>
      <c r="CO74" s="19">
        <f>IF(Basicinfo!AH74+Basicinfo!AI74+Basicinfo!AJ74+Basicinfo!AK74=0,0,(Parameters!$C$132*(Basicinfo!AH74+Basicinfo!AI74)+Parameters!$C$133*Basicinfo!AJ74+Parameters!$C$134*Basicinfo!AK74)/(Basicinfo!AH74+Basicinfo!AI74+Basicinfo!AJ74+Basicinfo!AK74))</f>
        <v>5.0000000000000001E-4</v>
      </c>
      <c r="CP74" s="19">
        <f>IF(Basicinfo!AJ74+Basicinfo!AK74=0,0,(Parameters!$C$133*Basicinfo!AJ74+Parameters!$C$134*Basicinfo!AK74)/(Basicinfo!AJ74+Basicinfo!AK74))</f>
        <v>5.0000000000000001E-4</v>
      </c>
      <c r="CQ74" s="19">
        <f>IF(Z74=0,0,(CN74*(Z74-AA74)+CO74*Basicinfo!P74+CP74*(Basicinfo!Q74+Basicinfo!R74))/Z74)</f>
        <v>4.3867684370786867E-3</v>
      </c>
      <c r="CR74" s="19">
        <f>IF(CK74=0,0,IF(AND((Basicinfo!AI74+Basicinfo!AK74)&gt;0,(CM74/CK74)&lt;Parameters!$C$135),CQ74*Parameters!$C$136,CQ74))</f>
        <v>1.0966921092696716E-2</v>
      </c>
      <c r="CS74" s="19">
        <f>IF(SUM(Basicinfo!AB74:AG74)=0,0,(Basicinfo!AB74*Parameters!$C$43+(Basicinfo!AC74+Basicinfo!AD74)*Parameters!$C$44+Basicinfo!AE74*Parameters!$C$45+(Basicinfo!AF74+Basicinfo!AG74)*Parameters!$C$46)/SUM(Basicinfo!AB74:AG74))</f>
        <v>15.744884149843969</v>
      </c>
      <c r="CT74" s="19">
        <f>(Parameters!$C$41*CS74+Parameters!$C$42)</f>
        <v>435.59781832840849</v>
      </c>
      <c r="CU74" s="19">
        <f>CT74+Basicinfo!BR74/(Parameters!$C$47*Parameters!$C$49*Parameters!$C$48*10000/1000000)</f>
        <v>575.45021002996123</v>
      </c>
      <c r="CV74" s="19">
        <f>IF(BK74/Basicinfo!G74&lt;Parameters!$C$35,Parameters!$C$35,Parameters!$C$37*(BK74/Basicinfo!G74)^Parameters!$C$38)</f>
        <v>2.7681646905541344</v>
      </c>
      <c r="CW74" s="19">
        <f>IF(BK74/Basicinfo!G74&lt;Parameters!$C$35,Parameters!$C$36,Parameters!$C$36*(BK74/Basicinfo!G74)^Parameters!$C$38)</f>
        <v>6.5051870228022164</v>
      </c>
      <c r="CX74" s="27">
        <f>IF(Basicinfo!AJ74+Basicinfo!AK74=0,0,(Parameters!$C$53*Basicinfo!AJ74+Parameters!$C$54*Basicinfo!AK74)/(Basicinfo!AJ74+Basicinfo!AK74))</f>
        <v>714.58510004650179</v>
      </c>
      <c r="CY74" s="56">
        <f>IF(Basicinfo!AU74*AB74=0,0,((Basicinfo!AZ74+Basicinfo!BA74)/Basicinfo!AU74+Parameters!$C$76/(Basicinfo!AU74*AB74)*100))</f>
        <v>1.5920772052859076</v>
      </c>
      <c r="CZ74" s="43">
        <f>IF(Basicinfo!AU74*AB74=0,0,(Parameters!$C$77)/(Basicinfo!AU74*AB74)*100)</f>
        <v>0.50488062315039661</v>
      </c>
      <c r="DA74" s="43">
        <f>IF(AD74+AJ74=0,0,((J74*Parameters!$C$96+Parameters!$C$94/100*S74*100*Parameters!$C$93/1000*86400*Parameters!$C$95/24*Parameters!$C$98)*AI74+AD74*CY74*86400*365)/((AD74+AJ74*AI74/365)*86400*365))</f>
        <v>10.790361377364261</v>
      </c>
      <c r="DB74" s="43">
        <f>IF(AD74+AJ74=0,0,((J74*Parameters!$C$97+Parameters!$C$94/100*S74*100*Parameters!$C$93/1000*86400*Parameters!$C$95/24*Parameters!$C$99)*AI74+AD74*CZ74*86400*365)/((AD74+AJ74*AI74/365)*86400*365))</f>
        <v>1.9762319397922556</v>
      </c>
      <c r="DC74" s="42">
        <f>IF(AE74+AL74=0,0,((K74*Parameters!$C$96+Parameters!$C$94/100*T74*100*Parameters!$C$93/1000*86400*Parameters!$C$95/24*Parameters!$C$98)*365+AE74*CY74*86400*365)/((AE74+AL74)*86400*365))</f>
        <v>0</v>
      </c>
      <c r="DD74" s="42">
        <f>IF(AE74+AL74=0,0,((K74*Parameters!$C$97+Parameters!$C$94/100*T74*100*Parameters!$C$93/1000*86400*Parameters!$C$95/24*Parameters!$C$99)*365+AE74*CZ74*86400*365)/((AE74+AL74)*86400*365))</f>
        <v>0</v>
      </c>
      <c r="DE74" s="42">
        <f>IF(Basicinfo!AH74+Basicinfo!AI74+Basicinfo!AJ74+Basicinfo!AK74=0,0,((Basicinfo!AH74+Basicinfo!AI74)*Parameters!$C$107+(Basicinfo!AJ74+Basicinfo!AK74)*Parameters!$C$106)/(Basicinfo!AH74+Basicinfo!AI74+Basicinfo!AJ74+Basicinfo!AK74))</f>
        <v>50.692984857189408</v>
      </c>
      <c r="DF74" s="42">
        <f>IF(Basicinfo!AH74+Basicinfo!AI74+Basicinfo!AJ74+Basicinfo!AK74=0,0,((Basicinfo!AH74+Basicinfo!AI74)*Parameters!$C$109+(Basicinfo!AJ74+Basicinfo!AK74)*Parameters!$C$108)/(Basicinfo!AH74+Basicinfo!AI74+Basicinfo!AJ74+Basicinfo!AK74))</f>
        <v>50.692984857189408</v>
      </c>
      <c r="DG74" s="42">
        <f>Intermediate!AC74*Intermediate!CY74*(1-Parameters!$C$102/100*Basicinfo!BZ74/100)*(1-Parameters!$C$104/100*Basicinfo!CA74/100)*86400*365/1000000</f>
        <v>5.3842709307960673E-2</v>
      </c>
      <c r="DH74" s="42">
        <f>Intermediate!AC74*Intermediate!CZ74*(1-Parameters!$C$103/100*Basicinfo!BZ74/100)*(1-Parameters!$C$105/100*Basicinfo!CA74/100)*86400*365/1000000</f>
        <v>1.7074637170392173E-2</v>
      </c>
      <c r="DI74" s="42">
        <f>(Intermediate!AK74*Intermediate!DA74+(Intermediate!AE74+Intermediate!AL74)*Intermediate!DC74)*86400*365/1000000</f>
        <v>0.45008992819433874</v>
      </c>
      <c r="DJ74" s="42">
        <f>(Intermediate!AK74*Intermediate!DB74+(Intermediate!AE74+Intermediate!AL74)*Intermediate!DD74)*86400*365/1000000</f>
        <v>8.2433021542947349E-2</v>
      </c>
      <c r="DK74" s="42">
        <f>((Basicinfo!AZ74+Basicinfo!BA74)*Intermediate!AB74+Parameters!$C$76*100)/1000*Intermediate!U74*(1-Intermediate!DE74/100)+(1-Parameters!$C$110/100)*M74*Parameters!$C$100*(1-DE74/100)*365/1000000+(1-Parameters!$C$112/100)*P74*Parameters!$C$96*365/1000000+(1-Parameters!$C$112/100)*O74*Parameters!$C$96*(1-DE74/100)*365/1000000</f>
        <v>0.44278193863382204</v>
      </c>
      <c r="DL74" s="42">
        <f>Parameters!$C$77*100/1000*Intermediate!U74*(1-Intermediate!DF74/100)+(1-Parameters!$C$111/100)*M74*Parameters!$C$101*(1-DF74/100)*365/1000000+(1-Parameters!$C$113/100)*P74*Parameters!$C$97*365/1000000+(1-Parameters!$C$113/100)*O74*Parameters!$C$97*(1-DF74/100)*365/1000000</f>
        <v>6.8834259141743528E-2</v>
      </c>
      <c r="DM74" s="31"/>
      <c r="DN74" s="31"/>
      <c r="DO74" s="31"/>
      <c r="DP74" s="31"/>
      <c r="DQ74" s="31"/>
      <c r="DR74" s="31"/>
      <c r="DS74" s="31"/>
      <c r="DT74" s="188">
        <f>BO74*(Basicinfo!$P74+Basicinfo!$Q74)/1000</f>
        <v>83.943308005045338</v>
      </c>
      <c r="DU74" s="188">
        <f>DT74*Basicinfo!$AZ74/(Basicinfo!$AZ74+Basicinfo!$BA74)</f>
        <v>43.638288065410016</v>
      </c>
      <c r="DV74" s="188">
        <f>DT74*Basicinfo!$BC74/(Basicinfo!$BB74+Basicinfo!$BC74)</f>
        <v>39.221017135947356</v>
      </c>
      <c r="DW74" s="188">
        <f>BP74*(Basicinfo!$P74+Basicinfo!$Q74)/1000</f>
        <v>122.86755430849271</v>
      </c>
      <c r="DX74" s="188">
        <f>DW74*Basicinfo!$BB74/(Basicinfo!$BB74+Basicinfo!$BC74)</f>
        <v>65.459875632121111</v>
      </c>
      <c r="DY74" s="188">
        <f>DW74*Basicinfo!$BC74/(Basicinfo!$BB74+Basicinfo!$BC74)</f>
        <v>57.40767867637161</v>
      </c>
      <c r="DZ74" s="188">
        <f t="shared" si="63"/>
        <v>9.7355945113054005</v>
      </c>
      <c r="EA74" s="188">
        <f>DZ74*Basicinfo!$AZ74/(Basicinfo!$AZ74+Basicinfo!$BA74)</f>
        <v>5.0610904891529263</v>
      </c>
      <c r="EB74" s="188">
        <f>DZ74*Basicinfo!$BC74/(Basicinfo!$BB74+Basicinfo!$BC74)</f>
        <v>4.5487833185415329</v>
      </c>
      <c r="EC74" s="188">
        <f t="shared" si="64"/>
        <v>14.249958880240747</v>
      </c>
      <c r="ED74" s="188">
        <f>EC74*Basicinfo!$AZ74/(Basicinfo!$AZ74+Basicinfo!$BA74)</f>
        <v>7.4079021343645151</v>
      </c>
      <c r="EE74" s="188">
        <f>EC74*Basicinfo!$BC74/(Basicinfo!$BB74+Basicinfo!$BC74)</f>
        <v>6.6580397498139519</v>
      </c>
      <c r="EF74" s="190">
        <f>(Basicinfo!BP74-BL74/100)*Intermediate!X74/10</f>
        <v>36.589425904847062</v>
      </c>
      <c r="EG74" s="191">
        <f>(Basicinfo!BQ74-BM74/100)*Intermediate!X74/10</f>
        <v>41.718301406922407</v>
      </c>
      <c r="EH74" s="197">
        <f>IF(AU74=0,0,$BS74*((Basicinfo!$P74+Basicinfo!$Q74)*Intermediate!$AT74*1000+$AW74*3600*24*365)/1000000*Basicinfo!AZ74/(Basicinfo!$AZ74+Basicinfo!$BA74))</f>
        <v>7.1974271122957036</v>
      </c>
      <c r="EI74" s="197">
        <f>IF(AU74=0,0,$BS74*((Basicinfo!$P74+Basicinfo!$Q74)*Intermediate!$AT74*1000+$AW74*3600*24*365)/1000000*Basicinfo!BA74/(Basicinfo!$AZ74+Basicinfo!$BA74))</f>
        <v>6.6476586533442097</v>
      </c>
      <c r="EJ74" s="198">
        <f>IF(AU74=0,0,$BS74*($AT74*$X74*1000)/1000000*Basicinfo!AZ74/(Basicinfo!$AZ74+Basicinfo!$BA74))</f>
        <v>0.74109346246949137</v>
      </c>
      <c r="EK74" s="198">
        <f>IF(AU74=0,0,$BS74*($AT74*$X74*1000)/1000000*Basicinfo!BA74/(Basicinfo!$AZ74+Basicinfo!$BA74))</f>
        <v>0.68448576023866947</v>
      </c>
      <c r="EL74" s="147">
        <f>Parameters!$C$150/Basicinfo!$AV74*100</f>
        <v>8.2310608888637379E-2</v>
      </c>
      <c r="EM74" s="147">
        <f>Parameters!$C$151/Basicinfo!$AV74*100</f>
        <v>0.16462121777727476</v>
      </c>
      <c r="EN74" s="147">
        <f>(Parameters!$C$150+Parameters!$C$151)/Intermediate!$BB74*100</f>
        <v>0.44682363482574511</v>
      </c>
      <c r="EO74" s="193">
        <f>IF(EN74=0,0,(1/(1+Parameters!$C$116*$BB74^Parameters!$C$120)*Basicinfo!$AH74/Basicinfo!$G74+1/(1+Parameters!$C$117*$BB74^Parameters!$C$121)*Basicinfo!$AI74/Basicinfo!$G74)*(EN74)^Parameters!$C$124+(1/(1+Parameters!$C$118*$BB74^Parameters!$C$122)*Basicinfo!$AJ74/Basicinfo!AW74+1/(1+Parameters!$C$119*$BB74^Parameters!$C$123)*Basicinfo!$AK74/Basicinfo!$G74)*(EN74)^Parameters!$C$125)</f>
        <v>0.11650471934407788</v>
      </c>
      <c r="EP74" s="199">
        <f>EL74*($AT74*Basicinfo!$P74*1000+$AW74*3600*24*365)/1000000</f>
        <v>1.6054239254716614</v>
      </c>
      <c r="EQ74" s="199">
        <f>EM74*($AT74*Basicinfo!$P74*1000+$AW74*3600*24*365)/1000000</f>
        <v>3.2108478509433227</v>
      </c>
      <c r="ER74" s="199">
        <f t="shared" si="65"/>
        <v>0.18882052633445354</v>
      </c>
      <c r="ES74" s="199">
        <f t="shared" si="66"/>
        <v>0.37764105266890707</v>
      </c>
      <c r="ET74" s="181">
        <f t="shared" si="77"/>
        <v>8.6111462402476899</v>
      </c>
      <c r="EU74" s="147">
        <f>Intermediate!F74*(Parameters!$C$150)/1000*100</f>
        <v>5.6790278721981204E-2</v>
      </c>
      <c r="EV74" s="147">
        <f>Intermediate!F74*(Parameters!$C$151)/1000*100</f>
        <v>0.11358055744396241</v>
      </c>
      <c r="EW74" s="181">
        <f>'Local emissions'!$S74*Basicinfo!AZ74/(Basicinfo!$AZ74+Basicinfo!$BA74)-Intermediate!EU74</f>
        <v>0.19644848142098967</v>
      </c>
      <c r="EX74" s="147">
        <f>'Local emissions'!$S74*Basicinfo!BA74/(Basicinfo!$AZ74+Basicinfo!$BA74)-Intermediate!EV74</f>
        <v>0.12031480668562651</v>
      </c>
      <c r="EY74" s="188">
        <f t="shared" si="78"/>
        <v>5.5920031868240425</v>
      </c>
      <c r="EZ74" s="188">
        <f t="shared" si="79"/>
        <v>3.436810802400887</v>
      </c>
      <c r="FA74" s="188">
        <f t="shared" si="80"/>
        <v>0.55227293613503781</v>
      </c>
      <c r="FB74" s="181">
        <f t="shared" si="81"/>
        <v>0.3068447075697624</v>
      </c>
      <c r="FC74" s="181">
        <f>'Local emissions'!Y74-Intermediate!ET74</f>
        <v>35.085512590046498</v>
      </c>
      <c r="FD74" s="188">
        <f t="shared" si="82"/>
        <v>12.842468360302663</v>
      </c>
      <c r="FE74" s="188">
        <f t="shared" si="83"/>
        <v>11.262720711280318</v>
      </c>
      <c r="FF74" s="181">
        <f t="shared" si="84"/>
        <v>0.72667223897162292</v>
      </c>
      <c r="FG74" s="201">
        <f t="shared" si="85"/>
        <v>0.6531150877001175</v>
      </c>
      <c r="FH74" s="181">
        <f t="shared" si="86"/>
        <v>9.6005361917917789</v>
      </c>
      <c r="FJ74" s="147">
        <f>AVERAGE(Parameters!$C$132:$C$134)*'Local emissions'!J74*3600*24*365/1000000</f>
        <v>3.6956212111957709E-2</v>
      </c>
      <c r="FK74" s="147">
        <f>'Local emissions'!AJ74+CT74*BJ74/100*Intermediate!X74*100/1000000</f>
        <v>0.51485946360690782</v>
      </c>
      <c r="FL74" s="31">
        <f>(Parameters!$C$18*(Basicinfo!AH74+Basicinfo!AI74)+Parameters!$C$19*Basicinfo!AJ74+Parameters!$C$20*Basicinfo!AK74)/Basicinfo!G74</f>
        <v>2.127880940409474E-2</v>
      </c>
      <c r="FM74" s="181">
        <f t="shared" si="87"/>
        <v>0.53183045554828368</v>
      </c>
    </row>
    <row r="75" spans="1:169">
      <c r="A75" s="39" t="str">
        <f>Basicinfo!A75</f>
        <v>Patten</v>
      </c>
      <c r="B75" s="63">
        <f>Basicinfo!B75</f>
        <v>1460</v>
      </c>
      <c r="C75" s="63">
        <f>Basicinfo!C75</f>
        <v>4070</v>
      </c>
      <c r="D75" s="61">
        <f>Basicinfo!U75*Basicinfo!V75/1000+Basicinfo!Y75</f>
        <v>1.3315254668640961</v>
      </c>
      <c r="E75" s="19">
        <f>Basicinfo!W75*Basicinfo!X75/1000+Basicinfo!Z75</f>
        <v>0</v>
      </c>
      <c r="F75" s="19">
        <f t="shared" si="71"/>
        <v>1.3315254668640961</v>
      </c>
      <c r="G75" s="19">
        <f>SUM(Basicinfo!H75:L75)</f>
        <v>1.2746221161890503</v>
      </c>
      <c r="H75" s="19">
        <f>IF(Basicinfo!N75&lt;Parameters!$C$68,Parameters!$C$69,Basicinfo!BS75/(Basicinfo!N75*100))</f>
        <v>15.648059245746705</v>
      </c>
      <c r="I75" s="19">
        <f>IF(Basicinfo!N75=0,0,Basicinfo!BU75*(1-Basicinfo!BX75/100))</f>
        <v>4834.0728354940538</v>
      </c>
      <c r="J75" s="19">
        <f>IF(Basicinfo!N75=0,0,Basicinfo!BU75*Basicinfo!BX75/100)</f>
        <v>4462.2210789175879</v>
      </c>
      <c r="K75" s="19">
        <f>IF(Basicinfo!N75=0,0,Basicinfo!BT75-Basicinfo!BU75)</f>
        <v>0</v>
      </c>
      <c r="L75" s="27">
        <f>Basicinfo!BV75*Basicinfo!BW75/100</f>
        <v>620.78333333333342</v>
      </c>
      <c r="M75" s="27">
        <f>Basicinfo!BV75-Intermediate!L75</f>
        <v>620.78333333333342</v>
      </c>
      <c r="N75" s="73">
        <f>Basicinfo!BS75-SUM(I75:K75)-Basicinfo!BV75</f>
        <v>0</v>
      </c>
      <c r="O75" s="19">
        <f>IF(Basicinfo!AH75+Basicinfo!AI75+Basicinfo!AJ75+Basicinfo!AK75=0,0,N75*(Basicinfo!AH75+Basicinfo!AI75)/SUM(Basicinfo!AH75:AK75))</f>
        <v>0</v>
      </c>
      <c r="P75" s="73">
        <f t="shared" si="67"/>
        <v>0</v>
      </c>
      <c r="Q75" s="19">
        <f>IF(Basicinfo!BS75=0,Basicinfo!N75,IF(H75&gt;Parameters!$C$70,Parameters!$C$64*(Parameters!$C$65*Parameters!$C$70)^(Parameters!$C$66-Parameters!$C$67*LOG(Parameters!$C$65*Parameters!$C$70,10))/100*Basicinfo!N75,Parameters!$C$64*(Parameters!$C$65*H75)^(Parameters!$C$66-Parameters!$C$67*LOG(Parameters!$C$65*H75,10))/100*Basicinfo!N75))</f>
        <v>1.7569224066096181</v>
      </c>
      <c r="R75" s="19">
        <f>IF(Basicinfo!BS75=0,Q75*(1-Basicinfo!BX75/100),IF(H75&lt;Parameters!$C$75,Q75*Basicinfo!BU75/Basicinfo!BS75*(1-Basicinfo!BX75/100)*(-Parameters!$C$74+Parameters!$C$73*LN(H75*100)),Q75*Basicinfo!BU75/Basicinfo!BS75*(1-Basicinfo!BX75/100)))</f>
        <v>0.44443811953492557</v>
      </c>
      <c r="S75" s="19">
        <f>IF(Basicinfo!BS75=0,Q75*Basicinfo!BX75/100,Q75*Basicinfo!BU75/Basicinfo!BS75*Basicinfo!BX75/100)</f>
        <v>0.74396279363128881</v>
      </c>
      <c r="T75" s="19">
        <f>IF(Basicinfo!BS75=0,0,IF(H75&lt;Parameters!$C$75,Q75*K75/Basicinfo!BS75*(-Parameters!$C$74+Parameters!$C$73*LN(H75*100)),Q75*K75/Basicinfo!BS75))</f>
        <v>0</v>
      </c>
      <c r="U75" s="19">
        <f t="shared" si="68"/>
        <v>0.56852149344340364</v>
      </c>
      <c r="V75" s="19">
        <f>IF(Basicinfo!AL75&gt;Parameters!$C$14,Basicinfo!Q75,0)</f>
        <v>2.94524107659073</v>
      </c>
      <c r="W75" s="19">
        <f>IF(Basicinfo!AL75&gt;Parameters!$C$14,0,Basicinfo!Q75)</f>
        <v>0</v>
      </c>
      <c r="X75" s="19">
        <f>G75+Basicinfo!M75</f>
        <v>34.846843812583373</v>
      </c>
      <c r="Y75" s="19">
        <f>IF(Basicinfo!G75-F75-Q75-V75-Basicinfo!O75-Basicinfo!R75-Basicinfo!S75&lt;0,0,Basicinfo!G75-F75-Q75-V75-Basicinfo!O75-Basicinfo!R75-Basicinfo!S75)</f>
        <v>253.58700436552093</v>
      </c>
      <c r="Z75" s="19">
        <f>Basicinfo!G75-F75-Basicinfo!BO75-Q75-Basicinfo!O75</f>
        <v>249.71700910700574</v>
      </c>
      <c r="AA75" s="53">
        <f>IF(Z75+Basicinfo!BO75-X75&gt;0,Z75+Basicinfo!BO75-X75,0)</f>
        <v>222.05292591194296</v>
      </c>
      <c r="AB75" s="56">
        <f>IF(Basicinfo!N75=0,0,Parameters!$C$71+Parameters!$C$72*Q75/Basicinfo!N75)</f>
        <v>0.34566893367928264</v>
      </c>
      <c r="AC75" s="43">
        <f>Basicinfo!AU75*AB75*R75/1000/86.4/0.365</f>
        <v>6.7684175927745826E-3</v>
      </c>
      <c r="AD75" s="43">
        <f>Basicinfo!AU75*AB75*S75/1000/86.4/0.365</f>
        <v>1.1329925673461584E-2</v>
      </c>
      <c r="AE75" s="43">
        <f>Basicinfo!AU75*AB75*T75/1000/86.4/0.365</f>
        <v>0</v>
      </c>
      <c r="AF75" s="43">
        <f>Basicinfo!AU75*AB75*U75/1000/86.4/0.365</f>
        <v>8.6581026895700911E-3</v>
      </c>
      <c r="AG75" s="43">
        <f>((Parameters!$C$80+Parameters!$C$81*Parameters!$C$89)/(Parameters!$C$82+Parameters!$C$89)/(Parameters!$C$90/100*Parameters!$C$91+(Parameters!$C$83+Parameters!$C$84*Parameters!$C$89)/(Parameters!$C$85+Parameters!$C$89)))-Parameters!$C$86+(Basicinfo!AU75-Parameters!$C$88)/Parameters!$C$87</f>
        <v>86.123250712108657</v>
      </c>
      <c r="AH75" s="43">
        <f>((Parameters!$C$80+Parameters!$C$81*Parameters!$C$89)/(Parameters!$C$82+Parameters!$C$89)/(Basicinfo!BY75/100*Parameters!$C$91+(Parameters!$C$83+Parameters!$C$84*Parameters!$C$89)/(Parameters!$C$85+Parameters!$C$89)))-Parameters!$C$86+(Basicinfo!AU75-Parameters!$C$88)/Parameters!$C$87</f>
        <v>68.320368845493078</v>
      </c>
      <c r="AI75" s="43">
        <f>Basicinfo!AU75^Parameters!$C$79*Parameters!$C$78*AH75/AG75</f>
        <v>68.496169893640285</v>
      </c>
      <c r="AJ75" s="43">
        <f>(J75*Parameters!$C$92/1000+Parameters!$C$94/100*S75*100*Parameters!$C$93/1000*86400*Parameters!$C$95/24)/86400</f>
        <v>6.7387888090850081E-3</v>
      </c>
      <c r="AK75" s="43">
        <f t="shared" si="72"/>
        <v>8.6046305557108856E-3</v>
      </c>
      <c r="AL75" s="43">
        <f>(K75*Parameters!$C$92/1000+Parameters!$C$94/100*T75*100*Parameters!$C$93/1000*86400*Parameters!$C$95/24)/86400</f>
        <v>0</v>
      </c>
      <c r="AM75" s="43">
        <f>(Intermediate!N75+Basicinfo!BV75-Intermediate!L75)*Parameters!$C$92/1000/86400</f>
        <v>9.3404899691358037E-4</v>
      </c>
      <c r="AN75" s="43">
        <f t="shared" si="73"/>
        <v>1.4509064602803753E-2</v>
      </c>
      <c r="AO75" s="43">
        <f t="shared" si="69"/>
        <v>8.6046305557108856E-3</v>
      </c>
      <c r="AP75" s="43">
        <f t="shared" si="70"/>
        <v>9.5921516864836721E-3</v>
      </c>
      <c r="AQ75" s="43">
        <f t="shared" si="58"/>
        <v>2.4965199834969139E-2</v>
      </c>
      <c r="AR75" s="61">
        <f>(Basicinfo!AU75-Basicinfo!AY75)*F75/1000/86.4/0.365</f>
        <v>3.228411604695669E-2</v>
      </c>
      <c r="AS75" s="19">
        <f>IF(Basicinfo!AP75-Basicinfo!CB75-Basicinfo!CG75&lt;0,0,(Basicinfo!AP75-Basicinfo!CB75-Basicinfo!CG75)/Basicinfo!G75*1000)</f>
        <v>32.141418063387043</v>
      </c>
      <c r="AT75" s="19">
        <f>Parameters!$C$3*((AS75*86.4*0.365)^Parameters!$C$4)</f>
        <v>237.15170453664902</v>
      </c>
      <c r="AU75" s="19">
        <f>IF(AT75/86.4/0.365*(Basicinfo!G75/1000)-AN75&lt;0,0,AT75/86.4/0.365*(Basicinfo!G75/1000)-AN75)</f>
        <v>1.9406104484239246</v>
      </c>
      <c r="AV75" s="19">
        <f>IF(Basicinfo!AU75&gt;Parameters!$C$13,Parameters!$C$11*(Basicinfo!AU75-Parameters!$C$13)^Parameters!$C$12,0)</f>
        <v>183.78020214037218</v>
      </c>
      <c r="AW75" s="19">
        <f>IF(AV75*V75/1000/86.4/0.365&gt;Basicinfo!AP75*Parameters!$C$15,Basicinfo!AP75*Parameters!$C$15,AV75*V75/1000/86.4/0.365)</f>
        <v>1.7163781088532844E-2</v>
      </c>
      <c r="AX75" s="19">
        <f>Basicinfo!AU75-Basicinfo!AW75</f>
        <v>475.78316803742871</v>
      </c>
      <c r="AY75" s="19">
        <f>Parameters!$C$56*AX75+Parameters!$C$57*Basicinfo!AW75</f>
        <v>329.25160578601435</v>
      </c>
      <c r="AZ75" s="19">
        <f>AY75*Basicinfo!BO75/1000/86.4/0.365</f>
        <v>7.499161172295761E-2</v>
      </c>
      <c r="BA75" s="19">
        <f>IF(Basicinfo!AP75-AQ75-AR75-AU75-AW75-AZ75-Basicinfo!CB75-Basicinfo!CG75&lt;0,0,Basicinfo!AP75-AQ75-AR75-AU75-AW75-AZ75-Basicinfo!CB75-Basicinfo!CG75)</f>
        <v>6.2663748362548173</v>
      </c>
      <c r="BB75" s="53">
        <f t="shared" si="59"/>
        <v>791.36137959850259</v>
      </c>
      <c r="BC75" s="56">
        <f>IF(G75=0,0,((Basicinfo!H75*Basicinfo!BE75+Basicinfo!I75*Basicinfo!BF75+Basicinfo!J75*Basicinfo!BG75+Basicinfo!K75*Basicinfo!BH75+Basicinfo!L75*Basicinfo!BI75)*(1-Basicinfo!BN75/G75*Parameters!$C$26/100)/G75)*Basicinfo!BM75)</f>
        <v>4.1699154421137026</v>
      </c>
      <c r="BD75" s="43">
        <f>IF(Basicinfo!AW75*Parameters!$C$39-Parameters!$C$40&lt;0,0.001,(Basicinfo!AW75*Parameters!$C$39-Parameters!$C$40)/(Basicinfo!AX75*Parameters!$C$39-Parameters!$C$40))</f>
        <v>1.1990216776667624</v>
      </c>
      <c r="BE75" s="43">
        <f>(BC75*G75*100+Basicinfo!BJ75*Basicinfo!M75*100)*Parameters!$C$29*BD75</f>
        <v>1288.0406939319837</v>
      </c>
      <c r="BF75" s="43">
        <f>(Basicinfo!BK75*Basicinfo!P75*100)*BD75*Parameters!$C$29</f>
        <v>2044.3189136915812</v>
      </c>
      <c r="BG75" s="43">
        <f>Parameters!$C$27*(V75+W75)*100</f>
        <v>58.904821531814598</v>
      </c>
      <c r="BH75" s="43">
        <f>Parameters!$C$28*Basicinfo!R75*100</f>
        <v>0</v>
      </c>
      <c r="BI75" s="43">
        <f t="shared" si="74"/>
        <v>2103.2237352233956</v>
      </c>
      <c r="BJ75" s="43">
        <f>IF(Basicinfo!AM75&lt;Parameters!$C$33,0,Parameters!$C$30*(((Basicinfo!AM75-Parameters!$C$33)^Parameters!$C$31)*(((G75-Basicinfo!BN75)/Basicinfo!G75*100+Parameters!$C$34))^Parameters!$C$32))</f>
        <v>1.5369780569780669</v>
      </c>
      <c r="BK75" s="58">
        <f t="shared" si="75"/>
        <v>2123.0206380540781</v>
      </c>
      <c r="BL75" s="61">
        <f>Basicinfo!AZ75+Basicinfo!BA75</f>
        <v>1097.4990980968353</v>
      </c>
      <c r="BM75" s="19">
        <f>Basicinfo!BB75+Basicinfo!BC75</f>
        <v>1600.2491292269651</v>
      </c>
      <c r="BN75" s="172">
        <f>IF(Basicinfo!AO75=0,0,IF(Basicinfo!AO75="NA",1,IF(OR(Basicinfo!AO75="SA",Basicinfo!AN75="S"),3,IF(Basicinfo!AN75="N",1,IF(Basicinfo!AO75="ZA",2,0)))))</f>
        <v>2</v>
      </c>
      <c r="BO75" s="27">
        <f>IF($BN75=1,(BL75)*(1+Parameters!$C$21*Parameters!$C$22-Parameters!$C$22*Basicinfo!$AL75),IF($BN75=2,(BL75)*(1+Parameters!$C$21*Parameters!$C$23-Parameters!$C$23*Basicinfo!$AL75),IF($BN75=3,(BL75)*(1+Parameters!$C$21*Parameters!$C$24-Parameters!$C$24*Basicinfo!$AL75),BL75)))</f>
        <v>755.81853852185634</v>
      </c>
      <c r="BP75" s="27">
        <f>IF($BN75=1,(BM75)*(1+Parameters!$C$21*Parameters!$C$22-Parameters!$C$22*Basicinfo!$AL75),IF($BN75=2,(BM75)*(1+Parameters!$C$21*Parameters!$C$23-Parameters!$C$23*Basicinfo!$AL75),IF($BN75=3,(BM75)*(1+Parameters!$C$21*Parameters!$C$24-Parameters!$C$24*Basicinfo!$AL75),BM75)))</f>
        <v>1102.0491590567856</v>
      </c>
      <c r="BQ75" s="27">
        <f>IF(Basicinfo!AU75=0,0,IF(G75+Basicinfo!M75=0,0,(Parameters!$C$16+BO75/Basicinfo!AU75)*G75+(Parameters!$C$17+BO75/Basicinfo!AU75)*Basicinfo!M75)/(G75+Basicinfo!M75))</f>
        <v>0.55496901537559895</v>
      </c>
      <c r="BR75" s="27">
        <f>IF(Basicinfo!AU75=0,0,IF(G75+Basicinfo!M75=0,0,(Parameters!$C$16+BP75/Basicinfo!AU75)*G75+(Parameters!$C$17+BP75/Basicinfo!AU75)*Basicinfo!M75)/(G75+Basicinfo!M75))</f>
        <v>0.80416633851610286</v>
      </c>
      <c r="BS75" s="27">
        <f>IF(Basicinfo!AU75=0,0,BO75/Basicinfo!AU75)</f>
        <v>0.54399566476418326</v>
      </c>
      <c r="BT75" s="27">
        <f>IF(Basicinfo!AU75=0,0,BP75/Basicinfo!AU75)</f>
        <v>0.79319298790468729</v>
      </c>
      <c r="BU75" s="27">
        <f>IF(SUM(G75,Basicinfo!M75,Basicinfo!P75,W75)=0,0,(BQ75*(G75+Basicinfo!M75)+BS75*(Basicinfo!P75+W75))/SUM(G75,Basicinfo!M75,Basicinfo!P75,W75))</f>
        <v>0.54553376539233978</v>
      </c>
      <c r="BV75" s="19">
        <f>IF(Basicinfo!BR75/Parameters!$C$10&gt;1,1,Basicinfo!BR75/Parameters!$C$10)</f>
        <v>0.35389322336032275</v>
      </c>
      <c r="BW75" s="19">
        <f>Parameters!$C$5+Parameters!$C$6*EXP(BV75*Parameters!$C$8*Parameters!$C$7)</f>
        <v>3.5086102947504728E-2</v>
      </c>
      <c r="BX75" s="19">
        <f>Parameters!$C$5+Parameters!$C$6*EXP(BV75*Parameters!$C$9*Parameters!$C$7)</f>
        <v>3.5049749934555861E-2</v>
      </c>
      <c r="BY75" s="19">
        <f>IF(Basicinfo!AH75+Basicinfo!AI75+Basicinfo!AJ75+Basicinfo!AK75=0,0,(Parameters!$C$18*(Basicinfo!AH75+Basicinfo!AI75)+Parameters!$C$19*Basicinfo!AJ75+Parameters!$C$20*Basicinfo!AK75)/(Basicinfo!AH75+Basicinfo!AI75+Basicinfo!AJ75+Basicinfo!AK75))</f>
        <v>2.6656999779509999E-2</v>
      </c>
      <c r="BZ75" s="19">
        <f>IF(Basicinfo!AJ75+Basicinfo!AK75=0,Parameters!$C$18,(Parameters!$C$19*Basicinfo!AJ75+Parameters!$C$20*Basicinfo!AK75)/(Basicinfo!AJ75+Basicinfo!AK75))</f>
        <v>2.3777331386716401E-2</v>
      </c>
      <c r="CA75" s="19">
        <f>IF(SUM(G75,Basicinfo!M75,Basicinfo!P75,W75)=0,0,(BW75*G75+BX75*Basicinfo!M75+BY75*Basicinfo!P75+BZ75*W75)/(SUM(G75,Basicinfo!M75,Basicinfo!P75,W75)))</f>
        <v>2.7833572002286599E-2</v>
      </c>
      <c r="CB75" s="19">
        <f>IF(Y75=0,Basicinfo!BP75,Basicinfo!BP75-(AU75*X75/Y75*Intermediate!BQ75*86400*365/1000000)*1000/(X75*100))</f>
        <v>67.038153574827149</v>
      </c>
      <c r="CC75" s="19">
        <f>IF(Y75=0,Basicinfo!BQ75,Basicinfo!BQ75-(AU75*Basicinfo!AV75/Basicinfo!AU75*X75/Y75*Intermediate!BR75*86400*365/1000000)*1000/(X75*100))</f>
        <v>31.305736866623882</v>
      </c>
      <c r="CD75" s="19">
        <f>IF(OR(Y75=0,AA75=0),BP75/100,BP75/100-(AU75*Basicinfo!AV75/Basicinfo!AU75*(Basicinfo!P75+W75)/Y75*Intermediate!BT75*86400*365/1000000+AW75*Basicinfo!AV75/Basicinfo!AU75*Intermediate!BT75*86400*365/1000000)*1000/(AA75*100))</f>
        <v>9.3317682530460786</v>
      </c>
      <c r="CE75" s="19">
        <f t="shared" si="60"/>
        <v>86604.45091610268</v>
      </c>
      <c r="CF75" s="19">
        <f t="shared" si="61"/>
        <v>207214.64445210621</v>
      </c>
      <c r="CG75" s="19">
        <f>IF(AY75=0,0,((CB75^Parameters!$C$58))/AY75*100)</f>
        <v>10.835422138639107</v>
      </c>
      <c r="CH75" s="19">
        <f>IF(SUM(Basicinfo!AB75:AG75)=0,0,(Parameters!$C$59*Basicinfo!AB75+Parameters!$C$60*SUM(Basicinfo!AC75:AE75)+Parameters!$C$61*Basicinfo!AF75+Parameters!$C$62*Basicinfo!AG75)/SUM(Basicinfo!AB75:AG75))</f>
        <v>0.20282824359849749</v>
      </c>
      <c r="CI75" s="19">
        <f>IF(BB75=0,0,ROUND(3000/BB75,0))</f>
        <v>4</v>
      </c>
      <c r="CJ75" s="19">
        <f t="shared" si="62"/>
        <v>11.766082591606928</v>
      </c>
      <c r="CK75" s="19">
        <f t="shared" si="76"/>
        <v>1.4868153658921861</v>
      </c>
      <c r="CL75" s="19">
        <f>IF($BB75=0,0,$CJ75^Parameters!$C$58*100/$BB75)</f>
        <v>1.0272171388919924</v>
      </c>
      <c r="CM75" s="19">
        <f>IF(CK75=0,0,(1/(1+Parameters!$C$116*BB75^Parameters!$C$120)*Basicinfo!AH75/Basicinfo!G75+1/(1+Parameters!$C$117*BB75^Parameters!$C$121)*Basicinfo!AI75/Basicinfo!G75)*(CK75)^Parameters!$C$124+(1/(1+Parameters!$C$118*BB75^Parameters!$C$122)*Basicinfo!AJ75/Basicinfo!G75+1/(1+Parameters!$C$119*BB75^Parameters!$C$123)*Basicinfo!AK75/Basicinfo!G75)*(CK75)^Parameters!$C$125)</f>
        <v>0.57297334444951764</v>
      </c>
      <c r="CN75" s="19">
        <f>IF(SUM(Basicinfo!AB75:AG75)=0,0,(Parameters!$C$128*Basicinfo!AB75+Parameters!$C$129*(SUM(Basicinfo!AC75:AE75))+Parameters!$C$130*Basicinfo!AF75+Parameters!$C$131*Basicinfo!AG75)/SUM(Basicinfo!AB75:AG75))</f>
        <v>6.9411654085771712E-2</v>
      </c>
      <c r="CO75" s="19">
        <f>IF(Basicinfo!AH75+Basicinfo!AI75+Basicinfo!AJ75+Basicinfo!AK75=0,0,(Parameters!$C$132*(Basicinfo!AH75+Basicinfo!AI75)+Parameters!$C$133*Basicinfo!AJ75+Parameters!$C$134*Basicinfo!AK75)/(Basicinfo!AH75+Basicinfo!AI75+Basicinfo!AJ75+Basicinfo!AK75))</f>
        <v>4.999999999999999E-4</v>
      </c>
      <c r="CP75" s="19">
        <f>IF(Basicinfo!AJ75+Basicinfo!AK75=0,0,(Parameters!$C$133*Basicinfo!AJ75+Parameters!$C$134*Basicinfo!AK75)/(Basicinfo!AJ75+Basicinfo!AK75))</f>
        <v>5.0000000000000001E-4</v>
      </c>
      <c r="CQ75" s="19">
        <f>IF(Z75=0,0,(CN75*(Z75-AA75)+CO75*Basicinfo!P75+CP75*(Basicinfo!Q75+Basicinfo!R75))/Z75)</f>
        <v>8.1234506068629617E-3</v>
      </c>
      <c r="CR75" s="19">
        <f>IF(CK75=0,0,IF(AND((Basicinfo!AI75+Basicinfo!AK75)&gt;0,(CM75/CK75)&lt;Parameters!$C$135),CQ75*Parameters!$C$136,CQ75))</f>
        <v>8.1234506068629617E-3</v>
      </c>
      <c r="CS75" s="19">
        <f>IF(SUM(Basicinfo!AB75:AG75)=0,0,(Basicinfo!AB75*Parameters!$C$43+(Basicinfo!AC75+Basicinfo!AD75)*Parameters!$C$44+Basicinfo!AE75*Parameters!$C$45+(Basicinfo!AF75+Basicinfo!AG75)*Parameters!$C$46)/SUM(Basicinfo!AB75:AG75))</f>
        <v>13.955188239486468</v>
      </c>
      <c r="CT75" s="19">
        <f>(Parameters!$C$41*CS75+Parameters!$C$42)</f>
        <v>417.34292004276199</v>
      </c>
      <c r="CU75" s="19">
        <f>CT75+Basicinfo!BR75/(Parameters!$C$47*Parameters!$C$49*Parameters!$C$48*10000/1000000)</f>
        <v>541.98455845897627</v>
      </c>
      <c r="CV75" s="19">
        <f>IF(BK75/Basicinfo!G75&lt;Parameters!$C$35,Parameters!$C$35,Parameters!$C$37*(BK75/Basicinfo!G75)^Parameters!$C$38)</f>
        <v>2.8547256986079197</v>
      </c>
      <c r="CW75" s="19">
        <f>IF(BK75/Basicinfo!G75&lt;Parameters!$C$35,Parameters!$C$36,Parameters!$C$36*(BK75/Basicinfo!G75)^Parameters!$C$38)</f>
        <v>6.7086053917286126</v>
      </c>
      <c r="CX75" s="27">
        <f>IF(Basicinfo!AJ75+Basicinfo!AK75=0,0,(Parameters!$C$53*Basicinfo!AJ75+Parameters!$C$54*Basicinfo!AK75)/(Basicinfo!AJ75+Basicinfo!AK75))</f>
        <v>739.07402515789113</v>
      </c>
      <c r="CY75" s="56">
        <f>IF(Basicinfo!AU75*AB75=0,0,((Basicinfo!AZ75+Basicinfo!BA75)/Basicinfo!AU75+Parameters!$C$76/(Basicinfo!AU75*AB75)*100))</f>
        <v>1.6227887257281792</v>
      </c>
      <c r="CZ75" s="43">
        <f>IF(Basicinfo!AU75*AB75=0,0,(Parameters!$C$77)/(Basicinfo!AU75*AB75)*100)</f>
        <v>0.52054413483413708</v>
      </c>
      <c r="DA75" s="43">
        <f>IF(AD75+AJ75=0,0,((J75*Parameters!$C$96+Parameters!$C$94/100*S75*100*Parameters!$C$93/1000*86400*Parameters!$C$95/24*Parameters!$C$98)*AI75+AD75*CY75*86400*365)/((AD75+AJ75*AI75/365)*86400*365))</f>
        <v>10.695012592760584</v>
      </c>
      <c r="DB75" s="43">
        <f>IF(AD75+AJ75=0,0,((J75*Parameters!$C$97+Parameters!$C$94/100*S75*100*Parameters!$C$93/1000*86400*Parameters!$C$95/24*Parameters!$C$99)*AI75+AD75*CZ75*86400*365)/((AD75+AJ75*AI75/365)*86400*365))</f>
        <v>1.9706498681687088</v>
      </c>
      <c r="DC75" s="42">
        <f>IF(AE75+AL75=0,0,((K75*Parameters!$C$96+Parameters!$C$94/100*T75*100*Parameters!$C$93/1000*86400*Parameters!$C$95/24*Parameters!$C$98)*365+AE75*CY75*86400*365)/((AE75+AL75)*86400*365))</f>
        <v>0</v>
      </c>
      <c r="DD75" s="42">
        <f>IF(AE75+AL75=0,0,((K75*Parameters!$C$97+Parameters!$C$94/100*T75*100*Parameters!$C$93/1000*86400*Parameters!$C$95/24*Parameters!$C$99)*365+AE75*CZ75*86400*365)/((AE75+AL75)*86400*365))</f>
        <v>0</v>
      </c>
      <c r="DE75" s="42">
        <f>IF(Basicinfo!AH75+Basicinfo!AI75+Basicinfo!AJ75+Basicinfo!AK75=0,0,((Basicinfo!AH75+Basicinfo!AI75)*Parameters!$C$107+(Basicinfo!AJ75+Basicinfo!AK75)*Parameters!$C$106)/(Basicinfo!AH75+Basicinfo!AI75+Basicinfo!AJ75+Basicinfo!AK75))</f>
        <v>60.263756302614553</v>
      </c>
      <c r="DF75" s="42">
        <f>IF(Basicinfo!AH75+Basicinfo!AI75+Basicinfo!AJ75+Basicinfo!AK75=0,0,((Basicinfo!AH75+Basicinfo!AI75)*Parameters!$C$109+(Basicinfo!AJ75+Basicinfo!AK75)*Parameters!$C$108)/(Basicinfo!AH75+Basicinfo!AI75+Basicinfo!AJ75+Basicinfo!AK75))</f>
        <v>60.263756302614553</v>
      </c>
      <c r="DG75" s="42">
        <f>Intermediate!AC75*Intermediate!CY75*(1-Parameters!$C$102/100*Basicinfo!BZ75/100)*(1-Parameters!$C$104/100*Basicinfo!CA75/100)*86400*365/1000000</f>
        <v>0.34638233408148861</v>
      </c>
      <c r="DH75" s="42">
        <f>Intermediate!AC75*Intermediate!CZ75*(1-Parameters!$C$103/100*Basicinfo!BZ75/100)*(1-Parameters!$C$105/100*Basicinfo!CA75/100)*86400*365/1000000</f>
        <v>0.11110952988373141</v>
      </c>
      <c r="DI75" s="42">
        <f>(Intermediate!AK75*Intermediate!DA75+(Intermediate!AE75+Intermediate!AL75)*Intermediate!DC75)*86400*365/1000000</f>
        <v>2.9021518714628609</v>
      </c>
      <c r="DJ75" s="42">
        <f>(Intermediate!AK75*Intermediate!DB75+(Intermediate!AE75+Intermediate!AL75)*Intermediate!DD75)*86400*365/1000000</f>
        <v>0.53474693491947023</v>
      </c>
      <c r="DK75" s="42">
        <f>((Basicinfo!AZ75+Basicinfo!BA75)*Intermediate!AB75+Parameters!$C$76*100)/1000*Intermediate!U75*(1-Intermediate!DE75/100)+(1-Parameters!$C$110/100)*M75*Parameters!$C$100*(1-DE75/100)*365/1000000+(1-Parameters!$C$112/100)*P75*Parameters!$C$96*365/1000000+(1-Parameters!$C$112/100)*O75*Parameters!$C$96*(1-DE75/100)*365/1000000</f>
        <v>0.90536459727231011</v>
      </c>
      <c r="DL75" s="42">
        <f>Parameters!$C$77*100/1000*Intermediate!U75*(1-Intermediate!DF75/100)+(1-Parameters!$C$111/100)*M75*Parameters!$C$101*(1-DF75/100)*365/1000000+(1-Parameters!$C$113/100)*P75*Parameters!$C$97*365/1000000+(1-Parameters!$C$113/100)*O75*Parameters!$C$97*(1-DF75/100)*365/1000000</f>
        <v>0.15388477879652288</v>
      </c>
      <c r="DM75" s="31"/>
      <c r="DN75" s="31"/>
      <c r="DO75" s="31"/>
      <c r="DP75" s="31"/>
      <c r="DQ75" s="31"/>
      <c r="DR75" s="31"/>
      <c r="DS75" s="31"/>
      <c r="DT75" s="188">
        <f>BO75*(Basicinfo!$P75+Basicinfo!$Q75)/1000</f>
        <v>163.79194778821213</v>
      </c>
      <c r="DU75" s="188">
        <f>DT75*Basicinfo!$AZ75/(Basicinfo!$AZ75+Basicinfo!$BA75)</f>
        <v>85.036406961175445</v>
      </c>
      <c r="DV75" s="188">
        <f>DT75*Basicinfo!$BC75/(Basicinfo!$BB75+Basicinfo!$BC75)</f>
        <v>76.613798064681092</v>
      </c>
      <c r="DW75" s="188">
        <f>BP75*(Basicinfo!$P75+Basicinfo!$Q75)/1000</f>
        <v>238.82290407071341</v>
      </c>
      <c r="DX75" s="188">
        <f>DW75*Basicinfo!$BB75/(Basicinfo!$BB75+Basicinfo!$BC75)</f>
        <v>127.11332376000681</v>
      </c>
      <c r="DY75" s="188">
        <f>DW75*Basicinfo!$BC75/(Basicinfo!$BB75+Basicinfo!$BC75)</f>
        <v>111.70958031070657</v>
      </c>
      <c r="DZ75" s="188">
        <f t="shared" si="63"/>
        <v>26.337890562526159</v>
      </c>
      <c r="EA75" s="188">
        <f>DZ75*Basicinfo!$AZ75/(Basicinfo!$AZ75+Basicinfo!$BA75)</f>
        <v>13.673929705444669</v>
      </c>
      <c r="EB75" s="188">
        <f>DZ75*Basicinfo!$BC75/(Basicinfo!$BB75+Basicinfo!$BC75)</f>
        <v>12.319566720191787</v>
      </c>
      <c r="EC75" s="188">
        <f t="shared" si="64"/>
        <v>38.402934919440661</v>
      </c>
      <c r="ED75" s="188">
        <f>EC75*Basicinfo!$AZ75/(Basicinfo!$AZ75+Basicinfo!$BA75)</f>
        <v>19.937778666236209</v>
      </c>
      <c r="EE75" s="188">
        <f>EC75*Basicinfo!$BC75/(Basicinfo!$BB75+Basicinfo!$BC75)</f>
        <v>17.962999651322679</v>
      </c>
      <c r="EF75" s="190">
        <f>(Basicinfo!BP75-BL75/100)*Intermediate!X75/10</f>
        <v>200.02955991570923</v>
      </c>
      <c r="EG75" s="191">
        <f>(Basicinfo!BQ75-BM75/100)*Intermediate!X75/10</f>
        <v>59.460085435609457</v>
      </c>
      <c r="EH75" s="197">
        <f>IF(AU75=0,0,$BS75*((Basicinfo!$P75+Basicinfo!$Q75)*Intermediate!$AT75*1000+$AW75*3600*24*365)/1000000*Basicinfo!AZ75/(Basicinfo!$AZ75+Basicinfo!$BA75))</f>
        <v>14.667604781370974</v>
      </c>
      <c r="EI75" s="197">
        <f>IF(AU75=0,0,$BS75*((Basicinfo!$P75+Basicinfo!$Q75)*Intermediate!$AT75*1000+$AW75*3600*24*365)/1000000*Basicinfo!BA75/(Basicinfo!$AZ75+Basicinfo!$BA75))</f>
        <v>13.584242190777212</v>
      </c>
      <c r="EJ75" s="198">
        <f>IF(AU75=0,0,$BS75*($AT75*$X75*1000)/1000000*Basicinfo!AZ75/(Basicinfo!$AZ75+Basicinfo!$BA75))</f>
        <v>2.3339819453090653</v>
      </c>
      <c r="EK75" s="198">
        <f>IF(AU75=0,0,$BS75*($AT75*$X75*1000)/1000000*Basicinfo!BA75/(Basicinfo!$AZ75+Basicinfo!$BA75))</f>
        <v>2.1615919222372306</v>
      </c>
      <c r="EL75" s="147">
        <f>Parameters!$C$150/Basicinfo!$AV75*100</f>
        <v>7.9364236911976138E-2</v>
      </c>
      <c r="EM75" s="147">
        <f>Parameters!$C$151/Basicinfo!$AV75*100</f>
        <v>0.15872847382395228</v>
      </c>
      <c r="EN75" s="147">
        <f>(Parameters!$C$150+Parameters!$C$151)/Intermediate!$BB75*100</f>
        <v>0.37909355666586242</v>
      </c>
      <c r="EO75" s="193">
        <f>IF(EN75=0,0,(1/(1+Parameters!$C$116*$BB75^Parameters!$C$120)*Basicinfo!$AH75/Basicinfo!$G75+1/(1+Parameters!$C$117*$BB75^Parameters!$C$121)*Basicinfo!$AI75/Basicinfo!$G75)*(EN75)^Parameters!$C$124+(1/(1+Parameters!$C$118*$BB75^Parameters!$C$122)*Basicinfo!$AJ75/Basicinfo!AW75+1/(1+Parameters!$C$119*$BB75^Parameters!$C$123)*Basicinfo!$AK75/Basicinfo!$G75)*(EN75)^Parameters!$C$125)</f>
        <v>0.20486390840047336</v>
      </c>
      <c r="EP75" s="199">
        <f>EL75*($AT75*Basicinfo!$P75*1000+$AW75*3600*24*365)/1000000</f>
        <v>4.0662653410964413</v>
      </c>
      <c r="EQ75" s="199">
        <f>EM75*($AT75*Basicinfo!$P75*1000+$AW75*3600*24*365)/1000000</f>
        <v>8.1325306821928827</v>
      </c>
      <c r="ER75" s="199">
        <f t="shared" si="65"/>
        <v>0.65586513384053724</v>
      </c>
      <c r="ES75" s="199">
        <f t="shared" si="66"/>
        <v>1.3117302676810745</v>
      </c>
      <c r="ET75" s="181">
        <f t="shared" si="77"/>
        <v>40.484467419868913</v>
      </c>
      <c r="EU75" s="147">
        <f>Intermediate!F75*(Parameters!$C$150)/1000*100</f>
        <v>0.13315254668640961</v>
      </c>
      <c r="EV75" s="147">
        <f>Intermediate!F75*(Parameters!$C$151)/1000*100</f>
        <v>0.26630509337281921</v>
      </c>
      <c r="EW75" s="181">
        <f>'Local emissions'!$S75*Basicinfo!AZ75/(Basicinfo!$AZ75+Basicinfo!$BA75)-Intermediate!EU75</f>
        <v>0.38933912380267888</v>
      </c>
      <c r="EX75" s="147">
        <f>'Local emissions'!$S75*Basicinfo!BA75/(Basicinfo!$AZ75+Basicinfo!$BA75)-Intermediate!EV75</f>
        <v>0.21759486850794585</v>
      </c>
      <c r="EY75" s="188">
        <f t="shared" si="78"/>
        <v>10.601339440274533</v>
      </c>
      <c r="EZ75" s="188">
        <f t="shared" si="79"/>
        <v>5.4517115085843297</v>
      </c>
      <c r="FA75" s="188">
        <f t="shared" si="80"/>
        <v>1.6781168114685281</v>
      </c>
      <c r="FB75" s="181">
        <f t="shared" si="81"/>
        <v>0.84986165455615614</v>
      </c>
      <c r="FC75" s="181">
        <f>'Local emissions'!Y75-Intermediate!ET75</f>
        <v>74.198683009230848</v>
      </c>
      <c r="FD75" s="188">
        <f t="shared" si="82"/>
        <v>28.013173499915872</v>
      </c>
      <c r="FE75" s="188">
        <f t="shared" si="83"/>
        <v>24.618503885201545</v>
      </c>
      <c r="FF75" s="181">
        <f t="shared" si="84"/>
        <v>2.1969390637392863</v>
      </c>
      <c r="FG75" s="201">
        <f t="shared" si="85"/>
        <v>1.9793386362923138</v>
      </c>
      <c r="FH75" s="181">
        <f t="shared" si="86"/>
        <v>17.39072792408183</v>
      </c>
      <c r="FJ75" s="147">
        <f>AVERAGE(Parameters!$C$132:$C$134)*'Local emissions'!J75*3600*24*365/1000000</f>
        <v>9.8808198418065971E-2</v>
      </c>
      <c r="FK75" s="147">
        <f>'Local emissions'!AJ75+CT75*BJ75/100*Intermediate!X75*100/1000000</f>
        <v>0.98583093501064967</v>
      </c>
      <c r="FL75" s="31">
        <f>(Parameters!$C$18*(Basicinfo!AH75+Basicinfo!AI75)+Parameters!$C$19*Basicinfo!AJ75+Parameters!$C$20*Basicinfo!AK75)/Basicinfo!G75</f>
        <v>2.6656999779509999E-2</v>
      </c>
      <c r="FM75" s="181">
        <f t="shared" si="87"/>
        <v>1.6458129788793441</v>
      </c>
    </row>
    <row r="76" spans="1:169">
      <c r="A76" s="39" t="str">
        <f>Basicinfo!A76</f>
        <v>Erzbach</v>
      </c>
      <c r="B76" s="63">
        <f>Basicinfo!B76</f>
        <v>1470</v>
      </c>
      <c r="C76" s="63">
        <f>Basicinfo!C76</f>
        <v>4070</v>
      </c>
      <c r="D76" s="61">
        <f>Basicinfo!U76*Basicinfo!V76/1000+Basicinfo!Y76</f>
        <v>1.7331820635184561</v>
      </c>
      <c r="E76" s="19">
        <f>Basicinfo!W76*Basicinfo!X76/1000+Basicinfo!Z76</f>
        <v>0</v>
      </c>
      <c r="F76" s="19">
        <f t="shared" si="71"/>
        <v>1.7331820635184561</v>
      </c>
      <c r="G76" s="19">
        <f>SUM(Basicinfo!H76:L76)</f>
        <v>1.1725893299305999E-3</v>
      </c>
      <c r="H76" s="19">
        <f>IF(Basicinfo!N76&lt;Parameters!$C$68,Parameters!$C$69,Basicinfo!BS76/(Basicinfo!N76*100))</f>
        <v>7.4551684286234039</v>
      </c>
      <c r="I76" s="19">
        <f>IF(Basicinfo!N76=0,0,Basicinfo!BU76*(1-Basicinfo!BX76/100))</f>
        <v>3277.7408180094926</v>
      </c>
      <c r="J76" s="19">
        <f>IF(Basicinfo!N76=0,0,Basicinfo!BU76*Basicinfo!BX76/100)</f>
        <v>3025.6069089318394</v>
      </c>
      <c r="K76" s="19">
        <f>IF(Basicinfo!N76=0,0,Basicinfo!BT76-Basicinfo!BU76)</f>
        <v>0</v>
      </c>
      <c r="L76" s="27">
        <f>Basicinfo!BV76*Basicinfo!BW76/100</f>
        <v>23.670000000000073</v>
      </c>
      <c r="M76" s="27">
        <f>Basicinfo!BV76-Intermediate!L76</f>
        <v>23.670000000000073</v>
      </c>
      <c r="N76" s="73">
        <f>Basicinfo!BS76-SUM(I76:K76)-Basicinfo!BV76</f>
        <v>-9.0949470177292824E-13</v>
      </c>
      <c r="O76" s="19">
        <f>IF(Basicinfo!AH76+Basicinfo!AI76+Basicinfo!AJ76+Basicinfo!AK76=0,0,N76*(Basicinfo!AH76+Basicinfo!AI76)/SUM(Basicinfo!AH76:AK76))</f>
        <v>-2.4112608832168284E-13</v>
      </c>
      <c r="P76" s="73">
        <f t="shared" si="67"/>
        <v>-6.683686134512454E-13</v>
      </c>
      <c r="Q76" s="19">
        <f>IF(Basicinfo!BS76=0,Basicinfo!N76,IF(H76&gt;Parameters!$C$70,Parameters!$C$64*(Parameters!$C$65*Parameters!$C$70)^(Parameters!$C$66-Parameters!$C$67*LOG(Parameters!$C$65*Parameters!$C$70,10))/100*Basicinfo!N76,Parameters!$C$64*(Parameters!$C$65*H76)^(Parameters!$C$66-Parameters!$C$67*LOG(Parameters!$C$65*H76,10))/100*Basicinfo!N76))</f>
        <v>1.5081575082463226</v>
      </c>
      <c r="R76" s="19">
        <f>IF(Basicinfo!BS76=0,Q76*(1-Basicinfo!BX76/100),IF(H76&lt;Parameters!$C$75,Q76*Basicinfo!BU76/Basicinfo!BS76*(1-Basicinfo!BX76/100)*(-Parameters!$C$74+Parameters!$C$73*LN(H76*100)),Q76*Basicinfo!BU76/Basicinfo!BS76*(1-Basicinfo!BX76/100)))</f>
        <v>0.35709669170840147</v>
      </c>
      <c r="S76" s="19">
        <f>IF(Basicinfo!BS76=0,Q76*Basicinfo!BX76/100,Q76*Basicinfo!BU76/Basicinfo!BS76*Basicinfo!BX76/100)</f>
        <v>0.718519312065941</v>
      </c>
      <c r="T76" s="19">
        <f>IF(Basicinfo!BS76=0,0,IF(H76&lt;Parameters!$C$75,Q76*K76/Basicinfo!BS76*(-Parameters!$C$74+Parameters!$C$73*LN(H76*100)),Q76*K76/Basicinfo!BS76))</f>
        <v>0</v>
      </c>
      <c r="U76" s="19">
        <f t="shared" si="68"/>
        <v>0.43254150447198003</v>
      </c>
      <c r="V76" s="19">
        <f>IF(Basicinfo!AL76&gt;Parameters!$C$14,Basicinfo!Q76,0)</f>
        <v>18.313436149076399</v>
      </c>
      <c r="W76" s="19">
        <f>IF(Basicinfo!AL76&gt;Parameters!$C$14,0,Basicinfo!Q76)</f>
        <v>0</v>
      </c>
      <c r="X76" s="19">
        <f>G76+Basicinfo!M76</f>
        <v>10.013468114493071</v>
      </c>
      <c r="Y76" s="19">
        <f>IF(Basicinfo!G76-F76-Q76-V76-Basicinfo!O76-Basicinfo!R76-Basicinfo!S76&lt;0,0,Basicinfo!G76-F76-Q76-V76-Basicinfo!O76-Basicinfo!R76-Basicinfo!S76)</f>
        <v>226.79421424824451</v>
      </c>
      <c r="Z76" s="19">
        <f>Basicinfo!G76-F76-Basicinfo!BO76-Q76-Basicinfo!O76</f>
        <v>245.11096084152368</v>
      </c>
      <c r="AA76" s="53">
        <f>IF(Z76+Basicinfo!BO76-X76&gt;0,Z76+Basicinfo!BO76-X76,0)</f>
        <v>235.09749272703061</v>
      </c>
      <c r="AB76" s="56">
        <f>IF(Basicinfo!N76=0,0,Parameters!$C$71+Parameters!$C$72*Q76/Basicinfo!N76)</f>
        <v>0.2827836691588268</v>
      </c>
      <c r="AC76" s="43">
        <f>Basicinfo!AU76*AB76*R76/1000/86.4/0.365</f>
        <v>5.3799812166182527E-3</v>
      </c>
      <c r="AD76" s="43">
        <f>Basicinfo!AU76*AB76*S76/1000/86.4/0.365</f>
        <v>1.082513641949062E-2</v>
      </c>
      <c r="AE76" s="43">
        <f>Basicinfo!AU76*AB76*T76/1000/86.4/0.365</f>
        <v>0</v>
      </c>
      <c r="AF76" s="43">
        <f>Basicinfo!AU76*AB76*U76/1000/86.4/0.365</f>
        <v>6.5166248343944064E-3</v>
      </c>
      <c r="AG76" s="43">
        <f>((Parameters!$C$80+Parameters!$C$81*Parameters!$C$89)/(Parameters!$C$82+Parameters!$C$89)/(Parameters!$C$90/100*Parameters!$C$91+(Parameters!$C$83+Parameters!$C$84*Parameters!$C$89)/(Parameters!$C$85+Parameters!$C$89)))-Parameters!$C$86+(Basicinfo!AU76-Parameters!$C$88)/Parameters!$C$87</f>
        <v>93.392334643490784</v>
      </c>
      <c r="AH76" s="43">
        <f>((Parameters!$C$80+Parameters!$C$81*Parameters!$C$89)/(Parameters!$C$82+Parameters!$C$89)/(Basicinfo!BY76/100*Parameters!$C$91+(Parameters!$C$83+Parameters!$C$84*Parameters!$C$89)/(Parameters!$C$85+Parameters!$C$89)))-Parameters!$C$86+(Basicinfo!AU76-Parameters!$C$88)/Parameters!$C$87</f>
        <v>75.58945277687522</v>
      </c>
      <c r="AI76" s="43">
        <f>Basicinfo!AU76^Parameters!$C$79*Parameters!$C$78*AH76/AG76</f>
        <v>112.38264549697072</v>
      </c>
      <c r="AJ76" s="43">
        <f>(J76*Parameters!$C$92/1000+Parameters!$C$94/100*S76*100*Parameters!$C$93/1000*86400*Parameters!$C$95/24)/86400</f>
        <v>4.5763684465264928E-3</v>
      </c>
      <c r="AK76" s="43">
        <f t="shared" si="72"/>
        <v>9.2477569328487212E-3</v>
      </c>
      <c r="AL76" s="43">
        <f>(K76*Parameters!$C$92/1000+Parameters!$C$94/100*T76*100*Parameters!$C$93/1000*86400*Parameters!$C$95/24)/86400</f>
        <v>0</v>
      </c>
      <c r="AM76" s="43">
        <f>(Intermediate!N76+Basicinfo!BV76-Intermediate!L76)*Parameters!$C$92/1000/86400</f>
        <v>3.5614583333332079E-5</v>
      </c>
      <c r="AN76" s="43">
        <f t="shared" si="73"/>
        <v>1.3562642598461436E-2</v>
      </c>
      <c r="AO76" s="43">
        <f t="shared" si="69"/>
        <v>9.2477569328487212E-3</v>
      </c>
      <c r="AP76" s="43">
        <f t="shared" si="70"/>
        <v>6.5522394177277383E-3</v>
      </c>
      <c r="AQ76" s="43">
        <f t="shared" si="58"/>
        <v>2.1179977567194714E-2</v>
      </c>
      <c r="AR76" s="61">
        <f>(Basicinfo!AU76-Basicinfo!AY76)*F76/1000/86.4/0.365</f>
        <v>5.9201922944170801E-2</v>
      </c>
      <c r="AS76" s="19">
        <f>IF(Basicinfo!AP76-Basicinfo!CB76-Basicinfo!CG76&lt;0,0,(Basicinfo!AP76-Basicinfo!CB76-Basicinfo!CG76)/Basicinfo!G76*1000)</f>
        <v>38.462418866494417</v>
      </c>
      <c r="AT76" s="19">
        <f>Parameters!$C$3*((AS76*86.4*0.365)^Parameters!$C$4)</f>
        <v>296.61056129788329</v>
      </c>
      <c r="AU76" s="19">
        <f>IF(AT76/86.4/0.365*(Basicinfo!G76/1000)-AN76&lt;0,0,AT76/86.4/0.365*(Basicinfo!G76/1000)-AN76)</f>
        <v>2.3849025820822849</v>
      </c>
      <c r="AV76" s="19">
        <f>IF(Basicinfo!AU76&gt;Parameters!$C$13,Parameters!$C$11*(Basicinfo!AU76-Parameters!$C$13)^Parameters!$C$12,0)</f>
        <v>233.77229639904584</v>
      </c>
      <c r="AW76" s="19">
        <f>IF(AV76*V76/1000/86.4/0.365&gt;Basicinfo!AP76*Parameters!$C$15,Basicinfo!AP76*Parameters!$C$15,AV76*V76/1000/86.4/0.365)</f>
        <v>0.13575513773233411</v>
      </c>
      <c r="AX76" s="19">
        <f>Basicinfo!AU76-Basicinfo!AW76</f>
        <v>607.37373976185722</v>
      </c>
      <c r="AY76" s="19">
        <f>Parameters!$C$56*AX76+Parameters!$C$57*Basicinfo!AW76</f>
        <v>410.96417020131435</v>
      </c>
      <c r="AZ76" s="19">
        <f>AY76*Basicinfo!BO76/1000/86.4/0.365</f>
        <v>0</v>
      </c>
      <c r="BA76" s="19">
        <f>IF(Basicinfo!AP76-AQ76-AR76-AU76-AW76-AZ76-Basicinfo!CB76-Basicinfo!CG76&lt;0,0,Basicinfo!AP76-AQ76-AR76-AU76-AW76-AZ76-Basicinfo!CB76-Basicinfo!CG76)</f>
        <v>7.2071762420907657</v>
      </c>
      <c r="BB76" s="53">
        <f t="shared" si="59"/>
        <v>927.27599447307318</v>
      </c>
      <c r="BC76" s="56">
        <f>IF(G76=0,0,((Basicinfo!H76*Basicinfo!BE76+Basicinfo!I76*Basicinfo!BF76+Basicinfo!J76*Basicinfo!BG76+Basicinfo!K76*Basicinfo!BH76+Basicinfo!L76*Basicinfo!BI76)*(1-Basicinfo!BN76/G76*Parameters!$C$26/100)/G76)*Basicinfo!BM76)</f>
        <v>5.9033700252646844</v>
      </c>
      <c r="BD76" s="43">
        <f>IF(Basicinfo!AW76*Parameters!$C$39-Parameters!$C$40&lt;0,0.001,(Basicinfo!AW76*Parameters!$C$39-Parameters!$C$40)/(Basicinfo!AX76*Parameters!$C$39-Parameters!$C$40))</f>
        <v>1.2500705401395495</v>
      </c>
      <c r="BE76" s="43">
        <f>(BC76*G76*100+Basicinfo!BJ76*Basicinfo!M76*100)*Parameters!$C$29*BD76</f>
        <v>174.44697545420209</v>
      </c>
      <c r="BF76" s="43">
        <f>(Basicinfo!BK76*Basicinfo!P76*100)*BD76*Parameters!$C$29</f>
        <v>2105.358807641815</v>
      </c>
      <c r="BG76" s="43">
        <f>Parameters!$C$27*(V76+W76)*100</f>
        <v>366.26872298152796</v>
      </c>
      <c r="BH76" s="43">
        <f>Parameters!$C$28*Basicinfo!R76*100</f>
        <v>0</v>
      </c>
      <c r="BI76" s="43">
        <f t="shared" si="74"/>
        <v>2471.6275306233429</v>
      </c>
      <c r="BJ76" s="43">
        <f>IF(Basicinfo!AM76&lt;Parameters!$C$33,0,Parameters!$C$30*(((Basicinfo!AM76-Parameters!$C$33)^Parameters!$C$31)*(((G76-Basicinfo!BN76)/Basicinfo!G76*100+Parameters!$C$34))^Parameters!$C$32))</f>
        <v>1.44975061465819</v>
      </c>
      <c r="BK76" s="58">
        <f t="shared" si="75"/>
        <v>2474.1565767222428</v>
      </c>
      <c r="BL76" s="61">
        <f>Basicinfo!AZ76+Basicinfo!BA76</f>
        <v>1460.885758784038</v>
      </c>
      <c r="BM76" s="19">
        <f>Basicinfo!BB76+Basicinfo!BC76</f>
        <v>1950.2620510764318</v>
      </c>
      <c r="BN76" s="172">
        <f>IF(Basicinfo!AO76=0,0,IF(Basicinfo!AO76="NA",1,IF(OR(Basicinfo!AO76="SA",Basicinfo!AN76="S"),3,IF(Basicinfo!AN76="N",1,IF(Basicinfo!AO76="ZA",2,0)))))</f>
        <v>1</v>
      </c>
      <c r="BO76" s="27">
        <f>IF($BN76=1,(BL76)*(1+Parameters!$C$21*Parameters!$C$22-Parameters!$C$22*Basicinfo!$AL76),IF($BN76=2,(BL76)*(1+Parameters!$C$21*Parameters!$C$23-Parameters!$C$23*Basicinfo!$AL76),IF($BN76=3,(BL76)*(1+Parameters!$C$21*Parameters!$C$24-Parameters!$C$24*Basicinfo!$AL76),BL76)))</f>
        <v>1236.7195668632205</v>
      </c>
      <c r="BP76" s="27">
        <f>IF($BN76=1,(BM76)*(1+Parameters!$C$21*Parameters!$C$22-Parameters!$C$22*Basicinfo!$AL76),IF($BN76=2,(BM76)*(1+Parameters!$C$21*Parameters!$C$23-Parameters!$C$23*Basicinfo!$AL76),IF($BN76=3,(BM76)*(1+Parameters!$C$21*Parameters!$C$24-Parameters!$C$24*Basicinfo!$AL76),BM76)))</f>
        <v>1651.0033208103678</v>
      </c>
      <c r="BQ76" s="27">
        <f>IF(Basicinfo!AU76=0,0,IF(G76+Basicinfo!M76=0,0,(Parameters!$C$16+BO76/Basicinfo!AU76)*G76+(Parameters!$C$17+BO76/Basicinfo!AU76)*Basicinfo!M76)/(G76+Basicinfo!M76))</f>
        <v>0.73611343545504604</v>
      </c>
      <c r="BR76" s="27">
        <f>IF(Basicinfo!AU76=0,0,IF(G76+Basicinfo!M76=0,0,(Parameters!$C$16+BP76/Basicinfo!AU76)*G76+(Parameters!$C$17+BP76/Basicinfo!AU76)*Basicinfo!M76)/(G76+Basicinfo!M76))</f>
        <v>0.98268937037360771</v>
      </c>
      <c r="BS76" s="27">
        <f>IF(Basicinfo!AU76=0,0,BO76/Basicinfo!AU76)</f>
        <v>0.73607830508912719</v>
      </c>
      <c r="BT76" s="27">
        <f>IF(Basicinfo!AU76=0,0,BP76/Basicinfo!AU76)</f>
        <v>0.98265424000768886</v>
      </c>
      <c r="BU76" s="27">
        <f>IF(SUM(G76,Basicinfo!M76,Basicinfo!P76,W76)=0,0,(BQ76*(G76+Basicinfo!M76)+BS76*(Basicinfo!P76+W76))/SUM(G76,Basicinfo!M76,Basicinfo!P76,W76))</f>
        <v>0.73607990564699133</v>
      </c>
      <c r="BV76" s="19">
        <f>IF(Basicinfo!BR76/Parameters!$C$10&gt;1,1,Basicinfo!BR76/Parameters!$C$10)</f>
        <v>0.61403581155069409</v>
      </c>
      <c r="BW76" s="19">
        <f>Parameters!$C$5+Parameters!$C$6*EXP(BV76*Parameters!$C$8*Parameters!$C$7)</f>
        <v>3.8243903766131605E-2</v>
      </c>
      <c r="BX76" s="19">
        <f>Parameters!$C$5+Parameters!$C$6*EXP(BV76*Parameters!$C$9*Parameters!$C$7)</f>
        <v>3.6252350220909606E-2</v>
      </c>
      <c r="BY76" s="19">
        <f>IF(Basicinfo!AH76+Basicinfo!AI76+Basicinfo!AJ76+Basicinfo!AK76=0,0,(Parameters!$C$18*(Basicinfo!AH76+Basicinfo!AI76)+Parameters!$C$19*Basicinfo!AJ76+Parameters!$C$20*Basicinfo!AK76)/(Basicinfo!AH76+Basicinfo!AI76+Basicinfo!AJ76+Basicinfo!AK76))</f>
        <v>1.7248373024783659E-2</v>
      </c>
      <c r="BZ76" s="19">
        <f>IF(Basicinfo!AJ76+Basicinfo!AK76=0,Parameters!$C$18,(Parameters!$C$19*Basicinfo!AJ76+Parameters!$C$20*Basicinfo!AK76)/(Basicinfo!AJ76+Basicinfo!AK76))</f>
        <v>1.0844151929216277E-2</v>
      </c>
      <c r="CA76" s="19">
        <f>IF(SUM(G76,Basicinfo!M76,Basicinfo!P76,W76)=0,0,(BW76*G76+BX76*Basicinfo!M76+BY76*Basicinfo!P76+BZ76*W76)/(SUM(G76,Basicinfo!M76,Basicinfo!P76,W76)))</f>
        <v>1.8114214800889577E-2</v>
      </c>
      <c r="CB76" s="19">
        <f>IF(Y76=0,Basicinfo!BP76,Basicinfo!BP76-(AU76*X76/Y76*Intermediate!BQ76*86400*365/1000000)*1000/(X76*100))</f>
        <v>23.968927254251341</v>
      </c>
      <c r="CC76" s="19">
        <f>IF(Y76=0,Basicinfo!BQ76,Basicinfo!BQ76-(AU76*Basicinfo!AV76/Basicinfo!AU76*X76/Y76*Intermediate!BR76*86400*365/1000000)*1000/(X76*100))</f>
        <v>54.080810306904617</v>
      </c>
      <c r="CD76" s="19">
        <f>IF(OR(Y76=0,AA76=0),BP76/100,BP76/100-(AU76*Basicinfo!AV76/Basicinfo!AU76*(Basicinfo!P76+W76)/Y76*Intermediate!BT76*86400*365/1000000+AW76*Basicinfo!AV76/Basicinfo!AU76*Intermediate!BT76*86400*365/1000000)*1000/(AA76*100))</f>
        <v>13.751227892129251</v>
      </c>
      <c r="CE76" s="19">
        <f t="shared" si="60"/>
        <v>54153.646961413731</v>
      </c>
      <c r="CF76" s="19">
        <f t="shared" si="61"/>
        <v>323287.91993575968</v>
      </c>
      <c r="CG76" s="19">
        <f>IF(AY76=0,0,((CB76^Parameters!$C$58))/AY76*100)</f>
        <v>3.6215738701664479</v>
      </c>
      <c r="CH76" s="19">
        <f>IF(SUM(Basicinfo!AB76:AG76)=0,0,(Parameters!$C$59*Basicinfo!AB76+Parameters!$C$60*SUM(Basicinfo!AC76:AE76)+Parameters!$C$61*Basicinfo!AF76+Parameters!$C$62*Basicinfo!AG76)/SUM(Basicinfo!AB76:AG76))</f>
        <v>0.10511333800700753</v>
      </c>
      <c r="CI76" s="19">
        <f>IF(BB76=0,0,ROUND(3000/BB76,0))</f>
        <v>3</v>
      </c>
      <c r="CJ76" s="19">
        <f t="shared" si="62"/>
        <v>15.398804100858142</v>
      </c>
      <c r="CK76" s="19">
        <f t="shared" si="76"/>
        <v>1.6606494929924882</v>
      </c>
      <c r="CL76" s="19">
        <f>IF($BB76=0,0,$CJ76^Parameters!$C$58*100/$BB76)</f>
        <v>1.1019323374718519</v>
      </c>
      <c r="CM76" s="19">
        <f>IF(CK76=0,0,(1/(1+Parameters!$C$116*BB76^Parameters!$C$120)*Basicinfo!AH76/Basicinfo!G76+1/(1+Parameters!$C$117*BB76^Parameters!$C$121)*Basicinfo!AI76/Basicinfo!G76)*(CK76)^Parameters!$C$124+(1/(1+Parameters!$C$118*BB76^Parameters!$C$122)*Basicinfo!AJ76/Basicinfo!G76+1/(1+Parameters!$C$119*BB76^Parameters!$C$123)*Basicinfo!AK76/Basicinfo!G76)*(CK76)^Parameters!$C$125)</f>
        <v>0.82845630905700474</v>
      </c>
      <c r="CN76" s="19">
        <f>IF(SUM(Basicinfo!AB76:AG76)=0,0,(Parameters!$C$128*Basicinfo!AB76+Parameters!$C$129*(SUM(Basicinfo!AC76:AE76))+Parameters!$C$130*Basicinfo!AF76+Parameters!$C$131*Basicinfo!AG76)/SUM(Basicinfo!AB76:AG76))</f>
        <v>1.6444762572429647E-2</v>
      </c>
      <c r="CO76" s="19">
        <f>IF(Basicinfo!AH76+Basicinfo!AI76+Basicinfo!AJ76+Basicinfo!AK76=0,0,(Parameters!$C$132*(Basicinfo!AH76+Basicinfo!AI76)+Parameters!$C$133*Basicinfo!AJ76+Parameters!$C$134*Basicinfo!AK76)/(Basicinfo!AH76+Basicinfo!AI76+Basicinfo!AJ76+Basicinfo!AK76))</f>
        <v>5.0000000000000001E-4</v>
      </c>
      <c r="CP76" s="19">
        <f>IF(Basicinfo!AJ76+Basicinfo!AK76=0,0,(Parameters!$C$133*Basicinfo!AJ76+Parameters!$C$134*Basicinfo!AK76)/(Basicinfo!AJ76+Basicinfo!AK76))</f>
        <v>5.0000000000000012E-4</v>
      </c>
      <c r="CQ76" s="19">
        <f>IF(Z76=0,0,(CN76*(Z76-AA76)+CO76*Basicinfo!P76+CP76*(Basicinfo!Q76+Basicinfo!R76))/Z76)</f>
        <v>1.13708103028407E-3</v>
      </c>
      <c r="CR76" s="19">
        <f>IF(CK76=0,0,IF(AND((Basicinfo!AI76+Basicinfo!AK76)&gt;0,(CM76/CK76)&lt;Parameters!$C$135),CQ76*Parameters!$C$136,CQ76))</f>
        <v>1.13708103028407E-3</v>
      </c>
      <c r="CS76" s="19">
        <f>IF(SUM(Basicinfo!AB76:AG76)=0,0,(Basicinfo!AB76*Parameters!$C$43+(Basicinfo!AC76+Basicinfo!AD76)*Parameters!$C$44+Basicinfo!AE76*Parameters!$C$45+(Basicinfo!AF76+Basicinfo!AG76)*Parameters!$C$46)/SUM(Basicinfo!AB76:AG76))</f>
        <v>17.469120032449077</v>
      </c>
      <c r="CT76" s="19">
        <f>(Parameters!$C$41*CS76+Parameters!$C$42)</f>
        <v>453.18502433098058</v>
      </c>
      <c r="CU76" s="19">
        <f>CT76+Basicinfo!BR76/(Parameters!$C$47*Parameters!$C$49*Parameters!$C$48*10000/1000000)</f>
        <v>669.44920953122505</v>
      </c>
      <c r="CV76" s="19">
        <f>IF(BK76/Basicinfo!G76&lt;Parameters!$C$35,Parameters!$C$35,Parameters!$C$37*(BK76/Basicinfo!G76)^Parameters!$C$38)</f>
        <v>2.6325339244059571</v>
      </c>
      <c r="CW76" s="19">
        <f>IF(BK76/Basicinfo!G76&lt;Parameters!$C$35,Parameters!$C$36,Parameters!$C$36*(BK76/Basicinfo!G76)^Parameters!$C$38)</f>
        <v>6.1864547223540001</v>
      </c>
      <c r="CX76" s="27">
        <f>IF(Basicinfo!AJ76+Basicinfo!AK76=0,0,(Parameters!$C$53*Basicinfo!AJ76+Parameters!$C$54*Basicinfo!AK76)/(Basicinfo!AJ76+Basicinfo!AK76))</f>
        <v>623.500932133422</v>
      </c>
      <c r="CY76" s="56">
        <f>IF(Basicinfo!AU76*AB76=0,0,((Basicinfo!AZ76+Basicinfo!BA76)/Basicinfo!AU76+Parameters!$C$76/(Basicinfo!AU76*AB76)*100))</f>
        <v>1.7113949191722437</v>
      </c>
      <c r="CZ76" s="43">
        <f>IF(Basicinfo!AU76*AB76=0,0,(Parameters!$C$77)/(Basicinfo!AU76*AB76)*100)</f>
        <v>0.52618500679829616</v>
      </c>
      <c r="DA76" s="43">
        <f>IF(AD76+AJ76=0,0,((J76*Parameters!$C$96+Parameters!$C$94/100*S76*100*Parameters!$C$93/1000*86400*Parameters!$C$95/24*Parameters!$C$98)*AI76+AD76*CY76*86400*365)/((AD76+AJ76*AI76/365)*86400*365))</f>
        <v>12.091243595748402</v>
      </c>
      <c r="DB76" s="43">
        <f>IF(AD76+AJ76=0,0,((J76*Parameters!$C$97+Parameters!$C$94/100*S76*100*Parameters!$C$93/1000*86400*Parameters!$C$95/24*Parameters!$C$99)*AI76+AD76*CZ76*86400*365)/((AD76+AJ76*AI76/365)*86400*365))</f>
        <v>2.1862686867960024</v>
      </c>
      <c r="DC76" s="42">
        <f>IF(AE76+AL76=0,0,((K76*Parameters!$C$96+Parameters!$C$94/100*T76*100*Parameters!$C$93/1000*86400*Parameters!$C$95/24*Parameters!$C$98)*365+AE76*CY76*86400*365)/((AE76+AL76)*86400*365))</f>
        <v>0</v>
      </c>
      <c r="DD76" s="42">
        <f>IF(AE76+AL76=0,0,((K76*Parameters!$C$97+Parameters!$C$94/100*T76*100*Parameters!$C$93/1000*86400*Parameters!$C$95/24*Parameters!$C$99)*365+AE76*CZ76*86400*365)/((AE76+AL76)*86400*365))</f>
        <v>0</v>
      </c>
      <c r="DE76" s="42">
        <f>IF(Basicinfo!AH76+Basicinfo!AI76+Basicinfo!AJ76+Basicinfo!AK76=0,0,((Basicinfo!AH76+Basicinfo!AI76)*Parameters!$C$107+(Basicinfo!AJ76+Basicinfo!AK76)*Parameters!$C$106)/(Basicinfo!AH76+Basicinfo!AI76+Basicinfo!AJ76+Basicinfo!AK76))</f>
        <v>60.604837514793324</v>
      </c>
      <c r="DF76" s="42">
        <f>IF(Basicinfo!AH76+Basicinfo!AI76+Basicinfo!AJ76+Basicinfo!AK76=0,0,((Basicinfo!AH76+Basicinfo!AI76)*Parameters!$C$109+(Basicinfo!AJ76+Basicinfo!AK76)*Parameters!$C$108)/(Basicinfo!AH76+Basicinfo!AI76+Basicinfo!AJ76+Basicinfo!AK76))</f>
        <v>60.604837514793324</v>
      </c>
      <c r="DG76" s="42">
        <f>Intermediate!AC76*Intermediate!CY76*(1-Parameters!$C$102/100*Basicinfo!BZ76/100)*(1-Parameters!$C$104/100*Basicinfo!CA76/100)*86400*365/1000000</f>
        <v>0.29036054617061852</v>
      </c>
      <c r="DH76" s="42">
        <f>Intermediate!AC76*Intermediate!CZ76*(1-Parameters!$C$103/100*Basicinfo!BZ76/100)*(1-Parameters!$C$105/100*Basicinfo!CA76/100)*86400*365/1000000</f>
        <v>8.9274172927100381E-2</v>
      </c>
      <c r="DI76" s="42">
        <f>(Intermediate!AK76*Intermediate!DA76+(Intermediate!AE76+Intermediate!AL76)*Intermediate!DC76)*86400*365/1000000</f>
        <v>3.5262571841087835</v>
      </c>
      <c r="DJ76" s="42">
        <f>(Intermediate!AK76*Intermediate!DB76+(Intermediate!AE76+Intermediate!AL76)*Intermediate!DD76)*86400*365/1000000</f>
        <v>0.63759741520030966</v>
      </c>
      <c r="DK76" s="42">
        <f>((Basicinfo!AZ76+Basicinfo!BA76)*Intermediate!AB76+Parameters!$C$76*100)/1000*Intermediate!U76*(1-Intermediate!DE76/100)+(1-Parameters!$C$110/100)*M76*Parameters!$C$100*(1-DE76/100)*365/1000000+(1-Parameters!$C$112/100)*P76*Parameters!$C$96*365/1000000+(1-Parameters!$C$112/100)*O76*Parameters!$C$96*(1-DE76/100)*365/1000000</f>
        <v>0.16612395680126085</v>
      </c>
      <c r="DL76" s="42">
        <f>Parameters!$C$77*100/1000*Intermediate!U76*(1-Intermediate!DF76/100)+(1-Parameters!$C$111/100)*M76*Parameters!$C$101*(1-DF76/100)*365/1000000+(1-Parameters!$C$113/100)*P76*Parameters!$C$97*365/1000000+(1-Parameters!$C$113/100)*O76*Parameters!$C$97*(1-DF76/100)*365/1000000</f>
        <v>4.6282301622005556E-2</v>
      </c>
      <c r="DM76" s="31"/>
      <c r="DN76" s="31"/>
      <c r="DO76" s="31"/>
      <c r="DP76" s="31"/>
      <c r="DQ76" s="31"/>
      <c r="DR76" s="31"/>
      <c r="DS76" s="31"/>
      <c r="DT76" s="188">
        <f>BO76*(Basicinfo!$P76+Basicinfo!$Q76)/1000</f>
        <v>282.07574340603929</v>
      </c>
      <c r="DU76" s="188">
        <f>DT76*Basicinfo!$AZ76/(Basicinfo!$AZ76+Basicinfo!$BA76)</f>
        <v>142.73531555044698</v>
      </c>
      <c r="DV76" s="188">
        <f>DT76*Basicinfo!$BC76/(Basicinfo!$BB76+Basicinfo!$BC76)</f>
        <v>134.77812163838763</v>
      </c>
      <c r="DW76" s="188">
        <f>BP76*(Basicinfo!$P76+Basicinfo!$Q76)/1000</f>
        <v>376.56717137954917</v>
      </c>
      <c r="DX76" s="188">
        <f>DW76*Basicinfo!$BB76/(Basicinfo!$BB76+Basicinfo!$BC76)</f>
        <v>196.64026445597497</v>
      </c>
      <c r="DY76" s="188">
        <f>DW76*Basicinfo!$BC76/(Basicinfo!$BB76+Basicinfo!$BC76)</f>
        <v>179.92690692357422</v>
      </c>
      <c r="DZ76" s="188">
        <f t="shared" si="63"/>
        <v>12.38385194935454</v>
      </c>
      <c r="EA76" s="188">
        <f>DZ76*Basicinfo!$AZ76/(Basicinfo!$AZ76+Basicinfo!$BA76)</f>
        <v>6.2664481333182707</v>
      </c>
      <c r="EB76" s="188">
        <f>DZ76*Basicinfo!$BC76/(Basicinfo!$BB76+Basicinfo!$BC76)</f>
        <v>5.9171068175802422</v>
      </c>
      <c r="EC76" s="188">
        <f t="shared" si="64"/>
        <v>16.532269109856792</v>
      </c>
      <c r="ED76" s="188">
        <f>EC76*Basicinfo!$AZ76/(Basicinfo!$AZ76+Basicinfo!$BA76)</f>
        <v>8.3656205941946098</v>
      </c>
      <c r="EE76" s="188">
        <f>EC76*Basicinfo!$BC76/(Basicinfo!$BB76+Basicinfo!$BC76)</f>
        <v>7.899254824756162</v>
      </c>
      <c r="EF76" s="190">
        <f>(Basicinfo!BP76-BL76/100)*Intermediate!X76/10</f>
        <v>11.817088682706046</v>
      </c>
      <c r="EG76" s="191">
        <f>(Basicinfo!BQ76-BM76/100)*Intermediate!X76/10</f>
        <v>37.54143217873991</v>
      </c>
      <c r="EH76" s="197">
        <f>IF(AU76=0,0,$BS76*((Basicinfo!$P76+Basicinfo!$Q76)*Intermediate!$AT76*1000+$AW76*3600*24*365)/1000000*Basicinfo!AZ76/(Basicinfo!$AZ76+Basicinfo!$BA76))</f>
        <v>26.792879499794051</v>
      </c>
      <c r="EI76" s="197">
        <f>IF(AU76=0,0,$BS76*((Basicinfo!$P76+Basicinfo!$Q76)*Intermediate!$AT76*1000+$AW76*3600*24*365)/1000000*Basicinfo!BA76/(Basicinfo!$AZ76+Basicinfo!$BA76))</f>
        <v>26.155624335766849</v>
      </c>
      <c r="EJ76" s="198">
        <f>IF(AU76=0,0,$BS76*($AT76*$X76*1000)/1000000*Basicinfo!AZ76/(Basicinfo!$AZ76+Basicinfo!$BA76))</f>
        <v>1.1062692624614006</v>
      </c>
      <c r="EK76" s="198">
        <f>IF(AU76=0,0,$BS76*($AT76*$X76*1000)/1000000*Basicinfo!BA76/(Basicinfo!$AZ76+Basicinfo!$BA76))</f>
        <v>1.0799572044269699</v>
      </c>
      <c r="EL76" s="147">
        <f>Parameters!$C$150/Basicinfo!$AV76*100</f>
        <v>6.6590340933342762E-2</v>
      </c>
      <c r="EM76" s="147">
        <f>Parameters!$C$151/Basicinfo!$AV76*100</f>
        <v>0.13318068186668552</v>
      </c>
      <c r="EN76" s="147">
        <f>(Parameters!$C$150+Parameters!$C$151)/Intermediate!$BB76*100</f>
        <v>0.32352827182857863</v>
      </c>
      <c r="EO76" s="193">
        <f>IF(EN76=0,0,(1/(1+Parameters!$C$116*$BB76^Parameters!$C$120)*Basicinfo!$AH76/Basicinfo!$G76+1/(1+Parameters!$C$117*$BB76^Parameters!$C$121)*Basicinfo!$AI76/Basicinfo!$G76)*(EN76)^Parameters!$C$124+(1/(1+Parameters!$C$118*$BB76^Parameters!$C$122)*Basicinfo!$AJ76/Basicinfo!AW76+1/(1+Parameters!$C$119*$BB76^Parameters!$C$123)*Basicinfo!$AK76/Basicinfo!$G76)*(EN76)^Parameters!$C$125)</f>
        <v>0.16993746149651417</v>
      </c>
      <c r="EP76" s="199">
        <f>EL76*($AT76*Basicinfo!$P76*1000+$AW76*3600*24*365)/1000000</f>
        <v>4.4283435866861574</v>
      </c>
      <c r="EQ76" s="199">
        <f>EM76*($AT76*Basicinfo!$P76*1000+$AW76*3600*24*365)/1000000</f>
        <v>8.8566871733723147</v>
      </c>
      <c r="ER76" s="199">
        <f t="shared" si="65"/>
        <v>0.19777999810762847</v>
      </c>
      <c r="ES76" s="199">
        <f t="shared" si="66"/>
        <v>0.39555999621525695</v>
      </c>
      <c r="ET76" s="181">
        <f t="shared" si="77"/>
        <v>38.624322599340069</v>
      </c>
      <c r="EU76" s="147">
        <f>Intermediate!F76*(Parameters!$C$150)/1000*100</f>
        <v>0.17331820635184561</v>
      </c>
      <c r="EV76" s="147">
        <f>Intermediate!F76*(Parameters!$C$151)/1000*100</f>
        <v>0.34663641270369122</v>
      </c>
      <c r="EW76" s="181">
        <f>'Local emissions'!$S76*Basicinfo!AZ76/(Basicinfo!$AZ76+Basicinfo!$BA76)-Intermediate!EU76</f>
        <v>0.91131055387922111</v>
      </c>
      <c r="EX76" s="147">
        <f>'Local emissions'!$S76*Basicinfo!BA76/(Basicinfo!$AZ76+Basicinfo!$BA76)-Intermediate!EV76</f>
        <v>0.71219499795488983</v>
      </c>
      <c r="EY76" s="188">
        <f t="shared" si="78"/>
        <v>22.364535913107893</v>
      </c>
      <c r="EZ76" s="188">
        <f t="shared" si="79"/>
        <v>17.298937162394534</v>
      </c>
      <c r="FA76" s="188">
        <f t="shared" si="80"/>
        <v>0.90848926435377209</v>
      </c>
      <c r="FB76" s="181">
        <f t="shared" si="81"/>
        <v>0.6843972082117129</v>
      </c>
      <c r="FC76" s="181">
        <f>'Local emissions'!Y76-Intermediate!ET76</f>
        <v>149.68714057022237</v>
      </c>
      <c r="FD76" s="188">
        <f t="shared" si="82"/>
        <v>68.350499860865796</v>
      </c>
      <c r="FE76" s="188">
        <f t="shared" si="83"/>
        <v>62.541077539077179</v>
      </c>
      <c r="FF76" s="181">
        <f t="shared" si="84"/>
        <v>1.4539096324994303</v>
      </c>
      <c r="FG76" s="201">
        <f t="shared" si="85"/>
        <v>1.3728572255895224</v>
      </c>
      <c r="FH76" s="181">
        <f t="shared" si="86"/>
        <v>15.96879631219044</v>
      </c>
      <c r="FJ76" s="147">
        <f>AVERAGE(Parameters!$C$132:$C$134)*'Local emissions'!J76*3600*24*365/1000000</f>
        <v>0.11364275498528721</v>
      </c>
      <c r="FK76" s="147">
        <f>'Local emissions'!AJ76+CT76*BJ76/100*Intermediate!X76*100/1000000</f>
        <v>1.1823592549270612</v>
      </c>
      <c r="FL76" s="31">
        <f>(Parameters!$C$18*(Basicinfo!AH76+Basicinfo!AI76)+Parameters!$C$19*Basicinfo!AJ76+Parameters!$C$20*Basicinfo!AK76)/Basicinfo!G76</f>
        <v>1.7248373024783659E-2</v>
      </c>
      <c r="FM76" s="181">
        <f t="shared" si="87"/>
        <v>1.3710983863099295</v>
      </c>
    </row>
    <row r="77" spans="1:169">
      <c r="A77" s="39" t="str">
        <f>Basicinfo!A77</f>
        <v>Aschbach</v>
      </c>
      <c r="B77" s="63">
        <f>Basicinfo!B77</f>
        <v>1480</v>
      </c>
      <c r="C77" s="63">
        <f>Basicinfo!C77</f>
        <v>1510</v>
      </c>
      <c r="D77" s="61">
        <f>Basicinfo!U77*Basicinfo!V77/1000+Basicinfo!Y77</f>
        <v>0.23963542451409708</v>
      </c>
      <c r="E77" s="19">
        <f>Basicinfo!W77*Basicinfo!X77/1000+Basicinfo!Z77</f>
        <v>0</v>
      </c>
      <c r="F77" s="19">
        <f t="shared" si="71"/>
        <v>0.23963542451409708</v>
      </c>
      <c r="G77" s="19">
        <f>SUM(Basicinfo!H77:L77)</f>
        <v>1.606156241229428E-2</v>
      </c>
      <c r="H77" s="19">
        <f>IF(Basicinfo!N77&lt;Parameters!$C$68,Parameters!$C$69,Basicinfo!BS77/(Basicinfo!N77*100))</f>
        <v>8.3190116207114553</v>
      </c>
      <c r="I77" s="19">
        <f>IF(Basicinfo!N77=0,0,Basicinfo!BU77*(1-Basicinfo!BX77/100))</f>
        <v>281.36362113497449</v>
      </c>
      <c r="J77" s="19">
        <f>IF(Basicinfo!N77=0,0,Basicinfo!BU77*Basicinfo!BX77/100)</f>
        <v>259.72026566305334</v>
      </c>
      <c r="K77" s="19">
        <f>IF(Basicinfo!N77=0,0,Basicinfo!BT77-Basicinfo!BU77)</f>
        <v>0</v>
      </c>
      <c r="L77" s="27">
        <f>Basicinfo!BV77*Basicinfo!BW77/100</f>
        <v>41.736666666666679</v>
      </c>
      <c r="M77" s="27">
        <f>Basicinfo!BV77-Intermediate!L77</f>
        <v>41.736666666666679</v>
      </c>
      <c r="N77" s="73">
        <f>Basicinfo!BS77-SUM(I77:K77)-Basicinfo!BV77</f>
        <v>0</v>
      </c>
      <c r="O77" s="19">
        <f>IF(Basicinfo!AH77+Basicinfo!AI77+Basicinfo!AJ77+Basicinfo!AK77=0,0,N77*(Basicinfo!AH77+Basicinfo!AI77)/SUM(Basicinfo!AH77:AK77))</f>
        <v>0</v>
      </c>
      <c r="P77" s="73">
        <f t="shared" si="67"/>
        <v>0</v>
      </c>
      <c r="Q77" s="19">
        <f>IF(Basicinfo!BS77=0,Basicinfo!N77,IF(H77&gt;Parameters!$C$70,Parameters!$C$64*(Parameters!$C$65*Parameters!$C$70)^(Parameters!$C$66-Parameters!$C$67*LOG(Parameters!$C$65*Parameters!$C$70,10))/100*Basicinfo!N77,Parameters!$C$64*(Parameters!$C$65*H77)^(Parameters!$C$66-Parameters!$C$67*LOG(Parameters!$C$65*H77,10))/100*Basicinfo!N77))</f>
        <v>0.1409264500545159</v>
      </c>
      <c r="R77" s="19">
        <f>IF(Basicinfo!BS77=0,Q77*(1-Basicinfo!BX77/100),IF(H77&lt;Parameters!$C$75,Q77*Basicinfo!BU77/Basicinfo!BS77*(1-Basicinfo!BX77/100)*(-Parameters!$C$74+Parameters!$C$73*LN(H77*100)),Q77*Basicinfo!BU77/Basicinfo!BS77*(1-Basicinfo!BX77/100)))</f>
        <v>2.9995571040055017E-2</v>
      </c>
      <c r="S77" s="19">
        <f>IF(Basicinfo!BS77=0,Q77*Basicinfo!BX77/100,Q77*Basicinfo!BU77/Basicinfo!BS77*Basicinfo!BX77/100)</f>
        <v>5.8603845840436562E-2</v>
      </c>
      <c r="T77" s="19">
        <f>IF(Basicinfo!BS77=0,0,IF(H77&lt;Parameters!$C$75,Q77*K77/Basicinfo!BS77*(-Parameters!$C$74+Parameters!$C$73*LN(H77*100)),Q77*K77/Basicinfo!BS77))</f>
        <v>0</v>
      </c>
      <c r="U77" s="19">
        <f t="shared" si="68"/>
        <v>5.2327033174024325E-2</v>
      </c>
      <c r="V77" s="19">
        <f>IF(Basicinfo!AL77&gt;Parameters!$C$14,Basicinfo!Q77,0)</f>
        <v>1.34506620822922</v>
      </c>
      <c r="W77" s="19">
        <f>IF(Basicinfo!AL77&gt;Parameters!$C$14,0,Basicinfo!Q77)</f>
        <v>0</v>
      </c>
      <c r="X77" s="19">
        <f>G77+Basicinfo!M77</f>
        <v>8.8572011759070488</v>
      </c>
      <c r="Y77" s="19">
        <f>IF(Basicinfo!G77-F77-Q77-V77-Basicinfo!O77-Basicinfo!R77-Basicinfo!S77&lt;0,0,Basicinfo!G77-F77-Q77-V77-Basicinfo!O77-Basicinfo!R77-Basicinfo!S77)</f>
        <v>112.48274430420216</v>
      </c>
      <c r="Z77" s="19">
        <f>Basicinfo!G77-F77-Basicinfo!BO77-Q77-Basicinfo!O77</f>
        <v>113.82781051243138</v>
      </c>
      <c r="AA77" s="53">
        <f>IF(Z77+Basicinfo!BO77-X77&gt;0,Z77+Basicinfo!BO77-X77,0)</f>
        <v>104.97060933652433</v>
      </c>
      <c r="AB77" s="56">
        <f>IF(Basicinfo!N77=0,0,Parameters!$C$71+Parameters!$C$72*Q77/Basicinfo!N77)</f>
        <v>0.29078399118769493</v>
      </c>
      <c r="AC77" s="43">
        <f>Basicinfo!AU77*AB77*R77/1000/86.4/0.365</f>
        <v>4.6409294931730048E-4</v>
      </c>
      <c r="AD77" s="43">
        <f>Basicinfo!AU77*AB77*S77/1000/86.4/0.365</f>
        <v>9.0672158303323745E-4</v>
      </c>
      <c r="AE77" s="43">
        <f>Basicinfo!AU77*AB77*T77/1000/86.4/0.365</f>
        <v>0</v>
      </c>
      <c r="AF77" s="43">
        <f>Basicinfo!AU77*AB77*U77/1000/86.4/0.365</f>
        <v>8.0960642897341E-4</v>
      </c>
      <c r="AG77" s="43">
        <f>((Parameters!$C$80+Parameters!$C$81*Parameters!$C$89)/(Parameters!$C$82+Parameters!$C$89)/(Parameters!$C$90/100*Parameters!$C$91+(Parameters!$C$83+Parameters!$C$84*Parameters!$C$89)/(Parameters!$C$85+Parameters!$C$89)))-Parameters!$C$86+(Basicinfo!AU77-Parameters!$C$88)/Parameters!$C$87</f>
        <v>93.337892701440779</v>
      </c>
      <c r="AH77" s="43">
        <f>((Parameters!$C$80+Parameters!$C$81*Parameters!$C$89)/(Parameters!$C$82+Parameters!$C$89)/(Basicinfo!BY77/100*Parameters!$C$91+(Parameters!$C$83+Parameters!$C$84*Parameters!$C$89)/(Parameters!$C$85+Parameters!$C$89)))-Parameters!$C$86+(Basicinfo!AU77-Parameters!$C$88)/Parameters!$C$87</f>
        <v>75.535010834825215</v>
      </c>
      <c r="AI77" s="43">
        <f>Basicinfo!AU77^Parameters!$C$79*Parameters!$C$78*AH77/AG77</f>
        <v>112.00345645872122</v>
      </c>
      <c r="AJ77" s="43">
        <f>(J77*Parameters!$C$92/1000+Parameters!$C$94/100*S77*100*Parameters!$C$93/1000*86400*Parameters!$C$95/24)/86400</f>
        <v>3.9273626865992355E-4</v>
      </c>
      <c r="AK77" s="43">
        <f t="shared" si="72"/>
        <v>7.7592294263145484E-4</v>
      </c>
      <c r="AL77" s="43">
        <f>(K77*Parameters!$C$92/1000+Parameters!$C$94/100*T77*100*Parameters!$C$93/1000*86400*Parameters!$C$95/24)/86400</f>
        <v>0</v>
      </c>
      <c r="AM77" s="43">
        <f>(Intermediate!N77+Basicinfo!BV77-Intermediate!L77)*Parameters!$C$92/1000/86400</f>
        <v>6.2798225308641987E-5</v>
      </c>
      <c r="AN77" s="43">
        <f t="shared" si="73"/>
        <v>1.1489851953031551E-3</v>
      </c>
      <c r="AO77" s="43">
        <f t="shared" si="69"/>
        <v>7.7592294263145484E-4</v>
      </c>
      <c r="AP77" s="43">
        <f t="shared" si="70"/>
        <v>8.7240465428205195E-4</v>
      </c>
      <c r="AQ77" s="43">
        <f t="shared" si="58"/>
        <v>2.1124205462308074E-3</v>
      </c>
      <c r="AR77" s="61">
        <f>(Basicinfo!AU77-Basicinfo!AY77)*F77/1000/86.4/0.365</f>
        <v>8.1741640501786384E-3</v>
      </c>
      <c r="AS77" s="19">
        <f>IF(Basicinfo!AP77-Basicinfo!CB77-Basicinfo!CG77&lt;0,0,(Basicinfo!AP77-Basicinfo!CB77-Basicinfo!CG77)/Basicinfo!G77*1000)</f>
        <v>25.485377832823136</v>
      </c>
      <c r="AT77" s="19">
        <f>Parameters!$C$3*((AS77*86.4*0.365)^Parameters!$C$4)</f>
        <v>177.60362368997235</v>
      </c>
      <c r="AU77" s="19">
        <f>IF(AT77/86.4/0.365*(Basicinfo!G77/1000)-AN77&lt;0,0,AT77/86.4/0.365*(Basicinfo!G77/1000)-AN77)</f>
        <v>0.6420467527443523</v>
      </c>
      <c r="AV77" s="19">
        <f>IF(Basicinfo!AU77&gt;Parameters!$C$13,Parameters!$C$11*(Basicinfo!AU77-Parameters!$C$13)^Parameters!$C$12,0)</f>
        <v>233.42508185313179</v>
      </c>
      <c r="AW77" s="19">
        <f>IF(AV77*V77/1000/86.4/0.365&gt;Basicinfo!AP77*Parameters!$C$15,Basicinfo!AP77*Parameters!$C$15,AV77*V77/1000/86.4/0.365)</f>
        <v>9.9559928257796568E-3</v>
      </c>
      <c r="AX77" s="19">
        <f>Basicinfo!AU77-Basicinfo!AW77</f>
        <v>663.75557109757131</v>
      </c>
      <c r="AY77" s="19">
        <f>Parameters!$C$56*AX77+Parameters!$C$57*Basicinfo!AW77</f>
        <v>433.29913496739994</v>
      </c>
      <c r="AZ77" s="19">
        <f>AY77*Basicinfo!BO77/1000/86.4/0.365</f>
        <v>0</v>
      </c>
      <c r="BA77" s="19">
        <f>IF(Basicinfo!AP77-AQ77-AR77-AU77-AW77-AZ77-Basicinfo!CB77-Basicinfo!CG77&lt;0,0,Basicinfo!AP77-AQ77-AR77-AU77-AW77-AZ77-Basicinfo!CB77-Basicinfo!CG77)</f>
        <v>2.2483541917879188</v>
      </c>
      <c r="BB77" s="53">
        <f t="shared" si="59"/>
        <v>622.90662952249454</v>
      </c>
      <c r="BC77" s="56">
        <f>IF(G77=0,0,((Basicinfo!H77*Basicinfo!BE77+Basicinfo!I77*Basicinfo!BF77+Basicinfo!J77*Basicinfo!BG77+Basicinfo!K77*Basicinfo!BH77+Basicinfo!L77*Basicinfo!BI77)*(1-Basicinfo!BN77/G77*Parameters!$C$26/100)/G77)*Basicinfo!BM77)</f>
        <v>0.5396381568737082</v>
      </c>
      <c r="BD77" s="43">
        <f>IF(Basicinfo!AW77*Parameters!$C$39-Parameters!$C$40&lt;0,0.001,(Basicinfo!AW77*Parameters!$C$39-Parameters!$C$40)/(Basicinfo!AX77*Parameters!$C$39-Parameters!$C$40))</f>
        <v>1.1934974484930061</v>
      </c>
      <c r="BE77" s="43">
        <f>(BC77*G77*100+Basicinfo!BJ77*Basicinfo!M77*100)*Parameters!$C$29*BD77</f>
        <v>184.63972292566845</v>
      </c>
      <c r="BF77" s="43">
        <f>(Basicinfo!BK77*Basicinfo!P77*100)*BD77*Parameters!$C$29</f>
        <v>1148.8550140501113</v>
      </c>
      <c r="BG77" s="43">
        <f>Parameters!$C$27*(V77+W77)*100</f>
        <v>26.901324164584402</v>
      </c>
      <c r="BH77" s="43">
        <f>Parameters!$C$28*Basicinfo!R77*100</f>
        <v>0</v>
      </c>
      <c r="BI77" s="43">
        <f t="shared" si="74"/>
        <v>1175.7563382146957</v>
      </c>
      <c r="BJ77" s="43">
        <f>IF(Basicinfo!AM77&lt;Parameters!$C$33,0,Parameters!$C$30*(((Basicinfo!AM77-Parameters!$C$33)^Parameters!$C$31)*(((G77-Basicinfo!BN77)/Basicinfo!G77*100+Parameters!$C$34))^Parameters!$C$32))</f>
        <v>1.2573773545536631</v>
      </c>
      <c r="BK77" s="58">
        <f t="shared" si="75"/>
        <v>1178.0779562782736</v>
      </c>
      <c r="BL77" s="61">
        <f>Basicinfo!AZ77+Basicinfo!BA77</f>
        <v>1480.1274942652881</v>
      </c>
      <c r="BM77" s="19">
        <f>Basicinfo!BB77+Basicinfo!BC77</f>
        <v>2194.7450856683849</v>
      </c>
      <c r="BN77" s="172">
        <f>IF(Basicinfo!AO77=0,0,IF(Basicinfo!AO77="NA",1,IF(OR(Basicinfo!AO77="SA",Basicinfo!AN77="S"),3,IF(Basicinfo!AN77="N",1,IF(Basicinfo!AO77="ZA",2,0)))))</f>
        <v>1</v>
      </c>
      <c r="BO77" s="27">
        <f>IF($BN77=1,(BL77)*(1+Parameters!$C$21*Parameters!$C$22-Parameters!$C$22*Basicinfo!$AL77),IF($BN77=2,(BL77)*(1+Parameters!$C$21*Parameters!$C$23-Parameters!$C$23*Basicinfo!$AL77),IF($BN77=3,(BL77)*(1+Parameters!$C$21*Parameters!$C$24-Parameters!$C$24*Basicinfo!$AL77),BL77)))</f>
        <v>1269.3336570420031</v>
      </c>
      <c r="BP77" s="27">
        <f>IF($BN77=1,(BM77)*(1+Parameters!$C$21*Parameters!$C$22-Parameters!$C$22*Basicinfo!$AL77),IF($BN77=2,(BM77)*(1+Parameters!$C$21*Parameters!$C$23-Parameters!$C$23*Basicinfo!$AL77),IF($BN77=3,(BM77)*(1+Parameters!$C$21*Parameters!$C$24-Parameters!$C$24*Basicinfo!$AL77),BM77)))</f>
        <v>1882.1782695478364</v>
      </c>
      <c r="BQ77" s="27">
        <f>IF(Basicinfo!AU77=0,0,IF(G77+Basicinfo!M77=0,0,(Parameters!$C$16+BO77/Basicinfo!AU77)*G77+(Parameters!$C$17+BO77/Basicinfo!AU77)*Basicinfo!M77)/(G77+Basicinfo!M77))</f>
        <v>0.75701425440702119</v>
      </c>
      <c r="BR77" s="27">
        <f>IF(Basicinfo!AU77=0,0,IF(G77+Basicinfo!M77=0,0,(Parameters!$C$16+BP77/Basicinfo!AU77)*G77+(Parameters!$C$17+BP77/Basicinfo!AU77)*Basicinfo!M77)/(G77+Basicinfo!M77))</f>
        <v>1.1222442370004204</v>
      </c>
      <c r="BS77" s="27">
        <f>IF(Basicinfo!AU77=0,0,BO77/Basicinfo!AU77)</f>
        <v>0.75647023732668262</v>
      </c>
      <c r="BT77" s="27">
        <f>IF(Basicinfo!AU77=0,0,BP77/Basicinfo!AU77)</f>
        <v>1.1217002199200818</v>
      </c>
      <c r="BU77" s="27">
        <f>IF(SUM(G77,Basicinfo!M77,Basicinfo!P77,W77)=0,0,(BQ77*(G77+Basicinfo!M77)+BS77*(Basicinfo!P77+W77))/SUM(G77,Basicinfo!M77,Basicinfo!P77,W77))</f>
        <v>0.75651330824210616</v>
      </c>
      <c r="BV77" s="19">
        <f>IF(Basicinfo!BR77/Parameters!$C$10&gt;1,1,Basicinfo!BR77/Parameters!$C$10)</f>
        <v>0.57144934733661346</v>
      </c>
      <c r="BW77" s="19">
        <f>Parameters!$C$5+Parameters!$C$6*EXP(BV77*Parameters!$C$8*Parameters!$C$7)</f>
        <v>3.6790860615047348E-2</v>
      </c>
      <c r="BX77" s="19">
        <f>Parameters!$C$5+Parameters!$C$6*EXP(BV77*Parameters!$C$9*Parameters!$C$7)</f>
        <v>3.5738562024403078E-2</v>
      </c>
      <c r="BY77" s="19">
        <f>IF(Basicinfo!AH77+Basicinfo!AI77+Basicinfo!AJ77+Basicinfo!AK77=0,0,(Parameters!$C$18*(Basicinfo!AH77+Basicinfo!AI77)+Parameters!$C$19*Basicinfo!AJ77+Parameters!$C$20*Basicinfo!AK77)/(Basicinfo!AH77+Basicinfo!AI77+Basicinfo!AJ77+Basicinfo!AK77))</f>
        <v>1.5000000000000002E-3</v>
      </c>
      <c r="BZ77" s="19">
        <f>IF(Basicinfo!AJ77+Basicinfo!AK77=0,Parameters!$C$18,(Parameters!$C$19*Basicinfo!AJ77+Parameters!$C$20*Basicinfo!AK77)/(Basicinfo!AJ77+Basicinfo!AK77))</f>
        <v>1.5000000000000002E-3</v>
      </c>
      <c r="CA77" s="19">
        <f>IF(SUM(G77,Basicinfo!M77,Basicinfo!P77,W77)=0,0,(BW77*G77+BX77*Basicinfo!M77+BY77*Basicinfo!P77+BZ77*W77)/(SUM(G77,Basicinfo!M77,Basicinfo!P77,W77)))</f>
        <v>4.210886204872458E-3</v>
      </c>
      <c r="CB77" s="19">
        <f>IF(Y77=0,Basicinfo!BP77,Basicinfo!BP77-(AU77*X77/Y77*Intermediate!BQ77*86400*365/1000000)*1000/(X77*100))</f>
        <v>19.534499051071595</v>
      </c>
      <c r="CC77" s="19">
        <f>IF(Y77=0,Basicinfo!BQ77,Basicinfo!BQ77-(AU77*Basicinfo!AV77/Basicinfo!AU77*X77/Y77*Intermediate!BR77*86400*365/1000000)*1000/(X77*100))</f>
        <v>41.082906016196212</v>
      </c>
      <c r="CD77" s="19">
        <f>IF(OR(Y77=0,AA77=0),BP77/100,BP77/100-(AU77*Basicinfo!AV77/Basicinfo!AU77*(Basicinfo!P77+W77)/Y77*Intermediate!BT77*86400*365/1000000+AW77*Basicinfo!AV77/Basicinfo!AU77*Intermediate!BT77*86400*365/1000000)*1000/(AA77*100))</f>
        <v>17.007261196447491</v>
      </c>
      <c r="CE77" s="19">
        <f t="shared" si="60"/>
        <v>36387.95634763319</v>
      </c>
      <c r="CF77" s="19">
        <f t="shared" si="61"/>
        <v>178526.25709365192</v>
      </c>
      <c r="CG77" s="19">
        <f>IF(AY77=0,0,((CB77^Parameters!$C$58))/AY77*100)</f>
        <v>2.8866498996846737</v>
      </c>
      <c r="CH77" s="19">
        <f>IF(SUM(Basicinfo!AB77:AG77)=0,0,(Parameters!$C$59*Basicinfo!AB77+Parameters!$C$60*SUM(Basicinfo!AC77:AE77)+Parameters!$C$61*Basicinfo!AF77+Parameters!$C$62*Basicinfo!AG77)/SUM(Basicinfo!AB77:AG77))</f>
        <v>0.10915816802713514</v>
      </c>
      <c r="CI77" s="19">
        <f t="shared" ref="CI77:CI84" si="88">IF(BB77=0,0,ROUND(3000/BB77,0))</f>
        <v>5</v>
      </c>
      <c r="CJ77" s="19">
        <f t="shared" si="62"/>
        <v>18.880641951539062</v>
      </c>
      <c r="CK77" s="19">
        <f t="shared" si="76"/>
        <v>3.031054905614428</v>
      </c>
      <c r="CL77" s="19">
        <f>IF($BB77=0,0,$CJ77^Parameters!$C$58*100/$BB77)</f>
        <v>1.950703620127554</v>
      </c>
      <c r="CM77" s="19">
        <f>IF(CK77=0,0,(1/(1+Parameters!$C$116*BB77^Parameters!$C$120)*Basicinfo!AH77/Basicinfo!G77+1/(1+Parameters!$C$117*BB77^Parameters!$C$121)*Basicinfo!AI77/Basicinfo!G77)*(CK77)^Parameters!$C$124+(1/(1+Parameters!$C$118*BB77^Parameters!$C$122)*Basicinfo!AJ77/Basicinfo!G77+1/(1+Parameters!$C$119*BB77^Parameters!$C$123)*Basicinfo!AK77/Basicinfo!G77)*(CK77)^Parameters!$C$125)</f>
        <v>1.2539953816780691</v>
      </c>
      <c r="CN77" s="19">
        <f>IF(SUM(Basicinfo!AB77:AG77)=0,0,(Parameters!$C$128*Basicinfo!AB77+Parameters!$C$129*(SUM(Basicinfo!AC77:AE77))+Parameters!$C$130*Basicinfo!AF77+Parameters!$C$131*Basicinfo!AG77)/SUM(Basicinfo!AB77:AG77))</f>
        <v>3.871640176437801E-2</v>
      </c>
      <c r="CO77" s="19">
        <f>IF(Basicinfo!AH77+Basicinfo!AI77+Basicinfo!AJ77+Basicinfo!AK77=0,0,(Parameters!$C$132*(Basicinfo!AH77+Basicinfo!AI77)+Parameters!$C$133*Basicinfo!AJ77+Parameters!$C$134*Basicinfo!AK77)/(Basicinfo!AH77+Basicinfo!AI77+Basicinfo!AJ77+Basicinfo!AK77))</f>
        <v>5.0000000000000001E-4</v>
      </c>
      <c r="CP77" s="19">
        <f>IF(Basicinfo!AJ77+Basicinfo!AK77=0,0,(Parameters!$C$133*Basicinfo!AJ77+Parameters!$C$134*Basicinfo!AK77)/(Basicinfo!AJ77+Basicinfo!AK77))</f>
        <v>5.0000000000000001E-4</v>
      </c>
      <c r="CQ77" s="19">
        <f>IF(Z77=0,0,(CN77*(Z77-AA77)+CO77*Basicinfo!P77+CP77*(Basicinfo!Q77+Basicinfo!R77))/Z77)</f>
        <v>3.4710265082643181E-3</v>
      </c>
      <c r="CR77" s="19">
        <f>IF(CK77=0,0,IF(AND((Basicinfo!AI77+Basicinfo!AK77)&gt;0,(CM77/CK77)&lt;Parameters!$C$135),CQ77*Parameters!$C$136,CQ77))</f>
        <v>3.4710265082643181E-3</v>
      </c>
      <c r="CS77" s="19">
        <f>IF(SUM(Basicinfo!AB77:AG77)=0,0,(Basicinfo!AB77*Parameters!$C$43+(Basicinfo!AC77+Basicinfo!AD77)*Parameters!$C$44+Basicinfo!AE77*Parameters!$C$45+(Basicinfo!AF77+Basicinfo!AG77)*Parameters!$C$46)/SUM(Basicinfo!AB77:AG77))</f>
        <v>20.995270919557434</v>
      </c>
      <c r="CT77" s="19">
        <f>(Parameters!$C$41*CS77+Parameters!$C$42)</f>
        <v>489.15176337948583</v>
      </c>
      <c r="CU77" s="19">
        <f>CT77+Basicinfo!BR77/(Parameters!$C$47*Parameters!$C$49*Parameters!$C$48*10000/1000000)</f>
        <v>690.41694231565157</v>
      </c>
      <c r="CV77" s="19">
        <f>IF(BK77/Basicinfo!G77&lt;Parameters!$C$35,Parameters!$C$35,Parameters!$C$37*(BK77/Basicinfo!G77)^Parameters!$C$38)</f>
        <v>2.5578253177139678</v>
      </c>
      <c r="CW77" s="19">
        <f>IF(BK77/Basicinfo!G77&lt;Parameters!$C$35,Parameters!$C$36,Parameters!$C$36*(BK77/Basicinfo!G77)^Parameters!$C$38)</f>
        <v>6.0108894966278248</v>
      </c>
      <c r="CX77" s="27">
        <f>IF(Basicinfo!AJ77+Basicinfo!AK77=0,0,(Parameters!$C$53*Basicinfo!AJ77+Parameters!$C$54*Basicinfo!AK77)/(Basicinfo!AJ77+Basicinfo!AK77))</f>
        <v>540</v>
      </c>
      <c r="CY77" s="56">
        <f>IF(Basicinfo!AU77*AB77=0,0,((Basicinfo!AZ77+Basicinfo!BA77)/Basicinfo!AU77+Parameters!$C$76/(Basicinfo!AU77*AB77)*100))</f>
        <v>1.7018901595882894</v>
      </c>
      <c r="CZ77" s="43">
        <f>IF(Basicinfo!AU77*AB77=0,0,(Parameters!$C$77)/(Basicinfo!AU77*AB77)*100)</f>
        <v>0.51237220879651513</v>
      </c>
      <c r="DA77" s="43">
        <f>IF(AD77+AJ77=0,0,((J77*Parameters!$C$96+Parameters!$C$94/100*S77*100*Parameters!$C$93/1000*86400*Parameters!$C$95/24*Parameters!$C$98)*AI77+AD77*CY77*86400*365)/((AD77+AJ77*AI77/365)*86400*365))</f>
        <v>12.278996338109938</v>
      </c>
      <c r="DB77" s="43">
        <f>IF(AD77+AJ77=0,0,((J77*Parameters!$C$97+Parameters!$C$94/100*S77*100*Parameters!$C$93/1000*86400*Parameters!$C$95/24*Parameters!$C$99)*AI77+AD77*CZ77*86400*365)/((AD77+AJ77*AI77/365)*86400*365))</f>
        <v>2.2054483177984987</v>
      </c>
      <c r="DC77" s="42">
        <f>IF(AE77+AL77=0,0,((K77*Parameters!$C$96+Parameters!$C$94/100*T77*100*Parameters!$C$93/1000*86400*Parameters!$C$95/24*Parameters!$C$98)*365+AE77*CY77*86400*365)/((AE77+AL77)*86400*365))</f>
        <v>0</v>
      </c>
      <c r="DD77" s="42">
        <f>IF(AE77+AL77=0,0,((K77*Parameters!$C$97+Parameters!$C$94/100*T77*100*Parameters!$C$93/1000*86400*Parameters!$C$95/24*Parameters!$C$99)*365+AE77*CZ77*86400*365)/((AE77+AL77)*86400*365))</f>
        <v>0</v>
      </c>
      <c r="DE77" s="42">
        <f>IF(Basicinfo!AH77+Basicinfo!AI77+Basicinfo!AJ77+Basicinfo!AK77=0,0,((Basicinfo!AH77+Basicinfo!AI77)*Parameters!$C$107+(Basicinfo!AJ77+Basicinfo!AK77)*Parameters!$C$106)/(Basicinfo!AH77+Basicinfo!AI77+Basicinfo!AJ77+Basicinfo!AK77))</f>
        <v>50</v>
      </c>
      <c r="DF77" s="42">
        <f>IF(Basicinfo!AH77+Basicinfo!AI77+Basicinfo!AJ77+Basicinfo!AK77=0,0,((Basicinfo!AH77+Basicinfo!AI77)*Parameters!$C$109+(Basicinfo!AJ77+Basicinfo!AK77)*Parameters!$C$108)/(Basicinfo!AH77+Basicinfo!AI77+Basicinfo!AJ77+Basicinfo!AK77))</f>
        <v>50</v>
      </c>
      <c r="DG77" s="42">
        <f>Intermediate!AC77*Intermediate!CY77*(1-Parameters!$C$102/100*Basicinfo!BZ77/100)*(1-Parameters!$C$104/100*Basicinfo!CA77/100)*86400*365/1000000</f>
        <v>2.490824361073753E-2</v>
      </c>
      <c r="DH77" s="42">
        <f>Intermediate!AC77*Intermediate!CZ77*(1-Parameters!$C$103/100*Basicinfo!BZ77/100)*(1-Parameters!$C$105/100*Basicinfo!CA77/100)*86400*365/1000000</f>
        <v>7.4988927600137525E-3</v>
      </c>
      <c r="DI77" s="42">
        <f>(Intermediate!AK77*Intermediate!DA77+(Intermediate!AE77+Intermediate!AL77)*Intermediate!DC77)*86400*365/1000000</f>
        <v>0.30046097357261853</v>
      </c>
      <c r="DJ77" s="42">
        <f>(Intermediate!AK77*Intermediate!DB77+(Intermediate!AE77+Intermediate!AL77)*Intermediate!DD77)*86400*365/1000000</f>
        <v>5.3966230666034246E-2</v>
      </c>
      <c r="DK77" s="42">
        <f>((Basicinfo!AZ77+Basicinfo!BA77)*Intermediate!AB77+Parameters!$C$76*100)/1000*Intermediate!U77*(1-Intermediate!DE77/100)+(1-Parameters!$C$110/100)*M77*Parameters!$C$100*(1-DE77/100)*365/1000000+(1-Parameters!$C$112/100)*P77*Parameters!$C$96*365/1000000+(1-Parameters!$C$112/100)*O77*Parameters!$C$96*(1-DE77/100)*365/1000000</f>
        <v>8.3423343131958844E-2</v>
      </c>
      <c r="DL77" s="42">
        <f>Parameters!$C$77*100/1000*Intermediate!U77*(1-Intermediate!DF77/100)+(1-Parameters!$C$111/100)*M77*Parameters!$C$101*(1-DF77/100)*365/1000000+(1-Parameters!$C$113/100)*P77*Parameters!$C$97*365/1000000+(1-Parameters!$C$113/100)*O77*Parameters!$C$97*(1-DF77/100)*365/1000000</f>
        <v>1.4781374820424673E-2</v>
      </c>
      <c r="DM77" s="31"/>
      <c r="DN77" s="31"/>
      <c r="DO77" s="31"/>
      <c r="DP77" s="31"/>
      <c r="DQ77" s="31"/>
      <c r="DR77" s="31"/>
      <c r="DS77" s="31"/>
      <c r="DT77" s="188">
        <f>BO77*(Basicinfo!$P77+Basicinfo!$Q77)/1000</f>
        <v>132.46864654852141</v>
      </c>
      <c r="DU77" s="188">
        <f>DT77*Basicinfo!$AZ77/(Basicinfo!$AZ77+Basicinfo!$BA77)</f>
        <v>66.208649039378002</v>
      </c>
      <c r="DV77" s="188">
        <f>DT77*Basicinfo!$BC77/(Basicinfo!$BB77+Basicinfo!$BC77)</f>
        <v>64.00041136784516</v>
      </c>
      <c r="DW77" s="188">
        <f>BP77*(Basicinfo!$P77+Basicinfo!$Q77)/1000</f>
        <v>196.42558640654522</v>
      </c>
      <c r="DX77" s="188">
        <f>DW77*Basicinfo!$BB77/(Basicinfo!$BB77+Basicinfo!$BC77)</f>
        <v>101.52525594544693</v>
      </c>
      <c r="DY77" s="188">
        <f>DW77*Basicinfo!$BC77/(Basicinfo!$BB77+Basicinfo!$BC77)</f>
        <v>94.900330461098307</v>
      </c>
      <c r="DZ77" s="188">
        <f t="shared" si="63"/>
        <v>11.242743559770824</v>
      </c>
      <c r="EA77" s="188">
        <f>DZ77*Basicinfo!$AZ77/(Basicinfo!$AZ77+Basicinfo!$BA77)</f>
        <v>5.6191927824667749</v>
      </c>
      <c r="EB77" s="188">
        <f>DZ77*Basicinfo!$BC77/(Basicinfo!$BB77+Basicinfo!$BC77)</f>
        <v>5.4317774920797373</v>
      </c>
      <c r="EC77" s="188">
        <f t="shared" si="64"/>
        <v>16.670831582305791</v>
      </c>
      <c r="ED77" s="188">
        <f>EC77*Basicinfo!$AZ77/(Basicinfo!$AZ77+Basicinfo!$BA77)</f>
        <v>8.3321847560597924</v>
      </c>
      <c r="EE77" s="188">
        <f>EC77*Basicinfo!$BC77/(Basicinfo!$BB77+Basicinfo!$BC77)</f>
        <v>8.0542838393146159</v>
      </c>
      <c r="EF77" s="190">
        <f>(Basicinfo!BP77-BL77/100)*Intermediate!X77/10</f>
        <v>5.399258046587855</v>
      </c>
      <c r="EG77" s="191">
        <f>(Basicinfo!BQ77-BM77/100)*Intermediate!X77/10</f>
        <v>18.559828753957515</v>
      </c>
      <c r="EH77" s="197">
        <f>IF(AU77=0,0,$BS77*((Basicinfo!$P77+Basicinfo!$Q77)*Intermediate!$AT77*1000+$AW77*3600*24*365)/1000000*Basicinfo!AZ77/(Basicinfo!$AZ77+Basicinfo!$BA77))</f>
        <v>7.1265238011294461</v>
      </c>
      <c r="EI77" s="197">
        <f>IF(AU77=0,0,$BS77*((Basicinfo!$P77+Basicinfo!$Q77)*Intermediate!$AT77*1000+$AW77*3600*24*365)/1000000*Basicinfo!BA77/(Basicinfo!$AZ77+Basicinfo!$BA77))</f>
        <v>7.1320508145520707</v>
      </c>
      <c r="EJ77" s="198">
        <f>IF(AU77=0,0,$BS77*($AT77*$X77*1000)/1000000*Basicinfo!AZ77/(Basicinfo!$AZ77+Basicinfo!$BA77))</f>
        <v>0.59476007098491768</v>
      </c>
      <c r="EK77" s="198">
        <f>IF(AU77=0,0,$BS77*($AT77*$X77*1000)/1000000*Basicinfo!BA77/(Basicinfo!$AZ77+Basicinfo!$BA77))</f>
        <v>0.59522134032005336</v>
      </c>
      <c r="EL77" s="147">
        <f>Parameters!$C$150/Basicinfo!$AV77*100</f>
        <v>6.6182873726869776E-2</v>
      </c>
      <c r="EM77" s="147">
        <f>Parameters!$C$151/Basicinfo!$AV77*100</f>
        <v>0.13236574745373955</v>
      </c>
      <c r="EN77" s="147">
        <f>(Parameters!$C$150+Parameters!$C$151)/Intermediate!$BB77*100</f>
        <v>0.48161311147061137</v>
      </c>
      <c r="EO77" s="193">
        <f>IF(EN77=0,0,(1/(1+Parameters!$C$116*$BB77^Parameters!$C$120)*Basicinfo!$AH77/Basicinfo!$G77+1/(1+Parameters!$C$117*$BB77^Parameters!$C$121)*Basicinfo!$AI77/Basicinfo!$G77)*(EN77)^Parameters!$C$124+(1/(1+Parameters!$C$118*$BB77^Parameters!$C$122)*Basicinfo!$AJ77/Basicinfo!AW77+1/(1+Parameters!$C$119*$BB77^Parameters!$C$123)*Basicinfo!$AK77/Basicinfo!$G77)*(EN77)^Parameters!$C$125)</f>
        <v>2.9566731561957549E-2</v>
      </c>
      <c r="EP77" s="199">
        <f>EL77*($AT77*Basicinfo!$P77*1000+$AW77*3600*24*365)/1000000</f>
        <v>1.2316590244463648</v>
      </c>
      <c r="EQ77" s="199">
        <f>EM77*($AT77*Basicinfo!$P77*1000+$AW77*3600*24*365)/1000000</f>
        <v>2.4633180488927295</v>
      </c>
      <c r="ER77" s="199">
        <f t="shared" si="65"/>
        <v>0.10411036098398165</v>
      </c>
      <c r="ES77" s="199">
        <f t="shared" si="66"/>
        <v>0.20822072196796329</v>
      </c>
      <c r="ET77" s="181">
        <f t="shared" si="77"/>
        <v>2.0964024260654686</v>
      </c>
      <c r="EU77" s="147">
        <f>Intermediate!F77*(Parameters!$C$150)/1000*100</f>
        <v>2.3963542451409709E-2</v>
      </c>
      <c r="EV77" s="147">
        <f>Intermediate!F77*(Parameters!$C$151)/1000*100</f>
        <v>4.7927084902819418E-2</v>
      </c>
      <c r="EW77" s="181">
        <f>'Local emissions'!$S77*Basicinfo!AZ77/(Basicinfo!$AZ77+Basicinfo!$BA77)-Intermediate!EU77</f>
        <v>0.12806615870473206</v>
      </c>
      <c r="EX77" s="147">
        <f>'Local emissions'!$S77*Basicinfo!BA77/(Basicinfo!$AZ77+Basicinfo!$BA77)-Intermediate!EV77</f>
        <v>0.1042205236963305</v>
      </c>
      <c r="EY77" s="188">
        <f t="shared" si="78"/>
        <v>5.8948647766830815</v>
      </c>
      <c r="EZ77" s="188">
        <f t="shared" si="79"/>
        <v>4.6687327656593407</v>
      </c>
      <c r="FA77" s="188">
        <f t="shared" si="80"/>
        <v>0.49064971000093605</v>
      </c>
      <c r="FB77" s="181">
        <f t="shared" si="81"/>
        <v>0.3870006183520901</v>
      </c>
      <c r="FC77" s="181">
        <f>'Local emissions'!Y77-Intermediate!ET77</f>
        <v>86.817008747433363</v>
      </c>
      <c r="FD77" s="188">
        <f t="shared" si="82"/>
        <v>38.048268317525526</v>
      </c>
      <c r="FE77" s="188">
        <f t="shared" si="83"/>
        <v>35.565467953569254</v>
      </c>
      <c r="FF77" s="181">
        <f t="shared" si="84"/>
        <v>1.5613120022081386</v>
      </c>
      <c r="FG77" s="201">
        <f t="shared" si="85"/>
        <v>1.5092380204804372</v>
      </c>
      <c r="FH77" s="181">
        <f t="shared" si="86"/>
        <v>10.132722453650008</v>
      </c>
      <c r="FJ77" s="147">
        <f>AVERAGE(Parameters!$C$132:$C$134)*'Local emissions'!J77*3600*24*365/1000000</f>
        <v>3.5452048896111907E-2</v>
      </c>
      <c r="FK77" s="147">
        <f>'Local emissions'!AJ77+CT77*BJ77/100*Intermediate!X77*100/1000000</f>
        <v>0.53695907834217516</v>
      </c>
      <c r="FL77" s="31">
        <f>(Parameters!$C$18*(Basicinfo!AH77+Basicinfo!AI77)+Parameters!$C$19*Basicinfo!AJ77+Parameters!$C$20*Basicinfo!AK77)/Basicinfo!G77</f>
        <v>1.4999999875753419E-3</v>
      </c>
      <c r="FM77" s="181">
        <f t="shared" si="87"/>
        <v>3.0842337620979186E-2</v>
      </c>
    </row>
    <row r="78" spans="1:169">
      <c r="A78" s="39" t="str">
        <f>Basicinfo!A78</f>
        <v>Lassingbach</v>
      </c>
      <c r="B78" s="63">
        <f>Basicinfo!B78</f>
        <v>1490</v>
      </c>
      <c r="C78" s="63">
        <f>Basicinfo!C78</f>
        <v>1500</v>
      </c>
      <c r="D78" s="61">
        <f>Basicinfo!U78*Basicinfo!V78/1000+Basicinfo!Y78</f>
        <v>0.7369524364849438</v>
      </c>
      <c r="E78" s="19">
        <f>Basicinfo!W78*Basicinfo!X78/1000+Basicinfo!Z78</f>
        <v>0</v>
      </c>
      <c r="F78" s="19">
        <f t="shared" si="71"/>
        <v>0.7369524364849438</v>
      </c>
      <c r="G78" s="19">
        <f>SUM(Basicinfo!H78:L78)</f>
        <v>3.4625483775546861E-3</v>
      </c>
      <c r="H78" s="19">
        <f>IF(Basicinfo!N78&lt;Parameters!$C$68,Parameters!$C$69,Basicinfo!BS78/(Basicinfo!N78*100))</f>
        <v>29.305929926971658</v>
      </c>
      <c r="I78" s="19">
        <f>IF(Basicinfo!N78=0,0,Basicinfo!BU78*(1-Basicinfo!BX78/100))</f>
        <v>322.53626364561399</v>
      </c>
      <c r="J78" s="19">
        <f>IF(Basicinfo!N78=0,0,Basicinfo!BU78*Basicinfo!BX78/100)</f>
        <v>297.72578182672055</v>
      </c>
      <c r="K78" s="19">
        <f>IF(Basicinfo!N78=0,0,Basicinfo!BT78-Basicinfo!BU78)</f>
        <v>0</v>
      </c>
      <c r="L78" s="27">
        <f>Basicinfo!BV78*Basicinfo!BW78/100</f>
        <v>18.613333333333344</v>
      </c>
      <c r="M78" s="27">
        <f>Basicinfo!BV78-Intermediate!L78</f>
        <v>18.613333333333344</v>
      </c>
      <c r="N78" s="73">
        <f>Basicinfo!BS78-SUM(I78:K78)-Basicinfo!BV78</f>
        <v>0</v>
      </c>
      <c r="O78" s="19">
        <f>IF(Basicinfo!AH78+Basicinfo!AI78+Basicinfo!AJ78+Basicinfo!AK78=0,0,N78*(Basicinfo!AH78+Basicinfo!AI78)/SUM(Basicinfo!AH78:AK78))</f>
        <v>0</v>
      </c>
      <c r="P78" s="73">
        <f t="shared" si="67"/>
        <v>0</v>
      </c>
      <c r="Q78" s="19">
        <f>IF(Basicinfo!BS78=0,Basicinfo!N78,IF(H78&gt;Parameters!$C$70,Parameters!$C$64*(Parameters!$C$65*Parameters!$C$70)^(Parameters!$C$66-Parameters!$C$67*LOG(Parameters!$C$65*Parameters!$C$70,10))/100*Basicinfo!N78,Parameters!$C$64*(Parameters!$C$65*H78)^(Parameters!$C$66-Parameters!$C$67*LOG(Parameters!$C$65*H78,10))/100*Basicinfo!N78))</f>
        <v>8.0084505164321945E-2</v>
      </c>
      <c r="R78" s="19">
        <f>IF(Basicinfo!BS78=0,Q78*(1-Basicinfo!BX78/100),IF(H78&lt;Parameters!$C$75,Q78*Basicinfo!BU78/Basicinfo!BS78*(1-Basicinfo!BX78/100)*(-Parameters!$C$74+Parameters!$C$73*LN(H78*100)),Q78*Basicinfo!BU78/Basicinfo!BS78*(1-Basicinfo!BX78/100)))</f>
        <v>2.4745126348568187E-2</v>
      </c>
      <c r="S78" s="19">
        <f>IF(Basicinfo!BS78=0,Q78*Basicinfo!BX78/100,Q78*Basicinfo!BU78/Basicinfo!BS78*Basicinfo!BX78/100)</f>
        <v>3.6264077956083662E-2</v>
      </c>
      <c r="T78" s="19">
        <f>IF(Basicinfo!BS78=0,0,IF(H78&lt;Parameters!$C$75,Q78*K78/Basicinfo!BS78*(-Parameters!$C$74+Parameters!$C$73*LN(H78*100)),Q78*K78/Basicinfo!BS78))</f>
        <v>0</v>
      </c>
      <c r="U78" s="19">
        <f t="shared" si="68"/>
        <v>1.9075300859670095E-2</v>
      </c>
      <c r="V78" s="19">
        <f>IF(Basicinfo!AL78&gt;Parameters!$C$14,Basicinfo!Q78,0)</f>
        <v>0.98842209148941895</v>
      </c>
      <c r="W78" s="19">
        <f>IF(Basicinfo!AL78&gt;Parameters!$C$14,0,Basicinfo!Q78)</f>
        <v>0</v>
      </c>
      <c r="X78" s="19">
        <f>G78+Basicinfo!M78</f>
        <v>3.3928097870247784</v>
      </c>
      <c r="Y78" s="19">
        <f>IF(Basicinfo!G78-F78-Q78-V78-Basicinfo!O78-Basicinfo!R78-Basicinfo!S78&lt;0,0,Basicinfo!G78-F78-Q78-V78-Basicinfo!O78-Basicinfo!R78-Basicinfo!S78)</f>
        <v>104.34818411445293</v>
      </c>
      <c r="Z78" s="19">
        <f>Basicinfo!G78-F78-Basicinfo!BO78-Q78-Basicinfo!O78</f>
        <v>105.38052175735073</v>
      </c>
      <c r="AA78" s="53">
        <f>IF(Z78+Basicinfo!BO78-X78&gt;0,Z78+Basicinfo!BO78-X78,0)</f>
        <v>101.98771197032596</v>
      </c>
      <c r="AB78" s="56">
        <f>IF(Basicinfo!N78=0,0,Parameters!$C$71+Parameters!$C$72*Q78/Basicinfo!N78)</f>
        <v>0.41771762616423946</v>
      </c>
      <c r="AC78" s="43">
        <f>Basicinfo!AU78*AB78*R78/1000/86.4/0.365</f>
        <v>5.8553744841190875E-4</v>
      </c>
      <c r="AD78" s="43">
        <f>Basicinfo!AU78*AB78*S78/1000/86.4/0.365</f>
        <v>8.5810738552338892E-4</v>
      </c>
      <c r="AE78" s="43">
        <f>Basicinfo!AU78*AB78*T78/1000/86.4/0.365</f>
        <v>0</v>
      </c>
      <c r="AF78" s="43">
        <f>Basicinfo!AU78*AB78*U78/1000/86.4/0.365</f>
        <v>4.5137385179312288E-4</v>
      </c>
      <c r="AG78" s="43">
        <f>((Parameters!$C$80+Parameters!$C$81*Parameters!$C$89)/(Parameters!$C$82+Parameters!$C$89)/(Parameters!$C$90/100*Parameters!$C$91+(Parameters!$C$83+Parameters!$C$84*Parameters!$C$89)/(Parameters!$C$85+Parameters!$C$89)))-Parameters!$C$86+(Basicinfo!AU78-Parameters!$C$88)/Parameters!$C$87</f>
        <v>96.049704265697926</v>
      </c>
      <c r="AH78" s="43">
        <f>((Parameters!$C$80+Parameters!$C$81*Parameters!$C$89)/(Parameters!$C$82+Parameters!$C$89)/(Basicinfo!BY78/100*Parameters!$C$91+(Parameters!$C$83+Parameters!$C$84*Parameters!$C$89)/(Parameters!$C$85+Parameters!$C$89)))-Parameters!$C$86+(Basicinfo!AU78-Parameters!$C$88)/Parameters!$C$87</f>
        <v>78.246822399082362</v>
      </c>
      <c r="AI78" s="43">
        <f>Basicinfo!AU78^Parameters!$C$79*Parameters!$C$78*AH78/AG78</f>
        <v>131.86329950709913</v>
      </c>
      <c r="AJ78" s="43">
        <f>(J78*Parameters!$C$92/1000+Parameters!$C$94/100*S78*100*Parameters!$C$93/1000*86400*Parameters!$C$95/24)/86400</f>
        <v>4.4917583543966662E-4</v>
      </c>
      <c r="AK78" s="43">
        <f t="shared" si="72"/>
        <v>7.9841557688617839E-4</v>
      </c>
      <c r="AL78" s="43">
        <f>(K78*Parameters!$C$92/1000+Parameters!$C$94/100*T78*100*Parameters!$C$93/1000*86400*Parameters!$C$95/24)/86400</f>
        <v>0</v>
      </c>
      <c r="AM78" s="43">
        <f>(Intermediate!N78+Basicinfo!BV78-Intermediate!L78)*Parameters!$C$92/1000/86400</f>
        <v>2.8006172839506188E-5</v>
      </c>
      <c r="AN78" s="43">
        <f t="shared" si="73"/>
        <v>1.256979210355804E-3</v>
      </c>
      <c r="AO78" s="43">
        <f t="shared" si="69"/>
        <v>7.9841557688617839E-4</v>
      </c>
      <c r="AP78" s="43">
        <f t="shared" si="70"/>
        <v>4.7938002463262906E-4</v>
      </c>
      <c r="AQ78" s="43">
        <f t="shared" si="58"/>
        <v>1.8633330499307162E-3</v>
      </c>
      <c r="AR78" s="61">
        <f>(Basicinfo!AU78-Basicinfo!AY78)*F78/1000/86.4/0.365</f>
        <v>2.7039822816929182E-2</v>
      </c>
      <c r="AS78" s="19">
        <f>IF(Basicinfo!AP78-Basicinfo!CB78-Basicinfo!CG78&lt;0,0,(Basicinfo!AP78-Basicinfo!CB78-Basicinfo!CG78)/Basicinfo!G78*1000)</f>
        <v>42.639880176823411</v>
      </c>
      <c r="AT78" s="19">
        <f>Parameters!$C$3*((AS78*86.4*0.365)^Parameters!$C$4)</f>
        <v>337.27659067686642</v>
      </c>
      <c r="AU78" s="19">
        <f>IF(AT78/86.4/0.365*(Basicinfo!G78/1000)-AN78&lt;0,0,AT78/86.4/0.365*(Basicinfo!G78/1000)-AN78)</f>
        <v>1.1345227815774777</v>
      </c>
      <c r="AV78" s="19">
        <f>IF(Basicinfo!AU78&gt;Parameters!$C$13,Parameters!$C$11*(Basicinfo!AU78-Parameters!$C$13)^Parameters!$C$12,0)</f>
        <v>250.32417852386632</v>
      </c>
      <c r="AW78" s="19">
        <f>IF(AV78*V78/1000/86.4/0.365&gt;Basicinfo!AP78*Parameters!$C$15,Basicinfo!AP78*Parameters!$C$15,AV78*V78/1000/86.4/0.365)</f>
        <v>7.8458253452223046E-3</v>
      </c>
      <c r="AX78" s="19">
        <f>Basicinfo!AU78-Basicinfo!AW78</f>
        <v>698.8399699258573</v>
      </c>
      <c r="AY78" s="19">
        <f>Parameters!$C$56*AX78+Parameters!$C$57*Basicinfo!AW78</f>
        <v>458.18014075574291</v>
      </c>
      <c r="AZ78" s="19">
        <f>AY78*Basicinfo!BO78/1000/86.4/0.365</f>
        <v>0</v>
      </c>
      <c r="BA78" s="19">
        <f>IF(Basicinfo!AP78-AQ78-AR78-AU78-AW78-AZ78-Basicinfo!CB78-Basicinfo!CG78&lt;0,0,Basicinfo!AP78-AQ78-AR78-AU78-AW78-AZ78-Basicinfo!CB78-Basicinfo!CG78)</f>
        <v>3.3569794152069696</v>
      </c>
      <c r="BB78" s="53">
        <f t="shared" si="59"/>
        <v>1004.6040869083325</v>
      </c>
      <c r="BC78" s="56">
        <f>IF(G78=0,0,((Basicinfo!H78*Basicinfo!BE78+Basicinfo!I78*Basicinfo!BF78+Basicinfo!J78*Basicinfo!BG78+Basicinfo!K78*Basicinfo!BH78+Basicinfo!L78*Basicinfo!BI78)*(1-Basicinfo!BN78/G78*Parameters!$C$26/100)/G78)*Basicinfo!BM78)</f>
        <v>2.6876425352325017</v>
      </c>
      <c r="BD78" s="43">
        <f>IF(Basicinfo!AW78*Parameters!$C$39-Parameters!$C$40&lt;0,0.001,(Basicinfo!AW78*Parameters!$C$39-Parameters!$C$40)/(Basicinfo!AX78*Parameters!$C$39-Parameters!$C$40))</f>
        <v>1.1610222116366629</v>
      </c>
      <c r="BE78" s="43">
        <f>(BC78*G78*100+Basicinfo!BJ78*Basicinfo!M78*100)*Parameters!$C$29*BD78</f>
        <v>44.691660484951143</v>
      </c>
      <c r="BF78" s="43">
        <f>(Basicinfo!BK78*Basicinfo!P78*100)*BD78*Parameters!$C$29</f>
        <v>1135.419780430974</v>
      </c>
      <c r="BG78" s="43">
        <f>Parameters!$C$27*(V78+W78)*100</f>
        <v>19.768441829788379</v>
      </c>
      <c r="BH78" s="43">
        <f>Parameters!$C$28*Basicinfo!R78*100</f>
        <v>0</v>
      </c>
      <c r="BI78" s="43">
        <f t="shared" si="74"/>
        <v>1155.1882222607624</v>
      </c>
      <c r="BJ78" s="43">
        <f>IF(Basicinfo!AM78&lt;Parameters!$C$33,0,Parameters!$C$30*(((Basicinfo!AM78-Parameters!$C$33)^Parameters!$C$31)*(((G78-Basicinfo!BN78)/Basicinfo!G78*100+Parameters!$C$34))^Parameters!$C$32))</f>
        <v>1.3065327235094244</v>
      </c>
      <c r="BK78" s="58">
        <f t="shared" si="75"/>
        <v>1155.772133429678</v>
      </c>
      <c r="BL78" s="61">
        <f>Basicinfo!AZ78+Basicinfo!BA78</f>
        <v>1474.6896729717132</v>
      </c>
      <c r="BM78" s="19">
        <f>Basicinfo!BB78+Basicinfo!BC78</f>
        <v>1925.5267278973722</v>
      </c>
      <c r="BN78" s="172">
        <f>IF(Basicinfo!AO78=0,0,IF(Basicinfo!AO78="NA",1,IF(OR(Basicinfo!AO78="SA",Basicinfo!AN78="S"),3,IF(Basicinfo!AN78="N",1,IF(Basicinfo!AO78="ZA",2,0)))))</f>
        <v>1</v>
      </c>
      <c r="BO78" s="27">
        <f>IF($BN78=1,(BL78)*(1+Parameters!$C$21*Parameters!$C$22-Parameters!$C$22*Basicinfo!$AL78),IF($BN78=2,(BL78)*(1+Parameters!$C$21*Parameters!$C$23-Parameters!$C$23*Basicinfo!$AL78),IF($BN78=3,(BL78)*(1+Parameters!$C$21*Parameters!$C$24-Parameters!$C$24*Basicinfo!$AL78),BL78)))</f>
        <v>1315.2231254954786</v>
      </c>
      <c r="BP78" s="27">
        <f>IF($BN78=1,(BM78)*(1+Parameters!$C$21*Parameters!$C$22-Parameters!$C$22*Basicinfo!$AL78),IF($BN78=2,(BM78)*(1+Parameters!$C$21*Parameters!$C$23-Parameters!$C$23*Basicinfo!$AL78),IF($BN78=3,(BM78)*(1+Parameters!$C$21*Parameters!$C$24-Parameters!$C$24*Basicinfo!$AL78),BM78)))</f>
        <v>1717.3086159794659</v>
      </c>
      <c r="BQ78" s="27">
        <f>IF(Basicinfo!AU78=0,0,IF(G78+Basicinfo!M78=0,0,(Parameters!$C$16+BO78/Basicinfo!AU78)*G78+(Parameters!$C$17+BO78/Basicinfo!AU78)*Basicinfo!M78)/(G78+Basicinfo!M78))</f>
        <v>0.73653128492205555</v>
      </c>
      <c r="BR78" s="27">
        <f>IF(Basicinfo!AU78=0,0,IF(G78+Basicinfo!M78=0,0,(Parameters!$C$16+BP78/Basicinfo!AU78)*G78+(Parameters!$C$17+BP78/Basicinfo!AU78)*Basicinfo!M78)/(G78+Basicinfo!M78))</f>
        <v>0.96160749604607754</v>
      </c>
      <c r="BS78" s="27">
        <f>IF(Basicinfo!AU78=0,0,BO78/Basicinfo!AU78)</f>
        <v>0.73622511847640359</v>
      </c>
      <c r="BT78" s="27">
        <f>IF(Basicinfo!AU78=0,0,BP78/Basicinfo!AU78)</f>
        <v>0.96130132960042558</v>
      </c>
      <c r="BU78" s="27">
        <f>IF(SUM(G78,Basicinfo!M78,Basicinfo!P78,W78)=0,0,(BQ78*(G78+Basicinfo!M78)+BS78*(Basicinfo!P78+W78))/SUM(G78,Basicinfo!M78,Basicinfo!P78,W78))</f>
        <v>0.73623508705111407</v>
      </c>
      <c r="BV78" s="19">
        <f>IF(Basicinfo!BR78/Parameters!$C$10&gt;1,1,Basicinfo!BR78/Parameters!$C$10)</f>
        <v>0.52286409713740678</v>
      </c>
      <c r="BW78" s="19">
        <f>Parameters!$C$5+Parameters!$C$6*EXP(BV78*Parameters!$C$8*Parameters!$C$7)</f>
        <v>3.5909311148823349E-2</v>
      </c>
      <c r="BX78" s="19">
        <f>Parameters!$C$5+Parameters!$C$6*EXP(BV78*Parameters!$C$9*Parameters!$C$7)</f>
        <v>3.5404336714667237E-2</v>
      </c>
      <c r="BY78" s="19">
        <f>IF(Basicinfo!AH78+Basicinfo!AI78+Basicinfo!AJ78+Basicinfo!AK78=0,0,(Parameters!$C$18*(Basicinfo!AH78+Basicinfo!AI78)+Parameters!$C$19*Basicinfo!AJ78+Parameters!$C$20*Basicinfo!AK78)/(Basicinfo!AH78+Basicinfo!AI78+Basicinfo!AJ78+Basicinfo!AK78))</f>
        <v>1.5E-3</v>
      </c>
      <c r="BZ78" s="19">
        <f>IF(Basicinfo!AJ78+Basicinfo!AK78=0,Parameters!$C$18,(Parameters!$C$19*Basicinfo!AJ78+Parameters!$C$20*Basicinfo!AK78)/(Basicinfo!AJ78+Basicinfo!AK78))</f>
        <v>1.5E-3</v>
      </c>
      <c r="CA78" s="19">
        <f>IF(SUM(G78,Basicinfo!M78,Basicinfo!P78,W78)=0,0,(BW78*G78+BX78*Basicinfo!M78+BY78*Basicinfo!P78+BZ78*W78)/(SUM(G78,Basicinfo!M78,Basicinfo!P78,W78)))</f>
        <v>2.6039193082453625E-3</v>
      </c>
      <c r="CB78" s="19">
        <f>IF(Y78=0,Basicinfo!BP78,Basicinfo!BP78-(AU78*X78/Y78*Intermediate!BQ78*86400*365/1000000)*1000/(X78*100))</f>
        <v>11.982902052342091</v>
      </c>
      <c r="CC78" s="19">
        <f>IF(Y78=0,Basicinfo!BQ78,Basicinfo!BQ78-(AU78*Basicinfo!AV78/Basicinfo!AU78*X78/Y78*Intermediate!BR78*86400*365/1000000)*1000/(X78*100))</f>
        <v>54.543837443636079</v>
      </c>
      <c r="CD78" s="19">
        <f>IF(OR(Y78=0,AA78=0),BP78/100,BP78/100-(AU78*Basicinfo!AV78/Basicinfo!AU78*(Basicinfo!P78+W78)/Y78*Intermediate!BT78*86400*365/1000000+AW78*Basicinfo!AV78/Basicinfo!AU78*Intermediate!BT78*86400*365/1000000)*1000/(AA78*100))</f>
        <v>14.052394279853461</v>
      </c>
      <c r="CE78" s="19">
        <f t="shared" si="60"/>
        <v>18505.686550065682</v>
      </c>
      <c r="CF78" s="19">
        <f t="shared" si="61"/>
        <v>143317.15403071509</v>
      </c>
      <c r="CG78" s="19">
        <f>IF(AY78=0,0,((CB78^Parameters!$C$58))/AY78*100)</f>
        <v>1.8019446499976197</v>
      </c>
      <c r="CH78" s="19">
        <f>IF(SUM(Basicinfo!AB78:AG78)=0,0,(Parameters!$C$59*Basicinfo!AB78+Parameters!$C$60*SUM(Basicinfo!AC78:AE78)+Parameters!$C$61*Basicinfo!AF78+Parameters!$C$62*Basicinfo!AG78)/SUM(Basicinfo!AB78:AG78))</f>
        <v>7.4207943173662971E-2</v>
      </c>
      <c r="CI78" s="19">
        <f t="shared" si="88"/>
        <v>3</v>
      </c>
      <c r="CJ78" s="19">
        <f t="shared" si="62"/>
        <v>15.356048526063871</v>
      </c>
      <c r="CK78" s="19">
        <f t="shared" si="76"/>
        <v>1.528567196388986</v>
      </c>
      <c r="CL78" s="19">
        <f>IF($BB78=0,0,$CJ78^Parameters!$C$58*100/$BB78)</f>
        <v>1.0147115735388847</v>
      </c>
      <c r="CM78" s="19">
        <f>IF(CK78=0,0,(1/(1+Parameters!$C$116*BB78^Parameters!$C$120)*Basicinfo!AH78/Basicinfo!G78+1/(1+Parameters!$C$117*BB78^Parameters!$C$121)*Basicinfo!AI78/Basicinfo!G78)*(CK78)^Parameters!$C$124+(1/(1+Parameters!$C$118*BB78^Parameters!$C$122)*Basicinfo!AJ78/Basicinfo!G78+1/(1+Parameters!$C$119*BB78^Parameters!$C$123)*Basicinfo!AK78/Basicinfo!G78)*(CK78)^Parameters!$C$125)</f>
        <v>0.81499171768286183</v>
      </c>
      <c r="CN78" s="19">
        <f>IF(SUM(Basicinfo!AB78:AG78)=0,0,(Parameters!$C$128*Basicinfo!AB78+Parameters!$C$129*(SUM(Basicinfo!AC78:AE78))+Parameters!$C$130*Basicinfo!AF78+Parameters!$C$131*Basicinfo!AG78)/SUM(Basicinfo!AB78:AG78))</f>
        <v>1.8205479134429735E-2</v>
      </c>
      <c r="CO78" s="19">
        <f>IF(Basicinfo!AH78+Basicinfo!AI78+Basicinfo!AJ78+Basicinfo!AK78=0,0,(Parameters!$C$132*(Basicinfo!AH78+Basicinfo!AI78)+Parameters!$C$133*Basicinfo!AJ78+Parameters!$C$134*Basicinfo!AK78)/(Basicinfo!AH78+Basicinfo!AI78+Basicinfo!AJ78+Basicinfo!AK78))</f>
        <v>5.0000000000000001E-4</v>
      </c>
      <c r="CP78" s="19">
        <f>IF(Basicinfo!AJ78+Basicinfo!AK78=0,0,(Parameters!$C$133*Basicinfo!AJ78+Parameters!$C$134*Basicinfo!AK78)/(Basicinfo!AJ78+Basicinfo!AK78))</f>
        <v>5.0000000000000001E-4</v>
      </c>
      <c r="CQ78" s="19">
        <f>IF(Z78=0,0,(CN78*(Z78-AA78)+CO78*Basicinfo!P78+CP78*(Basicinfo!Q78+Basicinfo!R78))/Z78)</f>
        <v>1.0691491143911087E-3</v>
      </c>
      <c r="CR78" s="19">
        <f>IF(CK78=0,0,IF(AND((Basicinfo!AI78+Basicinfo!AK78)&gt;0,(CM78/CK78)&lt;Parameters!$C$135),CQ78*Parameters!$C$136,CQ78))</f>
        <v>1.0691491143911087E-3</v>
      </c>
      <c r="CS78" s="19">
        <f>IF(SUM(Basicinfo!AB78:AG78)=0,0,(Basicinfo!AB78*Parameters!$C$43+(Basicinfo!AC78+Basicinfo!AD78)*Parameters!$C$44+Basicinfo!AE78*Parameters!$C$45+(Basicinfo!AF78+Basicinfo!AG78)*Parameters!$C$46)/SUM(Basicinfo!AB78:AG78))</f>
        <v>25.782385450636525</v>
      </c>
      <c r="CT78" s="19">
        <f>(Parameters!$C$41*CS78+Parameters!$C$42)</f>
        <v>537.98033159649253</v>
      </c>
      <c r="CU78" s="19">
        <f>CT78+Basicinfo!BR78/(Parameters!$C$47*Parameters!$C$49*Parameters!$C$48*10000/1000000)</f>
        <v>722.13372429897538</v>
      </c>
      <c r="CV78" s="19">
        <f>IF(BK78/Basicinfo!G78&lt;Parameters!$C$35,Parameters!$C$35,Parameters!$C$37*(BK78/Basicinfo!G78)^Parameters!$C$38)</f>
        <v>2.49418423846598</v>
      </c>
      <c r="CW78" s="19">
        <f>IF(BK78/Basicinfo!G78&lt;Parameters!$C$35,Parameters!$C$36,Parameters!$C$36*(BK78/Basicinfo!G78)^Parameters!$C$38)</f>
        <v>5.8613329603950532</v>
      </c>
      <c r="CX78" s="27">
        <f>IF(Basicinfo!AJ78+Basicinfo!AK78=0,0,(Parameters!$C$53*Basicinfo!AJ78+Parameters!$C$54*Basicinfo!AK78)/(Basicinfo!AJ78+Basicinfo!AK78))</f>
        <v>540</v>
      </c>
      <c r="CY78" s="56">
        <f>IF(Basicinfo!AU78*AB78=0,0,((Basicinfo!AZ78+Basicinfo!BA78)/Basicinfo!AU78+Parameters!$C$76/(Basicinfo!AU78*AB78)*100))</f>
        <v>1.3615191521973695</v>
      </c>
      <c r="CZ78" s="43">
        <f>IF(Basicinfo!AU78*AB78=0,0,(Parameters!$C$77)/(Basicinfo!AU78*AB78)*100)</f>
        <v>0.33501820048112524</v>
      </c>
      <c r="DA78" s="43">
        <f>IF(AD78+AJ78=0,0,((J78*Parameters!$C$96+Parameters!$C$94/100*S78*100*Parameters!$C$93/1000*86400*Parameters!$C$95/24*Parameters!$C$98)*AI78+AD78*CY78*86400*365)/((AD78+AJ78*AI78/365)*86400*365))</f>
        <v>15.786242533056846</v>
      </c>
      <c r="DB78" s="43">
        <f>IF(AD78+AJ78=0,0,((J78*Parameters!$C$97+Parameters!$C$94/100*S78*100*Parameters!$C$93/1000*86400*Parameters!$C$95/24*Parameters!$C$99)*AI78+AD78*CZ78*86400*365)/((AD78+AJ78*AI78/365)*86400*365))</f>
        <v>2.6635442830488301</v>
      </c>
      <c r="DC78" s="42">
        <f>IF(AE78+AL78=0,0,((K78*Parameters!$C$96+Parameters!$C$94/100*T78*100*Parameters!$C$93/1000*86400*Parameters!$C$95/24*Parameters!$C$98)*365+AE78*CY78*86400*365)/((AE78+AL78)*86400*365))</f>
        <v>0</v>
      </c>
      <c r="DD78" s="42">
        <f>IF(AE78+AL78=0,0,((K78*Parameters!$C$97+Parameters!$C$94/100*T78*100*Parameters!$C$93/1000*86400*Parameters!$C$95/24*Parameters!$C$99)*365+AE78*CZ78*86400*365)/((AE78+AL78)*86400*365))</f>
        <v>0</v>
      </c>
      <c r="DE78" s="42">
        <f>IF(Basicinfo!AH78+Basicinfo!AI78+Basicinfo!AJ78+Basicinfo!AK78=0,0,((Basicinfo!AH78+Basicinfo!AI78)*Parameters!$C$107+(Basicinfo!AJ78+Basicinfo!AK78)*Parameters!$C$106)/(Basicinfo!AH78+Basicinfo!AI78+Basicinfo!AJ78+Basicinfo!AK78))</f>
        <v>50</v>
      </c>
      <c r="DF78" s="42">
        <f>IF(Basicinfo!AH78+Basicinfo!AI78+Basicinfo!AJ78+Basicinfo!AK78=0,0,((Basicinfo!AH78+Basicinfo!AI78)*Parameters!$C$109+(Basicinfo!AJ78+Basicinfo!AK78)*Parameters!$C$108)/(Basicinfo!AH78+Basicinfo!AI78+Basicinfo!AJ78+Basicinfo!AK78))</f>
        <v>50</v>
      </c>
      <c r="DG78" s="42">
        <f>Intermediate!AC78*Intermediate!CY78*(1-Parameters!$C$102/100*Basicinfo!BZ78/100)*(1-Parameters!$C$104/100*Basicinfo!CA78/100)*86400*365/1000000</f>
        <v>2.5141144121972478E-2</v>
      </c>
      <c r="DH78" s="42">
        <f>Intermediate!AC78*Intermediate!CZ78*(1-Parameters!$C$103/100*Basicinfo!BZ78/100)*(1-Parameters!$C$105/100*Basicinfo!CA78/100)*86400*365/1000000</f>
        <v>6.1862815871420477E-3</v>
      </c>
      <c r="DI78" s="42">
        <f>(Intermediate!AK78*Intermediate!DA78+(Intermediate!AE78+Intermediate!AL78)*Intermediate!DC78)*86400*365/1000000</f>
        <v>0.39747917442501507</v>
      </c>
      <c r="DJ78" s="42">
        <f>(Intermediate!AK78*Intermediate!DB78+(Intermediate!AE78+Intermediate!AL78)*Intermediate!DD78)*86400*365/1000000</f>
        <v>6.7064938376169128E-2</v>
      </c>
      <c r="DK78" s="42">
        <f>((Basicinfo!AZ78+Basicinfo!BA78)*Intermediate!AB78+Parameters!$C$76*100)/1000*Intermediate!U78*(1-Intermediate!DE78/100)+(1-Parameters!$C$110/100)*M78*Parameters!$C$100*(1-DE78/100)*365/1000000+(1-Parameters!$C$112/100)*P78*Parameters!$C$96*365/1000000+(1-Parameters!$C$112/100)*O78*Parameters!$C$96*(1-DE78/100)*365/1000000</f>
        <v>3.7205449742866908E-2</v>
      </c>
      <c r="DL78" s="42">
        <f>Parameters!$C$77*100/1000*Intermediate!U78*(1-Intermediate!DF78/100)+(1-Parameters!$C$111/100)*M78*Parameters!$C$101*(1-DF78/100)*365/1000000+(1-Parameters!$C$113/100)*P78*Parameters!$C$97*365/1000000+(1-Parameters!$C$113/100)*O78*Parameters!$C$97*(1-DF78/100)*365/1000000</f>
        <v>6.0594328008764121E-3</v>
      </c>
      <c r="DM78" s="31"/>
      <c r="DN78" s="31"/>
      <c r="DO78" s="31"/>
      <c r="DP78" s="31"/>
      <c r="DQ78" s="31"/>
      <c r="DR78" s="31"/>
      <c r="DS78" s="31"/>
      <c r="DT78" s="188">
        <f>BO78*(Basicinfo!$P78+Basicinfo!$Q78)/1000</f>
        <v>133.88909266984516</v>
      </c>
      <c r="DU78" s="188">
        <f>DT78*Basicinfo!$AZ78/(Basicinfo!$AZ78+Basicinfo!$BA78)</f>
        <v>69.041356970167882</v>
      </c>
      <c r="DV78" s="188">
        <f>DT78*Basicinfo!$BC78/(Basicinfo!$BB78+Basicinfo!$BC78)</f>
        <v>62.789797526564776</v>
      </c>
      <c r="DW78" s="188">
        <f>BP78*(Basicinfo!$P78+Basicinfo!$Q78)/1000</f>
        <v>174.82120559656221</v>
      </c>
      <c r="DX78" s="188">
        <f>DW78*Basicinfo!$BB78/(Basicinfo!$BB78+Basicinfo!$BC78)</f>
        <v>92.835527122916389</v>
      </c>
      <c r="DY78" s="188">
        <f>DW78*Basicinfo!$BC78/(Basicinfo!$BB78+Basicinfo!$BC78)</f>
        <v>81.98567847364582</v>
      </c>
      <c r="DZ78" s="188">
        <f t="shared" si="63"/>
        <v>4.4623018923023787</v>
      </c>
      <c r="EA78" s="188">
        <f>DZ78*Basicinfo!$AZ78/(Basicinfo!$AZ78+Basicinfo!$BA78)</f>
        <v>2.3010341747165453</v>
      </c>
      <c r="EB78" s="188">
        <f>DZ78*Basicinfo!$BC78/(Basicinfo!$BB78+Basicinfo!$BC78)</f>
        <v>2.0926800438552653</v>
      </c>
      <c r="EC78" s="188">
        <f t="shared" si="64"/>
        <v>5.8265014796371091</v>
      </c>
      <c r="ED78" s="188">
        <f>EC78*Basicinfo!$AZ78/(Basicinfo!$AZ78+Basicinfo!$BA78)</f>
        <v>3.0044984286717571</v>
      </c>
      <c r="EE78" s="188">
        <f>EC78*Basicinfo!$BC78/(Basicinfo!$BB78+Basicinfo!$BC78)</f>
        <v>2.732446989515231</v>
      </c>
      <c r="EF78" s="190">
        <f>(Basicinfo!BP78-BL78/100)*Intermediate!X78/10</f>
        <v>-8.0958616476369413E-2</v>
      </c>
      <c r="EG78" s="191">
        <f>(Basicinfo!BQ78-BM78/100)*Intermediate!X78/10</f>
        <v>13.036615351436879</v>
      </c>
      <c r="EH78" s="197">
        <f>IF(AU78=0,0,$BS78*((Basicinfo!$P78+Basicinfo!$Q78)*Intermediate!$AT78*1000+$AW78*3600*24*365)/1000000*Basicinfo!AZ78/(Basicinfo!$AZ78+Basicinfo!$BA78))</f>
        <v>13.128803622616489</v>
      </c>
      <c r="EI78" s="197">
        <f>IF(AU78=0,0,$BS78*((Basicinfo!$P78+Basicinfo!$Q78)*Intermediate!$AT78*1000+$AW78*3600*24*365)/1000000*Basicinfo!BA78/(Basicinfo!$AZ78+Basicinfo!$BA78))</f>
        <v>12.331350725627683</v>
      </c>
      <c r="EJ78" s="198">
        <f>IF(AU78=0,0,$BS78*($AT78*$X78*1000)/1000000*Basicinfo!AZ78/(Basicinfo!$AZ78+Basicinfo!$BA78))</f>
        <v>0.43443065411250337</v>
      </c>
      <c r="EK78" s="198">
        <f>IF(AU78=0,0,$BS78*($AT78*$X78*1000)/1000000*Basicinfo!BA78/(Basicinfo!$AZ78+Basicinfo!$BA78))</f>
        <v>0.40804302629651851</v>
      </c>
      <c r="EL78" s="147">
        <f>Parameters!$C$150/Basicinfo!$AV78*100</f>
        <v>5.8859014446778088E-2</v>
      </c>
      <c r="EM78" s="147">
        <f>Parameters!$C$151/Basicinfo!$AV78*100</f>
        <v>0.11771802889355618</v>
      </c>
      <c r="EN78" s="147">
        <f>(Parameters!$C$150+Parameters!$C$151)/Intermediate!$BB78*100</f>
        <v>0.29862510406786175</v>
      </c>
      <c r="EO78" s="193">
        <f>IF(EN78=0,0,(1/(1+Parameters!$C$116*$BB78^Parameters!$C$120)*Basicinfo!$AH78/Basicinfo!$G78+1/(1+Parameters!$C$117*$BB78^Parameters!$C$121)*Basicinfo!$AI78/Basicinfo!$G78)*(EN78)^Parameters!$C$124+(1/(1+Parameters!$C$118*$BB78^Parameters!$C$122)*Basicinfo!$AJ78/Basicinfo!AW78+1/(1+Parameters!$C$119*$BB78^Parameters!$C$123)*Basicinfo!$AK78/Basicinfo!$G78)*(EN78)^Parameters!$C$125)</f>
        <v>1.9861562875381388E-2</v>
      </c>
      <c r="EP78" s="199">
        <f>EL78*($AT78*Basicinfo!$P78*1000+$AW78*3600*24*365)/1000000</f>
        <v>2.0158418949968242</v>
      </c>
      <c r="EQ78" s="199">
        <f>EM78*($AT78*Basicinfo!$P78*1000+$AW78*3600*24*365)/1000000</f>
        <v>4.0316837899936484</v>
      </c>
      <c r="ER78" s="199">
        <f t="shared" si="65"/>
        <v>6.735327182104861E-2</v>
      </c>
      <c r="ES78" s="199">
        <f t="shared" si="66"/>
        <v>0.13470654364209722</v>
      </c>
      <c r="ET78" s="181">
        <f t="shared" si="77"/>
        <v>2.1026583132627237</v>
      </c>
      <c r="EU78" s="147">
        <f>Intermediate!F78*(Parameters!$C$150)/1000*100</f>
        <v>7.3695243648494377E-2</v>
      </c>
      <c r="EV78" s="147">
        <f>Intermediate!F78*(Parameters!$C$151)/1000*100</f>
        <v>0.14739048729698875</v>
      </c>
      <c r="EW78" s="181">
        <f>'Local emissions'!$S78*Basicinfo!AZ78/(Basicinfo!$AZ78+Basicinfo!$BA78)-Intermediate!EU78</f>
        <v>0.42611254044172969</v>
      </c>
      <c r="EX78" s="147">
        <f>'Local emissions'!$S78*Basicinfo!BA78/(Basicinfo!$AZ78+Basicinfo!$BA78)-Intermediate!EV78</f>
        <v>0.32205861546802317</v>
      </c>
      <c r="EY78" s="188">
        <f t="shared" si="78"/>
        <v>11.112961727619666</v>
      </c>
      <c r="EZ78" s="188">
        <f t="shared" si="79"/>
        <v>8.2996669356340345</v>
      </c>
      <c r="FA78" s="188">
        <f t="shared" si="80"/>
        <v>0.36707738229145476</v>
      </c>
      <c r="FB78" s="181">
        <f t="shared" si="81"/>
        <v>0.27333648265442129</v>
      </c>
      <c r="FC78" s="181">
        <f>'Local emissions'!Y78-Intermediate!ET78</f>
        <v>84.397601398473839</v>
      </c>
      <c r="FD78" s="188">
        <f t="shared" si="82"/>
        <v>40.452916970935696</v>
      </c>
      <c r="FE78" s="188">
        <f t="shared" si="83"/>
        <v>35.725114585809614</v>
      </c>
      <c r="FF78" s="181">
        <f t="shared" si="84"/>
        <v>0.65460244176479232</v>
      </c>
      <c r="FG78" s="201">
        <f t="shared" si="85"/>
        <v>0.59532947471710551</v>
      </c>
      <c r="FH78" s="181">
        <f t="shared" si="86"/>
        <v>6.9696379252466309</v>
      </c>
      <c r="FJ78" s="147">
        <f>AVERAGE(Parameters!$C$132:$C$134)*'Local emissions'!J78*3600*24*365/1000000</f>
        <v>5.2932851418983504E-2</v>
      </c>
      <c r="FK78" s="147">
        <f>'Local emissions'!AJ78+CT78*BJ78/100*Intermediate!X78*100/1000000</f>
        <v>0.5239986281477188</v>
      </c>
      <c r="FL78" s="31">
        <f>(Parameters!$C$18*(Basicinfo!AH78+Basicinfo!AI78)+Parameters!$C$19*Basicinfo!AJ78+Parameters!$C$20*Basicinfo!AK78)/Basicinfo!G78</f>
        <v>1.5E-3</v>
      </c>
      <c r="FM78" s="181">
        <f t="shared" si="87"/>
        <v>5.4038604581871402E-2</v>
      </c>
    </row>
    <row r="79" spans="1:169">
      <c r="A79" s="39" t="str">
        <f>Basicinfo!A79</f>
        <v>Salza</v>
      </c>
      <c r="B79" s="63">
        <f>Basicinfo!B79</f>
        <v>1500</v>
      </c>
      <c r="C79" s="63">
        <f>Basicinfo!C79</f>
        <v>1510</v>
      </c>
      <c r="D79" s="61">
        <f>Basicinfo!U79*Basicinfo!V79/1000+Basicinfo!Y79</f>
        <v>2.1300479861375039</v>
      </c>
      <c r="E79" s="19">
        <f>Basicinfo!W79*Basicinfo!X79/1000+Basicinfo!Z79</f>
        <v>0</v>
      </c>
      <c r="F79" s="19">
        <f t="shared" si="71"/>
        <v>2.1300479861375039</v>
      </c>
      <c r="G79" s="19">
        <f>SUM(Basicinfo!H79:L79)</f>
        <v>9.6555378698044789E-3</v>
      </c>
      <c r="H79" s="19">
        <f>IF(Basicinfo!N79&lt;Parameters!$C$68,Parameters!$C$69,Basicinfo!BS79/(Basicinfo!N79*100))</f>
        <v>9.3087341471585603</v>
      </c>
      <c r="I79" s="19">
        <f>IF(Basicinfo!N79=0,0,Basicinfo!BU79*(1-Basicinfo!BX79/100))</f>
        <v>920.79140066088178</v>
      </c>
      <c r="J79" s="19">
        <f>IF(Basicinfo!N79=0,0,Basicinfo!BU79*Basicinfo!BX79/100)</f>
        <v>849.96129291773696</v>
      </c>
      <c r="K79" s="19">
        <f>IF(Basicinfo!N79=0,0,Basicinfo!BT79-Basicinfo!BU79)</f>
        <v>0</v>
      </c>
      <c r="L79" s="27">
        <f>Basicinfo!BV79*Basicinfo!BW79/100</f>
        <v>174.16</v>
      </c>
      <c r="M79" s="27">
        <f>Basicinfo!BV79-Intermediate!L79</f>
        <v>174.16</v>
      </c>
      <c r="N79" s="73">
        <f>Basicinfo!BS79-SUM(I79:K79)-Basicinfo!BV79</f>
        <v>0</v>
      </c>
      <c r="O79" s="19">
        <f>IF(Basicinfo!AH79+Basicinfo!AI79+Basicinfo!AJ79+Basicinfo!AK79=0,0,N79*(Basicinfo!AH79+Basicinfo!AI79)/SUM(Basicinfo!AH79:AK79))</f>
        <v>0</v>
      </c>
      <c r="P79" s="73">
        <f t="shared" si="67"/>
        <v>0</v>
      </c>
      <c r="Q79" s="19">
        <f>IF(Basicinfo!BS79=0,Basicinfo!N79,IF(H79&gt;Parameters!$C$70,Parameters!$C$64*(Parameters!$C$65*Parameters!$C$70)^(Parameters!$C$66-Parameters!$C$67*LOG(Parameters!$C$65*Parameters!$C$70,10))/100*Basicinfo!N79,Parameters!$C$64*(Parameters!$C$65*H79)^(Parameters!$C$66-Parameters!$C$67*LOG(Parameters!$C$65*H79,10))/100*Basicinfo!N79))</f>
        <v>0.45353896165203683</v>
      </c>
      <c r="R79" s="19">
        <f>IF(Basicinfo!BS79=0,Q79*(1-Basicinfo!BX79/100),IF(H79&lt;Parameters!$C$75,Q79*Basicinfo!BU79/Basicinfo!BS79*(1-Basicinfo!BX79/100)*(-Parameters!$C$74+Parameters!$C$73*LN(H79*100)),Q79*Basicinfo!BU79/Basicinfo!BS79*(1-Basicinfo!BX79/100)))</f>
        <v>9.5879686223683494E-2</v>
      </c>
      <c r="S79" s="19">
        <f>IF(Basicinfo!BS79=0,Q79*Basicinfo!BX79/100,Q79*Basicinfo!BU79/Basicinfo!BS79*Basicinfo!BX79/100)</f>
        <v>0.1819147419540996</v>
      </c>
      <c r="T79" s="19">
        <f>IF(Basicinfo!BS79=0,0,IF(H79&lt;Parameters!$C$75,Q79*K79/Basicinfo!BS79*(-Parameters!$C$74+Parameters!$C$73*LN(H79*100)),Q79*K79/Basicinfo!BS79))</f>
        <v>0</v>
      </c>
      <c r="U79" s="19">
        <f t="shared" si="68"/>
        <v>0.17574453347425376</v>
      </c>
      <c r="V79" s="19">
        <f>IF(Basicinfo!AL79&gt;Parameters!$C$14,Basicinfo!Q79,0)</f>
        <v>25.507055959816899</v>
      </c>
      <c r="W79" s="19">
        <f>IF(Basicinfo!AL79&gt;Parameters!$C$14,0,Basicinfo!Q79)</f>
        <v>0</v>
      </c>
      <c r="X79" s="19">
        <f>G79+Basicinfo!M79</f>
        <v>15.378248356407193</v>
      </c>
      <c r="Y79" s="19">
        <f>IF(Basicinfo!G79-F79-Q79-V79-Basicinfo!O79-Basicinfo!R79-Basicinfo!S79&lt;0,0,Basicinfo!G79-F79-Q79-V79-Basicinfo!O79-Basicinfo!R79-Basicinfo!S79)</f>
        <v>296.41564529104761</v>
      </c>
      <c r="Z79" s="19">
        <f>Basicinfo!G79-F79-Basicinfo!BO79-Q79-Basicinfo!O79</f>
        <v>321.97991294021045</v>
      </c>
      <c r="AA79" s="53">
        <f>IF(Z79+Basicinfo!BO79-X79&gt;0,Z79+Basicinfo!BO79-X79,0)</f>
        <v>306.60166458380326</v>
      </c>
      <c r="AB79" s="56">
        <f>IF(Basicinfo!N79=0,0,Parameters!$C$71+Parameters!$C$72*Q79/Basicinfo!N79)</f>
        <v>0.29942409593323316</v>
      </c>
      <c r="AC79" s="43">
        <f>Basicinfo!AU79*AB79*R79/1000/86.4/0.365</f>
        <v>1.6533101006964486E-3</v>
      </c>
      <c r="AD79" s="43">
        <f>Basicinfo!AU79*AB79*S79/1000/86.4/0.365</f>
        <v>3.1368634189794524E-3</v>
      </c>
      <c r="AE79" s="43">
        <f>Basicinfo!AU79*AB79*T79/1000/86.4/0.365</f>
        <v>0</v>
      </c>
      <c r="AF79" s="43">
        <f>Basicinfo!AU79*AB79*U79/1000/86.4/0.365</f>
        <v>3.0304668671662467E-3</v>
      </c>
      <c r="AG79" s="43">
        <f>((Parameters!$C$80+Parameters!$C$81*Parameters!$C$89)/(Parameters!$C$82+Parameters!$C$89)/(Parameters!$C$90/100*Parameters!$C$91+(Parameters!$C$83+Parameters!$C$84*Parameters!$C$89)/(Parameters!$C$85+Parameters!$C$89)))-Parameters!$C$86+(Basicinfo!AU79-Parameters!$C$88)/Parameters!$C$87</f>
        <v>96.791983238580073</v>
      </c>
      <c r="AH79" s="43">
        <f>((Parameters!$C$80+Parameters!$C$81*Parameters!$C$89)/(Parameters!$C$82+Parameters!$C$89)/(Basicinfo!BY79/100*Parameters!$C$91+(Parameters!$C$83+Parameters!$C$84*Parameters!$C$89)/(Parameters!$C$85+Parameters!$C$89)))-Parameters!$C$86+(Basicinfo!AU79-Parameters!$C$88)/Parameters!$C$87</f>
        <v>78.989101371964495</v>
      </c>
      <c r="AI79" s="43">
        <f>Basicinfo!AU79^Parameters!$C$79*Parameters!$C$78*AH79/AG79</f>
        <v>137.65055535537374</v>
      </c>
      <c r="AJ79" s="43">
        <f>(J79*Parameters!$C$92/1000+Parameters!$C$94/100*S79*100*Parameters!$C$93/1000*86400*Parameters!$C$95/24)/86400</f>
        <v>1.2849407700941391E-3</v>
      </c>
      <c r="AK79" s="43">
        <f t="shared" si="72"/>
        <v>2.8605480167835868E-3</v>
      </c>
      <c r="AL79" s="43">
        <f>(K79*Parameters!$C$92/1000+Parameters!$C$94/100*T79*100*Parameters!$C$93/1000*86400*Parameters!$C$95/24)/86400</f>
        <v>0</v>
      </c>
      <c r="AM79" s="43">
        <f>(Intermediate!N79+Basicinfo!BV79-Intermediate!L79)*Parameters!$C$92/1000/86400</f>
        <v>2.620462962962963E-4</v>
      </c>
      <c r="AN79" s="43">
        <f t="shared" si="73"/>
        <v>4.1310903266141997E-3</v>
      </c>
      <c r="AO79" s="43">
        <f t="shared" si="69"/>
        <v>2.8605480167835868E-3</v>
      </c>
      <c r="AP79" s="43">
        <f t="shared" si="70"/>
        <v>3.2925131634625429E-3</v>
      </c>
      <c r="AQ79" s="43">
        <f t="shared" si="58"/>
        <v>7.8063712809425777E-3</v>
      </c>
      <c r="AR79" s="61">
        <f>(Basicinfo!AU79-Basicinfo!AY79)*F79/1000/86.4/0.365</f>
        <v>7.900374807547042E-2</v>
      </c>
      <c r="AS79" s="19">
        <f>IF(Basicinfo!AP79-Basicinfo!CB79-Basicinfo!CG79&lt;0,0,(Basicinfo!AP79-Basicinfo!CB79-Basicinfo!CG79)/Basicinfo!G79*1000)</f>
        <v>40.998888719358384</v>
      </c>
      <c r="AT79" s="19">
        <f>Parameters!$C$3*((AS79*86.4*0.365)^Parameters!$C$4)</f>
        <v>321.17949244238395</v>
      </c>
      <c r="AU79" s="19">
        <f>IF(AT79/86.4/0.365*(Basicinfo!G79/1000)-AN79&lt;0,0,AT79/86.4/0.365*(Basicinfo!G79/1000)-AN79)</f>
        <v>3.3013971998608405</v>
      </c>
      <c r="AV79" s="19">
        <f>IF(Basicinfo!AU79&gt;Parameters!$C$13,Parameters!$C$11*(Basicinfo!AU79-Parameters!$C$13)^Parameters!$C$12,0)</f>
        <v>254.81808316498572</v>
      </c>
      <c r="AW79" s="19">
        <f>IF(AV79*V79/1000/86.4/0.365&gt;Basicinfo!AP79*Parameters!$C$15,Basicinfo!AP79*Parameters!$C$15,AV79*V79/1000/86.4/0.365)</f>
        <v>0.20610283824399314</v>
      </c>
      <c r="AX79" s="19">
        <f>Basicinfo!AU79-Basicinfo!AW79</f>
        <v>666.95035069928554</v>
      </c>
      <c r="AY79" s="19">
        <f>Parameters!$C$56*AX79+Parameters!$C$57*Basicinfo!AW79</f>
        <v>448.39340895664276</v>
      </c>
      <c r="AZ79" s="19">
        <f>AY79*Basicinfo!BO79/1000/86.4/0.365</f>
        <v>0</v>
      </c>
      <c r="BA79" s="19">
        <f>IF(Basicinfo!AP79-AQ79-AR79-AU79-AW79-AZ79-Basicinfo!CB79-Basicinfo!CG79&lt;0,0,Basicinfo!AP79-AQ79-AR79-AU79-AW79-AZ79-Basicinfo!CB79-Basicinfo!CG79)</f>
        <v>9.7124326568123536</v>
      </c>
      <c r="BB79" s="53">
        <f t="shared" si="59"/>
        <v>951.27448625067063</v>
      </c>
      <c r="BC79" s="56">
        <f>IF(G79=0,0,((Basicinfo!H79*Basicinfo!BE79+Basicinfo!I79*Basicinfo!BF79+Basicinfo!J79*Basicinfo!BG79+Basicinfo!K79*Basicinfo!BH79+Basicinfo!L79*Basicinfo!BI79)*(1-Basicinfo!BN79/G79*Parameters!$C$26/100)/G79)*Basicinfo!BM79)</f>
        <v>27.766831976771602</v>
      </c>
      <c r="BD79" s="43">
        <f>IF(Basicinfo!AW79*Parameters!$C$39-Parameters!$C$40&lt;0,0.001,(Basicinfo!AW79*Parameters!$C$39-Parameters!$C$40)/(Basicinfo!AX79*Parameters!$C$39-Parameters!$C$40))</f>
        <v>1.2525838607712498</v>
      </c>
      <c r="BE79" s="43">
        <f>(BC79*G79*100+Basicinfo!BJ79*Basicinfo!M79*100)*Parameters!$C$29*BD79</f>
        <v>981.6694392701969</v>
      </c>
      <c r="BF79" s="43">
        <f>(Basicinfo!BK79*Basicinfo!P79*100)*BD79*Parameters!$C$29</f>
        <v>3018.5918028427081</v>
      </c>
      <c r="BG79" s="43">
        <f>Parameters!$C$27*(V79+W79)*100</f>
        <v>510.14111919633802</v>
      </c>
      <c r="BH79" s="43">
        <f>Parameters!$C$28*Basicinfo!R79*100</f>
        <v>0</v>
      </c>
      <c r="BI79" s="43">
        <f t="shared" si="74"/>
        <v>3528.7329220390461</v>
      </c>
      <c r="BJ79" s="43">
        <f>IF(Basicinfo!AM79&lt;Parameters!$C$33,0,Parameters!$C$30*(((Basicinfo!AM79-Parameters!$C$33)^Parameters!$C$31)*(((G79-Basicinfo!BN79)/Basicinfo!G79*100+Parameters!$C$34))^Parameters!$C$32))</f>
        <v>1.4415763151149708</v>
      </c>
      <c r="BK79" s="58">
        <f t="shared" si="75"/>
        <v>3542.8844361682873</v>
      </c>
      <c r="BL79" s="61">
        <f>Basicinfo!AZ79+Basicinfo!BA79</f>
        <v>1454.2556344654197</v>
      </c>
      <c r="BM79" s="19">
        <f>Basicinfo!BB79+Basicinfo!BC79</f>
        <v>1944.2952251539859</v>
      </c>
      <c r="BN79" s="172">
        <f>IF(Basicinfo!AO79=0,0,IF(Basicinfo!AO79="NA",1,IF(OR(Basicinfo!AO79="SA",Basicinfo!AN79="S"),3,IF(Basicinfo!AN79="N",1,IF(Basicinfo!AO79="ZA",2,0)))))</f>
        <v>1</v>
      </c>
      <c r="BO79" s="27">
        <f>IF($BN79=1,(BL79)*(1+Parameters!$C$21*Parameters!$C$22-Parameters!$C$22*Basicinfo!$AL79),IF($BN79=2,(BL79)*(1+Parameters!$C$21*Parameters!$C$23-Parameters!$C$23*Basicinfo!$AL79),IF($BN79=3,(BL79)*(1+Parameters!$C$21*Parameters!$C$24-Parameters!$C$24*Basicinfo!$AL79),BL79)))</f>
        <v>1282.2767692853058</v>
      </c>
      <c r="BP79" s="27">
        <f>IF($BN79=1,(BM79)*(1+Parameters!$C$21*Parameters!$C$22-Parameters!$C$22*Basicinfo!$AL79),IF($BN79=2,(BM79)*(1+Parameters!$C$21*Parameters!$C$23-Parameters!$C$23*Basicinfo!$AL79),IF($BN79=3,(BM79)*(1+Parameters!$C$21*Parameters!$C$24-Parameters!$C$24*Basicinfo!$AL79),BM79)))</f>
        <v>1714.3647518091034</v>
      </c>
      <c r="BQ79" s="27">
        <f>IF(Basicinfo!AU79=0,0,IF(G79+Basicinfo!M79=0,0,(Parameters!$C$16+BO79/Basicinfo!AU79)*G79+(Parameters!$C$17+BO79/Basicinfo!AU79)*Basicinfo!M79)/(G79+Basicinfo!M79))</f>
        <v>0.70623631582354796</v>
      </c>
      <c r="BR79" s="27">
        <f>IF(Basicinfo!AU79=0,0,IF(G79+Basicinfo!M79=0,0,(Parameters!$C$16+BP79/Basicinfo!AU79)*G79+(Parameters!$C$17+BP79/Basicinfo!AU79)*Basicinfo!M79)/(G79+Basicinfo!M79))</f>
        <v>0.94415284343829953</v>
      </c>
      <c r="BS79" s="27">
        <f>IF(Basicinfo!AU79=0,0,BO79/Basicinfo!AU79)</f>
        <v>0.70604795488062333</v>
      </c>
      <c r="BT79" s="27">
        <f>IF(Basicinfo!AU79=0,0,BP79/Basicinfo!AU79)</f>
        <v>0.9439644824953749</v>
      </c>
      <c r="BU79" s="27">
        <f>IF(SUM(G79,Basicinfo!M79,Basicinfo!P79,W79)=0,0,(BQ79*(G79+Basicinfo!M79)+BS79*(Basicinfo!P79+W79))/SUM(G79,Basicinfo!M79,Basicinfo!P79,W79))</f>
        <v>0.70605778764591343</v>
      </c>
      <c r="BV79" s="19">
        <f>IF(Basicinfo!BR79/Parameters!$C$10&gt;1,1,Basicinfo!BR79/Parameters!$C$10)</f>
        <v>0.37048558089901468</v>
      </c>
      <c r="BW79" s="19">
        <f>Parameters!$C$5+Parameters!$C$6*EXP(BV79*Parameters!$C$8*Parameters!$C$7)</f>
        <v>3.5108527872784977E-2</v>
      </c>
      <c r="BX79" s="19">
        <f>Parameters!$C$5+Parameters!$C$6*EXP(BV79*Parameters!$C$9*Parameters!$C$7)</f>
        <v>3.5061114819490646E-2</v>
      </c>
      <c r="BY79" s="19">
        <f>IF(Basicinfo!AH79+Basicinfo!AI79+Basicinfo!AJ79+Basicinfo!AK79=0,0,(Parameters!$C$18*(Basicinfo!AH79+Basicinfo!AI79)+Parameters!$C$19*Basicinfo!AJ79+Parameters!$C$20*Basicinfo!AK79)/(Basicinfo!AH79+Basicinfo!AI79+Basicinfo!AJ79+Basicinfo!AK79))</f>
        <v>1.5471611822568615E-3</v>
      </c>
      <c r="BZ79" s="19">
        <f>IF(Basicinfo!AJ79+Basicinfo!AK79=0,Parameters!$C$18,(Parameters!$C$19*Basicinfo!AJ79+Parameters!$C$20*Basicinfo!AK79)/(Basicinfo!AJ79+Basicinfo!AK79))</f>
        <v>1.5E-3</v>
      </c>
      <c r="CA79" s="19">
        <f>IF(SUM(G79,Basicinfo!M79,Basicinfo!P79,W79)=0,0,(BW79*G79+BX79*Basicinfo!M79+BY79*Basicinfo!P79+BZ79*W79)/(SUM(G79,Basicinfo!M79,Basicinfo!P79,W79)))</f>
        <v>3.2966487759039822E-3</v>
      </c>
      <c r="CB79" s="19">
        <f>IF(Y79=0,Basicinfo!BP79,Basicinfo!BP79-(AU79*X79/Y79*Intermediate!BQ79*86400*365/1000000)*1000/(X79*100))</f>
        <v>42.502164027152169</v>
      </c>
      <c r="CC79" s="19">
        <f>IF(Y79=0,Basicinfo!BQ79,Basicinfo!BQ79-(AU79*Basicinfo!AV79/Basicinfo!AU79*X79/Y79*Intermediate!BR79*86400*365/1000000)*1000/(X79*100))</f>
        <v>55.473412400326822</v>
      </c>
      <c r="CD79" s="19">
        <f>IF(OR(Y79=0,AA79=0),BP79/100,BP79/100-(AU79*Basicinfo!AV79/Basicinfo!AU79*(Basicinfo!P79+W79)/Y79*Intermediate!BT79*86400*365/1000000+AW79*Basicinfo!AV79/Basicinfo!AU79*Intermediate!BT79*86400*365/1000000)*1000/(AA79*100))</f>
        <v>14.291247911889798</v>
      </c>
      <c r="CE79" s="19">
        <f t="shared" si="60"/>
        <v>85308.391306962469</v>
      </c>
      <c r="CF79" s="19">
        <f t="shared" si="61"/>
        <v>438172.03987652145</v>
      </c>
      <c r="CG79" s="19">
        <f>IF(AY79=0,0,((CB79^Parameters!$C$58))/AY79*100)</f>
        <v>5.4011988484729194</v>
      </c>
      <c r="CH79" s="19">
        <f>IF(SUM(Basicinfo!AB79:AG79)=0,0,(Parameters!$C$59*Basicinfo!AB79+Parameters!$C$60*SUM(Basicinfo!AC79:AE79)+Parameters!$C$61*Basicinfo!AF79+Parameters!$C$62*Basicinfo!AG79)/SUM(Basicinfo!AB79:AG79))</f>
        <v>7.0112291133221705E-2</v>
      </c>
      <c r="CI79" s="19">
        <f t="shared" si="88"/>
        <v>3</v>
      </c>
      <c r="CJ79" s="19">
        <f t="shared" si="62"/>
        <v>16.258170467941298</v>
      </c>
      <c r="CK79" s="19">
        <f t="shared" si="76"/>
        <v>1.7090935059155052</v>
      </c>
      <c r="CL79" s="19">
        <f>IF($BB79=0,0,$CJ79^Parameters!$C$58*100/$BB79)</f>
        <v>1.1248770934131083</v>
      </c>
      <c r="CM79" s="19">
        <f>IF(CK79=0,0,(1/(1+Parameters!$C$116*BB79^Parameters!$C$120)*Basicinfo!AH79/Basicinfo!G79+1/(1+Parameters!$C$117*BB79^Parameters!$C$121)*Basicinfo!AI79/Basicinfo!G79)*(CK79)^Parameters!$C$124+(1/(1+Parameters!$C$118*BB79^Parameters!$C$122)*Basicinfo!AJ79/Basicinfo!G79+1/(1+Parameters!$C$119*BB79^Parameters!$C$123)*Basicinfo!AK79/Basicinfo!G79)*(CK79)^Parameters!$C$125)</f>
        <v>0.88254458570962835</v>
      </c>
      <c r="CN79" s="19">
        <f>IF(SUM(Basicinfo!AB79:AG79)=0,0,(Parameters!$C$128*Basicinfo!AB79+Parameters!$C$129*(SUM(Basicinfo!AC79:AE79))+Parameters!$C$130*Basicinfo!AF79+Parameters!$C$131*Basicinfo!AG79)/SUM(Basicinfo!AB79:AG79))</f>
        <v>1.705166515562578E-2</v>
      </c>
      <c r="CO79" s="19">
        <f>IF(Basicinfo!AH79+Basicinfo!AI79+Basicinfo!AJ79+Basicinfo!AK79=0,0,(Parameters!$C$132*(Basicinfo!AH79+Basicinfo!AI79)+Parameters!$C$133*Basicinfo!AJ79+Parameters!$C$134*Basicinfo!AK79)/(Basicinfo!AH79+Basicinfo!AI79+Basicinfo!AJ79+Basicinfo!AK79))</f>
        <v>4.999999999999999E-4</v>
      </c>
      <c r="CP79" s="19">
        <f>IF(Basicinfo!AJ79+Basicinfo!AK79=0,0,(Parameters!$C$133*Basicinfo!AJ79+Parameters!$C$134*Basicinfo!AK79)/(Basicinfo!AJ79+Basicinfo!AK79))</f>
        <v>5.0000000000000001E-4</v>
      </c>
      <c r="CQ79" s="19">
        <f>IF(Z79=0,0,(CN79*(Z79-AA79)+CO79*Basicinfo!P79+CP79*(Basicinfo!Q79+Basicinfo!R79))/Z79)</f>
        <v>1.2876129953716569E-3</v>
      </c>
      <c r="CR79" s="19">
        <f>IF(CK79=0,0,IF(AND((Basicinfo!AI79+Basicinfo!AK79)&gt;0,(CM79/CK79)&lt;Parameters!$C$135),CQ79*Parameters!$C$136,CQ79))</f>
        <v>1.2876129953716569E-3</v>
      </c>
      <c r="CS79" s="19">
        <f>IF(SUM(Basicinfo!AB79:AG79)=0,0,(Basicinfo!AB79*Parameters!$C$43+(Basicinfo!AC79+Basicinfo!AD79)*Parameters!$C$44+Basicinfo!AE79*Parameters!$C$45+(Basicinfo!AF79+Basicinfo!AG79)*Parameters!$C$46)/SUM(Basicinfo!AB79:AG79))</f>
        <v>25.881178157230565</v>
      </c>
      <c r="CT79" s="19">
        <f>(Parameters!$C$41*CS79+Parameters!$C$42)</f>
        <v>538.98801720375172</v>
      </c>
      <c r="CU79" s="19">
        <f>CT79+Basicinfo!BR79/(Parameters!$C$47*Parameters!$C$49*Parameters!$C$48*10000/1000000)</f>
        <v>669.47350481598323</v>
      </c>
      <c r="CV79" s="19">
        <f>IF(BK79/Basicinfo!G79&lt;Parameters!$C$35,Parameters!$C$35,Parameters!$C$37*(BK79/Basicinfo!G79)^Parameters!$C$38)</f>
        <v>2.4906787059974129</v>
      </c>
      <c r="CW79" s="19">
        <f>IF(BK79/Basicinfo!G79&lt;Parameters!$C$35,Parameters!$C$36,Parameters!$C$36*(BK79/Basicinfo!G79)^Parameters!$C$38)</f>
        <v>5.8530949590939212</v>
      </c>
      <c r="CX79" s="27">
        <f>IF(Basicinfo!AJ79+Basicinfo!AK79=0,0,(Parameters!$C$53*Basicinfo!AJ79+Parameters!$C$54*Basicinfo!AK79)/(Basicinfo!AJ79+Basicinfo!AK79))</f>
        <v>540</v>
      </c>
      <c r="CY79" s="56">
        <f>IF(Basicinfo!AU79*AB79=0,0,((Basicinfo!AZ79+Basicinfo!BA79)/Basicinfo!AU79+Parameters!$C$76/(Basicinfo!AU79*AB79)*100))</f>
        <v>1.5363158676504596</v>
      </c>
      <c r="CZ79" s="43">
        <f>IF(Basicinfo!AU79*AB79=0,0,(Parameters!$C$77)/(Basicinfo!AU79*AB79)*100)</f>
        <v>0.45973300839644371</v>
      </c>
      <c r="DA79" s="43">
        <f>IF(AD79+AJ79=0,0,((J79*Parameters!$C$96+Parameters!$C$94/100*S79*100*Parameters!$C$93/1000*86400*Parameters!$C$95/24*Parameters!$C$98)*AI79+AD79*CY79*86400*365)/((AD79+AJ79*AI79/365)*86400*365))</f>
        <v>13.625339667577242</v>
      </c>
      <c r="DB79" s="43">
        <f>IF(AD79+AJ79=0,0,((J79*Parameters!$C$97+Parameters!$C$94/100*S79*100*Parameters!$C$93/1000*86400*Parameters!$C$95/24*Parameters!$C$99)*AI79+AD79*CZ79*86400*365)/((AD79+AJ79*AI79/365)*86400*365))</f>
        <v>2.3983208520639074</v>
      </c>
      <c r="DC79" s="42">
        <f>IF(AE79+AL79=0,0,((K79*Parameters!$C$96+Parameters!$C$94/100*T79*100*Parameters!$C$93/1000*86400*Parameters!$C$95/24*Parameters!$C$98)*365+AE79*CY79*86400*365)/((AE79+AL79)*86400*365))</f>
        <v>0</v>
      </c>
      <c r="DD79" s="42">
        <f>IF(AE79+AL79=0,0,((K79*Parameters!$C$97+Parameters!$C$94/100*T79*100*Parameters!$C$93/1000*86400*Parameters!$C$95/24*Parameters!$C$99)*365+AE79*CZ79*86400*365)/((AE79+AL79)*86400*365))</f>
        <v>0</v>
      </c>
      <c r="DE79" s="42">
        <f>IF(Basicinfo!AH79+Basicinfo!AI79+Basicinfo!AJ79+Basicinfo!AK79=0,0,((Basicinfo!AH79+Basicinfo!AI79)*Parameters!$C$107+(Basicinfo!AJ79+Basicinfo!AK79)*Parameters!$C$106)/(Basicinfo!AH79+Basicinfo!AI79+Basicinfo!AJ79+Basicinfo!AK79))</f>
        <v>50.056311859411181</v>
      </c>
      <c r="DF79" s="42">
        <f>IF(Basicinfo!AH79+Basicinfo!AI79+Basicinfo!AJ79+Basicinfo!AK79=0,0,((Basicinfo!AH79+Basicinfo!AI79)*Parameters!$C$109+(Basicinfo!AJ79+Basicinfo!AK79)*Parameters!$C$108)/(Basicinfo!AH79+Basicinfo!AI79+Basicinfo!AJ79+Basicinfo!AK79))</f>
        <v>50.056311859411181</v>
      </c>
      <c r="DG79" s="42">
        <f>Intermediate!AC79*Intermediate!CY79*(1-Parameters!$C$102/100*Basicinfo!BZ79/100)*(1-Parameters!$C$104/100*Basicinfo!CA79/100)*86400*365/1000000</f>
        <v>8.0101646303678581E-2</v>
      </c>
      <c r="DH79" s="42">
        <f>Intermediate!AC79*Intermediate!CZ79*(1-Parameters!$C$103/100*Basicinfo!BZ79/100)*(1-Parameters!$C$105/100*Basicinfo!CA79/100)*86400*365/1000000</f>
        <v>2.396992155592087E-2</v>
      </c>
      <c r="DI79" s="42">
        <f>(Intermediate!AK79*Intermediate!DA79+(Intermediate!AE79+Intermediate!AL79)*Intermediate!DC79)*86400*365/1000000</f>
        <v>1.2291451922499679</v>
      </c>
      <c r="DJ79" s="42">
        <f>(Intermediate!AK79*Intermediate!DB79+(Intermediate!AE79+Intermediate!AL79)*Intermediate!DD79)*86400*365/1000000</f>
        <v>0.21635310507538852</v>
      </c>
      <c r="DK79" s="42">
        <f>((Basicinfo!AZ79+Basicinfo!BA79)*Intermediate!AB79+Parameters!$C$76*100)/1000*Intermediate!U79*(1-Intermediate!DE79/100)+(1-Parameters!$C$110/100)*M79*Parameters!$C$100*(1-DE79/100)*365/1000000+(1-Parameters!$C$112/100)*P79*Parameters!$C$96*365/1000000+(1-Parameters!$C$112/100)*O79*Parameters!$C$96*(1-DE79/100)*365/1000000</f>
        <v>0.33049132305545292</v>
      </c>
      <c r="DL79" s="42">
        <f>Parameters!$C$77*100/1000*Intermediate!U79*(1-Intermediate!DF79/100)+(1-Parameters!$C$111/100)*M79*Parameters!$C$101*(1-DF79/100)*365/1000000+(1-Parameters!$C$113/100)*P79*Parameters!$C$97*365/1000000+(1-Parameters!$C$113/100)*O79*Parameters!$C$97*(1-DF79/100)*365/1000000</f>
        <v>5.6290783077152177E-2</v>
      </c>
      <c r="DM79" s="31"/>
      <c r="DN79" s="31"/>
      <c r="DO79" s="31"/>
      <c r="DP79" s="31"/>
      <c r="DQ79" s="31"/>
      <c r="DR79" s="31"/>
      <c r="DS79" s="31"/>
      <c r="DT79" s="188">
        <f>BO79*(Basicinfo!$P79+Basicinfo!$Q79)/1000</f>
        <v>390.73737363370486</v>
      </c>
      <c r="DU79" s="188">
        <f>DT79*Basicinfo!$AZ79/(Basicinfo!$AZ79+Basicinfo!$BA79)</f>
        <v>197.46909915001382</v>
      </c>
      <c r="DV79" s="188">
        <f>DT79*Basicinfo!$BC79/(Basicinfo!$BB79+Basicinfo!$BC79)</f>
        <v>186.93231609190073</v>
      </c>
      <c r="DW79" s="188">
        <f>BP79*(Basicinfo!$P79+Basicinfo!$Q79)/1000</f>
        <v>522.40389642670232</v>
      </c>
      <c r="DX79" s="188">
        <f>DW79*Basicinfo!$BB79/(Basicinfo!$BB79+Basicinfo!$BC79)</f>
        <v>272.48111738375775</v>
      </c>
      <c r="DY79" s="188">
        <f>DW79*Basicinfo!$BC79/(Basicinfo!$BB79+Basicinfo!$BC79)</f>
        <v>249.92277904294454</v>
      </c>
      <c r="DZ79" s="188">
        <f t="shared" si="63"/>
        <v>19.719170619720881</v>
      </c>
      <c r="EA79" s="188">
        <f>DZ79*Basicinfo!$AZ79/(Basicinfo!$AZ79+Basicinfo!$BA79)</f>
        <v>9.9655858922572573</v>
      </c>
      <c r="EB79" s="188">
        <f>DZ79*Basicinfo!$BC79/(Basicinfo!$BB79+Basicinfo!$BC79)</f>
        <v>9.433830711088703</v>
      </c>
      <c r="EC79" s="188">
        <f t="shared" si="64"/>
        <v>26.363926926790768</v>
      </c>
      <c r="ED79" s="188">
        <f>EC79*Basicinfo!$AZ79/(Basicinfo!$AZ79+Basicinfo!$BA79)</f>
        <v>13.3236829942215</v>
      </c>
      <c r="EE79" s="188">
        <f>EC79*Basicinfo!$BC79/(Basicinfo!$BB79+Basicinfo!$BC79)</f>
        <v>12.612742609880495</v>
      </c>
      <c r="EF79" s="190">
        <f>(Basicinfo!BP79-BL79/100)*Intermediate!X79/10</f>
        <v>46.811677243112527</v>
      </c>
      <c r="EG79" s="191">
        <f>(Basicinfo!BQ79-BM79/100)*Intermediate!X79/10</f>
        <v>59.926796533278505</v>
      </c>
      <c r="EH79" s="197">
        <f>IF(AU79=0,0,$BS79*((Basicinfo!$P79+Basicinfo!$Q79)*Intermediate!$AT79*1000+$AW79*3600*24*365)/1000000*Basicinfo!AZ79/(Basicinfo!$AZ79+Basicinfo!$BA79))</f>
        <v>37.241225770541767</v>
      </c>
      <c r="EI79" s="197">
        <f>IF(AU79=0,0,$BS79*((Basicinfo!$P79+Basicinfo!$Q79)*Intermediate!$AT79*1000+$AW79*3600*24*365)/1000000*Basicinfo!BA79/(Basicinfo!$AZ79+Basicinfo!$BA79))</f>
        <v>36.448981006705885</v>
      </c>
      <c r="EJ79" s="198">
        <f>IF(AU79=0,0,$BS79*($AT79*$X79*1000)/1000000*Basicinfo!AZ79/(Basicinfo!$AZ79+Basicinfo!$BA79))</f>
        <v>1.7623942579107257</v>
      </c>
      <c r="EK79" s="198">
        <f>IF(AU79=0,0,$BS79*($AT79*$X79*1000)/1000000*Basicinfo!BA79/(Basicinfo!$AZ79+Basicinfo!$BA79))</f>
        <v>1.7249022690259599</v>
      </c>
      <c r="EL79" s="147">
        <f>Parameters!$C$150/Basicinfo!$AV79*100</f>
        <v>6.2148927421601691E-2</v>
      </c>
      <c r="EM79" s="147">
        <f>Parameters!$C$151/Basicinfo!$AV79*100</f>
        <v>0.12429785484320338</v>
      </c>
      <c r="EN79" s="147">
        <f>(Parameters!$C$150+Parameters!$C$151)/Intermediate!$BB79*100</f>
        <v>0.3153663893398555</v>
      </c>
      <c r="EO79" s="193">
        <f>IF(EN79=0,0,(1/(1+Parameters!$C$116*$BB79^Parameters!$C$120)*Basicinfo!$AH79/Basicinfo!$G79+1/(1+Parameters!$C$117*$BB79^Parameters!$C$121)*Basicinfo!$AI79/Basicinfo!$G79)*(EN79)^Parameters!$C$124+(1/(1+Parameters!$C$118*$BB79^Parameters!$C$122)*Basicinfo!$AJ79/Basicinfo!AW79+1/(1+Parameters!$C$119*$BB79^Parameters!$C$123)*Basicinfo!$AK79/Basicinfo!$G79)*(EN79)^Parameters!$C$125)</f>
        <v>5.9769878313502701E-2</v>
      </c>
      <c r="EP79" s="199">
        <f>EL79*($AT79*Basicinfo!$P79*1000+$AW79*3600*24*365)/1000000</f>
        <v>5.9773365981308242</v>
      </c>
      <c r="EQ79" s="199">
        <f>EM79*($AT79*Basicinfo!$P79*1000+$AW79*3600*24*365)/1000000</f>
        <v>11.954673196261648</v>
      </c>
      <c r="ER79" s="199">
        <f t="shared" si="65"/>
        <v>0.30696461515398926</v>
      </c>
      <c r="ES79" s="199">
        <f t="shared" si="66"/>
        <v>0.61392923030797852</v>
      </c>
      <c r="ET79" s="181">
        <f t="shared" si="77"/>
        <v>18.306992310860501</v>
      </c>
      <c r="EU79" s="147">
        <f>Intermediate!F79*(Parameters!$C$150)/1000*100</f>
        <v>0.21300479861375041</v>
      </c>
      <c r="EV79" s="147">
        <f>Intermediate!F79*(Parameters!$C$151)/1000*100</f>
        <v>0.42600959722750081</v>
      </c>
      <c r="EW79" s="181">
        <f>'Local emissions'!$S79*Basicinfo!AZ79/(Basicinfo!$AZ79+Basicinfo!$BA79)-Intermediate!EU79</f>
        <v>1.1673329140125903</v>
      </c>
      <c r="EX79" s="147">
        <f>'Local emissions'!$S79*Basicinfo!BA79/(Basicinfo!$AZ79+Basicinfo!$BA79)-Intermediate!EV79</f>
        <v>0.92496374023322869</v>
      </c>
      <c r="EY79" s="188">
        <f t="shared" si="78"/>
        <v>31.263889172410941</v>
      </c>
      <c r="EZ79" s="188">
        <f t="shared" si="79"/>
        <v>24.494307810444237</v>
      </c>
      <c r="FA79" s="188">
        <f t="shared" si="80"/>
        <v>1.4554296427567364</v>
      </c>
      <c r="FB79" s="181">
        <f t="shared" si="81"/>
        <v>1.1109730387179813</v>
      </c>
      <c r="FC79" s="181">
        <f>'Local emissions'!Y79-Intermediate!ET79</f>
        <v>252.28083530906446</v>
      </c>
      <c r="FD79" s="188">
        <f t="shared" si="82"/>
        <v>112.93308935818898</v>
      </c>
      <c r="FE79" s="188">
        <f t="shared" si="83"/>
        <v>103.58351363684697</v>
      </c>
      <c r="FF79" s="181">
        <f t="shared" si="84"/>
        <v>2.7610806514115751</v>
      </c>
      <c r="FG79" s="201">
        <f t="shared" si="85"/>
        <v>2.6137517379000186</v>
      </c>
      <c r="FH79" s="181">
        <f t="shared" si="86"/>
        <v>30.389399924716926</v>
      </c>
      <c r="FJ79" s="147">
        <f>AVERAGE(Parameters!$C$132:$C$134)*'Local emissions'!J79*3600*24*365/1000000</f>
        <v>0.1531456381326172</v>
      </c>
      <c r="FK79" s="147">
        <f>'Local emissions'!AJ79+CT79*BJ79/100*Intermediate!X79*100/1000000</f>
        <v>1.6457912971242263</v>
      </c>
      <c r="FL79" s="31">
        <f>(Parameters!$C$18*(Basicinfo!AH79+Basicinfo!AI79)+Parameters!$C$19*Basicinfo!AJ79+Parameters!$C$20*Basicinfo!AK79)/Basicinfo!G79</f>
        <v>1.5471611822568615E-3</v>
      </c>
      <c r="FM79" s="181">
        <f t="shared" si="87"/>
        <v>0.17113539907479416</v>
      </c>
    </row>
    <row r="80" spans="1:169">
      <c r="A80" s="39" t="str">
        <f>Basicinfo!A80</f>
        <v>Salza</v>
      </c>
      <c r="B80" s="63">
        <f>Basicinfo!B80</f>
        <v>1510</v>
      </c>
      <c r="C80" s="63">
        <f>Basicinfo!C80</f>
        <v>4070</v>
      </c>
      <c r="D80" s="61">
        <f>Basicinfo!U80*Basicinfo!V80/1000+Basicinfo!Y80</f>
        <v>1.6865799931445855</v>
      </c>
      <c r="E80" s="19">
        <f>Basicinfo!W80*Basicinfo!X80/1000+Basicinfo!Z80</f>
        <v>0.22933758192322559</v>
      </c>
      <c r="F80" s="19">
        <f t="shared" si="71"/>
        <v>1.915917575067811</v>
      </c>
      <c r="G80" s="19">
        <f>SUM(Basicinfo!H80:L80)</f>
        <v>4.1850900149574197E-2</v>
      </c>
      <c r="H80" s="19">
        <f>IF(Basicinfo!N80&lt;Parameters!$C$68,Parameters!$C$69,Basicinfo!BS80/(Basicinfo!N80*100))</f>
        <v>11.858244892496787</v>
      </c>
      <c r="I80" s="19">
        <f>IF(Basicinfo!N80=0,0,Basicinfo!BU80*(1-Basicinfo!BX80/100))</f>
        <v>1707.4751662932356</v>
      </c>
      <c r="J80" s="19">
        <f>IF(Basicinfo!N80=0,0,Basicinfo!BU80*Basicinfo!BX80/100)</f>
        <v>1576.1309227322176</v>
      </c>
      <c r="K80" s="19">
        <f>IF(Basicinfo!N80=0,0,Basicinfo!BT80-Basicinfo!BU80)</f>
        <v>0</v>
      </c>
      <c r="L80" s="27">
        <f>Basicinfo!BV80*Basicinfo!BW80/100</f>
        <v>328.55999999999995</v>
      </c>
      <c r="M80" s="27">
        <f>Basicinfo!BV80-Intermediate!L80</f>
        <v>328.55999999999995</v>
      </c>
      <c r="N80" s="73">
        <f>Basicinfo!BS80-SUM(I80:K80)-Basicinfo!BV80</f>
        <v>0</v>
      </c>
      <c r="O80" s="19">
        <f>IF(Basicinfo!AH80+Basicinfo!AI80+Basicinfo!AJ80+Basicinfo!AK80=0,0,N80*(Basicinfo!AH80+Basicinfo!AI80)/SUM(Basicinfo!AH80:AK80))</f>
        <v>0</v>
      </c>
      <c r="P80" s="73">
        <f t="shared" si="67"/>
        <v>0</v>
      </c>
      <c r="Q80" s="19">
        <f>IF(Basicinfo!BS80=0,Basicinfo!N80,IF(H80&gt;Parameters!$C$70,Parameters!$C$64*(Parameters!$C$65*Parameters!$C$70)^(Parameters!$C$66-Parameters!$C$67*LOG(Parameters!$C$65*Parameters!$C$70,10))/100*Basicinfo!N80,Parameters!$C$64*(Parameters!$C$65*H80)^(Parameters!$C$66-Parameters!$C$67*LOG(Parameters!$C$65*H80,10))/100*Basicinfo!N80))</f>
        <v>0.75160014313096879</v>
      </c>
      <c r="R80" s="19">
        <f>IF(Basicinfo!BS80=0,Q80*(1-Basicinfo!BX80/100),IF(H80&lt;Parameters!$C$75,Q80*Basicinfo!BU80/Basicinfo!BS80*(1-Basicinfo!BX80/100)*(-Parameters!$C$74+Parameters!$C$73*LN(H80*100)),Q80*Basicinfo!BU80/Basicinfo!BS80*(1-Basicinfo!BX80/100)))</f>
        <v>0.16829291100226174</v>
      </c>
      <c r="S80" s="19">
        <f>IF(Basicinfo!BS80=0,Q80*Basicinfo!BX80/100,Q80*Basicinfo!BU80/Basicinfo!BS80*Basicinfo!BX80/100)</f>
        <v>0.30060963394987922</v>
      </c>
      <c r="T80" s="19">
        <f>IF(Basicinfo!BS80=0,0,IF(H80&lt;Parameters!$C$75,Q80*K80/Basicinfo!BS80*(-Parameters!$C$74+Parameters!$C$73*LN(H80*100)),Q80*K80/Basicinfo!BS80))</f>
        <v>0</v>
      </c>
      <c r="U80" s="19">
        <f t="shared" si="68"/>
        <v>0.28269759817882784</v>
      </c>
      <c r="V80" s="19">
        <f>IF(Basicinfo!AL80&gt;Parameters!$C$14,Basicinfo!Q80,0)</f>
        <v>9.6182853356193103</v>
      </c>
      <c r="W80" s="19">
        <f>IF(Basicinfo!AL80&gt;Parameters!$C$14,0,Basicinfo!Q80)</f>
        <v>0</v>
      </c>
      <c r="X80" s="19">
        <f>G80+Basicinfo!M80</f>
        <v>22.516493989031879</v>
      </c>
      <c r="Y80" s="19">
        <f>IF(Basicinfo!G80-F80-Q80-V80-Basicinfo!O80-Basicinfo!R80-Basicinfo!S80&lt;0,0,Basicinfo!G80-F80-Q80-V80-Basicinfo!O80-Basicinfo!R80-Basicinfo!S80)</f>
        <v>309.3533610383011</v>
      </c>
      <c r="Z80" s="19">
        <f>Basicinfo!G80-F80-Basicinfo!BO80-Q80-Basicinfo!O80</f>
        <v>319.0596051878012</v>
      </c>
      <c r="AA80" s="53">
        <f>IF(Z80+Basicinfo!BO80-X80&gt;0,Z80+Basicinfo!BO80-X80,0)</f>
        <v>296.54311119876934</v>
      </c>
      <c r="AB80" s="56">
        <f>IF(Basicinfo!N80=0,0,Parameters!$C$71+Parameters!$C$72*Q80/Basicinfo!N80)</f>
        <v>0.31962594628126217</v>
      </c>
      <c r="AC80" s="43">
        <f>Basicinfo!AU80*AB80*R80/1000/86.4/0.365</f>
        <v>2.8942378569258203E-3</v>
      </c>
      <c r="AD80" s="43">
        <f>Basicinfo!AU80*AB80*S80/1000/86.4/0.365</f>
        <v>5.1697708332031954E-3</v>
      </c>
      <c r="AE80" s="43">
        <f>Basicinfo!AU80*AB80*T80/1000/86.4/0.365</f>
        <v>0</v>
      </c>
      <c r="AF80" s="43">
        <f>Basicinfo!AU80*AB80*U80/1000/86.4/0.365</f>
        <v>4.8617264140149753E-3</v>
      </c>
      <c r="AG80" s="43">
        <f>((Parameters!$C$80+Parameters!$C$81*Parameters!$C$89)/(Parameters!$C$82+Parameters!$C$89)/(Parameters!$C$90/100*Parameters!$C$91+(Parameters!$C$83+Parameters!$C$84*Parameters!$C$89)/(Parameters!$C$85+Parameters!$C$89)))-Parameters!$C$86+(Basicinfo!AU80-Parameters!$C$88)/Parameters!$C$87</f>
        <v>93.808892860719368</v>
      </c>
      <c r="AH80" s="43">
        <f>((Parameters!$C$80+Parameters!$C$81*Parameters!$C$89)/(Parameters!$C$82+Parameters!$C$89)/(Basicinfo!BY80/100*Parameters!$C$91+(Parameters!$C$83+Parameters!$C$84*Parameters!$C$89)/(Parameters!$C$85+Parameters!$C$89)))-Parameters!$C$86+(Basicinfo!AU80-Parameters!$C$88)/Parameters!$C$87</f>
        <v>76.006010994103789</v>
      </c>
      <c r="AI80" s="43">
        <f>Basicinfo!AU80^Parameters!$C$79*Parameters!$C$78*AH80/AG80</f>
        <v>115.31017181385349</v>
      </c>
      <c r="AJ80" s="43">
        <f>(J80*Parameters!$C$92/1000+Parameters!$C$94/100*S80*100*Parameters!$C$93/1000*86400*Parameters!$C$95/24)/86400</f>
        <v>2.3815136076500458E-3</v>
      </c>
      <c r="AK80" s="43">
        <f t="shared" si="72"/>
        <v>4.5011782093473387E-3</v>
      </c>
      <c r="AL80" s="43">
        <f>(K80*Parameters!$C$92/1000+Parameters!$C$94/100*T80*100*Parameters!$C$93/1000*86400*Parameters!$C$95/24)/86400</f>
        <v>0</v>
      </c>
      <c r="AM80" s="43">
        <f>(Intermediate!N80+Basicinfo!BV80-Intermediate!L80)*Parameters!$C$92/1000/86400</f>
        <v>4.94361111111111E-4</v>
      </c>
      <c r="AN80" s="43">
        <f t="shared" si="73"/>
        <v>6.8235744447802124E-3</v>
      </c>
      <c r="AO80" s="43">
        <f t="shared" si="69"/>
        <v>4.5011782093473387E-3</v>
      </c>
      <c r="AP80" s="43">
        <f t="shared" si="70"/>
        <v>5.3560875251260865E-3</v>
      </c>
      <c r="AQ80" s="43">
        <f t="shared" si="58"/>
        <v>1.2751503591399246E-2</v>
      </c>
      <c r="AR80" s="61">
        <f>(Basicinfo!AU80-Basicinfo!AY80)*F80/1000/86.4/0.365</f>
        <v>6.5422403031976495E-2</v>
      </c>
      <c r="AS80" s="19">
        <f>IF(Basicinfo!AP80-Basicinfo!CB80-Basicinfo!CG80&lt;0,0,(Basicinfo!AP80-Basicinfo!CB80-Basicinfo!CG80)/Basicinfo!G80*1000)</f>
        <v>28.089223009835234</v>
      </c>
      <c r="AT80" s="19">
        <f>Parameters!$C$3*((AS80*86.4*0.365)^Parameters!$C$4)</f>
        <v>200.49237697529884</v>
      </c>
      <c r="AU80" s="19">
        <f>IF(AT80/86.4/0.365*(Basicinfo!G80/1000)-AN80&lt;0,0,AT80/86.4/0.365*(Basicinfo!G80/1000)-AN80)</f>
        <v>2.0385796348667382</v>
      </c>
      <c r="AV80" s="19">
        <f>IF(Basicinfo!AU80&gt;Parameters!$C$13,Parameters!$C$11*(Basicinfo!AU80-Parameters!$C$13)^Parameters!$C$12,0)</f>
        <v>236.41769944873047</v>
      </c>
      <c r="AW80" s="19">
        <f>IF(AV80*V80/1000/86.4/0.365&gt;Basicinfo!AP80*Parameters!$C$15,Basicinfo!AP80*Parameters!$C$15,AV80*V80/1000/86.4/0.365)</f>
        <v>7.210593898048509E-2</v>
      </c>
      <c r="AX80" s="19">
        <f>Basicinfo!AU80-Basicinfo!AW80</f>
        <v>659.36836682642843</v>
      </c>
      <c r="AY80" s="19">
        <f>Parameters!$C$56*AX80+Parameters!$C$57*Basicinfo!AW80</f>
        <v>433.42825389605707</v>
      </c>
      <c r="AZ80" s="19">
        <f>AY80*Basicinfo!BO80/1000/86.4/0.365</f>
        <v>0</v>
      </c>
      <c r="BA80" s="19">
        <f>IF(Basicinfo!AP80-AQ80-AR80-AU80-AW80-AZ80-Basicinfo!CB80-Basicinfo!CG80&lt;0,0,Basicinfo!AP80-AQ80-AR80-AU80-AW80-AZ80-Basicinfo!CB80-Basicinfo!CG80)</f>
        <v>6.8482054231487046</v>
      </c>
      <c r="BB80" s="53">
        <f t="shared" si="59"/>
        <v>676.87981403129595</v>
      </c>
      <c r="BC80" s="56">
        <f>IF(G80=0,0,((Basicinfo!H80*Basicinfo!BE80+Basicinfo!I80*Basicinfo!BF80+Basicinfo!J80*Basicinfo!BG80+Basicinfo!K80*Basicinfo!BH80+Basicinfo!L80*Basicinfo!BI80)*(1-Basicinfo!BN80/G80*Parameters!$C$26/100)/G80)*Basicinfo!BM80)</f>
        <v>15.977766269265842</v>
      </c>
      <c r="BD80" s="43">
        <f>IF(Basicinfo!AW80*Parameters!$C$39-Parameters!$C$40&lt;0,0.001,(Basicinfo!AW80*Parameters!$C$39-Parameters!$C$40)/(Basicinfo!AX80*Parameters!$C$39-Parameters!$C$40))</f>
        <v>1.2084970763514613</v>
      </c>
      <c r="BE80" s="43">
        <f>(BC80*G80*100+Basicinfo!BJ80*Basicinfo!M80*100)*Parameters!$C$29*BD80</f>
        <v>774.50435680232852</v>
      </c>
      <c r="BF80" s="43">
        <f>(Basicinfo!BK80*Basicinfo!P80*100)*BD80*Parameters!$C$29</f>
        <v>3281.8809765102937</v>
      </c>
      <c r="BG80" s="43">
        <f>Parameters!$C$27*(V80+W80)*100</f>
        <v>192.36570671238621</v>
      </c>
      <c r="BH80" s="43">
        <f>Parameters!$C$28*Basicinfo!R80*100</f>
        <v>0</v>
      </c>
      <c r="BI80" s="43">
        <f t="shared" si="74"/>
        <v>3474.2466832226801</v>
      </c>
      <c r="BJ80" s="43">
        <f>IF(Basicinfo!AM80&lt;Parameters!$C$33,0,Parameters!$C$30*(((Basicinfo!AM80-Parameters!$C$33)^Parameters!$C$31)*(((G80-Basicinfo!BN80)/Basicinfo!G80*100+Parameters!$C$34))^Parameters!$C$32))</f>
        <v>1.2743621728717951</v>
      </c>
      <c r="BK80" s="58">
        <f t="shared" si="75"/>
        <v>3484.1166737730127</v>
      </c>
      <c r="BL80" s="61">
        <f>Basicinfo!AZ80+Basicinfo!BA80</f>
        <v>1465.7140669713763</v>
      </c>
      <c r="BM80" s="19">
        <f>Basicinfo!BB80+Basicinfo!BC80</f>
        <v>1981.4591059543936</v>
      </c>
      <c r="BN80" s="172">
        <f>IF(Basicinfo!AO80=0,0,IF(Basicinfo!AO80="NA",1,IF(OR(Basicinfo!AO80="SA",Basicinfo!AN80="S"),3,IF(Basicinfo!AN80="N",1,IF(Basicinfo!AO80="ZA",2,0)))))</f>
        <v>1</v>
      </c>
      <c r="BO80" s="27">
        <f>IF($BN80=1,(BL80)*(1+Parameters!$C$21*Parameters!$C$22-Parameters!$C$22*Basicinfo!$AL80),IF($BN80=2,(BL80)*(1+Parameters!$C$21*Parameters!$C$23-Parameters!$C$23*Basicinfo!$AL80),IF($BN80=3,(BL80)*(1+Parameters!$C$21*Parameters!$C$24-Parameters!$C$24*Basicinfo!$AL80),BL80)))</f>
        <v>1287.4912978550253</v>
      </c>
      <c r="BP80" s="27">
        <f>IF($BN80=1,(BM80)*(1+Parameters!$C$21*Parameters!$C$22-Parameters!$C$22*Basicinfo!$AL80),IF($BN80=2,(BM80)*(1+Parameters!$C$21*Parameters!$C$23-Parameters!$C$23*Basicinfo!$AL80),IF($BN80=3,(BM80)*(1+Parameters!$C$21*Parameters!$C$24-Parameters!$C$24*Basicinfo!$AL80),BM80)))</f>
        <v>1740.5245766954222</v>
      </c>
      <c r="BQ80" s="27">
        <f>IF(Basicinfo!AU80=0,0,IF(G80+Basicinfo!M80=0,0,(Parameters!$C$16+BO80/Basicinfo!AU80)*G80+(Parameters!$C$17+BO80/Basicinfo!AU80)*Basicinfo!M80)/(G80+Basicinfo!M80))</f>
        <v>0.75932965329900715</v>
      </c>
      <c r="BR80" s="27">
        <f>IF(Basicinfo!AU80=0,0,IF(G80+Basicinfo!M80=0,0,(Parameters!$C$16+BP80/Basicinfo!AU80)*G80+(Parameters!$C$17+BP80/Basicinfo!AU80)*Basicinfo!M80)/(G80+Basicinfo!M80))</f>
        <v>1.0263209644655396</v>
      </c>
      <c r="BS80" s="27">
        <f>IF(Basicinfo!AU80=0,0,BO80/Basicinfo!AU80)</f>
        <v>0.75877205005709092</v>
      </c>
      <c r="BT80" s="27">
        <f>IF(Basicinfo!AU80=0,0,BP80/Basicinfo!AU80)</f>
        <v>1.0257633612236232</v>
      </c>
      <c r="BU80" s="27">
        <f>IF(SUM(G80,Basicinfo!M80,Basicinfo!P80,W80)=0,0,(BQ80*(G80+Basicinfo!M80)+BS80*(Basicinfo!P80+W80))/SUM(G80,Basicinfo!M80,Basicinfo!P80,W80))</f>
        <v>0.75881297579463969</v>
      </c>
      <c r="BV80" s="19">
        <f>IF(Basicinfo!BR80/Parameters!$C$10&gt;1,1,Basicinfo!BR80/Parameters!$C$10)</f>
        <v>0.71525281798886453</v>
      </c>
      <c r="BW80" s="19">
        <f>Parameters!$C$5+Parameters!$C$6*EXP(BV80*Parameters!$C$8*Parameters!$C$7)</f>
        <v>4.831318250901219E-2</v>
      </c>
      <c r="BX80" s="19">
        <f>Parameters!$C$5+Parameters!$C$6*EXP(BV80*Parameters!$C$9*Parameters!$C$7)</f>
        <v>3.9393441420104564E-2</v>
      </c>
      <c r="BY80" s="19">
        <f>IF(Basicinfo!AH80+Basicinfo!AI80+Basicinfo!AJ80+Basicinfo!AK80=0,0,(Parameters!$C$18*(Basicinfo!AH80+Basicinfo!AI80)+Parameters!$C$19*Basicinfo!AJ80+Parameters!$C$20*Basicinfo!AK80)/(Basicinfo!AH80+Basicinfo!AI80+Basicinfo!AJ80+Basicinfo!AK80))</f>
        <v>1.5E-3</v>
      </c>
      <c r="BZ80" s="19">
        <f>IF(Basicinfo!AJ80+Basicinfo!AK80=0,Parameters!$C$18,(Parameters!$C$19*Basicinfo!AJ80+Parameters!$C$20*Basicinfo!AK80)/(Basicinfo!AJ80+Basicinfo!AK80))</f>
        <v>1.5E-3</v>
      </c>
      <c r="CA80" s="19">
        <f>IF(SUM(G80,Basicinfo!M80,Basicinfo!P80,W80)=0,0,(BW80*G80+BX80*Basicinfo!M80+BY80*Basicinfo!P80+BZ80*W80)/(SUM(G80,Basicinfo!M80,Basicinfo!P80,W80)))</f>
        <v>4.2824363747402663E-3</v>
      </c>
      <c r="CB80" s="19">
        <f>IF(Y80=0,Basicinfo!BP80,Basicinfo!BP80-(AU80*X80/Y80*Intermediate!BQ80*86400*365/1000000)*1000/(X80*100))</f>
        <v>25.388114474707304</v>
      </c>
      <c r="CC80" s="19">
        <f>IF(Y80=0,Basicinfo!BQ80,Basicinfo!BQ80-(AU80*Basicinfo!AV80/Basicinfo!AU80*X80/Y80*Intermediate!BR80*86400*365/1000000)*1000/(X80*100))</f>
        <v>61.866496648043395</v>
      </c>
      <c r="CD80" s="19">
        <f>IF(OR(Y80=0,AA80=0),BP80/100,BP80/100-(AU80*Basicinfo!AV80/Basicinfo!AU80*(Basicinfo!P80+W80)/Y80*Intermediate!BT80*86400*365/1000000+AW80*Basicinfo!AV80/Basicinfo!AU80*Intermediate!BT80*86400*365/1000000)*1000/(AA80*100))</f>
        <v>15.460247301213903</v>
      </c>
      <c r="CE80" s="19">
        <f t="shared" si="60"/>
        <v>139301.65998981288</v>
      </c>
      <c r="CF80" s="19">
        <f t="shared" si="61"/>
        <v>458462.98346043477</v>
      </c>
      <c r="CG80" s="19">
        <f>IF(AY80=0,0,((CB80^Parameters!$C$58))/AY80*100)</f>
        <v>3.6059413807510854</v>
      </c>
      <c r="CH80" s="19">
        <f>IF(SUM(Basicinfo!AB80:AG80)=0,0,(Parameters!$C$59*Basicinfo!AB80+Parameters!$C$60*SUM(Basicinfo!AC80:AE80)+Parameters!$C$61*Basicinfo!AF80+Parameters!$C$62*Basicinfo!AG80)/SUM(Basicinfo!AB80:AG80))</f>
        <v>8.2360370872001751E-2</v>
      </c>
      <c r="CI80" s="19">
        <f t="shared" si="88"/>
        <v>4</v>
      </c>
      <c r="CJ80" s="19">
        <f t="shared" si="62"/>
        <v>18.735202881555569</v>
      </c>
      <c r="CK80" s="19">
        <f t="shared" si="76"/>
        <v>2.7678773237414545</v>
      </c>
      <c r="CL80" s="19">
        <f>IF($BB80=0,0,$CJ80^Parameters!$C$58*100/$BB80)</f>
        <v>1.783397188324271</v>
      </c>
      <c r="CM80" s="19">
        <f>IF(CK80=0,0,(1/(1+Parameters!$C$116*BB80^Parameters!$C$120)*Basicinfo!AH80/Basicinfo!G80+1/(1+Parameters!$C$117*BB80^Parameters!$C$121)*Basicinfo!AI80/Basicinfo!G80)*(CK80)^Parameters!$C$124+(1/(1+Parameters!$C$118*BB80^Parameters!$C$122)*Basicinfo!AJ80/Basicinfo!G80+1/(1+Parameters!$C$119*BB80^Parameters!$C$123)*Basicinfo!AK80/Basicinfo!G80)*(CK80)^Parameters!$C$125)</f>
        <v>1.1938876146115653</v>
      </c>
      <c r="CN80" s="19">
        <f>IF(SUM(Basicinfo!AB80:AG80)=0,0,(Parameters!$C$128*Basicinfo!AB80+Parameters!$C$129*(SUM(Basicinfo!AC80:AE80))+Parameters!$C$130*Basicinfo!AF80+Parameters!$C$131*Basicinfo!AG80)/SUM(Basicinfo!AB80:AG80))</f>
        <v>3.3750580832159316E-2</v>
      </c>
      <c r="CO80" s="19">
        <f>IF(Basicinfo!AH80+Basicinfo!AI80+Basicinfo!AJ80+Basicinfo!AK80=0,0,(Parameters!$C$132*(Basicinfo!AH80+Basicinfo!AI80)+Parameters!$C$133*Basicinfo!AJ80+Parameters!$C$134*Basicinfo!AK80)/(Basicinfo!AH80+Basicinfo!AI80+Basicinfo!AJ80+Basicinfo!AK80))</f>
        <v>5.0000000000000001E-4</v>
      </c>
      <c r="CP80" s="19">
        <f>IF(Basicinfo!AJ80+Basicinfo!AK80=0,0,(Parameters!$C$133*Basicinfo!AJ80+Parameters!$C$134*Basicinfo!AK80)/(Basicinfo!AJ80+Basicinfo!AK80))</f>
        <v>5.0000000000000001E-4</v>
      </c>
      <c r="CQ80" s="19">
        <f>IF(Z80=0,0,(CN80*(Z80-AA80)+CO80*Basicinfo!P80+CP80*(Basicinfo!Q80+Basicinfo!R80))/Z80)</f>
        <v>2.8423733823403768E-3</v>
      </c>
      <c r="CR80" s="19">
        <f>IF(CK80=0,0,IF(AND((Basicinfo!AI80+Basicinfo!AK80)&gt;0,(CM80/CK80)&lt;Parameters!$C$135),CQ80*Parameters!$C$136,CQ80))</f>
        <v>2.8423733823403768E-3</v>
      </c>
      <c r="CS80" s="19">
        <f>IF(SUM(Basicinfo!AB80:AG80)=0,0,(Basicinfo!AB80*Parameters!$C$43+(Basicinfo!AC80+Basicinfo!AD80)*Parameters!$C$44+Basicinfo!AE80*Parameters!$C$45+(Basicinfo!AF80+Basicinfo!AG80)*Parameters!$C$46)/SUM(Basicinfo!AB80:AG80))</f>
        <v>26.303465723238347</v>
      </c>
      <c r="CT80" s="19">
        <f>(Parameters!$C$41*CS80+Parameters!$C$42)</f>
        <v>543.29535037703113</v>
      </c>
      <c r="CU80" s="19">
        <f>CT80+Basicinfo!BR80/(Parameters!$C$47*Parameters!$C$49*Parameters!$C$48*10000/1000000)</f>
        <v>795.20829256178843</v>
      </c>
      <c r="CV80" s="19">
        <f>IF(BK80/Basicinfo!G80&lt;Parameters!$C$35,Parameters!$C$35,Parameters!$C$37*(BK80/Basicinfo!G80)^Parameters!$C$38)</f>
        <v>2.500001595969652</v>
      </c>
      <c r="CW80" s="19">
        <f>IF(BK80/Basicinfo!G80&lt;Parameters!$C$35,Parameters!$C$36,Parameters!$C$36*(BK80/Basicinfo!G80)^Parameters!$C$38)</f>
        <v>5.8750037505286823</v>
      </c>
      <c r="CX80" s="27">
        <f>IF(Basicinfo!AJ80+Basicinfo!AK80=0,0,(Parameters!$C$53*Basicinfo!AJ80+Parameters!$C$54*Basicinfo!AK80)/(Basicinfo!AJ80+Basicinfo!AK80))</f>
        <v>540</v>
      </c>
      <c r="CY80" s="56">
        <f>IF(Basicinfo!AU80*AB80=0,0,((Basicinfo!AZ80+Basicinfo!BA80)/Basicinfo!AU80+Parameters!$C$76/(Basicinfo!AU80*AB80)*100))</f>
        <v>1.6013451187058059</v>
      </c>
      <c r="CZ80" s="43">
        <f>IF(Basicinfo!AU80*AB80=0,0,(Parameters!$C$77)/(Basicinfo!AU80*AB80)*100)</f>
        <v>0.46096187183214488</v>
      </c>
      <c r="DA80" s="43">
        <f>IF(AD80+AJ80=0,0,((J80*Parameters!$C$96+Parameters!$C$94/100*S80*100*Parameters!$C$93/1000*86400*Parameters!$C$95/24*Parameters!$C$98)*AI80+AD80*CY80*86400*365)/((AD80+AJ80*AI80/365)*86400*365))</f>
        <v>13.076647270172229</v>
      </c>
      <c r="DB80" s="43">
        <f>IF(AD80+AJ80=0,0,((J80*Parameters!$C$97+Parameters!$C$94/100*S80*100*Parameters!$C$93/1000*86400*Parameters!$C$95/24*Parameters!$C$99)*AI80+AD80*CZ80*86400*365)/((AD80+AJ80*AI80/365)*86400*365))</f>
        <v>2.3023046336477759</v>
      </c>
      <c r="DC80" s="42">
        <f>IF(AE80+AL80=0,0,((K80*Parameters!$C$96+Parameters!$C$94/100*T80*100*Parameters!$C$93/1000*86400*Parameters!$C$95/24*Parameters!$C$98)*365+AE80*CY80*86400*365)/((AE80+AL80)*86400*365))</f>
        <v>0</v>
      </c>
      <c r="DD80" s="42">
        <f>IF(AE80+AL80=0,0,((K80*Parameters!$C$97+Parameters!$C$94/100*T80*100*Parameters!$C$93/1000*86400*Parameters!$C$95/24*Parameters!$C$99)*365+AE80*CZ80*86400*365)/((AE80+AL80)*86400*365))</f>
        <v>0</v>
      </c>
      <c r="DE80" s="42">
        <f>IF(Basicinfo!AH80+Basicinfo!AI80+Basicinfo!AJ80+Basicinfo!AK80=0,0,((Basicinfo!AH80+Basicinfo!AI80)*Parameters!$C$107+(Basicinfo!AJ80+Basicinfo!AK80)*Parameters!$C$106)/(Basicinfo!AH80+Basicinfo!AI80+Basicinfo!AJ80+Basicinfo!AK80))</f>
        <v>50</v>
      </c>
      <c r="DF80" s="42">
        <f>IF(Basicinfo!AH80+Basicinfo!AI80+Basicinfo!AJ80+Basicinfo!AK80=0,0,((Basicinfo!AH80+Basicinfo!AI80)*Parameters!$C$109+(Basicinfo!AJ80+Basicinfo!AK80)*Parameters!$C$108)/(Basicinfo!AH80+Basicinfo!AI80+Basicinfo!AJ80+Basicinfo!AK80))</f>
        <v>50</v>
      </c>
      <c r="DG80" s="42">
        <f>Intermediate!AC80*Intermediate!CY80*(1-Parameters!$C$102/100*Basicinfo!BZ80/100)*(1-Parameters!$C$104/100*Basicinfo!CA80/100)*86400*365/1000000</f>
        <v>0.14615906868561823</v>
      </c>
      <c r="DH80" s="42">
        <f>Intermediate!AC80*Intermediate!CZ80*(1-Parameters!$C$103/100*Basicinfo!BZ80/100)*(1-Parameters!$C$105/100*Basicinfo!CA80/100)*86400*365/1000000</f>
        <v>4.2073227750565427E-2</v>
      </c>
      <c r="DI80" s="42">
        <f>(Intermediate!AK80*Intermediate!DA80+(Intermediate!AE80+Intermediate!AL80)*Intermediate!DC80)*86400*365/1000000</f>
        <v>1.8562190434411263</v>
      </c>
      <c r="DJ80" s="42">
        <f>(Intermediate!AK80*Intermediate!DB80+(Intermediate!AE80+Intermediate!AL80)*Intermediate!DD80)*86400*365/1000000</f>
        <v>0.32681019962416263</v>
      </c>
      <c r="DK80" s="42">
        <f>((Basicinfo!AZ80+Basicinfo!BA80)*Intermediate!AB80+Parameters!$C$76*100)/1000*Intermediate!U80*(1-Intermediate!DE80/100)+(1-Parameters!$C$110/100)*M80*Parameters!$C$100*(1-DE80/100)*365/1000000+(1-Parameters!$C$112/100)*P80*Parameters!$C$96*365/1000000+(1-Parameters!$C$112/100)*O80*Parameters!$C$96*(1-DE80/100)*365/1000000</f>
        <v>0.60845245975317197</v>
      </c>
      <c r="DL80" s="42">
        <f>Parameters!$C$77*100/1000*Intermediate!U80*(1-Intermediate!DF80/100)+(1-Parameters!$C$111/100)*M80*Parameters!$C$101*(1-DF80/100)*365/1000000+(1-Parameters!$C$113/100)*P80*Parameters!$C$97*365/1000000+(1-Parameters!$C$113/100)*O80*Parameters!$C$97*(1-DF80/100)*365/1000000</f>
        <v>0.10020815077965842</v>
      </c>
      <c r="DM80" s="31"/>
      <c r="DN80" s="31"/>
      <c r="DO80" s="31"/>
      <c r="DP80" s="31"/>
      <c r="DQ80" s="31"/>
      <c r="DR80" s="31"/>
      <c r="DS80" s="31"/>
      <c r="DT80" s="188">
        <f>BO80*(Basicinfo!$P80+Basicinfo!$Q80)/1000</f>
        <v>378.3725228180578</v>
      </c>
      <c r="DU80" s="188">
        <f>DT80*Basicinfo!$AZ80/(Basicinfo!$AZ80+Basicinfo!$BA80)</f>
        <v>196.28142262309447</v>
      </c>
      <c r="DV80" s="188">
        <f>DT80*Basicinfo!$BC80/(Basicinfo!$BB80+Basicinfo!$BC80)</f>
        <v>176.71803964132991</v>
      </c>
      <c r="DW80" s="188">
        <f>BP80*(Basicinfo!$P80+Basicinfo!$Q80)/1000</f>
        <v>511.51155445342295</v>
      </c>
      <c r="DX80" s="188">
        <f>DW80*Basicinfo!$BB80/(Basicinfo!$BB80+Basicinfo!$BC80)</f>
        <v>272.61122817268949</v>
      </c>
      <c r="DY80" s="188">
        <f>DW80*Basicinfo!$BC80/(Basicinfo!$BB80+Basicinfo!$BC80)</f>
        <v>238.90032628073348</v>
      </c>
      <c r="DZ80" s="188">
        <f t="shared" si="63"/>
        <v>28.989790069083529</v>
      </c>
      <c r="EA80" s="188">
        <f>DZ80*Basicinfo!$AZ80/(Basicinfo!$AZ80+Basicinfo!$BA80)</f>
        <v>15.038505422976259</v>
      </c>
      <c r="EB80" s="188">
        <f>DZ80*Basicinfo!$BC80/(Basicinfo!$BB80+Basicinfo!$BC80)</f>
        <v>13.539616546325069</v>
      </c>
      <c r="EC80" s="188">
        <f t="shared" si="64"/>
        <v>39.190511168924729</v>
      </c>
      <c r="ED80" s="188">
        <f>EC80*Basicinfo!$AZ80/(Basicinfo!$AZ80+Basicinfo!$BA80)</f>
        <v>20.330147729204242</v>
      </c>
      <c r="EE80" s="188">
        <f>EC80*Basicinfo!$BC80/(Basicinfo!$BB80+Basicinfo!$BC80)</f>
        <v>18.303840497541266</v>
      </c>
      <c r="EF80" s="190">
        <f>(Basicinfo!BP80-BL80/100)*Intermediate!X80/10</f>
        <v>27.71551646525436</v>
      </c>
      <c r="EG80" s="191">
        <f>(Basicinfo!BQ80-BM80/100)*Intermediate!X80/10</f>
        <v>99.087810867151831</v>
      </c>
      <c r="EH80" s="197">
        <f>IF(AU80=0,0,$BS80*((Basicinfo!$P80+Basicinfo!$Q80)*Intermediate!$AT80*1000+$AW80*3600*24*365)/1000000*Basicinfo!AZ80/(Basicinfo!$AZ80+Basicinfo!$BA80))</f>
        <v>24.087366745896084</v>
      </c>
      <c r="EI80" s="197">
        <f>IF(AU80=0,0,$BS80*((Basicinfo!$P80+Basicinfo!$Q80)*Intermediate!$AT80*1000+$AW80*3600*24*365)/1000000*Basicinfo!BA80/(Basicinfo!$AZ80+Basicinfo!$BA80))</f>
        <v>22.345951302697177</v>
      </c>
      <c r="EJ80" s="198">
        <f>IF(AU80=0,0,$BS80*($AT80*$X80*1000)/1000000*Basicinfo!AZ80/(Basicinfo!$AZ80+Basicinfo!$BA80))</f>
        <v>1.7769269087345647</v>
      </c>
      <c r="EK80" s="198">
        <f>IF(AU80=0,0,$BS80*($AT80*$X80*1000)/1000000*Basicinfo!BA80/(Basicinfo!$AZ80+Basicinfo!$BA80))</f>
        <v>1.6484625567383768</v>
      </c>
      <c r="EL80" s="147">
        <f>Parameters!$C$150/Basicinfo!$AV80*100</f>
        <v>6.4300397632427592E-2</v>
      </c>
      <c r="EM80" s="147">
        <f>Parameters!$C$151/Basicinfo!$AV80*100</f>
        <v>0.12860079526485518</v>
      </c>
      <c r="EN80" s="147">
        <f>(Parameters!$C$150+Parameters!$C$151)/Intermediate!$BB80*100</f>
        <v>0.4432101442252927</v>
      </c>
      <c r="EO80" s="193">
        <f>IF(EN80=0,0,(1/(1+Parameters!$C$116*$BB80^Parameters!$C$120)*Basicinfo!$AH80/Basicinfo!$G80+1/(1+Parameters!$C$117*$BB80^Parameters!$C$121)*Basicinfo!$AI80/Basicinfo!$G80)*(EN80)^Parameters!$C$124+(1/(1+Parameters!$C$118*$BB80^Parameters!$C$122)*Basicinfo!$AJ80/Basicinfo!AW80+1/(1+Parameters!$C$119*$BB80^Parameters!$C$123)*Basicinfo!$AK80/Basicinfo!$G80)*(EN80)^Parameters!$C$125)</f>
        <v>7.8033531951510124E-2</v>
      </c>
      <c r="EP80" s="199">
        <f>EL80*($AT80*Basicinfo!$P80*1000+$AW80*3600*24*365)/1000000</f>
        <v>3.8108886438680956</v>
      </c>
      <c r="EQ80" s="199">
        <f>EM80*($AT80*Basicinfo!$P80*1000+$AW80*3600*24*365)/1000000</f>
        <v>7.6217772877361911</v>
      </c>
      <c r="ER80" s="199">
        <f t="shared" si="65"/>
        <v>0.29027677635103533</v>
      </c>
      <c r="ES80" s="199">
        <f t="shared" si="66"/>
        <v>0.58055355270207065</v>
      </c>
      <c r="ET80" s="181">
        <f t="shared" si="77"/>
        <v>16.852512213621168</v>
      </c>
      <c r="EU80" s="147">
        <f>Intermediate!F80*(Parameters!$C$150)/1000*100</f>
        <v>0.19159175750678109</v>
      </c>
      <c r="EV80" s="147">
        <f>Intermediate!F80*(Parameters!$C$151)/1000*100</f>
        <v>0.38318351501356218</v>
      </c>
      <c r="EW80" s="181">
        <f>'Local emissions'!$S80*Basicinfo!AZ80/(Basicinfo!$AZ80+Basicinfo!$BA80)-Intermediate!EU80</f>
        <v>1.0880273899798489</v>
      </c>
      <c r="EX80" s="147">
        <f>'Local emissions'!$S80*Basicinfo!BA80/(Basicinfo!$AZ80+Basicinfo!$BA80)-Intermediate!EV80</f>
        <v>0.803924542807117</v>
      </c>
      <c r="EY80" s="188">
        <f t="shared" si="78"/>
        <v>20.276478102027987</v>
      </c>
      <c r="EZ80" s="188">
        <f t="shared" si="79"/>
        <v>14.724174014960987</v>
      </c>
      <c r="FA80" s="188">
        <f t="shared" si="80"/>
        <v>1.4866501323835295</v>
      </c>
      <c r="FB80" s="181">
        <f t="shared" si="81"/>
        <v>1.0679090040363062</v>
      </c>
      <c r="FC80" s="181">
        <f>'Local emissions'!Y80-Intermediate!ET80</f>
        <v>241.28312163513075</v>
      </c>
      <c r="FD80" s="188">
        <f t="shared" si="82"/>
        <v>101.22732056345967</v>
      </c>
      <c r="FE80" s="188">
        <f t="shared" si="83"/>
        <v>88.709625327008538</v>
      </c>
      <c r="FF80" s="181">
        <f t="shared" si="84"/>
        <v>3.7745444218882303</v>
      </c>
      <c r="FG80" s="201">
        <f t="shared" si="85"/>
        <v>3.3983353180400386</v>
      </c>
      <c r="FH80" s="181">
        <f t="shared" si="86"/>
        <v>44.173296004734276</v>
      </c>
      <c r="FJ80" s="147">
        <f>AVERAGE(Parameters!$C$132:$C$134)*'Local emissions'!J80*3600*24*365/1000000</f>
        <v>0.10798250311220876</v>
      </c>
      <c r="FK80" s="147">
        <f>'Local emissions'!AJ80+CT80*BJ80/100*Intermediate!X80*100/1000000</f>
        <v>1.5963133292232061</v>
      </c>
      <c r="FL80" s="31">
        <f>(Parameters!$C$18*(Basicinfo!AH80+Basicinfo!AI80)+Parameters!$C$19*Basicinfo!AJ80+Parameters!$C$20*Basicinfo!AK80)/Basicinfo!G80</f>
        <v>1.5E-3</v>
      </c>
      <c r="FM80" s="181">
        <f t="shared" si="87"/>
        <v>9.9843870385269054E-2</v>
      </c>
    </row>
    <row r="81" spans="1:169">
      <c r="A81" s="39" t="str">
        <f>Basicinfo!A81</f>
        <v>Traun</v>
      </c>
      <c r="B81" s="63">
        <f>Basicinfo!B81</f>
        <v>4000</v>
      </c>
      <c r="C81" s="63">
        <f>Basicinfo!C81</f>
        <v>4010</v>
      </c>
      <c r="D81" s="61">
        <f>Basicinfo!U81*Basicinfo!V81/1000+Basicinfo!Y81</f>
        <v>8.480245594686961</v>
      </c>
      <c r="E81" s="19">
        <f>Basicinfo!W81*Basicinfo!X81/1000+Basicinfo!Z81</f>
        <v>0</v>
      </c>
      <c r="F81" s="19">
        <f t="shared" si="71"/>
        <v>8.480245594686961</v>
      </c>
      <c r="G81" s="19">
        <f>SUM(Basicinfo!H81:L81)</f>
        <v>3.7384563361086524E-2</v>
      </c>
      <c r="H81" s="19">
        <f>IF(Basicinfo!N81&lt;Parameters!$C$68,Parameters!$C$69,Basicinfo!BS81/(Basicinfo!N81*100))</f>
        <v>19.474105047432428</v>
      </c>
      <c r="I81" s="19">
        <f>IF(Basicinfo!N81=0,0,Basicinfo!BU81*(1-Basicinfo!BX81/100))</f>
        <v>3745.107097666812</v>
      </c>
      <c r="J81" s="19">
        <f>IF(Basicinfo!N81=0,0,Basicinfo!BU81*Basicinfo!BX81/100)</f>
        <v>3745.107097666812</v>
      </c>
      <c r="K81" s="19">
        <f>IF(Basicinfo!N81=0,0,Basicinfo!BT81-Basicinfo!BU81)</f>
        <v>0</v>
      </c>
      <c r="L81" s="27">
        <f>Basicinfo!BV81*Basicinfo!BW81/100</f>
        <v>325.75999999999988</v>
      </c>
      <c r="M81" s="27">
        <f>Basicinfo!BV81-Intermediate!L81</f>
        <v>325.75999999999988</v>
      </c>
      <c r="N81" s="73">
        <f>Basicinfo!BS81-SUM(I81:K81)-Basicinfo!BV81</f>
        <v>0</v>
      </c>
      <c r="O81" s="19">
        <f>IF(Basicinfo!AH81+Basicinfo!AI81+Basicinfo!AJ81+Basicinfo!AK81=0,0,N81*(Basicinfo!AH81+Basicinfo!AI81)/SUM(Basicinfo!AH81:AK81))</f>
        <v>0</v>
      </c>
      <c r="P81" s="73">
        <f t="shared" si="67"/>
        <v>0</v>
      </c>
      <c r="Q81" s="19">
        <f>IF(Basicinfo!BS81=0,Basicinfo!N81,IF(H81&gt;Parameters!$C$70,Parameters!$C$64*(Parameters!$C$65*Parameters!$C$70)^(Parameters!$C$66-Parameters!$C$67*LOG(Parameters!$C$65*Parameters!$C$70,10))/100*Basicinfo!N81,Parameters!$C$64*(Parameters!$C$65*H81)^(Parameters!$C$66-Parameters!$C$67*LOG(Parameters!$C$65*H81,10))/100*Basicinfo!N81))</f>
        <v>1.2185563412202214</v>
      </c>
      <c r="R81" s="19">
        <f>IF(Basicinfo!BS81=0,Q81*(1-Basicinfo!BX81/100),IF(H81&lt;Parameters!$C$75,Q81*Basicinfo!BU81/Basicinfo!BS81*(1-Basicinfo!BX81/100)*(-Parameters!$C$74+Parameters!$C$73*LN(H81*100)),Q81*Basicinfo!BU81/Basicinfo!BS81*(1-Basicinfo!BX81/100)))</f>
        <v>0.32442023565150546</v>
      </c>
      <c r="S81" s="19">
        <f>IF(Basicinfo!BS81=0,Q81*Basicinfo!BX81/100,Q81*Basicinfo!BU81/Basicinfo!BS81*Basicinfo!BX81/100)</f>
        <v>0.56052235223134173</v>
      </c>
      <c r="T81" s="19">
        <f>IF(Basicinfo!BS81=0,0,IF(H81&lt;Parameters!$C$75,Q81*K81/Basicinfo!BS81*(-Parameters!$C$74+Parameters!$C$73*LN(H81*100)),Q81*K81/Basicinfo!BS81))</f>
        <v>0</v>
      </c>
      <c r="U81" s="19">
        <f t="shared" si="68"/>
        <v>0.3336137533373742</v>
      </c>
      <c r="V81" s="19">
        <f>IF(Basicinfo!AL81&gt;Parameters!$C$14,Basicinfo!Q81,0)</f>
        <v>60.210776166321097</v>
      </c>
      <c r="W81" s="19">
        <f>IF(Basicinfo!AL81&gt;Parameters!$C$14,0,Basicinfo!Q81)</f>
        <v>0</v>
      </c>
      <c r="X81" s="19">
        <f>G81+Basicinfo!M81</f>
        <v>37.663976323766072</v>
      </c>
      <c r="Y81" s="19">
        <f>IF(Basicinfo!G81-F81-Q81-V81-Basicinfo!O81-Basicinfo!R81-Basicinfo!S81&lt;0,0,Basicinfo!G81-F81-Q81-V81-Basicinfo!O81-Basicinfo!R81-Basicinfo!S81)</f>
        <v>247.49593508324173</v>
      </c>
      <c r="Z81" s="19">
        <f>Basicinfo!G81-F81-Basicinfo!BO81-Q81-Basicinfo!O81</f>
        <v>307.19337251597676</v>
      </c>
      <c r="AA81" s="53">
        <f>IF(Z81+Basicinfo!BO81-X81&gt;0,Z81+Basicinfo!BO81-X81,0)</f>
        <v>270.07593418832676</v>
      </c>
      <c r="AB81" s="56">
        <f>IF(Basicinfo!N81=0,0,Parameters!$C$71+Parameters!$C$72*Q81/Basicinfo!N81)</f>
        <v>0.36859864519470265</v>
      </c>
      <c r="AC81" s="43">
        <f>Basicinfo!AU81*AB81*R81/1000/86.4/0.365</f>
        <v>6.6976103522789366E-3</v>
      </c>
      <c r="AD81" s="43">
        <f>Basicinfo!AU81*AB81*S81/1000/86.4/0.365</f>
        <v>1.1571905499202955E-2</v>
      </c>
      <c r="AE81" s="43">
        <f>Basicinfo!AU81*AB81*T81/1000/86.4/0.365</f>
        <v>0</v>
      </c>
      <c r="AF81" s="43">
        <f>Basicinfo!AU81*AB81*U81/1000/86.4/0.365</f>
        <v>6.8874092379837036E-3</v>
      </c>
      <c r="AG81" s="43">
        <f>((Parameters!$C$80+Parameters!$C$81*Parameters!$C$89)/(Parameters!$C$82+Parameters!$C$89)/(Parameters!$C$90/100*Parameters!$C$91+(Parameters!$C$83+Parameters!$C$84*Parameters!$C$89)/(Parameters!$C$85+Parameters!$C$89)))-Parameters!$C$86+(Basicinfo!AU81-Parameters!$C$88)/Parameters!$C$87</f>
        <v>95.546201239326507</v>
      </c>
      <c r="AH81" s="43">
        <f>((Parameters!$C$80+Parameters!$C$81*Parameters!$C$89)/(Parameters!$C$82+Parameters!$C$89)/(Basicinfo!BY81/100*Parameters!$C$91+(Parameters!$C$83+Parameters!$C$84*Parameters!$C$89)/(Parameters!$C$85+Parameters!$C$89)))-Parameters!$C$86+(Basicinfo!AU81-Parameters!$C$88)/Parameters!$C$87</f>
        <v>77.743319372710943</v>
      </c>
      <c r="AI81" s="43">
        <f>Basicinfo!AU81^Parameters!$C$79*Parameters!$C$78*AH81/AG81</f>
        <v>128.02445561825326</v>
      </c>
      <c r="AJ81" s="43">
        <f>(J81*Parameters!$C$92/1000+Parameters!$C$94/100*S81*100*Parameters!$C$93/1000*86400*Parameters!$C$95/24)/86400</f>
        <v>5.6536831836934238E-3</v>
      </c>
      <c r="AK81" s="43">
        <f t="shared" si="72"/>
        <v>1.0538064808435913E-2</v>
      </c>
      <c r="AL81" s="43">
        <f>(K81*Parameters!$C$92/1000+Parameters!$C$94/100*T81*100*Parameters!$C$93/1000*86400*Parameters!$C$95/24)/86400</f>
        <v>0</v>
      </c>
      <c r="AM81" s="43">
        <f>(Intermediate!N81+Basicinfo!BV81-Intermediate!L81)*Parameters!$C$92/1000/86400</f>
        <v>4.9014814814814798E-4</v>
      </c>
      <c r="AN81" s="43">
        <f t="shared" si="73"/>
        <v>1.5693993802032589E-2</v>
      </c>
      <c r="AO81" s="43">
        <f t="shared" si="69"/>
        <v>1.0538064808435913E-2</v>
      </c>
      <c r="AP81" s="43">
        <f t="shared" si="70"/>
        <v>7.3775573861318521E-3</v>
      </c>
      <c r="AQ81" s="43">
        <f t="shared" si="58"/>
        <v>2.4613232546846702E-2</v>
      </c>
      <c r="AR81" s="61">
        <f>(Basicinfo!AU81-Basicinfo!AY81)*F81/1000/86.4/0.365</f>
        <v>0.31784277314272658</v>
      </c>
      <c r="AS81" s="19">
        <f>IF(Basicinfo!AP81-Basicinfo!CB81-Basicinfo!CG81&lt;0,0,(Basicinfo!AP81-Basicinfo!CB81-Basicinfo!CG81)/Basicinfo!G81*1000)</f>
        <v>62.643945422249494</v>
      </c>
      <c r="AT81" s="19">
        <f>Parameters!$C$3*((AS81*86.4*0.365)^Parameters!$C$4)</f>
        <v>544.70775912205181</v>
      </c>
      <c r="AU81" s="19">
        <f>IF(AT81/86.4/0.365*(Basicinfo!G81/1000)-AN81&lt;0,0,AT81/86.4/0.365*(Basicinfo!G81/1000)-AN81)</f>
        <v>5.4672883031328814</v>
      </c>
      <c r="AV81" s="19">
        <f>IF(Basicinfo!AU81&gt;Parameters!$C$13,Parameters!$C$11*(Basicinfo!AU81-Parameters!$C$13)^Parameters!$C$12,0)</f>
        <v>247.24502318861329</v>
      </c>
      <c r="AW81" s="19">
        <f>IF(AV81*V81/1000/86.4/0.365&gt;Basicinfo!AP81*Parameters!$C$15,Basicinfo!AP81*Parameters!$C$15,AV81*V81/1000/86.4/0.365)</f>
        <v>0.47205779900578593</v>
      </c>
      <c r="AX81" s="19">
        <f>Basicinfo!AU81-Basicinfo!AW81</f>
        <v>692.38439062614316</v>
      </c>
      <c r="AY81" s="19">
        <f>Parameters!$C$56*AX81+Parameters!$C$57*Basicinfo!AW81</f>
        <v>453.58389693037157</v>
      </c>
      <c r="AZ81" s="19">
        <f>AY81*Basicinfo!BO81/1000/86.4/0.365</f>
        <v>7.8608838818759966E-3</v>
      </c>
      <c r="BA81" s="19">
        <f>IF(Basicinfo!AP81-AQ81-AR81-AU81-AW81-AZ81-Basicinfo!CB81-Basicinfo!CG81&lt;0,0,Basicinfo!AP81-AQ81-AR81-AU81-AW81-AZ81-Basicinfo!CB81-Basicinfo!CG81)</f>
        <v>13.595950385791546</v>
      </c>
      <c r="BB81" s="53">
        <f t="shared" si="59"/>
        <v>1395.7393932514701</v>
      </c>
      <c r="BC81" s="56">
        <f>IF(G81=0,0,((Basicinfo!H81*Basicinfo!BE81+Basicinfo!I81*Basicinfo!BF81+Basicinfo!J81*Basicinfo!BG81+Basicinfo!K81*Basicinfo!BH81+Basicinfo!L81*Basicinfo!BI81)*(1-Basicinfo!BN81/G81*Parameters!$C$26/100)/G81)*Basicinfo!BM81)</f>
        <v>4.5862780446053613</v>
      </c>
      <c r="BD81" s="43">
        <f>IF(Basicinfo!AW81*Parameters!$C$39-Parameters!$C$40&lt;0,0.001,(Basicinfo!AW81*Parameters!$C$39-Parameters!$C$40)/(Basicinfo!AX81*Parameters!$C$39-Parameters!$C$40))</f>
        <v>1.0720509539668945</v>
      </c>
      <c r="BE81" s="43">
        <f>(BC81*G81*100+Basicinfo!BJ81*Basicinfo!M81*100)*Parameters!$C$29*BD81</f>
        <v>1087.343538109478</v>
      </c>
      <c r="BF81" s="43">
        <f>(Basicinfo!BK81*Basicinfo!P81*100)*BD81*Parameters!$C$29</f>
        <v>1345.0357874996307</v>
      </c>
      <c r="BG81" s="43">
        <f>Parameters!$C$27*(V81+W81)*100</f>
        <v>1204.215523326422</v>
      </c>
      <c r="BH81" s="43">
        <f>Parameters!$C$28*Basicinfo!R81*100</f>
        <v>0</v>
      </c>
      <c r="BI81" s="43">
        <f t="shared" si="74"/>
        <v>2549.2513108260528</v>
      </c>
      <c r="BJ81" s="43">
        <f>IF(Basicinfo!AM81&lt;Parameters!$C$33,0,Parameters!$C$30*(((Basicinfo!AM81-Parameters!$C$33)^Parameters!$C$31)*(((G81-Basicinfo!BN81)/Basicinfo!G81*100+Parameters!$C$34))^Parameters!$C$32))</f>
        <v>1.4003380301097621</v>
      </c>
      <c r="BK81" s="58">
        <f t="shared" si="75"/>
        <v>2564.4777959081407</v>
      </c>
      <c r="BL81" s="61">
        <f>Basicinfo!AZ81+Basicinfo!BA81</f>
        <v>1399.8213615828552</v>
      </c>
      <c r="BM81" s="19">
        <f>Basicinfo!BB81+Basicinfo!BC81</f>
        <v>1741.0921024432982</v>
      </c>
      <c r="BN81" s="172">
        <f>IF(Basicinfo!AO81=0,0,IF(Basicinfo!AO81="NA",1,IF(OR(Basicinfo!AO81="SA",Basicinfo!AN81="S"),3,IF(Basicinfo!AN81="N",1,IF(Basicinfo!AO81="ZA",2,0)))))</f>
        <v>1</v>
      </c>
      <c r="BO81" s="27">
        <f>IF($BN81=1,(BL81)*(1+Parameters!$C$21*Parameters!$C$22-Parameters!$C$22*Basicinfo!$AL81),IF($BN81=2,(BL81)*(1+Parameters!$C$21*Parameters!$C$23-Parameters!$C$23*Basicinfo!$AL81),IF($BN81=3,(BL81)*(1+Parameters!$C$21*Parameters!$C$24-Parameters!$C$24*Basicinfo!$AL81),BL81)))</f>
        <v>1159.9120802060895</v>
      </c>
      <c r="BP81" s="27">
        <f>IF($BN81=1,(BM81)*(1+Parameters!$C$21*Parameters!$C$22-Parameters!$C$22*Basicinfo!$AL81),IF($BN81=2,(BM81)*(1+Parameters!$C$21*Parameters!$C$23-Parameters!$C$23*Basicinfo!$AL81),IF($BN81=3,(BM81)*(1+Parameters!$C$21*Parameters!$C$24-Parameters!$C$24*Basicinfo!$AL81),BM81)))</f>
        <v>1442.6939163807476</v>
      </c>
      <c r="BQ81" s="27">
        <f>IF(Basicinfo!AU81=0,0,IF(G81+Basicinfo!M81=0,0,(Parameters!$C$16+BO81/Basicinfo!AU81)*G81+(Parameters!$C$17+BO81/Basicinfo!AU81)*Basicinfo!M81)/(G81+Basicinfo!M81))</f>
        <v>0.65698755327393765</v>
      </c>
      <c r="BR81" s="27">
        <f>IF(Basicinfo!AU81=0,0,IF(G81+Basicinfo!M81=0,0,(Parameters!$C$16+BP81/Basicinfo!AU81)*G81+(Parameters!$C$17+BP81/Basicinfo!AU81)*Basicinfo!M81)/(G81+Basicinfo!M81))</f>
        <v>0.81708584402212314</v>
      </c>
      <c r="BS81" s="27">
        <f>IF(Basicinfo!AU81=0,0,BO81/Basicinfo!AU81)</f>
        <v>0.65668977884587632</v>
      </c>
      <c r="BT81" s="27">
        <f>IF(Basicinfo!AU81=0,0,BP81/Basicinfo!AU81)</f>
        <v>0.81678806959406181</v>
      </c>
      <c r="BU81" s="27">
        <f>IF(SUM(G81,Basicinfo!M81,Basicinfo!P81,W81)=0,0,(BQ81*(G81+Basicinfo!M81)+BS81*(Basicinfo!P81+W81))/SUM(G81,Basicinfo!M81,Basicinfo!P81,W81))</f>
        <v>0.65673564315582644</v>
      </c>
      <c r="BV81" s="19">
        <f>IF(Basicinfo!BR81/Parameters!$C$10&gt;1,1,Basicinfo!BR81/Parameters!$C$10)</f>
        <v>0.34008504059955474</v>
      </c>
      <c r="BW81" s="19">
        <f>Parameters!$C$5+Parameters!$C$6*EXP(BV81*Parameters!$C$8*Parameters!$C$7)</f>
        <v>3.5071017014902117E-2</v>
      </c>
      <c r="BX81" s="19">
        <f>Parameters!$C$5+Parameters!$C$6*EXP(BV81*Parameters!$C$9*Parameters!$C$7)</f>
        <v>3.5041921033001064E-2</v>
      </c>
      <c r="BY81" s="19">
        <f>IF(Basicinfo!AH81+Basicinfo!AI81+Basicinfo!AJ81+Basicinfo!AK81=0,0,(Parameters!$C$18*(Basicinfo!AH81+Basicinfo!AI81)+Parameters!$C$19*Basicinfo!AJ81+Parameters!$C$20*Basicinfo!AK81)/(Basicinfo!AH81+Basicinfo!AI81+Basicinfo!AJ81+Basicinfo!AK81))</f>
        <v>1.0451688988936739E-2</v>
      </c>
      <c r="BZ81" s="19">
        <f>IF(Basicinfo!AJ81+Basicinfo!AK81=0,Parameters!$C$18,(Parameters!$C$19*Basicinfo!AJ81+Parameters!$C$20*Basicinfo!AK81)/(Basicinfo!AJ81+Basicinfo!AK81))</f>
        <v>3.2261726156321228E-3</v>
      </c>
      <c r="CA81" s="19">
        <f>IF(SUM(G81,Basicinfo!M81,Basicinfo!P81,W81)=0,0,(BW81*G81+BX81*Basicinfo!M81+BY81*Basicinfo!P81+BZ81*W81)/(SUM(G81,Basicinfo!M81,Basicinfo!P81,W81)))</f>
        <v>1.4239171198621343E-2</v>
      </c>
      <c r="CB81" s="19">
        <f>IF(Y81=0,Basicinfo!BP81,Basicinfo!BP81-(AU81*X81/Y81*Intermediate!BQ81*86400*365/1000000)*1000/(X81*100))</f>
        <v>39.22920739467331</v>
      </c>
      <c r="CC81" s="19">
        <f>IF(Y81=0,Basicinfo!BQ81,Basicinfo!BQ81-(AU81*Basicinfo!AV81/Basicinfo!AU81*X81/Y81*Intermediate!BR81*86400*365/1000000)*1000/(X81*100))</f>
        <v>51.463658208455342</v>
      </c>
      <c r="CD81" s="19">
        <f>IF(OR(Y81=0,AA81=0),BP81/100,BP81/100-(AU81*Basicinfo!AV81/Basicinfo!AU81*(Basicinfo!P81+W81)/Y81*Intermediate!BT81*86400*365/1000000+AW81*Basicinfo!AV81/Basicinfo!AU81*Intermediate!BT81*86400*365/1000000)*1000/(AA81*100))</f>
        <v>9.3323492794054044</v>
      </c>
      <c r="CE81" s="19">
        <f t="shared" si="60"/>
        <v>191019.91596676002</v>
      </c>
      <c r="CF81" s="19">
        <f t="shared" si="61"/>
        <v>252044.29498071727</v>
      </c>
      <c r="CG81" s="19">
        <f>IF(AY81=0,0,((CB81^Parameters!$C$58))/AY81*100)</f>
        <v>4.9878165923372144</v>
      </c>
      <c r="CH81" s="19">
        <f>IF(SUM(Basicinfo!AB81:AG81)=0,0,(Parameters!$C$59*Basicinfo!AB81+Parameters!$C$60*SUM(Basicinfo!AC81:AE81)+Parameters!$C$61*Basicinfo!AF81+Parameters!$C$62*Basicinfo!AG81)/SUM(Basicinfo!AB81:AG81))</f>
        <v>0.66952666430958518</v>
      </c>
      <c r="CI81" s="19">
        <f t="shared" si="88"/>
        <v>2</v>
      </c>
      <c r="CJ81" s="19">
        <f t="shared" si="62"/>
        <v>14.422974275736825</v>
      </c>
      <c r="CK81" s="19">
        <f t="shared" si="76"/>
        <v>1.0333572546188241</v>
      </c>
      <c r="CL81" s="19">
        <f>IF($BB81=0,0,$CJ81^Parameters!$C$58*100/$BB81)</f>
        <v>0.69245613667376438</v>
      </c>
      <c r="CM81" s="19">
        <f>IF(CK81=0,0,(1/(1+Parameters!$C$116*BB81^Parameters!$C$120)*Basicinfo!AH81/Basicinfo!G81+1/(1+Parameters!$C$117*BB81^Parameters!$C$121)*Basicinfo!AI81/Basicinfo!G81)*(CK81)^Parameters!$C$124+(1/(1+Parameters!$C$118*BB81^Parameters!$C$122)*Basicinfo!AJ81/Basicinfo!G81+1/(1+Parameters!$C$119*BB81^Parameters!$C$123)*Basicinfo!AK81/Basicinfo!G81)*(CK81)^Parameters!$C$125)</f>
        <v>0.69453461276869</v>
      </c>
      <c r="CN81" s="19">
        <f>IF(SUM(Basicinfo!AB81:AG81)=0,0,(Parameters!$C$128*Basicinfo!AB81+Parameters!$C$129*(SUM(Basicinfo!AC81:AE81))+Parameters!$C$130*Basicinfo!AF81+Parameters!$C$131*Basicinfo!AG81)/SUM(Basicinfo!AB81:AG81))</f>
        <v>0.11352541372181886</v>
      </c>
      <c r="CO81" s="19">
        <f>IF(Basicinfo!AH81+Basicinfo!AI81+Basicinfo!AJ81+Basicinfo!AK81=0,0,(Parameters!$C$132*(Basicinfo!AH81+Basicinfo!AI81)+Parameters!$C$133*Basicinfo!AJ81+Parameters!$C$134*Basicinfo!AK81)/(Basicinfo!AH81+Basicinfo!AI81+Basicinfo!AJ81+Basicinfo!AK81))</f>
        <v>4.999999999999999E-4</v>
      </c>
      <c r="CP81" s="19">
        <f>IF(Basicinfo!AJ81+Basicinfo!AK81=0,0,(Parameters!$C$133*Basicinfo!AJ81+Parameters!$C$134*Basicinfo!AK81)/(Basicinfo!AJ81+Basicinfo!AK81))</f>
        <v>5.0000000000000001E-4</v>
      </c>
      <c r="CQ81" s="19">
        <f>IF(Z81=0,0,(CN81*(Z81-AA81)+CO81*Basicinfo!P81+CP81*(Basicinfo!Q81+Basicinfo!R81))/Z81)</f>
        <v>1.4151714121880305E-2</v>
      </c>
      <c r="CR81" s="19">
        <f>IF(CK81=0,0,IF(AND((Basicinfo!AI81+Basicinfo!AK81)&gt;0,(CM81/CK81)&lt;Parameters!$C$135),CQ81*Parameters!$C$136,CQ81))</f>
        <v>1.4151714121880305E-2</v>
      </c>
      <c r="CS81" s="19">
        <f>IF(SUM(Basicinfo!AB81:AG81)=0,0,(Basicinfo!AB81*Parameters!$C$43+(Basicinfo!AC81+Basicinfo!AD81)*Parameters!$C$44+Basicinfo!AE81*Parameters!$C$45+(Basicinfo!AF81+Basicinfo!AG81)*Parameters!$C$46)/SUM(Basicinfo!AB81:AG81))</f>
        <v>26.669427020107072</v>
      </c>
      <c r="CT81" s="19">
        <f>(Parameters!$C$41*CS81+Parameters!$C$42)</f>
        <v>547.02815560509214</v>
      </c>
      <c r="CU81" s="19">
        <f>CT81+Basicinfo!BR81/(Parameters!$C$47*Parameters!$C$49*Parameters!$C$48*10000/1000000)</f>
        <v>666.80653468418063</v>
      </c>
      <c r="CV81" s="19">
        <f>IF(BK81/Basicinfo!G81&lt;Parameters!$C$35,Parameters!$C$35,Parameters!$C$37*(BK81/Basicinfo!G81)^Parameters!$C$38)</f>
        <v>2.8691634341033128</v>
      </c>
      <c r="CW81" s="19">
        <f>IF(BK81/Basicinfo!G81&lt;Parameters!$C$35,Parameters!$C$36,Parameters!$C$36*(BK81/Basicinfo!G81)^Parameters!$C$38)</f>
        <v>6.7425340701427858</v>
      </c>
      <c r="CX81" s="27">
        <f>IF(Basicinfo!AJ81+Basicinfo!AK81=0,0,(Parameters!$C$53*Basicinfo!AJ81+Parameters!$C$54*Basicinfo!AK81)/(Basicinfo!AJ81+Basicinfo!AK81))</f>
        <v>555.42537230990411</v>
      </c>
      <c r="CY81" s="56">
        <f>IF(Basicinfo!AU81*AB81=0,0,((Basicinfo!AZ81+Basicinfo!BA81)/Basicinfo!AU81+Parameters!$C$76/(Basicinfo!AU81*AB81)*100))</f>
        <v>1.4069017527107905</v>
      </c>
      <c r="CZ81" s="43">
        <f>IF(Basicinfo!AU81*AB81=0,0,(Parameters!$C$77)/(Basicinfo!AU81*AB81)*100)</f>
        <v>0.38399136582843901</v>
      </c>
      <c r="DA81" s="43">
        <f>IF(AD81+AJ81=0,0,((J81*Parameters!$C$96+Parameters!$C$94/100*S81*100*Parameters!$C$93/1000*86400*Parameters!$C$95/24*Parameters!$C$98)*AI81+AD81*CY81*86400*365)/((AD81+AJ81*AI81/365)*86400*365))</f>
        <v>14.661702235086256</v>
      </c>
      <c r="DB81" s="43">
        <f>IF(AD81+AJ81=0,0,((J81*Parameters!$C$97+Parameters!$C$94/100*S81*100*Parameters!$C$93/1000*86400*Parameters!$C$95/24*Parameters!$C$99)*AI81+AD81*CZ81*86400*365)/((AD81+AJ81*AI81/365)*86400*365))</f>
        <v>2.5175741502053048</v>
      </c>
      <c r="DC81" s="42">
        <f>IF(AE81+AL81=0,0,((K81*Parameters!$C$96+Parameters!$C$94/100*T81*100*Parameters!$C$93/1000*86400*Parameters!$C$95/24*Parameters!$C$98)*365+AE81*CY81*86400*365)/((AE81+AL81)*86400*365))</f>
        <v>0</v>
      </c>
      <c r="DD81" s="42">
        <f>IF(AE81+AL81=0,0,((K81*Parameters!$C$97+Parameters!$C$94/100*T81*100*Parameters!$C$93/1000*86400*Parameters!$C$95/24*Parameters!$C$99)*365+AE81*CZ81*86400*365)/((AE81+AL81)*86400*365))</f>
        <v>0</v>
      </c>
      <c r="DE81" s="42">
        <f>IF(Basicinfo!AH81+Basicinfo!AI81+Basicinfo!AJ81+Basicinfo!AK81=0,0,((Basicinfo!AH81+Basicinfo!AI81)*Parameters!$C$107+(Basicinfo!AJ81+Basicinfo!AK81)*Parameters!$C$106)/(Basicinfo!AH81+Basicinfo!AI81+Basicinfo!AJ81+Basicinfo!AK81))</f>
        <v>59.096186349724341</v>
      </c>
      <c r="DF81" s="42">
        <f>IF(Basicinfo!AH81+Basicinfo!AI81+Basicinfo!AJ81+Basicinfo!AK81=0,0,((Basicinfo!AH81+Basicinfo!AI81)*Parameters!$C$109+(Basicinfo!AJ81+Basicinfo!AK81)*Parameters!$C$108)/(Basicinfo!AH81+Basicinfo!AI81+Basicinfo!AJ81+Basicinfo!AK81))</f>
        <v>59.096186349724341</v>
      </c>
      <c r="DG81" s="42">
        <f>Intermediate!AC81*Intermediate!CY81*(1-Parameters!$C$102/100*Basicinfo!BZ81/100)*(1-Parameters!$C$104/100*Basicinfo!CA81/100)*86400*365/1000000</f>
        <v>0.29715993559401738</v>
      </c>
      <c r="DH81" s="42">
        <f>Intermediate!AC81*Intermediate!CZ81*(1-Parameters!$C$103/100*Basicinfo!BZ81/100)*(1-Parameters!$C$105/100*Basicinfo!CA81/100)*86400*365/1000000</f>
        <v>8.1105058912876365E-2</v>
      </c>
      <c r="DI81" s="42">
        <f>(Intermediate!AK81*Intermediate!DA81+(Intermediate!AE81+Intermediate!AL81)*Intermediate!DC81)*86400*365/1000000</f>
        <v>4.8725002180536432</v>
      </c>
      <c r="DJ81" s="42">
        <f>(Intermediate!AK81*Intermediate!DB81+(Intermediate!AE81+Intermediate!AL81)*Intermediate!DD81)*86400*365/1000000</f>
        <v>0.83666141892353063</v>
      </c>
      <c r="DK81" s="42">
        <f>((Basicinfo!AZ81+Basicinfo!BA81)*Intermediate!AB81+Parameters!$C$76*100)/1000*Intermediate!U81*(1-Intermediate!DE81/100)+(1-Parameters!$C$110/100)*M81*Parameters!$C$100*(1-DE81/100)*365/1000000+(1-Parameters!$C$112/100)*P81*Parameters!$C$96*365/1000000+(1-Parameters!$C$112/100)*O81*Parameters!$C$96*(1-DE81/100)*365/1000000</f>
        <v>0.51894274995581147</v>
      </c>
      <c r="DL81" s="42">
        <f>Parameters!$C$77*100/1000*Intermediate!U81*(1-Intermediate!DF81/100)+(1-Parameters!$C$111/100)*M81*Parameters!$C$101*(1-DF81/100)*365/1000000+(1-Parameters!$C$113/100)*P81*Parameters!$C$97*365/1000000+(1-Parameters!$C$113/100)*O81*Parameters!$C$97*(1-DF81/100)*365/1000000</f>
        <v>8.6732313628002364E-2</v>
      </c>
      <c r="DM81" s="31"/>
      <c r="DN81" s="31"/>
      <c r="DO81" s="31"/>
      <c r="DP81" s="31"/>
      <c r="DQ81" s="31"/>
      <c r="DR81" s="31"/>
      <c r="DS81" s="31"/>
      <c r="DT81" s="188">
        <f>BO81*(Basicinfo!$P81+Basicinfo!$Q81)/1000</f>
        <v>309.78988799529316</v>
      </c>
      <c r="DU81" s="188">
        <f>DT81*Basicinfo!$AZ81/(Basicinfo!$AZ81+Basicinfo!$BA81)</f>
        <v>164.19306166870655</v>
      </c>
      <c r="DV81" s="188">
        <f>DT81*Basicinfo!$BC81/(Basicinfo!$BB81+Basicinfo!$BC81)</f>
        <v>138.93856197545125</v>
      </c>
      <c r="DW81" s="188">
        <f>BP81*(Basicinfo!$P81+Basicinfo!$Q81)/1000</f>
        <v>385.3153996703553</v>
      </c>
      <c r="DX81" s="188">
        <f>DW81*Basicinfo!$BB81/(Basicinfo!$BB81+Basicinfo!$BC81)</f>
        <v>212.50418273996661</v>
      </c>
      <c r="DY81" s="188">
        <f>DW81*Basicinfo!$BC81/(Basicinfo!$BB81+Basicinfo!$BC81)</f>
        <v>172.81121693038872</v>
      </c>
      <c r="DZ81" s="188">
        <f t="shared" si="63"/>
        <v>43.686901126532405</v>
      </c>
      <c r="EA81" s="188">
        <f>DZ81*Basicinfo!$AZ81/(Basicinfo!$AZ81+Basicinfo!$BA81)</f>
        <v>23.154681055607622</v>
      </c>
      <c r="EB81" s="188">
        <f>DZ81*Basicinfo!$BC81/(Basicinfo!$BB81+Basicinfo!$BC81)</f>
        <v>19.593264515387787</v>
      </c>
      <c r="EC81" s="188">
        <f t="shared" si="64"/>
        <v>54.337589509005824</v>
      </c>
      <c r="ED81" s="188">
        <f>EC81*Basicinfo!$AZ81/(Basicinfo!$AZ81+Basicinfo!$BA81)</f>
        <v>28.799697894970059</v>
      </c>
      <c r="EE81" s="188">
        <f>EC81*Basicinfo!$BC81/(Basicinfo!$BB81+Basicinfo!$BC81)</f>
        <v>24.370022522195242</v>
      </c>
      <c r="EF81" s="190">
        <f>(Basicinfo!BP81-BL81/100)*Intermediate!X81/10</f>
        <v>112.26823093615579</v>
      </c>
      <c r="EG81" s="191">
        <f>(Basicinfo!BQ81-BM81/100)*Intermediate!X81/10</f>
        <v>150.96993886998408</v>
      </c>
      <c r="EH81" s="197">
        <f>IF(AU81=0,0,$BS81*((Basicinfo!$P81+Basicinfo!$Q81)*Intermediate!$AT81*1000+$AW81*3600*24*365)/1000000*Basicinfo!AZ81/(Basicinfo!$AZ81+Basicinfo!$BA81))</f>
        <v>55.816748347310018</v>
      </c>
      <c r="EI81" s="197">
        <f>IF(AU81=0,0,$BS81*((Basicinfo!$P81+Basicinfo!$Q81)*Intermediate!$AT81*1000+$AW81*3600*24*365)/1000000*Basicinfo!BA81/(Basicinfo!$AZ81+Basicinfo!$BA81))</f>
        <v>49.495035494468503</v>
      </c>
      <c r="EJ81" s="198">
        <f>IF(AU81=0,0,$BS81*($AT81*$X81*1000)/1000000*Basicinfo!AZ81/(Basicinfo!$AZ81+Basicinfo!$BA81))</f>
        <v>7.1406467675536991</v>
      </c>
      <c r="EK81" s="198">
        <f>IF(AU81=0,0,$BS81*($AT81*$X81*1000)/1000000*Basicinfo!BA81/(Basicinfo!$AZ81+Basicinfo!$BA81))</f>
        <v>6.3319088925495386</v>
      </c>
      <c r="EL81" s="147">
        <f>Parameters!$C$150/Basicinfo!$AV81*100</f>
        <v>5.3437968893691658E-2</v>
      </c>
      <c r="EM81" s="147">
        <f>Parameters!$C$151/Basicinfo!$AV81*100</f>
        <v>0.10687593778738332</v>
      </c>
      <c r="EN81" s="147">
        <f>(Parameters!$C$150+Parameters!$C$151)/Intermediate!$BB81*100</f>
        <v>0.21493983866223731</v>
      </c>
      <c r="EO81" s="193">
        <f>IF(EN81=0,0,(1/(1+Parameters!$C$116*$BB81^Parameters!$C$120)*Basicinfo!$AH81/Basicinfo!$G81+1/(1+Parameters!$C$117*$BB81^Parameters!$C$121)*Basicinfo!$AI81/Basicinfo!$G81)*(EN81)^Parameters!$C$124+(1/(1+Parameters!$C$118*$BB81^Parameters!$C$122)*Basicinfo!$AJ81/Basicinfo!AW81+1/(1+Parameters!$C$119*$BB81^Parameters!$C$123)*Basicinfo!$AK81/Basicinfo!$G81)*(EN81)^Parameters!$C$125)</f>
        <v>0.12141749892164606</v>
      </c>
      <c r="EP81" s="199">
        <f>EL81*($AT81*Basicinfo!$P81*1000+$AW81*3600*24*365)/1000000</f>
        <v>6.8171005870214483</v>
      </c>
      <c r="EQ81" s="199">
        <f>EM81*($AT81*Basicinfo!$P81*1000+$AW81*3600*24*365)/1000000</f>
        <v>13.634201174042897</v>
      </c>
      <c r="ER81" s="199">
        <f t="shared" si="65"/>
        <v>1.0963258961460036</v>
      </c>
      <c r="ES81" s="199">
        <f t="shared" si="66"/>
        <v>2.1926517922920072</v>
      </c>
      <c r="ET81" s="181">
        <f t="shared" si="77"/>
        <v>52.059196482613352</v>
      </c>
      <c r="EU81" s="147">
        <f>Intermediate!F81*(Parameters!$C$150)/1000*100</f>
        <v>0.84802455946869604</v>
      </c>
      <c r="EV81" s="147">
        <f>Intermediate!F81*(Parameters!$C$151)/1000*100</f>
        <v>1.6960491189373921</v>
      </c>
      <c r="EW81" s="181">
        <f>'Local emissions'!$S81*Basicinfo!AZ81/(Basicinfo!$AZ81+Basicinfo!$BA81)-Intermediate!EU81</f>
        <v>4.3653756490030826</v>
      </c>
      <c r="EX81" s="147">
        <f>'Local emissions'!$S81*Basicinfo!BA81/(Basicinfo!$AZ81+Basicinfo!$BA81)-Intermediate!EV81</f>
        <v>2.9268899809827094</v>
      </c>
      <c r="EY81" s="188">
        <f t="shared" si="78"/>
        <v>48.999647760288568</v>
      </c>
      <c r="EZ81" s="188">
        <f t="shared" si="79"/>
        <v>35.86083432042561</v>
      </c>
      <c r="FA81" s="188">
        <f t="shared" si="80"/>
        <v>6.0443208714076953</v>
      </c>
      <c r="FB81" s="181">
        <f t="shared" si="81"/>
        <v>4.1392571002575309</v>
      </c>
      <c r="FC81" s="181">
        <f>'Local emissions'!Y81-Intermediate!ET81</f>
        <v>245.9624653001664</v>
      </c>
      <c r="FD81" s="188">
        <f t="shared" si="82"/>
        <v>88.496484289807967</v>
      </c>
      <c r="FE81" s="188">
        <f t="shared" si="83"/>
        <v>71.966513538683785</v>
      </c>
      <c r="FF81" s="181">
        <f t="shared" si="84"/>
        <v>5.9967572860251588</v>
      </c>
      <c r="FG81" s="201">
        <f t="shared" si="85"/>
        <v>5.0743973306086474</v>
      </c>
      <c r="FH81" s="181">
        <f t="shared" si="86"/>
        <v>74.428312855040843</v>
      </c>
      <c r="FJ81" s="147">
        <f>AVERAGE(Parameters!$C$132:$C$134)*'Local emissions'!J81*3600*24*365/1000000</f>
        <v>0.2143809456831611</v>
      </c>
      <c r="FK81" s="147">
        <f>'Local emissions'!AJ81+CT81*BJ81/100*Intermediate!X81*100/1000000</f>
        <v>1.3029694819820974</v>
      </c>
      <c r="FL81" s="31">
        <f>(Parameters!$C$18*(Basicinfo!AH81+Basicinfo!AI81)+Parameters!$C$19*Basicinfo!AJ81+Parameters!$C$20*Basicinfo!AK81)/Basicinfo!G81</f>
        <v>1.0451688988936739E-2</v>
      </c>
      <c r="FM81" s="181">
        <f>FL81*(AU81+AW81)*3600*24*365/1000000</f>
        <v>1.9576349882392816</v>
      </c>
    </row>
    <row r="82" spans="1:169">
      <c r="A82" s="39" t="str">
        <f>Basicinfo!A82</f>
        <v>Enns</v>
      </c>
      <c r="B82" s="63">
        <f>Basicinfo!B82</f>
        <v>4050</v>
      </c>
      <c r="C82" s="63">
        <f>Basicinfo!C82</f>
        <v>4060</v>
      </c>
      <c r="D82" s="61">
        <f>Basicinfo!U82*Basicinfo!V82/1000+Basicinfo!Y82</f>
        <v>2.897351815322458</v>
      </c>
      <c r="E82" s="19">
        <f>Basicinfo!W82*Basicinfo!X82/1000+Basicinfo!Z82</f>
        <v>0</v>
      </c>
      <c r="F82" s="19">
        <f t="shared" si="71"/>
        <v>2.897351815322458</v>
      </c>
      <c r="G82" s="19">
        <f>SUM(Basicinfo!H82:L82)</f>
        <v>2.3166966236057858E-2</v>
      </c>
      <c r="H82" s="19">
        <f>IF(Basicinfo!N82&lt;Parameters!$C$68,Parameters!$C$69,Basicinfo!BS82/(Basicinfo!N82*100))</f>
        <v>16.729605762230264</v>
      </c>
      <c r="I82" s="19">
        <f>IF(Basicinfo!N82=0,0,Basicinfo!BU82*(1-Basicinfo!BX82/100))</f>
        <v>8916.0762763547718</v>
      </c>
      <c r="J82" s="19">
        <f>IF(Basicinfo!N82=0,0,Basicinfo!BU82*Basicinfo!BX82/100)</f>
        <v>8230.224255096713</v>
      </c>
      <c r="K82" s="19">
        <f>IF(Basicinfo!N82=0,0,Basicinfo!BT82-Basicinfo!BU82)</f>
        <v>0</v>
      </c>
      <c r="L82" s="27">
        <f>Basicinfo!BV82*Basicinfo!BW82/100</f>
        <v>1696.1666666666665</v>
      </c>
      <c r="M82" s="27">
        <f>Basicinfo!BV82-Intermediate!L82</f>
        <v>1696.1666666666665</v>
      </c>
      <c r="N82" s="73">
        <f>Basicinfo!BS82-SUM(I82:K82)-Basicinfo!BV82</f>
        <v>0</v>
      </c>
      <c r="O82" s="19">
        <f>IF(Basicinfo!AH82+Basicinfo!AI82+Basicinfo!AJ82+Basicinfo!AK82=0,0,N82*(Basicinfo!AH82+Basicinfo!AI82)/SUM(Basicinfo!AH82:AK82))</f>
        <v>0</v>
      </c>
      <c r="P82" s="73">
        <f t="shared" si="67"/>
        <v>0</v>
      </c>
      <c r="Q82" s="19">
        <f>IF(Basicinfo!BS82=0,Basicinfo!N82,IF(H82&gt;Parameters!$C$70,Parameters!$C$64*(Parameters!$C$65*Parameters!$C$70)^(Parameters!$C$66-Parameters!$C$67*LOG(Parameters!$C$65*Parameters!$C$70,10))/100*Basicinfo!N82,Parameters!$C$64*(Parameters!$C$65*H82)^(Parameters!$C$66-Parameters!$C$67*LOG(Parameters!$C$65*H82,10))/100*Basicinfo!N82))</f>
        <v>3.3137942442112656</v>
      </c>
      <c r="R82" s="19">
        <f>IF(Basicinfo!BS82=0,Q82*(1-Basicinfo!BX82/100),IF(H82&lt;Parameters!$C$75,Q82*Basicinfo!BU82/Basicinfo!BS82*(1-Basicinfo!BX82/100)*(-Parameters!$C$74+Parameters!$C$73*LN(H82*100)),Q82*Basicinfo!BU82/Basicinfo!BS82*(1-Basicinfo!BX82/100)))</f>
        <v>0.80529651569892635</v>
      </c>
      <c r="S82" s="19">
        <f>IF(Basicinfo!BS82=0,Q82*Basicinfo!BX82/100,Q82*Basicinfo!BU82/Basicinfo!BS82*Basicinfo!BX82/100)</f>
        <v>1.3279008693888696</v>
      </c>
      <c r="T82" s="19">
        <f>IF(Basicinfo!BS82=0,0,IF(H82&lt;Parameters!$C$75,Q82*K82/Basicinfo!BS82*(-Parameters!$C$74+Parameters!$C$73*LN(H82*100)),Q82*K82/Basicinfo!BS82))</f>
        <v>0</v>
      </c>
      <c r="U82" s="19">
        <f t="shared" si="68"/>
        <v>1.1805968591234695</v>
      </c>
      <c r="V82" s="19">
        <f>IF(Basicinfo!AL82&gt;Parameters!$C$14,Basicinfo!Q82,0)</f>
        <v>27.307918115395101</v>
      </c>
      <c r="W82" s="19">
        <f>IF(Basicinfo!AL82&gt;Parameters!$C$14,0,Basicinfo!Q82)</f>
        <v>0</v>
      </c>
      <c r="X82" s="19">
        <f>G82+Basicinfo!M82</f>
        <v>133.95510886647568</v>
      </c>
      <c r="Y82" s="19">
        <f>IF(Basicinfo!G82-F82-Q82-V82-Basicinfo!O82-Basicinfo!R82-Basicinfo!S82&lt;0,0,Basicinfo!G82-F82-Q82-V82-Basicinfo!O82-Basicinfo!R82-Basicinfo!S82)</f>
        <v>493.43983487094795</v>
      </c>
      <c r="Z82" s="19">
        <f>Basicinfo!G82-F82-Basicinfo!BO82-Q82-Basicinfo!O82</f>
        <v>520.39878350167317</v>
      </c>
      <c r="AA82" s="53">
        <f>IF(Z82+Basicinfo!BO82-X82&gt;0,Z82+Basicinfo!BO82-X82,0)</f>
        <v>387.11462651670763</v>
      </c>
      <c r="AB82" s="56">
        <f>IF(Basicinfo!N82=0,0,Parameters!$C$71+Parameters!$C$72*Q82/Basicinfo!N82)</f>
        <v>0.35244215723321348</v>
      </c>
      <c r="AC82" s="43">
        <f>Basicinfo!AU82*AB82*R82/1000/86.4/0.365</f>
        <v>1.2983255899795222E-2</v>
      </c>
      <c r="AD82" s="43">
        <f>Basicinfo!AU82*AB82*S82/1000/86.4/0.365</f>
        <v>2.1408855571507141E-2</v>
      </c>
      <c r="AE82" s="43">
        <f>Basicinfo!AU82*AB82*T82/1000/86.4/0.365</f>
        <v>0</v>
      </c>
      <c r="AF82" s="43">
        <f>Basicinfo!AU82*AB82*U82/1000/86.4/0.365</f>
        <v>1.9033971757832762E-2</v>
      </c>
      <c r="AG82" s="43">
        <f>((Parameters!$C$80+Parameters!$C$81*Parameters!$C$89)/(Parameters!$C$82+Parameters!$C$89)/(Parameters!$C$90/100*Parameters!$C$91+(Parameters!$C$83+Parameters!$C$84*Parameters!$C$89)/(Parameters!$C$85+Parameters!$C$89)))-Parameters!$C$86+(Basicinfo!AU82-Parameters!$C$88)/Parameters!$C$87</f>
        <v>87.453718001226505</v>
      </c>
      <c r="AH82" s="43">
        <f>((Parameters!$C$80+Parameters!$C$81*Parameters!$C$89)/(Parameters!$C$82+Parameters!$C$89)/(Basicinfo!BY82/100*Parameters!$C$91+(Parameters!$C$83+Parameters!$C$84*Parameters!$C$89)/(Parameters!$C$85+Parameters!$C$89)))-Parameters!$C$86+(Basicinfo!AU82-Parameters!$C$88)/Parameters!$C$87</f>
        <v>69.650836134610927</v>
      </c>
      <c r="AI82" s="43">
        <f>Basicinfo!AU82^Parameters!$C$79*Parameters!$C$78*AH82/AG82</f>
        <v>75.543253597293401</v>
      </c>
      <c r="AJ82" s="43">
        <f>(J82*Parameters!$C$92/1000+Parameters!$C$94/100*S82*100*Parameters!$C$93/1000*86400*Parameters!$C$95/24)/86400</f>
        <v>1.2427702635027923E-2</v>
      </c>
      <c r="AK82" s="43">
        <f t="shared" si="72"/>
        <v>1.6702960096807263E-2</v>
      </c>
      <c r="AL82" s="43">
        <f>(K82*Parameters!$C$92/1000+Parameters!$C$94/100*T82*100*Parameters!$C$93/1000*86400*Parameters!$C$95/24)/86400</f>
        <v>0</v>
      </c>
      <c r="AM82" s="43">
        <f>(Intermediate!N82+Basicinfo!BV82-Intermediate!L82)*Parameters!$C$92/1000/86400</f>
        <v>2.5521026234567902E-3</v>
      </c>
      <c r="AN82" s="43">
        <f t="shared" si="73"/>
        <v>2.7894702812201182E-2</v>
      </c>
      <c r="AO82" s="43">
        <f t="shared" si="69"/>
        <v>1.6702960096807263E-2</v>
      </c>
      <c r="AP82" s="43">
        <f t="shared" si="70"/>
        <v>2.1586074381289552E-2</v>
      </c>
      <c r="AQ82" s="43">
        <f t="shared" si="58"/>
        <v>5.1272290377892035E-2</v>
      </c>
      <c r="AR82" s="61">
        <f>(Basicinfo!AU82-Basicinfo!AY82)*F82/1000/86.4/0.365</f>
        <v>8.1127783345469745E-2</v>
      </c>
      <c r="AS82" s="19">
        <f>IF(Basicinfo!AP82-Basicinfo!CB82-Basicinfo!CG82&lt;0,0,(Basicinfo!AP82-Basicinfo!CB82-Basicinfo!CG82)/Basicinfo!G82*1000)</f>
        <v>35.254883223965649</v>
      </c>
      <c r="AT82" s="19">
        <f>Parameters!$C$3*((AS82*86.4*0.365)^Parameters!$C$4)</f>
        <v>266.11077355537714</v>
      </c>
      <c r="AU82" s="19">
        <f>IF(AT82/86.4/0.365*(Basicinfo!G82/1000)-AN82&lt;0,0,AT82/86.4/0.365*(Basicinfo!G82/1000)-AN82)</f>
        <v>4.4243907470353792</v>
      </c>
      <c r="AV82" s="19">
        <f>IF(Basicinfo!AU82&gt;Parameters!$C$13,Parameters!$C$11*(Basicinfo!AU82-Parameters!$C$13)^Parameters!$C$12,0)</f>
        <v>193.56430226076571</v>
      </c>
      <c r="AW82" s="19">
        <f>IF(AV82*V82/1000/86.4/0.365&gt;Basicinfo!AP82*Parameters!$C$15,Basicinfo!AP82*Parameters!$C$15,AV82*V82/1000/86.4/0.365)</f>
        <v>0.16761282712457437</v>
      </c>
      <c r="AX82" s="19">
        <f>Basicinfo!AU82-Basicinfo!AW82</f>
        <v>523.97711657799994</v>
      </c>
      <c r="AY82" s="19">
        <f>Parameters!$C$56*AX82+Parameters!$C$57*Basicinfo!AW82</f>
        <v>353.85105435871424</v>
      </c>
      <c r="AZ82" s="19">
        <f>AY82*Basicinfo!BO82/1000/86.4/0.365</f>
        <v>7.5284446567845612E-3</v>
      </c>
      <c r="BA82" s="19">
        <f>IF(Basicinfo!AP82-AQ82-AR82-AU82-AW82-AZ82-Basicinfo!CB82-Basicinfo!CG82&lt;0,0,Basicinfo!AP82-AQ82-AR82-AU82-AW82-AZ82-Basicinfo!CB82-Basicinfo!CG82)</f>
        <v>13.869502117132576</v>
      </c>
      <c r="BB82" s="53">
        <f t="shared" si="59"/>
        <v>840.48739665143091</v>
      </c>
      <c r="BC82" s="56">
        <f>IF(G82=0,0,((Basicinfo!H82*Basicinfo!BE82+Basicinfo!I82*Basicinfo!BF82+Basicinfo!J82*Basicinfo!BG82+Basicinfo!K82*Basicinfo!BH82+Basicinfo!L82*Basicinfo!BI82)*(1-Basicinfo!BN82/G82*Parameters!$C$26/100)/G82)*Basicinfo!BM82)</f>
        <v>3.4734028312488863</v>
      </c>
      <c r="BD82" s="43">
        <f>IF(Basicinfo!AW82*Parameters!$C$39-Parameters!$C$40&lt;0,0.001,(Basicinfo!AW82*Parameters!$C$39-Parameters!$C$40)/(Basicinfo!AX82*Parameters!$C$39-Parameters!$C$40))</f>
        <v>1.0985096479367171</v>
      </c>
      <c r="BE82" s="43">
        <f>(BC82*G82*100+Basicinfo!BJ82*Basicinfo!M82*100)*Parameters!$C$29*BD82</f>
        <v>1687.9035824553584</v>
      </c>
      <c r="BF82" s="43">
        <f>(Basicinfo!BK82*Basicinfo!P82*100)*BD82*Parameters!$C$29</f>
        <v>2697.9824964341287</v>
      </c>
      <c r="BG82" s="43">
        <f>Parameters!$C$27*(V82+W82)*100</f>
        <v>546.15836230790205</v>
      </c>
      <c r="BH82" s="43">
        <f>Parameters!$C$28*Basicinfo!R82*100</f>
        <v>1096.9459601674735</v>
      </c>
      <c r="BI82" s="43">
        <f t="shared" si="74"/>
        <v>4341.0868189095045</v>
      </c>
      <c r="BJ82" s="43">
        <f>IF(Basicinfo!AM82&lt;Parameters!$C$33,0,Parameters!$C$30*(((Basicinfo!AM82-Parameters!$C$33)^Parameters!$C$31)*(((G82-Basicinfo!BN82)/Basicinfo!G82*100+Parameters!$C$34))^Parameters!$C$32))</f>
        <v>1.4361049004987338</v>
      </c>
      <c r="BK82" s="58">
        <f t="shared" si="75"/>
        <v>4365.3268849728393</v>
      </c>
      <c r="BL82" s="61">
        <f>Basicinfo!AZ82+Basicinfo!BA82</f>
        <v>1261.9278796498284</v>
      </c>
      <c r="BM82" s="19">
        <f>Basicinfo!BB82+Basicinfo!BC82</f>
        <v>1807.5797101364915</v>
      </c>
      <c r="BN82" s="172">
        <f>IF(Basicinfo!AO82=0,0,IF(Basicinfo!AO82="NA",1,IF(OR(Basicinfo!AO82="SA",Basicinfo!AN82="S"),3,IF(Basicinfo!AN82="N",1,IF(Basicinfo!AO82="ZA",2,0)))))</f>
        <v>0</v>
      </c>
      <c r="BO82" s="27">
        <f>IF($BN82=1,(BL82)*(1+Parameters!$C$21*Parameters!$C$22-Parameters!$C$22*Basicinfo!$AL82),IF($BN82=2,(BL82)*(1+Parameters!$C$21*Parameters!$C$23-Parameters!$C$23*Basicinfo!$AL82),IF($BN82=3,(BL82)*(1+Parameters!$C$21*Parameters!$C$24-Parameters!$C$24*Basicinfo!$AL82),BL82)))</f>
        <v>1261.9278796498284</v>
      </c>
      <c r="BP82" s="27">
        <f>IF($BN82=1,(BM82)*(1+Parameters!$C$21*Parameters!$C$22-Parameters!$C$22*Basicinfo!$AL82),IF($BN82=2,(BM82)*(1+Parameters!$C$21*Parameters!$C$23-Parameters!$C$23*Basicinfo!$AL82),IF($BN82=3,(BM82)*(1+Parameters!$C$21*Parameters!$C$24-Parameters!$C$24*Basicinfo!$AL82),BM82)))</f>
        <v>1807.5797101364915</v>
      </c>
      <c r="BQ82" s="27">
        <f>IF(Basicinfo!AU82=0,0,IF(G82+Basicinfo!M82=0,0,(Parameters!$C$16+BO82/Basicinfo!AU82)*G82+(Parameters!$C$17+BO82/Basicinfo!AU82)*Basicinfo!M82)/(G82+Basicinfo!M82))</f>
        <v>0.87481000277034116</v>
      </c>
      <c r="BR82" s="27">
        <f>IF(Basicinfo!AU82=0,0,IF(G82+Basicinfo!M82=0,0,(Parameters!$C$16+BP82/Basicinfo!AU82)*G82+(Parameters!$C$17+BP82/Basicinfo!AU82)*Basicinfo!M82)/(G82+Basicinfo!M82))</f>
        <v>1.253051403557256</v>
      </c>
      <c r="BS82" s="27">
        <f>IF(Basicinfo!AU82=0,0,BO82/Basicinfo!AU82)</f>
        <v>0.87475811904653522</v>
      </c>
      <c r="BT82" s="27">
        <f>IF(Basicinfo!AU82=0,0,BP82/Basicinfo!AU82)</f>
        <v>1.25299951983345</v>
      </c>
      <c r="BU82" s="27">
        <f>IF(SUM(G82,Basicinfo!M82,Basicinfo!P82,W82)=0,0,(BQ82*(G82+Basicinfo!M82)+BS82*(Basicinfo!P82+W82))/SUM(G82,Basicinfo!M82,Basicinfo!P82,W82))</f>
        <v>0.87477246460389291</v>
      </c>
      <c r="BV82" s="19">
        <f>IF(Basicinfo!BR82/Parameters!$C$10&gt;1,1,Basicinfo!BR82/Parameters!$C$10)</f>
        <v>0.37467976529193231</v>
      </c>
      <c r="BW82" s="19">
        <f>Parameters!$C$5+Parameters!$C$6*EXP(BV82*Parameters!$C$8*Parameters!$C$7)</f>
        <v>3.5115067153831989E-2</v>
      </c>
      <c r="BX82" s="19">
        <f>Parameters!$C$5+Parameters!$C$6*EXP(BV82*Parameters!$C$9*Parameters!$C$7)</f>
        <v>3.5064377376067914E-2</v>
      </c>
      <c r="BY82" s="19">
        <f>IF(Basicinfo!AH82+Basicinfo!AI82+Basicinfo!AJ82+Basicinfo!AK82=0,0,(Parameters!$C$18*(Basicinfo!AH82+Basicinfo!AI82)+Parameters!$C$19*Basicinfo!AJ82+Parameters!$C$20*Basicinfo!AK82)/(Basicinfo!AH82+Basicinfo!AI82+Basicinfo!AJ82+Basicinfo!AK82))</f>
        <v>4.2852331068762737E-3</v>
      </c>
      <c r="BZ82" s="19">
        <f>IF(Basicinfo!AJ82+Basicinfo!AK82=0,Parameters!$C$18,(Parameters!$C$19*Basicinfo!AJ82+Parameters!$C$20*Basicinfo!AK82)/(Basicinfo!AJ82+Basicinfo!AK82))</f>
        <v>3.9444710449972401E-3</v>
      </c>
      <c r="CA82" s="19">
        <f>IF(SUM(G82,Basicinfo!M82,Basicinfo!P82,W82)=0,0,(BW82*G82+BX82*Basicinfo!M82+BY82*Basicinfo!P82+BZ82*W82)/(SUM(G82,Basicinfo!M82,Basicinfo!P82,W82)))</f>
        <v>1.2795495534294659E-2</v>
      </c>
      <c r="CB82" s="19">
        <f>IF(Y82=0,Basicinfo!BP82,Basicinfo!BP82-(AU82*X82/Y82*Intermediate!BQ82*86400*365/1000000)*1000/(X82*100))</f>
        <v>31.326685759098552</v>
      </c>
      <c r="CC82" s="19">
        <f>IF(Y82=0,Basicinfo!BQ82,Basicinfo!BQ82-(AU82*Basicinfo!AV82/Basicinfo!AU82*X82/Y82*Intermediate!BR82*86400*365/1000000)*1000/(X82*100))</f>
        <v>48.614949263360451</v>
      </c>
      <c r="CD82" s="19">
        <f>IF(OR(Y82=0,AA82=0),BP82/100,BP82/100-(AU82*Basicinfo!AV82/Basicinfo!AU82*(Basicinfo!P82+W82)/Y82*Intermediate!BT82*86400*365/1000000+AW82*Basicinfo!AV82/Basicinfo!AU82*Intermediate!BT82*86400*365/1000000)*1000/(AA82*100))</f>
        <v>14.800820308343162</v>
      </c>
      <c r="CE82" s="19">
        <f t="shared" si="60"/>
        <v>647960.25294338691</v>
      </c>
      <c r="CF82" s="19">
        <f t="shared" si="61"/>
        <v>572961.40258051641</v>
      </c>
      <c r="CG82" s="19">
        <f>IF(AY82=0,0,((CB82^Parameters!$C$58))/AY82*100)</f>
        <v>5.2808859599773692</v>
      </c>
      <c r="CH82" s="19">
        <f>IF(SUM(Basicinfo!AB82:AG82)=0,0,(Parameters!$C$59*Basicinfo!AB82+Parameters!$C$60*SUM(Basicinfo!AC82:AE82)+Parameters!$C$61*Basicinfo!AF82+Parameters!$C$62*Basicinfo!AG82)/SUM(Basicinfo!AB82:AG82))</f>
        <v>0.36324285836665737</v>
      </c>
      <c r="CI82" s="19">
        <f t="shared" si="88"/>
        <v>4</v>
      </c>
      <c r="CJ82" s="19">
        <f t="shared" si="62"/>
        <v>23.461270360943836</v>
      </c>
      <c r="CK82" s="19">
        <f t="shared" si="76"/>
        <v>2.7913887173579779</v>
      </c>
      <c r="CL82" s="19">
        <f>IF($BB82=0,0,$CJ82^Parameters!$C$58*100/$BB82)</f>
        <v>1.7388719030330244</v>
      </c>
      <c r="CM82" s="19">
        <f>IF(CK82=0,0,(1/(1+Parameters!$C$116*BB82^Parameters!$C$120)*Basicinfo!AH82/Basicinfo!G82+1/(1+Parameters!$C$117*BB82^Parameters!$C$121)*Basicinfo!AI82/Basicinfo!G82)*(CK82)^Parameters!$C$124+(1/(1+Parameters!$C$118*BB82^Parameters!$C$122)*Basicinfo!AJ82/Basicinfo!G82+1/(1+Parameters!$C$119*BB82^Parameters!$C$123)*Basicinfo!AK82/Basicinfo!G82)*(CK82)^Parameters!$C$125)</f>
        <v>1.2220170847170455</v>
      </c>
      <c r="CN82" s="19">
        <f>IF(SUM(Basicinfo!AB82:AG82)=0,0,(Parameters!$C$128*Basicinfo!AB82+Parameters!$C$129*(SUM(Basicinfo!AC82:AE82))+Parameters!$C$130*Basicinfo!AF82+Parameters!$C$131*Basicinfo!AG82)/SUM(Basicinfo!AB82:AG82))</f>
        <v>7.4501540832693045E-2</v>
      </c>
      <c r="CO82" s="19">
        <f>IF(Basicinfo!AH82+Basicinfo!AI82+Basicinfo!AJ82+Basicinfo!AK82=0,0,(Parameters!$C$132*(Basicinfo!AH82+Basicinfo!AI82)+Parameters!$C$133*Basicinfo!AJ82+Parameters!$C$134*Basicinfo!AK82)/(Basicinfo!AH82+Basicinfo!AI82+Basicinfo!AJ82+Basicinfo!AK82))</f>
        <v>5.0000000000000012E-4</v>
      </c>
      <c r="CP82" s="19">
        <f>IF(Basicinfo!AJ82+Basicinfo!AK82=0,0,(Parameters!$C$133*Basicinfo!AJ82+Parameters!$C$134*Basicinfo!AK82)/(Basicinfo!AJ82+Basicinfo!AK82))</f>
        <v>5.0000000000000012E-4</v>
      </c>
      <c r="CQ82" s="19">
        <f>IF(Z82=0,0,(CN82*(Z82-AA82)+CO82*Basicinfo!P82+CP82*(Basicinfo!Q82+Basicinfo!R82))/Z82)</f>
        <v>1.9444600758330651E-2</v>
      </c>
      <c r="CR82" s="19">
        <f>IF(CK82=0,0,IF(AND((Basicinfo!AI82+Basicinfo!AK82)&gt;0,(CM82/CK82)&lt;Parameters!$C$135),CQ82*Parameters!$C$136,CQ82))</f>
        <v>1.9444600758330651E-2</v>
      </c>
      <c r="CS82" s="19">
        <f>IF(SUM(Basicinfo!AB82:AG82)=0,0,(Basicinfo!AB82*Parameters!$C$43+(Basicinfo!AC82+Basicinfo!AD82)*Parameters!$C$44+Basicinfo!AE82*Parameters!$C$45+(Basicinfo!AF82+Basicinfo!AG82)*Parameters!$C$46)/SUM(Basicinfo!AB82:AG82))</f>
        <v>12.102740404210611</v>
      </c>
      <c r="CT82" s="19">
        <f>(Parameters!$C$41*CS82+Parameters!$C$42)</f>
        <v>398.44795212294821</v>
      </c>
      <c r="CU82" s="19">
        <f>CT82+Basicinfo!BR82/(Parameters!$C$47*Parameters!$C$49*Parameters!$C$48*10000/1000000)</f>
        <v>530.41063675406906</v>
      </c>
      <c r="CV82" s="19">
        <f>IF(BK82/Basicinfo!G82&lt;Parameters!$C$35,Parameters!$C$35,Parameters!$C$37*(BK82/Basicinfo!G82)^Parameters!$C$38)</f>
        <v>2.8372037250664963</v>
      </c>
      <c r="CW82" s="19">
        <f>IF(BK82/Basicinfo!G82&lt;Parameters!$C$35,Parameters!$C$36,Parameters!$C$36*(BK82/Basicinfo!G82)^Parameters!$C$38)</f>
        <v>6.6674287539062664</v>
      </c>
      <c r="CX82" s="27">
        <f>IF(Basicinfo!AJ82+Basicinfo!AK82=0,0,(Parameters!$C$53*Basicinfo!AJ82+Parameters!$C$54*Basicinfo!AK82)/(Basicinfo!AJ82+Basicinfo!AK82))</f>
        <v>561.84420933827323</v>
      </c>
      <c r="CY82" s="56">
        <f>IF(Basicinfo!AU82*AB82=0,0,((Basicinfo!AZ82+Basicinfo!BA82)/Basicinfo!AU82+Parameters!$C$76/(Basicinfo!AU82*AB82)*100))</f>
        <v>1.6614878945404041</v>
      </c>
      <c r="CZ82" s="43">
        <f>IF(Basicinfo!AU82*AB82=0,0,(Parameters!$C$77)/(Basicinfo!AU82*AB82)*100)</f>
        <v>0.49170610968366812</v>
      </c>
      <c r="DA82" s="43">
        <f>IF(AD82+AJ82=0,0,((J82*Parameters!$C$96+Parameters!$C$94/100*S82*100*Parameters!$C$93/1000*86400*Parameters!$C$95/24*Parameters!$C$98)*AI82+AD82*CY82*86400*365)/((AD82+AJ82*AI82/365)*86400*365))</f>
        <v>11.34944955837271</v>
      </c>
      <c r="DB82" s="43">
        <f>IF(AD82+AJ82=0,0,((J82*Parameters!$C$97+Parameters!$C$94/100*S82*100*Parameters!$C$93/1000*86400*Parameters!$C$95/24*Parameters!$C$99)*AI82+AD82*CZ82*86400*365)/((AD82+AJ82*AI82/365)*86400*365))</f>
        <v>2.0439890476985645</v>
      </c>
      <c r="DC82" s="42">
        <f>IF(AE82+AL82=0,0,((K82*Parameters!$C$96+Parameters!$C$94/100*T82*100*Parameters!$C$93/1000*86400*Parameters!$C$95/24*Parameters!$C$98)*365+AE82*CY82*86400*365)/((AE82+AL82)*86400*365))</f>
        <v>0</v>
      </c>
      <c r="DD82" s="42">
        <f>IF(AE82+AL82=0,0,((K82*Parameters!$C$97+Parameters!$C$94/100*T82*100*Parameters!$C$93/1000*86400*Parameters!$C$95/24*Parameters!$C$99)*365+AE82*CZ82*86400*365)/((AE82+AL82)*86400*365))</f>
        <v>0</v>
      </c>
      <c r="DE82" s="42">
        <f>IF(Basicinfo!AH82+Basicinfo!AI82+Basicinfo!AJ82+Basicinfo!AK82=0,0,((Basicinfo!AH82+Basicinfo!AI82)*Parameters!$C$107+(Basicinfo!AJ82+Basicinfo!AK82)*Parameters!$C$106)/(Basicinfo!AH82+Basicinfo!AI82+Basicinfo!AJ82+Basicinfo!AK82))</f>
        <v>50.438906788382546</v>
      </c>
      <c r="DF82" s="42">
        <f>IF(Basicinfo!AH82+Basicinfo!AI82+Basicinfo!AJ82+Basicinfo!AK82=0,0,((Basicinfo!AH82+Basicinfo!AI82)*Parameters!$C$109+(Basicinfo!AJ82+Basicinfo!AK82)*Parameters!$C$108)/(Basicinfo!AH82+Basicinfo!AI82+Basicinfo!AJ82+Basicinfo!AK82))</f>
        <v>50.438906788382546</v>
      </c>
      <c r="DG82" s="42">
        <f>Intermediate!AC82*Intermediate!CY82*(1-Parameters!$C$102/100*Basicinfo!BZ82/100)*(1-Parameters!$C$104/100*Basicinfo!CA82/100)*86400*365/1000000</f>
        <v>0.68027953385107864</v>
      </c>
      <c r="DH82" s="42">
        <f>Intermediate!AC82*Intermediate!CZ82*(1-Parameters!$C$103/100*Basicinfo!BZ82/100)*(1-Parameters!$C$105/100*Basicinfo!CA82/100)*86400*365/1000000</f>
        <v>0.20132412892473156</v>
      </c>
      <c r="DI82" s="42">
        <f>(Intermediate!AK82*Intermediate!DA82+(Intermediate!AE82+Intermediate!AL82)*Intermediate!DC82)*86400*365/1000000</f>
        <v>5.9782606959795173</v>
      </c>
      <c r="DJ82" s="42">
        <f>(Intermediate!AK82*Intermediate!DB82+(Intermediate!AE82+Intermediate!AL82)*Intermediate!DD82)*86400*365/1000000</f>
        <v>1.0766600903437091</v>
      </c>
      <c r="DK82" s="42">
        <f>((Basicinfo!AZ82+Basicinfo!BA82)*Intermediate!AB82+Parameters!$C$76*100)/1000*Intermediate!U82*(1-Intermediate!DE82/100)+(1-Parameters!$C$110/100)*M82*Parameters!$C$100*(1-DE82/100)*365/1000000+(1-Parameters!$C$112/100)*P82*Parameters!$C$96*365/1000000+(1-Parameters!$C$112/100)*O82*Parameters!$C$96*(1-DE82/100)*365/1000000</f>
        <v>2.9796296358843959</v>
      </c>
      <c r="DL82" s="42">
        <f>Parameters!$C$77*100/1000*Intermediate!U82*(1-Intermediate!DF82/100)+(1-Parameters!$C$111/100)*M82*Parameters!$C$101*(1-DF82/100)*365/1000000+(1-Parameters!$C$113/100)*P82*Parameters!$C$97*365/1000000+(1-Parameters!$C$113/100)*O82*Parameters!$C$97*(1-DF82/100)*365/1000000</f>
        <v>0.47823093476739659</v>
      </c>
      <c r="DM82" s="31"/>
      <c r="DN82" s="31"/>
      <c r="DO82" s="31"/>
      <c r="DP82" s="31"/>
      <c r="DQ82" s="31"/>
      <c r="DR82" s="31"/>
      <c r="DS82" s="31"/>
      <c r="DT82" s="188">
        <f>BO82*(Basicinfo!$P82+Basicinfo!$Q82)/1000</f>
        <v>476.79373067713868</v>
      </c>
      <c r="DU82" s="188">
        <f>DT82*Basicinfo!$AZ82/(Basicinfo!$AZ82+Basicinfo!$BA82)</f>
        <v>255.29572499861266</v>
      </c>
      <c r="DV82" s="188">
        <f>DT82*Basicinfo!$BC82/(Basicinfo!$BB82+Basicinfo!$BC82)</f>
        <v>211.87293837126424</v>
      </c>
      <c r="DW82" s="188">
        <f>BP82*(Basicinfo!$P82+Basicinfo!$Q82)/1000</f>
        <v>682.95715420078602</v>
      </c>
      <c r="DX82" s="188">
        <f>DW82*Basicinfo!$BB82/(Basicinfo!$BB82+Basicinfo!$BC82)</f>
        <v>379.47132850275267</v>
      </c>
      <c r="DY82" s="188">
        <f>DW82*Basicinfo!$BC82/(Basicinfo!$BB82+Basicinfo!$BC82)</f>
        <v>303.4858256980333</v>
      </c>
      <c r="DZ82" s="188">
        <f t="shared" si="63"/>
        <v>169.04168650013358</v>
      </c>
      <c r="EA82" s="188">
        <f>DZ82*Basicinfo!$AZ82/(Basicinfo!$AZ82+Basicinfo!$BA82)</f>
        <v>90.512137919159571</v>
      </c>
      <c r="EB82" s="188">
        <f>DZ82*Basicinfo!$BC82/(Basicinfo!$BB82+Basicinfo!$BC82)</f>
        <v>75.117092616030604</v>
      </c>
      <c r="EC82" s="188">
        <f t="shared" si="64"/>
        <v>242.13453685616625</v>
      </c>
      <c r="ED82" s="188">
        <f>EC82*Basicinfo!$AZ82/(Basicinfo!$AZ82+Basicinfo!$BA82)</f>
        <v>129.64917144801336</v>
      </c>
      <c r="EE82" s="188">
        <f>EC82*Basicinfo!$BC82/(Basicinfo!$BB82+Basicinfo!$BC82)</f>
        <v>107.59737912665666</v>
      </c>
      <c r="EF82" s="190">
        <f>(Basicinfo!BP82-BL82/100)*Intermediate!X82/10</f>
        <v>283.73118328777861</v>
      </c>
      <c r="EG82" s="191">
        <f>(Basicinfo!BQ82-BM82/100)*Intermediate!X82/10</f>
        <v>455.08625309953266</v>
      </c>
      <c r="EH82" s="197">
        <f>IF(AU82=0,0,$BS82*((Basicinfo!$P82+Basicinfo!$Q82)*Intermediate!$AT82*1000+$AW82*3600*24*365)/1000000*Basicinfo!AZ82/(Basicinfo!$AZ82+Basicinfo!$BA82))</f>
        <v>49.569130918839058</v>
      </c>
      <c r="EI82" s="197">
        <f>IF(AU82=0,0,$BS82*((Basicinfo!$P82+Basicinfo!$Q82)*Intermediate!$AT82*1000+$AW82*3600*24*365)/1000000*Basicinfo!BA82/(Basicinfo!$AZ82+Basicinfo!$BA82))</f>
        <v>43.006844872942075</v>
      </c>
      <c r="EJ82" s="198">
        <f>IF(AU82=0,0,$BS82*($AT82*$X82*1000)/1000000*Basicinfo!AZ82/(Basicinfo!$AZ82+Basicinfo!$BA82))</f>
        <v>16.696395643151874</v>
      </c>
      <c r="EK82" s="198">
        <f>IF(AU82=0,0,$BS82*($AT82*$X82*1000)/1000000*Basicinfo!BA82/(Basicinfo!$AZ82+Basicinfo!$BA82))</f>
        <v>14.486017488141911</v>
      </c>
      <c r="EL82" s="147">
        <f>Parameters!$C$150/Basicinfo!$AV82*100</f>
        <v>7.152565759654049E-2</v>
      </c>
      <c r="EM82" s="147">
        <f>Parameters!$C$151/Basicinfo!$AV82*100</f>
        <v>0.14305131519308098</v>
      </c>
      <c r="EN82" s="147">
        <f>(Parameters!$C$150+Parameters!$C$151)/Intermediate!$BB82*100</f>
        <v>0.35693575084554985</v>
      </c>
      <c r="EO82" s="193">
        <f>IF(EN82=0,0,(1/(1+Parameters!$C$116*$BB82^Parameters!$C$120)*Basicinfo!$AH82/Basicinfo!$G82+1/(1+Parameters!$C$117*$BB82^Parameters!$C$121)*Basicinfo!$AI82/Basicinfo!$G82)*(EN82)^Parameters!$C$124+(1/(1+Parameters!$C$118*$BB82^Parameters!$C$122)*Basicinfo!$AJ82/Basicinfo!AW82+1/(1+Parameters!$C$119*$BB82^Parameters!$C$123)*Basicinfo!$AK82/Basicinfo!$G82)*(EN82)^Parameters!$C$125)</f>
        <v>0.12995126854003175</v>
      </c>
      <c r="EP82" s="199">
        <f>EL82*($AT82*Basicinfo!$P82*1000+$AW82*3600*24*365)/1000000</f>
        <v>7.0498148062539405</v>
      </c>
      <c r="EQ82" s="199">
        <f>EM82*($AT82*Basicinfo!$P82*1000+$AW82*3600*24*365)/1000000</f>
        <v>14.099629612507881</v>
      </c>
      <c r="ER82" s="199">
        <f t="shared" si="65"/>
        <v>2.5496677951315334</v>
      </c>
      <c r="ES82" s="199">
        <f t="shared" si="66"/>
        <v>5.0993355902630668</v>
      </c>
      <c r="ET82" s="181">
        <f t="shared" si="77"/>
        <v>56.839205853600113</v>
      </c>
      <c r="EU82" s="147">
        <f>Intermediate!F82*(Parameters!$C$150)/1000*100</f>
        <v>0.28973518153224576</v>
      </c>
      <c r="EV82" s="147">
        <f>Intermediate!F82*(Parameters!$C$151)/1000*100</f>
        <v>0.57947036306449151</v>
      </c>
      <c r="EW82" s="181">
        <f>'Local emissions'!$S82*Basicinfo!AZ82/(Basicinfo!$AZ82+Basicinfo!$BA82)-Intermediate!EU82</f>
        <v>1.6679766917057937</v>
      </c>
      <c r="EX82" s="147">
        <f>'Local emissions'!$S82*Basicinfo!BA82/(Basicinfo!$AZ82+Basicinfo!$BA82)-Intermediate!EV82</f>
        <v>1.1190667966069194</v>
      </c>
      <c r="EY82" s="188">
        <f t="shared" si="78"/>
        <v>42.519316112585116</v>
      </c>
      <c r="EZ82" s="188">
        <f t="shared" si="79"/>
        <v>28.907215260434192</v>
      </c>
      <c r="FA82" s="188">
        <f t="shared" si="80"/>
        <v>14.14672784802034</v>
      </c>
      <c r="FB82" s="181">
        <f t="shared" si="81"/>
        <v>9.3866818978788444</v>
      </c>
      <c r="FC82" s="181">
        <f>'Local emissions'!Y82-Intermediate!ET82</f>
        <v>477.69317073679622</v>
      </c>
      <c r="FD82" s="188">
        <f t="shared" si="82"/>
        <v>131.33876170363709</v>
      </c>
      <c r="FE82" s="188">
        <f t="shared" si="83"/>
        <v>105.0394313031647</v>
      </c>
      <c r="FF82" s="181">
        <f t="shared" si="84"/>
        <v>22.436427148620659</v>
      </c>
      <c r="FG82" s="201">
        <f t="shared" si="85"/>
        <v>18.620255966122805</v>
      </c>
      <c r="FH82" s="181">
        <f t="shared" si="86"/>
        <v>200.25829461525097</v>
      </c>
      <c r="FJ82" s="147">
        <f>AVERAGE(Parameters!$C$132:$C$134)*'Local emissions'!J82*3600*24*365/1000000</f>
        <v>0.21869430938294646</v>
      </c>
      <c r="FK82" s="147">
        <f>'Local emissions'!AJ82+CT82*BJ82/100*Intermediate!X82*100/1000000</f>
        <v>2.213911634613523</v>
      </c>
      <c r="FL82" s="31">
        <f>(Parameters!$C$18*(Basicinfo!AH82+Basicinfo!AI82)+Parameters!$C$19*Basicinfo!AJ82+Parameters!$C$20*Basicinfo!AK82)/Basicinfo!G82</f>
        <v>4.2852331068762737E-3</v>
      </c>
      <c r="FM82" s="181">
        <f>FL82*(AU82+AW82)*3600*24*365/1000000</f>
        <v>0.62055928190760279</v>
      </c>
    </row>
    <row r="83" spans="1:169">
      <c r="A83" s="39" t="str">
        <f>Basicinfo!A83</f>
        <v>Enns</v>
      </c>
      <c r="B83" s="63">
        <f>Basicinfo!B83</f>
        <v>4060</v>
      </c>
      <c r="C83" s="63">
        <f>Basicinfo!C83</f>
        <v>4070</v>
      </c>
      <c r="D83" s="61">
        <f>Basicinfo!U83*Basicinfo!V83/1000+Basicinfo!Y83</f>
        <v>5.0236100245739461</v>
      </c>
      <c r="E83" s="19">
        <f>Basicinfo!W83*Basicinfo!X83/1000+Basicinfo!Z83</f>
        <v>0.44804415344723381</v>
      </c>
      <c r="F83" s="19">
        <f t="shared" si="71"/>
        <v>5.47165417802118</v>
      </c>
      <c r="G83" s="19">
        <f>SUM(Basicinfo!H83:L83)</f>
        <v>4.3510900044113452</v>
      </c>
      <c r="H83" s="19">
        <f>IF(Basicinfo!N83&lt;Parameters!$C$68,Parameters!$C$69,Basicinfo!BS83/(Basicinfo!N83*100))</f>
        <v>15.958855368116494</v>
      </c>
      <c r="I83" s="19">
        <f>IF(Basicinfo!N83=0,0,Basicinfo!BU83*(1-Basicinfo!BX83/100))</f>
        <v>10855.938059908973</v>
      </c>
      <c r="J83" s="19">
        <f>IF(Basicinfo!N83=0,0,Basicinfo!BU83*Basicinfo!BX83/100)</f>
        <v>10020.865901454437</v>
      </c>
      <c r="K83" s="19">
        <f>IF(Basicinfo!N83=0,0,Basicinfo!BT83-Basicinfo!BU83)</f>
        <v>0</v>
      </c>
      <c r="L83" s="27">
        <f>Basicinfo!BV83*Basicinfo!BW83/100</f>
        <v>1258.6133333333332</v>
      </c>
      <c r="M83" s="27">
        <f>Basicinfo!BV83-Intermediate!L83</f>
        <v>1258.6133333333332</v>
      </c>
      <c r="N83" s="73">
        <f>Basicinfo!BS83-SUM(I83:K83)-Basicinfo!BV83</f>
        <v>0</v>
      </c>
      <c r="O83" s="19">
        <f>IF(Basicinfo!AH83+Basicinfo!AI83+Basicinfo!AJ83+Basicinfo!AK83=0,0,N83*(Basicinfo!AH83+Basicinfo!AI83)/SUM(Basicinfo!AH83:AK83))</f>
        <v>0</v>
      </c>
      <c r="P83" s="73">
        <f t="shared" si="67"/>
        <v>0</v>
      </c>
      <c r="Q83" s="19">
        <f>IF(Basicinfo!BS83=0,Basicinfo!N83,IF(H83&gt;Parameters!$C$70,Parameters!$C$64*(Parameters!$C$65*Parameters!$C$70)^(Parameters!$C$66-Parameters!$C$67*LOG(Parameters!$C$65*Parameters!$C$70,10))/100*Basicinfo!N83,Parameters!$C$64*(Parameters!$C$65*H83)^(Parameters!$C$66-Parameters!$C$67*LOG(Parameters!$C$65*H83,10))/100*Basicinfo!N83))</f>
        <v>3.8629564545237884</v>
      </c>
      <c r="R83" s="19">
        <f>IF(Basicinfo!BS83=0,Q83*(1-Basicinfo!BX83/100),IF(H83&lt;Parameters!$C$75,Q83*Basicinfo!BU83/Basicinfo!BS83*(1-Basicinfo!BX83/100)*(-Parameters!$C$74+Parameters!$C$73*LN(H83*100)),Q83*Basicinfo!BU83/Basicinfo!BS83*(1-Basicinfo!BX83/100)))</f>
        <v>0.99291464800511231</v>
      </c>
      <c r="S83" s="19">
        <f>IF(Basicinfo!BS83=0,Q83*Basicinfo!BX83/100,Q83*Basicinfo!BU83/Basicinfo!BS83*Basicinfo!BX83/100)</f>
        <v>1.6547028269493378</v>
      </c>
      <c r="T83" s="19">
        <f>IF(Basicinfo!BS83=0,0,IF(H83&lt;Parameters!$C$75,Q83*K83/Basicinfo!BS83*(-Parameters!$C$74+Parameters!$C$73*LN(H83*100)),Q83*K83/Basicinfo!BS83))</f>
        <v>0</v>
      </c>
      <c r="U83" s="19">
        <f t="shared" si="68"/>
        <v>1.2153389795693386</v>
      </c>
      <c r="V83" s="19">
        <f>IF(Basicinfo!AL83&gt;Parameters!$C$14,Basicinfo!Q83,0)</f>
        <v>18.822330432952</v>
      </c>
      <c r="W83" s="19">
        <f>IF(Basicinfo!AL83&gt;Parameters!$C$14,0,Basicinfo!Q83)</f>
        <v>0</v>
      </c>
      <c r="X83" s="19">
        <f>G83+Basicinfo!M83</f>
        <v>133.5894430758745</v>
      </c>
      <c r="Y83" s="19">
        <f>IF(Basicinfo!G83-F83-Q83-V83-Basicinfo!O83-Basicinfo!R83-Basicinfo!S83&lt;0,0,Basicinfo!G83-F83-Q83-V83-Basicinfo!O83-Basicinfo!R83-Basicinfo!S83)</f>
        <v>578.05448011940155</v>
      </c>
      <c r="Z83" s="19">
        <f>Basicinfo!G83-F83-Basicinfo!BO83-Q83-Basicinfo!O83</f>
        <v>586.13217721936303</v>
      </c>
      <c r="AA83" s="53">
        <f>IF(Z83+Basicinfo!BO83-X83&gt;0,Z83+Basicinfo!BO83-X83,0)</f>
        <v>465.56117118153469</v>
      </c>
      <c r="AB83" s="56">
        <f>IF(Basicinfo!N83=0,0,Parameters!$C$71+Parameters!$C$72*Q83/Basicinfo!N83)</f>
        <v>0.34764132674900794</v>
      </c>
      <c r="AC83" s="43">
        <f>Basicinfo!AU83*AB83*R83/1000/86.4/0.365</f>
        <v>1.4466880462160044E-2</v>
      </c>
      <c r="AD83" s="43">
        <f>Basicinfo!AU83*AB83*S83/1000/86.4/0.365</f>
        <v>2.4109210238734559E-2</v>
      </c>
      <c r="AE83" s="43">
        <f>Basicinfo!AU83*AB83*T83/1000/86.4/0.365</f>
        <v>0</v>
      </c>
      <c r="AF83" s="43">
        <f>Basicinfo!AU83*AB83*U83/1000/86.4/0.365</f>
        <v>1.770762851948848E-2</v>
      </c>
      <c r="AG83" s="43">
        <f>((Parameters!$C$80+Parameters!$C$81*Parameters!$C$89)/(Parameters!$C$82+Parameters!$C$89)/(Parameters!$C$90/100*Parameters!$C$91+(Parameters!$C$83+Parameters!$C$84*Parameters!$C$89)/(Parameters!$C$85+Parameters!$C$89)))-Parameters!$C$86+(Basicinfo!AU83-Parameters!$C$88)/Parameters!$C$87</f>
        <v>84.431568818333645</v>
      </c>
      <c r="AH83" s="43">
        <f>((Parameters!$C$80+Parameters!$C$81*Parameters!$C$89)/(Parameters!$C$82+Parameters!$C$89)/(Basicinfo!BY83/100*Parameters!$C$91+(Parameters!$C$83+Parameters!$C$84*Parameters!$C$89)/(Parameters!$C$85+Parameters!$C$89)))-Parameters!$C$86+(Basicinfo!AU83-Parameters!$C$88)/Parameters!$C$87</f>
        <v>66.62868695171808</v>
      </c>
      <c r="AI83" s="43">
        <f>Basicinfo!AU83^Parameters!$C$79*Parameters!$C$78*AH83/AG83</f>
        <v>60.142724858020571</v>
      </c>
      <c r="AJ83" s="43">
        <f>(J83*Parameters!$C$92/1000+Parameters!$C$94/100*S83*100*Parameters!$C$93/1000*86400*Parameters!$C$95/24)/86400</f>
        <v>1.5132848510771887E-2</v>
      </c>
      <c r="AK83" s="43">
        <f t="shared" si="72"/>
        <v>1.7725042447928042E-2</v>
      </c>
      <c r="AL83" s="43">
        <f>(K83*Parameters!$C$92/1000+Parameters!$C$94/100*T83*100*Parameters!$C$93/1000*86400*Parameters!$C$95/24)/86400</f>
        <v>0</v>
      </c>
      <c r="AM83" s="43">
        <f>(Intermediate!N83+Basicinfo!BV83-Intermediate!L83)*Parameters!$C$92/1000/86400</f>
        <v>1.8937469135802466E-3</v>
      </c>
      <c r="AN83" s="43">
        <f t="shared" si="73"/>
        <v>3.0530530678658057E-2</v>
      </c>
      <c r="AO83" s="43">
        <f t="shared" si="69"/>
        <v>1.7725042447928042E-2</v>
      </c>
      <c r="AP83" s="43">
        <f t="shared" si="70"/>
        <v>1.9601375433068727E-2</v>
      </c>
      <c r="AQ83" s="43">
        <f t="shared" si="58"/>
        <v>5.179329834315681E-2</v>
      </c>
      <c r="AR83" s="61">
        <f>(Basicinfo!AU83-Basicinfo!AY83)*F83/1000/86.4/0.365</f>
        <v>0.12635315549669804</v>
      </c>
      <c r="AS83" s="19">
        <f>IF(Basicinfo!AP83-Basicinfo!CB83-Basicinfo!CG83&lt;0,0,(Basicinfo!AP83-Basicinfo!CB83-Basicinfo!CG83)/Basicinfo!G83*1000)</f>
        <v>32.839180826139582</v>
      </c>
      <c r="AT83" s="19">
        <f>Parameters!$C$3*((AS83*86.4*0.365)^Parameters!$C$4)</f>
        <v>243.58412222335363</v>
      </c>
      <c r="AU83" s="19">
        <f>IF(AT83/86.4/0.365*(Basicinfo!G83/1000)-AN83&lt;0,0,AT83/86.4/0.365*(Basicinfo!G83/1000)-AN83)</f>
        <v>4.6729862625032688</v>
      </c>
      <c r="AV83" s="19">
        <f>IF(Basicinfo!AU83&gt;Parameters!$C$13,Parameters!$C$11*(Basicinfo!AU83-Parameters!$C$13)^Parameters!$C$12,0)</f>
        <v>170.8128503377331</v>
      </c>
      <c r="AW83" s="19">
        <f>IF(AV83*V83/1000/86.4/0.365&gt;Basicinfo!AP83*Parameters!$C$15,Basicinfo!AP83*Parameters!$C$15,AV83*V83/1000/86.4/0.365)</f>
        <v>0.10195002255362724</v>
      </c>
      <c r="AX83" s="19">
        <f>Basicinfo!AU83-Basicinfo!AW83</f>
        <v>476.60052655271443</v>
      </c>
      <c r="AY83" s="19">
        <f>Parameters!$C$56*AX83+Parameters!$C$57*Basicinfo!AW83</f>
        <v>322.81182161702861</v>
      </c>
      <c r="AZ83" s="19">
        <f>AY83*Basicinfo!BO83/1000/86.4/0.365</f>
        <v>0.1332605712474082</v>
      </c>
      <c r="BA83" s="19">
        <f>IF(Basicinfo!AP83-AQ83-AR83-AU83-AW83-AZ83-Basicinfo!CB83-Basicinfo!CG83&lt;0,0,Basicinfo!AP83-AQ83-AR83-AU83-AW83-AZ83-Basicinfo!CB83-Basicinfo!CG83)</f>
        <v>14.911015774520861</v>
      </c>
      <c r="BB83" s="53">
        <f t="shared" si="59"/>
        <v>802.26578874427219</v>
      </c>
      <c r="BC83" s="56">
        <f>IF(G83=0,0,((Basicinfo!H83*Basicinfo!BE83+Basicinfo!I83*Basicinfo!BF83+Basicinfo!J83*Basicinfo!BG83+Basicinfo!K83*Basicinfo!BH83+Basicinfo!L83*Basicinfo!BI83)*(1-Basicinfo!BN83/G83*Parameters!$C$26/100)/G83)*Basicinfo!BM83)</f>
        <v>2.9347649244957794</v>
      </c>
      <c r="BD83" s="43">
        <f>IF(Basicinfo!AW83*Parameters!$C$39-Parameters!$C$40&lt;0,0.001,(Basicinfo!AW83*Parameters!$C$39-Parameters!$C$40)/(Basicinfo!AX83*Parameters!$C$39-Parameters!$C$40))</f>
        <v>1.1161378292430555</v>
      </c>
      <c r="BE83" s="43">
        <f>(BC83*G83*100+Basicinfo!BJ83*Basicinfo!M83*100)*Parameters!$C$29*BD83</f>
        <v>3861.2707573875682</v>
      </c>
      <c r="BF83" s="43">
        <f>(Basicinfo!BK83*Basicinfo!P83*100)*BD83*Parameters!$C$29</f>
        <v>3387.0452895992562</v>
      </c>
      <c r="BG83" s="43">
        <f>Parameters!$C$27*(V83+W83)*100</f>
        <v>376.44660865904001</v>
      </c>
      <c r="BH83" s="43">
        <f>Parameters!$C$28*Basicinfo!R83*100</f>
        <v>0</v>
      </c>
      <c r="BI83" s="43">
        <f t="shared" si="74"/>
        <v>3763.4918982582963</v>
      </c>
      <c r="BJ83" s="43">
        <f>IF(Basicinfo!AM83&lt;Parameters!$C$33,0,Parameters!$C$30*(((Basicinfo!AM83-Parameters!$C$33)^Parameters!$C$31)*(((G83-Basicinfo!BN83)/Basicinfo!G83*100+Parameters!$C$34))^Parameters!$C$32))</f>
        <v>1.4987250378290107</v>
      </c>
      <c r="BK83" s="58">
        <f t="shared" si="75"/>
        <v>3821.3617298776335</v>
      </c>
      <c r="BL83" s="61">
        <f>Basicinfo!AZ83+Basicinfo!BA83</f>
        <v>1168.2500680230496</v>
      </c>
      <c r="BM83" s="19">
        <f>Basicinfo!BB83+Basicinfo!BC83</f>
        <v>1640.2450202451282</v>
      </c>
      <c r="BN83" s="172">
        <f>IF(Basicinfo!AO83=0,0,IF(Basicinfo!AO83="NA",1,IF(OR(Basicinfo!AO83="SA",Basicinfo!AN83="S"),3,IF(Basicinfo!AN83="N",1,IF(Basicinfo!AO83="ZA",2,0)))))</f>
        <v>2</v>
      </c>
      <c r="BO83" s="27">
        <f>IF($BN83=1,(BL83)*(1+Parameters!$C$21*Parameters!$C$22-Parameters!$C$22*Basicinfo!$AL83),IF($BN83=2,(BL83)*(1+Parameters!$C$21*Parameters!$C$23-Parameters!$C$23*Basicinfo!$AL83),IF($BN83=3,(BL83)*(1+Parameters!$C$21*Parameters!$C$24-Parameters!$C$24*Basicinfo!$AL83),BL83)))</f>
        <v>793.29286723005032</v>
      </c>
      <c r="BP83" s="27">
        <f>IF($BN83=1,(BM83)*(1+Parameters!$C$21*Parameters!$C$22-Parameters!$C$22*Basicinfo!$AL83),IF($BN83=2,(BM83)*(1+Parameters!$C$21*Parameters!$C$23-Parameters!$C$23*Basicinfo!$AL83),IF($BN83=3,(BM83)*(1+Parameters!$C$21*Parameters!$C$24-Parameters!$C$24*Basicinfo!$AL83),BM83)))</f>
        <v>1113.7980734484297</v>
      </c>
      <c r="BQ83" s="27">
        <f>IF(Basicinfo!AU83=0,0,IF(G83+Basicinfo!M83=0,0,(Parameters!$C$16+BO83/Basicinfo!AU83)*G83+(Parameters!$C$17+BO83/Basicinfo!AU83)*Basicinfo!M83)/(G83+Basicinfo!M83))</f>
        <v>0.60997031979098881</v>
      </c>
      <c r="BR83" s="27">
        <f>IF(Basicinfo!AU83=0,0,IF(G83+Basicinfo!M83=0,0,(Parameters!$C$16+BP83/Basicinfo!AU83)*G83+(Parameters!$C$17+BP83/Basicinfo!AU83)*Basicinfo!M83)/(G83+Basicinfo!M83))</f>
        <v>0.85246203476919058</v>
      </c>
      <c r="BS83" s="27">
        <f>IF(Basicinfo!AU83=0,0,BO83/Basicinfo!AU83)</f>
        <v>0.60019913599630803</v>
      </c>
      <c r="BT83" s="27">
        <f>IF(Basicinfo!AU83=0,0,BP83/Basicinfo!AU83)</f>
        <v>0.8426908509745098</v>
      </c>
      <c r="BU83" s="27">
        <f>IF(SUM(G83,Basicinfo!M83,Basicinfo!P83,W83)=0,0,(BQ83*(G83+Basicinfo!M83)+BS83*(Basicinfo!P83+W83))/SUM(G83,Basicinfo!M83,Basicinfo!P83,W83))</f>
        <v>0.60250025103876514</v>
      </c>
      <c r="BV83" s="19">
        <f>IF(Basicinfo!BR83/Parameters!$C$10&gt;1,1,Basicinfo!BR83/Parameters!$C$10)</f>
        <v>0.35811422641469265</v>
      </c>
      <c r="BW83" s="19">
        <f>Parameters!$C$5+Parameters!$C$6*EXP(BV83*Parameters!$C$8*Parameters!$C$7)</f>
        <v>3.509132518852049E-2</v>
      </c>
      <c r="BX83" s="19">
        <f>Parameters!$C$5+Parameters!$C$6*EXP(BV83*Parameters!$C$9*Parameters!$C$7)</f>
        <v>3.5052423218064156E-2</v>
      </c>
      <c r="BY83" s="19">
        <f>IF(Basicinfo!AH83+Basicinfo!AI83+Basicinfo!AJ83+Basicinfo!AK83=0,0,(Parameters!$C$18*(Basicinfo!AH83+Basicinfo!AI83)+Parameters!$C$19*Basicinfo!AJ83+Parameters!$C$20*Basicinfo!AK83)/(Basicinfo!AH83+Basicinfo!AI83+Basicinfo!AJ83+Basicinfo!AK83))</f>
        <v>1.3878967493209705E-2</v>
      </c>
      <c r="BZ83" s="19">
        <f>IF(Basicinfo!AJ83+Basicinfo!AK83=0,Parameters!$C$18,(Parameters!$C$19*Basicinfo!AJ83+Parameters!$C$20*Basicinfo!AK83)/(Basicinfo!AJ83+Basicinfo!AK83))</f>
        <v>1.0874688141448057E-2</v>
      </c>
      <c r="CA83" s="19">
        <f>IF(SUM(G83,Basicinfo!M83,Basicinfo!P83,W83)=0,0,(BW83*G83+BX83*Basicinfo!M83+BY83*Basicinfo!P83+BZ83*W83)/(SUM(G83,Basicinfo!M83,Basicinfo!P83,W83)))</f>
        <v>1.8865617437195118E-2</v>
      </c>
      <c r="CB83" s="19">
        <f>IF(Y83=0,Basicinfo!BP83,Basicinfo!BP83-(AU83*X83/Y83*Intermediate!BQ83*86400*365/1000000)*1000/(X83*100))</f>
        <v>51.020621392519352</v>
      </c>
      <c r="CC83" s="19">
        <f>IF(Y83=0,Basicinfo!BQ83,Basicinfo!BQ83-(AU83*Basicinfo!AV83/Basicinfo!AU83*X83/Y83*Intermediate!BR83*86400*365/1000000)*1000/(X83*100))</f>
        <v>45.793779637883439</v>
      </c>
      <c r="CD83" s="19">
        <f>IF(OR(Y83=0,AA83=0),BP83/100,BP83/100-(AU83*Basicinfo!AV83/Basicinfo!AU83*(Basicinfo!P83+W83)/Y83*Intermediate!BT83*86400*365/1000000+AW83*Basicinfo!AV83/Basicinfo!AU83*Intermediate!BT83*86400*365/1000000)*1000/(AA83*100))</f>
        <v>9.1630214385451794</v>
      </c>
      <c r="CE83" s="19">
        <f t="shared" si="60"/>
        <v>552140.20812142245</v>
      </c>
      <c r="CF83" s="19">
        <f t="shared" si="61"/>
        <v>426594.69924906042</v>
      </c>
      <c r="CG83" s="19">
        <f>IF(AY83=0,0,((CB83^Parameters!$C$58))/AY83*100)</f>
        <v>8.7626295459168411</v>
      </c>
      <c r="CH83" s="19">
        <f>IF(SUM(Basicinfo!AB83:AG83)=0,0,(Parameters!$C$59*Basicinfo!AB83+Parameters!$C$60*SUM(Basicinfo!AC83:AE83)+Parameters!$C$61*Basicinfo!AF83+Parameters!$C$62*Basicinfo!AG83)/SUM(Basicinfo!AB83:AG83))</f>
        <v>0.48392254751644198</v>
      </c>
      <c r="CI83" s="19">
        <f t="shared" si="88"/>
        <v>4</v>
      </c>
      <c r="CJ83" s="19">
        <f t="shared" si="62"/>
        <v>16.698194458690949</v>
      </c>
      <c r="CK83" s="19">
        <f t="shared" si="76"/>
        <v>2.081379349956753</v>
      </c>
      <c r="CL83" s="19">
        <f>IF($BB83=0,0,$CJ83^Parameters!$C$58*100/$BB83)</f>
        <v>1.3644286005559974</v>
      </c>
      <c r="CM83" s="19">
        <f>IF(CK83=0,0,(1/(1+Parameters!$C$116*BB83^Parameters!$C$120)*Basicinfo!AH83/Basicinfo!G83+1/(1+Parameters!$C$117*BB83^Parameters!$C$121)*Basicinfo!AI83/Basicinfo!G83)*(CK83)^Parameters!$C$124+(1/(1+Parameters!$C$118*BB83^Parameters!$C$122)*Basicinfo!AJ83/Basicinfo!G83+1/(1+Parameters!$C$119*BB83^Parameters!$C$123)*Basicinfo!AK83/Basicinfo!G83)*(CK83)^Parameters!$C$125)</f>
        <v>0.86259277239321397</v>
      </c>
      <c r="CN83" s="19">
        <f>IF(SUM(Basicinfo!AB83:AG83)=0,0,(Parameters!$C$128*Basicinfo!AB83+Parameters!$C$129*(SUM(Basicinfo!AC83:AE83))+Parameters!$C$130*Basicinfo!AF83+Parameters!$C$131*Basicinfo!AG83)/SUM(Basicinfo!AB83:AG83))</f>
        <v>8.835869155694763E-2</v>
      </c>
      <c r="CO83" s="19">
        <f>IF(Basicinfo!AH83+Basicinfo!AI83+Basicinfo!AJ83+Basicinfo!AK83=0,0,(Parameters!$C$132*(Basicinfo!AH83+Basicinfo!AI83)+Parameters!$C$133*Basicinfo!AJ83+Parameters!$C$134*Basicinfo!AK83)/(Basicinfo!AH83+Basicinfo!AI83+Basicinfo!AJ83+Basicinfo!AK83))</f>
        <v>5.0000000000000001E-4</v>
      </c>
      <c r="CP83" s="19">
        <f>IF(Basicinfo!AJ83+Basicinfo!AK83=0,0,(Parameters!$C$133*Basicinfo!AJ83+Parameters!$C$134*Basicinfo!AK83)/(Basicinfo!AJ83+Basicinfo!AK83))</f>
        <v>5.0000000000000001E-4</v>
      </c>
      <c r="CQ83" s="19">
        <f>IF(Z83=0,0,(CN83*(Z83-AA83)+CO83*Basicinfo!P83+CP83*(Basicinfo!Q83+Basicinfo!R83))/Z83)</f>
        <v>1.8561925851198841E-2</v>
      </c>
      <c r="CR83" s="19">
        <f>IF(CK83=0,0,IF(AND((Basicinfo!AI83+Basicinfo!AK83)&gt;0,(CM83/CK83)&lt;Parameters!$C$135),CQ83*Parameters!$C$136,CQ83))</f>
        <v>1.8561925851198841E-2</v>
      </c>
      <c r="CS83" s="19">
        <f>IF(SUM(Basicinfo!AB83:AG83)=0,0,(Basicinfo!AB83*Parameters!$C$43+(Basicinfo!AC83+Basicinfo!AD83)*Parameters!$C$44+Basicinfo!AE83*Parameters!$C$45+(Basicinfo!AF83+Basicinfo!AG83)*Parameters!$C$46)/SUM(Basicinfo!AB83:AG83))</f>
        <v>18.642115231258586</v>
      </c>
      <c r="CT83" s="19">
        <f>(Parameters!$C$41*CS83+Parameters!$C$42)</f>
        <v>465.14957535883752</v>
      </c>
      <c r="CU83" s="19">
        <f>CT83+Basicinfo!BR83/(Parameters!$C$47*Parameters!$C$49*Parameters!$C$48*10000/1000000)</f>
        <v>591.27785636023873</v>
      </c>
      <c r="CV83" s="19">
        <f>IF(BK83/Basicinfo!G83&lt;Parameters!$C$35,Parameters!$C$35,Parameters!$C$37*(BK83/Basicinfo!G83)^Parameters!$C$38)</f>
        <v>3.2308356582641764</v>
      </c>
      <c r="CW83" s="19">
        <f>IF(BK83/Basicinfo!G83&lt;Parameters!$C$35,Parameters!$C$36,Parameters!$C$36*(BK83/Basicinfo!G83)^Parameters!$C$38)</f>
        <v>7.5924637969208151</v>
      </c>
      <c r="CX83" s="27">
        <f>IF(Basicinfo!AJ83+Basicinfo!AK83=0,0,(Parameters!$C$53*Basicinfo!AJ83+Parameters!$C$54*Basicinfo!AK83)/(Basicinfo!AJ83+Basicinfo!AK83))</f>
        <v>623.77380892357837</v>
      </c>
      <c r="CY83" s="56">
        <f>IF(Basicinfo!AU83*AB83=0,0,((Basicinfo!AZ83+Basicinfo!BA83)/Basicinfo!AU83+Parameters!$C$76/(Basicinfo!AU83*AB83)*100))</f>
        <v>1.75443216485016</v>
      </c>
      <c r="CZ83" s="43">
        <f>IF(Basicinfo!AU83*AB83=0,0,(Parameters!$C$77)/(Basicinfo!AU83*AB83)*100)</f>
        <v>0.54408960225095249</v>
      </c>
      <c r="DA83" s="43">
        <f>IF(AD83+AJ83=0,0,((J83*Parameters!$C$96+Parameters!$C$94/100*S83*100*Parameters!$C$93/1000*86400*Parameters!$C$95/24*Parameters!$C$98)*AI83+AD83*CY83*86400*365)/((AD83+AJ83*AI83/365)*86400*365))</f>
        <v>10.21125955151099</v>
      </c>
      <c r="DB83" s="43">
        <f>IF(AD83+AJ83=0,0,((J83*Parameters!$C$97+Parameters!$C$94/100*S83*100*Parameters!$C$93/1000*86400*Parameters!$C$95/24*Parameters!$C$99)*AI83+AD83*CZ83*86400*365)/((AD83+AJ83*AI83/365)*86400*365))</f>
        <v>1.8955958679022065</v>
      </c>
      <c r="DC83" s="42">
        <f>IF(AE83+AL83=0,0,((K83*Parameters!$C$96+Parameters!$C$94/100*T83*100*Parameters!$C$93/1000*86400*Parameters!$C$95/24*Parameters!$C$98)*365+AE83*CY83*86400*365)/((AE83+AL83)*86400*365))</f>
        <v>0</v>
      </c>
      <c r="DD83" s="42">
        <f>IF(AE83+AL83=0,0,((K83*Parameters!$C$97+Parameters!$C$94/100*T83*100*Parameters!$C$93/1000*86400*Parameters!$C$95/24*Parameters!$C$99)*365+AE83*CZ83*86400*365)/((AE83+AL83)*86400*365))</f>
        <v>0</v>
      </c>
      <c r="DE83" s="42">
        <f>IF(Basicinfo!AH83+Basicinfo!AI83+Basicinfo!AJ83+Basicinfo!AK83=0,0,((Basicinfo!AH83+Basicinfo!AI83)*Parameters!$C$107+(Basicinfo!AJ83+Basicinfo!AK83)*Parameters!$C$106)/(Basicinfo!AH83+Basicinfo!AI83+Basicinfo!AJ83+Basicinfo!AK83))</f>
        <v>54.981124172613242</v>
      </c>
      <c r="DF83" s="42">
        <f>IF(Basicinfo!AH83+Basicinfo!AI83+Basicinfo!AJ83+Basicinfo!AK83=0,0,((Basicinfo!AH83+Basicinfo!AI83)*Parameters!$C$109+(Basicinfo!AJ83+Basicinfo!AK83)*Parameters!$C$108)/(Basicinfo!AH83+Basicinfo!AI83+Basicinfo!AJ83+Basicinfo!AK83))</f>
        <v>54.981124172613242</v>
      </c>
      <c r="DG83" s="42">
        <f>Intermediate!AC83*Intermediate!CY83*(1-Parameters!$C$102/100*Basicinfo!BZ83/100)*(1-Parameters!$C$104/100*Basicinfo!CA83/100)*86400*365/1000000</f>
        <v>0.8004202746221446</v>
      </c>
      <c r="DH83" s="42">
        <f>Intermediate!AC83*Intermediate!CZ83*(1-Parameters!$C$103/100*Basicinfo!BZ83/100)*(1-Parameters!$C$105/100*Basicinfo!CA83/100)*86400*365/1000000</f>
        <v>0.24822866200127799</v>
      </c>
      <c r="DI83" s="42">
        <f>(Intermediate!AK83*Intermediate!DA83+(Intermediate!AE83+Intermediate!AL83)*Intermediate!DC83)*86400*365/1000000</f>
        <v>5.707858603740207</v>
      </c>
      <c r="DJ83" s="42">
        <f>(Intermediate!AK83*Intermediate!DB83+(Intermediate!AE83+Intermediate!AL83)*Intermediate!DD83)*86400*365/1000000</f>
        <v>1.0595943751345502</v>
      </c>
      <c r="DK83" s="42">
        <f>((Basicinfo!AZ83+Basicinfo!BA83)*Intermediate!AB83+Parameters!$C$76*100)/1000*Intermediate!U83*(1-Intermediate!DE83/100)+(1-Parameters!$C$110/100)*M83*Parameters!$C$100*(1-DE83/100)*365/1000000+(1-Parameters!$C$112/100)*P83*Parameters!$C$96*365/1000000+(1-Parameters!$C$112/100)*O83*Parameters!$C$96*(1-DE83/100)*365/1000000</f>
        <v>2.1162536025362728</v>
      </c>
      <c r="DL83" s="42">
        <f>Parameters!$C$77*100/1000*Intermediate!U83*(1-Intermediate!DF83/100)+(1-Parameters!$C$111/100)*M83*Parameters!$C$101*(1-DF83/100)*365/1000000+(1-Parameters!$C$113/100)*P83*Parameters!$C$97*365/1000000+(1-Parameters!$C$113/100)*O83*Parameters!$C$97*(1-DF83/100)*365/1000000</f>
        <v>0.3605275773336577</v>
      </c>
      <c r="DM83" s="31"/>
      <c r="DN83" s="31"/>
      <c r="DO83" s="31"/>
      <c r="DP83" s="31"/>
      <c r="DQ83" s="31"/>
      <c r="DR83" s="31"/>
      <c r="DS83" s="31"/>
      <c r="DT83" s="188">
        <f>BO83*(Basicinfo!$P83+Basicinfo!$Q83)/1000</f>
        <v>358.95816732441125</v>
      </c>
      <c r="DU83" s="188">
        <f>DT83*Basicinfo!$AZ83/(Basicinfo!$AZ83+Basicinfo!$BA83)</f>
        <v>188.90710850790123</v>
      </c>
      <c r="DV83" s="188">
        <f>DT83*Basicinfo!$BC83/(Basicinfo!$BB83+Basicinfo!$BC83)</f>
        <v>164.13635468105872</v>
      </c>
      <c r="DW83" s="188">
        <f>BP83*(Basicinfo!$P83+Basicinfo!$Q83)/1000</f>
        <v>503.9840035503139</v>
      </c>
      <c r="DX83" s="188">
        <f>DW83*Basicinfo!$BB83/(Basicinfo!$BB83+Basicinfo!$BC83)</f>
        <v>273.5334812042002</v>
      </c>
      <c r="DY83" s="188">
        <f>DW83*Basicinfo!$BC83/(Basicinfo!$BB83+Basicinfo!$BC83)</f>
        <v>230.45052234611379</v>
      </c>
      <c r="DZ83" s="188">
        <f t="shared" si="63"/>
        <v>105.97555232932608</v>
      </c>
      <c r="EA83" s="188">
        <f>DZ83*Basicinfo!$AZ83/(Basicinfo!$AZ83+Basicinfo!$BA83)</f>
        <v>55.7712206753272</v>
      </c>
      <c r="EB83" s="188">
        <f>DZ83*Basicinfo!$BC83/(Basicinfo!$BB83+Basicinfo!$BC83)</f>
        <v>48.458128071862482</v>
      </c>
      <c r="EC83" s="188">
        <f t="shared" si="64"/>
        <v>148.7916643309577</v>
      </c>
      <c r="ED83" s="188">
        <f>EC83*Basicinfo!$AZ83/(Basicinfo!$AZ83+Basicinfo!$BA83)</f>
        <v>78.303840495811301</v>
      </c>
      <c r="EE83" s="188">
        <f>EC83*Basicinfo!$BC83/(Basicinfo!$BB83+Basicinfo!$BC83)</f>
        <v>68.036121234537674</v>
      </c>
      <c r="EF83" s="190">
        <f>(Basicinfo!BP83-BL83/100)*Intermediate!X83/10</f>
        <v>546.28943156779872</v>
      </c>
      <c r="EG83" s="191">
        <f>(Basicinfo!BQ83-BM83/100)*Intermediate!X83/10</f>
        <v>420.47949116965856</v>
      </c>
      <c r="EH83" s="197">
        <f>IF(AU83=0,0,$BS83*((Basicinfo!$P83+Basicinfo!$Q83)*Intermediate!$AT83*1000+$AW83*3600*24*365)/1000000*Basicinfo!AZ83/(Basicinfo!$AZ83+Basicinfo!$BA83))</f>
        <v>35.829946621251345</v>
      </c>
      <c r="EI83" s="197">
        <f>IF(AU83=0,0,$BS83*((Basicinfo!$P83+Basicinfo!$Q83)*Intermediate!$AT83*1000+$AW83*3600*24*365)/1000000*Basicinfo!BA83/(Basicinfo!$AZ83+Basicinfo!$BA83))</f>
        <v>32.253526129367351</v>
      </c>
      <c r="EJ83" s="198">
        <f>IF(AU83=0,0,$BS83*($AT83*$X83*1000)/1000000*Basicinfo!AZ83/(Basicinfo!$AZ83+Basicinfo!$BA83))</f>
        <v>10.278291783809408</v>
      </c>
      <c r="EK83" s="198">
        <f>IF(AU83=0,0,$BS83*($AT83*$X83*1000)/1000000*Basicinfo!BA83/(Basicinfo!$AZ83+Basicinfo!$BA83))</f>
        <v>9.2523484926916897</v>
      </c>
      <c r="EL83" s="147">
        <f>Parameters!$C$150/Basicinfo!$AV83*100</f>
        <v>7.8892428838945705E-2</v>
      </c>
      <c r="EM83" s="147">
        <f>Parameters!$C$151/Basicinfo!$AV83*100</f>
        <v>0.15778485767789141</v>
      </c>
      <c r="EN83" s="147">
        <f>(Parameters!$C$150+Parameters!$C$151)/Intermediate!$BB83*100</f>
        <v>0.37394091111571393</v>
      </c>
      <c r="EO83" s="193">
        <f>IF(EN83=0,0,(1/(1+Parameters!$C$116*$BB83^Parameters!$C$120)*Basicinfo!$AH83/Basicinfo!$G83+1/(1+Parameters!$C$117*$BB83^Parameters!$C$121)*Basicinfo!$AI83/Basicinfo!$G83)*(EN83)^Parameters!$C$124+(1/(1+Parameters!$C$118*$BB83^Parameters!$C$122)*Basicinfo!$AJ83/Basicinfo!AW83+1/(1+Parameters!$C$119*$BB83^Parameters!$C$123)*Basicinfo!$AK83/Basicinfo!$G83)*(EN83)^Parameters!$C$125)</f>
        <v>0.18532384449415712</v>
      </c>
      <c r="EP83" s="199">
        <f>EL83*($AT83*Basicinfo!$P83*1000+$AW83*3600*24*365)/1000000</f>
        <v>8.5874397345767068</v>
      </c>
      <c r="EQ83" s="199">
        <f>EM83*($AT83*Basicinfo!$P83*1000+$AW83*3600*24*365)/1000000</f>
        <v>17.174879469153414</v>
      </c>
      <c r="ER83" s="199">
        <f t="shared" si="65"/>
        <v>2.5671807168385992</v>
      </c>
      <c r="ES83" s="199">
        <f t="shared" si="66"/>
        <v>5.1343614336771983</v>
      </c>
      <c r="ET83" s="181">
        <f t="shared" si="77"/>
        <v>87.145534416058965</v>
      </c>
      <c r="EU83" s="147">
        <f>Intermediate!F83*(Parameters!$C$150)/1000*100</f>
        <v>0.54716541780211791</v>
      </c>
      <c r="EV83" s="147">
        <f>Intermediate!F83*(Parameters!$C$151)/1000*100</f>
        <v>1.0943308356042358</v>
      </c>
      <c r="EW83" s="181">
        <f>'Local emissions'!$S83*Basicinfo!AZ83/(Basicinfo!$AZ83+Basicinfo!$BA83)-Intermediate!EU83</f>
        <v>1.737153055239002</v>
      </c>
      <c r="EX83" s="147">
        <f>'Local emissions'!$S83*Basicinfo!BA83/(Basicinfo!$AZ83+Basicinfo!$BA83)-Intermediate!EV83</f>
        <v>0.96197492272835028</v>
      </c>
      <c r="EY83" s="188">
        <f t="shared" si="78"/>
        <v>27.24250688667464</v>
      </c>
      <c r="EZ83" s="188">
        <f t="shared" si="79"/>
        <v>15.078646660213938</v>
      </c>
      <c r="FA83" s="188">
        <f t="shared" si="80"/>
        <v>7.7111110669708083</v>
      </c>
      <c r="FB83" s="181">
        <f t="shared" si="81"/>
        <v>4.1179870590144914</v>
      </c>
      <c r="FC83" s="181">
        <f>'Local emissions'!Y83-Intermediate!ET83</f>
        <v>327.59571177657421</v>
      </c>
      <c r="FD83" s="188">
        <f t="shared" si="82"/>
        <v>83.492163735838957</v>
      </c>
      <c r="FE83" s="188">
        <f t="shared" si="83"/>
        <v>70.341709760815547</v>
      </c>
      <c r="FF83" s="181">
        <f t="shared" si="84"/>
        <v>11.950560938718651</v>
      </c>
      <c r="FG83" s="201">
        <f t="shared" si="85"/>
        <v>10.383524073648546</v>
      </c>
      <c r="FH83" s="181">
        <f t="shared" si="86"/>
        <v>151.4277532675525</v>
      </c>
      <c r="FJ83" s="147">
        <f>AVERAGE(Parameters!$C$132:$C$134)*'Local emissions'!J83*3600*24*365/1000000</f>
        <v>0.23511689673264491</v>
      </c>
      <c r="FK83" s="147">
        <f>'Local emissions'!AJ83+CT83*BJ83/100*Intermediate!X83*100/1000000</f>
        <v>1.8521172993709709</v>
      </c>
      <c r="FL83" s="31">
        <f>(Parameters!$C$18*(Basicinfo!AH83+Basicinfo!AI83)+Parameters!$C$19*Basicinfo!AJ83+Parameters!$C$20*Basicinfo!AK83)/Basicinfo!G83</f>
        <v>1.3878967493209705E-2</v>
      </c>
      <c r="FM83" s="181">
        <f>FL83*(AU83+AW83)*3600*24*365/1000000</f>
        <v>2.0899281053746113</v>
      </c>
    </row>
    <row r="84" spans="1:169">
      <c r="A84" s="39" t="str">
        <f>Basicinfo!A84</f>
        <v>Enns</v>
      </c>
      <c r="B84" s="63">
        <f>Basicinfo!B84</f>
        <v>4070</v>
      </c>
      <c r="C84" s="63">
        <f>Basicinfo!C84</f>
        <v>4080</v>
      </c>
      <c r="D84" s="61">
        <f>Basicinfo!U84*Basicinfo!V84/1000+Basicinfo!Y84</f>
        <v>6.0488362807902769</v>
      </c>
      <c r="E84" s="19">
        <f>Basicinfo!W84*Basicinfo!X84/1000+Basicinfo!Z84</f>
        <v>0.642748347593463</v>
      </c>
      <c r="F84" s="19">
        <f t="shared" si="71"/>
        <v>6.6915846283837404</v>
      </c>
      <c r="G84" s="19">
        <f>SUM(Basicinfo!H84:L84)</f>
        <v>1.2908454578300441</v>
      </c>
      <c r="H84" s="19">
        <f>IF(Basicinfo!N84&lt;Parameters!$C$68,Parameters!$C$69,Basicinfo!BS84/(Basicinfo!N84*100))</f>
        <v>15.362470313820522</v>
      </c>
      <c r="I84" s="19">
        <f>IF(Basicinfo!N84=0,0,Basicinfo!BU84*(1-Basicinfo!BX84/100))</f>
        <v>5813.31386099462</v>
      </c>
      <c r="J84" s="19">
        <f>IF(Basicinfo!N84=0,0,Basicinfo!BU84*Basicinfo!BX84/100)</f>
        <v>5366.1358716873419</v>
      </c>
      <c r="K84" s="19">
        <f>IF(Basicinfo!N84=0,0,Basicinfo!BT84-Basicinfo!BU84)</f>
        <v>0</v>
      </c>
      <c r="L84" s="27">
        <f>Basicinfo!BV84*Basicinfo!BW84/100</f>
        <v>945.62999999999965</v>
      </c>
      <c r="M84" s="27">
        <f>Basicinfo!BV84-Intermediate!L84</f>
        <v>945.62999999999988</v>
      </c>
      <c r="N84" s="73">
        <f>Basicinfo!BS84-SUM(I84:K84)-Basicinfo!BV84</f>
        <v>0</v>
      </c>
      <c r="O84" s="19">
        <f>IF(Basicinfo!AH84+Basicinfo!AI84+Basicinfo!AJ84+Basicinfo!AK84=0,0,N84*(Basicinfo!AH84+Basicinfo!AI84)/SUM(Basicinfo!AH84:AK84))</f>
        <v>0</v>
      </c>
      <c r="P84" s="73">
        <f t="shared" si="67"/>
        <v>0</v>
      </c>
      <c r="Q84" s="19">
        <f>IF(Basicinfo!BS84=0,Basicinfo!N84,IF(H84&gt;Parameters!$C$70,Parameters!$C$64*(Parameters!$C$65*Parameters!$C$70)^(Parameters!$C$66-Parameters!$C$67*LOG(Parameters!$C$65*Parameters!$C$70,10))/100*Basicinfo!N84,Parameters!$C$64*(Parameters!$C$65*H84)^(Parameters!$C$66-Parameters!$C$67*LOG(Parameters!$C$65*H84,10))/100*Basicinfo!N84))</f>
        <v>2.198943125750958</v>
      </c>
      <c r="R84" s="19">
        <f>IF(Basicinfo!BS84=0,Q84*(1-Basicinfo!BX84/100),IF(H84&lt;Parameters!$C$75,Q84*Basicinfo!BU84/Basicinfo!BS84*(1-Basicinfo!BX84/100)*(-Parameters!$C$74+Parameters!$C$73*LN(H84*100)),Q84*Basicinfo!BU84/Basicinfo!BS84*(1-Basicinfo!BX84/100)))</f>
        <v>0.53705587943605193</v>
      </c>
      <c r="S84" s="19">
        <f>IF(Basicinfo!BS84=0,Q84*Basicinfo!BX84/100,Q84*Basicinfo!BU84/Basicinfo!BS84*Basicinfo!BX84/100)</f>
        <v>0.90276869643797941</v>
      </c>
      <c r="T84" s="19">
        <f>IF(Basicinfo!BS84=0,0,IF(H84&lt;Parameters!$C$75,Q84*K84/Basicinfo!BS84*(-Parameters!$C$74+Parameters!$C$73*LN(H84*100)),Q84*K84/Basicinfo!BS84))</f>
        <v>0</v>
      </c>
      <c r="U84" s="19">
        <f t="shared" si="68"/>
        <v>0.75911854987692651</v>
      </c>
      <c r="V84" s="19">
        <f>IF(Basicinfo!AL84&gt;Parameters!$C$14,Basicinfo!Q84,0)</f>
        <v>32.999633398556398</v>
      </c>
      <c r="W84" s="19">
        <f>IF(Basicinfo!AL84&gt;Parameters!$C$14,0,Basicinfo!Q84)</f>
        <v>0</v>
      </c>
      <c r="X84" s="19">
        <f>G84+Basicinfo!M84</f>
        <v>65.668796772534733</v>
      </c>
      <c r="Y84" s="19">
        <f>IF(Basicinfo!G84-F84-Q84-V84-Basicinfo!O84-Basicinfo!R84-Basicinfo!S84&lt;0,0,Basicinfo!G84-F84-Q84-V84-Basicinfo!O84-Basicinfo!R84-Basicinfo!S84)</f>
        <v>667.82832100532596</v>
      </c>
      <c r="Z84" s="19">
        <f>Basicinfo!G84-F84-Basicinfo!BO84-Q84-Basicinfo!O84</f>
        <v>700.01290118579436</v>
      </c>
      <c r="AA84" s="53">
        <f>IF(Z84+Basicinfo!BO84-X84&gt;0,Z84+Basicinfo!BO84-X84,0)</f>
        <v>636.25040417433058</v>
      </c>
      <c r="AB84" s="56">
        <f>IF(Basicinfo!N84=0,0,Parameters!$C$71+Parameters!$C$72*Q84/Basicinfo!N84)</f>
        <v>0.34383720843403626</v>
      </c>
      <c r="AC84" s="43">
        <f>Basicinfo!AU84*AB84*R84/1000/86.4/0.365</f>
        <v>9.2532709743833146E-3</v>
      </c>
      <c r="AD84" s="43">
        <f>Basicinfo!AU84*AB84*S84/1000/86.4/0.365</f>
        <v>1.555436537461106E-2</v>
      </c>
      <c r="AE84" s="43">
        <f>Basicinfo!AU84*AB84*T84/1000/86.4/0.365</f>
        <v>0</v>
      </c>
      <c r="AF84" s="43">
        <f>Basicinfo!AU84*AB84*U84/1000/86.4/0.365</f>
        <v>1.307932733381148E-2</v>
      </c>
      <c r="AG84" s="43">
        <f>((Parameters!$C$80+Parameters!$C$81*Parameters!$C$89)/(Parameters!$C$82+Parameters!$C$89)/(Parameters!$C$90/100*Parameters!$C$91+(Parameters!$C$83+Parameters!$C$84*Parameters!$C$89)/(Parameters!$C$85+Parameters!$C$89)))-Parameters!$C$86+(Basicinfo!AU84-Parameters!$C$88)/Parameters!$C$87</f>
        <v>90.895256345547949</v>
      </c>
      <c r="AH84" s="43">
        <f>((Parameters!$C$80+Parameters!$C$81*Parameters!$C$89)/(Parameters!$C$82+Parameters!$C$89)/(Basicinfo!BY84/100*Parameters!$C$91+(Parameters!$C$83+Parameters!$C$84*Parameters!$C$89)/(Parameters!$C$85+Parameters!$C$89)))-Parameters!$C$86+(Basicinfo!AU84-Parameters!$C$88)/Parameters!$C$87</f>
        <v>73.092374478932371</v>
      </c>
      <c r="AI84" s="43">
        <f>Basicinfo!AU84^Parameters!$C$79*Parameters!$C$78*AH84/AG84</f>
        <v>95.793479194385867</v>
      </c>
      <c r="AJ84" s="43">
        <f>(J84*Parameters!$C$92/1000+Parameters!$C$94/100*S84*100*Parameters!$C$93/1000*86400*Parameters!$C$95/24)/86400</f>
        <v>8.1041393190404605E-3</v>
      </c>
      <c r="AK84" s="43">
        <f t="shared" si="72"/>
        <v>1.2923667115881689E-2</v>
      </c>
      <c r="AL84" s="43">
        <f>(K84*Parameters!$C$92/1000+Parameters!$C$94/100*T84*100*Parameters!$C$93/1000*86400*Parameters!$C$95/24)/86400</f>
        <v>0</v>
      </c>
      <c r="AM84" s="43">
        <f>(Intermediate!N84+Basicinfo!BV84-Intermediate!L84)*Parameters!$C$92/1000/86400</f>
        <v>1.4228229166666664E-3</v>
      </c>
      <c r="AN84" s="43">
        <f t="shared" si="73"/>
        <v>2.0622325961815423E-2</v>
      </c>
      <c r="AO84" s="43">
        <f t="shared" si="69"/>
        <v>1.2923667115881689E-2</v>
      </c>
      <c r="AP84" s="43">
        <f t="shared" si="70"/>
        <v>1.4502150250478147E-2</v>
      </c>
      <c r="AQ84" s="43">
        <f t="shared" si="58"/>
        <v>3.6679088340743154E-2</v>
      </c>
      <c r="AR84" s="61">
        <f>(Basicinfo!AU84-Basicinfo!AY84)*F84/1000/86.4/0.365</f>
        <v>0.1989311356659095</v>
      </c>
      <c r="AS84" s="19">
        <f>IF(Basicinfo!AP84-Basicinfo!CB84-Basicinfo!CG84&lt;0,0,(Basicinfo!AP84-Basicinfo!CB84-Basicinfo!CG84)/Basicinfo!G84*1000)</f>
        <v>19.866641496772431</v>
      </c>
      <c r="AT84" s="19">
        <f>Parameters!$C$3*((AS84*86.4*0.365)^Parameters!$C$4)</f>
        <v>130.21631322130571</v>
      </c>
      <c r="AU84" s="19">
        <f>IF(AT84/86.4/0.365*(Basicinfo!G84/1000)-AN84&lt;0,0,AT84/86.4/0.365*(Basicinfo!G84/1000)-AN84)</f>
        <v>2.914405016544551</v>
      </c>
      <c r="AV84" s="19">
        <f>IF(Basicinfo!AU84&gt;Parameters!$C$13,Parameters!$C$11*(Basicinfo!AU84-Parameters!$C$13)^Parameters!$C$12,0)</f>
        <v>217.47272848717236</v>
      </c>
      <c r="AW84" s="19">
        <f>IF(AV84*V84/1000/86.4/0.365&gt;Basicinfo!AP84*Parameters!$C$15,Basicinfo!AP84*Parameters!$C$15,AV84*V84/1000/86.4/0.365)</f>
        <v>0.22756596633246068</v>
      </c>
      <c r="AX84" s="19">
        <f>Basicinfo!AU84-Basicinfo!AW84</f>
        <v>567.44737686628594</v>
      </c>
      <c r="AY84" s="19">
        <f>Parameters!$C$56*AX84+Parameters!$C$57*Basicinfo!AW84</f>
        <v>385.00531185131439</v>
      </c>
      <c r="AZ84" s="19">
        <f>AY84*Basicinfo!BO84/1000/86.4/0.365</f>
        <v>2.327294311241826E-2</v>
      </c>
      <c r="BA84" s="19">
        <f>IF(Basicinfo!AP84-AQ84-AR84-AU84-AW84-AZ84-Basicinfo!CB84-Basicinfo!CG84&lt;0,0,Basicinfo!AP84-AQ84-AR84-AU84-AW84-AZ84-Basicinfo!CB84-Basicinfo!CG84)</f>
        <v>10.720547902524755</v>
      </c>
      <c r="BB84" s="53">
        <f t="shared" si="59"/>
        <v>482.96709686538782</v>
      </c>
      <c r="BC84" s="56">
        <f>IF(G84=0,0,((Basicinfo!H84*Basicinfo!BE84+Basicinfo!I84*Basicinfo!BF84+Basicinfo!J84*Basicinfo!BG84+Basicinfo!K84*Basicinfo!BH84+Basicinfo!L84*Basicinfo!BI84)*(1-Basicinfo!BN84/G84*Parameters!$C$26/100)/G84)*Basicinfo!BM84)</f>
        <v>2.1831197306887735</v>
      </c>
      <c r="BD84" s="43">
        <f>IF(Basicinfo!AW84*Parameters!$C$39-Parameters!$C$40&lt;0,0.001,(Basicinfo!AW84*Parameters!$C$39-Parameters!$C$40)/(Basicinfo!AX84*Parameters!$C$39-Parameters!$C$40))</f>
        <v>1.186175358018726</v>
      </c>
      <c r="BE84" s="43">
        <f>(BC84*G84*100+Basicinfo!BJ84*Basicinfo!M84*100)*Parameters!$C$29*BD84</f>
        <v>2741.6666973110091</v>
      </c>
      <c r="BF84" s="43">
        <f>(Basicinfo!BK84*Basicinfo!P84*100)*BD84*Parameters!$C$29</f>
        <v>6233.4151942865437</v>
      </c>
      <c r="BG84" s="43">
        <f>Parameters!$C$27*(V84+W84)*100</f>
        <v>659.99266797112796</v>
      </c>
      <c r="BH84" s="43">
        <f>Parameters!$C$28*Basicinfo!R84*100</f>
        <v>0</v>
      </c>
      <c r="BI84" s="43">
        <f t="shared" si="74"/>
        <v>6893.4078622576717</v>
      </c>
      <c r="BJ84" s="43">
        <f>IF(Basicinfo!AM84&lt;Parameters!$C$33,0,Parameters!$C$30*(((Basicinfo!AM84-Parameters!$C$33)^Parameters!$C$31)*(((G84-Basicinfo!BN84)/Basicinfo!G84*100+Parameters!$C$34))^Parameters!$C$32))</f>
        <v>1.4577017029866739</v>
      </c>
      <c r="BK84" s="58">
        <f t="shared" si="75"/>
        <v>6933.3731843945925</v>
      </c>
      <c r="BL84" s="61">
        <f>Basicinfo!AZ84+Basicinfo!BA84</f>
        <v>1393.6140295226573</v>
      </c>
      <c r="BM84" s="19">
        <f>Basicinfo!BB84+Basicinfo!BC84</f>
        <v>1885.7209397066431</v>
      </c>
      <c r="BN84" s="172">
        <f>IF(Basicinfo!AO84=0,0,IF(Basicinfo!AO84="NA",1,IF(OR(Basicinfo!AO84="SA",Basicinfo!AN84="S"),3,IF(Basicinfo!AN84="N",1,IF(Basicinfo!AO84="ZA",2,0)))))</f>
        <v>1</v>
      </c>
      <c r="BO84" s="27">
        <f>IF($BN84=1,(BL84)*(1+Parameters!$C$21*Parameters!$C$22-Parameters!$C$22*Basicinfo!$AL84),IF($BN84=2,(BL84)*(1+Parameters!$C$21*Parameters!$C$23-Parameters!$C$23*Basicinfo!$AL84),IF($BN84=3,(BL84)*(1+Parameters!$C$21*Parameters!$C$24-Parameters!$C$24*Basicinfo!$AL84),BL84)))</f>
        <v>1238.2990803462417</v>
      </c>
      <c r="BP84" s="27">
        <f>IF($BN84=1,(BM84)*(1+Parameters!$C$21*Parameters!$C$22-Parameters!$C$22*Basicinfo!$AL84),IF($BN84=2,(BM84)*(1+Parameters!$C$21*Parameters!$C$23-Parameters!$C$23*Basicinfo!$AL84),IF($BN84=3,(BM84)*(1+Parameters!$C$21*Parameters!$C$24-Parameters!$C$24*Basicinfo!$AL84),BM84)))</f>
        <v>1675.5618528239156</v>
      </c>
      <c r="BQ84" s="27">
        <f>IF(Basicinfo!AU84=0,0,IF(G84+Basicinfo!M84=0,0,(Parameters!$C$16+BO84/Basicinfo!AU84)*G84+(Parameters!$C$17+BO84/Basicinfo!AU84)*Basicinfo!M84)/(G84+Basicinfo!M84))</f>
        <v>0.78949992916953016</v>
      </c>
      <c r="BR84" s="27">
        <f>IF(Basicinfo!AU84=0,0,IF(G84+Basicinfo!M84=0,0,(Parameters!$C$16+BP84/Basicinfo!AU84)*G84+(Parameters!$C$17+BP84/Basicinfo!AU84)*Basicinfo!M84)/(G84+Basicinfo!M84))</f>
        <v>1.0662023536388816</v>
      </c>
      <c r="BS84" s="27">
        <f>IF(Basicinfo!AU84=0,0,BO84/Basicinfo!AU84)</f>
        <v>0.78360285694677589</v>
      </c>
      <c r="BT84" s="27">
        <f>IF(Basicinfo!AU84=0,0,BP84/Basicinfo!AU84)</f>
        <v>1.0603052814161273</v>
      </c>
      <c r="BU84" s="27">
        <f>IF(SUM(G84,Basicinfo!M84,Basicinfo!P84,W84)=0,0,(BQ84*(G84+Basicinfo!M84)+BS84*(Basicinfo!P84+W84))/SUM(G84,Basicinfo!M84,Basicinfo!P84,W84))</f>
        <v>0.78418825752432764</v>
      </c>
      <c r="BV84" s="19">
        <f>IF(Basicinfo!BR84/Parameters!$C$10&gt;1,1,Basicinfo!BR84/Parameters!$C$10)</f>
        <v>0.35658812387286459</v>
      </c>
      <c r="BW84" s="19">
        <f>Parameters!$C$5+Parameters!$C$6*EXP(BV84*Parameters!$C$8*Parameters!$C$7)</f>
        <v>3.5089401504107089E-2</v>
      </c>
      <c r="BX84" s="19">
        <f>Parameters!$C$5+Parameters!$C$6*EXP(BV84*Parameters!$C$9*Parameters!$C$7)</f>
        <v>3.5051440505892754E-2</v>
      </c>
      <c r="BY84" s="19">
        <f>IF(Basicinfo!AH84+Basicinfo!AI84+Basicinfo!AJ84+Basicinfo!AK84=0,0,(Parameters!$C$18*(Basicinfo!AH84+Basicinfo!AI84)+Parameters!$C$19*Basicinfo!AJ84+Parameters!$C$20*Basicinfo!AK84)/(Basicinfo!AH84+Basicinfo!AI84+Basicinfo!AJ84+Basicinfo!AK84))</f>
        <v>1.6403211086537577E-2</v>
      </c>
      <c r="BZ84" s="19">
        <f>IF(Basicinfo!AJ84+Basicinfo!AK84=0,Parameters!$C$18,(Parameters!$C$19*Basicinfo!AJ84+Parameters!$C$20*Basicinfo!AK84)/(Basicinfo!AJ84+Basicinfo!AK84))</f>
        <v>8.7069498490538154E-3</v>
      </c>
      <c r="CA84" s="19">
        <f>IF(SUM(G84,Basicinfo!M84,Basicinfo!P84,W84)=0,0,(BW84*G84+BX84*Basicinfo!M84+BY84*Basicinfo!P84+BZ84*W84)/(SUM(G84,Basicinfo!M84,Basicinfo!P84,W84)))</f>
        <v>1.8254489260433961E-2</v>
      </c>
      <c r="CB84" s="19">
        <f>IF(Y84=0,Basicinfo!BP84,Basicinfo!BP84-(AU84*X84/Y84*Intermediate!BQ84*86400*365/1000000)*1000/(X84*100))</f>
        <v>54.17088362345563</v>
      </c>
      <c r="CC84" s="19">
        <f>IF(Y84=0,Basicinfo!BQ84,Basicinfo!BQ84-(AU84*Basicinfo!AV84/Basicinfo!AU84*X84/Y84*Intermediate!BR84*86400*365/1000000)*1000/(X84*100))</f>
        <v>74.041024343522096</v>
      </c>
      <c r="CD84" s="19">
        <f>IF(OR(Y84=0,AA84=0),BP84/100,BP84/100-(AU84*Basicinfo!AV84/Basicinfo!AU84*(Basicinfo!P84+W84)/Y84*Intermediate!BT84*86400*365/1000000+AW84*Basicinfo!AV84/Basicinfo!AU84*Intermediate!BT84*86400*365/1000000)*1000/(AA84*100))</f>
        <v>15.386012383606067</v>
      </c>
      <c r="CE84" s="19">
        <f t="shared" si="60"/>
        <v>472104.05934295448</v>
      </c>
      <c r="CF84" s="19">
        <f t="shared" si="61"/>
        <v>978935.65977006161</v>
      </c>
      <c r="CG84" s="19">
        <f>IF(AY84=0,0,((CB84^Parameters!$C$58))/AY84*100)</f>
        <v>7.7309757384971549</v>
      </c>
      <c r="CH84" s="19">
        <f>IF(SUM(Basicinfo!AB84:AG84)=0,0,(Parameters!$C$59*Basicinfo!AB84+Parameters!$C$60*SUM(Basicinfo!AC84:AE84)+Parameters!$C$61*Basicinfo!AF84+Parameters!$C$62*Basicinfo!AG84)/SUM(Basicinfo!AB84:AG84))</f>
        <v>0.22531594884395753</v>
      </c>
      <c r="CI84" s="19">
        <f t="shared" si="88"/>
        <v>6</v>
      </c>
      <c r="CJ84" s="19">
        <f t="shared" si="62"/>
        <v>20.728756807981849</v>
      </c>
      <c r="CK84" s="19">
        <f t="shared" si="76"/>
        <v>4.2919604549705692</v>
      </c>
      <c r="CL84" s="19">
        <f>IF($BB84=0,0,$CJ84^Parameters!$C$58*100/$BB84)</f>
        <v>2.7237655545429784</v>
      </c>
      <c r="CM84" s="19">
        <f>IF(CK84=0,0,(1/(1+Parameters!$C$116*BB84^Parameters!$C$120)*Basicinfo!AH84/Basicinfo!G84+1/(1+Parameters!$C$117*BB84^Parameters!$C$121)*Basicinfo!AI84/Basicinfo!G84)*(CK84)^Parameters!$C$124+(1/(1+Parameters!$C$118*BB84^Parameters!$C$122)*Basicinfo!AJ84/Basicinfo!G84+1/(1+Parameters!$C$119*BB84^Parameters!$C$123)*Basicinfo!AK84/Basicinfo!G84)*(CK84)^Parameters!$C$125)</f>
        <v>1.559580668789684</v>
      </c>
      <c r="CN84" s="19">
        <f>IF(SUM(Basicinfo!AB84:AG84)=0,0,(Parameters!$C$128*Basicinfo!AB84+Parameters!$C$129*(SUM(Basicinfo!AC84:AE84))+Parameters!$C$130*Basicinfo!AF84+Parameters!$C$131*Basicinfo!AG84)/SUM(Basicinfo!AB84:AG84))</f>
        <v>3.7141409890893179E-2</v>
      </c>
      <c r="CO84" s="19">
        <f>IF(Basicinfo!AH84+Basicinfo!AI84+Basicinfo!AJ84+Basicinfo!AK84=0,0,(Parameters!$C$132*(Basicinfo!AH84+Basicinfo!AI84)+Parameters!$C$133*Basicinfo!AJ84+Parameters!$C$134*Basicinfo!AK84)/(Basicinfo!AH84+Basicinfo!AI84+Basicinfo!AJ84+Basicinfo!AK84))</f>
        <v>5.0000000000000001E-4</v>
      </c>
      <c r="CP84" s="19">
        <f>IF(Basicinfo!AJ84+Basicinfo!AK84=0,0,(Parameters!$C$133*Basicinfo!AJ84+Parameters!$C$134*Basicinfo!AK84)/(Basicinfo!AJ84+Basicinfo!AK84))</f>
        <v>5.0000000000000001E-4</v>
      </c>
      <c r="CQ84" s="19">
        <f>IF(Z84=0,0,(CN84*(Z84-AA84)+CO84*Basicinfo!P84+CP84*(Basicinfo!Q84+Basicinfo!R84))/Z84)</f>
        <v>3.8322922032684079E-3</v>
      </c>
      <c r="CR84" s="19">
        <f>IF(CK84=0,0,IF(AND((Basicinfo!AI84+Basicinfo!AK84)&gt;0,(CM84/CK84)&lt;Parameters!$C$135),CQ84*Parameters!$C$136,CQ84))</f>
        <v>3.8322922032684079E-3</v>
      </c>
      <c r="CS84" s="19">
        <f>IF(SUM(Basicinfo!AB84:AG84)=0,0,(Basicinfo!AB84*Parameters!$C$43+(Basicinfo!AC84+Basicinfo!AD84)*Parameters!$C$44+Basicinfo!AE84*Parameters!$C$45+(Basicinfo!AF84+Basicinfo!AG84)*Parameters!$C$46)/SUM(Basicinfo!AB84:AG84))</f>
        <v>21.955526635727701</v>
      </c>
      <c r="CT84" s="19">
        <f>(Parameters!$C$41*CS84+Parameters!$C$42)</f>
        <v>498.9463716844225</v>
      </c>
      <c r="CU84" s="19">
        <f>CT84+Basicinfo!BR84/(Parameters!$C$47*Parameters!$C$49*Parameters!$C$48*10000/1000000)</f>
        <v>624.53715745096599</v>
      </c>
      <c r="CV84" s="19">
        <f>IF(BK84/Basicinfo!G84&lt;Parameters!$C$35,Parameters!$C$35,Parameters!$C$37*(BK84/Basicinfo!G84)^Parameters!$C$38)</f>
        <v>2.6259398424707654</v>
      </c>
      <c r="CW84" s="19">
        <f>IF(BK84/Basicinfo!G84&lt;Parameters!$C$35,Parameters!$C$36,Parameters!$C$36*(BK84/Basicinfo!G84)^Parameters!$C$38)</f>
        <v>6.1709586298062993</v>
      </c>
      <c r="CX84" s="27">
        <f>IF(Basicinfo!AJ84+Basicinfo!AK84=0,0,(Parameters!$C$53*Basicinfo!AJ84+Parameters!$C$54*Basicinfo!AK84)/(Basicinfo!AJ84+Basicinfo!AK84))</f>
        <v>604.40253056601273</v>
      </c>
      <c r="CY84" s="56">
        <f>IF(Basicinfo!AU84*AB84=0,0,((Basicinfo!AZ84+Basicinfo!BA84)/Basicinfo!AU84+Parameters!$C$76/(Basicinfo!AU84*AB84)*100))</f>
        <v>1.6180561513901091</v>
      </c>
      <c r="CZ84" s="43">
        <f>IF(Basicinfo!AU84*AB84=0,0,(Parameters!$C$77)/(Basicinfo!AU84*AB84)*100)</f>
        <v>0.46010568229657622</v>
      </c>
      <c r="DA84" s="43">
        <f>IF(AD84+AJ84=0,0,((J84*Parameters!$C$96+Parameters!$C$94/100*S84*100*Parameters!$C$93/1000*86400*Parameters!$C$95/24*Parameters!$C$98)*AI84+AD84*CY84*86400*365)/((AD84+AJ84*AI84/365)*86400*365))</f>
        <v>12.486944845262645</v>
      </c>
      <c r="DB84" s="43">
        <f>IF(AD84+AJ84=0,0,((J84*Parameters!$C$97+Parameters!$C$94/100*S84*100*Parameters!$C$93/1000*86400*Parameters!$C$95/24*Parameters!$C$99)*AI84+AD84*CZ84*86400*365)/((AD84+AJ84*AI84/365)*86400*365))</f>
        <v>2.2045695479864897</v>
      </c>
      <c r="DC84" s="42">
        <f>IF(AE84+AL84=0,0,((K84*Parameters!$C$96+Parameters!$C$94/100*T84*100*Parameters!$C$93/1000*86400*Parameters!$C$95/24*Parameters!$C$98)*365+AE84*CY84*86400*365)/((AE84+AL84)*86400*365))</f>
        <v>0</v>
      </c>
      <c r="DD84" s="42">
        <f>IF(AE84+AL84=0,0,((K84*Parameters!$C$97+Parameters!$C$94/100*T84*100*Parameters!$C$93/1000*86400*Parameters!$C$95/24*Parameters!$C$99)*365+AE84*CZ84*86400*365)/((AE84+AL84)*86400*365))</f>
        <v>0</v>
      </c>
      <c r="DE84" s="42">
        <f>IF(Basicinfo!AH84+Basicinfo!AI84+Basicinfo!AJ84+Basicinfo!AK84=0,0,((Basicinfo!AH84+Basicinfo!AI84)*Parameters!$C$107+(Basicinfo!AJ84+Basicinfo!AK84)*Parameters!$C$106)/(Basicinfo!AH84+Basicinfo!AI84+Basicinfo!AJ84+Basicinfo!AK84))</f>
        <v>61.708434271870594</v>
      </c>
      <c r="DF84" s="42">
        <f>IF(Basicinfo!AH84+Basicinfo!AI84+Basicinfo!AJ84+Basicinfo!AK84=0,0,((Basicinfo!AH84+Basicinfo!AI84)*Parameters!$C$109+(Basicinfo!AJ84+Basicinfo!AK84)*Parameters!$C$108)/(Basicinfo!AH84+Basicinfo!AI84+Basicinfo!AJ84+Basicinfo!AK84))</f>
        <v>61.708434271870594</v>
      </c>
      <c r="DG84" s="42">
        <f>Intermediate!AC84*Intermediate!CY84*(1-Parameters!$C$102/100*Basicinfo!BZ84/100)*(1-Parameters!$C$104/100*Basicinfo!CA84/100)*86400*365/1000000</f>
        <v>0.47216683188102576</v>
      </c>
      <c r="DH84" s="42">
        <f>Intermediate!AC84*Intermediate!CZ84*(1-Parameters!$C$103/100*Basicinfo!BZ84/100)*(1-Parameters!$C$105/100*Basicinfo!CA84/100)*86400*365/1000000</f>
        <v>0.13426396985901298</v>
      </c>
      <c r="DI84" s="42">
        <f>(Intermediate!AK84*Intermediate!DA84+(Intermediate!AE84+Intermediate!AL84)*Intermediate!DC84)*86400*365/1000000</f>
        <v>5.0891888082133843</v>
      </c>
      <c r="DJ84" s="42">
        <f>(Intermediate!AK84*Intermediate!DB84+(Intermediate!AE84+Intermediate!AL84)*Intermediate!DD84)*86400*365/1000000</f>
        <v>0.8984960540445871</v>
      </c>
      <c r="DK84" s="42">
        <f>((Basicinfo!AZ84+Basicinfo!BA84)*Intermediate!AB84+Parameters!$C$76*100)/1000*Intermediate!U84*(1-Intermediate!DE84/100)+(1-Parameters!$C$110/100)*M84*Parameters!$C$100*(1-DE84/100)*365/1000000+(1-Parameters!$C$112/100)*P84*Parameters!$C$96*365/1000000+(1-Parameters!$C$112/100)*O84*Parameters!$C$96*(1-DE84/100)*365/1000000</f>
        <v>1.3260959578092333</v>
      </c>
      <c r="DL84" s="42">
        <f>Parameters!$C$77*100/1000*Intermediate!U84*(1-Intermediate!DF84/100)+(1-Parameters!$C$111/100)*M84*Parameters!$C$101*(1-DF84/100)*365/1000000+(1-Parameters!$C$113/100)*P84*Parameters!$C$97*365/1000000+(1-Parameters!$C$113/100)*O84*Parameters!$C$97*(1-DF84/100)*365/1000000</f>
        <v>0.21565441597287446</v>
      </c>
      <c r="DM84" s="31"/>
      <c r="DN84" s="31"/>
      <c r="DO84" s="31"/>
      <c r="DP84" s="31"/>
      <c r="DQ84" s="31"/>
      <c r="DR84" s="31"/>
      <c r="DS84" s="31"/>
      <c r="DT84" s="188">
        <f>BO84*(Basicinfo!$P84+Basicinfo!$Q84)/1000</f>
        <v>778.70424351398071</v>
      </c>
      <c r="DU84" s="188">
        <f>DT84*Basicinfo!$AZ84/(Basicinfo!$AZ84+Basicinfo!$BA84)</f>
        <v>396.06028943824896</v>
      </c>
      <c r="DV84" s="188">
        <f>DT84*Basicinfo!$BC84/(Basicinfo!$BB84+Basicinfo!$BC84)</f>
        <v>370.43047018723189</v>
      </c>
      <c r="DW84" s="188">
        <f>BP84*(Basicinfo!$P84+Basicinfo!$Q84)/1000</f>
        <v>1053.6768909650682</v>
      </c>
      <c r="DX84" s="188">
        <f>DW84*Basicinfo!$BB84/(Basicinfo!$BB84+Basicinfo!$BC84)</f>
        <v>552.44162815941058</v>
      </c>
      <c r="DY84" s="188">
        <f>DW84*Basicinfo!$BC84/(Basicinfo!$BB84+Basicinfo!$BC84)</f>
        <v>501.23526280565761</v>
      </c>
      <c r="DZ84" s="188">
        <f t="shared" si="63"/>
        <v>81.317610650874002</v>
      </c>
      <c r="EA84" s="188">
        <f>DZ84*Basicinfo!$AZ84/(Basicinfo!$AZ84+Basicinfo!$BA84)</f>
        <v>41.359317968367741</v>
      </c>
      <c r="EB84" s="188">
        <f>DZ84*Basicinfo!$BC84/(Basicinfo!$BB84+Basicinfo!$BC84)</f>
        <v>38.682877355303255</v>
      </c>
      <c r="EC84" s="188">
        <f t="shared" si="64"/>
        <v>110.03213079290548</v>
      </c>
      <c r="ED84" s="188">
        <f>EC84*Basicinfo!$AZ84/(Basicinfo!$AZ84+Basicinfo!$BA84)</f>
        <v>55.963940009738735</v>
      </c>
      <c r="EE84" s="188">
        <f>EC84*Basicinfo!$BC84/(Basicinfo!$BB84+Basicinfo!$BC84)</f>
        <v>52.342406356216536</v>
      </c>
      <c r="EF84" s="190">
        <f>(Basicinfo!BP84-BL84/100)*Intermediate!X84/10</f>
        <v>271.3518637955296</v>
      </c>
      <c r="EG84" s="191">
        <f>(Basicinfo!BQ84-BM84/100)*Intermediate!X84/10</f>
        <v>371.26559503824797</v>
      </c>
      <c r="EH84" s="197">
        <f>IF(AU84=0,0,$BS84*((Basicinfo!$P84+Basicinfo!$Q84)*Intermediate!$AT84*1000+$AW84*3600*24*365)/1000000*Basicinfo!AZ84/(Basicinfo!$AZ84+Basicinfo!$BA84))</f>
        <v>35.496232454138422</v>
      </c>
      <c r="EI84" s="197">
        <f>IF(AU84=0,0,$BS84*((Basicinfo!$P84+Basicinfo!$Q84)*Intermediate!$AT84*1000+$AW84*3600*24*365)/1000000*Basicinfo!BA84/(Basicinfo!$AZ84+Basicinfo!$BA84))</f>
        <v>34.293816126598877</v>
      </c>
      <c r="EJ84" s="198">
        <f>IF(AU84=0,0,$BS84*($AT84*$X84*1000)/1000000*Basicinfo!AZ84/(Basicinfo!$AZ84+Basicinfo!$BA84))</f>
        <v>3.4080756308859681</v>
      </c>
      <c r="EK84" s="198">
        <f>IF(AU84=0,0,$BS84*($AT84*$X84*1000)/1000000*Basicinfo!BA84/(Basicinfo!$AZ84+Basicinfo!$BA84))</f>
        <v>3.2926288496152663</v>
      </c>
      <c r="EL84" s="147">
        <f>Parameters!$C$150/Basicinfo!$AV84*100</f>
        <v>6.8666023292564465E-2</v>
      </c>
      <c r="EM84" s="147">
        <f>Parameters!$C$151/Basicinfo!$AV84*100</f>
        <v>0.13733204658512893</v>
      </c>
      <c r="EN84" s="147">
        <f>(Parameters!$C$150+Parameters!$C$151)/Intermediate!$BB84*100</f>
        <v>0.62116032737446658</v>
      </c>
      <c r="EO84" s="193">
        <f>IF(EN84=0,0,(1/(1+Parameters!$C$116*$BB84^Parameters!$C$120)*Basicinfo!$AH84/Basicinfo!$G84+1/(1+Parameters!$C$117*$BB84^Parameters!$C$121)*Basicinfo!$AI84/Basicinfo!$G84)*(EN84)^Parameters!$C$124+(1/(1+Parameters!$C$118*$BB84^Parameters!$C$122)*Basicinfo!$AJ84/Basicinfo!AW84+1/(1+Parameters!$C$119*$BB84^Parameters!$C$123)*Basicinfo!$AK84/Basicinfo!$G84)*(EN84)^Parameters!$C$125)</f>
        <v>0.31881717957630651</v>
      </c>
      <c r="EP84" s="199">
        <f>EL84*($AT84*Basicinfo!$P84*1000+$AW84*3600*24*365)/1000000</f>
        <v>5.8205403044648047</v>
      </c>
      <c r="EQ84" s="199">
        <f>EM84*($AT84*Basicinfo!$P84*1000+$AW84*3600*24*365)/1000000</f>
        <v>11.641080608929609</v>
      </c>
      <c r="ER84" s="199">
        <f t="shared" si="65"/>
        <v>0.58717336959114819</v>
      </c>
      <c r="ES84" s="199">
        <f t="shared" si="66"/>
        <v>1.1743467391822964</v>
      </c>
      <c r="ET84" s="181">
        <f t="shared" si="77"/>
        <v>107.78673185701102</v>
      </c>
      <c r="EU84" s="147">
        <f>Intermediate!F84*(Parameters!$C$150)/1000*100</f>
        <v>0.66915846283837399</v>
      </c>
      <c r="EV84" s="147">
        <f>Intermediate!F84*(Parameters!$C$151)/1000*100</f>
        <v>1.338316925676748</v>
      </c>
      <c r="EW84" s="181">
        <f>'Local emissions'!$S84*Basicinfo!AZ84/(Basicinfo!$AZ84+Basicinfo!$BA84)-Intermediate!EU84</f>
        <v>3.5453146196548415</v>
      </c>
      <c r="EX84" s="147">
        <f>'Local emissions'!$S84*Basicinfo!BA84/(Basicinfo!$AZ84+Basicinfo!$BA84)-Intermediate!EV84</f>
        <v>2.7333930832166682</v>
      </c>
      <c r="EY84" s="188">
        <f t="shared" si="78"/>
        <v>29.675692149673615</v>
      </c>
      <c r="EZ84" s="188">
        <f t="shared" si="79"/>
        <v>22.652735517669267</v>
      </c>
      <c r="FA84" s="188">
        <f t="shared" si="80"/>
        <v>2.8209022612948198</v>
      </c>
      <c r="FB84" s="181">
        <f t="shared" si="81"/>
        <v>2.1182821104329701</v>
      </c>
      <c r="FC84" s="181">
        <f>'Local emissions'!Y84-Intermediate!ET84</f>
        <v>422.11647008052654</v>
      </c>
      <c r="FD84" s="188">
        <f t="shared" si="82"/>
        <v>151.92089006065135</v>
      </c>
      <c r="FE84" s="188">
        <f t="shared" si="83"/>
        <v>137.83919128057988</v>
      </c>
      <c r="FF84" s="181">
        <f t="shared" si="84"/>
        <v>7.6950135038765328</v>
      </c>
      <c r="FG84" s="201">
        <f t="shared" si="85"/>
        <v>7.1970544544645874</v>
      </c>
      <c r="FH84" s="181">
        <f t="shared" si="86"/>
        <v>117.46432078095418</v>
      </c>
      <c r="FJ84" s="147">
        <f>AVERAGE(Parameters!$C$132:$C$134)*'Local emissions'!J84*3600*24*365/1000000</f>
        <v>0.16904159932701032</v>
      </c>
      <c r="FK84" s="147">
        <f>'Local emissions'!AJ84+CT84*BJ84/100*Intermediate!X84*100/1000000</f>
        <v>3.2516999754347968</v>
      </c>
      <c r="FL84" s="31">
        <f>(Parameters!$C$18*(Basicinfo!AH84+Basicinfo!AI84)+Parameters!$C$19*Basicinfo!AJ84+Parameters!$C$20*Basicinfo!AK84)/Basicinfo!G84</f>
        <v>1.6403211086537577E-2</v>
      </c>
      <c r="FM84" s="181">
        <f>FL84*(AU84+AW84)*3600*24*365/1000000</f>
        <v>1.625315400564445</v>
      </c>
    </row>
    <row r="85" spans="1:169">
      <c r="A85" s="39" t="str">
        <f>Basicinfo!A85</f>
        <v>EZG_restlich1</v>
      </c>
      <c r="B85" s="63">
        <f>Basicinfo!B85</f>
        <v>61141</v>
      </c>
      <c r="C85" s="63">
        <f>Basicinfo!C85</f>
        <v>1100</v>
      </c>
      <c r="D85" s="61">
        <f>Basicinfo!U85*Basicinfo!V85/1000+Basicinfo!Y85</f>
        <v>0.27593945619582028</v>
      </c>
      <c r="E85" s="19">
        <f>Basicinfo!W85*Basicinfo!X85/1000+Basicinfo!Z85</f>
        <v>0</v>
      </c>
      <c r="F85" s="19">
        <f>D85+E85</f>
        <v>0.27593945619582028</v>
      </c>
      <c r="G85" s="19">
        <f>SUM(Basicinfo!H85:L85)</f>
        <v>13.236298498376621</v>
      </c>
      <c r="H85" s="19">
        <f>IF(Basicinfo!N85&lt;Parameters!$C$68,Parameters!$C$69,Basicinfo!BS85/(Basicinfo!N85*100))</f>
        <v>62.765937240910411</v>
      </c>
      <c r="I85" s="19">
        <f>IF(Basicinfo!N85=0,0,Basicinfo!BU85*(1-Basicinfo!BX85/100))</f>
        <v>217.28384288664893</v>
      </c>
      <c r="J85" s="19">
        <f>IF(Basicinfo!N85=0,0,Basicinfo!BU85*Basicinfo!BX85/100)</f>
        <v>8618.9846762938687</v>
      </c>
      <c r="K85" s="19">
        <f>IF(Basicinfo!N85=0,0,Basicinfo!BT85-Basicinfo!BU85)</f>
        <v>77.475474216858856</v>
      </c>
      <c r="L85" s="27">
        <f>Basicinfo!BV85*Basicinfo!BW85/100</f>
        <v>320.52977997865224</v>
      </c>
      <c r="M85" s="27">
        <f>Basicinfo!BV85-Intermediate!L85</f>
        <v>320.52977997865224</v>
      </c>
      <c r="N85" s="73">
        <f>Basicinfo!BS85-SUM(I85:K85)-Basicinfo!BV85</f>
        <v>320.52977997865116</v>
      </c>
      <c r="O85" s="19">
        <f>IF(Basicinfo!AH85+Basicinfo!AI85+Basicinfo!AJ85+Basicinfo!AK85=0,0,N85*(Basicinfo!AH85+Basicinfo!AI85)/SUM(Basicinfo!AH85:AK85))</f>
        <v>0</v>
      </c>
      <c r="P85" s="73">
        <f>N85-O85</f>
        <v>320.52977997865116</v>
      </c>
      <c r="Q85" s="19">
        <f>IF(Basicinfo!BS85=0,Basicinfo!N85,IF(H85&gt;Parameters!$C$70,Parameters!$C$64*(Parameters!$C$65*Parameters!$C$70)^(Parameters!$C$66-Parameters!$C$67*LOG(Parameters!$C$65*Parameters!$C$70,10))/100*Basicinfo!N85,Parameters!$C$64*(Parameters!$C$65*H85)^(Parameters!$C$66-Parameters!$C$67*LOG(Parameters!$C$65*H85,10))/100*Basicinfo!N85))</f>
        <v>0.80707422164500575</v>
      </c>
      <c r="R85" s="19">
        <f>IF(Basicinfo!BS85=0,Q85*(1-Basicinfo!BX85/100),IF(H85&lt;Parameters!$C$75,Q85*Basicinfo!BU85/Basicinfo!BS85*(1-Basicinfo!BX85/100)*(-Parameters!$C$74+Parameters!$C$73*LN(H85*100)),Q85*Basicinfo!BU85/Basicinfo!BS85*(1-Basicinfo!BX85/100)))</f>
        <v>1.2875698027028919E-2</v>
      </c>
      <c r="S85" s="19">
        <f>IF(Basicinfo!BS85=0,Q85*Basicinfo!BX85/100,Q85*Basicinfo!BU85/Basicinfo!BS85*Basicinfo!BX85/100)</f>
        <v>0.70439752403194222</v>
      </c>
      <c r="T85" s="19">
        <f>IF(Basicinfo!BS85=0,0,IF(H85&lt;Parameters!$C$75,Q85*K85/Basicinfo!BS85*(-Parameters!$C$74+Parameters!$C$73*LN(H85*100)),Q85*K85/Basicinfo!BS85))</f>
        <v>4.5910031655576637E-3</v>
      </c>
      <c r="U85" s="19">
        <f>Q85-R85-S85-T85</f>
        <v>8.5209996420476941E-2</v>
      </c>
      <c r="V85" s="19">
        <f>IF(Basicinfo!AL85&gt;Parameters!$C$14,Basicinfo!Q85,0)</f>
        <v>0</v>
      </c>
      <c r="W85" s="19">
        <f>IF(Basicinfo!AL85&gt;Parameters!$C$14,0,Basicinfo!Q85)</f>
        <v>0</v>
      </c>
      <c r="X85" s="19">
        <f>G85+Basicinfo!M85</f>
        <v>73.767089962121204</v>
      </c>
      <c r="Y85" s="19">
        <f>IF(Basicinfo!G85-F85-Q85-V85-Basicinfo!O85-Basicinfo!R85-Basicinfo!S85&lt;0,0,Basicinfo!G85-F85-Q85-V85-Basicinfo!O85-Basicinfo!R85-Basicinfo!S85)</f>
        <v>130.89165298882583</v>
      </c>
      <c r="Z85" s="19">
        <f>Basicinfo!G85-F85-Basicinfo!BO85-Q85-Basicinfo!O85</f>
        <v>106.45807484903226</v>
      </c>
      <c r="AA85" s="53">
        <f>IF(Z85+Basicinfo!BO85-X85&gt;0,Z85+Basicinfo!BO85-X85,0)</f>
        <v>57.124563026704621</v>
      </c>
      <c r="AB85" s="56">
        <f>IF(Basicinfo!N85=0,0,Parameters!$C$71+Parameters!$C$72*Q85/Basicinfo!N85)</f>
        <v>0.53472197520821529</v>
      </c>
      <c r="AC85" s="43">
        <f>Basicinfo!AU85*AB85*R85/1000/86.4/0.365</f>
        <v>2.1515773677922785E-4</v>
      </c>
      <c r="AD85" s="43">
        <f>Basicinfo!AU85*AB85*S85/1000/86.4/0.365</f>
        <v>1.1770746467139404E-2</v>
      </c>
      <c r="AE85" s="43">
        <f>Basicinfo!AU85*AB85*T85/1000/86.4/0.365</f>
        <v>7.6717382511928251E-5</v>
      </c>
      <c r="AF85" s="43">
        <f>Basicinfo!AU85*AB85*U85/1000/86.4/0.365</f>
        <v>1.423890956615299E-3</v>
      </c>
      <c r="AG85" s="43">
        <f>((Parameters!$C$80+Parameters!$C$81*Parameters!$C$89)/(Parameters!$C$82+Parameters!$C$89)/(Parameters!$C$90/100*Parameters!$C$91+(Parameters!$C$83+Parameters!$C$84*Parameters!$C$89)/(Parameters!$C$85+Parameters!$C$89)))-Parameters!$C$86+(Basicinfo!AU85-Parameters!$C$88)/Parameters!$C$87</f>
        <v>76.026627319347938</v>
      </c>
      <c r="AH85" s="43">
        <f>((Parameters!$C$80+Parameters!$C$81*Parameters!$C$89)/(Parameters!$C$82+Parameters!$C$89)/(Basicinfo!BY85/100*Parameters!$C$91+(Parameters!$C$83+Parameters!$C$84*Parameters!$C$89)/(Parameters!$C$85+Parameters!$C$89)))-Parameters!$C$86+(Basicinfo!AU85-Parameters!$C$88)/Parameters!$C$87</f>
        <v>58.223745452732366</v>
      </c>
      <c r="AI85" s="43">
        <f>Basicinfo!AU85^Parameters!$C$79*Parameters!$C$78*AH85/AG85</f>
        <v>28.020608271106173</v>
      </c>
      <c r="AJ85" s="43">
        <f>(J85*Parameters!$C$92/1000+Parameters!$C$94/100*S85*100*Parameters!$C$93/1000*86400*Parameters!$C$95/24)/86400</f>
        <v>1.299185963874323E-2</v>
      </c>
      <c r="AK85" s="43">
        <f>(AD85+AJ85*AI85/365)*AH85/100</f>
        <v>7.4340752475369433E-3</v>
      </c>
      <c r="AL85" s="43">
        <f>(K85*Parameters!$C$92/1000+Parameters!$C$94/100*T85*100*Parameters!$C$93/1000*86400*Parameters!$C$95/24)/86400</f>
        <v>1.1672492751514417E-4</v>
      </c>
      <c r="AM85" s="43">
        <f>(Intermediate!N85+Basicinfo!BV85-Intermediate!L85)*Parameters!$C$92/1000/86400</f>
        <v>9.6455720826909089E-4</v>
      </c>
      <c r="AN85" s="43">
        <f>AC85+AD85*AH85/100+AE85</f>
        <v>7.1452445802048896E-3</v>
      </c>
      <c r="AO85" s="43">
        <f t="shared" si="69"/>
        <v>7.6275175575640152E-3</v>
      </c>
      <c r="AP85" s="43">
        <f t="shared" si="70"/>
        <v>2.38844816488439E-3</v>
      </c>
      <c r="AQ85" s="43">
        <f t="shared" si="58"/>
        <v>1.0231123459227633E-2</v>
      </c>
      <c r="AR85" s="61">
        <f>(Basicinfo!AU85-Basicinfo!AY85)*F85/1000/86.4/0.365</f>
        <v>4.4513651650286189E-3</v>
      </c>
      <c r="AS85" s="19">
        <f>IF(Basicinfo!AP85-Basicinfo!CB85-Basicinfo!CG85&lt;0,0,(Basicinfo!AP85-Basicinfo!CB85-Basicinfo!CG85)/Basicinfo!G85*1000)</f>
        <v>19.364211993501794</v>
      </c>
      <c r="AT85" s="19">
        <f>Parameters!$C$3*((AS85*86.4*0.365)^Parameters!$C$4)</f>
        <v>126.12552828574061</v>
      </c>
      <c r="AU85" s="19">
        <f>IF(AT85/86.4/0.365*(Basicinfo!G85/1000)-AN85&lt;0,0,AT85/86.4/0.365*(Basicinfo!G85/1000)-AN85)</f>
        <v>0.52067612000845098</v>
      </c>
      <c r="AV85" s="19">
        <f>IF(Basicinfo!AU85&gt;Parameters!$C$13,Parameters!$C$11*(Basicinfo!AU85-Parameters!$C$13)^Parameters!$C$12,0)</f>
        <v>91.852769527713576</v>
      </c>
      <c r="AW85" s="19">
        <f>IF(AV85*V85/1000/86.4/0.365&gt;Basicinfo!AP85*Parameters!$C$15,Basicinfo!AP85*Parameters!$C$15,AV85*V85/1000/86.4/0.365)</f>
        <v>0</v>
      </c>
      <c r="AX85" s="19">
        <f>Basicinfo!AU85-Basicinfo!AW85</f>
        <v>422.22782500000005</v>
      </c>
      <c r="AY85" s="19">
        <f>Parameters!$C$56*AX85+Parameters!$C$57*Basicinfo!AW85</f>
        <v>267.44297500000005</v>
      </c>
      <c r="AZ85" s="19">
        <f>AY85*Basicinfo!BO85/1000/86.4/0.365</f>
        <v>0.20721045242267108</v>
      </c>
      <c r="BA85" s="19">
        <f>IF(Basicinfo!AP85-AQ85-AR85-AU85-AW85-AZ85-Basicinfo!CB85-Basicinfo!CG85&lt;0,0,Basicinfo!AP85-AQ85-AR85-AU85-AW85-AZ85-Basicinfo!CB85-Basicinfo!CG85)</f>
        <v>1.8130163620496893</v>
      </c>
      <c r="BB85" s="53">
        <f t="shared" si="59"/>
        <v>537.06855092654121</v>
      </c>
      <c r="BC85" s="56">
        <f>IF(G85=0,0,((Basicinfo!H85*Basicinfo!BE85+Basicinfo!I85*Basicinfo!BF85+Basicinfo!J85*Basicinfo!BG85+Basicinfo!K85*Basicinfo!BH85+Basicinfo!L85*Basicinfo!BI85)*(1-Basicinfo!BN85/G85*Parameters!$C$26/100)/G85)*Basicinfo!BM85)</f>
        <v>0.35219757459225481</v>
      </c>
      <c r="BD85" s="43">
        <f>IF(Basicinfo!AW85*Parameters!$C$39-Parameters!$C$40&lt;0,0.001,(Basicinfo!AW85*Parameters!$C$39-Parameters!$C$40)/(Basicinfo!AX85*Parameters!$C$39-Parameters!$C$40))</f>
        <v>1.1156704282624579</v>
      </c>
      <c r="BE85" s="43">
        <f>(BC85*G85*100+Basicinfo!BJ85*Basicinfo!M85*100)*Parameters!$C$29*BD85</f>
        <v>1188.5862690213492</v>
      </c>
      <c r="BF85" s="43">
        <f>(Basicinfo!BK85*Basicinfo!P85*100)*BD85*Parameters!$C$29</f>
        <v>562.11696239115349</v>
      </c>
      <c r="BG85" s="43">
        <f>Parameters!$C$27*(V85+W85)*100</f>
        <v>0</v>
      </c>
      <c r="BH85" s="43">
        <f>Parameters!$C$28*Basicinfo!R85*100</f>
        <v>0</v>
      </c>
      <c r="BI85" s="43">
        <f>BF85+BG85+BH85</f>
        <v>562.11696239115349</v>
      </c>
      <c r="BJ85" s="43">
        <f>IF(Basicinfo!AM85&lt;Parameters!$C$33,0,Parameters!$C$30*(((Basicinfo!AM85-Parameters!$C$33)^Parameters!$C$31)*(((G85-Basicinfo!BN85)/Basicinfo!G85*100+Parameters!$C$34))^Parameters!$C$32))</f>
        <v>1.3859910365578361</v>
      </c>
      <c r="BK85" s="58">
        <f>BE85*BJ85/100+BI85</f>
        <v>578.59066154154664</v>
      </c>
      <c r="BL85" s="61">
        <f>Basicinfo!AZ85+Basicinfo!BA85</f>
        <v>1587.4852176298971</v>
      </c>
      <c r="BM85" s="19">
        <f>Basicinfo!BB85+Basicinfo!BC85</f>
        <v>1858.9443872314143</v>
      </c>
      <c r="BN85" s="172">
        <f>IF(Basicinfo!AO85=0,0,IF(Basicinfo!AO85="NA",1,IF(OR(Basicinfo!AO85="SA",Basicinfo!AN85="S"),3,IF(Basicinfo!AN85="N",1,IF(Basicinfo!AO85="ZA",2,0)))))</f>
        <v>0</v>
      </c>
      <c r="BO85" s="27">
        <f>IF($BN85=1,(BL85)*(1+Parameters!$C$21*Parameters!$C$22-Parameters!$C$22*Basicinfo!$AL85),IF($BN85=2,(BL85)*(1+Parameters!$C$21*Parameters!$C$23-Parameters!$C$23*Basicinfo!$AL85),IF($BN85=3,(BL85)*(1+Parameters!$C$21*Parameters!$C$24-Parameters!$C$24*Basicinfo!$AL85),BL85)))</f>
        <v>1587.4852176298971</v>
      </c>
      <c r="BP85" s="27">
        <f>IF($BN85=1,(BM85)*(1+Parameters!$C$21*Parameters!$C$22-Parameters!$C$22*Basicinfo!$AL85),IF($BN85=2,(BM85)*(1+Parameters!$C$21*Parameters!$C$23-Parameters!$C$23*Basicinfo!$AL85),IF($BN85=3,(BM85)*(1+Parameters!$C$21*Parameters!$C$24-Parameters!$C$24*Basicinfo!$AL85),BM85)))</f>
        <v>1858.9443872314143</v>
      </c>
      <c r="BQ85" s="27">
        <f>IF(Basicinfo!AU85=0,0,IF(G85+Basicinfo!M85=0,0,(Parameters!$C$16+BO85/Basicinfo!AU85)*G85+(Parameters!$C$17+BO85/Basicinfo!AU85)*Basicinfo!M85)/(G85+Basicinfo!M85))</f>
        <v>1.6646423723537493</v>
      </c>
      <c r="BR85" s="27">
        <f>IF(Basicinfo!AU85=0,0,IF(G85+Basicinfo!M85=0,0,(Parameters!$C$16+BP85/Basicinfo!AU85)*G85+(Parameters!$C$17+BP85/Basicinfo!AU85)*Basicinfo!M85)/(G85+Basicinfo!M85))</f>
        <v>1.940090457167907</v>
      </c>
      <c r="BS85" s="27">
        <f>IF(Basicinfo!AU85=0,0,BO85/Basicinfo!AU85)</f>
        <v>1.6108122761475414</v>
      </c>
      <c r="BT85" s="27">
        <f>IF(Basicinfo!AU85=0,0,BP85/Basicinfo!AU85)</f>
        <v>1.8862603609616992</v>
      </c>
      <c r="BU85" s="27">
        <f>IF(SUM(G85,Basicinfo!M85,Basicinfo!P85,W85)=0,0,(BQ85*(G85+Basicinfo!M85)+BS85*(Basicinfo!P85+W85))/SUM(G85,Basicinfo!M85,Basicinfo!P85,W85))</f>
        <v>1.6412635776826854</v>
      </c>
      <c r="BV85" s="19">
        <f>IF(Basicinfo!BR85/Parameters!$C$10&gt;1,1,Basicinfo!BR85/Parameters!$C$10)</f>
        <v>0.27117931670022249</v>
      </c>
      <c r="BW85" s="19">
        <f>Parameters!$C$5+Parameters!$C$6*EXP(BV85*Parameters!$C$8*Parameters!$C$7)</f>
        <v>3.5027158352626299E-2</v>
      </c>
      <c r="BX85" s="19">
        <f>Parameters!$C$5+Parameters!$C$6*EXP(BV85*Parameters!$C$9*Parameters!$C$7)</f>
        <v>3.5017838458305396E-2</v>
      </c>
      <c r="BY85" s="19">
        <f>IF(Basicinfo!AH85+Basicinfo!AI85+Basicinfo!AJ85+Basicinfo!AK85=0,0,(Parameters!$C$18*(Basicinfo!AH85+Basicinfo!AI85)+Parameters!$C$19*Basicinfo!AJ85+Parameters!$C$20*Basicinfo!AK85)/(Basicinfo!AH85+Basicinfo!AI85+Basicinfo!AJ85+Basicinfo!AK85))</f>
        <v>1.5E-3</v>
      </c>
      <c r="BZ85" s="19">
        <f>IF(Basicinfo!AJ85+Basicinfo!AK85=0,Parameters!$C$18,(Parameters!$C$19*Basicinfo!AJ85+Parameters!$C$20*Basicinfo!AK85)/(Basicinfo!AJ85+Basicinfo!AK85))</f>
        <v>1.5E-3</v>
      </c>
      <c r="CA85" s="19">
        <f>IF(SUM(G85,Basicinfo!M85,Basicinfo!P85,W85)=0,0,(BW85*G85+BX85*Basicinfo!M85+BY85*Basicinfo!P85+BZ85*W85)/(SUM(G85,Basicinfo!M85,Basicinfo!P85,W85)))</f>
        <v>2.0461748193493928E-2</v>
      </c>
      <c r="CB85" s="19">
        <f>IF(Y85=0,Basicinfo!BP85,Basicinfo!BP85-(AU85*X85/Y85*Intermediate!BQ85*86400*365/1000000)*1000/(X85*100))</f>
        <v>46.977519212088829</v>
      </c>
      <c r="CC85" s="19">
        <f>IF(Y85=0,Basicinfo!BQ85,Basicinfo!BQ85-(AU85*Basicinfo!AV85/Basicinfo!AU85*X85/Y85*Intermediate!BR85*86400*365/1000000)*1000/(X85*100))</f>
        <v>45.127040082850414</v>
      </c>
      <c r="CD85" s="19">
        <f>IF(OR(Y85=0,AA85=0),BP85/100,BP85/100-(AU85*Basicinfo!AV85/Basicinfo!AU85*(Basicinfo!P85+W85)/Y85*Intermediate!BT85*86400*365/1000000+AW85*Basicinfo!AV85/Basicinfo!AU85*Intermediate!BT85*86400*365/1000000)*1000/(AA85*100))</f>
        <v>16.437721828626188</v>
      </c>
      <c r="CE85" s="19">
        <f t="shared" si="60"/>
        <v>222627.5365433954</v>
      </c>
      <c r="CF85" s="19">
        <f t="shared" si="61"/>
        <v>93899.767661479491</v>
      </c>
      <c r="CG85" s="19">
        <f>IF(AY85=0,0,((CB85^Parameters!$C$58))/AY85*100)</f>
        <v>9.8599649781423864</v>
      </c>
      <c r="CH85" s="19">
        <f>IF(SUM(Basicinfo!AB85:AG85)=0,0,(Parameters!$C$59*Basicinfo!AB85+Parameters!$C$60*SUM(Basicinfo!AC85:AE85)+Parameters!$C$61*Basicinfo!AF85+Parameters!$C$62*Basicinfo!AG85)/SUM(Basicinfo!AB85:AG85))</f>
        <v>5.9999999999999991E-2</v>
      </c>
      <c r="CI85" s="19">
        <f>IF(BB85=0,0,ROUND(3000/BB85,0))</f>
        <v>6</v>
      </c>
      <c r="CJ85" s="19">
        <f t="shared" si="62"/>
        <v>29.732578261793755</v>
      </c>
      <c r="CK85" s="19">
        <f>IF(BB85=0,0,CJ85*100/BB85)</f>
        <v>5.5360862613347281</v>
      </c>
      <c r="CL85" s="19">
        <f>IF($BB85=0,0,$CJ85^Parameters!$C$58*100/$BB85)</f>
        <v>3.3282654976350767</v>
      </c>
      <c r="CM85" s="19">
        <f>IF(CK85=0,0,(1/(1+Parameters!$C$116*BB85^Parameters!$C$120)*Basicinfo!AH85/Basicinfo!G85+1/(1+Parameters!$C$117*BB85^Parameters!$C$121)*Basicinfo!AI85/Basicinfo!G85)*(CK85)^Parameters!$C$124+(1/(1+Parameters!$C$118*BB85^Parameters!$C$122)*Basicinfo!AJ85/Basicinfo!G85+1/(1+Parameters!$C$119*BB85^Parameters!$C$123)*Basicinfo!AK85/Basicinfo!G85)*(CK85)^Parameters!$C$125)</f>
        <v>1.9863904907809886</v>
      </c>
      <c r="CN85" s="19">
        <f>IF(SUM(Basicinfo!AB85:AG85)=0,0,(Parameters!$C$128*Basicinfo!AB85+Parameters!$C$129*(SUM(Basicinfo!AC85:AE85))+Parameters!$C$130*Basicinfo!AF85+Parameters!$C$131*Basicinfo!AG85)/SUM(Basicinfo!AB85:AG85))</f>
        <v>0.01</v>
      </c>
      <c r="CO85" s="19">
        <f>IF(Basicinfo!AH85+Basicinfo!AI85+Basicinfo!AJ85+Basicinfo!AK85=0,0,(Parameters!$C$132*(Basicinfo!AH85+Basicinfo!AI85)+Parameters!$C$133*Basicinfo!AJ85+Parameters!$C$134*Basicinfo!AK85)/(Basicinfo!AH85+Basicinfo!AI85+Basicinfo!AJ85+Basicinfo!AK85))</f>
        <v>5.0000000000000001E-4</v>
      </c>
      <c r="CP85" s="19">
        <f>IF(Basicinfo!AJ85+Basicinfo!AK85=0,0,(Parameters!$C$133*Basicinfo!AJ85+Parameters!$C$134*Basicinfo!AK85)/(Basicinfo!AJ85+Basicinfo!AK85))</f>
        <v>5.0000000000000001E-4</v>
      </c>
      <c r="CQ85" s="19">
        <f>IF(Z85=0,0,(CN85*(Z85-AA85)+CO85*Basicinfo!P85+CP85*(Basicinfo!Q85+Basicinfo!R85))/Z85)</f>
        <v>4.9000719575852314E-3</v>
      </c>
      <c r="CR85" s="19">
        <f>IF(CK85=0,0,IF(AND((Basicinfo!AI85+Basicinfo!AK85)&gt;0,(CM85/CK85)&lt;Parameters!$C$135),CQ85*Parameters!$C$136,CQ85))</f>
        <v>4.9000719575852314E-3</v>
      </c>
      <c r="CS85" s="19">
        <f>IF(SUM(Basicinfo!AB85:AG85)=0,0,(Basicinfo!AB85*Parameters!$C$43+(Basicinfo!AC85+Basicinfo!AD85)*Parameters!$C$44+Basicinfo!AE85*Parameters!$C$45+(Basicinfo!AF85+Basicinfo!AG85)*Parameters!$C$46)/SUM(Basicinfo!AB85:AG85))</f>
        <v>23.591000000000001</v>
      </c>
      <c r="CT85" s="19">
        <f>(Parameters!$C$41*CS85+Parameters!$C$42)</f>
        <v>515.62819999999999</v>
      </c>
      <c r="CU85" s="19">
        <f>CT85+Basicinfo!BR85/(Parameters!$C$47*Parameters!$C$49*Parameters!$C$48*10000/1000000)</f>
        <v>611.1378964478771</v>
      </c>
      <c r="CV85" s="19">
        <f>IF(BK85/Basicinfo!G85&lt;Parameters!$C$35,Parameters!$C$35,Parameters!$C$37*(BK85/Basicinfo!G85)^Parameters!$C$38)</f>
        <v>3.8240243158903078</v>
      </c>
      <c r="CW85" s="19">
        <f>IF(BK85/Basicinfo!G85&lt;Parameters!$C$35,Parameters!$C$36,Parameters!$C$36*(BK85/Basicinfo!G85)^Parameters!$C$38)</f>
        <v>8.986457142342223</v>
      </c>
      <c r="CX85" s="27">
        <f>IF(Basicinfo!AJ85+Basicinfo!AK85=0,0,(Parameters!$C$53*Basicinfo!AJ85+Parameters!$C$54*Basicinfo!AK85)/(Basicinfo!AJ85+Basicinfo!AK85))</f>
        <v>540</v>
      </c>
      <c r="CY85" s="56">
        <f>IF(Basicinfo!AU85*AB85=0,0,((Basicinfo!AZ85+Basicinfo!BA85)/Basicinfo!AU85+Parameters!$C$76/(Basicinfo!AU85*AB85)*100))</f>
        <v>2.3698567096773377</v>
      </c>
      <c r="CZ85" s="43">
        <f>IF(Basicinfo!AU85*AB85=0,0,(Parameters!$C$77)/(Basicinfo!AU85*AB85)*100)</f>
        <v>0.47440277095612271</v>
      </c>
      <c r="DA85" s="43">
        <f>IF(AD85+AJ85=0,0,((J85*Parameters!$C$96+Parameters!$C$94/100*S85*100*Parameters!$C$93/1000*86400*Parameters!$C$95/24*Parameters!$C$98)*AI85+AD85*CY85*86400*365)/((AD85+AJ85*AI85/365)*86400*365))</f>
        <v>9.3825169447164942</v>
      </c>
      <c r="DB85" s="43">
        <f>IF(AD85+AJ85=0,0,((J85*Parameters!$C$97+Parameters!$C$94/100*S85*100*Parameters!$C$93/1000*86400*Parameters!$C$95/24*Parameters!$C$99)*AI85+AD85*CZ85*86400*365)/((AD85+AJ85*AI85/365)*86400*365))</f>
        <v>1.608251392152104</v>
      </c>
      <c r="DC85" s="42">
        <f>IF(AE85+AL85=0,0,((K85*Parameters!$C$96+Parameters!$C$94/100*T85*100*Parameters!$C$93/1000*86400*Parameters!$C$95/24*Parameters!$C$98)*365+AE85*CY85*86400*365)/((AE85+AL85)*86400*365))</f>
        <v>56.567758104007027</v>
      </c>
      <c r="DD85" s="42">
        <f>IF(AE85+AL85=0,0,((K85*Parameters!$C$97+Parameters!$C$94/100*T85*100*Parameters!$C$93/1000*86400*Parameters!$C$95/24*Parameters!$C$99)*365+AE85*CZ85*86400*365)/((AE85+AL85)*86400*365))</f>
        <v>9.2374162450168367</v>
      </c>
      <c r="DE85" s="42">
        <f>IF(Basicinfo!AH85+Basicinfo!AI85+Basicinfo!AJ85+Basicinfo!AK85=0,0,((Basicinfo!AH85+Basicinfo!AI85)*Parameters!$C$107+(Basicinfo!AJ85+Basicinfo!AK85)*Parameters!$C$106)/(Basicinfo!AH85+Basicinfo!AI85+Basicinfo!AJ85+Basicinfo!AK85))</f>
        <v>50</v>
      </c>
      <c r="DF85" s="42">
        <f>IF(Basicinfo!AH85+Basicinfo!AI85+Basicinfo!AJ85+Basicinfo!AK85=0,0,((Basicinfo!AH85+Basicinfo!AI85)*Parameters!$C$109+(Basicinfo!AJ85+Basicinfo!AK85)*Parameters!$C$108)/(Basicinfo!AH85+Basicinfo!AI85+Basicinfo!AJ85+Basicinfo!AK85))</f>
        <v>50</v>
      </c>
      <c r="DG85" s="42">
        <f>Intermediate!AC85*Intermediate!CY85*(1-Parameters!$C$102/100*Basicinfo!BZ85/100)*(1-Parameters!$C$104/100*Basicinfo!CA85/100)*86400*365/1000000</f>
        <v>1.6079985841796401E-2</v>
      </c>
      <c r="DH85" s="42">
        <f>Intermediate!AC85*Intermediate!CZ85*(1-Parameters!$C$103/100*Basicinfo!BZ85/100)*(1-Parameters!$C$105/100*Basicinfo!CA85/100)*86400*365/1000000</f>
        <v>3.2189245067572292E-3</v>
      </c>
      <c r="DI85" s="42">
        <f>(Intermediate!AK85*Intermediate!DA85+(Intermediate!AE85+Intermediate!AL85)*Intermediate!DC85)*86400*365/1000000</f>
        <v>2.5447323911906885</v>
      </c>
      <c r="DJ85" s="42">
        <f>(Intermediate!AK85*Intermediate!DB85+(Intermediate!AE85+Intermediate!AL85)*Intermediate!DD85)*86400*365/1000000</f>
        <v>0.43339196328909207</v>
      </c>
      <c r="DK85" s="42">
        <f>((Basicinfo!AZ85+Basicinfo!BA85)*Intermediate!AB85+Parameters!$C$76*100)/1000*Intermediate!U85*(1-Intermediate!DE85/100)+(1-Parameters!$C$110/100)*M85*Parameters!$C$100*(1-DE85/100)*365/1000000+(1-Parameters!$C$112/100)*P85*Parameters!$C$96*365/1000000+(1-Parameters!$C$112/100)*O85*Parameters!$C$96*(1-DE85/100)*365/1000000</f>
        <v>1.5097752683974526</v>
      </c>
      <c r="DL85" s="42">
        <f>Parameters!$C$77*100/1000*Intermediate!U85*(1-Intermediate!DF85/100)+(1-Parameters!$C$111/100)*M85*Parameters!$C$101*(1-DF85/100)*365/1000000+(1-Parameters!$C$113/100)*P85*Parameters!$C$97*365/1000000+(1-Parameters!$C$113/100)*O85*Parameters!$C$97*(1-DF85/100)*365/1000000</f>
        <v>0.21096434575095896</v>
      </c>
      <c r="DM85" s="145"/>
      <c r="DN85" s="145"/>
      <c r="DO85" s="145"/>
      <c r="DP85" s="145"/>
      <c r="DQ85" s="31"/>
      <c r="DR85" s="31"/>
      <c r="DS85" s="31"/>
      <c r="EC85" s="188"/>
      <c r="EF85" s="155"/>
    </row>
    <row r="86" spans="1:169">
      <c r="A86" s="39" t="str">
        <f>Basicinfo!A86</f>
        <v>EZG_restlich2</v>
      </c>
      <c r="B86" s="63">
        <f>Basicinfo!B86</f>
        <v>61142</v>
      </c>
      <c r="C86" s="63">
        <f>Basicinfo!C86</f>
        <v>1140</v>
      </c>
      <c r="D86" s="61">
        <f>Basicinfo!U86*Basicinfo!V86/1000+Basicinfo!Y86</f>
        <v>0.13796972809791014</v>
      </c>
      <c r="E86" s="19">
        <f>Basicinfo!W86*Basicinfo!X86/1000+Basicinfo!Z86</f>
        <v>0</v>
      </c>
      <c r="F86" s="19">
        <f>D86+E86</f>
        <v>0.13796972809791014</v>
      </c>
      <c r="G86" s="19">
        <f>SUM(Basicinfo!H86:L86)</f>
        <v>6.6181492491883107</v>
      </c>
      <c r="H86" s="19">
        <f>IF(Basicinfo!N86&lt;Parameters!$C$68,Parameters!$C$69,Basicinfo!BS86/(Basicinfo!N86*100))</f>
        <v>62.765937240910411</v>
      </c>
      <c r="I86" s="19">
        <f>IF(Basicinfo!N86=0,0,Basicinfo!BU86*(1-Basicinfo!BX86/100))</f>
        <v>108.64192144332446</v>
      </c>
      <c r="J86" s="19">
        <f>IF(Basicinfo!N86=0,0,Basicinfo!BU86*Basicinfo!BX86/100)</f>
        <v>4309.4923381469343</v>
      </c>
      <c r="K86" s="19">
        <f>IF(Basicinfo!N86=0,0,Basicinfo!BT86-Basicinfo!BU86)</f>
        <v>38.737737108429428</v>
      </c>
      <c r="L86" s="27">
        <f>Basicinfo!BV86*Basicinfo!BW86/100</f>
        <v>160.26488998932612</v>
      </c>
      <c r="M86" s="27">
        <f>Basicinfo!BV86-Intermediate!L86</f>
        <v>160.26488998932612</v>
      </c>
      <c r="N86" s="73">
        <f>Basicinfo!BS86-SUM(I86:K86)-Basicinfo!BV86</f>
        <v>160.26488998932558</v>
      </c>
      <c r="O86" s="19">
        <f>IF(Basicinfo!AH86+Basicinfo!AI86+Basicinfo!AJ86+Basicinfo!AK86=0,0,N86*(Basicinfo!AH86+Basicinfo!AI86)/SUM(Basicinfo!AH86:AK86))</f>
        <v>0</v>
      </c>
      <c r="P86" s="73">
        <f>N86-O86</f>
        <v>160.26488998932558</v>
      </c>
      <c r="Q86" s="19">
        <f>IF(Basicinfo!BS86=0,Basicinfo!N86,IF(H86&gt;Parameters!$C$70,Parameters!$C$64*(Parameters!$C$65*Parameters!$C$70)^(Parameters!$C$66-Parameters!$C$67*LOG(Parameters!$C$65*Parameters!$C$70,10))/100*Basicinfo!N86,Parameters!$C$64*(Parameters!$C$65*H86)^(Parameters!$C$66-Parameters!$C$67*LOG(Parameters!$C$65*H86,10))/100*Basicinfo!N86))</f>
        <v>0.40353711082250288</v>
      </c>
      <c r="R86" s="19">
        <f>IF(Basicinfo!BS86=0,Q86*(1-Basicinfo!BX86/100),IF(H86&lt;Parameters!$C$75,Q86*Basicinfo!BU86/Basicinfo!BS86*(1-Basicinfo!BX86/100)*(-Parameters!$C$74+Parameters!$C$73*LN(H86*100)),Q86*Basicinfo!BU86/Basicinfo!BS86*(1-Basicinfo!BX86/100)))</f>
        <v>6.4378490135144593E-3</v>
      </c>
      <c r="S86" s="19">
        <f>IF(Basicinfo!BS86=0,Q86*Basicinfo!BX86/100,Q86*Basicinfo!BU86/Basicinfo!BS86*Basicinfo!BX86/100)</f>
        <v>0.35219876201597111</v>
      </c>
      <c r="T86" s="19">
        <f>IF(Basicinfo!BS86=0,0,IF(H86&lt;Parameters!$C$75,Q86*K86/Basicinfo!BS86*(-Parameters!$C$74+Parameters!$C$73*LN(H86*100)),Q86*K86/Basicinfo!BS86))</f>
        <v>2.2955015827788318E-3</v>
      </c>
      <c r="U86" s="19">
        <f>Q86-R86-S86-T86</f>
        <v>4.2604998210238471E-2</v>
      </c>
      <c r="V86" s="19">
        <f>IF(Basicinfo!AL86&gt;Parameters!$C$14,Basicinfo!Q86,0)</f>
        <v>0</v>
      </c>
      <c r="W86" s="19">
        <f>IF(Basicinfo!AL86&gt;Parameters!$C$14,0,Basicinfo!Q86)</f>
        <v>0</v>
      </c>
      <c r="X86" s="19">
        <f>G86+Basicinfo!M86</f>
        <v>36.883544981060602</v>
      </c>
      <c r="Y86" s="19">
        <f>IF(Basicinfo!G86-F86-Q86-V86-Basicinfo!O86-Basicinfo!R86-Basicinfo!S86&lt;0,0,Basicinfo!G86-F86-Q86-V86-Basicinfo!O86-Basicinfo!R86-Basicinfo!S86)</f>
        <v>65.445826494412913</v>
      </c>
      <c r="Z86" s="19">
        <f>Basicinfo!G86-F86-Basicinfo!BO86-Q86-Basicinfo!O86</f>
        <v>53.229037424516129</v>
      </c>
      <c r="AA86" s="53">
        <f>IF(Z86+Basicinfo!BO86-X86&gt;0,Z86+Basicinfo!BO86-X86,0)</f>
        <v>28.56228151335231</v>
      </c>
      <c r="AB86" s="56">
        <f>IF(Basicinfo!N86=0,0,Parameters!$C$71+Parameters!$C$72*Q86/Basicinfo!N86)</f>
        <v>0.53472197520821529</v>
      </c>
      <c r="AC86" s="43">
        <f>Basicinfo!AU86*AB86*R86/1000/86.4/0.365</f>
        <v>1.0757886838961393E-4</v>
      </c>
      <c r="AD86" s="43">
        <f>Basicinfo!AU86*AB86*S86/1000/86.4/0.365</f>
        <v>5.8853732335697019E-3</v>
      </c>
      <c r="AE86" s="43">
        <f>Basicinfo!AU86*AB86*T86/1000/86.4/0.365</f>
        <v>3.8358691255964125E-5</v>
      </c>
      <c r="AF86" s="43">
        <f>Basicinfo!AU86*AB86*U86/1000/86.4/0.365</f>
        <v>7.1194547830764952E-4</v>
      </c>
      <c r="AG86" s="43">
        <f>((Parameters!$C$80+Parameters!$C$81*Parameters!$C$89)/(Parameters!$C$82+Parameters!$C$89)/(Parameters!$C$90/100*Parameters!$C$91+(Parameters!$C$83+Parameters!$C$84*Parameters!$C$89)/(Parameters!$C$85+Parameters!$C$89)))-Parameters!$C$86+(Basicinfo!AU86-Parameters!$C$88)/Parameters!$C$87</f>
        <v>76.026627319347938</v>
      </c>
      <c r="AH86" s="43">
        <f>((Parameters!$C$80+Parameters!$C$81*Parameters!$C$89)/(Parameters!$C$82+Parameters!$C$89)/(Basicinfo!BY86/100*Parameters!$C$91+(Parameters!$C$83+Parameters!$C$84*Parameters!$C$89)/(Parameters!$C$85+Parameters!$C$89)))-Parameters!$C$86+(Basicinfo!AU86-Parameters!$C$88)/Parameters!$C$87</f>
        <v>58.223745452732366</v>
      </c>
      <c r="AI86" s="43">
        <f>Basicinfo!AU86^Parameters!$C$79*Parameters!$C$78*AH86/AG86</f>
        <v>28.020608271106173</v>
      </c>
      <c r="AJ86" s="43">
        <f>(J86*Parameters!$C$92/1000+Parameters!$C$94/100*S86*100*Parameters!$C$93/1000*86400*Parameters!$C$95/24)/86400</f>
        <v>6.4959298193716149E-3</v>
      </c>
      <c r="AK86" s="43">
        <f>(AD86+AJ86*AI86/365)*AH86/100</f>
        <v>3.7170376237684716E-3</v>
      </c>
      <c r="AL86" s="43">
        <f>(K86*Parameters!$C$92/1000+Parameters!$C$94/100*T86*100*Parameters!$C$93/1000*86400*Parameters!$C$95/24)/86400</f>
        <v>5.8362463757572086E-5</v>
      </c>
      <c r="AM86" s="43">
        <f>(Intermediate!N86+Basicinfo!BV86-Intermediate!L86)*Parameters!$C$92/1000/86400</f>
        <v>4.8227860413454544E-4</v>
      </c>
      <c r="AN86" s="43">
        <f>AC86+AD86*AH86/100+AE86</f>
        <v>3.5726222901024448E-3</v>
      </c>
      <c r="AO86" s="43">
        <f t="shared" si="69"/>
        <v>3.8137587787820076E-3</v>
      </c>
      <c r="AP86" s="43">
        <f t="shared" si="70"/>
        <v>1.194224082442195E-3</v>
      </c>
      <c r="AQ86" s="43">
        <f t="shared" si="58"/>
        <v>5.1155617296138167E-3</v>
      </c>
      <c r="AR86" s="61">
        <f>(Basicinfo!AU86-Basicinfo!AY86)*F86/1000/86.4/0.365</f>
        <v>2.2256825825143095E-3</v>
      </c>
      <c r="AS86" s="19">
        <f>IF(Basicinfo!AP86-Basicinfo!CB86-Basicinfo!CG86&lt;0,0,(Basicinfo!AP86-Basicinfo!CB86-Basicinfo!CG86)/Basicinfo!G86*1000)</f>
        <v>19.509195126958968</v>
      </c>
      <c r="AT86" s="19">
        <f>Parameters!$C$3*((AS86*86.4*0.365)^Parameters!$C$4)</f>
        <v>127.30333147924276</v>
      </c>
      <c r="AU86" s="19">
        <f>IF(AT86/86.4/0.365*(Basicinfo!G86/1000)-AN86&lt;0,0,AT86/86.4/0.365*(Basicinfo!G86/1000)-AN86)</f>
        <v>0.26280254795230679</v>
      </c>
      <c r="AV86" s="19">
        <f>IF(Basicinfo!AU86&gt;Parameters!$C$13,Parameters!$C$11*(Basicinfo!AU86-Parameters!$C$13)^Parameters!$C$12,0)</f>
        <v>91.852769527713576</v>
      </c>
      <c r="AW86" s="19">
        <f>IF(AV86*V86/1000/86.4/0.365&gt;Basicinfo!AP86*Parameters!$C$15,Basicinfo!AP86*Parameters!$C$15,AV86*V86/1000/86.4/0.365)</f>
        <v>0</v>
      </c>
      <c r="AX86" s="19">
        <f>Basicinfo!AU86-Basicinfo!AW86</f>
        <v>422.22782500000005</v>
      </c>
      <c r="AY86" s="19">
        <f>Parameters!$C$56*AX86+Parameters!$C$57*Basicinfo!AW86</f>
        <v>267.44297500000005</v>
      </c>
      <c r="AZ86" s="19">
        <f>AY86*Basicinfo!BO86/1000/86.4/0.365</f>
        <v>0.10360522621133554</v>
      </c>
      <c r="BA86" s="19">
        <f>IF(Basicinfo!AP86-AQ86-AR86-AU86-AW86-AZ86-Basicinfo!CB86-Basicinfo!CG86&lt;0,0,Basicinfo!AP86-AQ86-AR86-AU86-AW86-AZ86-Basicinfo!CB86-Basicinfo!CG86)</f>
        <v>0.91361074343191306</v>
      </c>
      <c r="BB86" s="53">
        <f t="shared" si="59"/>
        <v>541.27652497429551</v>
      </c>
      <c r="BC86" s="56">
        <f>IF(G86=0,0,((Basicinfo!H86*Basicinfo!BE86+Basicinfo!I86*Basicinfo!BF86+Basicinfo!J86*Basicinfo!BG86+Basicinfo!K86*Basicinfo!BH86+Basicinfo!L86*Basicinfo!BI86)*(1-Basicinfo!BN86/G86*Parameters!$C$26/100)/G86)*Basicinfo!BM86)</f>
        <v>0.3895341989089644</v>
      </c>
      <c r="BD86" s="43">
        <f>IF(Basicinfo!AW86*Parameters!$C$39-Parameters!$C$40&lt;0,0.001,(Basicinfo!AW86*Parameters!$C$39-Parameters!$C$40)/(Basicinfo!AX86*Parameters!$C$39-Parameters!$C$40))</f>
        <v>1.1156704282624579</v>
      </c>
      <c r="BE86" s="43">
        <f>(BC86*G86*100+Basicinfo!BJ86*Basicinfo!M86*100)*Parameters!$C$29*BD86</f>
        <v>696.42501194619285</v>
      </c>
      <c r="BF86" s="43">
        <f>(Basicinfo!BK86*Basicinfo!P86*100)*BD86*Parameters!$C$29</f>
        <v>310.45662302809598</v>
      </c>
      <c r="BG86" s="43">
        <f>Parameters!$C$27*(V86+W86)*100</f>
        <v>0</v>
      </c>
      <c r="BH86" s="43">
        <f>Parameters!$C$28*Basicinfo!R86*100</f>
        <v>0</v>
      </c>
      <c r="BI86" s="43">
        <f>BF86+BG86+BH86</f>
        <v>310.45662302809598</v>
      </c>
      <c r="BJ86" s="43">
        <f>IF(Basicinfo!AM86&lt;Parameters!$C$33,0,Parameters!$C$30*(((Basicinfo!AM86-Parameters!$C$33)^Parameters!$C$31)*(((G86-Basicinfo!BN86)/Basicinfo!G86*100+Parameters!$C$34))^Parameters!$C$32))</f>
        <v>1.3859910365578361</v>
      </c>
      <c r="BK86" s="58">
        <f>BE86*BJ86/100+BI86</f>
        <v>320.10901127001705</v>
      </c>
      <c r="BL86" s="61">
        <f>Basicinfo!AZ86+Basicinfo!BA86</f>
        <v>1567.1050766458829</v>
      </c>
      <c r="BM86" s="19">
        <f>Basicinfo!BB86+Basicinfo!BC86</f>
        <v>2317.0213853274063</v>
      </c>
      <c r="BN86" s="172">
        <f>IF(Basicinfo!AO86=0,0,IF(Basicinfo!AO86="NA",1,IF(OR(Basicinfo!AO86="SA",Basicinfo!AN86="S"),3,IF(Basicinfo!AN86="N",1,IF(Basicinfo!AO86="ZA",2,0)))))</f>
        <v>0</v>
      </c>
      <c r="BO86" s="27">
        <f>IF($BN86=1,(BL86)*(1+Parameters!$C$21*Parameters!$C$22-Parameters!$C$22*Basicinfo!$AL86),IF($BN86=2,(BL86)*(1+Parameters!$C$21*Parameters!$C$23-Parameters!$C$23*Basicinfo!$AL86),IF($BN86=3,(BL86)*(1+Parameters!$C$21*Parameters!$C$24-Parameters!$C$24*Basicinfo!$AL86),BL86)))</f>
        <v>1567.1050766458829</v>
      </c>
      <c r="BP86" s="27">
        <f>IF($BN86=1,(BM86)*(1+Parameters!$C$21*Parameters!$C$22-Parameters!$C$22*Basicinfo!$AL86),IF($BN86=2,(BM86)*(1+Parameters!$C$21*Parameters!$C$23-Parameters!$C$23*Basicinfo!$AL86),IF($BN86=3,(BM86)*(1+Parameters!$C$21*Parameters!$C$24-Parameters!$C$24*Basicinfo!$AL86),BM86)))</f>
        <v>2317.0213853274063</v>
      </c>
      <c r="BQ86" s="27">
        <f>IF(Basicinfo!AU86=0,0,IF(G86+Basicinfo!M86=0,0,(Parameters!$C$16+BO86/Basicinfo!AU86)*G86+(Parameters!$C$17+BO86/Basicinfo!AU86)*Basicinfo!M86)/(G86+Basicinfo!M86))</f>
        <v>1.6439627585078451</v>
      </c>
      <c r="BR86" s="27">
        <f>IF(Basicinfo!AU86=0,0,IF(G86+Basicinfo!M86=0,0,(Parameters!$C$16+BP86/Basicinfo!AU86)*G86+(Parameters!$C$17+BP86/Basicinfo!AU86)*Basicinfo!M86)/(G86+Basicinfo!M86))</f>
        <v>2.4048985975898263</v>
      </c>
      <c r="BS86" s="27">
        <f>IF(Basicinfo!AU86=0,0,BO86/Basicinfo!AU86)</f>
        <v>1.5901326623016372</v>
      </c>
      <c r="BT86" s="27">
        <f>IF(Basicinfo!AU86=0,0,BP86/Basicinfo!AU86)</f>
        <v>2.3510685013836183</v>
      </c>
      <c r="BU86" s="27">
        <f>IF(SUM(G86,Basicinfo!M86,Basicinfo!P86,W86)=0,0,(BQ86*(G86+Basicinfo!M86)+BS86*(Basicinfo!P86+W86))/SUM(G86,Basicinfo!M86,Basicinfo!P86,W86))</f>
        <v>1.6205839638367812</v>
      </c>
      <c r="BV86" s="19">
        <f>IF(Basicinfo!BR86/Parameters!$C$10&gt;1,1,Basicinfo!BR86/Parameters!$C$10)</f>
        <v>0.23150860547555452</v>
      </c>
      <c r="BW86" s="19">
        <f>Parameters!$C$5+Parameters!$C$6*EXP(BV86*Parameters!$C$8*Parameters!$C$7)</f>
        <v>3.5015615721962545E-2</v>
      </c>
      <c r="BX86" s="19">
        <f>Parameters!$C$5+Parameters!$C$6*EXP(BV86*Parameters!$C$9*Parameters!$C$7)</f>
        <v>3.5010907382857975E-2</v>
      </c>
      <c r="BY86" s="19">
        <f>IF(Basicinfo!AH86+Basicinfo!AI86+Basicinfo!AJ86+Basicinfo!AK86=0,0,(Parameters!$C$18*(Basicinfo!AH86+Basicinfo!AI86)+Parameters!$C$19*Basicinfo!AJ86+Parameters!$C$20*Basicinfo!AK86)/(Basicinfo!AH86+Basicinfo!AI86+Basicinfo!AJ86+Basicinfo!AK86))</f>
        <v>1.5E-3</v>
      </c>
      <c r="BZ86" s="19">
        <f>IF(Basicinfo!AJ86+Basicinfo!AK86=0,Parameters!$C$18,(Parameters!$C$19*Basicinfo!AJ86+Parameters!$C$20*Basicinfo!AK86)/(Basicinfo!AJ86+Basicinfo!AK86))</f>
        <v>1.5E-3</v>
      </c>
      <c r="CA86" s="19">
        <f>IF(SUM(G86,Basicinfo!M86,Basicinfo!P86,W86)=0,0,(BW86*G86+BX86*Basicinfo!M86+BY86*Basicinfo!P86+BZ86*W86)/(SUM(G86,Basicinfo!M86,Basicinfo!P86,W86)))</f>
        <v>2.0457359240680748E-2</v>
      </c>
      <c r="CB86" s="19">
        <f>IF(Y86=0,Basicinfo!BP86,Basicinfo!BP86-(AU86*X86/Y86*Intermediate!BQ86*86400*365/1000000)*1000/(X86*100))</f>
        <v>40.543558928172288</v>
      </c>
      <c r="CC86" s="19">
        <f>IF(Y86=0,Basicinfo!BQ86,Basicinfo!BQ86-(AU86*Basicinfo!AV86/Basicinfo!AU86*X86/Y86*Intermediate!BR86*86400*365/1000000)*1000/(X86*100))</f>
        <v>37.448940238728468</v>
      </c>
      <c r="CD86" s="19">
        <f>IF(OR(Y86=0,AA86=0),BP86/100,BP86/100-(AU86*Basicinfo!AV86/Basicinfo!AU86*(Basicinfo!P86+W86)/Y86*Intermediate!BT86*86400*365/1000000+AW86*Basicinfo!AV86/Basicinfo!AU86*Intermediate!BT86*86400*365/1000000)*1000/(AA86*100))</f>
        <v>20.462880578074568</v>
      </c>
      <c r="CE86" s="19">
        <f t="shared" si="60"/>
        <v>92374.386800047607</v>
      </c>
      <c r="CF86" s="19">
        <f t="shared" si="61"/>
        <v>58446.65556450752</v>
      </c>
      <c r="CG86" s="19">
        <f>IF(AY86=0,0,((CB86^Parameters!$C$58))/AY86*100)</f>
        <v>8.6996622789745093</v>
      </c>
      <c r="CH86" s="19">
        <f>IF(SUM(Basicinfo!AB86:AG86)=0,0,(Parameters!$C$59*Basicinfo!AB86+Parameters!$C$60*SUM(Basicinfo!AC86:AE86)+Parameters!$C$61*Basicinfo!AF86+Parameters!$C$62*Basicinfo!AG86)/SUM(Basicinfo!AB86:AG86))</f>
        <v>5.9999999999999991E-2</v>
      </c>
      <c r="CI86" s="19">
        <f>IF(BB86=0,0,ROUND(3000/BB86,0))</f>
        <v>6</v>
      </c>
      <c r="CJ86" s="19">
        <f t="shared" si="62"/>
        <v>28.334354642131899</v>
      </c>
      <c r="CK86" s="19">
        <f>IF(BB86=0,0,CJ86*100/BB86)</f>
        <v>5.2347281536877031</v>
      </c>
      <c r="CL86" s="19">
        <f>IF($BB86=0,0,$CJ86^Parameters!$C$58*100/$BB86)</f>
        <v>3.169911477282839</v>
      </c>
      <c r="CM86" s="19">
        <f>IF(CK86=0,0,(1/(1+Parameters!$C$116*BB86^Parameters!$C$120)*Basicinfo!AH86/Basicinfo!G86+1/(1+Parameters!$C$117*BB86^Parameters!$C$121)*Basicinfo!AI86/Basicinfo!G86)*(CK86)^Parameters!$C$124+(1/(1+Parameters!$C$118*BB86^Parameters!$C$122)*Basicinfo!AJ86/Basicinfo!G86+1/(1+Parameters!$C$119*BB86^Parameters!$C$123)*Basicinfo!AK86/Basicinfo!G86)*(CK86)^Parameters!$C$125)</f>
        <v>1.8994085802615379</v>
      </c>
      <c r="CN86" s="19">
        <f>IF(SUM(Basicinfo!AB86:AG86)=0,0,(Parameters!$C$128*Basicinfo!AB86+Parameters!$C$129*(SUM(Basicinfo!AC86:AE86))+Parameters!$C$130*Basicinfo!AF86+Parameters!$C$131*Basicinfo!AG86)/SUM(Basicinfo!AB86:AG86))</f>
        <v>0.01</v>
      </c>
      <c r="CO86" s="19">
        <f>IF(Basicinfo!AH86+Basicinfo!AI86+Basicinfo!AJ86+Basicinfo!AK86=0,0,(Parameters!$C$132*(Basicinfo!AH86+Basicinfo!AI86)+Parameters!$C$133*Basicinfo!AJ86+Parameters!$C$134*Basicinfo!AK86)/(Basicinfo!AH86+Basicinfo!AI86+Basicinfo!AJ86+Basicinfo!AK86))</f>
        <v>5.0000000000000001E-4</v>
      </c>
      <c r="CP86" s="19">
        <f>IF(Basicinfo!AJ86+Basicinfo!AK86=0,0,(Parameters!$C$133*Basicinfo!AJ86+Parameters!$C$134*Basicinfo!AK86)/(Basicinfo!AJ86+Basicinfo!AK86))</f>
        <v>5.0000000000000001E-4</v>
      </c>
      <c r="CQ86" s="19">
        <f>IF(Z86=0,0,(CN86*(Z86-AA86)+CO86*Basicinfo!P86+CP86*(Basicinfo!Q86+Basicinfo!R86))/Z86)</f>
        <v>4.9000719575852314E-3</v>
      </c>
      <c r="CR86" s="19">
        <f>IF(CK86=0,0,IF(AND((Basicinfo!AI86+Basicinfo!AK86)&gt;0,(CM86/CK86)&lt;Parameters!$C$135),CQ86*Parameters!$C$136,CQ86))</f>
        <v>4.9000719575852314E-3</v>
      </c>
      <c r="CS86" s="19">
        <f>IF(SUM(Basicinfo!AB86:AG86)=0,0,(Basicinfo!AB86*Parameters!$C$43+(Basicinfo!AC86+Basicinfo!AD86)*Parameters!$C$44+Basicinfo!AE86*Parameters!$C$45+(Basicinfo!AF86+Basicinfo!AG86)*Parameters!$C$46)/SUM(Basicinfo!AB86:AG86))</f>
        <v>23.591000000000001</v>
      </c>
      <c r="CT86" s="19">
        <f>(Parameters!$C$41*CS86+Parameters!$C$42)</f>
        <v>515.62819999999999</v>
      </c>
      <c r="CU86" s="19">
        <f>CT86+Basicinfo!BR86/(Parameters!$C$47*Parameters!$C$49*Parameters!$C$48*10000/1000000)</f>
        <v>597.16582205428335</v>
      </c>
      <c r="CV86" s="19">
        <f>IF(BK86/Basicinfo!G86&lt;Parameters!$C$35,Parameters!$C$35,Parameters!$C$37*(BK86/Basicinfo!G86)^Parameters!$C$38)</f>
        <v>3.6463730796240141</v>
      </c>
      <c r="CW86" s="19">
        <f>IF(BK86/Basicinfo!G86&lt;Parameters!$C$35,Parameters!$C$36,Parameters!$C$36*(BK86/Basicinfo!G86)^Parameters!$C$38)</f>
        <v>8.5689767371164329</v>
      </c>
      <c r="CX86" s="27">
        <f>IF(Basicinfo!AJ86+Basicinfo!AK86=0,0,(Parameters!$C$53*Basicinfo!AJ86+Parameters!$C$54*Basicinfo!AK86)/(Basicinfo!AJ86+Basicinfo!AK86))</f>
        <v>540</v>
      </c>
      <c r="CY86" s="56">
        <f>IF(Basicinfo!AU86*AB86=0,0,((Basicinfo!AZ86+Basicinfo!BA86)/Basicinfo!AU86+Parameters!$C$76/(Basicinfo!AU86*AB86)*100))</f>
        <v>2.3491770958314335</v>
      </c>
      <c r="CZ86" s="43">
        <f>IF(Basicinfo!AU86*AB86=0,0,(Parameters!$C$77)/(Basicinfo!AU86*AB86)*100)</f>
        <v>0.47440277095612271</v>
      </c>
      <c r="DA86" s="43">
        <f>IF(AD86+AJ86=0,0,((J86*Parameters!$C$96+Parameters!$C$94/100*S86*100*Parameters!$C$93/1000*86400*Parameters!$C$95/24*Parameters!$C$98)*AI86+AD86*CY86*86400*365)/((AD86+AJ86*AI86/365)*86400*365))</f>
        <v>9.363452699430308</v>
      </c>
      <c r="DB86" s="43">
        <f>IF(AD86+AJ86=0,0,((J86*Parameters!$C$97+Parameters!$C$94/100*S86*100*Parameters!$C$93/1000*86400*Parameters!$C$95/24*Parameters!$C$99)*AI86+AD86*CZ86*86400*365)/((AD86+AJ86*AI86/365)*86400*365))</f>
        <v>1.608251392152104</v>
      </c>
      <c r="DC86" s="42">
        <f>IF(AE86+AL86=0,0,((K86*Parameters!$C$96+Parameters!$C$94/100*T86*100*Parameters!$C$93/1000*86400*Parameters!$C$95/24*Parameters!$C$98)*365+AE86*CY86*86400*365)/((AE86+AL86)*86400*365))</f>
        <v>56.559556765605969</v>
      </c>
      <c r="DD86" s="42">
        <f>IF(AE86+AL86=0,0,((K86*Parameters!$C$97+Parameters!$C$94/100*T86*100*Parameters!$C$93/1000*86400*Parameters!$C$95/24*Parameters!$C$99)*365+AE86*CZ86*86400*365)/((AE86+AL86)*86400*365))</f>
        <v>9.2374162450168367</v>
      </c>
      <c r="DE86" s="42">
        <f>IF(Basicinfo!AH86+Basicinfo!AI86+Basicinfo!AJ86+Basicinfo!AK86=0,0,((Basicinfo!AH86+Basicinfo!AI86)*Parameters!$C$107+(Basicinfo!AJ86+Basicinfo!AK86)*Parameters!$C$106)/(Basicinfo!AH86+Basicinfo!AI86+Basicinfo!AJ86+Basicinfo!AK86))</f>
        <v>50</v>
      </c>
      <c r="DF86" s="42">
        <f>IF(Basicinfo!AH86+Basicinfo!AI86+Basicinfo!AJ86+Basicinfo!AK86=0,0,((Basicinfo!AH86+Basicinfo!AI86)*Parameters!$C$109+(Basicinfo!AJ86+Basicinfo!AK86)*Parameters!$C$108)/(Basicinfo!AH86+Basicinfo!AI86+Basicinfo!AJ86+Basicinfo!AK86))</f>
        <v>50</v>
      </c>
      <c r="DG86" s="42">
        <f>Intermediate!AC86*Intermediate!CY86*(1-Parameters!$C$102/100*Basicinfo!BZ86/100)*(1-Parameters!$C$104/100*Basicinfo!CA86/100)*86400*365/1000000</f>
        <v>7.9698351142050636E-3</v>
      </c>
      <c r="DH86" s="42">
        <f>Intermediate!AC86*Intermediate!CZ86*(1-Parameters!$C$103/100*Basicinfo!BZ86/100)*(1-Parameters!$C$105/100*Basicinfo!CA86/100)*86400*365/1000000</f>
        <v>1.6094622533786146E-3</v>
      </c>
      <c r="DI86" s="42">
        <f>(Intermediate!AK86*Intermediate!DA86+(Intermediate!AE86+Intermediate!AL86)*Intermediate!DC86)*86400*365/1000000</f>
        <v>1.2701064595504978</v>
      </c>
      <c r="DJ86" s="42">
        <f>(Intermediate!AK86*Intermediate!DB86+(Intermediate!AE86+Intermediate!AL86)*Intermediate!DD86)*86400*365/1000000</f>
        <v>0.21669598164454604</v>
      </c>
      <c r="DK86" s="42">
        <f>((Basicinfo!AZ86+Basicinfo!BA86)*Intermediate!AB86+Parameters!$C$76*100)/1000*Intermediate!U86*(1-Intermediate!DE86/100)+(1-Parameters!$C$110/100)*M86*Parameters!$C$100*(1-DE86/100)*365/1000000+(1-Parameters!$C$112/100)*P86*Parameters!$C$96*365/1000000+(1-Parameters!$C$112/100)*O86*Parameters!$C$96*(1-DE86/100)*365/1000000</f>
        <v>0.75465548575735086</v>
      </c>
      <c r="DL86" s="42">
        <f>Parameters!$C$77*100/1000*Intermediate!U86*(1-Intermediate!DF86/100)+(1-Parameters!$C$111/100)*M86*Parameters!$C$101*(1-DF86/100)*365/1000000+(1-Parameters!$C$113/100)*P86*Parameters!$C$97*365/1000000+(1-Parameters!$C$113/100)*O86*Parameters!$C$97*(1-DF86/100)*365/1000000</f>
        <v>0.10548217287547948</v>
      </c>
      <c r="DM86" s="31"/>
      <c r="DN86" s="31"/>
      <c r="DO86" s="31"/>
      <c r="DP86" s="31"/>
      <c r="DQ86" s="31"/>
      <c r="DR86" s="31"/>
      <c r="DS86" s="31"/>
    </row>
    <row r="87" spans="1:169">
      <c r="A87" s="39" t="str">
        <f>Basicinfo!A87</f>
        <v>EZG_restlich3</v>
      </c>
      <c r="B87" s="63">
        <f>Basicinfo!B87</f>
        <v>61151</v>
      </c>
      <c r="C87" s="63">
        <f>Basicinfo!C87</f>
        <v>1130</v>
      </c>
      <c r="D87" s="61">
        <f>Basicinfo!U87*Basicinfo!V87/1000+Basicinfo!Y87</f>
        <v>8.4515991969882215E-3</v>
      </c>
      <c r="E87" s="19">
        <f>Basicinfo!W87*Basicinfo!X87/1000+Basicinfo!Z87</f>
        <v>0</v>
      </c>
      <c r="F87" s="19">
        <f>D87+E87</f>
        <v>8.4515991969882215E-3</v>
      </c>
      <c r="G87" s="19">
        <f>SUM(Basicinfo!H87:L87)</f>
        <v>3.073592255125285</v>
      </c>
      <c r="H87" s="19">
        <f>IF(Basicinfo!N87&lt;Parameters!$C$68,Parameters!$C$69,Basicinfo!BS87/(Basicinfo!N87*100))</f>
        <v>15</v>
      </c>
      <c r="I87" s="19">
        <f>IF(Basicinfo!N87=0,0,Basicinfo!BU87*(1-Basicinfo!BX87/100))</f>
        <v>0</v>
      </c>
      <c r="J87" s="19">
        <f>IF(Basicinfo!N87=0,0,Basicinfo!BU87*Basicinfo!BX87/100)</f>
        <v>0</v>
      </c>
      <c r="K87" s="19">
        <f>IF(Basicinfo!N87=0,0,Basicinfo!BT87-Basicinfo!BU87)</f>
        <v>0</v>
      </c>
      <c r="L87" s="27">
        <f>Basicinfo!BV87*Basicinfo!BW87/100</f>
        <v>60.046263130676905</v>
      </c>
      <c r="M87" s="27">
        <f>Basicinfo!BV87-Intermediate!L87</f>
        <v>60.046263130676905</v>
      </c>
      <c r="N87" s="73">
        <f>Basicinfo!BS87-SUM(I87:K87)-Basicinfo!BV87</f>
        <v>601.90747373864622</v>
      </c>
      <c r="O87" s="19">
        <f>IF(Basicinfo!AH87+Basicinfo!AI87+Basicinfo!AJ87+Basicinfo!AK87=0,0,N87*(Basicinfo!AH87+Basicinfo!AI87)/SUM(Basicinfo!AH87:AK87))</f>
        <v>0</v>
      </c>
      <c r="P87" s="73">
        <f>N87-O87</f>
        <v>601.90747373864622</v>
      </c>
      <c r="Q87" s="19">
        <f>IF(Basicinfo!BS87=0,Basicinfo!N87,IF(H87&gt;Parameters!$C$70,Parameters!$C$64*(Parameters!$C$65*Parameters!$C$70)^(Parameters!$C$66-Parameters!$C$67*LOG(Parameters!$C$65*Parameters!$C$70,10))/100*Basicinfo!N87,Parameters!$C$64*(Parameters!$C$65*H87)^(Parameters!$C$66-Parameters!$C$67*LOG(Parameters!$C$65*H87,10))/100*Basicinfo!N87))</f>
        <v>0</v>
      </c>
      <c r="R87" s="19">
        <f>IF(Basicinfo!BS87=0,Q87*(1-Basicinfo!BX87/100),IF(H87&lt;Parameters!$C$75,Q87*Basicinfo!BU87/Basicinfo!BS87*(1-Basicinfo!BX87/100)*(-Parameters!$C$74+Parameters!$C$73*LN(H87*100)),Q87*Basicinfo!BU87/Basicinfo!BS87*(1-Basicinfo!BX87/100)))</f>
        <v>0</v>
      </c>
      <c r="S87" s="19">
        <f>IF(Basicinfo!BS87=0,Q87*Basicinfo!BX87/100,Q87*Basicinfo!BU87/Basicinfo!BS87*Basicinfo!BX87/100)</f>
        <v>0</v>
      </c>
      <c r="T87" s="19">
        <f>IF(Basicinfo!BS87=0,0,IF(H87&lt;Parameters!$C$75,Q87*K87/Basicinfo!BS87*(-Parameters!$C$74+Parameters!$C$73*LN(H87*100)),Q87*K87/Basicinfo!BS87))</f>
        <v>0</v>
      </c>
      <c r="U87" s="19">
        <f>Q87-R87-S87-T87</f>
        <v>0</v>
      </c>
      <c r="V87" s="19">
        <f>IF(Basicinfo!AL87&gt;Parameters!$C$14,Basicinfo!Q87,0)</f>
        <v>0</v>
      </c>
      <c r="W87" s="19">
        <f>IF(Basicinfo!AL87&gt;Parameters!$C$14,0,Basicinfo!Q87)</f>
        <v>0</v>
      </c>
      <c r="X87" s="19">
        <f>G87+Basicinfo!M87</f>
        <v>9.0048217539863344</v>
      </c>
      <c r="Y87" s="19">
        <f>IF(Basicinfo!G87-F87-Q87-V87-Basicinfo!O87-Basicinfo!R87-Basicinfo!S87&lt;0,0,Basicinfo!G87-F87-Q87-V87-Basicinfo!O87-Basicinfo!R87-Basicinfo!S87)</f>
        <v>26.408370724265428</v>
      </c>
      <c r="Z87" s="19">
        <f>Basicinfo!G87-F87-Basicinfo!BO87-Q87-Basicinfo!O87</f>
        <v>26.448548400803013</v>
      </c>
      <c r="AA87" s="53">
        <f>IF(Z87+Basicinfo!BO87-X87&gt;0,Z87+Basicinfo!BO87-X87,0)</f>
        <v>17.443726646816678</v>
      </c>
      <c r="AB87" s="56">
        <f>IF(Basicinfo!N87=0,0,Parameters!$C$71+Parameters!$C$72*Q87/Basicinfo!N87)</f>
        <v>0</v>
      </c>
      <c r="AC87" s="43">
        <f>Basicinfo!AU87*AB87*R87/1000/86.4/0.365</f>
        <v>0</v>
      </c>
      <c r="AD87" s="43">
        <f>Basicinfo!AU87*AB87*S87/1000/86.4/0.365</f>
        <v>0</v>
      </c>
      <c r="AE87" s="43">
        <f>Basicinfo!AU87*AB87*T87/1000/86.4/0.365</f>
        <v>0</v>
      </c>
      <c r="AF87" s="43">
        <f>Basicinfo!AU87*AB87*U87/1000/86.4/0.365</f>
        <v>0</v>
      </c>
      <c r="AG87" s="43">
        <f>((Parameters!$C$80+Parameters!$C$81*Parameters!$C$89)/(Parameters!$C$82+Parameters!$C$89)/(Parameters!$C$90/100*Parameters!$C$91+(Parameters!$C$83+Parameters!$C$84*Parameters!$C$89)/(Parameters!$C$85+Parameters!$C$89)))-Parameters!$C$86+(Basicinfo!AU87-Parameters!$C$88)/Parameters!$C$87</f>
        <v>74.07743981934793</v>
      </c>
      <c r="AH87" s="43">
        <f>((Parameters!$C$80+Parameters!$C$81*Parameters!$C$89)/(Parameters!$C$82+Parameters!$C$89)/(Basicinfo!BY87/100*Parameters!$C$91+(Parameters!$C$83+Parameters!$C$84*Parameters!$C$89)/(Parameters!$C$85+Parameters!$C$89)))-Parameters!$C$86+(Basicinfo!AU87-Parameters!$C$88)/Parameters!$C$87</f>
        <v>56.274557952732366</v>
      </c>
      <c r="AI87" s="43">
        <f>Basicinfo!AU87^Parameters!$C$79*Parameters!$C$78*AH87/AG87</f>
        <v>22.619599612450436</v>
      </c>
      <c r="AJ87" s="43">
        <f>(J87*Parameters!$C$92/1000+Parameters!$C$94/100*S87*100*Parameters!$C$93/1000*86400*Parameters!$C$95/24)/86400</f>
        <v>0</v>
      </c>
      <c r="AK87" s="43">
        <f>(AD87+AJ87*AI87/365)*AH87/100</f>
        <v>0</v>
      </c>
      <c r="AL87" s="43">
        <f>(K87*Parameters!$C$92/1000+Parameters!$C$94/100*T87*100*Parameters!$C$93/1000*86400*Parameters!$C$95/24)/86400</f>
        <v>0</v>
      </c>
      <c r="AM87" s="43">
        <f>(Intermediate!N87+Basicinfo!BV87-Intermediate!L87)*Parameters!$C$92/1000/86400</f>
        <v>9.9599520593763886E-4</v>
      </c>
      <c r="AN87" s="43">
        <f>AC87+AD87*AH87/100+AE87</f>
        <v>0</v>
      </c>
      <c r="AO87" s="43">
        <f t="shared" si="69"/>
        <v>0</v>
      </c>
      <c r="AP87" s="43">
        <f t="shared" si="70"/>
        <v>9.9599520593763886E-4</v>
      </c>
      <c r="AQ87" s="43">
        <f t="shared" si="58"/>
        <v>9.9599520593763886E-4</v>
      </c>
      <c r="AR87" s="61">
        <f>(Basicinfo!AU87-Basicinfo!AY87)*F87/1000/86.4/0.365</f>
        <v>1.156335468843146E-4</v>
      </c>
      <c r="AS87" s="19">
        <f>IF(Basicinfo!AP87-Basicinfo!CB87-Basicinfo!CG87&lt;0,0,(Basicinfo!AP87-Basicinfo!CB87-Basicinfo!CG87)/Basicinfo!G87*1000)</f>
        <v>10.658855911405391</v>
      </c>
      <c r="AT87" s="19">
        <f>Parameters!$C$3*((AS87*86.4*0.365)^Parameters!$C$4)</f>
        <v>59.938059692187018</v>
      </c>
      <c r="AU87" s="19">
        <f>IF(AT87/86.4/0.365*(Basicinfo!G87/1000)-AN87&lt;0,0,AT87/86.4/0.365*(Basicinfo!G87/1000)-AN87)</f>
        <v>5.0284793419463215E-2</v>
      </c>
      <c r="AV87" s="19">
        <f>IF(Basicinfo!AU87&gt;Parameters!$C$13,Parameters!$C$11*(Basicinfo!AU87-Parameters!$C$13)^Parameters!$C$12,0)</f>
        <v>66.226002602905567</v>
      </c>
      <c r="AW87" s="19">
        <f>IF(AV87*V87/1000/86.4/0.365&gt;Basicinfo!AP87*Parameters!$C$15,Basicinfo!AP87*Parameters!$C$15,AV87*V87/1000/86.4/0.365)</f>
        <v>0</v>
      </c>
      <c r="AX87" s="19">
        <f>Basicinfo!AU87-Basicinfo!AW87</f>
        <v>363.86575000000005</v>
      </c>
      <c r="AY87" s="19">
        <f>Parameters!$C$56*AX87+Parameters!$C$57*Basicinfo!AW87</f>
        <v>236.30139500000001</v>
      </c>
      <c r="AZ87" s="19">
        <f>AY87*Basicinfo!BO87/1000/86.4/0.365</f>
        <v>0</v>
      </c>
      <c r="BA87" s="19">
        <f>IF(Basicinfo!AP87-AQ87-AR87-AU87-AW87-AZ87-Basicinfo!CB87-Basicinfo!CG87&lt;0,0,Basicinfo!AP87-AQ87-AR87-AU87-AW87-AZ87-Basicinfo!CB87-Basicinfo!CG87)</f>
        <v>0.23060492867576729</v>
      </c>
      <c r="BB87" s="53">
        <f t="shared" si="59"/>
        <v>274.96242593405236</v>
      </c>
      <c r="BC87" s="56">
        <f>IF(G87=0,0,((Basicinfo!H87*Basicinfo!BE87+Basicinfo!I87*Basicinfo!BF87+Basicinfo!J87*Basicinfo!BG87+Basicinfo!K87*Basicinfo!BH87+Basicinfo!L87*Basicinfo!BI87)*(1-Basicinfo!BN87/G87*Parameters!$C$26/100)/G87)*Basicinfo!BM87)</f>
        <v>0.33588086262822259</v>
      </c>
      <c r="BD87" s="43">
        <f>IF(Basicinfo!AW87*Parameters!$C$39-Parameters!$C$40&lt;0,0.001,(Basicinfo!AW87*Parameters!$C$39-Parameters!$C$40)/(Basicinfo!AX87*Parameters!$C$39-Parameters!$C$40))</f>
        <v>1.1408396334383764</v>
      </c>
      <c r="BE87" s="43">
        <f>(BC87*G87*100+Basicinfo!BJ87*Basicinfo!M87*100)*Parameters!$C$29*BD87</f>
        <v>189.80899422458015</v>
      </c>
      <c r="BF87" s="43">
        <f>(Basicinfo!BK87*Basicinfo!P87*100)*BD87*Parameters!$C$29</f>
        <v>198.88932079540314</v>
      </c>
      <c r="BG87" s="43">
        <f>Parameters!$C$27*(V87+W87)*100</f>
        <v>0</v>
      </c>
      <c r="BH87" s="43">
        <f>Parameters!$C$28*Basicinfo!R87*100</f>
        <v>0</v>
      </c>
      <c r="BI87" s="43">
        <f>BF87+BG87+BH87</f>
        <v>198.88932079540314</v>
      </c>
      <c r="BJ87" s="43">
        <f>IF(Basicinfo!AM87&lt;Parameters!$C$33,0,Parameters!$C$30*(((Basicinfo!AM87-Parameters!$C$33)^Parameters!$C$31)*(((G87-Basicinfo!BN87)/Basicinfo!G87*100+Parameters!$C$34))^Parameters!$C$32))</f>
        <v>1.4438984832553499</v>
      </c>
      <c r="BK87" s="58">
        <f>BE87*BJ87/100+BI87</f>
        <v>201.62996998409409</v>
      </c>
      <c r="BL87" s="61">
        <f>Basicinfo!AZ87+Basicinfo!BA87</f>
        <v>1467.9958421519582</v>
      </c>
      <c r="BM87" s="19">
        <f>Basicinfo!BB87+Basicinfo!BC87</f>
        <v>1767.1603414297729</v>
      </c>
      <c r="BN87" s="172">
        <f>IF(Basicinfo!AO87=0,0,IF(Basicinfo!AO87="NA",1,IF(OR(Basicinfo!AO87="SA",Basicinfo!AN87="S"),3,IF(Basicinfo!AN87="N",1,IF(Basicinfo!AO87="ZA",2,0)))))</f>
        <v>0</v>
      </c>
      <c r="BO87" s="27">
        <f>IF($BN87=1,(BL87)*(1+Parameters!$C$21*Parameters!$C$22-Parameters!$C$22*Basicinfo!$AL87),IF($BN87=2,(BL87)*(1+Parameters!$C$21*Parameters!$C$23-Parameters!$C$23*Basicinfo!$AL87),IF($BN87=3,(BL87)*(1+Parameters!$C$21*Parameters!$C$24-Parameters!$C$24*Basicinfo!$AL87),BL87)))</f>
        <v>1467.9958421519582</v>
      </c>
      <c r="BP87" s="27">
        <f>IF($BN87=1,(BM87)*(1+Parameters!$C$21*Parameters!$C$22-Parameters!$C$22*Basicinfo!$AL87),IF($BN87=2,(BM87)*(1+Parameters!$C$21*Parameters!$C$23-Parameters!$C$23*Basicinfo!$AL87),IF($BN87=3,(BM87)*(1+Parameters!$C$21*Parameters!$C$24-Parameters!$C$24*Basicinfo!$AL87),BM87)))</f>
        <v>1767.1603414297729</v>
      </c>
      <c r="BQ87" s="27">
        <f>IF(Basicinfo!AU87=0,0,IF(G87+Basicinfo!M87=0,0,(Parameters!$C$16+BO87/Basicinfo!AU87)*G87+(Parameters!$C$17+BO87/Basicinfo!AU87)*Basicinfo!M87)/(G87+Basicinfo!M87))</f>
        <v>1.7199336739266533</v>
      </c>
      <c r="BR87" s="27">
        <f>IF(Basicinfo!AU87=0,0,IF(G87+Basicinfo!M87=0,0,(Parameters!$C$16+BP87/Basicinfo!AU87)*G87+(Parameters!$C$17+BP87/Basicinfo!AU87)*Basicinfo!M87)/(G87+Basicinfo!M87))</f>
        <v>2.0495730173462321</v>
      </c>
      <c r="BS87" s="27">
        <f>IF(Basicinfo!AU87=0,0,BO87/Basicinfo!AU87)</f>
        <v>1.6175354586450028</v>
      </c>
      <c r="BT87" s="27">
        <f>IF(Basicinfo!AU87=0,0,BP87/Basicinfo!AU87)</f>
        <v>1.9471748020645814</v>
      </c>
      <c r="BU87" s="27">
        <f>IF(SUM(G87,Basicinfo!M87,Basicinfo!P87,W87)=0,0,(BQ87*(G87+Basicinfo!M87)+BS87*(Basicinfo!P87+W87))/SUM(G87,Basicinfo!M87,Basicinfo!P87,W87))</f>
        <v>1.6524404016107821</v>
      </c>
      <c r="BV87" s="19">
        <f>IF(Basicinfo!BR87/Parameters!$C$10&gt;1,1,Basicinfo!BR87/Parameters!$C$10)</f>
        <v>0.3012880665390934</v>
      </c>
      <c r="BW87" s="19">
        <f>Parameters!$C$5+Parameters!$C$6*EXP(BV87*Parameters!$C$8*Parameters!$C$7)</f>
        <v>3.5041334673785111E-2</v>
      </c>
      <c r="BX87" s="19">
        <f>Parameters!$C$5+Parameters!$C$6*EXP(BV87*Parameters!$C$9*Parameters!$C$7)</f>
        <v>3.5025911974650083E-2</v>
      </c>
      <c r="BY87" s="19">
        <f>IF(Basicinfo!AH87+Basicinfo!AI87+Basicinfo!AJ87+Basicinfo!AK87=0,0,(Parameters!$C$18*(Basicinfo!AH87+Basicinfo!AI87)+Parameters!$C$19*Basicinfo!AJ87+Parameters!$C$20*Basicinfo!AK87)/(Basicinfo!AH87+Basicinfo!AI87+Basicinfo!AJ87+Basicinfo!AK87))</f>
        <v>1.4999999999999998E-3</v>
      </c>
      <c r="BZ87" s="19">
        <f>IF(Basicinfo!AJ87+Basicinfo!AK87=0,Parameters!$C$18,(Parameters!$C$19*Basicinfo!AJ87+Parameters!$C$20*Basicinfo!AK87)/(Basicinfo!AJ87+Basicinfo!AK87))</f>
        <v>1.4999999999999998E-3</v>
      </c>
      <c r="CA87" s="19">
        <f>IF(SUM(G87,Basicinfo!M87,Basicinfo!P87,W87)=0,0,(BW87*G87+BX87*Basicinfo!M87+BY87*Basicinfo!P87+BZ87*W87)/(SUM(G87,Basicinfo!M87,Basicinfo!P87,W87)))</f>
        <v>1.2929923738102323E-2</v>
      </c>
      <c r="CB87" s="19">
        <f>IF(Y87=0,Basicinfo!BP87,Basicinfo!BP87-(AU87*X87/Y87*Intermediate!BQ87*86400*365/1000000)*1000/(X87*100))</f>
        <v>49.780925622834488</v>
      </c>
      <c r="CC87" s="19">
        <f>IF(Y87=0,Basicinfo!BQ87,Basicinfo!BQ87-(AU87*Basicinfo!AV87/Basicinfo!AU87*X87/Y87*Intermediate!BR87*86400*365/1000000)*1000/(X87*100))</f>
        <v>47.359124117641691</v>
      </c>
      <c r="CD87" s="19">
        <f>IF(OR(Y87=0,AA87=0),BP87/100,BP87/100-(AU87*Basicinfo!AV87/Basicinfo!AU87*(Basicinfo!P87+W87)/Y87*Intermediate!BT87*86400*365/1000000+AW87*Basicinfo!AV87/Basicinfo!AU87*Intermediate!BT87*86400*365/1000000)*1000/(AA87*100))</f>
        <v>16.610807905723572</v>
      </c>
      <c r="CE87" s="19">
        <f t="shared" si="60"/>
        <v>42646.047110427877</v>
      </c>
      <c r="CF87" s="19">
        <f t="shared" si="61"/>
        <v>28975.439249022344</v>
      </c>
      <c r="CG87" s="19">
        <f>IF(AY87=0,0,((CB87^Parameters!$C$58))/AY87*100)</f>
        <v>11.722958753785299</v>
      </c>
      <c r="CH87" s="19">
        <f>IF(SUM(Basicinfo!AB87:AG87)=0,0,(Parameters!$C$59*Basicinfo!AB87+Parameters!$C$60*SUM(Basicinfo!AC87:AE87)+Parameters!$C$61*Basicinfo!AF87+Parameters!$C$62*Basicinfo!AG87)/SUM(Basicinfo!AB87:AG87))</f>
        <v>0.06</v>
      </c>
      <c r="CI87" s="19">
        <f>IF(BB87=0,0,ROUND(3000/BB87,0))</f>
        <v>11</v>
      </c>
      <c r="CJ87" s="19">
        <f t="shared" si="62"/>
        <v>27.079552826148941</v>
      </c>
      <c r="CK87" s="19">
        <f>IF(BB87=0,0,CJ87*100/BB87)</f>
        <v>9.8484557423288681</v>
      </c>
      <c r="CL87" s="19">
        <f>IF($BB87=0,0,$CJ87^Parameters!$C$58*100/$BB87)</f>
        <v>6.0044317719738416</v>
      </c>
      <c r="CM87" s="19">
        <f>IF(CK87=0,0,(1/(1+Parameters!$C$116*BB87^Parameters!$C$120)*Basicinfo!AH87/Basicinfo!G87+1/(1+Parameters!$C$117*BB87^Parameters!$C$121)*Basicinfo!AI87/Basicinfo!G87)*(CK87)^Parameters!$C$124+(1/(1+Parameters!$C$118*BB87^Parameters!$C$122)*Basicinfo!AJ87/Basicinfo!G87+1/(1+Parameters!$C$119*BB87^Parameters!$C$123)*Basicinfo!AK87/Basicinfo!G87)*(CK87)^Parameters!$C$125)</f>
        <v>2.486510654964535</v>
      </c>
      <c r="CN87" s="19">
        <f>IF(SUM(Basicinfo!AB87:AG87)=0,0,(Parameters!$C$128*Basicinfo!AB87+Parameters!$C$129*(SUM(Basicinfo!AC87:AE87))+Parameters!$C$130*Basicinfo!AF87+Parameters!$C$131*Basicinfo!AG87)/SUM(Basicinfo!AB87:AG87))</f>
        <v>0.01</v>
      </c>
      <c r="CO87" s="19">
        <f>IF(Basicinfo!AH87+Basicinfo!AI87+Basicinfo!AJ87+Basicinfo!AK87=0,0,(Parameters!$C$132*(Basicinfo!AH87+Basicinfo!AI87)+Parameters!$C$133*Basicinfo!AJ87+Parameters!$C$134*Basicinfo!AK87)/(Basicinfo!AH87+Basicinfo!AI87+Basicinfo!AJ87+Basicinfo!AK87))</f>
        <v>5.0000000000000001E-4</v>
      </c>
      <c r="CP87" s="19">
        <f>IF(Basicinfo!AJ87+Basicinfo!AK87=0,0,(Parameters!$C$133*Basicinfo!AJ87+Parameters!$C$134*Basicinfo!AK87)/(Basicinfo!AJ87+Basicinfo!AK87))</f>
        <v>5.0000000000000001E-4</v>
      </c>
      <c r="CQ87" s="19">
        <f>IF(Z87=0,0,(CN87*(Z87-AA87)+CO87*Basicinfo!P87+CP87*(Basicinfo!Q87+Basicinfo!R87))/Z87)</f>
        <v>3.7338237368672788E-3</v>
      </c>
      <c r="CR87" s="19">
        <f>IF(CK87=0,0,IF(AND((Basicinfo!AI87+Basicinfo!AK87)&gt;0,(CM87/CK87)&lt;Parameters!$C$135),CQ87*Parameters!$C$136,CQ87))</f>
        <v>3.7338237368672788E-3</v>
      </c>
      <c r="CS87" s="19">
        <f>IF(SUM(Basicinfo!AB87:AG87)=0,0,(Basicinfo!AB87*Parameters!$C$43+(Basicinfo!AC87+Basicinfo!AD87)*Parameters!$C$44+Basicinfo!AE87*Parameters!$C$45+(Basicinfo!AF87+Basicinfo!AG87)*Parameters!$C$46)/SUM(Basicinfo!AB87:AG87))</f>
        <v>23.591000000000001</v>
      </c>
      <c r="CT87" s="19">
        <f>(Parameters!$C$41*CS87+Parameters!$C$42)</f>
        <v>515.62819999999999</v>
      </c>
      <c r="CU87" s="19">
        <f>CT87+Basicinfo!BR87/(Parameters!$C$47*Parameters!$C$49*Parameters!$C$48*10000/1000000)</f>
        <v>621.74223601376877</v>
      </c>
      <c r="CV87" s="19">
        <f>IF(BK87/Basicinfo!G87&lt;Parameters!$C$35,Parameters!$C$35,Parameters!$C$37*(BK87/Basicinfo!G87)^Parameters!$C$38)</f>
        <v>2.9488849799439421</v>
      </c>
      <c r="CW87" s="19">
        <f>IF(BK87/Basicinfo!G87&lt;Parameters!$C$35,Parameters!$C$36,Parameters!$C$36*(BK87/Basicinfo!G87)^Parameters!$C$38)</f>
        <v>6.9298797028682646</v>
      </c>
      <c r="CX87" s="27">
        <f>IF(Basicinfo!AJ87+Basicinfo!AK87=0,0,(Parameters!$C$53*Basicinfo!AJ87+Parameters!$C$54*Basicinfo!AK87)/(Basicinfo!AJ87+Basicinfo!AK87))</f>
        <v>540</v>
      </c>
      <c r="CY87" s="56">
        <f>IF(Basicinfo!AU87*AB87=0,0,((Basicinfo!AZ87+Basicinfo!BA87)/Basicinfo!AU87+Parameters!$C$76/(Basicinfo!AU87*AB87)*100))</f>
        <v>0</v>
      </c>
      <c r="CZ87" s="43">
        <f>IF(Basicinfo!AU87*AB87=0,0,(Parameters!$C$77)/(Basicinfo!AU87*AB87)*100)</f>
        <v>0</v>
      </c>
      <c r="DA87" s="43">
        <f>IF(AD87+AJ87=0,0,((J87*Parameters!$C$96+Parameters!$C$94/100*S87*100*Parameters!$C$93/1000*86400*Parameters!$C$95/24*Parameters!$C$98)*AI87+AD87*CY87*86400*365)/((AD87+AJ87*AI87/365)*86400*365))</f>
        <v>0</v>
      </c>
      <c r="DB87" s="43">
        <f>IF(AD87+AJ87=0,0,((J87*Parameters!$C$97+Parameters!$C$94/100*S87*100*Parameters!$C$93/1000*86400*Parameters!$C$95/24*Parameters!$C$99)*AI87+AD87*CZ87*86400*365)/((AD87+AJ87*AI87/365)*86400*365))</f>
        <v>0</v>
      </c>
      <c r="DC87" s="42">
        <f>IF(AE87+AL87=0,0,((K87*Parameters!$C$96+Parameters!$C$94/100*T87*100*Parameters!$C$93/1000*86400*Parameters!$C$95/24*Parameters!$C$98)*365+AE87*CY87*86400*365)/((AE87+AL87)*86400*365))</f>
        <v>0</v>
      </c>
      <c r="DD87" s="42">
        <f>IF(AE87+AL87=0,0,((K87*Parameters!$C$97+Parameters!$C$94/100*T87*100*Parameters!$C$93/1000*86400*Parameters!$C$95/24*Parameters!$C$99)*365+AE87*CZ87*86400*365)/((AE87+AL87)*86400*365))</f>
        <v>0</v>
      </c>
      <c r="DE87" s="42">
        <f>IF(Basicinfo!AH87+Basicinfo!AI87+Basicinfo!AJ87+Basicinfo!AK87=0,0,((Basicinfo!AH87+Basicinfo!AI87)*Parameters!$C$107+(Basicinfo!AJ87+Basicinfo!AK87)*Parameters!$C$106)/(Basicinfo!AH87+Basicinfo!AI87+Basicinfo!AJ87+Basicinfo!AK87))</f>
        <v>50.000000000000007</v>
      </c>
      <c r="DF87" s="42">
        <f>IF(Basicinfo!AH87+Basicinfo!AI87+Basicinfo!AJ87+Basicinfo!AK87=0,0,((Basicinfo!AH87+Basicinfo!AI87)*Parameters!$C$109+(Basicinfo!AJ87+Basicinfo!AK87)*Parameters!$C$108)/(Basicinfo!AH87+Basicinfo!AI87+Basicinfo!AJ87+Basicinfo!AK87))</f>
        <v>50.000000000000007</v>
      </c>
      <c r="DG87" s="42">
        <f>Intermediate!AC87*Intermediate!CY87*(1-Parameters!$C$102/100*Basicinfo!BZ87/100)*(1-Parameters!$C$104/100*Basicinfo!CA87/100)*86400*365/1000000</f>
        <v>0</v>
      </c>
      <c r="DH87" s="42">
        <f>Intermediate!AC87*Intermediate!CZ87*(1-Parameters!$C$103/100*Basicinfo!BZ87/100)*(1-Parameters!$C$105/100*Basicinfo!CA87/100)*86400*365/1000000</f>
        <v>0</v>
      </c>
      <c r="DI87" s="42">
        <f>(Intermediate!AK87*Intermediate!DA87+(Intermediate!AE87+Intermediate!AL87)*Intermediate!DC87)*86400*365/1000000</f>
        <v>0</v>
      </c>
      <c r="DJ87" s="42">
        <f>(Intermediate!AK87*Intermediate!DB87+(Intermediate!AE87+Intermediate!AL87)*Intermediate!DD87)*86400*365/1000000</f>
        <v>0</v>
      </c>
      <c r="DK87" s="42">
        <f>((Basicinfo!AZ87+Basicinfo!BA87)*Intermediate!AB87+Parameters!$C$76*100)/1000*Intermediate!U87*(1-Intermediate!DE87/100)+(1-Parameters!$C$110/100)*M87*Parameters!$C$100*(1-DE87/100)*365/1000000+(1-Parameters!$C$112/100)*P87*Parameters!$C$96*365/1000000+(1-Parameters!$C$112/100)*O87*Parameters!$C$96*(1-DE87/100)*365/1000000</f>
        <v>1.9342117029556123</v>
      </c>
      <c r="DL87" s="42">
        <f>Parameters!$C$77*100/1000*Intermediate!U87*(1-Intermediate!DF87/100)+(1-Parameters!$C$111/100)*M87*Parameters!$C$101*(1-DF87/100)*365/1000000+(1-Parameters!$C$113/100)*P87*Parameters!$C$97*365/1000000+(1-Parameters!$C$113/100)*O87*Parameters!$C$97*(1-DF87/100)*365/1000000</f>
        <v>0.26917315519172363</v>
      </c>
    </row>
    <row r="88" spans="1:169">
      <c r="A88" s="39" t="str">
        <f>Basicinfo!A88</f>
        <v>EZG_restlich4</v>
      </c>
      <c r="B88" s="63">
        <f>Basicinfo!B88</f>
        <v>61152</v>
      </c>
      <c r="C88" s="63">
        <f>Basicinfo!C88</f>
        <v>1120</v>
      </c>
      <c r="D88" s="61">
        <f>Basicinfo!U88*Basicinfo!V88/1000+Basicinfo!Y88</f>
        <v>8.4515991969882215E-3</v>
      </c>
      <c r="E88" s="19">
        <f>Basicinfo!W88*Basicinfo!X88/1000+Basicinfo!Z88</f>
        <v>0</v>
      </c>
      <c r="F88" s="19">
        <f>D88+E88</f>
        <v>8.4515991969882215E-3</v>
      </c>
      <c r="G88" s="19">
        <f>SUM(Basicinfo!H88:L88)</f>
        <v>3.073592255125285</v>
      </c>
      <c r="H88" s="19">
        <f>IF(Basicinfo!N88&lt;Parameters!$C$68,Parameters!$C$69,Basicinfo!BS88/(Basicinfo!N88*100))</f>
        <v>15</v>
      </c>
      <c r="I88" s="19">
        <f>IF(Basicinfo!N88=0,0,Basicinfo!BU88*(1-Basicinfo!BX88/100))</f>
        <v>0</v>
      </c>
      <c r="J88" s="19">
        <f>IF(Basicinfo!N88=0,0,Basicinfo!BU88*Basicinfo!BX88/100)</f>
        <v>0</v>
      </c>
      <c r="K88" s="19">
        <f>IF(Basicinfo!N88=0,0,Basicinfo!BT88-Basicinfo!BU88)</f>
        <v>0</v>
      </c>
      <c r="L88" s="27">
        <f>Basicinfo!BV88*Basicinfo!BW88/100</f>
        <v>60.046263130676905</v>
      </c>
      <c r="M88" s="27">
        <f>Basicinfo!BV88-Intermediate!L88</f>
        <v>60.046263130676905</v>
      </c>
      <c r="N88" s="73">
        <f>Basicinfo!BS88-SUM(I88:K88)-Basicinfo!BV88</f>
        <v>601.90747373864622</v>
      </c>
      <c r="O88" s="19">
        <f>IF(Basicinfo!AH88+Basicinfo!AI88+Basicinfo!AJ88+Basicinfo!AK88=0,0,N88*(Basicinfo!AH88+Basicinfo!AI88)/SUM(Basicinfo!AH88:AK88))</f>
        <v>0</v>
      </c>
      <c r="P88" s="73">
        <f>N88-O88</f>
        <v>601.90747373864622</v>
      </c>
      <c r="Q88" s="19">
        <f>IF(Basicinfo!BS88=0,Basicinfo!N88,IF(H88&gt;Parameters!$C$70,Parameters!$C$64*(Parameters!$C$65*Parameters!$C$70)^(Parameters!$C$66-Parameters!$C$67*LOG(Parameters!$C$65*Parameters!$C$70,10))/100*Basicinfo!N88,Parameters!$C$64*(Parameters!$C$65*H88)^(Parameters!$C$66-Parameters!$C$67*LOG(Parameters!$C$65*H88,10))/100*Basicinfo!N88))</f>
        <v>0</v>
      </c>
      <c r="R88" s="19">
        <f>IF(Basicinfo!BS88=0,Q88*(1-Basicinfo!BX88/100),IF(H88&lt;Parameters!$C$75,Q88*Basicinfo!BU88/Basicinfo!BS88*(1-Basicinfo!BX88/100)*(-Parameters!$C$74+Parameters!$C$73*LN(H88*100)),Q88*Basicinfo!BU88/Basicinfo!BS88*(1-Basicinfo!BX88/100)))</f>
        <v>0</v>
      </c>
      <c r="S88" s="19">
        <f>IF(Basicinfo!BS88=0,Q88*Basicinfo!BX88/100,Q88*Basicinfo!BU88/Basicinfo!BS88*Basicinfo!BX88/100)</f>
        <v>0</v>
      </c>
      <c r="T88" s="19">
        <f>IF(Basicinfo!BS88=0,0,IF(H88&lt;Parameters!$C$75,Q88*K88/Basicinfo!BS88*(-Parameters!$C$74+Parameters!$C$73*LN(H88*100)),Q88*K88/Basicinfo!BS88))</f>
        <v>0</v>
      </c>
      <c r="U88" s="19">
        <f>Q88-R88-S88-T88</f>
        <v>0</v>
      </c>
      <c r="V88" s="19">
        <f>IF(Basicinfo!AL88&gt;Parameters!$C$14,Basicinfo!Q88,0)</f>
        <v>0</v>
      </c>
      <c r="W88" s="19">
        <f>IF(Basicinfo!AL88&gt;Parameters!$C$14,0,Basicinfo!Q88)</f>
        <v>0</v>
      </c>
      <c r="X88" s="19">
        <f>G88+Basicinfo!M88</f>
        <v>9.0048217539863344</v>
      </c>
      <c r="Y88" s="19">
        <f>IF(Basicinfo!G88-F88-Q88-V88-Basicinfo!O88-Basicinfo!R88-Basicinfo!S88&lt;0,0,Basicinfo!G88-F88-Q88-V88-Basicinfo!O88-Basicinfo!R88-Basicinfo!S88)</f>
        <v>26.408370724265428</v>
      </c>
      <c r="Z88" s="19">
        <f>Basicinfo!G88-F88-Basicinfo!BO88-Q88-Basicinfo!O88</f>
        <v>26.448548400803013</v>
      </c>
      <c r="AA88" s="53">
        <f>IF(Z88+Basicinfo!BO88-X88&gt;0,Z88+Basicinfo!BO88-X88,0)</f>
        <v>17.443726646816678</v>
      </c>
      <c r="AB88" s="56">
        <f>IF(Basicinfo!N88=0,0,Parameters!$C$71+Parameters!$C$72*Q88/Basicinfo!N88)</f>
        <v>0</v>
      </c>
      <c r="AC88" s="43">
        <f>Basicinfo!AU88*AB88*R88/1000/86.4/0.365</f>
        <v>0</v>
      </c>
      <c r="AD88" s="43">
        <f>Basicinfo!AU88*AB88*S88/1000/86.4/0.365</f>
        <v>0</v>
      </c>
      <c r="AE88" s="43">
        <f>Basicinfo!AU88*AB88*T88/1000/86.4/0.365</f>
        <v>0</v>
      </c>
      <c r="AF88" s="43">
        <f>Basicinfo!AU88*AB88*U88/1000/86.4/0.365</f>
        <v>0</v>
      </c>
      <c r="AG88" s="43">
        <f>((Parameters!$C$80+Parameters!$C$81*Parameters!$C$89)/(Parameters!$C$82+Parameters!$C$89)/(Parameters!$C$90/100*Parameters!$C$91+(Parameters!$C$83+Parameters!$C$84*Parameters!$C$89)/(Parameters!$C$85+Parameters!$C$89)))-Parameters!$C$86+(Basicinfo!AU88-Parameters!$C$88)/Parameters!$C$87</f>
        <v>74.07743981934793</v>
      </c>
      <c r="AH88" s="43">
        <f>((Parameters!$C$80+Parameters!$C$81*Parameters!$C$89)/(Parameters!$C$82+Parameters!$C$89)/(Basicinfo!BY88/100*Parameters!$C$91+(Parameters!$C$83+Parameters!$C$84*Parameters!$C$89)/(Parameters!$C$85+Parameters!$C$89)))-Parameters!$C$86+(Basicinfo!AU88-Parameters!$C$88)/Parameters!$C$87</f>
        <v>56.274557952732366</v>
      </c>
      <c r="AI88" s="43">
        <f>Basicinfo!AU88^Parameters!$C$79*Parameters!$C$78*AH88/AG88</f>
        <v>22.619599612450436</v>
      </c>
      <c r="AJ88" s="43">
        <f>(J88*Parameters!$C$92/1000+Parameters!$C$94/100*S88*100*Parameters!$C$93/1000*86400*Parameters!$C$95/24)/86400</f>
        <v>0</v>
      </c>
      <c r="AK88" s="43">
        <f>(AD88+AJ88*AI88/365)*AH88/100</f>
        <v>0</v>
      </c>
      <c r="AL88" s="43">
        <f>(K88*Parameters!$C$92/1000+Parameters!$C$94/100*T88*100*Parameters!$C$93/1000*86400*Parameters!$C$95/24)/86400</f>
        <v>0</v>
      </c>
      <c r="AM88" s="43">
        <f>(Intermediate!N88+Basicinfo!BV88-Intermediate!L88)*Parameters!$C$92/1000/86400</f>
        <v>9.9599520593763886E-4</v>
      </c>
      <c r="AN88" s="43">
        <f>AC88+AD88*AH88/100+AE88</f>
        <v>0</v>
      </c>
      <c r="AO88" s="43">
        <f t="shared" si="69"/>
        <v>0</v>
      </c>
      <c r="AP88" s="43">
        <f t="shared" si="70"/>
        <v>9.9599520593763886E-4</v>
      </c>
      <c r="AQ88" s="43">
        <f t="shared" si="58"/>
        <v>9.9599520593763886E-4</v>
      </c>
      <c r="AR88" s="61">
        <f>(Basicinfo!AU88-Basicinfo!AY88)*F88/1000/86.4/0.365</f>
        <v>1.156335468843146E-4</v>
      </c>
      <c r="AS88" s="19">
        <f>IF(Basicinfo!AP88-Basicinfo!CB88-Basicinfo!CG88&lt;0,0,(Basicinfo!AP88-Basicinfo!CB88-Basicinfo!CG88)/Basicinfo!G88*1000)</f>
        <v>10.658855911405391</v>
      </c>
      <c r="AT88" s="19">
        <f>Parameters!$C$3*((AS88*86.4*0.365)^Parameters!$C$4)</f>
        <v>59.938059692187018</v>
      </c>
      <c r="AU88" s="19">
        <f>IF(AT88/86.4/0.365*(Basicinfo!G88/1000)-AN88&lt;0,0,AT88/86.4/0.365*(Basicinfo!G88/1000)-AN88)</f>
        <v>5.0284793419463215E-2</v>
      </c>
      <c r="AV88" s="19">
        <f>IF(Basicinfo!AU88&gt;Parameters!$C$13,Parameters!$C$11*(Basicinfo!AU88-Parameters!$C$13)^Parameters!$C$12,0)</f>
        <v>66.226002602905567</v>
      </c>
      <c r="AW88" s="19">
        <f>IF(AV88*V88/1000/86.4/0.365&gt;Basicinfo!AP88*Parameters!$C$15,Basicinfo!AP88*Parameters!$C$15,AV88*V88/1000/86.4/0.365)</f>
        <v>0</v>
      </c>
      <c r="AX88" s="19">
        <f>Basicinfo!AU88-Basicinfo!AW88</f>
        <v>363.86575000000005</v>
      </c>
      <c r="AY88" s="19">
        <f>Parameters!$C$56*AX88+Parameters!$C$57*Basicinfo!AW88</f>
        <v>236.30139500000001</v>
      </c>
      <c r="AZ88" s="19">
        <f>AY88*Basicinfo!BO88/1000/86.4/0.365</f>
        <v>0</v>
      </c>
      <c r="BA88" s="19">
        <f>IF(Basicinfo!AP88-AQ88-AR88-AU88-AW88-AZ88-Basicinfo!CB88-Basicinfo!CG88&lt;0,0,Basicinfo!AP88-AQ88-AR88-AU88-AW88-AZ88-Basicinfo!CB88-Basicinfo!CG88)</f>
        <v>0.23060492867576729</v>
      </c>
      <c r="BB88" s="53">
        <f t="shared" si="59"/>
        <v>274.96242593405236</v>
      </c>
      <c r="BC88" s="56">
        <f>IF(G88=0,0,((Basicinfo!H88*Basicinfo!BE88+Basicinfo!I88*Basicinfo!BF88+Basicinfo!J88*Basicinfo!BG88+Basicinfo!K88*Basicinfo!BH88+Basicinfo!L88*Basicinfo!BI88)*(1-Basicinfo!BN88/G88*Parameters!$C$26/100)/G88)*Basicinfo!BM88)</f>
        <v>0.27329890624459735</v>
      </c>
      <c r="BD88" s="43">
        <f>IF(Basicinfo!AW88*Parameters!$C$39-Parameters!$C$40&lt;0,0.001,(Basicinfo!AW88*Parameters!$C$39-Parameters!$C$40)/(Basicinfo!AX88*Parameters!$C$39-Parameters!$C$40))</f>
        <v>1.1408396334383764</v>
      </c>
      <c r="BE88" s="43">
        <f>(BC88*G88*100+Basicinfo!BJ88*Basicinfo!M88*100)*Parameters!$C$29*BD88</f>
        <v>169.31368811206923</v>
      </c>
      <c r="BF88" s="43">
        <f>(Basicinfo!BK88*Basicinfo!P88*100)*BD88*Parameters!$C$29</f>
        <v>185.92011774177854</v>
      </c>
      <c r="BG88" s="43">
        <f>Parameters!$C$27*(V88+W88)*100</f>
        <v>0</v>
      </c>
      <c r="BH88" s="43">
        <f>Parameters!$C$28*Basicinfo!R88*100</f>
        <v>0</v>
      </c>
      <c r="BI88" s="43">
        <f>BF88+BG88+BH88</f>
        <v>185.92011774177854</v>
      </c>
      <c r="BJ88" s="43">
        <f>IF(Basicinfo!AM88&lt;Parameters!$C$33,0,Parameters!$C$30*(((Basicinfo!AM88-Parameters!$C$33)^Parameters!$C$31)*(((G88-Basicinfo!BN88)/Basicinfo!G88*100+Parameters!$C$34))^Parameters!$C$32))</f>
        <v>1.4438984832553499</v>
      </c>
      <c r="BK88" s="58">
        <f>BE88*BJ88/100+BI88</f>
        <v>188.36483551637241</v>
      </c>
      <c r="BL88" s="61">
        <f>Basicinfo!AZ88+Basicinfo!BA88</f>
        <v>1345.9242714496904</v>
      </c>
      <c r="BM88" s="19">
        <f>Basicinfo!BB88+Basicinfo!BC88</f>
        <v>1809.7415754161939</v>
      </c>
      <c r="BN88" s="172">
        <f>IF(Basicinfo!AO88=0,0,IF(Basicinfo!AO88="NA",1,IF(OR(Basicinfo!AO88="SA",Basicinfo!AN88="S"),3,IF(Basicinfo!AN88="N",1,IF(Basicinfo!AO88="ZA",2,0)))))</f>
        <v>0</v>
      </c>
      <c r="BO88" s="27">
        <f>IF($BN88=1,(BL88)*(1+Parameters!$C$21*Parameters!$C$22-Parameters!$C$22*Basicinfo!$AL88),IF($BN88=2,(BL88)*(1+Parameters!$C$21*Parameters!$C$23-Parameters!$C$23*Basicinfo!$AL88),IF($BN88=3,(BL88)*(1+Parameters!$C$21*Parameters!$C$24-Parameters!$C$24*Basicinfo!$AL88),BL88)))</f>
        <v>1345.9242714496904</v>
      </c>
      <c r="BP88" s="27">
        <f>IF($BN88=1,(BM88)*(1+Parameters!$C$21*Parameters!$C$22-Parameters!$C$22*Basicinfo!$AL88),IF($BN88=2,(BM88)*(1+Parameters!$C$21*Parameters!$C$23-Parameters!$C$23*Basicinfo!$AL88),IF($BN88=3,(BM88)*(1+Parameters!$C$21*Parameters!$C$24-Parameters!$C$24*Basicinfo!$AL88),BM88)))</f>
        <v>1809.7415754161939</v>
      </c>
      <c r="BQ88" s="27">
        <f>IF(Basicinfo!AU88=0,0,IF(G88+Basicinfo!M88=0,0,(Parameters!$C$16+BO88/Basicinfo!AU88)*G88+(Parameters!$C$17+BO88/Basicinfo!AU88)*Basicinfo!M88)/(G88+Basicinfo!M88))</f>
        <v>1.5854270980674494</v>
      </c>
      <c r="BR88" s="27">
        <f>IF(Basicinfo!AU88=0,0,IF(G88+Basicinfo!M88=0,0,(Parameters!$C$16+BP88/Basicinfo!AU88)*G88+(Parameters!$C$17+BP88/Basicinfo!AU88)*Basicinfo!M88)/(G88+Basicinfo!M88))</f>
        <v>2.0964918531277612</v>
      </c>
      <c r="BS88" s="27">
        <f>IF(Basicinfo!AU88=0,0,BO88/Basicinfo!AU88)</f>
        <v>1.4830288827857987</v>
      </c>
      <c r="BT88" s="27">
        <f>IF(Basicinfo!AU88=0,0,BP88/Basicinfo!AU88)</f>
        <v>1.9940936378461107</v>
      </c>
      <c r="BU88" s="27">
        <f>IF(SUM(G88,Basicinfo!M88,Basicinfo!P88,W88)=0,0,(BQ88*(G88+Basicinfo!M88)+BS88*(Basicinfo!P88+W88))/SUM(G88,Basicinfo!M88,Basicinfo!P88,W88))</f>
        <v>1.517933825751578</v>
      </c>
      <c r="BV88" s="19">
        <f>IF(Basicinfo!BR88/Parameters!$C$10&gt;1,1,Basicinfo!BR88/Parameters!$C$10)</f>
        <v>0.2465918899396034</v>
      </c>
      <c r="BW88" s="19">
        <f>Parameters!$C$5+Parameters!$C$6*EXP(BV88*Parameters!$C$8*Parameters!$C$7)</f>
        <v>3.5019272708795193E-2</v>
      </c>
      <c r="BX88" s="19">
        <f>Parameters!$C$5+Parameters!$C$6*EXP(BV88*Parameters!$C$9*Parameters!$C$7)</f>
        <v>3.5013150668761608E-2</v>
      </c>
      <c r="BY88" s="19">
        <f>IF(Basicinfo!AH88+Basicinfo!AI88+Basicinfo!AJ88+Basicinfo!AK88=0,0,(Parameters!$C$18*(Basicinfo!AH88+Basicinfo!AI88)+Parameters!$C$19*Basicinfo!AJ88+Parameters!$C$20*Basicinfo!AK88)/(Basicinfo!AH88+Basicinfo!AI88+Basicinfo!AJ88+Basicinfo!AK88))</f>
        <v>1.4999999999999998E-3</v>
      </c>
      <c r="BZ88" s="19">
        <f>IF(Basicinfo!AJ88+Basicinfo!AK88=0,Parameters!$C$18,(Parameters!$C$19*Basicinfo!AJ88+Parameters!$C$20*Basicinfo!AK88)/(Basicinfo!AJ88+Basicinfo!AK88))</f>
        <v>1.4999999999999998E-3</v>
      </c>
      <c r="CA88" s="19">
        <f>IF(SUM(G88,Basicinfo!M88,Basicinfo!P88,W88)=0,0,(BW88*G88+BX88*Basicinfo!M88+BY88*Basicinfo!P88+BZ88*W88)/(SUM(G88,Basicinfo!M88,Basicinfo!P88,W88)))</f>
        <v>1.2924491604104586E-2</v>
      </c>
      <c r="CB88" s="19">
        <f>IF(Y88=0,Basicinfo!BP88,Basicinfo!BP88-(AU88*X88/Y88*Intermediate!BQ88*86400*365/1000000)*1000/(X88*100))</f>
        <v>46.31480994358499</v>
      </c>
      <c r="CC88" s="19">
        <f>IF(Y88=0,Basicinfo!BQ88,Basicinfo!BQ88-(AU88*Basicinfo!AV88/Basicinfo!AU88*X88/Y88*Intermediate!BR88*86400*365/1000000)*1000/(X88*100))</f>
        <v>43.363188501660858</v>
      </c>
      <c r="CD88" s="19">
        <f>IF(OR(Y88=0,AA88=0),BP88/100,BP88/100-(AU88*Basicinfo!AV88/Basicinfo!AU88*(Basicinfo!P88+W88)/Y88*Intermediate!BT88*86400*365/1000000+AW88*Basicinfo!AV88/Basicinfo!AU88*Intermediate!BT88*86400*365/1000000)*1000/(AA88*100))</f>
        <v>17.011059474047499</v>
      </c>
      <c r="CE88" s="19">
        <f t="shared" si="60"/>
        <v>39047.778314196577</v>
      </c>
      <c r="CF88" s="19">
        <f t="shared" si="61"/>
        <v>29673.627143802565</v>
      </c>
      <c r="CG88" s="19">
        <f>IF(AY88=0,0,((CB88^Parameters!$C$58))/AY88*100)</f>
        <v>11.025432069766405</v>
      </c>
      <c r="CH88" s="19">
        <f>IF(SUM(Basicinfo!AB88:AG88)=0,0,(Parameters!$C$59*Basicinfo!AB88+Parameters!$C$60*SUM(Basicinfo!AC88:AE88)+Parameters!$C$61*Basicinfo!AF88+Parameters!$C$62*Basicinfo!AG88)/SUM(Basicinfo!AB88:AG88))</f>
        <v>0.06</v>
      </c>
      <c r="CI88" s="19">
        <f>IF(BB88=0,0,ROUND(3000/BB88,0))</f>
        <v>11</v>
      </c>
      <c r="CJ88" s="19">
        <f t="shared" si="62"/>
        <v>25.98305374517744</v>
      </c>
      <c r="CK88" s="19">
        <f>IF(BB88=0,0,CJ88*100/BB88)</f>
        <v>9.4496743171044315</v>
      </c>
      <c r="CL88" s="19">
        <f>IF($BB88=0,0,$CJ88^Parameters!$C$58*100/$BB88)</f>
        <v>5.7971336385191217</v>
      </c>
      <c r="CM88" s="19">
        <f>IF(CK88=0,0,(1/(1+Parameters!$C$116*BB88^Parameters!$C$120)*Basicinfo!AH88/Basicinfo!G88+1/(1+Parameters!$C$117*BB88^Parameters!$C$121)*Basicinfo!AI88/Basicinfo!G88)*(CK88)^Parameters!$C$124+(1/(1+Parameters!$C$118*BB88^Parameters!$C$122)*Basicinfo!AJ88/Basicinfo!G88+1/(1+Parameters!$C$119*BB88^Parameters!$C$123)*Basicinfo!AK88/Basicinfo!G88)*(CK88)^Parameters!$C$125)</f>
        <v>2.4006658927681661</v>
      </c>
      <c r="CN88" s="19">
        <f>IF(SUM(Basicinfo!AB88:AG88)=0,0,(Parameters!$C$128*Basicinfo!AB88+Parameters!$C$129*(SUM(Basicinfo!AC88:AE88))+Parameters!$C$130*Basicinfo!AF88+Parameters!$C$131*Basicinfo!AG88)/SUM(Basicinfo!AB88:AG88))</f>
        <v>0.01</v>
      </c>
      <c r="CO88" s="19">
        <f>IF(Basicinfo!AH88+Basicinfo!AI88+Basicinfo!AJ88+Basicinfo!AK88=0,0,(Parameters!$C$132*(Basicinfo!AH88+Basicinfo!AI88)+Parameters!$C$133*Basicinfo!AJ88+Parameters!$C$134*Basicinfo!AK88)/(Basicinfo!AH88+Basicinfo!AI88+Basicinfo!AJ88+Basicinfo!AK88))</f>
        <v>5.0000000000000001E-4</v>
      </c>
      <c r="CP88" s="19">
        <f>IF(Basicinfo!AJ88+Basicinfo!AK88=0,0,(Parameters!$C$133*Basicinfo!AJ88+Parameters!$C$134*Basicinfo!AK88)/(Basicinfo!AJ88+Basicinfo!AK88))</f>
        <v>5.0000000000000001E-4</v>
      </c>
      <c r="CQ88" s="19">
        <f>IF(Z88=0,0,(CN88*(Z88-AA88)+CO88*Basicinfo!P88+CP88*(Basicinfo!Q88+Basicinfo!R88))/Z88)</f>
        <v>3.7338237368672788E-3</v>
      </c>
      <c r="CR88" s="19">
        <f>IF(CK88=0,0,IF(AND((Basicinfo!AI88+Basicinfo!AK88)&gt;0,(CM88/CK88)&lt;Parameters!$C$135),CQ88*Parameters!$C$136,CQ88))</f>
        <v>3.7338237368672788E-3</v>
      </c>
      <c r="CS88" s="19">
        <f>IF(SUM(Basicinfo!AB88:AG88)=0,0,(Basicinfo!AB88*Parameters!$C$43+(Basicinfo!AC88+Basicinfo!AD88)*Parameters!$C$44+Basicinfo!AE88*Parameters!$C$45+(Basicinfo!AF88+Basicinfo!AG88)*Parameters!$C$46)/SUM(Basicinfo!AB88:AG88))</f>
        <v>23.591000000000001</v>
      </c>
      <c r="CT88" s="19">
        <f>(Parameters!$C$41*CS88+Parameters!$C$42)</f>
        <v>515.62819999999999</v>
      </c>
      <c r="CU88" s="19">
        <f>CT88+Basicinfo!BR88/(Parameters!$C$47*Parameters!$C$49*Parameters!$C$48*10000/1000000)</f>
        <v>602.47817381520622</v>
      </c>
      <c r="CV88" s="19">
        <f>IF(BK88/Basicinfo!G88&lt;Parameters!$C$35,Parameters!$C$35,Parameters!$C$37*(BK88/Basicinfo!G88)^Parameters!$C$38)</f>
        <v>3.0447301174725956</v>
      </c>
      <c r="CW88" s="19">
        <f>IF(BK88/Basicinfo!G88&lt;Parameters!$C$35,Parameters!$C$36,Parameters!$C$36*(BK88/Basicinfo!G88)^Parameters!$C$38)</f>
        <v>7.1551157760606001</v>
      </c>
      <c r="CX88" s="27">
        <f>IF(Basicinfo!AJ88+Basicinfo!AK88=0,0,(Parameters!$C$53*Basicinfo!AJ88+Parameters!$C$54*Basicinfo!AK88)/(Basicinfo!AJ88+Basicinfo!AK88))</f>
        <v>540</v>
      </c>
      <c r="CY88" s="56">
        <f>IF(Basicinfo!AU88*AB88=0,0,((Basicinfo!AZ88+Basicinfo!BA88)/Basicinfo!AU88+Parameters!$C$76/(Basicinfo!AU88*AB88)*100))</f>
        <v>0</v>
      </c>
      <c r="CZ88" s="43">
        <f>IF(Basicinfo!AU88*AB88=0,0,(Parameters!$C$77)/(Basicinfo!AU88*AB88)*100)</f>
        <v>0</v>
      </c>
      <c r="DA88" s="43">
        <f>IF(AD88+AJ88=0,0,((J88*Parameters!$C$96+Parameters!$C$94/100*S88*100*Parameters!$C$93/1000*86400*Parameters!$C$95/24*Parameters!$C$98)*AI88+AD88*CY88*86400*365)/((AD88+AJ88*AI88/365)*86400*365))</f>
        <v>0</v>
      </c>
      <c r="DB88" s="43">
        <f>IF(AD88+AJ88=0,0,((J88*Parameters!$C$97+Parameters!$C$94/100*S88*100*Parameters!$C$93/1000*86400*Parameters!$C$95/24*Parameters!$C$99)*AI88+AD88*CZ88*86400*365)/((AD88+AJ88*AI88/365)*86400*365))</f>
        <v>0</v>
      </c>
      <c r="DC88" s="42">
        <f>IF(AE88+AL88=0,0,((K88*Parameters!$C$96+Parameters!$C$94/100*T88*100*Parameters!$C$93/1000*86400*Parameters!$C$95/24*Parameters!$C$98)*365+AE88*CY88*86400*365)/((AE88+AL88)*86400*365))</f>
        <v>0</v>
      </c>
      <c r="DD88" s="42">
        <f>IF(AE88+AL88=0,0,((K88*Parameters!$C$97+Parameters!$C$94/100*T88*100*Parameters!$C$93/1000*86400*Parameters!$C$95/24*Parameters!$C$99)*365+AE88*CZ88*86400*365)/((AE88+AL88)*86400*365))</f>
        <v>0</v>
      </c>
      <c r="DE88" s="42">
        <f>IF(Basicinfo!AH88+Basicinfo!AI88+Basicinfo!AJ88+Basicinfo!AK88=0,0,((Basicinfo!AH88+Basicinfo!AI88)*Parameters!$C$107+(Basicinfo!AJ88+Basicinfo!AK88)*Parameters!$C$106)/(Basicinfo!AH88+Basicinfo!AI88+Basicinfo!AJ88+Basicinfo!AK88))</f>
        <v>50.000000000000007</v>
      </c>
      <c r="DF88" s="42">
        <f>IF(Basicinfo!AH88+Basicinfo!AI88+Basicinfo!AJ88+Basicinfo!AK88=0,0,((Basicinfo!AH88+Basicinfo!AI88)*Parameters!$C$109+(Basicinfo!AJ88+Basicinfo!AK88)*Parameters!$C$108)/(Basicinfo!AH88+Basicinfo!AI88+Basicinfo!AJ88+Basicinfo!AK88))</f>
        <v>50.000000000000007</v>
      </c>
      <c r="DG88" s="42">
        <f>Intermediate!AC88*Intermediate!CY88*(1-Parameters!$C$102/100*Basicinfo!BZ88/100)*(1-Parameters!$C$104/100*Basicinfo!CA88/100)*86400*365/1000000</f>
        <v>0</v>
      </c>
      <c r="DH88" s="42">
        <f>Intermediate!AC88*Intermediate!CZ88*(1-Parameters!$C$103/100*Basicinfo!BZ88/100)*(1-Parameters!$C$105/100*Basicinfo!CA88/100)*86400*365/1000000</f>
        <v>0</v>
      </c>
      <c r="DI88" s="42">
        <f>(Intermediate!AK88*Intermediate!DA88+(Intermediate!AE88+Intermediate!AL88)*Intermediate!DC88)*86400*365/1000000</f>
        <v>0</v>
      </c>
      <c r="DJ88" s="42">
        <f>(Intermediate!AK88*Intermediate!DB88+(Intermediate!AE88+Intermediate!AL88)*Intermediate!DD88)*86400*365/1000000</f>
        <v>0</v>
      </c>
      <c r="DK88" s="42">
        <f>((Basicinfo!AZ88+Basicinfo!BA88)*Intermediate!AB88+Parameters!$C$76*100)/1000*Intermediate!U88*(1-Intermediate!DE88/100)+(1-Parameters!$C$110/100)*M88*Parameters!$C$100*(1-DE88/100)*365/1000000+(1-Parameters!$C$112/100)*P88*Parameters!$C$96*365/1000000+(1-Parameters!$C$112/100)*O88*Parameters!$C$96*(1-DE88/100)*365/1000000</f>
        <v>1.9342117029556123</v>
      </c>
      <c r="DL88" s="42">
        <f>Parameters!$C$77*100/1000*Intermediate!U88*(1-Intermediate!DF88/100)+(1-Parameters!$C$111/100)*M88*Parameters!$C$101*(1-DF88/100)*365/1000000+(1-Parameters!$C$113/100)*P88*Parameters!$C$97*365/1000000+(1-Parameters!$C$113/100)*O88*Parameters!$C$97*(1-DF88/100)*365/1000000</f>
        <v>0.26917315519172363</v>
      </c>
    </row>
    <row r="89" spans="1:169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  <c r="N89" s="145"/>
      <c r="O89" s="136"/>
      <c r="P89" s="145"/>
      <c r="Q89" s="145"/>
      <c r="R89" s="257"/>
      <c r="S89" s="136"/>
      <c r="T89" s="136"/>
      <c r="U89" s="136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136"/>
      <c r="AG89" s="136"/>
      <c r="AH89" s="136"/>
      <c r="AI89" s="136"/>
      <c r="AJ89" s="136"/>
      <c r="AK89" s="136"/>
      <c r="AL89" s="136"/>
      <c r="AM89" s="136"/>
      <c r="AN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  <c r="AY89" s="136"/>
      <c r="AZ89" s="136"/>
      <c r="BA89" s="136"/>
      <c r="BB89" s="136"/>
      <c r="BC89" s="136"/>
      <c r="BD89" s="136"/>
      <c r="BE89" s="136"/>
      <c r="BF89" s="136"/>
      <c r="BG89" s="136"/>
      <c r="BH89" s="136"/>
      <c r="BI89" s="136"/>
      <c r="BJ89" s="136"/>
      <c r="BK89" s="136"/>
      <c r="BL89" s="136"/>
      <c r="BM89" s="136"/>
      <c r="BN89" s="136"/>
      <c r="BO89" s="136"/>
      <c r="BP89" s="136"/>
      <c r="BQ89" s="136"/>
      <c r="BR89" s="136"/>
      <c r="BS89" s="136"/>
      <c r="BT89" s="136"/>
      <c r="BU89" s="136"/>
      <c r="BV89" s="136"/>
      <c r="BW89" s="136"/>
      <c r="BX89" s="136"/>
      <c r="BY89" s="136"/>
      <c r="BZ89" s="136"/>
      <c r="CA89" s="136"/>
      <c r="CB89" s="136"/>
      <c r="CC89" s="136"/>
      <c r="CD89" s="136"/>
      <c r="CE89" s="136"/>
      <c r="CF89" s="136"/>
      <c r="CG89" s="136"/>
      <c r="CH89" s="136"/>
      <c r="CI89" s="136"/>
      <c r="CJ89" s="136"/>
      <c r="CK89" s="136"/>
      <c r="CL89" s="136"/>
      <c r="CM89" s="136"/>
      <c r="CN89" s="136"/>
      <c r="CO89" s="136"/>
      <c r="CP89" s="136"/>
      <c r="CQ89" s="136"/>
      <c r="CR89" s="136"/>
      <c r="CS89" s="136"/>
      <c r="CT89" s="136"/>
      <c r="CU89" s="136"/>
      <c r="CV89" s="136"/>
      <c r="CW89" s="136"/>
      <c r="CX89" s="136"/>
      <c r="CY89" s="136"/>
      <c r="CZ89" s="136"/>
      <c r="DA89" s="136"/>
      <c r="DB89" s="136"/>
      <c r="DC89" s="136"/>
      <c r="DD89" s="136"/>
      <c r="DE89" s="136"/>
      <c r="DF89" s="136"/>
      <c r="DG89" s="136"/>
      <c r="DH89" s="136"/>
      <c r="DI89" s="136"/>
      <c r="DJ89" s="136"/>
      <c r="DK89" s="136"/>
      <c r="DL89" s="136"/>
    </row>
    <row r="90" spans="1:169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  <c r="N90" s="145"/>
      <c r="O90" s="136"/>
      <c r="P90" s="145"/>
      <c r="Q90" s="145"/>
      <c r="R90" s="257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  <c r="AY90" s="136"/>
      <c r="AZ90" s="136"/>
      <c r="BA90" s="136"/>
      <c r="BB90" s="136"/>
      <c r="BC90" s="136"/>
      <c r="BD90" s="136"/>
      <c r="BE90" s="136"/>
      <c r="BF90" s="136"/>
      <c r="BG90" s="136"/>
      <c r="BH90" s="136"/>
      <c r="BI90" s="136"/>
      <c r="BJ90" s="136"/>
      <c r="BK90" s="136"/>
      <c r="BL90" s="136"/>
      <c r="BM90" s="136"/>
      <c r="BN90" s="136"/>
      <c r="BO90" s="136"/>
      <c r="BP90" s="136"/>
      <c r="BQ90" s="136"/>
      <c r="BR90" s="136"/>
      <c r="BS90" s="136"/>
      <c r="BT90" s="136"/>
      <c r="BU90" s="136"/>
      <c r="BV90" s="136"/>
      <c r="BW90" s="136"/>
      <c r="BX90" s="136"/>
      <c r="BY90" s="136"/>
      <c r="BZ90" s="136"/>
      <c r="CA90" s="136"/>
      <c r="CB90" s="136"/>
      <c r="CC90" s="136"/>
      <c r="CD90" s="136"/>
      <c r="CE90" s="136"/>
      <c r="CF90" s="136"/>
      <c r="CG90" s="136"/>
      <c r="CH90" s="136"/>
      <c r="CI90" s="136"/>
      <c r="CJ90" s="136"/>
      <c r="CK90" s="136"/>
      <c r="CL90" s="136"/>
      <c r="CM90" s="136"/>
      <c r="CN90" s="136"/>
      <c r="CO90" s="136"/>
      <c r="CP90" s="136"/>
      <c r="CQ90" s="136"/>
      <c r="CR90" s="136"/>
      <c r="CS90" s="136"/>
      <c r="CT90" s="136"/>
      <c r="CU90" s="136"/>
      <c r="CV90" s="136"/>
      <c r="CW90" s="136"/>
      <c r="CX90" s="136"/>
      <c r="CY90" s="136"/>
      <c r="CZ90" s="136"/>
      <c r="DA90" s="136"/>
      <c r="DB90" s="136"/>
      <c r="DC90" s="136"/>
      <c r="DD90" s="136"/>
      <c r="DE90" s="136"/>
      <c r="DF90" s="136"/>
      <c r="DG90" s="136"/>
      <c r="DH90" s="136"/>
      <c r="DI90" s="136"/>
      <c r="DJ90" s="136"/>
      <c r="DK90" s="136"/>
      <c r="DL90" s="136"/>
    </row>
    <row r="91" spans="1:169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145"/>
      <c r="O91" s="136"/>
      <c r="P91" s="145"/>
      <c r="Q91" s="145"/>
      <c r="R91" s="257"/>
      <c r="T91" s="136"/>
      <c r="U91" s="136"/>
      <c r="V91" s="136"/>
      <c r="W91" s="136"/>
      <c r="X91" s="136"/>
      <c r="Y91" s="136"/>
      <c r="Z91" s="136"/>
      <c r="AA91" s="136"/>
      <c r="AB91" s="136"/>
      <c r="AC91" s="136"/>
      <c r="AD91" s="136"/>
      <c r="AE91" s="136"/>
      <c r="AF91" s="136"/>
      <c r="AG91" s="136"/>
      <c r="AH91" s="136"/>
      <c r="AI91" s="136"/>
      <c r="AJ91" s="136"/>
      <c r="AK91" s="136"/>
      <c r="AL91" s="136"/>
      <c r="AM91" s="136"/>
      <c r="AN91" s="136"/>
      <c r="AO91" s="136"/>
      <c r="AP91" s="136"/>
      <c r="AQ91" s="136"/>
      <c r="AR91" s="136"/>
      <c r="AS91" s="136"/>
      <c r="AT91" s="136"/>
      <c r="AU91" s="136"/>
      <c r="AV91" s="136"/>
      <c r="AW91" s="136"/>
      <c r="AX91" s="136"/>
      <c r="AY91" s="136"/>
      <c r="AZ91" s="136"/>
      <c r="BA91" s="136"/>
      <c r="BB91" s="136"/>
      <c r="BC91" s="136"/>
      <c r="BD91" s="136"/>
      <c r="BE91" s="136"/>
      <c r="BF91" s="136"/>
      <c r="BG91" s="136"/>
      <c r="BH91" s="136"/>
      <c r="BI91" s="136"/>
      <c r="BJ91" s="136"/>
      <c r="BK91" s="136"/>
      <c r="BL91" s="136"/>
      <c r="BM91" s="136"/>
      <c r="BN91" s="136"/>
      <c r="BO91" s="136"/>
      <c r="BP91" s="136"/>
      <c r="BQ91" s="136"/>
      <c r="BR91" s="136"/>
      <c r="BS91" s="136"/>
      <c r="BT91" s="136"/>
      <c r="BU91" s="136"/>
      <c r="BV91" s="136"/>
      <c r="BW91" s="136"/>
      <c r="BX91" s="136"/>
      <c r="BY91" s="136"/>
      <c r="BZ91" s="136"/>
      <c r="CA91" s="136"/>
      <c r="CB91" s="136"/>
      <c r="CC91" s="136"/>
      <c r="CD91" s="136"/>
      <c r="CE91" s="136"/>
      <c r="CF91" s="136"/>
      <c r="CG91" s="136"/>
      <c r="CH91" s="136"/>
      <c r="CI91" s="136"/>
      <c r="CJ91" s="136"/>
      <c r="CK91" s="136"/>
      <c r="CL91" s="136"/>
      <c r="CM91" s="136"/>
      <c r="CN91" s="136"/>
      <c r="CO91" s="136"/>
      <c r="CP91" s="136"/>
      <c r="CQ91" s="136"/>
      <c r="CR91" s="136"/>
      <c r="CS91" s="136"/>
      <c r="CT91" s="136"/>
      <c r="CU91" s="136"/>
      <c r="CV91" s="136"/>
      <c r="CW91" s="136"/>
      <c r="CX91" s="136"/>
      <c r="CY91" s="136"/>
      <c r="CZ91" s="136"/>
      <c r="DA91" s="136"/>
      <c r="DB91" s="136"/>
      <c r="DC91" s="136"/>
      <c r="DD91" s="136"/>
      <c r="DE91" s="136"/>
      <c r="DF91" s="136"/>
      <c r="DG91" s="136"/>
      <c r="DH91" s="136"/>
      <c r="DI91" s="136"/>
      <c r="DJ91" s="136"/>
      <c r="DK91" s="136"/>
      <c r="DL91" s="136"/>
    </row>
    <row r="92" spans="1:169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45"/>
      <c r="O92" s="136"/>
      <c r="P92" s="145"/>
      <c r="Q92" s="145"/>
      <c r="R92" s="257"/>
      <c r="S92" s="136"/>
      <c r="T92" s="136"/>
      <c r="U92" s="136"/>
      <c r="V92" s="136"/>
      <c r="W92" s="136"/>
      <c r="X92" s="136"/>
      <c r="Y92" s="136"/>
      <c r="Z92" s="136"/>
      <c r="AA92" s="136"/>
      <c r="AB92" s="136"/>
      <c r="AC92" s="136"/>
      <c r="AD92" s="136"/>
      <c r="AE92" s="136"/>
      <c r="AF92" s="136"/>
      <c r="AG92" s="136"/>
      <c r="AH92" s="136"/>
      <c r="AI92" s="136"/>
      <c r="AJ92" s="136"/>
      <c r="AK92" s="136"/>
      <c r="AL92" s="136"/>
      <c r="AM92" s="136"/>
      <c r="AN92" s="136"/>
      <c r="AO92" s="136"/>
      <c r="AP92" s="136"/>
      <c r="AQ92" s="136"/>
      <c r="AR92" s="136"/>
      <c r="AS92" s="136"/>
      <c r="AT92" s="136"/>
      <c r="AU92" s="136"/>
      <c r="AV92" s="136"/>
      <c r="AW92" s="136"/>
      <c r="AX92" s="136"/>
      <c r="AY92" s="136"/>
      <c r="AZ92" s="136"/>
      <c r="BA92" s="136"/>
      <c r="BB92" s="136"/>
      <c r="BC92" s="136"/>
      <c r="BD92" s="136"/>
      <c r="BE92" s="136"/>
      <c r="BF92" s="136"/>
      <c r="BG92" s="136"/>
      <c r="BH92" s="136"/>
      <c r="BI92" s="136"/>
      <c r="BJ92" s="136"/>
      <c r="BK92" s="136"/>
      <c r="BL92" s="136"/>
      <c r="BM92" s="136"/>
      <c r="BN92" s="136"/>
      <c r="BO92" s="136"/>
      <c r="BP92" s="136"/>
      <c r="BQ92" s="136"/>
      <c r="BR92" s="136"/>
      <c r="BS92" s="136"/>
      <c r="BT92" s="136"/>
      <c r="BU92" s="136"/>
      <c r="BV92" s="136"/>
      <c r="BW92" s="136"/>
      <c r="BX92" s="136"/>
      <c r="BY92" s="136"/>
      <c r="BZ92" s="136"/>
      <c r="CA92" s="136"/>
      <c r="CB92" s="136"/>
      <c r="CC92" s="136"/>
      <c r="CD92" s="136"/>
      <c r="CE92" s="136"/>
      <c r="CF92" s="136"/>
      <c r="CG92" s="136"/>
      <c r="CH92" s="136"/>
      <c r="CI92" s="136"/>
      <c r="CJ92" s="136"/>
      <c r="CK92" s="136"/>
      <c r="CL92" s="136"/>
      <c r="CM92" s="136"/>
      <c r="CN92" s="136"/>
      <c r="CO92" s="136"/>
      <c r="CP92" s="136"/>
      <c r="CQ92" s="136"/>
      <c r="CR92" s="136"/>
      <c r="CS92" s="136"/>
      <c r="CT92" s="136"/>
      <c r="CU92" s="136"/>
      <c r="CV92" s="136"/>
      <c r="CW92" s="136"/>
      <c r="CX92" s="136"/>
      <c r="CY92" s="136"/>
      <c r="CZ92" s="136"/>
      <c r="DA92" s="136"/>
      <c r="DB92" s="136"/>
      <c r="DC92" s="136"/>
      <c r="DD92" s="136"/>
      <c r="DE92" s="136"/>
      <c r="DF92" s="136"/>
      <c r="DG92" s="136"/>
      <c r="DH92" s="136"/>
      <c r="DI92" s="136"/>
      <c r="DJ92" s="136"/>
      <c r="DK92" s="136"/>
      <c r="DL92" s="136"/>
    </row>
    <row r="93" spans="1:169">
      <c r="A93" s="136"/>
      <c r="B93" s="136"/>
      <c r="C93" s="136"/>
      <c r="D93" s="136"/>
      <c r="E93" s="136"/>
      <c r="F93" s="136"/>
      <c r="G93" s="136"/>
      <c r="H93" s="136"/>
      <c r="I93" s="136"/>
      <c r="J93" s="136"/>
      <c r="K93" s="136"/>
      <c r="L93" s="136"/>
      <c r="M93" s="136"/>
      <c r="N93" s="145"/>
      <c r="O93" s="136"/>
      <c r="P93" s="145"/>
      <c r="Q93" s="145"/>
      <c r="R93" s="257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  <c r="AH93" s="136"/>
      <c r="AI93" s="136"/>
      <c r="AJ93" s="136"/>
      <c r="AK93" s="136"/>
      <c r="AL93" s="136"/>
      <c r="AM93" s="136"/>
      <c r="AN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  <c r="AY93" s="136"/>
      <c r="AZ93" s="136"/>
      <c r="BA93" s="136"/>
      <c r="BB93" s="136"/>
      <c r="BC93" s="136"/>
      <c r="BD93" s="136"/>
      <c r="BE93" s="136"/>
      <c r="BF93" s="136"/>
      <c r="BG93" s="136"/>
      <c r="BH93" s="136"/>
      <c r="BI93" s="136"/>
      <c r="BJ93" s="136"/>
      <c r="BK93" s="136"/>
      <c r="BL93" s="136"/>
      <c r="BM93" s="136"/>
      <c r="BN93" s="136"/>
      <c r="BO93" s="136"/>
      <c r="BP93" s="136"/>
      <c r="BQ93" s="136"/>
      <c r="BR93" s="136"/>
      <c r="BS93" s="136"/>
      <c r="BT93" s="136"/>
      <c r="BU93" s="136"/>
      <c r="BV93" s="136"/>
      <c r="BW93" s="136"/>
      <c r="BX93" s="136"/>
      <c r="BY93" s="136"/>
      <c r="BZ93" s="136"/>
      <c r="CA93" s="136"/>
      <c r="CB93" s="136"/>
      <c r="CC93" s="136"/>
      <c r="CD93" s="136"/>
      <c r="CE93" s="136"/>
      <c r="CF93" s="136"/>
      <c r="CG93" s="136"/>
      <c r="CH93" s="136"/>
      <c r="CI93" s="136"/>
      <c r="CJ93" s="136"/>
      <c r="CK93" s="136"/>
      <c r="CL93" s="136"/>
      <c r="CM93" s="136"/>
      <c r="CN93" s="136"/>
      <c r="CO93" s="136"/>
      <c r="CP93" s="136"/>
      <c r="CQ93" s="136"/>
      <c r="CR93" s="136"/>
      <c r="CS93" s="136"/>
      <c r="CT93" s="136"/>
      <c r="CU93" s="136"/>
      <c r="CV93" s="136"/>
      <c r="CW93" s="136"/>
      <c r="CX93" s="136"/>
      <c r="CY93" s="136"/>
      <c r="CZ93" s="136"/>
      <c r="DA93" s="136"/>
      <c r="DB93" s="136"/>
      <c r="DC93" s="136"/>
      <c r="DD93" s="136"/>
      <c r="DE93" s="136"/>
      <c r="DF93" s="136"/>
      <c r="DG93" s="136"/>
      <c r="DH93" s="136"/>
      <c r="DI93" s="136"/>
      <c r="DJ93" s="136"/>
      <c r="DK93" s="136"/>
      <c r="DL93" s="136"/>
    </row>
    <row r="94" spans="1:169">
      <c r="A94" s="136"/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45"/>
      <c r="O94" s="136"/>
      <c r="P94" s="145"/>
      <c r="Q94" s="145"/>
      <c r="R94" s="257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136"/>
      <c r="AG94" s="136"/>
      <c r="AH94" s="136"/>
      <c r="AI94" s="136"/>
      <c r="AJ94" s="136"/>
      <c r="AK94" s="136"/>
      <c r="AL94" s="136"/>
      <c r="AM94" s="136"/>
      <c r="AN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  <c r="AY94" s="136"/>
      <c r="AZ94" s="136"/>
      <c r="BA94" s="136"/>
      <c r="BB94" s="136"/>
      <c r="BC94" s="136"/>
      <c r="BD94" s="136"/>
      <c r="BE94" s="136"/>
      <c r="BF94" s="136"/>
      <c r="BG94" s="136"/>
      <c r="BH94" s="136"/>
      <c r="BI94" s="136"/>
      <c r="BJ94" s="136"/>
      <c r="BK94" s="136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6"/>
      <c r="CF94" s="136"/>
      <c r="CG94" s="136"/>
      <c r="CH94" s="136"/>
      <c r="CI94" s="136"/>
      <c r="CJ94" s="136"/>
      <c r="CK94" s="136"/>
      <c r="CL94" s="136"/>
      <c r="CM94" s="136"/>
      <c r="CN94" s="136"/>
      <c r="CO94" s="136"/>
      <c r="CP94" s="136"/>
      <c r="CQ94" s="136"/>
      <c r="CR94" s="136"/>
      <c r="CS94" s="136"/>
      <c r="CT94" s="136"/>
      <c r="CU94" s="136"/>
      <c r="CV94" s="136"/>
      <c r="CW94" s="136"/>
      <c r="CX94" s="136"/>
      <c r="CY94" s="136"/>
      <c r="CZ94" s="136"/>
      <c r="DA94" s="136"/>
      <c r="DB94" s="136"/>
      <c r="DC94" s="136"/>
      <c r="DD94" s="136"/>
      <c r="DE94" s="136"/>
      <c r="DF94" s="136"/>
      <c r="DG94" s="136"/>
      <c r="DH94" s="136"/>
      <c r="DI94" s="136"/>
      <c r="DJ94" s="136"/>
      <c r="DK94" s="136"/>
      <c r="DL94" s="136"/>
    </row>
    <row r="95" spans="1:169">
      <c r="A95" s="136"/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45"/>
      <c r="O95" s="136"/>
      <c r="P95" s="145"/>
      <c r="Q95" s="145"/>
      <c r="R95" s="257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136"/>
      <c r="AG95" s="136"/>
      <c r="AH95" s="136"/>
      <c r="AI95" s="136"/>
      <c r="AJ95" s="136"/>
      <c r="AK95" s="136"/>
      <c r="AL95" s="136"/>
      <c r="AM95" s="136"/>
      <c r="AN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  <c r="AY95" s="136"/>
      <c r="AZ95" s="136"/>
      <c r="BA95" s="136"/>
      <c r="BB95" s="136"/>
      <c r="BC95" s="136"/>
      <c r="BD95" s="136"/>
      <c r="BE95" s="136"/>
      <c r="BF95" s="136"/>
      <c r="BG95" s="136"/>
      <c r="BH95" s="136"/>
      <c r="BI95" s="136"/>
      <c r="BJ95" s="136"/>
      <c r="BK95" s="136"/>
      <c r="BL95" s="136"/>
      <c r="BM95" s="136"/>
      <c r="BN95" s="136"/>
      <c r="BO95" s="136"/>
      <c r="BP95" s="136"/>
      <c r="BQ95" s="136"/>
      <c r="BR95" s="136"/>
      <c r="BS95" s="136"/>
      <c r="BT95" s="136"/>
      <c r="BU95" s="136"/>
      <c r="BV95" s="136"/>
      <c r="BW95" s="136"/>
      <c r="BX95" s="136"/>
      <c r="BY95" s="136"/>
      <c r="BZ95" s="136"/>
      <c r="CA95" s="136"/>
      <c r="CB95" s="136"/>
      <c r="CC95" s="136"/>
      <c r="CD95" s="136"/>
      <c r="CE95" s="136"/>
      <c r="CF95" s="136"/>
      <c r="CG95" s="136"/>
      <c r="CH95" s="136"/>
      <c r="CI95" s="136"/>
      <c r="CJ95" s="136"/>
      <c r="CK95" s="136"/>
      <c r="CL95" s="136"/>
      <c r="CM95" s="136"/>
      <c r="CN95" s="136"/>
      <c r="CO95" s="136"/>
      <c r="CP95" s="136"/>
      <c r="CQ95" s="136"/>
      <c r="CR95" s="136"/>
      <c r="CS95" s="136"/>
      <c r="CT95" s="136"/>
      <c r="CU95" s="136"/>
      <c r="CV95" s="136"/>
      <c r="CW95" s="136"/>
      <c r="CX95" s="136"/>
      <c r="CY95" s="136"/>
      <c r="CZ95" s="136"/>
      <c r="DA95" s="136"/>
      <c r="DB95" s="136"/>
      <c r="DC95" s="136"/>
      <c r="DD95" s="136"/>
      <c r="DE95" s="136"/>
      <c r="DF95" s="136"/>
      <c r="DG95" s="136"/>
      <c r="DH95" s="136"/>
      <c r="DI95" s="136"/>
      <c r="DJ95" s="136"/>
      <c r="DK95" s="136"/>
      <c r="DL95" s="136"/>
    </row>
    <row r="96" spans="1:169">
      <c r="A96" s="136"/>
      <c r="B96" s="136"/>
      <c r="C96" s="136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45"/>
      <c r="O96" s="136"/>
      <c r="P96" s="145"/>
      <c r="Q96" s="145"/>
      <c r="R96" s="257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  <c r="AH96" s="136"/>
      <c r="AI96" s="136"/>
      <c r="AJ96" s="136"/>
      <c r="AK96" s="136"/>
      <c r="AL96" s="136"/>
      <c r="AM96" s="136"/>
      <c r="AN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  <c r="AY96" s="136"/>
      <c r="AZ96" s="136"/>
      <c r="BA96" s="136"/>
      <c r="BB96" s="136"/>
      <c r="BC96" s="136"/>
      <c r="BD96" s="136"/>
      <c r="BE96" s="136"/>
      <c r="BF96" s="136"/>
      <c r="BG96" s="136"/>
      <c r="BH96" s="136"/>
      <c r="BI96" s="136"/>
      <c r="BJ96" s="136"/>
      <c r="BK96" s="136"/>
      <c r="BL96" s="136"/>
      <c r="BM96" s="136"/>
      <c r="BN96" s="136"/>
      <c r="BO96" s="136"/>
      <c r="BP96" s="136"/>
      <c r="BQ96" s="136"/>
      <c r="BR96" s="136"/>
      <c r="BS96" s="136"/>
      <c r="BT96" s="136"/>
      <c r="BU96" s="136"/>
      <c r="BV96" s="136"/>
      <c r="BW96" s="136"/>
      <c r="BX96" s="136"/>
      <c r="BY96" s="136"/>
      <c r="BZ96" s="136"/>
      <c r="CA96" s="136"/>
      <c r="CB96" s="136"/>
      <c r="CC96" s="136"/>
      <c r="CD96" s="136"/>
      <c r="CE96" s="136"/>
      <c r="CF96" s="136"/>
      <c r="CG96" s="136"/>
      <c r="CH96" s="136"/>
      <c r="CI96" s="136"/>
      <c r="CJ96" s="136"/>
      <c r="CK96" s="136"/>
      <c r="CL96" s="136"/>
      <c r="CM96" s="136"/>
      <c r="CN96" s="136"/>
      <c r="CO96" s="136"/>
      <c r="CP96" s="136"/>
      <c r="CQ96" s="136"/>
      <c r="CR96" s="136"/>
      <c r="CS96" s="136"/>
      <c r="CT96" s="136"/>
      <c r="CU96" s="136"/>
      <c r="CV96" s="136"/>
      <c r="CW96" s="136"/>
      <c r="CX96" s="136"/>
      <c r="CY96" s="136"/>
      <c r="CZ96" s="136"/>
      <c r="DA96" s="136"/>
      <c r="DB96" s="136"/>
      <c r="DC96" s="136"/>
      <c r="DD96" s="136"/>
      <c r="DE96" s="136"/>
      <c r="DF96" s="136"/>
      <c r="DG96" s="136"/>
      <c r="DH96" s="136"/>
      <c r="DI96" s="136"/>
      <c r="DJ96" s="136"/>
      <c r="DK96" s="136"/>
      <c r="DL96" s="136"/>
    </row>
    <row r="97" spans="1:116">
      <c r="A97" s="136"/>
      <c r="B97" s="136"/>
      <c r="C97" s="136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45"/>
      <c r="O97" s="136"/>
      <c r="P97" s="145"/>
      <c r="Q97" s="145"/>
      <c r="R97" s="257"/>
      <c r="S97" s="136"/>
      <c r="T97" s="136"/>
      <c r="U97" s="136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136"/>
      <c r="AG97" s="136"/>
      <c r="AH97" s="136"/>
      <c r="AI97" s="136"/>
      <c r="AJ97" s="136"/>
      <c r="AK97" s="136"/>
      <c r="AL97" s="136"/>
      <c r="AM97" s="136"/>
      <c r="AN97" s="136"/>
      <c r="AO97" s="136"/>
      <c r="AP97" s="136"/>
      <c r="AQ97" s="136"/>
      <c r="AR97" s="136"/>
      <c r="AS97" s="136"/>
      <c r="AT97" s="136"/>
      <c r="AU97" s="136"/>
      <c r="AV97" s="136"/>
      <c r="AW97" s="136"/>
      <c r="AX97" s="136"/>
      <c r="AY97" s="136"/>
      <c r="AZ97" s="136"/>
      <c r="BA97" s="136"/>
      <c r="BB97" s="136"/>
      <c r="BC97" s="136"/>
      <c r="BD97" s="136"/>
      <c r="BE97" s="136"/>
      <c r="BF97" s="136"/>
      <c r="BG97" s="136"/>
      <c r="BH97" s="136"/>
      <c r="BI97" s="136"/>
      <c r="BJ97" s="136"/>
      <c r="BK97" s="136"/>
      <c r="BL97" s="136"/>
      <c r="BM97" s="136"/>
      <c r="BN97" s="136"/>
      <c r="BO97" s="136"/>
      <c r="BP97" s="136"/>
      <c r="BQ97" s="136"/>
      <c r="BR97" s="136"/>
      <c r="BS97" s="136"/>
      <c r="BT97" s="136"/>
      <c r="BU97" s="136"/>
      <c r="BV97" s="136"/>
      <c r="BW97" s="136"/>
      <c r="BX97" s="136"/>
      <c r="BY97" s="136"/>
      <c r="BZ97" s="136"/>
      <c r="CA97" s="136"/>
      <c r="CB97" s="136"/>
      <c r="CC97" s="136"/>
      <c r="CD97" s="136"/>
      <c r="CE97" s="136"/>
      <c r="CF97" s="136"/>
      <c r="CG97" s="136"/>
      <c r="CH97" s="136"/>
      <c r="CI97" s="136"/>
      <c r="CJ97" s="136"/>
      <c r="CK97" s="136"/>
      <c r="CL97" s="136"/>
      <c r="CM97" s="136"/>
      <c r="CN97" s="136"/>
      <c r="CO97" s="136"/>
      <c r="CP97" s="136"/>
      <c r="CQ97" s="136"/>
      <c r="CR97" s="136"/>
      <c r="CS97" s="136"/>
      <c r="CT97" s="136"/>
      <c r="CU97" s="136"/>
      <c r="CV97" s="136"/>
      <c r="CW97" s="136"/>
      <c r="CX97" s="136"/>
      <c r="CY97" s="136"/>
      <c r="CZ97" s="136"/>
      <c r="DA97" s="136"/>
      <c r="DB97" s="136"/>
      <c r="DC97" s="136"/>
      <c r="DD97" s="136"/>
      <c r="DE97" s="136"/>
      <c r="DF97" s="136"/>
      <c r="DG97" s="136"/>
      <c r="DH97" s="136"/>
      <c r="DI97" s="136"/>
      <c r="DJ97" s="136"/>
      <c r="DK97" s="136"/>
      <c r="DL97" s="136"/>
    </row>
    <row r="98" spans="1:116">
      <c r="A98" s="136"/>
      <c r="B98" s="136"/>
      <c r="C98" s="136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45"/>
      <c r="O98" s="136"/>
      <c r="P98" s="145"/>
      <c r="Q98" s="145"/>
      <c r="R98" s="257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  <c r="AH98" s="136"/>
      <c r="AI98" s="136"/>
      <c r="AJ98" s="136"/>
      <c r="AK98" s="136"/>
      <c r="AL98" s="136"/>
      <c r="AM98" s="136"/>
      <c r="AN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  <c r="AY98" s="136"/>
      <c r="AZ98" s="136"/>
      <c r="BA98" s="136"/>
      <c r="BB98" s="136"/>
      <c r="BC98" s="136"/>
      <c r="BD98" s="136"/>
      <c r="BE98" s="136"/>
      <c r="BF98" s="136"/>
      <c r="BG98" s="136"/>
      <c r="BH98" s="136"/>
      <c r="BI98" s="136"/>
      <c r="BJ98" s="136"/>
      <c r="BK98" s="136"/>
      <c r="BL98" s="136"/>
      <c r="BM98" s="136"/>
      <c r="BN98" s="136"/>
      <c r="BO98" s="136"/>
      <c r="BP98" s="136"/>
      <c r="BQ98" s="136"/>
      <c r="BR98" s="136"/>
      <c r="BS98" s="136"/>
      <c r="BT98" s="136"/>
      <c r="BU98" s="136"/>
      <c r="BV98" s="136"/>
      <c r="BW98" s="136"/>
      <c r="BX98" s="136"/>
      <c r="BY98" s="136"/>
      <c r="BZ98" s="136"/>
      <c r="CA98" s="136"/>
      <c r="CB98" s="136"/>
      <c r="CC98" s="136"/>
      <c r="CD98" s="136"/>
      <c r="CE98" s="136"/>
      <c r="CF98" s="136"/>
      <c r="CG98" s="136"/>
      <c r="CH98" s="136"/>
      <c r="CI98" s="136"/>
      <c r="CJ98" s="136"/>
      <c r="CK98" s="136"/>
      <c r="CL98" s="136"/>
      <c r="CM98" s="136"/>
      <c r="CN98" s="136"/>
      <c r="CO98" s="136"/>
      <c r="CP98" s="136"/>
      <c r="CQ98" s="136"/>
      <c r="CR98" s="136"/>
      <c r="CS98" s="136"/>
      <c r="CT98" s="136"/>
      <c r="CU98" s="136"/>
      <c r="CV98" s="136"/>
      <c r="CW98" s="136"/>
      <c r="CX98" s="136"/>
      <c r="CY98" s="136"/>
      <c r="CZ98" s="136"/>
      <c r="DA98" s="136"/>
      <c r="DB98" s="136"/>
      <c r="DC98" s="136"/>
      <c r="DD98" s="136"/>
      <c r="DE98" s="136"/>
      <c r="DF98" s="136"/>
      <c r="DG98" s="136"/>
      <c r="DH98" s="136"/>
      <c r="DI98" s="136"/>
      <c r="DJ98" s="136"/>
      <c r="DK98" s="136"/>
      <c r="DL98" s="136"/>
    </row>
    <row r="99" spans="1:116">
      <c r="A99" s="136"/>
      <c r="B99" s="136"/>
      <c r="C99" s="136"/>
      <c r="D99" s="136"/>
      <c r="E99" s="136"/>
      <c r="F99" s="136"/>
      <c r="G99" s="136"/>
      <c r="H99" s="136"/>
      <c r="I99" s="136"/>
      <c r="J99" s="136"/>
      <c r="K99" s="136"/>
      <c r="L99" s="136"/>
      <c r="M99" s="136"/>
      <c r="N99" s="145"/>
      <c r="O99" s="136"/>
      <c r="P99" s="145"/>
      <c r="Q99" s="145"/>
      <c r="R99" s="257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  <c r="AH99" s="136"/>
      <c r="AI99" s="136"/>
      <c r="AJ99" s="136"/>
      <c r="AK99" s="136"/>
      <c r="AL99" s="136"/>
      <c r="AM99" s="136"/>
      <c r="AN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  <c r="AY99" s="136"/>
      <c r="AZ99" s="136"/>
      <c r="BA99" s="136"/>
      <c r="BB99" s="136"/>
      <c r="BC99" s="136"/>
      <c r="BD99" s="136"/>
      <c r="BE99" s="136"/>
      <c r="BF99" s="136"/>
      <c r="BG99" s="136"/>
      <c r="BH99" s="136"/>
      <c r="BI99" s="136"/>
      <c r="BJ99" s="136"/>
      <c r="BK99" s="136"/>
      <c r="BL99" s="136"/>
      <c r="BM99" s="136"/>
      <c r="BN99" s="136"/>
      <c r="BO99" s="136"/>
      <c r="BP99" s="136"/>
      <c r="BQ99" s="136"/>
      <c r="BR99" s="136"/>
      <c r="BS99" s="136"/>
      <c r="BT99" s="136"/>
      <c r="BU99" s="136"/>
      <c r="BV99" s="136"/>
      <c r="BW99" s="136"/>
      <c r="BX99" s="136"/>
      <c r="BY99" s="136"/>
      <c r="BZ99" s="136"/>
      <c r="CA99" s="136"/>
      <c r="CB99" s="136"/>
      <c r="CC99" s="136"/>
      <c r="CD99" s="136"/>
      <c r="CE99" s="136"/>
      <c r="CF99" s="136"/>
      <c r="CG99" s="136"/>
      <c r="CH99" s="136"/>
      <c r="CI99" s="136"/>
      <c r="CJ99" s="136"/>
      <c r="CK99" s="136"/>
      <c r="CL99" s="136"/>
      <c r="CM99" s="136"/>
      <c r="CN99" s="136"/>
      <c r="CO99" s="136"/>
      <c r="CP99" s="136"/>
      <c r="CQ99" s="136"/>
      <c r="CR99" s="136"/>
      <c r="CS99" s="136"/>
      <c r="CT99" s="136"/>
      <c r="CU99" s="136"/>
      <c r="CV99" s="136"/>
      <c r="CW99" s="136"/>
      <c r="CX99" s="136"/>
      <c r="CY99" s="136"/>
      <c r="CZ99" s="136"/>
      <c r="DA99" s="136"/>
      <c r="DB99" s="136"/>
      <c r="DC99" s="136"/>
      <c r="DD99" s="136"/>
      <c r="DE99" s="136"/>
      <c r="DF99" s="136"/>
      <c r="DG99" s="136"/>
      <c r="DH99" s="136"/>
      <c r="DI99" s="136"/>
      <c r="DJ99" s="136"/>
      <c r="DK99" s="136"/>
      <c r="DL99" s="136"/>
    </row>
    <row r="100" spans="1:116">
      <c r="A100" s="136"/>
      <c r="B100" s="136"/>
      <c r="C100" s="136"/>
      <c r="D100" s="136"/>
      <c r="E100" s="136"/>
      <c r="F100" s="136"/>
      <c r="G100" s="136"/>
      <c r="H100" s="136"/>
      <c r="I100" s="136"/>
      <c r="J100" s="136"/>
      <c r="K100" s="136"/>
      <c r="L100" s="136"/>
      <c r="M100" s="136"/>
      <c r="N100" s="145"/>
      <c r="O100" s="136"/>
      <c r="P100" s="145"/>
      <c r="Q100" s="145"/>
      <c r="R100" s="257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136"/>
      <c r="AG100" s="136"/>
      <c r="AH100" s="136"/>
      <c r="AI100" s="136"/>
      <c r="AJ100" s="136"/>
      <c r="AK100" s="136"/>
      <c r="AL100" s="136"/>
      <c r="AM100" s="136"/>
      <c r="AN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  <c r="AY100" s="136"/>
      <c r="AZ100" s="136"/>
      <c r="BA100" s="136"/>
      <c r="BB100" s="136"/>
      <c r="BC100" s="136"/>
      <c r="BD100" s="136"/>
      <c r="BE100" s="136"/>
      <c r="BF100" s="136"/>
      <c r="BG100" s="136"/>
      <c r="BH100" s="136"/>
      <c r="BI100" s="136"/>
      <c r="BJ100" s="136"/>
      <c r="BK100" s="136"/>
      <c r="BL100" s="136"/>
      <c r="BM100" s="136"/>
      <c r="BN100" s="136"/>
      <c r="BO100" s="136"/>
      <c r="BP100" s="136"/>
      <c r="BQ100" s="136"/>
      <c r="BR100" s="136"/>
      <c r="BS100" s="136"/>
      <c r="BT100" s="136"/>
      <c r="BU100" s="136"/>
      <c r="BV100" s="136"/>
      <c r="BW100" s="136"/>
      <c r="BX100" s="136"/>
      <c r="BY100" s="136"/>
      <c r="BZ100" s="136"/>
      <c r="CA100" s="136"/>
      <c r="CB100" s="136"/>
      <c r="CC100" s="136"/>
      <c r="CD100" s="136"/>
      <c r="CE100" s="136"/>
      <c r="CF100" s="136"/>
      <c r="CG100" s="136"/>
      <c r="CH100" s="136"/>
      <c r="CI100" s="136"/>
      <c r="CJ100" s="136"/>
      <c r="CK100" s="136"/>
      <c r="CL100" s="136"/>
      <c r="CM100" s="136"/>
      <c r="CN100" s="136"/>
      <c r="CO100" s="136"/>
      <c r="CP100" s="136"/>
      <c r="CQ100" s="136"/>
      <c r="CR100" s="136"/>
      <c r="CS100" s="136"/>
      <c r="CT100" s="136"/>
      <c r="CU100" s="136"/>
      <c r="CV100" s="136"/>
      <c r="CW100" s="136"/>
      <c r="CX100" s="136"/>
      <c r="CY100" s="136"/>
      <c r="CZ100" s="136"/>
      <c r="DA100" s="136"/>
      <c r="DB100" s="136"/>
      <c r="DC100" s="136"/>
      <c r="DD100" s="136"/>
      <c r="DE100" s="136"/>
      <c r="DF100" s="136"/>
      <c r="DG100" s="136"/>
      <c r="DH100" s="136"/>
      <c r="DI100" s="136"/>
      <c r="DJ100" s="136"/>
      <c r="DK100" s="136"/>
      <c r="DL100" s="136"/>
    </row>
    <row r="101" spans="1:116">
      <c r="A101" s="136"/>
      <c r="B101" s="136"/>
      <c r="C101" s="136"/>
      <c r="D101" s="136"/>
      <c r="E101" s="136"/>
      <c r="F101" s="136"/>
      <c r="G101" s="136"/>
      <c r="H101" s="136"/>
      <c r="I101" s="136"/>
      <c r="J101" s="136"/>
      <c r="K101" s="136"/>
      <c r="L101" s="136"/>
      <c r="M101" s="136"/>
      <c r="N101" s="145"/>
      <c r="O101" s="136"/>
      <c r="P101" s="145"/>
      <c r="Q101" s="145"/>
      <c r="R101" s="257"/>
      <c r="S101" s="136"/>
      <c r="T101" s="136"/>
      <c r="U101" s="136"/>
      <c r="V101" s="136"/>
      <c r="W101" s="136"/>
      <c r="X101" s="136"/>
      <c r="Y101" s="136"/>
      <c r="Z101" s="136"/>
      <c r="AA101" s="136"/>
      <c r="AB101" s="136"/>
      <c r="AC101" s="136"/>
      <c r="AD101" s="136"/>
      <c r="AE101" s="136"/>
      <c r="AF101" s="136"/>
      <c r="AG101" s="136"/>
      <c r="AH101" s="136"/>
      <c r="AI101" s="136"/>
      <c r="AJ101" s="136"/>
      <c r="AK101" s="136"/>
      <c r="AL101" s="136"/>
      <c r="AM101" s="136"/>
      <c r="AN101" s="136"/>
      <c r="AO101" s="136"/>
      <c r="AP101" s="136"/>
      <c r="AQ101" s="136"/>
      <c r="AR101" s="136"/>
      <c r="AS101" s="136"/>
      <c r="AT101" s="136"/>
      <c r="AU101" s="136"/>
      <c r="AV101" s="136"/>
      <c r="AW101" s="136"/>
      <c r="AX101" s="136"/>
      <c r="AY101" s="136"/>
      <c r="AZ101" s="136"/>
      <c r="BA101" s="136"/>
      <c r="BB101" s="136"/>
      <c r="BC101" s="136"/>
      <c r="BD101" s="136"/>
      <c r="BE101" s="136"/>
      <c r="BF101" s="136"/>
      <c r="BG101" s="136"/>
      <c r="BH101" s="136"/>
      <c r="BI101" s="136"/>
      <c r="BJ101" s="136"/>
      <c r="BK101" s="136"/>
      <c r="BL101" s="136"/>
      <c r="BM101" s="136"/>
      <c r="BN101" s="136"/>
      <c r="BO101" s="136"/>
      <c r="BP101" s="136"/>
      <c r="BQ101" s="136"/>
      <c r="BR101" s="136"/>
      <c r="BS101" s="136"/>
      <c r="BT101" s="136"/>
      <c r="BU101" s="136"/>
      <c r="BV101" s="136"/>
      <c r="BW101" s="136"/>
      <c r="BX101" s="136"/>
      <c r="BY101" s="136"/>
      <c r="BZ101" s="136"/>
      <c r="CA101" s="136"/>
      <c r="CB101" s="136"/>
      <c r="CC101" s="136"/>
      <c r="CD101" s="136"/>
      <c r="CE101" s="136"/>
      <c r="CF101" s="136"/>
      <c r="CG101" s="136"/>
      <c r="CH101" s="136"/>
      <c r="CI101" s="136"/>
      <c r="CJ101" s="136"/>
      <c r="CK101" s="136"/>
      <c r="CL101" s="136"/>
      <c r="CM101" s="136"/>
      <c r="CN101" s="136"/>
      <c r="CO101" s="136"/>
      <c r="CP101" s="136"/>
      <c r="CQ101" s="136"/>
      <c r="CR101" s="136"/>
      <c r="CS101" s="136"/>
      <c r="CT101" s="136"/>
      <c r="CU101" s="136"/>
      <c r="CV101" s="136"/>
      <c r="CW101" s="136"/>
      <c r="CX101" s="136"/>
      <c r="CY101" s="136"/>
      <c r="CZ101" s="136"/>
      <c r="DA101" s="136"/>
      <c r="DB101" s="136"/>
      <c r="DC101" s="136"/>
      <c r="DD101" s="136"/>
      <c r="DE101" s="136"/>
      <c r="DF101" s="136"/>
      <c r="DG101" s="136"/>
      <c r="DH101" s="136"/>
      <c r="DI101" s="136"/>
      <c r="DJ101" s="136"/>
      <c r="DK101" s="136"/>
      <c r="DL101" s="136"/>
    </row>
    <row r="102" spans="1:116">
      <c r="A102" s="136"/>
      <c r="B102" s="136"/>
      <c r="C102" s="136"/>
      <c r="D102" s="136"/>
      <c r="E102" s="136"/>
      <c r="F102" s="136"/>
      <c r="G102" s="136"/>
      <c r="H102" s="136"/>
      <c r="I102" s="136"/>
      <c r="J102" s="136"/>
      <c r="K102" s="136"/>
      <c r="L102" s="136"/>
      <c r="M102" s="136"/>
      <c r="N102" s="145"/>
      <c r="O102" s="136"/>
      <c r="P102" s="145"/>
      <c r="Q102" s="145"/>
      <c r="R102" s="257"/>
      <c r="S102" s="136"/>
      <c r="T102" s="136"/>
      <c r="U102" s="136"/>
      <c r="V102" s="136"/>
      <c r="W102" s="136"/>
      <c r="X102" s="136"/>
      <c r="Y102" s="136"/>
      <c r="Z102" s="136"/>
      <c r="AA102" s="136"/>
      <c r="AB102" s="136"/>
      <c r="AC102" s="136"/>
      <c r="AD102" s="136"/>
      <c r="AE102" s="136"/>
      <c r="AF102" s="136"/>
      <c r="AG102" s="136"/>
      <c r="AH102" s="136"/>
      <c r="AI102" s="136"/>
      <c r="AJ102" s="136"/>
      <c r="AK102" s="136"/>
      <c r="AL102" s="136"/>
      <c r="AM102" s="136"/>
      <c r="AN102" s="136"/>
      <c r="AO102" s="136"/>
      <c r="AP102" s="136"/>
      <c r="AQ102" s="136"/>
      <c r="AR102" s="136"/>
      <c r="AS102" s="136"/>
      <c r="AT102" s="136"/>
      <c r="AU102" s="136"/>
      <c r="AV102" s="136"/>
      <c r="AW102" s="136"/>
      <c r="AX102" s="136"/>
      <c r="AY102" s="136"/>
      <c r="AZ102" s="136"/>
      <c r="BA102" s="136"/>
      <c r="BB102" s="136"/>
      <c r="BC102" s="136"/>
      <c r="BD102" s="136"/>
      <c r="BE102" s="136"/>
      <c r="BF102" s="136"/>
      <c r="BG102" s="136"/>
      <c r="BH102" s="136"/>
      <c r="BI102" s="136"/>
      <c r="BJ102" s="136"/>
      <c r="BK102" s="136"/>
      <c r="BL102" s="136"/>
      <c r="BM102" s="136"/>
      <c r="BN102" s="136"/>
      <c r="BO102" s="136"/>
      <c r="BP102" s="136"/>
      <c r="BQ102" s="136"/>
      <c r="BR102" s="136"/>
      <c r="BS102" s="136"/>
      <c r="BT102" s="136"/>
      <c r="BU102" s="136"/>
      <c r="BV102" s="136"/>
      <c r="BW102" s="136"/>
      <c r="BX102" s="136"/>
      <c r="BY102" s="136"/>
      <c r="BZ102" s="136"/>
      <c r="CA102" s="136"/>
      <c r="CB102" s="136"/>
      <c r="CC102" s="136"/>
      <c r="CD102" s="136"/>
      <c r="CE102" s="136"/>
      <c r="CF102" s="136"/>
      <c r="CG102" s="136"/>
      <c r="CH102" s="136"/>
      <c r="CI102" s="136"/>
      <c r="CJ102" s="136"/>
      <c r="CK102" s="136"/>
      <c r="CL102" s="136"/>
      <c r="CM102" s="136"/>
      <c r="CN102" s="136"/>
      <c r="CO102" s="136"/>
      <c r="CP102" s="136"/>
      <c r="CQ102" s="136"/>
      <c r="CR102" s="136"/>
      <c r="CS102" s="136"/>
      <c r="CT102" s="136"/>
      <c r="CU102" s="136"/>
      <c r="CV102" s="136"/>
      <c r="CW102" s="136"/>
      <c r="CX102" s="136"/>
      <c r="CY102" s="136"/>
      <c r="CZ102" s="136"/>
      <c r="DA102" s="136"/>
      <c r="DB102" s="136"/>
      <c r="DC102" s="136"/>
      <c r="DD102" s="136"/>
      <c r="DE102" s="136"/>
      <c r="DF102" s="136"/>
      <c r="DG102" s="136"/>
      <c r="DH102" s="136"/>
      <c r="DI102" s="136"/>
      <c r="DJ102" s="136"/>
      <c r="DK102" s="136"/>
      <c r="DL102" s="136"/>
    </row>
    <row r="103" spans="1:116">
      <c r="A103" s="136"/>
      <c r="B103" s="136"/>
      <c r="C103" s="136"/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45"/>
      <c r="O103" s="136"/>
      <c r="P103" s="145"/>
      <c r="Q103" s="145"/>
      <c r="R103" s="257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  <c r="AY103" s="136"/>
      <c r="AZ103" s="136"/>
      <c r="BA103" s="136"/>
      <c r="BB103" s="136"/>
      <c r="BC103" s="136"/>
      <c r="BD103" s="136"/>
      <c r="BE103" s="136"/>
      <c r="BF103" s="136"/>
      <c r="BG103" s="136"/>
      <c r="BH103" s="136"/>
      <c r="BI103" s="136"/>
      <c r="BJ103" s="136"/>
      <c r="BK103" s="136"/>
      <c r="BL103" s="136"/>
      <c r="BM103" s="136"/>
      <c r="BN103" s="136"/>
      <c r="BO103" s="136"/>
      <c r="BP103" s="136"/>
      <c r="BQ103" s="136"/>
      <c r="BR103" s="136"/>
      <c r="BS103" s="136"/>
      <c r="BT103" s="136"/>
      <c r="BU103" s="136"/>
      <c r="BV103" s="136"/>
      <c r="BW103" s="136"/>
      <c r="BX103" s="136"/>
      <c r="BY103" s="136"/>
      <c r="BZ103" s="136"/>
      <c r="CA103" s="136"/>
      <c r="CB103" s="136"/>
      <c r="CC103" s="136"/>
      <c r="CD103" s="136"/>
      <c r="CE103" s="136"/>
      <c r="CF103" s="136"/>
      <c r="CG103" s="136"/>
      <c r="CH103" s="136"/>
      <c r="CI103" s="136"/>
      <c r="CJ103" s="136"/>
      <c r="CK103" s="136"/>
      <c r="CL103" s="136"/>
      <c r="CM103" s="136"/>
      <c r="CN103" s="136"/>
      <c r="CO103" s="136"/>
      <c r="CP103" s="136"/>
      <c r="CQ103" s="136"/>
      <c r="CR103" s="136"/>
      <c r="CS103" s="136"/>
      <c r="CT103" s="136"/>
      <c r="CU103" s="136"/>
      <c r="CV103" s="136"/>
      <c r="CW103" s="136"/>
      <c r="CX103" s="136"/>
      <c r="CY103" s="136"/>
      <c r="CZ103" s="136"/>
      <c r="DA103" s="136"/>
      <c r="DB103" s="136"/>
      <c r="DC103" s="136"/>
      <c r="DD103" s="136"/>
      <c r="DE103" s="136"/>
      <c r="DF103" s="136"/>
      <c r="DG103" s="136"/>
      <c r="DH103" s="136"/>
      <c r="DI103" s="136"/>
      <c r="DJ103" s="136"/>
      <c r="DK103" s="136"/>
      <c r="DL103" s="136"/>
    </row>
    <row r="104" spans="1:116">
      <c r="A104" s="136"/>
      <c r="B104" s="136"/>
      <c r="C104" s="136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45"/>
      <c r="O104" s="136"/>
      <c r="P104" s="145"/>
      <c r="Q104" s="145"/>
      <c r="R104" s="257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  <c r="AY104" s="136"/>
      <c r="AZ104" s="136"/>
      <c r="BA104" s="136"/>
      <c r="BB104" s="136"/>
      <c r="BC104" s="136"/>
      <c r="BD104" s="136"/>
      <c r="BE104" s="136"/>
      <c r="BF104" s="136"/>
      <c r="BG104" s="136"/>
      <c r="BH104" s="136"/>
      <c r="BI104" s="136"/>
      <c r="BJ104" s="136"/>
      <c r="BK104" s="136"/>
      <c r="BL104" s="136"/>
      <c r="BM104" s="136"/>
      <c r="BN104" s="136"/>
      <c r="BO104" s="136"/>
      <c r="BP104" s="136"/>
      <c r="BQ104" s="136"/>
      <c r="BR104" s="136"/>
      <c r="BS104" s="136"/>
      <c r="BT104" s="136"/>
      <c r="BU104" s="136"/>
      <c r="BV104" s="136"/>
      <c r="BW104" s="136"/>
      <c r="BX104" s="136"/>
      <c r="BY104" s="136"/>
      <c r="BZ104" s="136"/>
      <c r="CA104" s="136"/>
      <c r="CB104" s="136"/>
      <c r="CC104" s="136"/>
      <c r="CD104" s="136"/>
      <c r="CE104" s="136"/>
      <c r="CF104" s="136"/>
      <c r="CG104" s="136"/>
      <c r="CH104" s="136"/>
      <c r="CI104" s="136"/>
      <c r="CJ104" s="136"/>
      <c r="CK104" s="136"/>
      <c r="CL104" s="136"/>
      <c r="CM104" s="136"/>
      <c r="CN104" s="136"/>
      <c r="CO104" s="136"/>
      <c r="CP104" s="136"/>
      <c r="CQ104" s="136"/>
      <c r="CR104" s="136"/>
      <c r="CS104" s="136"/>
      <c r="CT104" s="136"/>
      <c r="CU104" s="136"/>
      <c r="CV104" s="136"/>
      <c r="CW104" s="136"/>
      <c r="CX104" s="136"/>
      <c r="CY104" s="136"/>
      <c r="CZ104" s="136"/>
      <c r="DA104" s="136"/>
      <c r="DB104" s="136"/>
      <c r="DC104" s="136"/>
      <c r="DD104" s="136"/>
      <c r="DE104" s="136"/>
      <c r="DF104" s="136"/>
      <c r="DG104" s="136"/>
      <c r="DH104" s="136"/>
      <c r="DI104" s="136"/>
      <c r="DJ104" s="136"/>
      <c r="DK104" s="136"/>
      <c r="DL104" s="136"/>
    </row>
    <row r="105" spans="1:116">
      <c r="A105" s="136"/>
      <c r="B105" s="136"/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45"/>
      <c r="O105" s="136"/>
      <c r="P105" s="145"/>
      <c r="Q105" s="145"/>
      <c r="R105" s="257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  <c r="AY105" s="136"/>
      <c r="AZ105" s="136"/>
      <c r="BA105" s="136"/>
      <c r="BB105" s="136"/>
      <c r="BC105" s="136"/>
      <c r="BD105" s="136"/>
      <c r="BE105" s="136"/>
      <c r="BF105" s="136"/>
      <c r="BG105" s="136"/>
      <c r="BH105" s="136"/>
      <c r="BI105" s="136"/>
      <c r="BJ105" s="136"/>
      <c r="BK105" s="136"/>
      <c r="BL105" s="136"/>
      <c r="BM105" s="136"/>
      <c r="BN105" s="136"/>
      <c r="BO105" s="136"/>
      <c r="BP105" s="136"/>
      <c r="BQ105" s="136"/>
      <c r="BR105" s="136"/>
      <c r="BS105" s="136"/>
      <c r="BT105" s="136"/>
      <c r="BU105" s="136"/>
      <c r="BV105" s="136"/>
      <c r="BW105" s="136"/>
      <c r="BX105" s="136"/>
      <c r="BY105" s="136"/>
      <c r="BZ105" s="136"/>
      <c r="CA105" s="136"/>
      <c r="CB105" s="136"/>
      <c r="CC105" s="136"/>
      <c r="CD105" s="136"/>
      <c r="CE105" s="136"/>
      <c r="CF105" s="136"/>
      <c r="CG105" s="136"/>
      <c r="CH105" s="136"/>
      <c r="CI105" s="136"/>
      <c r="CJ105" s="136"/>
      <c r="CK105" s="136"/>
      <c r="CL105" s="136"/>
      <c r="CM105" s="136"/>
      <c r="CN105" s="136"/>
      <c r="CO105" s="136"/>
      <c r="CP105" s="136"/>
      <c r="CQ105" s="136"/>
      <c r="CR105" s="136"/>
      <c r="CS105" s="136"/>
      <c r="CT105" s="136"/>
      <c r="CU105" s="136"/>
      <c r="CV105" s="136"/>
      <c r="CW105" s="136"/>
      <c r="CX105" s="136"/>
      <c r="CY105" s="136"/>
      <c r="CZ105" s="136"/>
      <c r="DA105" s="136"/>
      <c r="DB105" s="136"/>
      <c r="DC105" s="136"/>
      <c r="DD105" s="136"/>
      <c r="DE105" s="136"/>
      <c r="DF105" s="136"/>
      <c r="DG105" s="136"/>
      <c r="DH105" s="136"/>
      <c r="DI105" s="136"/>
      <c r="DJ105" s="136"/>
      <c r="DK105" s="136"/>
      <c r="DL105" s="136"/>
    </row>
    <row r="106" spans="1:116">
      <c r="A106" s="136"/>
      <c r="B106" s="136"/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45"/>
      <c r="O106" s="136"/>
      <c r="P106" s="145"/>
      <c r="Q106" s="145"/>
      <c r="R106" s="257"/>
      <c r="S106" s="136"/>
      <c r="T106" s="136"/>
      <c r="U106" s="136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136"/>
      <c r="AG106" s="136"/>
      <c r="AH106" s="136"/>
      <c r="AI106" s="136"/>
      <c r="AJ106" s="136"/>
      <c r="AK106" s="136"/>
      <c r="AL106" s="136"/>
      <c r="AM106" s="136"/>
      <c r="AN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  <c r="AY106" s="136"/>
      <c r="AZ106" s="136"/>
      <c r="BA106" s="136"/>
      <c r="BB106" s="136"/>
      <c r="BC106" s="136"/>
      <c r="BD106" s="136"/>
      <c r="BE106" s="136"/>
      <c r="BF106" s="136"/>
      <c r="BG106" s="136"/>
      <c r="BH106" s="136"/>
      <c r="BI106" s="136"/>
      <c r="BJ106" s="136"/>
      <c r="BK106" s="136"/>
      <c r="BL106" s="136"/>
      <c r="BM106" s="136"/>
      <c r="BN106" s="136"/>
      <c r="BO106" s="136"/>
      <c r="BP106" s="136"/>
      <c r="BQ106" s="136"/>
      <c r="BR106" s="136"/>
      <c r="BS106" s="136"/>
      <c r="BT106" s="136"/>
      <c r="BU106" s="136"/>
      <c r="BV106" s="136"/>
      <c r="BW106" s="136"/>
      <c r="BX106" s="136"/>
      <c r="BY106" s="136"/>
      <c r="BZ106" s="136"/>
      <c r="CA106" s="136"/>
      <c r="CB106" s="136"/>
      <c r="CC106" s="136"/>
      <c r="CD106" s="136"/>
      <c r="CE106" s="136"/>
      <c r="CF106" s="136"/>
      <c r="CG106" s="136"/>
      <c r="CH106" s="136"/>
      <c r="CI106" s="136"/>
      <c r="CJ106" s="136"/>
      <c r="CK106" s="136"/>
      <c r="CL106" s="136"/>
      <c r="CM106" s="136"/>
      <c r="CN106" s="136"/>
      <c r="CO106" s="136"/>
      <c r="CP106" s="136"/>
      <c r="CQ106" s="136"/>
      <c r="CR106" s="136"/>
      <c r="CS106" s="136"/>
      <c r="CT106" s="136"/>
      <c r="CU106" s="136"/>
      <c r="CV106" s="136"/>
      <c r="CW106" s="136"/>
      <c r="CX106" s="136"/>
      <c r="CY106" s="136"/>
      <c r="CZ106" s="136"/>
      <c r="DA106" s="136"/>
      <c r="DB106" s="136"/>
      <c r="DC106" s="136"/>
      <c r="DD106" s="136"/>
      <c r="DE106" s="136"/>
      <c r="DF106" s="136"/>
      <c r="DG106" s="136"/>
      <c r="DH106" s="136"/>
      <c r="DI106" s="136"/>
      <c r="DJ106" s="136"/>
      <c r="DK106" s="136"/>
      <c r="DL106" s="136"/>
    </row>
    <row r="107" spans="1:116">
      <c r="A107" s="136"/>
      <c r="B107" s="136"/>
      <c r="C107" s="136"/>
      <c r="D107" s="136"/>
      <c r="E107" s="136"/>
      <c r="F107" s="136"/>
      <c r="G107" s="136"/>
      <c r="H107" s="136"/>
      <c r="I107" s="136"/>
      <c r="J107" s="136"/>
      <c r="K107" s="136"/>
      <c r="L107" s="136"/>
      <c r="M107" s="136"/>
      <c r="N107" s="145"/>
      <c r="O107" s="136"/>
      <c r="P107" s="145"/>
      <c r="Q107" s="145"/>
      <c r="R107" s="257"/>
      <c r="S107" s="136"/>
      <c r="T107" s="136"/>
      <c r="U107" s="136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136"/>
      <c r="AG107" s="136"/>
      <c r="AH107" s="136"/>
      <c r="AI107" s="136"/>
      <c r="AJ107" s="136"/>
      <c r="AK107" s="136"/>
      <c r="AL107" s="136"/>
      <c r="AM107" s="136"/>
      <c r="AN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  <c r="AY107" s="136"/>
      <c r="AZ107" s="136"/>
      <c r="BA107" s="136"/>
      <c r="BB107" s="136"/>
      <c r="BC107" s="136"/>
      <c r="BD107" s="136"/>
      <c r="BE107" s="136"/>
      <c r="BF107" s="136"/>
      <c r="BG107" s="136"/>
      <c r="BH107" s="136"/>
      <c r="BI107" s="136"/>
      <c r="BJ107" s="136"/>
      <c r="BK107" s="136"/>
      <c r="BL107" s="136"/>
      <c r="BM107" s="136"/>
      <c r="BN107" s="136"/>
      <c r="BO107" s="136"/>
      <c r="BP107" s="136"/>
      <c r="BQ107" s="136"/>
      <c r="BR107" s="136"/>
      <c r="BS107" s="136"/>
      <c r="BT107" s="136"/>
      <c r="BU107" s="136"/>
      <c r="BV107" s="136"/>
      <c r="BW107" s="136"/>
      <c r="BX107" s="136"/>
      <c r="BY107" s="136"/>
      <c r="BZ107" s="136"/>
      <c r="CA107" s="136"/>
      <c r="CB107" s="136"/>
      <c r="CC107" s="136"/>
      <c r="CD107" s="136"/>
      <c r="CE107" s="136"/>
      <c r="CF107" s="136"/>
      <c r="CG107" s="136"/>
      <c r="CH107" s="136"/>
      <c r="CI107" s="136"/>
      <c r="CJ107" s="136"/>
      <c r="CK107" s="136"/>
      <c r="CL107" s="136"/>
      <c r="CM107" s="136"/>
      <c r="CN107" s="136"/>
      <c r="CO107" s="136"/>
      <c r="CP107" s="136"/>
      <c r="CQ107" s="136"/>
      <c r="CR107" s="136"/>
      <c r="CS107" s="136"/>
      <c r="CT107" s="136"/>
      <c r="CU107" s="136"/>
      <c r="CV107" s="136"/>
      <c r="CW107" s="136"/>
      <c r="CX107" s="136"/>
      <c r="CY107" s="136"/>
      <c r="CZ107" s="136"/>
      <c r="DA107" s="136"/>
      <c r="DB107" s="136"/>
      <c r="DC107" s="136"/>
      <c r="DD107" s="136"/>
      <c r="DE107" s="136"/>
      <c r="DF107" s="136"/>
      <c r="DG107" s="136"/>
      <c r="DH107" s="136"/>
      <c r="DI107" s="136"/>
      <c r="DJ107" s="136"/>
      <c r="DK107" s="136"/>
      <c r="DL107" s="136"/>
    </row>
    <row r="108" spans="1:116">
      <c r="A108" s="136"/>
      <c r="B108" s="136"/>
      <c r="C108" s="136"/>
      <c r="D108" s="136"/>
      <c r="E108" s="136"/>
      <c r="F108" s="136"/>
      <c r="G108" s="136"/>
      <c r="H108" s="136"/>
      <c r="I108" s="136"/>
      <c r="J108" s="136"/>
      <c r="K108" s="136"/>
      <c r="L108" s="136"/>
      <c r="M108" s="136"/>
      <c r="N108" s="145"/>
      <c r="O108" s="136"/>
      <c r="P108" s="145"/>
      <c r="Q108" s="145"/>
      <c r="R108" s="257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  <c r="AH108" s="136"/>
      <c r="AI108" s="136"/>
      <c r="AJ108" s="136"/>
      <c r="AK108" s="136"/>
      <c r="AL108" s="136"/>
      <c r="AM108" s="136"/>
      <c r="AN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  <c r="AY108" s="136"/>
      <c r="AZ108" s="136"/>
      <c r="BA108" s="136"/>
      <c r="BB108" s="136"/>
      <c r="BC108" s="136"/>
      <c r="BD108" s="136"/>
      <c r="BE108" s="136"/>
      <c r="BF108" s="136"/>
      <c r="BG108" s="136"/>
      <c r="BH108" s="136"/>
      <c r="BI108" s="136"/>
      <c r="BJ108" s="136"/>
      <c r="BK108" s="136"/>
      <c r="BL108" s="136"/>
      <c r="BM108" s="136"/>
      <c r="BN108" s="136"/>
      <c r="BO108" s="136"/>
      <c r="BP108" s="136"/>
      <c r="BQ108" s="136"/>
      <c r="BR108" s="136"/>
      <c r="BS108" s="136"/>
      <c r="BT108" s="136"/>
      <c r="BU108" s="136"/>
      <c r="BV108" s="136"/>
      <c r="BW108" s="136"/>
      <c r="BX108" s="136"/>
      <c r="BY108" s="136"/>
      <c r="BZ108" s="136"/>
      <c r="CA108" s="136"/>
      <c r="CB108" s="136"/>
      <c r="CC108" s="136"/>
      <c r="CD108" s="136"/>
      <c r="CE108" s="136"/>
      <c r="CF108" s="136"/>
      <c r="CG108" s="136"/>
      <c r="CH108" s="136"/>
      <c r="CI108" s="136"/>
      <c r="CJ108" s="136"/>
      <c r="CK108" s="136"/>
      <c r="CL108" s="136"/>
      <c r="CM108" s="136"/>
      <c r="CN108" s="136"/>
      <c r="CO108" s="136"/>
      <c r="CP108" s="136"/>
      <c r="CQ108" s="136"/>
      <c r="CR108" s="136"/>
      <c r="CS108" s="136"/>
      <c r="CT108" s="136"/>
      <c r="CU108" s="136"/>
      <c r="CV108" s="136"/>
      <c r="CW108" s="136"/>
      <c r="CX108" s="136"/>
      <c r="CY108" s="136"/>
      <c r="CZ108" s="136"/>
      <c r="DA108" s="136"/>
      <c r="DB108" s="136"/>
      <c r="DC108" s="136"/>
      <c r="DD108" s="136"/>
      <c r="DE108" s="136"/>
      <c r="DF108" s="136"/>
      <c r="DG108" s="136"/>
      <c r="DH108" s="136"/>
      <c r="DI108" s="136"/>
      <c r="DJ108" s="136"/>
      <c r="DK108" s="136"/>
      <c r="DL108" s="136"/>
    </row>
    <row r="109" spans="1:116">
      <c r="A109" s="136"/>
      <c r="B109" s="136"/>
      <c r="C109" s="136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45"/>
      <c r="O109" s="136"/>
      <c r="P109" s="145"/>
      <c r="Q109" s="145"/>
      <c r="R109" s="257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136"/>
      <c r="AG109" s="136"/>
      <c r="AH109" s="136"/>
      <c r="AI109" s="136"/>
      <c r="AJ109" s="136"/>
      <c r="AK109" s="136"/>
      <c r="AL109" s="136"/>
      <c r="AM109" s="136"/>
      <c r="AN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  <c r="AY109" s="136"/>
      <c r="AZ109" s="136"/>
      <c r="BA109" s="136"/>
      <c r="BB109" s="136"/>
      <c r="BC109" s="136"/>
      <c r="BD109" s="136"/>
      <c r="BE109" s="136"/>
      <c r="BF109" s="136"/>
      <c r="BG109" s="136"/>
      <c r="BH109" s="136"/>
      <c r="BI109" s="136"/>
      <c r="BJ109" s="136"/>
      <c r="BK109" s="136"/>
      <c r="BL109" s="136"/>
      <c r="BM109" s="136"/>
      <c r="BN109" s="136"/>
      <c r="BO109" s="136"/>
      <c r="BP109" s="136"/>
      <c r="BQ109" s="136"/>
      <c r="BR109" s="136"/>
      <c r="BS109" s="136"/>
      <c r="BT109" s="136"/>
      <c r="BU109" s="136"/>
      <c r="BV109" s="136"/>
      <c r="BW109" s="136"/>
      <c r="BX109" s="136"/>
      <c r="BY109" s="136"/>
      <c r="BZ109" s="136"/>
      <c r="CA109" s="136"/>
      <c r="CB109" s="136"/>
      <c r="CC109" s="136"/>
      <c r="CD109" s="136"/>
      <c r="CE109" s="136"/>
      <c r="CF109" s="136"/>
      <c r="CG109" s="136"/>
      <c r="CH109" s="136"/>
      <c r="CI109" s="136"/>
      <c r="CJ109" s="136"/>
      <c r="CK109" s="136"/>
      <c r="CL109" s="136"/>
      <c r="CM109" s="136"/>
      <c r="CN109" s="136"/>
      <c r="CO109" s="136"/>
      <c r="CP109" s="136"/>
      <c r="CQ109" s="136"/>
      <c r="CR109" s="136"/>
      <c r="CS109" s="136"/>
      <c r="CT109" s="136"/>
      <c r="CU109" s="136"/>
      <c r="CV109" s="136"/>
      <c r="CW109" s="136"/>
      <c r="CX109" s="136"/>
      <c r="CY109" s="136"/>
      <c r="CZ109" s="136"/>
      <c r="DA109" s="136"/>
      <c r="DB109" s="136"/>
      <c r="DC109" s="136"/>
      <c r="DD109" s="136"/>
      <c r="DE109" s="136"/>
      <c r="DF109" s="136"/>
      <c r="DG109" s="136"/>
      <c r="DH109" s="136"/>
      <c r="DI109" s="136"/>
      <c r="DJ109" s="136"/>
      <c r="DK109" s="136"/>
      <c r="DL109" s="136"/>
    </row>
    <row r="110" spans="1:116">
      <c r="A110" s="136"/>
      <c r="B110" s="136"/>
      <c r="C110" s="136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45"/>
      <c r="O110" s="136"/>
      <c r="P110" s="145"/>
      <c r="Q110" s="145"/>
      <c r="R110" s="257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  <c r="AH110" s="136"/>
      <c r="AI110" s="136"/>
      <c r="AJ110" s="136"/>
      <c r="AK110" s="136"/>
      <c r="AL110" s="136"/>
      <c r="AM110" s="136"/>
      <c r="AN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  <c r="AY110" s="136"/>
      <c r="AZ110" s="136"/>
      <c r="BA110" s="136"/>
      <c r="BB110" s="136"/>
      <c r="BC110" s="136"/>
      <c r="BD110" s="136"/>
      <c r="BE110" s="136"/>
      <c r="BF110" s="136"/>
      <c r="BG110" s="136"/>
      <c r="BH110" s="136"/>
      <c r="BI110" s="136"/>
      <c r="BJ110" s="136"/>
      <c r="BK110" s="136"/>
      <c r="BL110" s="136"/>
      <c r="BM110" s="136"/>
      <c r="BN110" s="136"/>
      <c r="BO110" s="136"/>
      <c r="BP110" s="136"/>
      <c r="BQ110" s="136"/>
      <c r="BR110" s="136"/>
      <c r="BS110" s="136"/>
      <c r="BT110" s="136"/>
      <c r="BU110" s="136"/>
      <c r="BV110" s="136"/>
      <c r="BW110" s="136"/>
      <c r="BX110" s="136"/>
      <c r="BY110" s="136"/>
      <c r="BZ110" s="136"/>
      <c r="CA110" s="136"/>
      <c r="CB110" s="136"/>
      <c r="CC110" s="136"/>
      <c r="CD110" s="136"/>
      <c r="CE110" s="136"/>
      <c r="CF110" s="136"/>
      <c r="CG110" s="136"/>
      <c r="CH110" s="136"/>
      <c r="CI110" s="136"/>
      <c r="CJ110" s="136"/>
      <c r="CK110" s="136"/>
      <c r="CL110" s="136"/>
      <c r="CM110" s="136"/>
      <c r="CN110" s="136"/>
      <c r="CO110" s="136"/>
      <c r="CP110" s="136"/>
      <c r="CQ110" s="136"/>
      <c r="CR110" s="136"/>
      <c r="CS110" s="136"/>
      <c r="CT110" s="136"/>
      <c r="CU110" s="136"/>
      <c r="CV110" s="136"/>
      <c r="CW110" s="136"/>
      <c r="CX110" s="136"/>
      <c r="CY110" s="136"/>
      <c r="CZ110" s="136"/>
      <c r="DA110" s="136"/>
      <c r="DB110" s="136"/>
      <c r="DC110" s="136"/>
      <c r="DD110" s="136"/>
      <c r="DE110" s="136"/>
      <c r="DF110" s="136"/>
      <c r="DG110" s="136"/>
      <c r="DH110" s="136"/>
      <c r="DI110" s="136"/>
      <c r="DJ110" s="136"/>
      <c r="DK110" s="136"/>
      <c r="DL110" s="136"/>
    </row>
    <row r="111" spans="1:116">
      <c r="A111" s="136"/>
      <c r="B111" s="136"/>
      <c r="C111" s="136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45"/>
      <c r="O111" s="136"/>
      <c r="P111" s="145"/>
      <c r="Q111" s="145"/>
      <c r="R111" s="257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136"/>
      <c r="AG111" s="136"/>
      <c r="AH111" s="136"/>
      <c r="AI111" s="136"/>
      <c r="AJ111" s="136"/>
      <c r="AK111" s="136"/>
      <c r="AL111" s="136"/>
      <c r="AM111" s="136"/>
      <c r="AN111" s="136"/>
      <c r="AO111" s="136"/>
      <c r="AP111" s="136"/>
      <c r="AQ111" s="136"/>
      <c r="AR111" s="136"/>
      <c r="AS111" s="136"/>
      <c r="AT111" s="136"/>
      <c r="AU111" s="136"/>
      <c r="AV111" s="136"/>
      <c r="AW111" s="136"/>
      <c r="AX111" s="136"/>
      <c r="AY111" s="136"/>
      <c r="AZ111" s="136"/>
      <c r="BA111" s="136"/>
      <c r="BB111" s="136"/>
      <c r="BC111" s="136"/>
      <c r="BD111" s="136"/>
      <c r="BE111" s="136"/>
      <c r="BF111" s="136"/>
      <c r="BG111" s="136"/>
      <c r="BH111" s="136"/>
      <c r="BI111" s="136"/>
      <c r="BJ111" s="136"/>
      <c r="BK111" s="136"/>
      <c r="BL111" s="136"/>
      <c r="BM111" s="136"/>
      <c r="BN111" s="136"/>
      <c r="BO111" s="136"/>
      <c r="BP111" s="136"/>
      <c r="BQ111" s="136"/>
      <c r="BR111" s="136"/>
      <c r="BS111" s="136"/>
      <c r="BT111" s="136"/>
      <c r="BU111" s="136"/>
      <c r="BV111" s="136"/>
      <c r="BW111" s="136"/>
      <c r="BX111" s="136"/>
      <c r="BY111" s="136"/>
      <c r="BZ111" s="136"/>
      <c r="CA111" s="136"/>
      <c r="CB111" s="136"/>
      <c r="CC111" s="136"/>
      <c r="CD111" s="136"/>
      <c r="CE111" s="136"/>
      <c r="CF111" s="136"/>
      <c r="CG111" s="136"/>
      <c r="CH111" s="136"/>
      <c r="CI111" s="136"/>
      <c r="CJ111" s="136"/>
      <c r="CK111" s="136"/>
      <c r="CL111" s="136"/>
      <c r="CM111" s="136"/>
      <c r="CN111" s="136"/>
      <c r="CO111" s="136"/>
      <c r="CP111" s="136"/>
      <c r="CQ111" s="136"/>
      <c r="CR111" s="136"/>
      <c r="CS111" s="136"/>
      <c r="CT111" s="136"/>
      <c r="CU111" s="136"/>
      <c r="CV111" s="136"/>
      <c r="CW111" s="136"/>
      <c r="CX111" s="136"/>
      <c r="CY111" s="136"/>
      <c r="CZ111" s="136"/>
      <c r="DA111" s="136"/>
      <c r="DB111" s="136"/>
      <c r="DC111" s="136"/>
      <c r="DD111" s="136"/>
      <c r="DE111" s="136"/>
      <c r="DF111" s="136"/>
      <c r="DG111" s="136"/>
      <c r="DH111" s="136"/>
      <c r="DI111" s="136"/>
      <c r="DJ111" s="136"/>
      <c r="DK111" s="136"/>
      <c r="DL111" s="136"/>
    </row>
    <row r="112" spans="1:116">
      <c r="A112" s="136"/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45"/>
      <c r="O112" s="136"/>
      <c r="P112" s="145"/>
      <c r="Q112" s="145"/>
      <c r="R112" s="257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136"/>
      <c r="AG112" s="136"/>
      <c r="AH112" s="136"/>
      <c r="AI112" s="136"/>
      <c r="AJ112" s="136"/>
      <c r="AK112" s="136"/>
      <c r="AL112" s="136"/>
      <c r="AM112" s="136"/>
      <c r="AN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  <c r="AY112" s="136"/>
      <c r="AZ112" s="136"/>
      <c r="BA112" s="136"/>
      <c r="BB112" s="136"/>
      <c r="BC112" s="136"/>
      <c r="BD112" s="136"/>
      <c r="BE112" s="136"/>
      <c r="BF112" s="136"/>
      <c r="BG112" s="136"/>
      <c r="BH112" s="136"/>
      <c r="BI112" s="136"/>
      <c r="BJ112" s="136"/>
      <c r="BK112" s="136"/>
      <c r="BL112" s="136"/>
      <c r="BM112" s="136"/>
      <c r="BN112" s="136"/>
      <c r="BO112" s="136"/>
      <c r="BP112" s="136"/>
      <c r="BQ112" s="136"/>
      <c r="BR112" s="136"/>
      <c r="BS112" s="136"/>
      <c r="BT112" s="136"/>
      <c r="BU112" s="136"/>
      <c r="BV112" s="136"/>
      <c r="BW112" s="136"/>
      <c r="BX112" s="136"/>
      <c r="BY112" s="136"/>
      <c r="BZ112" s="136"/>
      <c r="CA112" s="136"/>
      <c r="CB112" s="136"/>
      <c r="CC112" s="136"/>
      <c r="CD112" s="136"/>
      <c r="CE112" s="136"/>
      <c r="CF112" s="136"/>
      <c r="CG112" s="136"/>
      <c r="CH112" s="136"/>
      <c r="CI112" s="136"/>
      <c r="CJ112" s="136"/>
      <c r="CK112" s="136"/>
      <c r="CL112" s="136"/>
      <c r="CM112" s="136"/>
      <c r="CN112" s="136"/>
      <c r="CO112" s="136"/>
      <c r="CP112" s="136"/>
      <c r="CQ112" s="136"/>
      <c r="CR112" s="136"/>
      <c r="CS112" s="136"/>
      <c r="CT112" s="136"/>
      <c r="CU112" s="136"/>
      <c r="CV112" s="136"/>
      <c r="CW112" s="136"/>
      <c r="CX112" s="136"/>
      <c r="CY112" s="136"/>
      <c r="CZ112" s="136"/>
      <c r="DA112" s="136"/>
      <c r="DB112" s="136"/>
      <c r="DC112" s="136"/>
      <c r="DD112" s="136"/>
      <c r="DE112" s="136"/>
      <c r="DF112" s="136"/>
      <c r="DG112" s="136"/>
      <c r="DH112" s="136"/>
      <c r="DI112" s="136"/>
      <c r="DJ112" s="136"/>
      <c r="DK112" s="136"/>
      <c r="DL112" s="136"/>
    </row>
    <row r="113" spans="1:116">
      <c r="A113" s="136"/>
      <c r="B113" s="136"/>
      <c r="C113" s="136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45"/>
      <c r="O113" s="136"/>
      <c r="P113" s="145"/>
      <c r="Q113" s="145"/>
      <c r="R113" s="257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136"/>
      <c r="AG113" s="136"/>
      <c r="AH113" s="136"/>
      <c r="AI113" s="136"/>
      <c r="AJ113" s="136"/>
      <c r="AK113" s="136"/>
      <c r="AL113" s="136"/>
      <c r="AM113" s="136"/>
      <c r="AN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  <c r="AY113" s="136"/>
      <c r="AZ113" s="136"/>
      <c r="BA113" s="136"/>
      <c r="BB113" s="136"/>
      <c r="BC113" s="136"/>
      <c r="BD113" s="136"/>
      <c r="BE113" s="136"/>
      <c r="BF113" s="136"/>
      <c r="BG113" s="136"/>
      <c r="BH113" s="136"/>
      <c r="BI113" s="136"/>
      <c r="BJ113" s="136"/>
      <c r="BK113" s="136"/>
      <c r="BL113" s="136"/>
      <c r="BM113" s="136"/>
      <c r="BN113" s="136"/>
      <c r="BO113" s="136"/>
      <c r="BP113" s="136"/>
      <c r="BQ113" s="136"/>
      <c r="BR113" s="136"/>
      <c r="BS113" s="136"/>
      <c r="BT113" s="136"/>
      <c r="BU113" s="136"/>
      <c r="BV113" s="136"/>
      <c r="BW113" s="136"/>
      <c r="BX113" s="136"/>
      <c r="BY113" s="136"/>
      <c r="BZ113" s="136"/>
      <c r="CA113" s="136"/>
      <c r="CB113" s="136"/>
      <c r="CC113" s="136"/>
      <c r="CD113" s="136"/>
      <c r="CE113" s="136"/>
      <c r="CF113" s="136"/>
      <c r="CG113" s="136"/>
      <c r="CH113" s="136"/>
      <c r="CI113" s="136"/>
      <c r="CJ113" s="136"/>
      <c r="CK113" s="136"/>
      <c r="CL113" s="136"/>
      <c r="CM113" s="136"/>
      <c r="CN113" s="136"/>
      <c r="CO113" s="136"/>
      <c r="CP113" s="136"/>
      <c r="CQ113" s="136"/>
      <c r="CR113" s="136"/>
      <c r="CS113" s="136"/>
      <c r="CT113" s="136"/>
      <c r="CU113" s="136"/>
      <c r="CV113" s="136"/>
      <c r="CW113" s="136"/>
      <c r="CX113" s="136"/>
      <c r="CY113" s="136"/>
      <c r="CZ113" s="136"/>
      <c r="DA113" s="136"/>
      <c r="DB113" s="136"/>
      <c r="DC113" s="136"/>
      <c r="DD113" s="136"/>
      <c r="DE113" s="136"/>
      <c r="DF113" s="136"/>
      <c r="DG113" s="136"/>
      <c r="DH113" s="136"/>
      <c r="DI113" s="136"/>
      <c r="DJ113" s="136"/>
      <c r="DK113" s="136"/>
      <c r="DL113" s="136"/>
    </row>
    <row r="114" spans="1:116">
      <c r="A114" s="136"/>
      <c r="B114" s="136"/>
      <c r="C114" s="136"/>
      <c r="D114" s="136"/>
      <c r="E114" s="136"/>
      <c r="F114" s="136"/>
      <c r="G114" s="136"/>
      <c r="H114" s="136"/>
      <c r="I114" s="136"/>
      <c r="J114" s="136"/>
      <c r="K114" s="136"/>
      <c r="L114" s="136"/>
      <c r="M114" s="136"/>
      <c r="N114" s="145"/>
      <c r="O114" s="136"/>
      <c r="P114" s="145"/>
      <c r="Q114" s="145"/>
      <c r="R114" s="257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136"/>
      <c r="AG114" s="136"/>
      <c r="AH114" s="136"/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  <c r="AY114" s="136"/>
      <c r="AZ114" s="136"/>
      <c r="BA114" s="136"/>
      <c r="BB114" s="136"/>
      <c r="BC114" s="136"/>
      <c r="BD114" s="136"/>
      <c r="BE114" s="136"/>
      <c r="BF114" s="136"/>
      <c r="BG114" s="136"/>
      <c r="BH114" s="136"/>
      <c r="BI114" s="136"/>
      <c r="BJ114" s="136"/>
      <c r="BK114" s="136"/>
      <c r="BL114" s="136"/>
      <c r="BM114" s="136"/>
      <c r="BN114" s="136"/>
      <c r="BO114" s="136"/>
      <c r="BP114" s="136"/>
      <c r="BQ114" s="136"/>
      <c r="BR114" s="136"/>
      <c r="BS114" s="136"/>
      <c r="BT114" s="136"/>
      <c r="BU114" s="136"/>
      <c r="BV114" s="136"/>
      <c r="BW114" s="136"/>
      <c r="BX114" s="136"/>
      <c r="BY114" s="136"/>
      <c r="BZ114" s="136"/>
      <c r="CA114" s="136"/>
      <c r="CB114" s="136"/>
      <c r="CC114" s="136"/>
      <c r="CD114" s="136"/>
      <c r="CE114" s="136"/>
      <c r="CF114" s="136"/>
      <c r="CG114" s="136"/>
      <c r="CH114" s="136"/>
      <c r="CI114" s="136"/>
      <c r="CJ114" s="136"/>
      <c r="CK114" s="136"/>
      <c r="CL114" s="136"/>
      <c r="CM114" s="136"/>
      <c r="CN114" s="136"/>
      <c r="CO114" s="136"/>
      <c r="CP114" s="136"/>
      <c r="CQ114" s="136"/>
      <c r="CR114" s="136"/>
      <c r="CS114" s="136"/>
      <c r="CT114" s="136"/>
      <c r="CU114" s="136"/>
      <c r="CV114" s="136"/>
      <c r="CW114" s="136"/>
      <c r="CX114" s="136"/>
      <c r="CY114" s="136"/>
      <c r="CZ114" s="136"/>
      <c r="DA114" s="136"/>
      <c r="DB114" s="136"/>
      <c r="DC114" s="136"/>
      <c r="DD114" s="136"/>
      <c r="DE114" s="136"/>
      <c r="DF114" s="136"/>
      <c r="DG114" s="136"/>
      <c r="DH114" s="136"/>
      <c r="DI114" s="136"/>
      <c r="DJ114" s="136"/>
      <c r="DK114" s="136"/>
      <c r="DL114" s="136"/>
    </row>
    <row r="115" spans="1:116">
      <c r="A115" s="136"/>
      <c r="B115" s="136"/>
      <c r="C115" s="136"/>
      <c r="D115" s="136"/>
      <c r="E115" s="136"/>
      <c r="F115" s="136"/>
      <c r="G115" s="136"/>
      <c r="H115" s="136"/>
      <c r="I115" s="136"/>
      <c r="J115" s="136"/>
      <c r="K115" s="136"/>
      <c r="L115" s="136"/>
      <c r="M115" s="136"/>
      <c r="N115" s="145"/>
      <c r="O115" s="136"/>
      <c r="P115" s="145"/>
      <c r="Q115" s="145"/>
      <c r="R115" s="257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136"/>
      <c r="AG115" s="136"/>
      <c r="AH115" s="136"/>
      <c r="AI115" s="136"/>
      <c r="AJ115" s="136"/>
      <c r="AK115" s="136"/>
      <c r="AL115" s="136"/>
      <c r="AM115" s="136"/>
      <c r="AN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  <c r="AY115" s="136"/>
      <c r="AZ115" s="136"/>
      <c r="BA115" s="136"/>
      <c r="BB115" s="136"/>
      <c r="BC115" s="136"/>
      <c r="BD115" s="136"/>
      <c r="BE115" s="136"/>
      <c r="BF115" s="136"/>
      <c r="BG115" s="136"/>
      <c r="BH115" s="136"/>
      <c r="BI115" s="136"/>
      <c r="BJ115" s="136"/>
      <c r="BK115" s="136"/>
      <c r="BL115" s="136"/>
      <c r="BM115" s="136"/>
      <c r="BN115" s="136"/>
      <c r="BO115" s="136"/>
      <c r="BP115" s="136"/>
      <c r="BQ115" s="136"/>
      <c r="BR115" s="136"/>
      <c r="BS115" s="136"/>
      <c r="BT115" s="136"/>
      <c r="BU115" s="136"/>
      <c r="BV115" s="136"/>
      <c r="BW115" s="136"/>
      <c r="BX115" s="136"/>
      <c r="BY115" s="136"/>
      <c r="BZ115" s="136"/>
      <c r="CA115" s="136"/>
      <c r="CB115" s="136"/>
      <c r="CC115" s="136"/>
      <c r="CD115" s="136"/>
      <c r="CE115" s="136"/>
      <c r="CF115" s="136"/>
      <c r="CG115" s="136"/>
      <c r="CH115" s="136"/>
      <c r="CI115" s="136"/>
      <c r="CJ115" s="136"/>
      <c r="CK115" s="136"/>
      <c r="CL115" s="136"/>
      <c r="CM115" s="136"/>
      <c r="CN115" s="136"/>
      <c r="CO115" s="136"/>
      <c r="CP115" s="136"/>
      <c r="CQ115" s="136"/>
      <c r="CR115" s="136"/>
      <c r="CS115" s="136"/>
      <c r="CT115" s="136"/>
      <c r="CU115" s="136"/>
      <c r="CV115" s="136"/>
      <c r="CW115" s="136"/>
      <c r="CX115" s="136"/>
      <c r="CY115" s="136"/>
      <c r="CZ115" s="136"/>
      <c r="DA115" s="136"/>
      <c r="DB115" s="136"/>
      <c r="DC115" s="136"/>
      <c r="DD115" s="136"/>
      <c r="DE115" s="136"/>
      <c r="DF115" s="136"/>
      <c r="DG115" s="136"/>
      <c r="DH115" s="136"/>
      <c r="DI115" s="136"/>
      <c r="DJ115" s="136"/>
      <c r="DK115" s="136"/>
      <c r="DL115" s="136"/>
    </row>
    <row r="116" spans="1:116">
      <c r="A116" s="136"/>
      <c r="B116" s="136"/>
      <c r="C116" s="136"/>
      <c r="D116" s="136"/>
      <c r="E116" s="136"/>
      <c r="F116" s="136"/>
      <c r="G116" s="136"/>
      <c r="H116" s="136"/>
      <c r="I116" s="136"/>
      <c r="J116" s="136"/>
      <c r="K116" s="136"/>
      <c r="L116" s="136"/>
      <c r="M116" s="136"/>
      <c r="N116" s="145"/>
      <c r="O116" s="136"/>
      <c r="P116" s="145"/>
      <c r="Q116" s="145"/>
      <c r="R116" s="257"/>
      <c r="S116" s="136"/>
      <c r="T116" s="136"/>
      <c r="U116" s="136"/>
      <c r="V116" s="136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136"/>
      <c r="AG116" s="136"/>
      <c r="AH116" s="136"/>
      <c r="AI116" s="136"/>
      <c r="AJ116" s="136"/>
      <c r="AK116" s="136"/>
      <c r="AL116" s="136"/>
      <c r="AM116" s="136"/>
      <c r="AN116" s="136"/>
      <c r="AO116" s="136"/>
      <c r="AP116" s="136"/>
      <c r="AQ116" s="136"/>
      <c r="AR116" s="136"/>
      <c r="AS116" s="136"/>
      <c r="AT116" s="136"/>
      <c r="AU116" s="136"/>
      <c r="AV116" s="136"/>
      <c r="AW116" s="136"/>
      <c r="AX116" s="136"/>
      <c r="AY116" s="136"/>
      <c r="AZ116" s="136"/>
      <c r="BA116" s="136"/>
      <c r="BB116" s="136"/>
      <c r="BC116" s="136"/>
      <c r="BD116" s="136"/>
      <c r="BE116" s="136"/>
      <c r="BF116" s="136"/>
      <c r="BG116" s="136"/>
      <c r="BH116" s="136"/>
      <c r="BI116" s="136"/>
      <c r="BJ116" s="136"/>
      <c r="BK116" s="136"/>
      <c r="BL116" s="136"/>
      <c r="BM116" s="136"/>
      <c r="BN116" s="136"/>
      <c r="BO116" s="136"/>
      <c r="BP116" s="136"/>
      <c r="BQ116" s="136"/>
      <c r="BR116" s="136"/>
      <c r="BS116" s="136"/>
      <c r="BT116" s="136"/>
      <c r="BU116" s="136"/>
      <c r="BV116" s="136"/>
      <c r="BW116" s="136"/>
      <c r="BX116" s="136"/>
      <c r="BY116" s="136"/>
      <c r="BZ116" s="136"/>
      <c r="CA116" s="136"/>
      <c r="CB116" s="136"/>
      <c r="CC116" s="136"/>
      <c r="CD116" s="136"/>
      <c r="CE116" s="136"/>
      <c r="CF116" s="136"/>
      <c r="CG116" s="136"/>
      <c r="CH116" s="136"/>
      <c r="CI116" s="136"/>
      <c r="CJ116" s="136"/>
      <c r="CK116" s="136"/>
      <c r="CL116" s="136"/>
      <c r="CM116" s="136"/>
      <c r="CN116" s="136"/>
      <c r="CO116" s="136"/>
      <c r="CP116" s="136"/>
      <c r="CQ116" s="136"/>
      <c r="CR116" s="136"/>
      <c r="CS116" s="136"/>
      <c r="CT116" s="136"/>
      <c r="CU116" s="136"/>
      <c r="CV116" s="136"/>
      <c r="CW116" s="136"/>
      <c r="CX116" s="136"/>
      <c r="CY116" s="136"/>
      <c r="CZ116" s="136"/>
      <c r="DA116" s="136"/>
      <c r="DB116" s="136"/>
      <c r="DC116" s="136"/>
      <c r="DD116" s="136"/>
      <c r="DE116" s="136"/>
      <c r="DF116" s="136"/>
      <c r="DG116" s="136"/>
      <c r="DH116" s="136"/>
      <c r="DI116" s="136"/>
      <c r="DJ116" s="136"/>
      <c r="DK116" s="136"/>
      <c r="DL116" s="136"/>
    </row>
    <row r="117" spans="1:116">
      <c r="A117" s="136"/>
      <c r="B117" s="136"/>
      <c r="C117" s="136"/>
      <c r="D117" s="136"/>
      <c r="E117" s="136"/>
      <c r="F117" s="136"/>
      <c r="G117" s="136"/>
      <c r="H117" s="136"/>
      <c r="I117" s="136"/>
      <c r="J117" s="136"/>
      <c r="K117" s="136"/>
      <c r="L117" s="136"/>
      <c r="M117" s="136"/>
      <c r="N117" s="145"/>
      <c r="O117" s="136"/>
      <c r="P117" s="145"/>
      <c r="Q117" s="145"/>
      <c r="R117" s="257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36"/>
      <c r="AC117" s="136"/>
      <c r="AD117" s="136"/>
      <c r="AE117" s="136"/>
      <c r="AF117" s="136"/>
      <c r="AG117" s="136"/>
      <c r="AH117" s="136"/>
      <c r="AI117" s="136"/>
      <c r="AJ117" s="136"/>
      <c r="AK117" s="136"/>
      <c r="AL117" s="136"/>
      <c r="AM117" s="136"/>
      <c r="AN117" s="136"/>
      <c r="AO117" s="136"/>
      <c r="AP117" s="136"/>
      <c r="AQ117" s="136"/>
      <c r="AR117" s="136"/>
      <c r="AS117" s="136"/>
      <c r="AT117" s="136"/>
      <c r="AU117" s="136"/>
      <c r="AV117" s="136"/>
      <c r="AW117" s="136"/>
      <c r="AX117" s="136"/>
      <c r="AY117" s="136"/>
      <c r="AZ117" s="136"/>
      <c r="BA117" s="136"/>
      <c r="BB117" s="136"/>
      <c r="BC117" s="136"/>
      <c r="BD117" s="136"/>
      <c r="BE117" s="136"/>
      <c r="BF117" s="136"/>
      <c r="BG117" s="136"/>
      <c r="BH117" s="136"/>
      <c r="BI117" s="136"/>
      <c r="BJ117" s="136"/>
      <c r="BK117" s="136"/>
      <c r="BL117" s="136"/>
      <c r="BM117" s="136"/>
      <c r="BN117" s="136"/>
      <c r="BO117" s="136"/>
      <c r="BP117" s="136"/>
      <c r="BQ117" s="136"/>
      <c r="BR117" s="136"/>
      <c r="BS117" s="136"/>
      <c r="BT117" s="136"/>
      <c r="BU117" s="136"/>
      <c r="BV117" s="136"/>
      <c r="BW117" s="136"/>
      <c r="BX117" s="136"/>
      <c r="BY117" s="136"/>
      <c r="BZ117" s="136"/>
      <c r="CA117" s="136"/>
      <c r="CB117" s="136"/>
      <c r="CC117" s="136"/>
      <c r="CD117" s="136"/>
      <c r="CE117" s="136"/>
      <c r="CF117" s="136"/>
      <c r="CG117" s="136"/>
      <c r="CH117" s="136"/>
      <c r="CI117" s="136"/>
      <c r="CJ117" s="136"/>
      <c r="CK117" s="136"/>
      <c r="CL117" s="136"/>
      <c r="CM117" s="136"/>
      <c r="CN117" s="136"/>
      <c r="CO117" s="136"/>
      <c r="CP117" s="136"/>
      <c r="CQ117" s="136"/>
      <c r="CR117" s="136"/>
      <c r="CS117" s="136"/>
      <c r="CT117" s="136"/>
      <c r="CU117" s="136"/>
      <c r="CV117" s="136"/>
      <c r="CW117" s="136"/>
      <c r="CX117" s="136"/>
      <c r="CY117" s="136"/>
      <c r="CZ117" s="136"/>
      <c r="DA117" s="136"/>
      <c r="DB117" s="136"/>
      <c r="DC117" s="136"/>
      <c r="DD117" s="136"/>
      <c r="DE117" s="136"/>
      <c r="DF117" s="136"/>
      <c r="DG117" s="136"/>
      <c r="DH117" s="136"/>
      <c r="DI117" s="136"/>
      <c r="DJ117" s="136"/>
      <c r="DK117" s="136"/>
      <c r="DL117" s="136"/>
    </row>
    <row r="118" spans="1:116">
      <c r="A118" s="136"/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45"/>
      <c r="O118" s="136"/>
      <c r="P118" s="145"/>
      <c r="Q118" s="145"/>
      <c r="R118" s="257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  <c r="AH118" s="136"/>
      <c r="AI118" s="136"/>
      <c r="AJ118" s="136"/>
      <c r="AK118" s="136"/>
      <c r="AL118" s="136"/>
      <c r="AM118" s="136"/>
      <c r="AN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  <c r="AY118" s="136"/>
      <c r="AZ118" s="136"/>
      <c r="BA118" s="136"/>
      <c r="BB118" s="136"/>
      <c r="BC118" s="136"/>
      <c r="BD118" s="136"/>
      <c r="BE118" s="136"/>
      <c r="BF118" s="136"/>
      <c r="BG118" s="136"/>
      <c r="BH118" s="136"/>
      <c r="BI118" s="136"/>
      <c r="BJ118" s="136"/>
      <c r="BK118" s="136"/>
      <c r="BL118" s="136"/>
      <c r="BM118" s="136"/>
      <c r="BN118" s="136"/>
      <c r="BO118" s="136"/>
      <c r="BP118" s="136"/>
      <c r="BQ118" s="136"/>
      <c r="BR118" s="136"/>
      <c r="BS118" s="136"/>
      <c r="BT118" s="136"/>
      <c r="BU118" s="136"/>
      <c r="BV118" s="136"/>
      <c r="BW118" s="136"/>
      <c r="BX118" s="136"/>
      <c r="BY118" s="136"/>
      <c r="BZ118" s="136"/>
      <c r="CA118" s="136"/>
      <c r="CB118" s="136"/>
      <c r="CC118" s="136"/>
      <c r="CD118" s="136"/>
      <c r="CE118" s="136"/>
      <c r="CF118" s="136"/>
      <c r="CG118" s="136"/>
      <c r="CH118" s="136"/>
      <c r="CI118" s="136"/>
      <c r="CJ118" s="136"/>
      <c r="CK118" s="136"/>
      <c r="CL118" s="136"/>
      <c r="CM118" s="136"/>
      <c r="CN118" s="136"/>
      <c r="CO118" s="136"/>
      <c r="CP118" s="136"/>
      <c r="CQ118" s="136"/>
      <c r="CR118" s="136"/>
      <c r="CS118" s="136"/>
      <c r="CT118" s="136"/>
      <c r="CU118" s="136"/>
      <c r="CV118" s="136"/>
      <c r="CW118" s="136"/>
      <c r="CX118" s="136"/>
      <c r="CY118" s="136"/>
      <c r="CZ118" s="136"/>
      <c r="DA118" s="136"/>
      <c r="DB118" s="136"/>
      <c r="DC118" s="136"/>
      <c r="DD118" s="136"/>
      <c r="DE118" s="136"/>
      <c r="DF118" s="136"/>
      <c r="DG118" s="136"/>
      <c r="DH118" s="136"/>
      <c r="DI118" s="136"/>
      <c r="DJ118" s="136"/>
      <c r="DK118" s="136"/>
      <c r="DL118" s="136"/>
    </row>
    <row r="119" spans="1:116">
      <c r="A119" s="136"/>
      <c r="B119" s="136"/>
      <c r="C119" s="136"/>
      <c r="D119" s="136"/>
      <c r="E119" s="136"/>
      <c r="F119" s="136"/>
      <c r="G119" s="136"/>
      <c r="H119" s="136"/>
      <c r="I119" s="136"/>
      <c r="J119" s="136"/>
      <c r="K119" s="136"/>
      <c r="L119" s="136"/>
      <c r="M119" s="136"/>
      <c r="N119" s="145"/>
      <c r="O119" s="136"/>
      <c r="P119" s="145"/>
      <c r="Q119" s="145"/>
      <c r="R119" s="257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  <c r="AY119" s="136"/>
      <c r="AZ119" s="136"/>
      <c r="BA119" s="136"/>
      <c r="BB119" s="136"/>
      <c r="BC119" s="136"/>
      <c r="BD119" s="136"/>
      <c r="BE119" s="136"/>
      <c r="BF119" s="136"/>
      <c r="BG119" s="136"/>
      <c r="BH119" s="136"/>
      <c r="BI119" s="136"/>
      <c r="BJ119" s="136"/>
      <c r="BK119" s="136"/>
      <c r="BL119" s="136"/>
      <c r="BM119" s="136"/>
      <c r="BN119" s="136"/>
      <c r="BO119" s="136"/>
      <c r="BP119" s="136"/>
      <c r="BQ119" s="136"/>
      <c r="BR119" s="136"/>
      <c r="BS119" s="136"/>
      <c r="BT119" s="136"/>
      <c r="BU119" s="136"/>
      <c r="BV119" s="136"/>
      <c r="BW119" s="136"/>
      <c r="BX119" s="136"/>
      <c r="BY119" s="136"/>
      <c r="BZ119" s="136"/>
      <c r="CA119" s="136"/>
      <c r="CB119" s="136"/>
      <c r="CC119" s="136"/>
      <c r="CD119" s="136"/>
      <c r="CE119" s="136"/>
      <c r="CF119" s="136"/>
      <c r="CG119" s="136"/>
      <c r="CH119" s="136"/>
      <c r="CI119" s="136"/>
      <c r="CJ119" s="136"/>
      <c r="CK119" s="136"/>
      <c r="CL119" s="136"/>
      <c r="CM119" s="136"/>
      <c r="CN119" s="136"/>
      <c r="CO119" s="136"/>
      <c r="CP119" s="136"/>
      <c r="CQ119" s="136"/>
      <c r="CR119" s="136"/>
      <c r="CS119" s="136"/>
      <c r="CT119" s="136"/>
      <c r="CU119" s="136"/>
      <c r="CV119" s="136"/>
      <c r="CW119" s="136"/>
      <c r="CX119" s="136"/>
      <c r="CY119" s="136"/>
      <c r="CZ119" s="136"/>
      <c r="DA119" s="136"/>
      <c r="DB119" s="136"/>
      <c r="DC119" s="136"/>
      <c r="DD119" s="136"/>
      <c r="DE119" s="136"/>
      <c r="DF119" s="136"/>
      <c r="DG119" s="136"/>
      <c r="DH119" s="136"/>
      <c r="DI119" s="136"/>
      <c r="DJ119" s="136"/>
      <c r="DK119" s="136"/>
      <c r="DL119" s="136"/>
    </row>
    <row r="120" spans="1:116">
      <c r="A120" s="136"/>
      <c r="B120" s="136"/>
      <c r="C120" s="136"/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45"/>
      <c r="O120" s="136"/>
      <c r="P120" s="145"/>
      <c r="Q120" s="145"/>
      <c r="R120" s="257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  <c r="AY120" s="136"/>
      <c r="AZ120" s="136"/>
      <c r="BA120" s="136"/>
      <c r="BB120" s="136"/>
      <c r="BC120" s="136"/>
      <c r="BD120" s="136"/>
      <c r="BE120" s="136"/>
      <c r="BF120" s="136"/>
      <c r="BG120" s="136"/>
      <c r="BH120" s="136"/>
      <c r="BI120" s="136"/>
      <c r="BJ120" s="136"/>
      <c r="BK120" s="136"/>
      <c r="BL120" s="136"/>
      <c r="BM120" s="136"/>
      <c r="BN120" s="136"/>
      <c r="BO120" s="136"/>
      <c r="BP120" s="136"/>
      <c r="BQ120" s="136"/>
      <c r="BR120" s="136"/>
      <c r="BS120" s="136"/>
      <c r="BT120" s="136"/>
      <c r="BU120" s="136"/>
      <c r="BV120" s="136"/>
      <c r="BW120" s="136"/>
      <c r="BX120" s="136"/>
      <c r="BY120" s="136"/>
      <c r="BZ120" s="136"/>
      <c r="CA120" s="136"/>
      <c r="CB120" s="136"/>
      <c r="CC120" s="136"/>
      <c r="CD120" s="136"/>
      <c r="CE120" s="136"/>
      <c r="CF120" s="136"/>
      <c r="CG120" s="136"/>
      <c r="CH120" s="136"/>
      <c r="CI120" s="136"/>
      <c r="CJ120" s="136"/>
      <c r="CK120" s="136"/>
      <c r="CL120" s="136"/>
      <c r="CM120" s="136"/>
      <c r="CN120" s="136"/>
      <c r="CO120" s="136"/>
      <c r="CP120" s="136"/>
      <c r="CQ120" s="136"/>
      <c r="CR120" s="136"/>
      <c r="CS120" s="136"/>
      <c r="CT120" s="136"/>
      <c r="CU120" s="136"/>
      <c r="CV120" s="136"/>
      <c r="CW120" s="136"/>
      <c r="CX120" s="136"/>
      <c r="CY120" s="136"/>
      <c r="CZ120" s="136"/>
      <c r="DA120" s="136"/>
      <c r="DB120" s="136"/>
      <c r="DC120" s="136"/>
      <c r="DD120" s="136"/>
      <c r="DE120" s="136"/>
      <c r="DF120" s="136"/>
      <c r="DG120" s="136"/>
      <c r="DH120" s="136"/>
      <c r="DI120" s="136"/>
      <c r="DJ120" s="136"/>
      <c r="DK120" s="136"/>
      <c r="DL120" s="136"/>
    </row>
    <row r="121" spans="1:116">
      <c r="A121" s="136"/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45"/>
      <c r="O121" s="136"/>
      <c r="P121" s="145"/>
      <c r="Q121" s="145"/>
      <c r="R121" s="257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136"/>
      <c r="AG121" s="136"/>
      <c r="AH121" s="136"/>
      <c r="AI121" s="136"/>
      <c r="AJ121" s="136"/>
      <c r="AK121" s="136"/>
      <c r="AL121" s="136"/>
      <c r="AM121" s="136"/>
      <c r="AN121" s="136"/>
      <c r="AO121" s="136"/>
      <c r="AP121" s="136"/>
      <c r="AQ121" s="136"/>
      <c r="AR121" s="136"/>
      <c r="AS121" s="136"/>
      <c r="AT121" s="136"/>
      <c r="AU121" s="136"/>
      <c r="AV121" s="136"/>
      <c r="AW121" s="136"/>
      <c r="AX121" s="136"/>
      <c r="AY121" s="136"/>
      <c r="AZ121" s="136"/>
      <c r="BA121" s="136"/>
      <c r="BB121" s="136"/>
      <c r="BC121" s="136"/>
      <c r="BD121" s="136"/>
      <c r="BE121" s="136"/>
      <c r="BF121" s="136"/>
      <c r="BG121" s="136"/>
      <c r="BH121" s="136"/>
      <c r="BI121" s="136"/>
      <c r="BJ121" s="136"/>
      <c r="BK121" s="136"/>
      <c r="BL121" s="136"/>
      <c r="BM121" s="136"/>
      <c r="BN121" s="136"/>
      <c r="BO121" s="136"/>
      <c r="BP121" s="136"/>
      <c r="BQ121" s="136"/>
      <c r="BR121" s="136"/>
      <c r="BS121" s="136"/>
      <c r="BT121" s="136"/>
      <c r="BU121" s="136"/>
      <c r="BV121" s="136"/>
      <c r="BW121" s="136"/>
      <c r="BX121" s="136"/>
      <c r="BY121" s="136"/>
      <c r="BZ121" s="136"/>
      <c r="CA121" s="136"/>
      <c r="CB121" s="136"/>
      <c r="CC121" s="136"/>
      <c r="CD121" s="136"/>
      <c r="CE121" s="136"/>
      <c r="CF121" s="136"/>
      <c r="CG121" s="136"/>
      <c r="CH121" s="136"/>
      <c r="CI121" s="136"/>
      <c r="CJ121" s="136"/>
      <c r="CK121" s="136"/>
      <c r="CL121" s="136"/>
      <c r="CM121" s="136"/>
      <c r="CN121" s="136"/>
      <c r="CO121" s="136"/>
      <c r="CP121" s="136"/>
      <c r="CQ121" s="136"/>
      <c r="CR121" s="136"/>
      <c r="CS121" s="136"/>
      <c r="CT121" s="136"/>
      <c r="CU121" s="136"/>
      <c r="CV121" s="136"/>
      <c r="CW121" s="136"/>
      <c r="CX121" s="136"/>
      <c r="CY121" s="136"/>
      <c r="CZ121" s="136"/>
      <c r="DA121" s="136"/>
      <c r="DB121" s="136"/>
      <c r="DC121" s="136"/>
      <c r="DD121" s="136"/>
      <c r="DE121" s="136"/>
      <c r="DF121" s="136"/>
      <c r="DG121" s="136"/>
      <c r="DH121" s="136"/>
      <c r="DI121" s="136"/>
      <c r="DJ121" s="136"/>
      <c r="DK121" s="136"/>
      <c r="DL121" s="136"/>
    </row>
    <row r="122" spans="1:116">
      <c r="A122" s="136"/>
      <c r="B122" s="136"/>
      <c r="C122" s="136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45"/>
      <c r="O122" s="136"/>
      <c r="P122" s="145"/>
      <c r="Q122" s="145"/>
      <c r="R122" s="257"/>
      <c r="S122" s="136"/>
      <c r="T122" s="136"/>
      <c r="U122" s="136"/>
      <c r="V122" s="136"/>
      <c r="W122" s="136"/>
      <c r="X122" s="136"/>
      <c r="Y122" s="136"/>
      <c r="Z122" s="136"/>
      <c r="AA122" s="136"/>
      <c r="AB122" s="136"/>
      <c r="AC122" s="136"/>
      <c r="AD122" s="136"/>
      <c r="AE122" s="136"/>
      <c r="AF122" s="136"/>
      <c r="AG122" s="136"/>
      <c r="AH122" s="136"/>
      <c r="AI122" s="136"/>
      <c r="AJ122" s="136"/>
      <c r="AK122" s="136"/>
      <c r="AL122" s="136"/>
      <c r="AM122" s="136"/>
      <c r="AN122" s="136"/>
      <c r="AO122" s="136"/>
      <c r="AP122" s="136"/>
      <c r="AQ122" s="136"/>
      <c r="AR122" s="136"/>
      <c r="AS122" s="136"/>
      <c r="AT122" s="136"/>
      <c r="AU122" s="136"/>
      <c r="AV122" s="136"/>
      <c r="AW122" s="136"/>
      <c r="AX122" s="136"/>
      <c r="AY122" s="136"/>
      <c r="AZ122" s="136"/>
      <c r="BA122" s="136"/>
      <c r="BB122" s="136"/>
      <c r="BC122" s="136"/>
      <c r="BD122" s="136"/>
      <c r="BE122" s="136"/>
      <c r="BF122" s="136"/>
      <c r="BG122" s="136"/>
      <c r="BH122" s="136"/>
      <c r="BI122" s="136"/>
      <c r="BJ122" s="136"/>
      <c r="BK122" s="136"/>
      <c r="BL122" s="136"/>
      <c r="BM122" s="136"/>
      <c r="BN122" s="136"/>
      <c r="BO122" s="136"/>
      <c r="BP122" s="136"/>
      <c r="BQ122" s="136"/>
      <c r="BR122" s="136"/>
      <c r="BS122" s="136"/>
      <c r="BT122" s="136"/>
      <c r="BU122" s="136"/>
      <c r="BV122" s="136"/>
      <c r="BW122" s="136"/>
      <c r="BX122" s="136"/>
      <c r="BY122" s="136"/>
      <c r="BZ122" s="136"/>
      <c r="CA122" s="136"/>
      <c r="CB122" s="136"/>
      <c r="CC122" s="136"/>
      <c r="CD122" s="136"/>
      <c r="CE122" s="136"/>
      <c r="CF122" s="136"/>
      <c r="CG122" s="136"/>
      <c r="CH122" s="136"/>
      <c r="CI122" s="136"/>
      <c r="CJ122" s="136"/>
      <c r="CK122" s="136"/>
      <c r="CL122" s="136"/>
      <c r="CM122" s="136"/>
      <c r="CN122" s="136"/>
      <c r="CO122" s="136"/>
      <c r="CP122" s="136"/>
      <c r="CQ122" s="136"/>
      <c r="CR122" s="136"/>
      <c r="CS122" s="136"/>
      <c r="CT122" s="136"/>
      <c r="CU122" s="136"/>
      <c r="CV122" s="136"/>
      <c r="CW122" s="136"/>
      <c r="CX122" s="136"/>
      <c r="CY122" s="136"/>
      <c r="CZ122" s="136"/>
      <c r="DA122" s="136"/>
      <c r="DB122" s="136"/>
      <c r="DC122" s="136"/>
      <c r="DD122" s="136"/>
      <c r="DE122" s="136"/>
      <c r="DF122" s="136"/>
      <c r="DG122" s="136"/>
      <c r="DH122" s="136"/>
      <c r="DI122" s="136"/>
      <c r="DJ122" s="136"/>
      <c r="DK122" s="136"/>
      <c r="DL122" s="136"/>
    </row>
    <row r="123" spans="1:116">
      <c r="A123" s="136"/>
      <c r="B123" s="136"/>
      <c r="C123" s="136"/>
      <c r="D123" s="136"/>
      <c r="E123" s="136"/>
      <c r="F123" s="136"/>
      <c r="G123" s="136"/>
      <c r="H123" s="136"/>
      <c r="I123" s="136"/>
      <c r="J123" s="136"/>
      <c r="K123" s="136"/>
      <c r="L123" s="136"/>
      <c r="M123" s="136"/>
      <c r="N123" s="145"/>
      <c r="O123" s="136"/>
      <c r="P123" s="145"/>
      <c r="Q123" s="145"/>
      <c r="R123" s="257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136"/>
      <c r="AG123" s="136"/>
      <c r="AH123" s="136"/>
      <c r="AI123" s="136"/>
      <c r="AJ123" s="136"/>
      <c r="AK123" s="136"/>
      <c r="AL123" s="136"/>
      <c r="AM123" s="136"/>
      <c r="AN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  <c r="AY123" s="136"/>
      <c r="AZ123" s="136"/>
      <c r="BA123" s="136"/>
      <c r="BB123" s="136"/>
      <c r="BC123" s="136"/>
      <c r="BD123" s="136"/>
      <c r="BE123" s="136"/>
      <c r="BF123" s="136"/>
      <c r="BG123" s="136"/>
      <c r="BH123" s="136"/>
      <c r="BI123" s="136"/>
      <c r="BJ123" s="136"/>
      <c r="BK123" s="136"/>
      <c r="BL123" s="136"/>
      <c r="BM123" s="136"/>
      <c r="BN123" s="136"/>
      <c r="BO123" s="136"/>
      <c r="BP123" s="136"/>
      <c r="BQ123" s="136"/>
      <c r="BR123" s="136"/>
      <c r="BS123" s="136"/>
      <c r="BT123" s="136"/>
      <c r="BU123" s="136"/>
      <c r="BV123" s="136"/>
      <c r="BW123" s="136"/>
      <c r="BX123" s="136"/>
      <c r="BY123" s="136"/>
      <c r="BZ123" s="136"/>
      <c r="CA123" s="136"/>
      <c r="CB123" s="136"/>
      <c r="CC123" s="136"/>
      <c r="CD123" s="136"/>
      <c r="CE123" s="136"/>
      <c r="CF123" s="136"/>
      <c r="CG123" s="136"/>
      <c r="CH123" s="136"/>
      <c r="CI123" s="136"/>
      <c r="CJ123" s="136"/>
      <c r="CK123" s="136"/>
      <c r="CL123" s="136"/>
      <c r="CM123" s="136"/>
      <c r="CN123" s="136"/>
      <c r="CO123" s="136"/>
      <c r="CP123" s="136"/>
      <c r="CQ123" s="136"/>
      <c r="CR123" s="136"/>
      <c r="CS123" s="136"/>
      <c r="CT123" s="136"/>
      <c r="CU123" s="136"/>
      <c r="CV123" s="136"/>
      <c r="CW123" s="136"/>
      <c r="CX123" s="136"/>
      <c r="CY123" s="136"/>
      <c r="CZ123" s="136"/>
      <c r="DA123" s="136"/>
      <c r="DB123" s="136"/>
      <c r="DC123" s="136"/>
      <c r="DD123" s="136"/>
      <c r="DE123" s="136"/>
      <c r="DF123" s="136"/>
      <c r="DG123" s="136"/>
      <c r="DH123" s="136"/>
      <c r="DI123" s="136"/>
      <c r="DJ123" s="136"/>
      <c r="DK123" s="136"/>
      <c r="DL123" s="136"/>
    </row>
    <row r="124" spans="1:116">
      <c r="A124" s="136"/>
      <c r="B124" s="136"/>
      <c r="C124" s="136"/>
      <c r="D124" s="136"/>
      <c r="E124" s="136"/>
      <c r="F124" s="136"/>
      <c r="G124" s="136"/>
      <c r="H124" s="136"/>
      <c r="I124" s="136"/>
      <c r="J124" s="136"/>
      <c r="K124" s="136"/>
      <c r="L124" s="136"/>
      <c r="M124" s="136"/>
      <c r="N124" s="145"/>
      <c r="O124" s="136"/>
      <c r="P124" s="145"/>
      <c r="Q124" s="145"/>
      <c r="R124" s="257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136"/>
      <c r="AG124" s="136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  <c r="AY124" s="136"/>
      <c r="AZ124" s="136"/>
      <c r="BA124" s="136"/>
      <c r="BB124" s="136"/>
      <c r="BC124" s="136"/>
      <c r="BD124" s="136"/>
      <c r="BE124" s="136"/>
      <c r="BF124" s="136"/>
      <c r="BG124" s="136"/>
      <c r="BH124" s="136"/>
      <c r="BI124" s="136"/>
      <c r="BJ124" s="136"/>
      <c r="BK124" s="136"/>
      <c r="BL124" s="136"/>
      <c r="BM124" s="136"/>
      <c r="BN124" s="136"/>
      <c r="BO124" s="136"/>
      <c r="BP124" s="136"/>
      <c r="BQ124" s="136"/>
      <c r="BR124" s="136"/>
      <c r="BS124" s="136"/>
      <c r="BT124" s="136"/>
      <c r="BU124" s="136"/>
      <c r="BV124" s="136"/>
      <c r="BW124" s="136"/>
      <c r="BX124" s="136"/>
      <c r="BY124" s="136"/>
      <c r="BZ124" s="136"/>
      <c r="CA124" s="136"/>
      <c r="CB124" s="136"/>
      <c r="CC124" s="136"/>
      <c r="CD124" s="136"/>
      <c r="CE124" s="136"/>
      <c r="CF124" s="136"/>
      <c r="CG124" s="136"/>
      <c r="CH124" s="136"/>
      <c r="CI124" s="136"/>
      <c r="CJ124" s="136"/>
      <c r="CK124" s="136"/>
      <c r="CL124" s="136"/>
      <c r="CM124" s="136"/>
      <c r="CN124" s="136"/>
      <c r="CO124" s="136"/>
      <c r="CP124" s="136"/>
      <c r="CQ124" s="136"/>
      <c r="CR124" s="136"/>
      <c r="CS124" s="136"/>
      <c r="CT124" s="136"/>
      <c r="CU124" s="136"/>
      <c r="CV124" s="136"/>
      <c r="CW124" s="136"/>
      <c r="CX124" s="136"/>
      <c r="CY124" s="136"/>
      <c r="CZ124" s="136"/>
      <c r="DA124" s="136"/>
      <c r="DB124" s="136"/>
      <c r="DC124" s="136"/>
      <c r="DD124" s="136"/>
      <c r="DE124" s="136"/>
      <c r="DF124" s="136"/>
      <c r="DG124" s="136"/>
      <c r="DH124" s="136"/>
      <c r="DI124" s="136"/>
      <c r="DJ124" s="136"/>
      <c r="DK124" s="136"/>
      <c r="DL124" s="136"/>
    </row>
    <row r="125" spans="1:116">
      <c r="A125" s="136"/>
      <c r="B125" s="136"/>
      <c r="C125" s="136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  <c r="N125" s="145"/>
      <c r="O125" s="136"/>
      <c r="P125" s="145"/>
      <c r="Q125" s="145"/>
      <c r="R125" s="257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136"/>
      <c r="AG125" s="136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  <c r="AY125" s="136"/>
      <c r="AZ125" s="136"/>
      <c r="BA125" s="136"/>
      <c r="BB125" s="136"/>
      <c r="BC125" s="136"/>
      <c r="BD125" s="136"/>
      <c r="BE125" s="136"/>
      <c r="BF125" s="136"/>
      <c r="BG125" s="136"/>
      <c r="BH125" s="136"/>
      <c r="BI125" s="136"/>
      <c r="BJ125" s="136"/>
      <c r="BK125" s="136"/>
      <c r="BL125" s="136"/>
      <c r="BM125" s="136"/>
      <c r="BN125" s="136"/>
      <c r="BO125" s="136"/>
      <c r="BP125" s="136"/>
      <c r="BQ125" s="136"/>
      <c r="BR125" s="136"/>
      <c r="BS125" s="136"/>
      <c r="BT125" s="136"/>
      <c r="BU125" s="136"/>
      <c r="BV125" s="136"/>
      <c r="BW125" s="136"/>
      <c r="BX125" s="136"/>
      <c r="BY125" s="136"/>
      <c r="BZ125" s="136"/>
      <c r="CA125" s="136"/>
      <c r="CB125" s="136"/>
      <c r="CC125" s="136"/>
      <c r="CD125" s="136"/>
      <c r="CE125" s="136"/>
      <c r="CF125" s="136"/>
      <c r="CG125" s="136"/>
      <c r="CH125" s="136"/>
      <c r="CI125" s="136"/>
      <c r="CJ125" s="136"/>
      <c r="CK125" s="136"/>
      <c r="CL125" s="136"/>
      <c r="CM125" s="136"/>
      <c r="CN125" s="136"/>
      <c r="CO125" s="136"/>
      <c r="CP125" s="136"/>
      <c r="CQ125" s="136"/>
      <c r="CR125" s="136"/>
      <c r="CS125" s="136"/>
      <c r="CT125" s="136"/>
      <c r="CU125" s="136"/>
      <c r="CV125" s="136"/>
      <c r="CW125" s="136"/>
      <c r="CX125" s="136"/>
      <c r="CY125" s="136"/>
      <c r="CZ125" s="136"/>
      <c r="DA125" s="136"/>
      <c r="DB125" s="136"/>
      <c r="DC125" s="136"/>
      <c r="DD125" s="136"/>
      <c r="DE125" s="136"/>
      <c r="DF125" s="136"/>
      <c r="DG125" s="136"/>
      <c r="DH125" s="136"/>
      <c r="DI125" s="136"/>
      <c r="DJ125" s="136"/>
      <c r="DK125" s="136"/>
      <c r="DL125" s="136"/>
    </row>
    <row r="126" spans="1:116">
      <c r="A126" s="136"/>
      <c r="B126" s="136"/>
      <c r="C126" s="136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45"/>
      <c r="O126" s="136"/>
      <c r="P126" s="145"/>
      <c r="Q126" s="145"/>
      <c r="R126" s="257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36"/>
      <c r="AC126" s="136"/>
      <c r="AD126" s="136"/>
      <c r="AE126" s="136"/>
      <c r="AF126" s="136"/>
      <c r="AG126" s="136"/>
      <c r="AH126" s="136"/>
      <c r="AI126" s="136"/>
      <c r="AJ126" s="136"/>
      <c r="AK126" s="136"/>
      <c r="AL126" s="136"/>
      <c r="AM126" s="136"/>
      <c r="AN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  <c r="AY126" s="136"/>
      <c r="AZ126" s="136"/>
      <c r="BA126" s="136"/>
      <c r="BB126" s="136"/>
      <c r="BC126" s="136"/>
      <c r="BD126" s="136"/>
      <c r="BE126" s="136"/>
      <c r="BF126" s="136"/>
      <c r="BG126" s="136"/>
      <c r="BH126" s="136"/>
      <c r="BI126" s="136"/>
      <c r="BJ126" s="136"/>
      <c r="BK126" s="136"/>
      <c r="BL126" s="136"/>
      <c r="BM126" s="136"/>
      <c r="BN126" s="136"/>
      <c r="BO126" s="136"/>
      <c r="BP126" s="136"/>
      <c r="BQ126" s="136"/>
      <c r="BR126" s="136"/>
      <c r="BS126" s="136"/>
      <c r="BT126" s="136"/>
      <c r="BU126" s="136"/>
      <c r="BV126" s="136"/>
      <c r="BW126" s="136"/>
      <c r="BX126" s="136"/>
      <c r="BY126" s="136"/>
      <c r="BZ126" s="136"/>
      <c r="CA126" s="136"/>
      <c r="CB126" s="136"/>
      <c r="CC126" s="136"/>
      <c r="CD126" s="136"/>
      <c r="CE126" s="136"/>
      <c r="CF126" s="136"/>
      <c r="CG126" s="136"/>
      <c r="CH126" s="136"/>
      <c r="CI126" s="136"/>
      <c r="CJ126" s="136"/>
      <c r="CK126" s="136"/>
      <c r="CL126" s="136"/>
      <c r="CM126" s="136"/>
      <c r="CN126" s="136"/>
      <c r="CO126" s="136"/>
      <c r="CP126" s="136"/>
      <c r="CQ126" s="136"/>
      <c r="CR126" s="136"/>
      <c r="CS126" s="136"/>
      <c r="CT126" s="136"/>
      <c r="CU126" s="136"/>
      <c r="CV126" s="136"/>
      <c r="CW126" s="136"/>
      <c r="CX126" s="136"/>
      <c r="CY126" s="136"/>
      <c r="CZ126" s="136"/>
      <c r="DA126" s="136"/>
      <c r="DB126" s="136"/>
      <c r="DC126" s="136"/>
      <c r="DD126" s="136"/>
      <c r="DE126" s="136"/>
      <c r="DF126" s="136"/>
      <c r="DG126" s="136"/>
      <c r="DH126" s="136"/>
      <c r="DI126" s="136"/>
      <c r="DJ126" s="136"/>
      <c r="DK126" s="136"/>
      <c r="DL126" s="136"/>
    </row>
    <row r="127" spans="1:116">
      <c r="A127" s="136"/>
      <c r="B127" s="136"/>
      <c r="C127" s="136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45"/>
      <c r="O127" s="136"/>
      <c r="P127" s="145"/>
      <c r="Q127" s="145"/>
      <c r="R127" s="257"/>
      <c r="S127" s="136"/>
      <c r="T127" s="136"/>
      <c r="U127" s="136"/>
      <c r="V127" s="136"/>
      <c r="W127" s="136"/>
      <c r="X127" s="136"/>
      <c r="Y127" s="136"/>
      <c r="Z127" s="136"/>
      <c r="AA127" s="136"/>
      <c r="AB127" s="136"/>
      <c r="AC127" s="136"/>
      <c r="AD127" s="136"/>
      <c r="AE127" s="136"/>
      <c r="AF127" s="136"/>
      <c r="AG127" s="136"/>
      <c r="AH127" s="136"/>
      <c r="AI127" s="136"/>
      <c r="AJ127" s="136"/>
      <c r="AK127" s="136"/>
      <c r="AL127" s="136"/>
      <c r="AM127" s="136"/>
      <c r="AN127" s="136"/>
      <c r="AO127" s="136"/>
      <c r="AP127" s="136"/>
      <c r="AQ127" s="136"/>
      <c r="AR127" s="136"/>
      <c r="AS127" s="136"/>
      <c r="AT127" s="136"/>
      <c r="AU127" s="136"/>
      <c r="AV127" s="136"/>
      <c r="AW127" s="136"/>
      <c r="AX127" s="136"/>
      <c r="AY127" s="136"/>
      <c r="AZ127" s="136"/>
      <c r="BA127" s="136"/>
      <c r="BB127" s="136"/>
      <c r="BC127" s="136"/>
      <c r="BD127" s="136"/>
      <c r="BE127" s="136"/>
      <c r="BF127" s="136"/>
      <c r="BG127" s="136"/>
      <c r="BH127" s="136"/>
      <c r="BI127" s="136"/>
      <c r="BJ127" s="136"/>
      <c r="BK127" s="136"/>
      <c r="BL127" s="136"/>
      <c r="BM127" s="136"/>
      <c r="BN127" s="136"/>
      <c r="BO127" s="136"/>
      <c r="BP127" s="136"/>
      <c r="BQ127" s="136"/>
      <c r="BR127" s="136"/>
      <c r="BS127" s="136"/>
      <c r="BT127" s="136"/>
      <c r="BU127" s="136"/>
      <c r="BV127" s="136"/>
      <c r="BW127" s="136"/>
      <c r="BX127" s="136"/>
      <c r="BY127" s="136"/>
      <c r="BZ127" s="136"/>
      <c r="CA127" s="136"/>
      <c r="CB127" s="136"/>
      <c r="CC127" s="136"/>
      <c r="CD127" s="136"/>
      <c r="CE127" s="136"/>
      <c r="CF127" s="136"/>
      <c r="CG127" s="136"/>
      <c r="CH127" s="136"/>
      <c r="CI127" s="136"/>
      <c r="CJ127" s="136"/>
      <c r="CK127" s="136"/>
      <c r="CL127" s="136"/>
      <c r="CM127" s="136"/>
      <c r="CN127" s="136"/>
      <c r="CO127" s="136"/>
      <c r="CP127" s="136"/>
      <c r="CQ127" s="136"/>
      <c r="CR127" s="136"/>
      <c r="CS127" s="136"/>
      <c r="CT127" s="136"/>
      <c r="CU127" s="136"/>
      <c r="CV127" s="136"/>
      <c r="CW127" s="136"/>
      <c r="CX127" s="136"/>
      <c r="CY127" s="136"/>
      <c r="CZ127" s="136"/>
      <c r="DA127" s="136"/>
      <c r="DB127" s="136"/>
      <c r="DC127" s="136"/>
      <c r="DD127" s="136"/>
      <c r="DE127" s="136"/>
      <c r="DF127" s="136"/>
      <c r="DG127" s="136"/>
      <c r="DH127" s="136"/>
      <c r="DI127" s="136"/>
      <c r="DJ127" s="136"/>
      <c r="DK127" s="136"/>
      <c r="DL127" s="136"/>
    </row>
    <row r="128" spans="1:116">
      <c r="A128" s="136"/>
      <c r="B128" s="136"/>
      <c r="C128" s="136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45"/>
      <c r="O128" s="136"/>
      <c r="P128" s="145"/>
      <c r="Q128" s="145"/>
      <c r="R128" s="257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  <c r="AY128" s="136"/>
      <c r="AZ128" s="136"/>
      <c r="BA128" s="136"/>
      <c r="BB128" s="136"/>
      <c r="BC128" s="136"/>
      <c r="BD128" s="136"/>
      <c r="BE128" s="136"/>
      <c r="BF128" s="136"/>
      <c r="BG128" s="136"/>
      <c r="BH128" s="136"/>
      <c r="BI128" s="136"/>
      <c r="BJ128" s="136"/>
      <c r="BK128" s="136"/>
      <c r="BL128" s="136"/>
      <c r="BM128" s="136"/>
      <c r="BN128" s="136"/>
      <c r="BO128" s="136"/>
      <c r="BP128" s="136"/>
      <c r="BQ128" s="136"/>
      <c r="BR128" s="136"/>
      <c r="BS128" s="136"/>
      <c r="BT128" s="136"/>
      <c r="BU128" s="136"/>
      <c r="BV128" s="136"/>
      <c r="BW128" s="136"/>
      <c r="BX128" s="136"/>
      <c r="BY128" s="136"/>
      <c r="BZ128" s="136"/>
      <c r="CA128" s="136"/>
      <c r="CB128" s="136"/>
      <c r="CC128" s="136"/>
      <c r="CD128" s="136"/>
      <c r="CE128" s="136"/>
      <c r="CF128" s="136"/>
      <c r="CG128" s="136"/>
      <c r="CH128" s="136"/>
      <c r="CI128" s="136"/>
      <c r="CJ128" s="136"/>
      <c r="CK128" s="136"/>
      <c r="CL128" s="136"/>
      <c r="CM128" s="136"/>
      <c r="CN128" s="136"/>
      <c r="CO128" s="136"/>
      <c r="CP128" s="136"/>
      <c r="CQ128" s="136"/>
      <c r="CR128" s="136"/>
      <c r="CS128" s="136"/>
      <c r="CT128" s="136"/>
      <c r="CU128" s="136"/>
      <c r="CV128" s="136"/>
      <c r="CW128" s="136"/>
      <c r="CX128" s="136"/>
      <c r="CY128" s="136"/>
      <c r="CZ128" s="136"/>
      <c r="DA128" s="136"/>
      <c r="DB128" s="136"/>
      <c r="DC128" s="136"/>
      <c r="DD128" s="136"/>
      <c r="DE128" s="136"/>
      <c r="DF128" s="136"/>
      <c r="DG128" s="136"/>
      <c r="DH128" s="136"/>
      <c r="DI128" s="136"/>
      <c r="DJ128" s="136"/>
      <c r="DK128" s="136"/>
      <c r="DL128" s="136"/>
    </row>
    <row r="129" spans="1:116">
      <c r="A129" s="136"/>
      <c r="B129" s="136"/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45"/>
      <c r="O129" s="136"/>
      <c r="P129" s="145"/>
      <c r="Q129" s="145"/>
      <c r="R129" s="257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136"/>
      <c r="AI129" s="136"/>
      <c r="AJ129" s="136"/>
      <c r="AK129" s="136"/>
      <c r="AL129" s="136"/>
      <c r="AM129" s="136"/>
      <c r="AN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  <c r="AY129" s="136"/>
      <c r="AZ129" s="136"/>
      <c r="BA129" s="136"/>
      <c r="BB129" s="136"/>
      <c r="BC129" s="136"/>
      <c r="BD129" s="136"/>
      <c r="BE129" s="136"/>
      <c r="BF129" s="136"/>
      <c r="BG129" s="136"/>
      <c r="BH129" s="136"/>
      <c r="BI129" s="136"/>
      <c r="BJ129" s="136"/>
      <c r="BK129" s="136"/>
      <c r="BL129" s="136"/>
      <c r="BM129" s="136"/>
      <c r="BN129" s="136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  <c r="CG129" s="136"/>
      <c r="CH129" s="136"/>
      <c r="CI129" s="136"/>
      <c r="CJ129" s="136"/>
      <c r="CK129" s="136"/>
      <c r="CL129" s="136"/>
      <c r="CM129" s="136"/>
      <c r="CN129" s="136"/>
      <c r="CO129" s="136"/>
      <c r="CP129" s="136"/>
      <c r="CQ129" s="136"/>
      <c r="CR129" s="136"/>
      <c r="CS129" s="136"/>
      <c r="CT129" s="136"/>
      <c r="CU129" s="136"/>
      <c r="CV129" s="136"/>
      <c r="CW129" s="136"/>
      <c r="CX129" s="136"/>
      <c r="CY129" s="136"/>
      <c r="CZ129" s="136"/>
      <c r="DA129" s="136"/>
      <c r="DB129" s="136"/>
      <c r="DC129" s="136"/>
      <c r="DD129" s="136"/>
      <c r="DE129" s="136"/>
      <c r="DF129" s="136"/>
      <c r="DG129" s="136"/>
      <c r="DH129" s="136"/>
      <c r="DI129" s="136"/>
      <c r="DJ129" s="136"/>
      <c r="DK129" s="136"/>
      <c r="DL129" s="136"/>
    </row>
    <row r="130" spans="1:116">
      <c r="A130" s="136"/>
      <c r="B130" s="136"/>
      <c r="C130" s="136"/>
      <c r="D130" s="136"/>
      <c r="E130" s="136"/>
      <c r="F130" s="136"/>
      <c r="G130" s="136"/>
      <c r="H130" s="136"/>
      <c r="I130" s="136"/>
      <c r="J130" s="136"/>
      <c r="K130" s="136"/>
      <c r="L130" s="136"/>
      <c r="M130" s="136"/>
      <c r="N130" s="145"/>
      <c r="O130" s="136"/>
      <c r="P130" s="145"/>
      <c r="Q130" s="145"/>
      <c r="R130" s="257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136"/>
      <c r="AG130" s="136"/>
      <c r="AH130" s="136"/>
      <c r="AI130" s="136"/>
      <c r="AJ130" s="136"/>
      <c r="AK130" s="136"/>
      <c r="AL130" s="136"/>
      <c r="AM130" s="136"/>
      <c r="AN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  <c r="AY130" s="136"/>
      <c r="AZ130" s="136"/>
      <c r="BA130" s="136"/>
      <c r="BB130" s="136"/>
      <c r="BC130" s="136"/>
      <c r="BD130" s="136"/>
      <c r="BE130" s="136"/>
      <c r="BF130" s="136"/>
      <c r="BG130" s="136"/>
      <c r="BH130" s="136"/>
      <c r="BI130" s="136"/>
      <c r="BJ130" s="136"/>
      <c r="BK130" s="136"/>
      <c r="BL130" s="136"/>
      <c r="BM130" s="136"/>
      <c r="BN130" s="136"/>
      <c r="BO130" s="136"/>
      <c r="BP130" s="136"/>
      <c r="BQ130" s="136"/>
      <c r="BR130" s="136"/>
      <c r="BS130" s="136"/>
      <c r="BT130" s="136"/>
      <c r="BU130" s="136"/>
      <c r="BV130" s="136"/>
      <c r="BW130" s="136"/>
      <c r="BX130" s="136"/>
      <c r="BY130" s="136"/>
      <c r="BZ130" s="136"/>
      <c r="CA130" s="136"/>
      <c r="CB130" s="136"/>
      <c r="CC130" s="136"/>
      <c r="CD130" s="136"/>
      <c r="CE130" s="136"/>
      <c r="CF130" s="136"/>
      <c r="CG130" s="136"/>
      <c r="CH130" s="136"/>
      <c r="CI130" s="136"/>
      <c r="CJ130" s="136"/>
      <c r="CK130" s="136"/>
      <c r="CL130" s="136"/>
      <c r="CM130" s="136"/>
      <c r="CN130" s="136"/>
      <c r="CO130" s="136"/>
      <c r="CP130" s="136"/>
      <c r="CQ130" s="136"/>
      <c r="CR130" s="136"/>
      <c r="CS130" s="136"/>
      <c r="CT130" s="136"/>
      <c r="CU130" s="136"/>
      <c r="CV130" s="136"/>
      <c r="CW130" s="136"/>
      <c r="CX130" s="136"/>
      <c r="CY130" s="136"/>
      <c r="CZ130" s="136"/>
      <c r="DA130" s="136"/>
      <c r="DB130" s="136"/>
      <c r="DC130" s="136"/>
      <c r="DD130" s="136"/>
      <c r="DE130" s="136"/>
      <c r="DF130" s="136"/>
      <c r="DG130" s="136"/>
      <c r="DH130" s="136"/>
      <c r="DI130" s="136"/>
      <c r="DJ130" s="136"/>
      <c r="DK130" s="136"/>
      <c r="DL130" s="136"/>
    </row>
    <row r="131" spans="1:116">
      <c r="A131" s="136"/>
      <c r="B131" s="136"/>
      <c r="C131" s="136"/>
      <c r="D131" s="136"/>
      <c r="E131" s="136"/>
      <c r="F131" s="136"/>
      <c r="G131" s="136"/>
      <c r="H131" s="136"/>
      <c r="I131" s="136"/>
      <c r="J131" s="136"/>
      <c r="K131" s="136"/>
      <c r="L131" s="136"/>
      <c r="M131" s="136"/>
      <c r="N131" s="145"/>
      <c r="O131" s="136"/>
      <c r="P131" s="145"/>
      <c r="Q131" s="145"/>
      <c r="R131" s="257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136"/>
      <c r="AG131" s="136"/>
      <c r="AH131" s="136"/>
      <c r="AI131" s="136"/>
      <c r="AJ131" s="136"/>
      <c r="AK131" s="136"/>
      <c r="AL131" s="136"/>
      <c r="AM131" s="136"/>
      <c r="AN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  <c r="AY131" s="136"/>
      <c r="AZ131" s="136"/>
      <c r="BA131" s="136"/>
      <c r="BB131" s="136"/>
      <c r="BC131" s="136"/>
      <c r="BD131" s="136"/>
      <c r="BE131" s="136"/>
      <c r="BF131" s="136"/>
      <c r="BG131" s="136"/>
      <c r="BH131" s="136"/>
      <c r="BI131" s="136"/>
      <c r="BJ131" s="136"/>
      <c r="BK131" s="136"/>
      <c r="BL131" s="136"/>
      <c r="BM131" s="136"/>
      <c r="BN131" s="136"/>
      <c r="BO131" s="136"/>
      <c r="BP131" s="136"/>
      <c r="BQ131" s="136"/>
      <c r="BR131" s="136"/>
      <c r="BS131" s="136"/>
      <c r="BT131" s="136"/>
      <c r="BU131" s="136"/>
      <c r="BV131" s="136"/>
      <c r="BW131" s="136"/>
      <c r="BX131" s="136"/>
      <c r="BY131" s="136"/>
      <c r="BZ131" s="136"/>
      <c r="CA131" s="136"/>
      <c r="CB131" s="136"/>
      <c r="CC131" s="136"/>
      <c r="CD131" s="136"/>
      <c r="CE131" s="136"/>
      <c r="CF131" s="136"/>
      <c r="CG131" s="136"/>
      <c r="CH131" s="136"/>
      <c r="CI131" s="136"/>
      <c r="CJ131" s="136"/>
      <c r="CK131" s="136"/>
      <c r="CL131" s="136"/>
      <c r="CM131" s="136"/>
      <c r="CN131" s="136"/>
      <c r="CO131" s="136"/>
      <c r="CP131" s="136"/>
      <c r="CQ131" s="136"/>
      <c r="CR131" s="136"/>
      <c r="CS131" s="136"/>
      <c r="CT131" s="136"/>
      <c r="CU131" s="136"/>
      <c r="CV131" s="136"/>
      <c r="CW131" s="136"/>
      <c r="CX131" s="136"/>
      <c r="CY131" s="136"/>
      <c r="CZ131" s="136"/>
      <c r="DA131" s="136"/>
      <c r="DB131" s="136"/>
      <c r="DC131" s="136"/>
      <c r="DD131" s="136"/>
      <c r="DE131" s="136"/>
      <c r="DF131" s="136"/>
      <c r="DG131" s="136"/>
      <c r="DH131" s="136"/>
      <c r="DI131" s="136"/>
      <c r="DJ131" s="136"/>
      <c r="DK131" s="136"/>
      <c r="DL131" s="136"/>
    </row>
    <row r="132" spans="1:116">
      <c r="A132" s="136"/>
      <c r="B132" s="136"/>
      <c r="C132" s="136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45"/>
      <c r="O132" s="136"/>
      <c r="P132" s="145"/>
      <c r="Q132" s="145"/>
      <c r="R132" s="257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36"/>
      <c r="AF132" s="136"/>
      <c r="AG132" s="136"/>
      <c r="AH132" s="136"/>
      <c r="AI132" s="136"/>
      <c r="AJ132" s="136"/>
      <c r="AK132" s="136"/>
      <c r="AL132" s="136"/>
      <c r="AM132" s="136"/>
      <c r="AN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  <c r="AY132" s="136"/>
      <c r="AZ132" s="136"/>
      <c r="BA132" s="136"/>
      <c r="BB132" s="136"/>
      <c r="BC132" s="136"/>
      <c r="BD132" s="136"/>
      <c r="BE132" s="136"/>
      <c r="BF132" s="136"/>
      <c r="BG132" s="136"/>
      <c r="BH132" s="136"/>
      <c r="BI132" s="136"/>
      <c r="BJ132" s="136"/>
      <c r="BK132" s="136"/>
      <c r="BL132" s="136"/>
      <c r="BM132" s="136"/>
      <c r="BN132" s="136"/>
      <c r="BO132" s="136"/>
      <c r="BP132" s="136"/>
      <c r="BQ132" s="136"/>
      <c r="BR132" s="136"/>
      <c r="BS132" s="136"/>
      <c r="BT132" s="136"/>
      <c r="BU132" s="136"/>
      <c r="BV132" s="136"/>
      <c r="BW132" s="136"/>
      <c r="BX132" s="136"/>
      <c r="BY132" s="136"/>
      <c r="BZ132" s="136"/>
      <c r="CA132" s="136"/>
      <c r="CB132" s="136"/>
      <c r="CC132" s="136"/>
      <c r="CD132" s="136"/>
      <c r="CE132" s="136"/>
      <c r="CF132" s="136"/>
      <c r="CG132" s="136"/>
      <c r="CH132" s="136"/>
      <c r="CI132" s="136"/>
      <c r="CJ132" s="136"/>
      <c r="CK132" s="136"/>
      <c r="CL132" s="136"/>
      <c r="CM132" s="136"/>
      <c r="CN132" s="136"/>
      <c r="CO132" s="136"/>
      <c r="CP132" s="136"/>
      <c r="CQ132" s="136"/>
      <c r="CR132" s="136"/>
      <c r="CS132" s="136"/>
      <c r="CT132" s="136"/>
      <c r="CU132" s="136"/>
      <c r="CV132" s="136"/>
      <c r="CW132" s="136"/>
      <c r="CX132" s="136"/>
      <c r="CY132" s="136"/>
      <c r="CZ132" s="136"/>
      <c r="DA132" s="136"/>
      <c r="DB132" s="136"/>
      <c r="DC132" s="136"/>
      <c r="DD132" s="136"/>
      <c r="DE132" s="136"/>
      <c r="DF132" s="136"/>
      <c r="DG132" s="136"/>
      <c r="DH132" s="136"/>
      <c r="DI132" s="136"/>
      <c r="DJ132" s="136"/>
      <c r="DK132" s="136"/>
      <c r="DL132" s="136"/>
    </row>
    <row r="133" spans="1:116">
      <c r="A133" s="136"/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45"/>
      <c r="O133" s="136"/>
      <c r="P133" s="145"/>
      <c r="Q133" s="145"/>
      <c r="R133" s="257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136"/>
      <c r="AG133" s="136"/>
      <c r="AH133" s="136"/>
      <c r="AI133" s="136"/>
      <c r="AJ133" s="136"/>
      <c r="AK133" s="136"/>
      <c r="AL133" s="136"/>
      <c r="AM133" s="136"/>
      <c r="AN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  <c r="AY133" s="136"/>
      <c r="AZ133" s="136"/>
      <c r="BA133" s="136"/>
      <c r="BB133" s="136"/>
      <c r="BC133" s="136"/>
      <c r="BD133" s="136"/>
      <c r="BE133" s="136"/>
      <c r="BF133" s="136"/>
      <c r="BG133" s="136"/>
      <c r="BH133" s="136"/>
      <c r="BI133" s="136"/>
      <c r="BJ133" s="136"/>
      <c r="BK133" s="136"/>
      <c r="BL133" s="136"/>
      <c r="BM133" s="136"/>
      <c r="BN133" s="136"/>
      <c r="BO133" s="136"/>
      <c r="BP133" s="136"/>
      <c r="BQ133" s="136"/>
      <c r="BR133" s="136"/>
      <c r="BS133" s="136"/>
      <c r="BT133" s="136"/>
      <c r="BU133" s="136"/>
      <c r="BV133" s="136"/>
      <c r="BW133" s="136"/>
      <c r="BX133" s="136"/>
      <c r="BY133" s="136"/>
      <c r="BZ133" s="136"/>
      <c r="CA133" s="136"/>
      <c r="CB133" s="136"/>
      <c r="CC133" s="136"/>
      <c r="CD133" s="136"/>
      <c r="CE133" s="136"/>
      <c r="CF133" s="136"/>
      <c r="CG133" s="136"/>
      <c r="CH133" s="136"/>
      <c r="CI133" s="136"/>
      <c r="CJ133" s="136"/>
      <c r="CK133" s="136"/>
      <c r="CL133" s="136"/>
      <c r="CM133" s="136"/>
      <c r="CN133" s="136"/>
      <c r="CO133" s="136"/>
      <c r="CP133" s="136"/>
      <c r="CQ133" s="136"/>
      <c r="CR133" s="136"/>
      <c r="CS133" s="136"/>
      <c r="CT133" s="136"/>
      <c r="CU133" s="136"/>
      <c r="CV133" s="136"/>
      <c r="CW133" s="136"/>
      <c r="CX133" s="136"/>
      <c r="CY133" s="136"/>
      <c r="CZ133" s="136"/>
      <c r="DA133" s="136"/>
      <c r="DB133" s="136"/>
      <c r="DC133" s="136"/>
      <c r="DD133" s="136"/>
      <c r="DE133" s="136"/>
      <c r="DF133" s="136"/>
      <c r="DG133" s="136"/>
      <c r="DH133" s="136"/>
      <c r="DI133" s="136"/>
      <c r="DJ133" s="136"/>
      <c r="DK133" s="136"/>
      <c r="DL133" s="136"/>
    </row>
    <row r="134" spans="1:116">
      <c r="A134" s="136"/>
      <c r="B134" s="136"/>
      <c r="C134" s="136"/>
      <c r="D134" s="136"/>
      <c r="E134" s="136"/>
      <c r="F134" s="136"/>
      <c r="G134" s="136"/>
      <c r="H134" s="136"/>
      <c r="I134" s="136"/>
      <c r="J134" s="136"/>
      <c r="K134" s="136"/>
      <c r="L134" s="136"/>
      <c r="M134" s="136"/>
      <c r="N134" s="145"/>
      <c r="O134" s="136"/>
      <c r="P134" s="145"/>
      <c r="Q134" s="145"/>
      <c r="R134" s="257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  <c r="AY134" s="136"/>
      <c r="AZ134" s="136"/>
      <c r="BA134" s="136"/>
      <c r="BB134" s="136"/>
      <c r="BC134" s="136"/>
      <c r="BD134" s="136"/>
      <c r="BE134" s="136"/>
      <c r="BF134" s="136"/>
      <c r="BG134" s="136"/>
      <c r="BH134" s="136"/>
      <c r="BI134" s="136"/>
      <c r="BJ134" s="136"/>
      <c r="BK134" s="136"/>
      <c r="BL134" s="136"/>
      <c r="BM134" s="136"/>
      <c r="BN134" s="136"/>
      <c r="BO134" s="136"/>
      <c r="BP134" s="136"/>
      <c r="BQ134" s="136"/>
      <c r="BR134" s="136"/>
      <c r="BS134" s="136"/>
      <c r="BT134" s="136"/>
      <c r="BU134" s="136"/>
      <c r="BV134" s="136"/>
      <c r="BW134" s="136"/>
      <c r="BX134" s="136"/>
      <c r="BY134" s="136"/>
      <c r="BZ134" s="136"/>
      <c r="CA134" s="136"/>
      <c r="CB134" s="136"/>
      <c r="CC134" s="136"/>
      <c r="CD134" s="136"/>
      <c r="CE134" s="136"/>
      <c r="CF134" s="136"/>
      <c r="CG134" s="136"/>
      <c r="CH134" s="136"/>
      <c r="CI134" s="136"/>
      <c r="CJ134" s="136"/>
      <c r="CK134" s="136"/>
      <c r="CL134" s="136"/>
      <c r="CM134" s="136"/>
      <c r="CN134" s="136"/>
      <c r="CO134" s="136"/>
      <c r="CP134" s="136"/>
      <c r="CQ134" s="136"/>
      <c r="CR134" s="136"/>
      <c r="CS134" s="136"/>
      <c r="CT134" s="136"/>
      <c r="CU134" s="136"/>
      <c r="CV134" s="136"/>
      <c r="CW134" s="136"/>
      <c r="CX134" s="136"/>
      <c r="CY134" s="136"/>
      <c r="CZ134" s="136"/>
      <c r="DA134" s="136"/>
      <c r="DB134" s="136"/>
      <c r="DC134" s="136"/>
      <c r="DD134" s="136"/>
      <c r="DE134" s="136"/>
      <c r="DF134" s="136"/>
      <c r="DG134" s="136"/>
      <c r="DH134" s="136"/>
      <c r="DI134" s="136"/>
      <c r="DJ134" s="136"/>
      <c r="DK134" s="136"/>
      <c r="DL134" s="136"/>
    </row>
    <row r="135" spans="1:116">
      <c r="A135" s="136"/>
      <c r="B135" s="136"/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45"/>
      <c r="O135" s="136"/>
      <c r="P135" s="145"/>
      <c r="Q135" s="145"/>
      <c r="R135" s="257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  <c r="AY135" s="136"/>
      <c r="AZ135" s="136"/>
      <c r="BA135" s="136"/>
      <c r="BB135" s="136"/>
      <c r="BC135" s="136"/>
      <c r="BD135" s="136"/>
      <c r="BE135" s="136"/>
      <c r="BF135" s="136"/>
      <c r="BG135" s="136"/>
      <c r="BH135" s="136"/>
      <c r="BI135" s="136"/>
      <c r="BJ135" s="136"/>
      <c r="BK135" s="136"/>
      <c r="BL135" s="136"/>
      <c r="BM135" s="136"/>
      <c r="BN135" s="136"/>
      <c r="BO135" s="136"/>
      <c r="BP135" s="136"/>
      <c r="BQ135" s="136"/>
      <c r="BR135" s="136"/>
      <c r="BS135" s="136"/>
      <c r="BT135" s="136"/>
      <c r="BU135" s="136"/>
      <c r="BV135" s="136"/>
      <c r="BW135" s="136"/>
      <c r="BX135" s="136"/>
      <c r="BY135" s="136"/>
      <c r="BZ135" s="136"/>
      <c r="CA135" s="136"/>
      <c r="CB135" s="136"/>
      <c r="CC135" s="136"/>
      <c r="CD135" s="136"/>
      <c r="CE135" s="136"/>
      <c r="CF135" s="136"/>
      <c r="CG135" s="136"/>
      <c r="CH135" s="136"/>
      <c r="CI135" s="136"/>
      <c r="CJ135" s="136"/>
      <c r="CK135" s="136"/>
      <c r="CL135" s="136"/>
      <c r="CM135" s="136"/>
      <c r="CN135" s="136"/>
      <c r="CO135" s="136"/>
      <c r="CP135" s="136"/>
      <c r="CQ135" s="136"/>
      <c r="CR135" s="136"/>
      <c r="CS135" s="136"/>
      <c r="CT135" s="136"/>
      <c r="CU135" s="136"/>
      <c r="CV135" s="136"/>
      <c r="CW135" s="136"/>
      <c r="CX135" s="136"/>
      <c r="CY135" s="136"/>
      <c r="CZ135" s="136"/>
      <c r="DA135" s="136"/>
      <c r="DB135" s="136"/>
      <c r="DC135" s="136"/>
      <c r="DD135" s="136"/>
      <c r="DE135" s="136"/>
      <c r="DF135" s="136"/>
      <c r="DG135" s="136"/>
      <c r="DH135" s="136"/>
      <c r="DI135" s="136"/>
      <c r="DJ135" s="136"/>
      <c r="DK135" s="136"/>
      <c r="DL135" s="136"/>
    </row>
    <row r="136" spans="1:116">
      <c r="A136" s="136"/>
      <c r="B136" s="136"/>
      <c r="C136" s="136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45"/>
      <c r="O136" s="136"/>
      <c r="P136" s="145"/>
      <c r="Q136" s="145"/>
      <c r="R136" s="257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  <c r="AH136" s="136"/>
      <c r="AI136" s="136"/>
      <c r="AJ136" s="136"/>
      <c r="AK136" s="136"/>
      <c r="AL136" s="136"/>
      <c r="AM136" s="136"/>
      <c r="AN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  <c r="AY136" s="136"/>
      <c r="AZ136" s="136"/>
      <c r="BA136" s="136"/>
      <c r="BB136" s="136"/>
      <c r="BC136" s="136"/>
      <c r="BD136" s="136"/>
      <c r="BE136" s="136"/>
      <c r="BF136" s="136"/>
      <c r="BG136" s="136"/>
      <c r="BH136" s="136"/>
      <c r="BI136" s="136"/>
      <c r="BJ136" s="136"/>
      <c r="BK136" s="136"/>
      <c r="BL136" s="136"/>
      <c r="BM136" s="136"/>
      <c r="BN136" s="136"/>
      <c r="BO136" s="136"/>
      <c r="BP136" s="136"/>
      <c r="BQ136" s="136"/>
      <c r="BR136" s="136"/>
      <c r="BS136" s="136"/>
      <c r="BT136" s="136"/>
      <c r="BU136" s="136"/>
      <c r="BV136" s="136"/>
      <c r="BW136" s="136"/>
      <c r="BX136" s="136"/>
      <c r="BY136" s="136"/>
      <c r="BZ136" s="136"/>
      <c r="CA136" s="136"/>
      <c r="CB136" s="136"/>
      <c r="CC136" s="136"/>
      <c r="CD136" s="136"/>
      <c r="CE136" s="136"/>
      <c r="CF136" s="136"/>
      <c r="CG136" s="136"/>
      <c r="CH136" s="136"/>
      <c r="CI136" s="136"/>
      <c r="CJ136" s="136"/>
      <c r="CK136" s="136"/>
      <c r="CL136" s="136"/>
      <c r="CM136" s="136"/>
      <c r="CN136" s="136"/>
      <c r="CO136" s="136"/>
      <c r="CP136" s="136"/>
      <c r="CQ136" s="136"/>
      <c r="CR136" s="136"/>
      <c r="CS136" s="136"/>
      <c r="CT136" s="136"/>
      <c r="CU136" s="136"/>
      <c r="CV136" s="136"/>
      <c r="CW136" s="136"/>
      <c r="CX136" s="136"/>
      <c r="CY136" s="136"/>
      <c r="CZ136" s="136"/>
      <c r="DA136" s="136"/>
      <c r="DB136" s="136"/>
      <c r="DC136" s="136"/>
      <c r="DD136" s="136"/>
      <c r="DE136" s="136"/>
      <c r="DF136" s="136"/>
      <c r="DG136" s="136"/>
      <c r="DH136" s="136"/>
      <c r="DI136" s="136"/>
      <c r="DJ136" s="136"/>
      <c r="DK136" s="136"/>
      <c r="DL136" s="136"/>
    </row>
    <row r="137" spans="1:116">
      <c r="A137" s="136"/>
      <c r="B137" s="136"/>
      <c r="C137" s="136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45"/>
      <c r="O137" s="136"/>
      <c r="P137" s="145"/>
      <c r="Q137" s="145"/>
      <c r="R137" s="257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136"/>
      <c r="AG137" s="136"/>
      <c r="AH137" s="136"/>
      <c r="AI137" s="136"/>
      <c r="AJ137" s="136"/>
      <c r="AK137" s="136"/>
      <c r="AL137" s="136"/>
      <c r="AM137" s="136"/>
      <c r="AN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  <c r="AY137" s="136"/>
      <c r="AZ137" s="136"/>
      <c r="BA137" s="136"/>
      <c r="BB137" s="136"/>
      <c r="BC137" s="136"/>
      <c r="BD137" s="136"/>
      <c r="BE137" s="136"/>
      <c r="BF137" s="136"/>
      <c r="BG137" s="136"/>
      <c r="BH137" s="136"/>
      <c r="BI137" s="136"/>
      <c r="BJ137" s="136"/>
      <c r="BK137" s="136"/>
      <c r="BL137" s="136"/>
      <c r="BM137" s="136"/>
      <c r="BN137" s="136"/>
      <c r="BO137" s="136"/>
      <c r="BP137" s="136"/>
      <c r="BQ137" s="136"/>
      <c r="BR137" s="136"/>
      <c r="BS137" s="136"/>
      <c r="BT137" s="136"/>
      <c r="BU137" s="136"/>
      <c r="BV137" s="136"/>
      <c r="BW137" s="136"/>
      <c r="BX137" s="136"/>
      <c r="BY137" s="136"/>
      <c r="BZ137" s="136"/>
      <c r="CA137" s="136"/>
      <c r="CB137" s="136"/>
      <c r="CC137" s="136"/>
      <c r="CD137" s="136"/>
      <c r="CE137" s="136"/>
      <c r="CF137" s="136"/>
      <c r="CG137" s="136"/>
      <c r="CH137" s="136"/>
      <c r="CI137" s="136"/>
      <c r="CJ137" s="136"/>
      <c r="CK137" s="136"/>
      <c r="CL137" s="136"/>
      <c r="CM137" s="136"/>
      <c r="CN137" s="136"/>
      <c r="CO137" s="136"/>
      <c r="CP137" s="136"/>
      <c r="CQ137" s="136"/>
      <c r="CR137" s="136"/>
      <c r="CS137" s="136"/>
      <c r="CT137" s="136"/>
      <c r="CU137" s="136"/>
      <c r="CV137" s="136"/>
      <c r="CW137" s="136"/>
      <c r="CX137" s="136"/>
      <c r="CY137" s="136"/>
      <c r="CZ137" s="136"/>
      <c r="DA137" s="136"/>
      <c r="DB137" s="136"/>
      <c r="DC137" s="136"/>
      <c r="DD137" s="136"/>
      <c r="DE137" s="136"/>
      <c r="DF137" s="136"/>
      <c r="DG137" s="136"/>
      <c r="DH137" s="136"/>
      <c r="DI137" s="136"/>
      <c r="DJ137" s="136"/>
      <c r="DK137" s="136"/>
      <c r="DL137" s="136"/>
    </row>
    <row r="138" spans="1:116">
      <c r="A138" s="136"/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45"/>
      <c r="O138" s="136"/>
      <c r="P138" s="145"/>
      <c r="Q138" s="145"/>
      <c r="R138" s="257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  <c r="AY138" s="136"/>
      <c r="AZ138" s="136"/>
      <c r="BA138" s="136"/>
      <c r="BB138" s="136"/>
      <c r="BC138" s="136"/>
      <c r="BD138" s="136"/>
      <c r="BE138" s="136"/>
      <c r="BF138" s="136"/>
      <c r="BG138" s="136"/>
      <c r="BH138" s="136"/>
      <c r="BI138" s="136"/>
      <c r="BJ138" s="136"/>
      <c r="BK138" s="136"/>
      <c r="BL138" s="136"/>
      <c r="BM138" s="136"/>
      <c r="BN138" s="136"/>
      <c r="BO138" s="136"/>
      <c r="BP138" s="136"/>
      <c r="BQ138" s="136"/>
      <c r="BR138" s="136"/>
      <c r="BS138" s="136"/>
      <c r="BT138" s="136"/>
      <c r="BU138" s="136"/>
      <c r="BV138" s="136"/>
      <c r="BW138" s="136"/>
      <c r="BX138" s="136"/>
      <c r="BY138" s="136"/>
      <c r="BZ138" s="136"/>
      <c r="CA138" s="136"/>
      <c r="CB138" s="136"/>
      <c r="CC138" s="136"/>
      <c r="CD138" s="136"/>
      <c r="CE138" s="136"/>
      <c r="CF138" s="136"/>
      <c r="CG138" s="136"/>
      <c r="CH138" s="136"/>
      <c r="CI138" s="136"/>
      <c r="CJ138" s="136"/>
      <c r="CK138" s="136"/>
      <c r="CL138" s="136"/>
      <c r="CM138" s="136"/>
      <c r="CN138" s="136"/>
      <c r="CO138" s="136"/>
      <c r="CP138" s="136"/>
      <c r="CQ138" s="136"/>
      <c r="CR138" s="136"/>
      <c r="CS138" s="136"/>
      <c r="CT138" s="136"/>
      <c r="CU138" s="136"/>
      <c r="CV138" s="136"/>
      <c r="CW138" s="136"/>
      <c r="CX138" s="136"/>
      <c r="CY138" s="136"/>
      <c r="CZ138" s="136"/>
      <c r="DA138" s="136"/>
      <c r="DB138" s="136"/>
      <c r="DC138" s="136"/>
      <c r="DD138" s="136"/>
      <c r="DE138" s="136"/>
      <c r="DF138" s="136"/>
      <c r="DG138" s="136"/>
      <c r="DH138" s="136"/>
      <c r="DI138" s="136"/>
      <c r="DJ138" s="136"/>
      <c r="DK138" s="136"/>
      <c r="DL138" s="136"/>
    </row>
    <row r="139" spans="1:116">
      <c r="A139" s="136"/>
      <c r="B139" s="136"/>
      <c r="C139" s="136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45"/>
      <c r="O139" s="136"/>
      <c r="P139" s="145"/>
      <c r="Q139" s="145"/>
      <c r="R139" s="257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  <c r="AY139" s="136"/>
      <c r="AZ139" s="136"/>
      <c r="BA139" s="136"/>
      <c r="BB139" s="136"/>
      <c r="BC139" s="136"/>
      <c r="BD139" s="136"/>
      <c r="BE139" s="136"/>
      <c r="BF139" s="136"/>
      <c r="BG139" s="136"/>
      <c r="BH139" s="136"/>
      <c r="BI139" s="136"/>
      <c r="BJ139" s="136"/>
      <c r="BK139" s="136"/>
      <c r="BL139" s="136"/>
      <c r="BM139" s="136"/>
      <c r="BN139" s="136"/>
      <c r="BO139" s="136"/>
      <c r="BP139" s="136"/>
      <c r="BQ139" s="136"/>
      <c r="BR139" s="136"/>
      <c r="BS139" s="136"/>
      <c r="BT139" s="136"/>
      <c r="BU139" s="136"/>
      <c r="BV139" s="136"/>
      <c r="BW139" s="136"/>
      <c r="BX139" s="136"/>
      <c r="BY139" s="136"/>
      <c r="BZ139" s="136"/>
      <c r="CA139" s="136"/>
      <c r="CB139" s="136"/>
      <c r="CC139" s="136"/>
      <c r="CD139" s="136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6"/>
      <c r="CT139" s="136"/>
      <c r="CU139" s="136"/>
      <c r="CV139" s="136"/>
      <c r="CW139" s="136"/>
      <c r="CX139" s="136"/>
      <c r="CY139" s="136"/>
      <c r="CZ139" s="136"/>
      <c r="DA139" s="136"/>
      <c r="DB139" s="136"/>
      <c r="DC139" s="136"/>
      <c r="DD139" s="136"/>
      <c r="DE139" s="136"/>
      <c r="DF139" s="136"/>
      <c r="DG139" s="136"/>
      <c r="DH139" s="136"/>
      <c r="DI139" s="136"/>
      <c r="DJ139" s="136"/>
      <c r="DK139" s="136"/>
      <c r="DL139" s="136"/>
    </row>
    <row r="140" spans="1:116">
      <c r="A140" s="136"/>
      <c r="B140" s="136"/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45"/>
      <c r="O140" s="136"/>
      <c r="P140" s="145"/>
      <c r="Q140" s="145"/>
      <c r="R140" s="257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136"/>
      <c r="AG140" s="136"/>
      <c r="AH140" s="136"/>
      <c r="AI140" s="136"/>
      <c r="AJ140" s="136"/>
      <c r="AK140" s="136"/>
      <c r="AL140" s="136"/>
      <c r="AM140" s="136"/>
      <c r="AN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  <c r="AY140" s="136"/>
      <c r="AZ140" s="136"/>
      <c r="BA140" s="136"/>
      <c r="BB140" s="136"/>
      <c r="BC140" s="136"/>
      <c r="BD140" s="136"/>
      <c r="BE140" s="136"/>
      <c r="BF140" s="136"/>
      <c r="BG140" s="136"/>
      <c r="BH140" s="136"/>
      <c r="BI140" s="136"/>
      <c r="BJ140" s="136"/>
      <c r="BK140" s="136"/>
      <c r="BL140" s="136"/>
      <c r="BM140" s="136"/>
      <c r="BN140" s="136"/>
      <c r="BO140" s="136"/>
      <c r="BP140" s="136"/>
      <c r="BQ140" s="136"/>
      <c r="BR140" s="136"/>
      <c r="BS140" s="136"/>
      <c r="BT140" s="136"/>
      <c r="BU140" s="136"/>
      <c r="BV140" s="136"/>
      <c r="BW140" s="136"/>
      <c r="BX140" s="136"/>
      <c r="BY140" s="136"/>
      <c r="BZ140" s="136"/>
      <c r="CA140" s="136"/>
      <c r="CB140" s="136"/>
      <c r="CC140" s="136"/>
      <c r="CD140" s="136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6"/>
      <c r="CT140" s="136"/>
      <c r="CU140" s="136"/>
      <c r="CV140" s="136"/>
      <c r="CW140" s="136"/>
      <c r="CX140" s="136"/>
      <c r="CY140" s="136"/>
      <c r="CZ140" s="136"/>
      <c r="DA140" s="136"/>
      <c r="DB140" s="136"/>
      <c r="DC140" s="136"/>
      <c r="DD140" s="136"/>
      <c r="DE140" s="136"/>
      <c r="DF140" s="136"/>
      <c r="DG140" s="136"/>
      <c r="DH140" s="136"/>
      <c r="DI140" s="136"/>
      <c r="DJ140" s="136"/>
      <c r="DK140" s="136"/>
      <c r="DL140" s="136"/>
    </row>
    <row r="141" spans="1:116">
      <c r="A141" s="136"/>
      <c r="B141" s="136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45"/>
      <c r="O141" s="136"/>
      <c r="P141" s="145"/>
      <c r="Q141" s="145"/>
      <c r="R141" s="257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136"/>
      <c r="AG141" s="136"/>
      <c r="AH141" s="136"/>
      <c r="AI141" s="136"/>
      <c r="AJ141" s="136"/>
      <c r="AK141" s="136"/>
      <c r="AL141" s="136"/>
      <c r="AM141" s="136"/>
      <c r="AN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  <c r="AY141" s="136"/>
      <c r="AZ141" s="136"/>
      <c r="BA141" s="136"/>
      <c r="BB141" s="136"/>
      <c r="BC141" s="136"/>
      <c r="BD141" s="136"/>
      <c r="BE141" s="136"/>
      <c r="BF141" s="136"/>
      <c r="BG141" s="136"/>
      <c r="BH141" s="136"/>
      <c r="BI141" s="136"/>
      <c r="BJ141" s="136"/>
      <c r="BK141" s="136"/>
      <c r="BL141" s="136"/>
      <c r="BM141" s="136"/>
      <c r="BN141" s="136"/>
      <c r="BO141" s="136"/>
      <c r="BP141" s="136"/>
      <c r="BQ141" s="136"/>
      <c r="BR141" s="136"/>
      <c r="BS141" s="136"/>
      <c r="BT141" s="136"/>
      <c r="BU141" s="136"/>
      <c r="BV141" s="136"/>
      <c r="BW141" s="136"/>
      <c r="BX141" s="136"/>
      <c r="BY141" s="136"/>
      <c r="BZ141" s="136"/>
      <c r="CA141" s="136"/>
      <c r="CB141" s="136"/>
      <c r="CC141" s="136"/>
      <c r="CD141" s="136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6"/>
      <c r="CT141" s="136"/>
      <c r="CU141" s="136"/>
      <c r="CV141" s="136"/>
      <c r="CW141" s="136"/>
      <c r="CX141" s="136"/>
      <c r="CY141" s="136"/>
      <c r="CZ141" s="136"/>
      <c r="DA141" s="136"/>
      <c r="DB141" s="136"/>
      <c r="DC141" s="136"/>
      <c r="DD141" s="136"/>
      <c r="DE141" s="136"/>
      <c r="DF141" s="136"/>
      <c r="DG141" s="136"/>
      <c r="DH141" s="136"/>
      <c r="DI141" s="136"/>
      <c r="DJ141" s="136"/>
      <c r="DK141" s="136"/>
      <c r="DL141" s="136"/>
    </row>
    <row r="142" spans="1:116">
      <c r="A142" s="136"/>
      <c r="B142" s="136"/>
      <c r="C142" s="136"/>
      <c r="D142" s="136"/>
      <c r="E142" s="136"/>
      <c r="F142" s="136"/>
      <c r="G142" s="136"/>
      <c r="H142" s="136"/>
      <c r="I142" s="136"/>
      <c r="J142" s="136"/>
      <c r="K142" s="136"/>
      <c r="L142" s="136"/>
      <c r="M142" s="136"/>
      <c r="N142" s="145"/>
      <c r="O142" s="136"/>
      <c r="P142" s="145"/>
      <c r="Q142" s="145"/>
      <c r="R142" s="257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  <c r="AJ142" s="136"/>
      <c r="AK142" s="136"/>
      <c r="AL142" s="136"/>
      <c r="AM142" s="136"/>
      <c r="AN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  <c r="AY142" s="136"/>
      <c r="AZ142" s="136"/>
      <c r="BA142" s="136"/>
      <c r="BB142" s="136"/>
      <c r="BC142" s="136"/>
      <c r="BD142" s="136"/>
      <c r="BE142" s="136"/>
      <c r="BF142" s="136"/>
      <c r="BG142" s="136"/>
      <c r="BH142" s="136"/>
      <c r="BI142" s="136"/>
      <c r="BJ142" s="136"/>
      <c r="BK142" s="136"/>
      <c r="BL142" s="136"/>
      <c r="BM142" s="136"/>
      <c r="BN142" s="136"/>
      <c r="BO142" s="136"/>
      <c r="BP142" s="136"/>
      <c r="BQ142" s="136"/>
      <c r="BR142" s="136"/>
      <c r="BS142" s="136"/>
      <c r="BT142" s="136"/>
      <c r="BU142" s="136"/>
      <c r="BV142" s="136"/>
      <c r="BW142" s="136"/>
      <c r="BX142" s="136"/>
      <c r="BY142" s="136"/>
      <c r="BZ142" s="136"/>
      <c r="CA142" s="136"/>
      <c r="CB142" s="136"/>
      <c r="CC142" s="136"/>
      <c r="CD142" s="136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6"/>
      <c r="CT142" s="136"/>
      <c r="CU142" s="136"/>
      <c r="CV142" s="136"/>
      <c r="CW142" s="136"/>
      <c r="CX142" s="136"/>
      <c r="CY142" s="136"/>
      <c r="CZ142" s="136"/>
      <c r="DA142" s="136"/>
      <c r="DB142" s="136"/>
      <c r="DC142" s="136"/>
      <c r="DD142" s="136"/>
      <c r="DE142" s="136"/>
      <c r="DF142" s="136"/>
      <c r="DG142" s="136"/>
      <c r="DH142" s="136"/>
      <c r="DI142" s="136"/>
      <c r="DJ142" s="136"/>
      <c r="DK142" s="136"/>
      <c r="DL142" s="136"/>
    </row>
    <row r="143" spans="1:116">
      <c r="A143" s="136"/>
      <c r="B143" s="136"/>
      <c r="C143" s="136"/>
      <c r="D143" s="136"/>
      <c r="E143" s="136"/>
      <c r="F143" s="136"/>
      <c r="G143" s="136"/>
      <c r="H143" s="136"/>
      <c r="I143" s="136"/>
      <c r="J143" s="136"/>
      <c r="K143" s="136"/>
      <c r="L143" s="136"/>
      <c r="M143" s="136"/>
      <c r="N143" s="145"/>
      <c r="O143" s="136"/>
      <c r="P143" s="145"/>
      <c r="Q143" s="145"/>
      <c r="R143" s="257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136"/>
      <c r="AG143" s="136"/>
      <c r="AH143" s="136"/>
      <c r="AI143" s="136"/>
      <c r="AJ143" s="136"/>
      <c r="AK143" s="136"/>
      <c r="AL143" s="136"/>
      <c r="AM143" s="136"/>
      <c r="AN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  <c r="AY143" s="136"/>
      <c r="AZ143" s="136"/>
      <c r="BA143" s="136"/>
      <c r="BB143" s="136"/>
      <c r="BC143" s="136"/>
      <c r="BD143" s="136"/>
      <c r="BE143" s="136"/>
      <c r="BF143" s="136"/>
      <c r="BG143" s="136"/>
      <c r="BH143" s="136"/>
      <c r="BI143" s="136"/>
      <c r="BJ143" s="136"/>
      <c r="BK143" s="136"/>
      <c r="BL143" s="136"/>
      <c r="BM143" s="136"/>
      <c r="BN143" s="136"/>
      <c r="BO143" s="136"/>
      <c r="BP143" s="136"/>
      <c r="BQ143" s="136"/>
      <c r="BR143" s="136"/>
      <c r="BS143" s="136"/>
      <c r="BT143" s="136"/>
      <c r="BU143" s="136"/>
      <c r="BV143" s="136"/>
      <c r="BW143" s="136"/>
      <c r="BX143" s="136"/>
      <c r="BY143" s="136"/>
      <c r="BZ143" s="136"/>
      <c r="CA143" s="136"/>
      <c r="CB143" s="136"/>
      <c r="CC143" s="136"/>
      <c r="CD143" s="136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36"/>
      <c r="CT143" s="136"/>
      <c r="CU143" s="136"/>
      <c r="CV143" s="136"/>
      <c r="CW143" s="136"/>
      <c r="CX143" s="136"/>
      <c r="CY143" s="136"/>
      <c r="CZ143" s="136"/>
      <c r="DA143" s="136"/>
      <c r="DB143" s="136"/>
      <c r="DC143" s="136"/>
      <c r="DD143" s="136"/>
      <c r="DE143" s="136"/>
      <c r="DF143" s="136"/>
      <c r="DG143" s="136"/>
      <c r="DH143" s="136"/>
      <c r="DI143" s="136"/>
      <c r="DJ143" s="136"/>
      <c r="DK143" s="136"/>
      <c r="DL143" s="136"/>
    </row>
    <row r="144" spans="1:116">
      <c r="A144" s="136"/>
      <c r="B144" s="136"/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45"/>
      <c r="O144" s="136"/>
      <c r="P144" s="145"/>
      <c r="Q144" s="145"/>
      <c r="R144" s="257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  <c r="AH144" s="136"/>
      <c r="AI144" s="136"/>
      <c r="AJ144" s="136"/>
      <c r="AK144" s="136"/>
      <c r="AL144" s="136"/>
      <c r="AM144" s="136"/>
      <c r="AN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  <c r="AY144" s="136"/>
      <c r="AZ144" s="136"/>
      <c r="BA144" s="136"/>
      <c r="BB144" s="136"/>
      <c r="BC144" s="136"/>
      <c r="BD144" s="136"/>
      <c r="BE144" s="136"/>
      <c r="BF144" s="136"/>
      <c r="BG144" s="136"/>
      <c r="BH144" s="136"/>
      <c r="BI144" s="136"/>
      <c r="BJ144" s="136"/>
      <c r="BK144" s="136"/>
      <c r="BL144" s="136"/>
      <c r="BM144" s="136"/>
      <c r="BN144" s="136"/>
      <c r="BO144" s="136"/>
      <c r="BP144" s="136"/>
      <c r="BQ144" s="136"/>
      <c r="BR144" s="136"/>
      <c r="BS144" s="136"/>
      <c r="BT144" s="136"/>
      <c r="BU144" s="136"/>
      <c r="BV144" s="136"/>
      <c r="BW144" s="136"/>
      <c r="BX144" s="136"/>
      <c r="BY144" s="136"/>
      <c r="BZ144" s="136"/>
      <c r="CA144" s="136"/>
      <c r="CB144" s="136"/>
      <c r="CC144" s="136"/>
      <c r="CD144" s="136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6"/>
      <c r="CT144" s="136"/>
      <c r="CU144" s="136"/>
      <c r="CV144" s="136"/>
      <c r="CW144" s="136"/>
      <c r="CX144" s="136"/>
      <c r="CY144" s="136"/>
      <c r="CZ144" s="136"/>
      <c r="DA144" s="136"/>
      <c r="DB144" s="136"/>
      <c r="DC144" s="136"/>
      <c r="DD144" s="136"/>
      <c r="DE144" s="136"/>
      <c r="DF144" s="136"/>
      <c r="DG144" s="136"/>
      <c r="DH144" s="136"/>
      <c r="DI144" s="136"/>
      <c r="DJ144" s="136"/>
      <c r="DK144" s="136"/>
      <c r="DL144" s="136"/>
    </row>
    <row r="145" spans="1:116">
      <c r="A145" s="136"/>
      <c r="B145" s="136"/>
      <c r="C145" s="136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45"/>
      <c r="O145" s="136"/>
      <c r="P145" s="145"/>
      <c r="Q145" s="145"/>
      <c r="R145" s="257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136"/>
      <c r="AG145" s="136"/>
      <c r="AH145" s="136"/>
      <c r="AI145" s="136"/>
      <c r="AJ145" s="136"/>
      <c r="AK145" s="136"/>
      <c r="AL145" s="136"/>
      <c r="AM145" s="136"/>
      <c r="AN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  <c r="AY145" s="136"/>
      <c r="AZ145" s="136"/>
      <c r="BA145" s="136"/>
      <c r="BB145" s="136"/>
      <c r="BC145" s="136"/>
      <c r="BD145" s="136"/>
      <c r="BE145" s="136"/>
      <c r="BF145" s="136"/>
      <c r="BG145" s="136"/>
      <c r="BH145" s="136"/>
      <c r="BI145" s="136"/>
      <c r="BJ145" s="136"/>
      <c r="BK145" s="136"/>
      <c r="BL145" s="136"/>
      <c r="BM145" s="136"/>
      <c r="BN145" s="136"/>
      <c r="BO145" s="136"/>
      <c r="BP145" s="136"/>
      <c r="BQ145" s="136"/>
      <c r="BR145" s="136"/>
      <c r="BS145" s="136"/>
      <c r="BT145" s="136"/>
      <c r="BU145" s="136"/>
      <c r="BV145" s="136"/>
      <c r="BW145" s="136"/>
      <c r="BX145" s="136"/>
      <c r="BY145" s="136"/>
      <c r="BZ145" s="136"/>
      <c r="CA145" s="136"/>
      <c r="CB145" s="136"/>
      <c r="CC145" s="136"/>
      <c r="CD145" s="136"/>
      <c r="CE145" s="136"/>
      <c r="CF145" s="136"/>
      <c r="CG145" s="136"/>
      <c r="CH145" s="136"/>
      <c r="CI145" s="136"/>
      <c r="CJ145" s="136"/>
      <c r="CK145" s="136"/>
      <c r="CL145" s="136"/>
      <c r="CM145" s="136"/>
      <c r="CN145" s="136"/>
      <c r="CO145" s="136"/>
      <c r="CP145" s="136"/>
      <c r="CQ145" s="136"/>
      <c r="CR145" s="136"/>
      <c r="CS145" s="136"/>
      <c r="CT145" s="136"/>
      <c r="CU145" s="136"/>
      <c r="CV145" s="136"/>
      <c r="CW145" s="136"/>
      <c r="CX145" s="136"/>
      <c r="CY145" s="136"/>
      <c r="CZ145" s="136"/>
      <c r="DA145" s="136"/>
      <c r="DB145" s="136"/>
      <c r="DC145" s="136"/>
      <c r="DD145" s="136"/>
      <c r="DE145" s="136"/>
      <c r="DF145" s="136"/>
      <c r="DG145" s="136"/>
      <c r="DH145" s="136"/>
      <c r="DI145" s="136"/>
      <c r="DJ145" s="136"/>
      <c r="DK145" s="136"/>
      <c r="DL145" s="136"/>
    </row>
    <row r="146" spans="1:116">
      <c r="A146" s="136"/>
      <c r="B146" s="136"/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45"/>
      <c r="O146" s="136"/>
      <c r="P146" s="145"/>
      <c r="Q146" s="145"/>
      <c r="R146" s="257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136"/>
      <c r="AG146" s="136"/>
      <c r="AH146" s="136"/>
      <c r="AI146" s="136"/>
      <c r="AJ146" s="136"/>
      <c r="AK146" s="136"/>
      <c r="AL146" s="136"/>
      <c r="AM146" s="136"/>
      <c r="AN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  <c r="AY146" s="136"/>
      <c r="AZ146" s="136"/>
      <c r="BA146" s="136"/>
      <c r="BB146" s="136"/>
      <c r="BC146" s="136"/>
      <c r="BD146" s="136"/>
      <c r="BE146" s="136"/>
      <c r="BF146" s="136"/>
      <c r="BG146" s="136"/>
      <c r="BH146" s="136"/>
      <c r="BI146" s="136"/>
      <c r="BJ146" s="136"/>
      <c r="BK146" s="136"/>
      <c r="BL146" s="136"/>
      <c r="BM146" s="136"/>
      <c r="BN146" s="136"/>
      <c r="BO146" s="136"/>
      <c r="BP146" s="136"/>
      <c r="BQ146" s="136"/>
      <c r="BR146" s="136"/>
      <c r="BS146" s="136"/>
      <c r="BT146" s="136"/>
      <c r="BU146" s="136"/>
      <c r="BV146" s="136"/>
      <c r="BW146" s="136"/>
      <c r="BX146" s="136"/>
      <c r="BY146" s="136"/>
      <c r="BZ146" s="136"/>
      <c r="CA146" s="136"/>
      <c r="CB146" s="136"/>
      <c r="CC146" s="136"/>
      <c r="CD146" s="136"/>
      <c r="CE146" s="136"/>
      <c r="CF146" s="136"/>
      <c r="CG146" s="136"/>
      <c r="CH146" s="136"/>
      <c r="CI146" s="136"/>
      <c r="CJ146" s="136"/>
      <c r="CK146" s="136"/>
      <c r="CL146" s="136"/>
      <c r="CM146" s="136"/>
      <c r="CN146" s="136"/>
      <c r="CO146" s="136"/>
      <c r="CP146" s="136"/>
      <c r="CQ146" s="136"/>
      <c r="CR146" s="136"/>
      <c r="CS146" s="136"/>
      <c r="CT146" s="136"/>
      <c r="CU146" s="136"/>
      <c r="CV146" s="136"/>
      <c r="CW146" s="136"/>
      <c r="CX146" s="136"/>
      <c r="CY146" s="136"/>
      <c r="CZ146" s="136"/>
      <c r="DA146" s="136"/>
      <c r="DB146" s="136"/>
      <c r="DC146" s="136"/>
      <c r="DD146" s="136"/>
      <c r="DE146" s="136"/>
      <c r="DF146" s="136"/>
      <c r="DG146" s="136"/>
      <c r="DH146" s="136"/>
      <c r="DI146" s="136"/>
      <c r="DJ146" s="136"/>
      <c r="DK146" s="136"/>
      <c r="DL146" s="136"/>
    </row>
    <row r="147" spans="1:116">
      <c r="A147" s="136"/>
      <c r="B147" s="136"/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45"/>
      <c r="O147" s="136"/>
      <c r="P147" s="145"/>
      <c r="Q147" s="145"/>
      <c r="R147" s="257"/>
      <c r="S147" s="136"/>
      <c r="T147" s="136"/>
      <c r="U147" s="136"/>
      <c r="V147" s="136"/>
      <c r="W147" s="136"/>
      <c r="X147" s="136"/>
      <c r="Y147" s="136"/>
      <c r="Z147" s="136"/>
      <c r="AA147" s="136"/>
      <c r="AB147" s="136"/>
      <c r="AC147" s="136"/>
      <c r="AD147" s="136"/>
      <c r="AE147" s="136"/>
      <c r="AF147" s="136"/>
      <c r="AG147" s="136"/>
      <c r="AH147" s="136"/>
      <c r="AI147" s="136"/>
      <c r="AJ147" s="136"/>
      <c r="AK147" s="136"/>
      <c r="AL147" s="136"/>
      <c r="AM147" s="136"/>
      <c r="AN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  <c r="AY147" s="136"/>
      <c r="AZ147" s="136"/>
      <c r="BA147" s="136"/>
      <c r="BB147" s="136"/>
      <c r="BC147" s="136"/>
      <c r="BD147" s="136"/>
      <c r="BE147" s="136"/>
      <c r="BF147" s="136"/>
      <c r="BG147" s="136"/>
      <c r="BH147" s="136"/>
      <c r="BI147" s="136"/>
      <c r="BJ147" s="136"/>
      <c r="BK147" s="136"/>
      <c r="BL147" s="136"/>
      <c r="BM147" s="136"/>
      <c r="BN147" s="136"/>
      <c r="BO147" s="136"/>
      <c r="BP147" s="136"/>
      <c r="BQ147" s="136"/>
      <c r="BR147" s="136"/>
      <c r="BS147" s="136"/>
      <c r="BT147" s="136"/>
      <c r="BU147" s="136"/>
      <c r="BV147" s="136"/>
      <c r="BW147" s="136"/>
      <c r="BX147" s="136"/>
      <c r="BY147" s="136"/>
      <c r="BZ147" s="136"/>
      <c r="CA147" s="136"/>
      <c r="CB147" s="136"/>
      <c r="CC147" s="136"/>
      <c r="CD147" s="136"/>
      <c r="CE147" s="136"/>
      <c r="CF147" s="136"/>
      <c r="CG147" s="136"/>
      <c r="CH147" s="136"/>
      <c r="CI147" s="136"/>
      <c r="CJ147" s="136"/>
      <c r="CK147" s="136"/>
      <c r="CL147" s="136"/>
      <c r="CM147" s="136"/>
      <c r="CN147" s="136"/>
      <c r="CO147" s="136"/>
      <c r="CP147" s="136"/>
      <c r="CQ147" s="136"/>
      <c r="CR147" s="136"/>
      <c r="CS147" s="136"/>
      <c r="CT147" s="136"/>
      <c r="CU147" s="136"/>
      <c r="CV147" s="136"/>
      <c r="CW147" s="136"/>
      <c r="CX147" s="136"/>
      <c r="CY147" s="136"/>
      <c r="CZ147" s="136"/>
      <c r="DA147" s="136"/>
      <c r="DB147" s="136"/>
      <c r="DC147" s="136"/>
      <c r="DD147" s="136"/>
      <c r="DE147" s="136"/>
      <c r="DF147" s="136"/>
      <c r="DG147" s="136"/>
      <c r="DH147" s="136"/>
      <c r="DI147" s="136"/>
      <c r="DJ147" s="136"/>
      <c r="DK147" s="136"/>
      <c r="DL147" s="136"/>
    </row>
    <row r="148" spans="1:116">
      <c r="A148" s="136"/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45"/>
      <c r="O148" s="136"/>
      <c r="P148" s="145"/>
      <c r="Q148" s="145"/>
      <c r="R148" s="257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136"/>
      <c r="AG148" s="136"/>
      <c r="AH148" s="136"/>
      <c r="AI148" s="136"/>
      <c r="AJ148" s="136"/>
      <c r="AK148" s="136"/>
      <c r="AL148" s="136"/>
      <c r="AM148" s="136"/>
      <c r="AN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  <c r="AY148" s="136"/>
      <c r="AZ148" s="136"/>
      <c r="BA148" s="136"/>
      <c r="BB148" s="136"/>
      <c r="BC148" s="136"/>
      <c r="BD148" s="136"/>
      <c r="BE148" s="136"/>
      <c r="BF148" s="136"/>
      <c r="BG148" s="136"/>
      <c r="BH148" s="136"/>
      <c r="BI148" s="136"/>
      <c r="BJ148" s="136"/>
      <c r="BK148" s="136"/>
      <c r="BL148" s="136"/>
      <c r="BM148" s="136"/>
      <c r="BN148" s="136"/>
      <c r="BO148" s="136"/>
      <c r="BP148" s="136"/>
      <c r="BQ148" s="136"/>
      <c r="BR148" s="136"/>
      <c r="BS148" s="136"/>
      <c r="BT148" s="136"/>
      <c r="BU148" s="136"/>
      <c r="BV148" s="136"/>
      <c r="BW148" s="136"/>
      <c r="BX148" s="136"/>
      <c r="BY148" s="136"/>
      <c r="BZ148" s="136"/>
      <c r="CA148" s="136"/>
      <c r="CB148" s="136"/>
      <c r="CC148" s="136"/>
      <c r="CD148" s="136"/>
      <c r="CE148" s="136"/>
      <c r="CF148" s="136"/>
      <c r="CG148" s="136"/>
      <c r="CH148" s="136"/>
      <c r="CI148" s="136"/>
      <c r="CJ148" s="136"/>
      <c r="CK148" s="136"/>
      <c r="CL148" s="136"/>
      <c r="CM148" s="136"/>
      <c r="CN148" s="136"/>
      <c r="CO148" s="136"/>
      <c r="CP148" s="136"/>
      <c r="CQ148" s="136"/>
      <c r="CR148" s="136"/>
      <c r="CS148" s="136"/>
      <c r="CT148" s="136"/>
      <c r="CU148" s="136"/>
      <c r="CV148" s="136"/>
      <c r="CW148" s="136"/>
      <c r="CX148" s="136"/>
      <c r="CY148" s="136"/>
      <c r="CZ148" s="136"/>
      <c r="DA148" s="136"/>
      <c r="DB148" s="136"/>
      <c r="DC148" s="136"/>
      <c r="DD148" s="136"/>
      <c r="DE148" s="136"/>
      <c r="DF148" s="136"/>
      <c r="DG148" s="136"/>
      <c r="DH148" s="136"/>
      <c r="DI148" s="136"/>
      <c r="DJ148" s="136"/>
      <c r="DK148" s="136"/>
      <c r="DL148" s="136"/>
    </row>
    <row r="149" spans="1:116">
      <c r="A149" s="136"/>
      <c r="B149" s="136"/>
      <c r="C149" s="136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45"/>
      <c r="O149" s="136"/>
      <c r="P149" s="145"/>
      <c r="Q149" s="145"/>
      <c r="R149" s="257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136"/>
      <c r="AG149" s="136"/>
      <c r="AH149" s="136"/>
      <c r="AI149" s="136"/>
      <c r="AJ149" s="136"/>
      <c r="AK149" s="136"/>
      <c r="AL149" s="136"/>
      <c r="AM149" s="136"/>
      <c r="AN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  <c r="AY149" s="136"/>
      <c r="AZ149" s="136"/>
      <c r="BA149" s="136"/>
      <c r="BB149" s="136"/>
      <c r="BC149" s="136"/>
      <c r="BD149" s="136"/>
      <c r="BE149" s="136"/>
      <c r="BF149" s="136"/>
      <c r="BG149" s="136"/>
      <c r="BH149" s="136"/>
      <c r="BI149" s="136"/>
      <c r="BJ149" s="136"/>
      <c r="BK149" s="136"/>
      <c r="BL149" s="136"/>
      <c r="BM149" s="136"/>
      <c r="BN149" s="136"/>
      <c r="BO149" s="136"/>
      <c r="BP149" s="136"/>
      <c r="BQ149" s="136"/>
      <c r="BR149" s="136"/>
      <c r="BS149" s="136"/>
      <c r="BT149" s="136"/>
      <c r="BU149" s="136"/>
      <c r="BV149" s="136"/>
      <c r="BW149" s="136"/>
      <c r="BX149" s="136"/>
      <c r="BY149" s="136"/>
      <c r="BZ149" s="136"/>
      <c r="CA149" s="136"/>
      <c r="CB149" s="136"/>
      <c r="CC149" s="136"/>
      <c r="CD149" s="136"/>
      <c r="CE149" s="136"/>
      <c r="CF149" s="136"/>
      <c r="CG149" s="136"/>
      <c r="CH149" s="136"/>
      <c r="CI149" s="136"/>
      <c r="CJ149" s="136"/>
      <c r="CK149" s="136"/>
      <c r="CL149" s="136"/>
      <c r="CM149" s="136"/>
      <c r="CN149" s="136"/>
      <c r="CO149" s="136"/>
      <c r="CP149" s="136"/>
      <c r="CQ149" s="136"/>
      <c r="CR149" s="136"/>
      <c r="CS149" s="136"/>
      <c r="CT149" s="136"/>
      <c r="CU149" s="136"/>
      <c r="CV149" s="136"/>
      <c r="CW149" s="136"/>
      <c r="CX149" s="136"/>
      <c r="CY149" s="136"/>
      <c r="CZ149" s="136"/>
      <c r="DA149" s="136"/>
      <c r="DB149" s="136"/>
      <c r="DC149" s="136"/>
      <c r="DD149" s="136"/>
      <c r="DE149" s="136"/>
      <c r="DF149" s="136"/>
      <c r="DG149" s="136"/>
      <c r="DH149" s="136"/>
      <c r="DI149" s="136"/>
      <c r="DJ149" s="136"/>
      <c r="DK149" s="136"/>
      <c r="DL149" s="136"/>
    </row>
    <row r="150" spans="1:116">
      <c r="A150" s="136"/>
      <c r="B150" s="136"/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45"/>
      <c r="O150" s="136"/>
      <c r="P150" s="145"/>
      <c r="Q150" s="145"/>
      <c r="R150" s="257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  <c r="AY150" s="136"/>
      <c r="AZ150" s="136"/>
      <c r="BA150" s="136"/>
      <c r="BB150" s="136"/>
      <c r="BC150" s="136"/>
      <c r="BD150" s="136"/>
      <c r="BE150" s="136"/>
      <c r="BF150" s="136"/>
      <c r="BG150" s="136"/>
      <c r="BH150" s="136"/>
      <c r="BI150" s="136"/>
      <c r="BJ150" s="136"/>
      <c r="BK150" s="136"/>
      <c r="BL150" s="136"/>
      <c r="BM150" s="136"/>
      <c r="BN150" s="136"/>
      <c r="BO150" s="136"/>
      <c r="BP150" s="136"/>
      <c r="BQ150" s="136"/>
      <c r="BR150" s="136"/>
      <c r="BS150" s="136"/>
      <c r="BT150" s="136"/>
      <c r="BU150" s="136"/>
      <c r="BV150" s="136"/>
      <c r="BW150" s="136"/>
      <c r="BX150" s="136"/>
      <c r="BY150" s="136"/>
      <c r="BZ150" s="136"/>
      <c r="CA150" s="136"/>
      <c r="CB150" s="136"/>
      <c r="CC150" s="136"/>
      <c r="CD150" s="136"/>
      <c r="CE150" s="136"/>
      <c r="CF150" s="136"/>
      <c r="CG150" s="136"/>
      <c r="CH150" s="136"/>
      <c r="CI150" s="136"/>
      <c r="CJ150" s="136"/>
      <c r="CK150" s="136"/>
      <c r="CL150" s="136"/>
      <c r="CM150" s="136"/>
      <c r="CN150" s="136"/>
      <c r="CO150" s="136"/>
      <c r="CP150" s="136"/>
      <c r="CQ150" s="136"/>
      <c r="CR150" s="136"/>
      <c r="CS150" s="136"/>
      <c r="CT150" s="136"/>
      <c r="CU150" s="136"/>
      <c r="CV150" s="136"/>
      <c r="CW150" s="136"/>
      <c r="CX150" s="136"/>
      <c r="CY150" s="136"/>
      <c r="CZ150" s="136"/>
      <c r="DA150" s="136"/>
      <c r="DB150" s="136"/>
      <c r="DC150" s="136"/>
      <c r="DD150" s="136"/>
      <c r="DE150" s="136"/>
      <c r="DF150" s="136"/>
      <c r="DG150" s="136"/>
      <c r="DH150" s="136"/>
      <c r="DI150" s="136"/>
      <c r="DJ150" s="136"/>
      <c r="DK150" s="136"/>
      <c r="DL150" s="136"/>
    </row>
    <row r="151" spans="1:116">
      <c r="A151" s="136"/>
      <c r="B151" s="136"/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45"/>
      <c r="O151" s="136"/>
      <c r="P151" s="145"/>
      <c r="Q151" s="145"/>
      <c r="R151" s="257"/>
      <c r="S151" s="136"/>
      <c r="T151" s="136"/>
      <c r="U151" s="136"/>
      <c r="V151" s="136"/>
      <c r="W151" s="136"/>
      <c r="X151" s="136"/>
      <c r="Y151" s="136"/>
      <c r="Z151" s="136"/>
      <c r="AA151" s="136"/>
      <c r="AB151" s="136"/>
      <c r="AC151" s="136"/>
      <c r="AD151" s="136"/>
      <c r="AE151" s="136"/>
      <c r="AF151" s="136"/>
      <c r="AG151" s="136"/>
      <c r="AH151" s="136"/>
      <c r="AI151" s="136"/>
      <c r="AJ151" s="136"/>
      <c r="AK151" s="136"/>
      <c r="AL151" s="136"/>
      <c r="AM151" s="136"/>
      <c r="AN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  <c r="AY151" s="136"/>
      <c r="AZ151" s="136"/>
      <c r="BA151" s="136"/>
      <c r="BB151" s="136"/>
      <c r="BC151" s="136"/>
      <c r="BD151" s="136"/>
      <c r="BE151" s="136"/>
      <c r="BF151" s="136"/>
      <c r="BG151" s="136"/>
      <c r="BH151" s="136"/>
      <c r="BI151" s="136"/>
      <c r="BJ151" s="136"/>
      <c r="BK151" s="136"/>
      <c r="BL151" s="136"/>
      <c r="BM151" s="136"/>
      <c r="BN151" s="136"/>
      <c r="BO151" s="136"/>
      <c r="BP151" s="136"/>
      <c r="BQ151" s="136"/>
      <c r="BR151" s="136"/>
      <c r="BS151" s="136"/>
      <c r="BT151" s="136"/>
      <c r="BU151" s="136"/>
      <c r="BV151" s="136"/>
      <c r="BW151" s="136"/>
      <c r="BX151" s="136"/>
      <c r="BY151" s="136"/>
      <c r="BZ151" s="136"/>
      <c r="CA151" s="136"/>
      <c r="CB151" s="136"/>
      <c r="CC151" s="136"/>
      <c r="CD151" s="136"/>
      <c r="CE151" s="136"/>
      <c r="CF151" s="136"/>
      <c r="CG151" s="136"/>
      <c r="CH151" s="136"/>
      <c r="CI151" s="136"/>
      <c r="CJ151" s="136"/>
      <c r="CK151" s="136"/>
      <c r="CL151" s="136"/>
      <c r="CM151" s="136"/>
      <c r="CN151" s="136"/>
      <c r="CO151" s="136"/>
      <c r="CP151" s="136"/>
      <c r="CQ151" s="136"/>
      <c r="CR151" s="136"/>
      <c r="CS151" s="136"/>
      <c r="CT151" s="136"/>
      <c r="CU151" s="136"/>
      <c r="CV151" s="136"/>
      <c r="CW151" s="136"/>
      <c r="CX151" s="136"/>
      <c r="CY151" s="136"/>
      <c r="CZ151" s="136"/>
      <c r="DA151" s="136"/>
      <c r="DB151" s="136"/>
      <c r="DC151" s="136"/>
      <c r="DD151" s="136"/>
      <c r="DE151" s="136"/>
      <c r="DF151" s="136"/>
      <c r="DG151" s="136"/>
      <c r="DH151" s="136"/>
      <c r="DI151" s="136"/>
      <c r="DJ151" s="136"/>
      <c r="DK151" s="136"/>
      <c r="DL151" s="136"/>
    </row>
    <row r="152" spans="1:116">
      <c r="A152" s="136"/>
      <c r="B152" s="136"/>
      <c r="C152" s="136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45"/>
      <c r="O152" s="136"/>
      <c r="P152" s="145"/>
      <c r="Q152" s="145"/>
      <c r="R152" s="257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136"/>
      <c r="AG152" s="136"/>
      <c r="AH152" s="136"/>
      <c r="AI152" s="136"/>
      <c r="AJ152" s="136"/>
      <c r="AK152" s="136"/>
      <c r="AL152" s="136"/>
      <c r="AM152" s="136"/>
      <c r="AN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  <c r="AY152" s="136"/>
      <c r="AZ152" s="136"/>
      <c r="BA152" s="136"/>
      <c r="BB152" s="136"/>
      <c r="BC152" s="136"/>
      <c r="BD152" s="136"/>
      <c r="BE152" s="136"/>
      <c r="BF152" s="136"/>
      <c r="BG152" s="136"/>
      <c r="BH152" s="136"/>
      <c r="BI152" s="136"/>
      <c r="BJ152" s="136"/>
      <c r="BK152" s="136"/>
      <c r="BL152" s="136"/>
      <c r="BM152" s="136"/>
      <c r="BN152" s="136"/>
      <c r="BO152" s="136"/>
      <c r="BP152" s="136"/>
      <c r="BQ152" s="136"/>
      <c r="BR152" s="136"/>
      <c r="BS152" s="136"/>
      <c r="BT152" s="136"/>
      <c r="BU152" s="136"/>
      <c r="BV152" s="136"/>
      <c r="BW152" s="136"/>
      <c r="BX152" s="136"/>
      <c r="BY152" s="136"/>
      <c r="BZ152" s="136"/>
      <c r="CA152" s="136"/>
      <c r="CB152" s="136"/>
      <c r="CC152" s="136"/>
      <c r="CD152" s="136"/>
      <c r="CE152" s="136"/>
      <c r="CF152" s="136"/>
      <c r="CG152" s="136"/>
      <c r="CH152" s="136"/>
      <c r="CI152" s="136"/>
      <c r="CJ152" s="136"/>
      <c r="CK152" s="136"/>
      <c r="CL152" s="136"/>
      <c r="CM152" s="136"/>
      <c r="CN152" s="136"/>
      <c r="CO152" s="136"/>
      <c r="CP152" s="136"/>
      <c r="CQ152" s="136"/>
      <c r="CR152" s="136"/>
      <c r="CS152" s="136"/>
      <c r="CT152" s="136"/>
      <c r="CU152" s="136"/>
      <c r="CV152" s="136"/>
      <c r="CW152" s="136"/>
      <c r="CX152" s="136"/>
      <c r="CY152" s="136"/>
      <c r="CZ152" s="136"/>
      <c r="DA152" s="136"/>
      <c r="DB152" s="136"/>
      <c r="DC152" s="136"/>
      <c r="DD152" s="136"/>
      <c r="DE152" s="136"/>
      <c r="DF152" s="136"/>
      <c r="DG152" s="136"/>
      <c r="DH152" s="136"/>
      <c r="DI152" s="136"/>
      <c r="DJ152" s="136"/>
      <c r="DK152" s="136"/>
      <c r="DL152" s="136"/>
    </row>
    <row r="153" spans="1:116">
      <c r="A153" s="136"/>
      <c r="B153" s="136"/>
      <c r="C153" s="136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45"/>
      <c r="O153" s="136"/>
      <c r="P153" s="145"/>
      <c r="Q153" s="145"/>
      <c r="R153" s="257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  <c r="AH153" s="136"/>
      <c r="AI153" s="136"/>
      <c r="AJ153" s="136"/>
      <c r="AK153" s="136"/>
      <c r="AL153" s="136"/>
      <c r="AM153" s="136"/>
      <c r="AN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  <c r="AY153" s="136"/>
      <c r="AZ153" s="136"/>
      <c r="BA153" s="136"/>
      <c r="BB153" s="136"/>
      <c r="BC153" s="136"/>
      <c r="BD153" s="136"/>
      <c r="BE153" s="136"/>
      <c r="BF153" s="136"/>
      <c r="BG153" s="136"/>
      <c r="BH153" s="136"/>
      <c r="BI153" s="136"/>
      <c r="BJ153" s="136"/>
      <c r="BK153" s="136"/>
      <c r="BL153" s="136"/>
      <c r="BM153" s="136"/>
      <c r="BN153" s="136"/>
      <c r="BO153" s="136"/>
      <c r="BP153" s="136"/>
      <c r="BQ153" s="136"/>
      <c r="BR153" s="136"/>
      <c r="BS153" s="136"/>
      <c r="BT153" s="136"/>
      <c r="BU153" s="136"/>
      <c r="BV153" s="136"/>
      <c r="BW153" s="136"/>
      <c r="BX153" s="136"/>
      <c r="BY153" s="136"/>
      <c r="BZ153" s="136"/>
      <c r="CA153" s="136"/>
      <c r="CB153" s="136"/>
      <c r="CC153" s="136"/>
      <c r="CD153" s="136"/>
      <c r="CE153" s="136"/>
      <c r="CF153" s="136"/>
      <c r="CG153" s="136"/>
      <c r="CH153" s="136"/>
      <c r="CI153" s="136"/>
      <c r="CJ153" s="136"/>
      <c r="CK153" s="136"/>
      <c r="CL153" s="136"/>
      <c r="CM153" s="136"/>
      <c r="CN153" s="136"/>
      <c r="CO153" s="136"/>
      <c r="CP153" s="136"/>
      <c r="CQ153" s="136"/>
      <c r="CR153" s="136"/>
      <c r="CS153" s="136"/>
      <c r="CT153" s="136"/>
      <c r="CU153" s="136"/>
      <c r="CV153" s="136"/>
      <c r="CW153" s="136"/>
      <c r="CX153" s="136"/>
      <c r="CY153" s="136"/>
      <c r="CZ153" s="136"/>
      <c r="DA153" s="136"/>
      <c r="DB153" s="136"/>
      <c r="DC153" s="136"/>
      <c r="DD153" s="136"/>
      <c r="DE153" s="136"/>
      <c r="DF153" s="136"/>
      <c r="DG153" s="136"/>
      <c r="DH153" s="136"/>
      <c r="DI153" s="136"/>
      <c r="DJ153" s="136"/>
      <c r="DK153" s="136"/>
      <c r="DL153" s="136"/>
    </row>
    <row r="154" spans="1:116">
      <c r="A154" s="136"/>
      <c r="B154" s="136"/>
      <c r="C154" s="136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45"/>
      <c r="O154" s="136"/>
      <c r="P154" s="145"/>
      <c r="Q154" s="145"/>
      <c r="R154" s="257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136"/>
      <c r="AG154" s="136"/>
      <c r="AH154" s="136"/>
      <c r="AI154" s="136"/>
      <c r="AJ154" s="136"/>
      <c r="AK154" s="136"/>
      <c r="AL154" s="136"/>
      <c r="AM154" s="136"/>
      <c r="AN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  <c r="AY154" s="136"/>
      <c r="AZ154" s="136"/>
      <c r="BA154" s="136"/>
      <c r="BB154" s="136"/>
      <c r="BC154" s="136"/>
      <c r="BD154" s="136"/>
      <c r="BE154" s="136"/>
      <c r="BF154" s="136"/>
      <c r="BG154" s="136"/>
      <c r="BH154" s="136"/>
      <c r="BI154" s="136"/>
      <c r="BJ154" s="136"/>
      <c r="BK154" s="136"/>
      <c r="BL154" s="136"/>
      <c r="BM154" s="136"/>
      <c r="BN154" s="136"/>
      <c r="BO154" s="136"/>
      <c r="BP154" s="136"/>
      <c r="BQ154" s="136"/>
      <c r="BR154" s="136"/>
      <c r="BS154" s="136"/>
      <c r="BT154" s="136"/>
      <c r="BU154" s="136"/>
      <c r="BV154" s="136"/>
      <c r="BW154" s="136"/>
      <c r="BX154" s="136"/>
      <c r="BY154" s="136"/>
      <c r="BZ154" s="136"/>
      <c r="CA154" s="136"/>
      <c r="CB154" s="136"/>
      <c r="CC154" s="136"/>
      <c r="CD154" s="136"/>
      <c r="CE154" s="136"/>
      <c r="CF154" s="136"/>
      <c r="CG154" s="136"/>
      <c r="CH154" s="136"/>
      <c r="CI154" s="136"/>
      <c r="CJ154" s="136"/>
      <c r="CK154" s="136"/>
      <c r="CL154" s="136"/>
      <c r="CM154" s="136"/>
      <c r="CN154" s="136"/>
      <c r="CO154" s="136"/>
      <c r="CP154" s="136"/>
      <c r="CQ154" s="136"/>
      <c r="CR154" s="136"/>
      <c r="CS154" s="136"/>
      <c r="CT154" s="136"/>
      <c r="CU154" s="136"/>
      <c r="CV154" s="136"/>
      <c r="CW154" s="136"/>
      <c r="CX154" s="136"/>
      <c r="CY154" s="136"/>
      <c r="CZ154" s="136"/>
      <c r="DA154" s="136"/>
      <c r="DB154" s="136"/>
      <c r="DC154" s="136"/>
      <c r="DD154" s="136"/>
      <c r="DE154" s="136"/>
      <c r="DF154" s="136"/>
      <c r="DG154" s="136"/>
      <c r="DH154" s="136"/>
      <c r="DI154" s="136"/>
      <c r="DJ154" s="136"/>
      <c r="DK154" s="136"/>
      <c r="DL154" s="136"/>
    </row>
    <row r="155" spans="1:116">
      <c r="A155" s="136"/>
      <c r="B155" s="136"/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45"/>
      <c r="O155" s="136"/>
      <c r="P155" s="145"/>
      <c r="Q155" s="145"/>
      <c r="R155" s="257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136"/>
      <c r="AG155" s="136"/>
      <c r="AH155" s="136"/>
      <c r="AI155" s="136"/>
      <c r="AJ155" s="136"/>
      <c r="AK155" s="136"/>
      <c r="AL155" s="136"/>
      <c r="AM155" s="136"/>
      <c r="AN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  <c r="AY155" s="136"/>
      <c r="AZ155" s="136"/>
      <c r="BA155" s="136"/>
      <c r="BB155" s="136"/>
      <c r="BC155" s="136"/>
      <c r="BD155" s="136"/>
      <c r="BE155" s="136"/>
      <c r="BF155" s="136"/>
      <c r="BG155" s="136"/>
      <c r="BH155" s="136"/>
      <c r="BI155" s="136"/>
      <c r="BJ155" s="136"/>
      <c r="BK155" s="136"/>
      <c r="BL155" s="136"/>
      <c r="BM155" s="136"/>
      <c r="BN155" s="136"/>
      <c r="BO155" s="136"/>
      <c r="BP155" s="136"/>
      <c r="BQ155" s="136"/>
      <c r="BR155" s="136"/>
      <c r="BS155" s="136"/>
      <c r="BT155" s="136"/>
      <c r="BU155" s="136"/>
      <c r="BV155" s="136"/>
      <c r="BW155" s="136"/>
      <c r="BX155" s="136"/>
      <c r="BY155" s="136"/>
      <c r="BZ155" s="136"/>
      <c r="CA155" s="136"/>
      <c r="CB155" s="136"/>
      <c r="CC155" s="136"/>
      <c r="CD155" s="136"/>
      <c r="CE155" s="136"/>
      <c r="CF155" s="136"/>
      <c r="CG155" s="136"/>
      <c r="CH155" s="136"/>
      <c r="CI155" s="136"/>
      <c r="CJ155" s="136"/>
      <c r="CK155" s="136"/>
      <c r="CL155" s="136"/>
      <c r="CM155" s="136"/>
      <c r="CN155" s="136"/>
      <c r="CO155" s="136"/>
      <c r="CP155" s="136"/>
      <c r="CQ155" s="136"/>
      <c r="CR155" s="136"/>
      <c r="CS155" s="136"/>
      <c r="CT155" s="136"/>
      <c r="CU155" s="136"/>
      <c r="CV155" s="136"/>
      <c r="CW155" s="136"/>
      <c r="CX155" s="136"/>
      <c r="CY155" s="136"/>
      <c r="CZ155" s="136"/>
      <c r="DA155" s="136"/>
      <c r="DB155" s="136"/>
      <c r="DC155" s="136"/>
      <c r="DD155" s="136"/>
      <c r="DE155" s="136"/>
      <c r="DF155" s="136"/>
      <c r="DG155" s="136"/>
      <c r="DH155" s="136"/>
      <c r="DI155" s="136"/>
      <c r="DJ155" s="136"/>
      <c r="DK155" s="136"/>
      <c r="DL155" s="136"/>
    </row>
    <row r="156" spans="1:116">
      <c r="A156" s="136"/>
      <c r="B156" s="136"/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45"/>
      <c r="O156" s="136"/>
      <c r="P156" s="145"/>
      <c r="Q156" s="145"/>
      <c r="R156" s="257"/>
      <c r="S156" s="136"/>
      <c r="T156" s="136"/>
      <c r="U156" s="136"/>
      <c r="V156" s="136"/>
      <c r="W156" s="136"/>
      <c r="X156" s="136"/>
      <c r="Y156" s="136"/>
      <c r="Z156" s="136"/>
      <c r="AA156" s="136"/>
      <c r="AB156" s="136"/>
      <c r="AC156" s="136"/>
      <c r="AD156" s="136"/>
      <c r="AE156" s="136"/>
      <c r="AF156" s="136"/>
      <c r="AG156" s="136"/>
      <c r="AH156" s="136"/>
      <c r="AI156" s="136"/>
      <c r="AJ156" s="136"/>
      <c r="AK156" s="136"/>
      <c r="AL156" s="136"/>
      <c r="AM156" s="136"/>
      <c r="AN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  <c r="AY156" s="136"/>
      <c r="AZ156" s="136"/>
      <c r="BA156" s="136"/>
      <c r="BB156" s="136"/>
      <c r="BC156" s="136"/>
      <c r="BD156" s="136"/>
      <c r="BE156" s="136"/>
      <c r="BF156" s="136"/>
      <c r="BG156" s="136"/>
      <c r="BH156" s="136"/>
      <c r="BI156" s="136"/>
      <c r="BJ156" s="136"/>
      <c r="BK156" s="136"/>
      <c r="BL156" s="136"/>
      <c r="BM156" s="136"/>
      <c r="BN156" s="136"/>
      <c r="BO156" s="136"/>
      <c r="BP156" s="136"/>
      <c r="BQ156" s="136"/>
      <c r="BR156" s="136"/>
      <c r="BS156" s="136"/>
      <c r="BT156" s="136"/>
      <c r="BU156" s="136"/>
      <c r="BV156" s="136"/>
      <c r="BW156" s="136"/>
      <c r="BX156" s="136"/>
      <c r="BY156" s="136"/>
      <c r="BZ156" s="136"/>
      <c r="CA156" s="136"/>
      <c r="CB156" s="136"/>
      <c r="CC156" s="136"/>
      <c r="CD156" s="136"/>
      <c r="CE156" s="136"/>
      <c r="CF156" s="136"/>
      <c r="CG156" s="136"/>
      <c r="CH156" s="136"/>
      <c r="CI156" s="136"/>
      <c r="CJ156" s="136"/>
      <c r="CK156" s="136"/>
      <c r="CL156" s="136"/>
      <c r="CM156" s="136"/>
      <c r="CN156" s="136"/>
      <c r="CO156" s="136"/>
      <c r="CP156" s="136"/>
      <c r="CQ156" s="136"/>
      <c r="CR156" s="136"/>
      <c r="CS156" s="136"/>
      <c r="CT156" s="136"/>
      <c r="CU156" s="136"/>
      <c r="CV156" s="136"/>
      <c r="CW156" s="136"/>
      <c r="CX156" s="136"/>
      <c r="CY156" s="136"/>
      <c r="CZ156" s="136"/>
      <c r="DA156" s="136"/>
      <c r="DB156" s="136"/>
      <c r="DC156" s="136"/>
      <c r="DD156" s="136"/>
      <c r="DE156" s="136"/>
      <c r="DF156" s="136"/>
      <c r="DG156" s="136"/>
      <c r="DH156" s="136"/>
      <c r="DI156" s="136"/>
      <c r="DJ156" s="136"/>
      <c r="DK156" s="136"/>
      <c r="DL156" s="136"/>
    </row>
    <row r="157" spans="1:116">
      <c r="A157" s="136"/>
      <c r="B157" s="136"/>
      <c r="C157" s="136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45"/>
      <c r="O157" s="136"/>
      <c r="P157" s="145"/>
      <c r="Q157" s="145"/>
      <c r="R157" s="257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136"/>
      <c r="AG157" s="136"/>
      <c r="AH157" s="136"/>
      <c r="AI157" s="136"/>
      <c r="AJ157" s="136"/>
      <c r="AK157" s="136"/>
      <c r="AL157" s="136"/>
      <c r="AM157" s="136"/>
      <c r="AN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  <c r="AY157" s="136"/>
      <c r="AZ157" s="136"/>
      <c r="BA157" s="136"/>
      <c r="BB157" s="136"/>
      <c r="BC157" s="136"/>
      <c r="BD157" s="136"/>
      <c r="BE157" s="136"/>
      <c r="BF157" s="136"/>
      <c r="BG157" s="136"/>
      <c r="BH157" s="136"/>
      <c r="BI157" s="136"/>
      <c r="BJ157" s="136"/>
      <c r="BK157" s="136"/>
      <c r="BL157" s="136"/>
      <c r="BM157" s="136"/>
      <c r="BN157" s="136"/>
      <c r="BO157" s="136"/>
      <c r="BP157" s="136"/>
      <c r="BQ157" s="136"/>
      <c r="BR157" s="136"/>
      <c r="BS157" s="136"/>
      <c r="BT157" s="136"/>
      <c r="BU157" s="136"/>
      <c r="BV157" s="136"/>
      <c r="BW157" s="136"/>
      <c r="BX157" s="136"/>
      <c r="BY157" s="136"/>
      <c r="BZ157" s="136"/>
      <c r="CA157" s="136"/>
      <c r="CB157" s="136"/>
      <c r="CC157" s="136"/>
      <c r="CD157" s="136"/>
      <c r="CE157" s="136"/>
      <c r="CF157" s="136"/>
      <c r="CG157" s="136"/>
      <c r="CH157" s="136"/>
      <c r="CI157" s="136"/>
      <c r="CJ157" s="136"/>
      <c r="CK157" s="136"/>
      <c r="CL157" s="136"/>
      <c r="CM157" s="136"/>
      <c r="CN157" s="136"/>
      <c r="CO157" s="136"/>
      <c r="CP157" s="136"/>
      <c r="CQ157" s="136"/>
      <c r="CR157" s="136"/>
      <c r="CS157" s="136"/>
      <c r="CT157" s="136"/>
      <c r="CU157" s="136"/>
      <c r="CV157" s="136"/>
      <c r="CW157" s="136"/>
      <c r="CX157" s="136"/>
      <c r="CY157" s="136"/>
      <c r="CZ157" s="136"/>
      <c r="DA157" s="136"/>
      <c r="DB157" s="136"/>
      <c r="DC157" s="136"/>
      <c r="DD157" s="136"/>
      <c r="DE157" s="136"/>
      <c r="DF157" s="136"/>
      <c r="DG157" s="136"/>
      <c r="DH157" s="136"/>
      <c r="DI157" s="136"/>
      <c r="DJ157" s="136"/>
      <c r="DK157" s="136"/>
      <c r="DL157" s="136"/>
    </row>
    <row r="158" spans="1:116">
      <c r="A158" s="136"/>
      <c r="B158" s="136"/>
      <c r="C158" s="136"/>
      <c r="D158" s="136"/>
      <c r="E158" s="136"/>
      <c r="F158" s="136"/>
      <c r="G158" s="136"/>
      <c r="H158" s="136"/>
      <c r="I158" s="136"/>
      <c r="J158" s="136"/>
      <c r="K158" s="136"/>
      <c r="L158" s="136"/>
      <c r="M158" s="136"/>
      <c r="N158" s="145"/>
      <c r="O158" s="136"/>
      <c r="P158" s="145"/>
      <c r="Q158" s="145"/>
      <c r="R158" s="257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136"/>
      <c r="AG158" s="136"/>
      <c r="AH158" s="136"/>
      <c r="AI158" s="136"/>
      <c r="AJ158" s="136"/>
      <c r="AK158" s="136"/>
      <c r="AL158" s="136"/>
      <c r="AM158" s="136"/>
      <c r="AN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  <c r="AY158" s="136"/>
      <c r="AZ158" s="136"/>
      <c r="BA158" s="136"/>
      <c r="BB158" s="136"/>
      <c r="BC158" s="136"/>
      <c r="BD158" s="136"/>
      <c r="BE158" s="136"/>
      <c r="BF158" s="136"/>
      <c r="BG158" s="136"/>
      <c r="BH158" s="136"/>
      <c r="BI158" s="136"/>
      <c r="BJ158" s="136"/>
      <c r="BK158" s="136"/>
      <c r="BL158" s="136"/>
      <c r="BM158" s="136"/>
      <c r="BN158" s="136"/>
      <c r="BO158" s="136"/>
      <c r="BP158" s="136"/>
      <c r="BQ158" s="136"/>
      <c r="BR158" s="136"/>
      <c r="BS158" s="136"/>
      <c r="BT158" s="136"/>
      <c r="BU158" s="136"/>
      <c r="BV158" s="136"/>
      <c r="BW158" s="136"/>
      <c r="BX158" s="136"/>
      <c r="BY158" s="136"/>
      <c r="BZ158" s="136"/>
      <c r="CA158" s="136"/>
      <c r="CB158" s="136"/>
      <c r="CC158" s="136"/>
      <c r="CD158" s="136"/>
      <c r="CE158" s="136"/>
      <c r="CF158" s="136"/>
      <c r="CG158" s="136"/>
      <c r="CH158" s="136"/>
      <c r="CI158" s="136"/>
      <c r="CJ158" s="136"/>
      <c r="CK158" s="136"/>
      <c r="CL158" s="136"/>
      <c r="CM158" s="136"/>
      <c r="CN158" s="136"/>
      <c r="CO158" s="136"/>
      <c r="CP158" s="136"/>
      <c r="CQ158" s="136"/>
      <c r="CR158" s="136"/>
      <c r="CS158" s="136"/>
      <c r="CT158" s="136"/>
      <c r="CU158" s="136"/>
      <c r="CV158" s="136"/>
      <c r="CW158" s="136"/>
      <c r="CX158" s="136"/>
      <c r="CY158" s="136"/>
      <c r="CZ158" s="136"/>
      <c r="DA158" s="136"/>
      <c r="DB158" s="136"/>
      <c r="DC158" s="136"/>
      <c r="DD158" s="136"/>
      <c r="DE158" s="136"/>
      <c r="DF158" s="136"/>
      <c r="DG158" s="136"/>
      <c r="DH158" s="136"/>
      <c r="DI158" s="136"/>
      <c r="DJ158" s="136"/>
      <c r="DK158" s="136"/>
      <c r="DL158" s="136"/>
    </row>
    <row r="159" spans="1:116">
      <c r="A159" s="136"/>
      <c r="B159" s="136"/>
      <c r="C159" s="136"/>
      <c r="D159" s="136"/>
      <c r="E159" s="136"/>
      <c r="F159" s="136"/>
      <c r="G159" s="136"/>
      <c r="H159" s="136"/>
      <c r="I159" s="136"/>
      <c r="J159" s="136"/>
      <c r="K159" s="136"/>
      <c r="L159" s="136"/>
      <c r="M159" s="136"/>
      <c r="N159" s="145"/>
      <c r="O159" s="136"/>
      <c r="P159" s="145"/>
      <c r="Q159" s="145"/>
      <c r="R159" s="257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  <c r="AH159" s="136"/>
      <c r="AI159" s="136"/>
      <c r="AJ159" s="136"/>
      <c r="AK159" s="136"/>
      <c r="AL159" s="136"/>
      <c r="AM159" s="136"/>
      <c r="AN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  <c r="AY159" s="136"/>
      <c r="AZ159" s="136"/>
      <c r="BA159" s="136"/>
      <c r="BB159" s="136"/>
      <c r="BC159" s="136"/>
      <c r="BD159" s="136"/>
      <c r="BE159" s="136"/>
      <c r="BF159" s="136"/>
      <c r="BG159" s="136"/>
      <c r="BH159" s="136"/>
      <c r="BI159" s="136"/>
      <c r="BJ159" s="136"/>
      <c r="BK159" s="136"/>
      <c r="BL159" s="136"/>
      <c r="BM159" s="136"/>
      <c r="BN159" s="136"/>
      <c r="BO159" s="136"/>
      <c r="BP159" s="136"/>
      <c r="BQ159" s="136"/>
      <c r="BR159" s="136"/>
      <c r="BS159" s="136"/>
      <c r="BT159" s="136"/>
      <c r="BU159" s="136"/>
      <c r="BV159" s="136"/>
      <c r="BW159" s="136"/>
      <c r="BX159" s="136"/>
      <c r="BY159" s="136"/>
      <c r="BZ159" s="136"/>
      <c r="CA159" s="136"/>
      <c r="CB159" s="136"/>
      <c r="CC159" s="136"/>
      <c r="CD159" s="136"/>
      <c r="CE159" s="136"/>
      <c r="CF159" s="136"/>
      <c r="CG159" s="136"/>
      <c r="CH159" s="136"/>
      <c r="CI159" s="136"/>
      <c r="CJ159" s="136"/>
      <c r="CK159" s="136"/>
      <c r="CL159" s="136"/>
      <c r="CM159" s="136"/>
      <c r="CN159" s="136"/>
      <c r="CO159" s="136"/>
      <c r="CP159" s="136"/>
      <c r="CQ159" s="136"/>
      <c r="CR159" s="136"/>
      <c r="CS159" s="136"/>
      <c r="CT159" s="136"/>
      <c r="CU159" s="136"/>
      <c r="CV159" s="136"/>
      <c r="CW159" s="136"/>
      <c r="CX159" s="136"/>
      <c r="CY159" s="136"/>
      <c r="CZ159" s="136"/>
      <c r="DA159" s="136"/>
      <c r="DB159" s="136"/>
      <c r="DC159" s="136"/>
      <c r="DD159" s="136"/>
      <c r="DE159" s="136"/>
      <c r="DF159" s="136"/>
      <c r="DG159" s="136"/>
      <c r="DH159" s="136"/>
      <c r="DI159" s="136"/>
      <c r="DJ159" s="136"/>
      <c r="DK159" s="136"/>
      <c r="DL159" s="136"/>
    </row>
    <row r="160" spans="1:116">
      <c r="A160" s="136"/>
      <c r="B160" s="136"/>
      <c r="C160" s="136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45"/>
      <c r="O160" s="136"/>
      <c r="P160" s="145"/>
      <c r="Q160" s="145"/>
      <c r="R160" s="257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136"/>
      <c r="AG160" s="136"/>
      <c r="AH160" s="136"/>
      <c r="AI160" s="136"/>
      <c r="AJ160" s="136"/>
      <c r="AK160" s="136"/>
      <c r="AL160" s="136"/>
      <c r="AM160" s="136"/>
      <c r="AN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  <c r="AY160" s="136"/>
      <c r="AZ160" s="136"/>
      <c r="BA160" s="136"/>
      <c r="BB160" s="136"/>
      <c r="BC160" s="136"/>
      <c r="BD160" s="136"/>
      <c r="BE160" s="136"/>
      <c r="BF160" s="136"/>
      <c r="BG160" s="136"/>
      <c r="BH160" s="136"/>
      <c r="BI160" s="136"/>
      <c r="BJ160" s="136"/>
      <c r="BK160" s="136"/>
      <c r="BL160" s="136"/>
      <c r="BM160" s="136"/>
      <c r="BN160" s="136"/>
      <c r="BO160" s="136"/>
      <c r="BP160" s="136"/>
      <c r="BQ160" s="136"/>
      <c r="BR160" s="136"/>
      <c r="BS160" s="136"/>
      <c r="BT160" s="136"/>
      <c r="BU160" s="136"/>
      <c r="BV160" s="136"/>
      <c r="BW160" s="136"/>
      <c r="BX160" s="136"/>
      <c r="BY160" s="136"/>
      <c r="BZ160" s="136"/>
      <c r="CA160" s="136"/>
      <c r="CB160" s="136"/>
      <c r="CC160" s="136"/>
      <c r="CD160" s="136"/>
      <c r="CE160" s="136"/>
      <c r="CF160" s="136"/>
      <c r="CG160" s="136"/>
      <c r="CH160" s="136"/>
      <c r="CI160" s="136"/>
      <c r="CJ160" s="136"/>
      <c r="CK160" s="136"/>
      <c r="CL160" s="136"/>
      <c r="CM160" s="136"/>
      <c r="CN160" s="136"/>
      <c r="CO160" s="136"/>
      <c r="CP160" s="136"/>
      <c r="CQ160" s="136"/>
      <c r="CR160" s="136"/>
      <c r="CS160" s="136"/>
      <c r="CT160" s="136"/>
      <c r="CU160" s="136"/>
      <c r="CV160" s="136"/>
      <c r="CW160" s="136"/>
      <c r="CX160" s="136"/>
      <c r="CY160" s="136"/>
      <c r="CZ160" s="136"/>
      <c r="DA160" s="136"/>
      <c r="DB160" s="136"/>
      <c r="DC160" s="136"/>
      <c r="DD160" s="136"/>
      <c r="DE160" s="136"/>
      <c r="DF160" s="136"/>
      <c r="DG160" s="136"/>
      <c r="DH160" s="136"/>
      <c r="DI160" s="136"/>
      <c r="DJ160" s="136"/>
      <c r="DK160" s="136"/>
      <c r="DL160" s="136"/>
    </row>
    <row r="161" spans="1:116">
      <c r="A161" s="136"/>
      <c r="B161" s="136"/>
      <c r="C161" s="136"/>
      <c r="D161" s="136"/>
      <c r="E161" s="136"/>
      <c r="F161" s="136"/>
      <c r="G161" s="136"/>
      <c r="H161" s="136"/>
      <c r="I161" s="136"/>
      <c r="J161" s="136"/>
      <c r="K161" s="136"/>
      <c r="L161" s="136"/>
      <c r="M161" s="136"/>
      <c r="N161" s="145"/>
      <c r="O161" s="136"/>
      <c r="P161" s="145"/>
      <c r="Q161" s="145"/>
      <c r="R161" s="257"/>
      <c r="S161" s="136"/>
      <c r="T161" s="136"/>
      <c r="U161" s="136"/>
      <c r="V161" s="136"/>
      <c r="W161" s="136"/>
      <c r="X161" s="136"/>
      <c r="Y161" s="136"/>
      <c r="Z161" s="136"/>
      <c r="AA161" s="136"/>
      <c r="AB161" s="136"/>
      <c r="AC161" s="136"/>
      <c r="AD161" s="136"/>
      <c r="AE161" s="136"/>
      <c r="AF161" s="136"/>
      <c r="AG161" s="136"/>
      <c r="AH161" s="136"/>
      <c r="AI161" s="136"/>
      <c r="AJ161" s="136"/>
      <c r="AK161" s="136"/>
      <c r="AL161" s="136"/>
      <c r="AM161" s="136"/>
      <c r="AN161" s="136"/>
      <c r="AO161" s="136"/>
      <c r="AP161" s="136"/>
      <c r="AQ161" s="136"/>
      <c r="AR161" s="136"/>
      <c r="AS161" s="136"/>
      <c r="AT161" s="136"/>
      <c r="AU161" s="136"/>
      <c r="AV161" s="136"/>
      <c r="AW161" s="136"/>
      <c r="AX161" s="136"/>
      <c r="AY161" s="136"/>
      <c r="AZ161" s="136"/>
      <c r="BA161" s="136"/>
      <c r="BB161" s="136"/>
      <c r="BC161" s="136"/>
      <c r="BD161" s="136"/>
      <c r="BE161" s="136"/>
      <c r="BF161" s="136"/>
      <c r="BG161" s="136"/>
      <c r="BH161" s="136"/>
      <c r="BI161" s="136"/>
      <c r="BJ161" s="136"/>
      <c r="BK161" s="136"/>
      <c r="BL161" s="136"/>
      <c r="BM161" s="136"/>
      <c r="BN161" s="136"/>
      <c r="BO161" s="136"/>
      <c r="BP161" s="136"/>
      <c r="BQ161" s="136"/>
      <c r="BR161" s="136"/>
      <c r="BS161" s="136"/>
      <c r="BT161" s="136"/>
      <c r="BU161" s="136"/>
      <c r="BV161" s="136"/>
      <c r="BW161" s="136"/>
      <c r="BX161" s="136"/>
      <c r="BY161" s="136"/>
      <c r="BZ161" s="136"/>
      <c r="CA161" s="136"/>
      <c r="CB161" s="136"/>
      <c r="CC161" s="136"/>
      <c r="CD161" s="136"/>
      <c r="CE161" s="136"/>
      <c r="CF161" s="136"/>
      <c r="CG161" s="136"/>
      <c r="CH161" s="136"/>
      <c r="CI161" s="136"/>
      <c r="CJ161" s="136"/>
      <c r="CK161" s="136"/>
      <c r="CL161" s="136"/>
      <c r="CM161" s="136"/>
      <c r="CN161" s="136"/>
      <c r="CO161" s="136"/>
      <c r="CP161" s="136"/>
      <c r="CQ161" s="136"/>
      <c r="CR161" s="136"/>
      <c r="CS161" s="136"/>
      <c r="CT161" s="136"/>
      <c r="CU161" s="136"/>
      <c r="CV161" s="136"/>
      <c r="CW161" s="136"/>
      <c r="CX161" s="136"/>
      <c r="CY161" s="136"/>
      <c r="CZ161" s="136"/>
      <c r="DA161" s="136"/>
      <c r="DB161" s="136"/>
      <c r="DC161" s="136"/>
      <c r="DD161" s="136"/>
      <c r="DE161" s="136"/>
      <c r="DF161" s="136"/>
      <c r="DG161" s="136"/>
      <c r="DH161" s="136"/>
      <c r="DI161" s="136"/>
      <c r="DJ161" s="136"/>
      <c r="DK161" s="136"/>
      <c r="DL161" s="136"/>
    </row>
    <row r="162" spans="1:116">
      <c r="A162" s="136"/>
      <c r="B162" s="136"/>
      <c r="C162" s="136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45"/>
      <c r="O162" s="136"/>
      <c r="P162" s="145"/>
      <c r="Q162" s="145"/>
      <c r="R162" s="257"/>
      <c r="S162" s="136"/>
      <c r="T162" s="136"/>
      <c r="U162" s="136"/>
      <c r="V162" s="136"/>
      <c r="W162" s="136"/>
      <c r="X162" s="136"/>
      <c r="Y162" s="136"/>
      <c r="Z162" s="136"/>
      <c r="AA162" s="136"/>
      <c r="AB162" s="136"/>
      <c r="AC162" s="136"/>
      <c r="AD162" s="136"/>
      <c r="AE162" s="136"/>
      <c r="AF162" s="136"/>
      <c r="AG162" s="136"/>
      <c r="AH162" s="136"/>
      <c r="AI162" s="136"/>
      <c r="AJ162" s="136"/>
      <c r="AK162" s="136"/>
      <c r="AL162" s="136"/>
      <c r="AM162" s="136"/>
      <c r="AN162" s="136"/>
      <c r="AO162" s="136"/>
      <c r="AP162" s="136"/>
      <c r="AQ162" s="136"/>
      <c r="AR162" s="136"/>
      <c r="AS162" s="136"/>
      <c r="AT162" s="136"/>
      <c r="AU162" s="136"/>
      <c r="AV162" s="136"/>
      <c r="AW162" s="136"/>
      <c r="AX162" s="136"/>
      <c r="AY162" s="136"/>
      <c r="AZ162" s="136"/>
      <c r="BA162" s="136"/>
      <c r="BB162" s="136"/>
      <c r="BC162" s="136"/>
      <c r="BD162" s="136"/>
      <c r="BE162" s="136"/>
      <c r="BF162" s="136"/>
      <c r="BG162" s="136"/>
      <c r="BH162" s="136"/>
      <c r="BI162" s="136"/>
      <c r="BJ162" s="136"/>
      <c r="BK162" s="136"/>
      <c r="BL162" s="136"/>
      <c r="BM162" s="136"/>
      <c r="BN162" s="136"/>
      <c r="BO162" s="136"/>
      <c r="BP162" s="136"/>
      <c r="BQ162" s="136"/>
      <c r="BR162" s="136"/>
      <c r="BS162" s="136"/>
      <c r="BT162" s="136"/>
      <c r="BU162" s="136"/>
      <c r="BV162" s="136"/>
      <c r="BW162" s="136"/>
      <c r="BX162" s="136"/>
      <c r="BY162" s="136"/>
      <c r="BZ162" s="136"/>
      <c r="CA162" s="136"/>
      <c r="CB162" s="136"/>
      <c r="CC162" s="136"/>
      <c r="CD162" s="136"/>
      <c r="CE162" s="136"/>
      <c r="CF162" s="136"/>
      <c r="CG162" s="136"/>
      <c r="CH162" s="136"/>
      <c r="CI162" s="136"/>
      <c r="CJ162" s="136"/>
      <c r="CK162" s="136"/>
      <c r="CL162" s="136"/>
      <c r="CM162" s="136"/>
      <c r="CN162" s="136"/>
      <c r="CO162" s="136"/>
      <c r="CP162" s="136"/>
      <c r="CQ162" s="136"/>
      <c r="CR162" s="136"/>
      <c r="CS162" s="136"/>
      <c r="CT162" s="136"/>
      <c r="CU162" s="136"/>
      <c r="CV162" s="136"/>
      <c r="CW162" s="136"/>
      <c r="CX162" s="136"/>
      <c r="CY162" s="136"/>
      <c r="CZ162" s="136"/>
      <c r="DA162" s="136"/>
      <c r="DB162" s="136"/>
      <c r="DC162" s="136"/>
      <c r="DD162" s="136"/>
      <c r="DE162" s="136"/>
      <c r="DF162" s="136"/>
      <c r="DG162" s="136"/>
      <c r="DH162" s="136"/>
      <c r="DI162" s="136"/>
      <c r="DJ162" s="136"/>
      <c r="DK162" s="136"/>
      <c r="DL162" s="136"/>
    </row>
    <row r="163" spans="1:116">
      <c r="N163" s="145"/>
      <c r="P163" s="145"/>
      <c r="Q163" s="145"/>
      <c r="R163" s="257"/>
      <c r="Z163" s="136"/>
    </row>
    <row r="164" spans="1:116">
      <c r="N164" s="145"/>
      <c r="P164" s="145"/>
      <c r="Q164" s="145"/>
      <c r="R164" s="257"/>
      <c r="Z164" s="136"/>
    </row>
    <row r="165" spans="1:116">
      <c r="N165" s="145"/>
      <c r="P165" s="145"/>
      <c r="Q165" s="145"/>
      <c r="R165" s="257"/>
      <c r="Z165" s="136"/>
    </row>
    <row r="166" spans="1:116">
      <c r="N166" s="145"/>
      <c r="P166" s="145"/>
      <c r="Q166" s="145"/>
      <c r="R166" s="257"/>
      <c r="Z166" s="136"/>
    </row>
    <row r="167" spans="1:116">
      <c r="N167" s="145"/>
      <c r="P167" s="145"/>
      <c r="Q167" s="145"/>
      <c r="R167" s="257"/>
      <c r="Z167" s="136"/>
    </row>
    <row r="168" spans="1:116">
      <c r="N168" s="145"/>
      <c r="P168" s="145"/>
      <c r="Q168" s="145"/>
      <c r="R168" s="136"/>
      <c r="Z168" s="136"/>
    </row>
    <row r="169" spans="1:116">
      <c r="N169" s="145"/>
      <c r="P169" s="145"/>
      <c r="Q169" s="145"/>
      <c r="R169" s="136"/>
      <c r="Z169" s="136"/>
    </row>
    <row r="170" spans="1:116">
      <c r="N170" s="145"/>
      <c r="P170" s="145"/>
      <c r="Q170" s="145"/>
      <c r="R170" s="136"/>
      <c r="Z170" s="136"/>
    </row>
    <row r="171" spans="1:116">
      <c r="N171" s="145"/>
      <c r="P171" s="145"/>
      <c r="Q171" s="145"/>
      <c r="R171" s="136"/>
      <c r="Z171" s="136"/>
    </row>
    <row r="172" spans="1:116">
      <c r="N172" s="145"/>
      <c r="P172" s="145"/>
      <c r="Q172" s="145"/>
      <c r="R172" s="136"/>
      <c r="Z172" s="136"/>
    </row>
    <row r="173" spans="1:116">
      <c r="N173" s="145"/>
      <c r="P173" s="145"/>
      <c r="Q173" s="145"/>
      <c r="R173" s="136"/>
      <c r="Z173" s="136"/>
    </row>
    <row r="174" spans="1:116">
      <c r="N174" s="145"/>
      <c r="P174" s="145"/>
      <c r="Q174" s="145"/>
      <c r="R174" s="136"/>
      <c r="Z174" s="136"/>
    </row>
    <row r="175" spans="1:116">
      <c r="N175" s="145"/>
      <c r="P175" s="145"/>
      <c r="Q175" s="145"/>
      <c r="R175" s="136"/>
      <c r="Z175" s="136"/>
    </row>
    <row r="176" spans="1:116">
      <c r="N176" s="145"/>
      <c r="P176" s="145"/>
      <c r="Q176" s="145"/>
      <c r="R176" s="136"/>
      <c r="Z176" s="136"/>
    </row>
    <row r="177" spans="14:26">
      <c r="N177" s="145"/>
      <c r="P177" s="145"/>
      <c r="Q177" s="145"/>
      <c r="R177" s="136"/>
      <c r="Z177" s="136"/>
    </row>
    <row r="178" spans="14:26">
      <c r="N178" s="145"/>
      <c r="P178" s="145"/>
      <c r="Q178" s="145"/>
      <c r="R178" s="136"/>
      <c r="Z178" s="136"/>
    </row>
    <row r="179" spans="14:26">
      <c r="N179" s="145"/>
      <c r="P179" s="145"/>
      <c r="Q179" s="145"/>
      <c r="R179" s="136"/>
      <c r="Z179" s="136"/>
    </row>
    <row r="180" spans="14:26">
      <c r="N180" s="145"/>
      <c r="P180" s="145"/>
      <c r="Q180" s="145"/>
      <c r="R180" s="136"/>
      <c r="Z180" s="136"/>
    </row>
    <row r="181" spans="14:26">
      <c r="N181" s="145"/>
      <c r="P181" s="145"/>
      <c r="Q181" s="145"/>
      <c r="R181" s="136"/>
    </row>
    <row r="182" spans="14:26">
      <c r="N182" s="145"/>
      <c r="P182" s="145"/>
      <c r="Q182" s="145"/>
      <c r="R182" s="136"/>
    </row>
    <row r="183" spans="14:26">
      <c r="N183" s="145"/>
      <c r="P183" s="145"/>
      <c r="Q183" s="145"/>
      <c r="R183" s="136"/>
    </row>
    <row r="184" spans="14:26">
      <c r="N184" s="145"/>
      <c r="P184" s="145"/>
      <c r="Q184" s="145"/>
      <c r="R184" s="136"/>
    </row>
    <row r="185" spans="14:26">
      <c r="N185" s="145"/>
      <c r="P185" s="145"/>
      <c r="Q185" s="145"/>
      <c r="R185" s="136"/>
    </row>
    <row r="186" spans="14:26">
      <c r="N186" s="145"/>
      <c r="P186" s="145"/>
      <c r="Q186" s="145"/>
      <c r="R186" s="136"/>
    </row>
    <row r="187" spans="14:26">
      <c r="N187" s="145"/>
      <c r="P187" s="145"/>
      <c r="Q187" s="145"/>
      <c r="R187" s="136"/>
    </row>
    <row r="188" spans="14:26">
      <c r="N188" s="145"/>
      <c r="P188" s="145"/>
      <c r="Q188" s="145"/>
      <c r="R188" s="136"/>
    </row>
    <row r="189" spans="14:26">
      <c r="N189" s="145"/>
      <c r="P189" s="145"/>
      <c r="Q189" s="145"/>
      <c r="R189" s="136"/>
    </row>
    <row r="190" spans="14:26">
      <c r="N190" s="145"/>
      <c r="P190" s="145"/>
      <c r="Q190" s="145"/>
      <c r="R190" s="136"/>
    </row>
    <row r="191" spans="14:26">
      <c r="N191" s="145"/>
      <c r="P191" s="145"/>
      <c r="Q191" s="145"/>
      <c r="R191" s="136"/>
    </row>
    <row r="192" spans="14:26">
      <c r="N192" s="145"/>
      <c r="P192" s="145"/>
      <c r="Q192" s="145"/>
      <c r="R192" s="136"/>
    </row>
    <row r="193" spans="14:18">
      <c r="N193" s="145"/>
      <c r="P193" s="145"/>
      <c r="Q193" s="145"/>
      <c r="R193" s="136"/>
    </row>
    <row r="194" spans="14:18">
      <c r="N194" s="145"/>
      <c r="P194" s="145"/>
      <c r="Q194" s="145"/>
      <c r="R194" s="136"/>
    </row>
    <row r="195" spans="14:18">
      <c r="N195" s="145"/>
      <c r="P195" s="145"/>
      <c r="Q195" s="145"/>
      <c r="R195" s="136"/>
    </row>
    <row r="196" spans="14:18">
      <c r="N196" s="145"/>
      <c r="P196" s="145"/>
      <c r="Q196" s="145"/>
      <c r="R196" s="136"/>
    </row>
    <row r="197" spans="14:18">
      <c r="N197" s="145"/>
      <c r="P197" s="145"/>
      <c r="Q197" s="145"/>
      <c r="R197" s="136"/>
    </row>
    <row r="198" spans="14:18">
      <c r="N198" s="145"/>
      <c r="P198" s="145"/>
      <c r="Q198" s="145"/>
      <c r="R198" s="136"/>
    </row>
    <row r="199" spans="14:18">
      <c r="N199" s="145"/>
      <c r="P199" s="145"/>
      <c r="Q199" s="145"/>
      <c r="R199" s="136"/>
    </row>
    <row r="200" spans="14:18">
      <c r="N200" s="145"/>
      <c r="P200" s="145"/>
      <c r="Q200" s="145"/>
      <c r="R200" s="136"/>
    </row>
    <row r="201" spans="14:18">
      <c r="N201" s="145"/>
      <c r="P201" s="145"/>
      <c r="Q201" s="145"/>
      <c r="R201" s="136"/>
    </row>
    <row r="202" spans="14:18">
      <c r="N202" s="145"/>
      <c r="P202" s="145"/>
      <c r="Q202" s="145"/>
      <c r="R202" s="136"/>
    </row>
    <row r="203" spans="14:18">
      <c r="N203" s="145"/>
      <c r="P203" s="145"/>
      <c r="Q203" s="145"/>
      <c r="R203" s="136"/>
    </row>
    <row r="204" spans="14:18">
      <c r="N204" s="145"/>
      <c r="P204" s="145"/>
      <c r="Q204" s="145"/>
      <c r="R204" s="136"/>
    </row>
    <row r="205" spans="14:18">
      <c r="N205" s="145"/>
      <c r="P205" s="145"/>
      <c r="Q205" s="145"/>
      <c r="R205" s="136"/>
    </row>
    <row r="206" spans="14:18">
      <c r="N206" s="145"/>
      <c r="P206" s="145"/>
      <c r="Q206" s="145"/>
      <c r="R206" s="136"/>
    </row>
    <row r="207" spans="14:18">
      <c r="N207" s="145"/>
      <c r="P207" s="145"/>
      <c r="Q207" s="145"/>
      <c r="R207" s="136"/>
    </row>
    <row r="208" spans="14:18">
      <c r="N208" s="145"/>
      <c r="P208" s="145"/>
      <c r="Q208" s="145"/>
      <c r="R208" s="136"/>
    </row>
    <row r="209" spans="14:18">
      <c r="N209" s="145"/>
      <c r="P209" s="145"/>
      <c r="Q209" s="145"/>
      <c r="R209" s="136"/>
    </row>
    <row r="210" spans="14:18">
      <c r="N210" s="145"/>
      <c r="P210" s="145"/>
      <c r="Q210" s="145"/>
      <c r="R210" s="136"/>
    </row>
    <row r="211" spans="14:18">
      <c r="N211" s="145"/>
      <c r="P211" s="145"/>
      <c r="Q211" s="145"/>
      <c r="R211" s="136"/>
    </row>
    <row r="212" spans="14:18">
      <c r="N212" s="145"/>
      <c r="P212" s="145"/>
      <c r="Q212" s="145"/>
      <c r="R212" s="136"/>
    </row>
    <row r="213" spans="14:18">
      <c r="N213" s="145"/>
      <c r="P213" s="145"/>
      <c r="Q213" s="145"/>
      <c r="R213" s="136"/>
    </row>
    <row r="214" spans="14:18">
      <c r="N214" s="145"/>
      <c r="P214" s="145"/>
      <c r="Q214" s="145"/>
      <c r="R214" s="136"/>
    </row>
    <row r="215" spans="14:18">
      <c r="N215" s="145"/>
      <c r="P215" s="145"/>
      <c r="Q215" s="145"/>
      <c r="R215" s="136"/>
    </row>
    <row r="216" spans="14:18">
      <c r="N216" s="145"/>
      <c r="P216" s="145"/>
      <c r="Q216" s="145"/>
      <c r="R216" s="136"/>
    </row>
    <row r="217" spans="14:18">
      <c r="N217" s="145"/>
      <c r="P217" s="145"/>
      <c r="Q217" s="145"/>
      <c r="R217" s="136"/>
    </row>
    <row r="218" spans="14:18">
      <c r="N218" s="145"/>
      <c r="P218" s="145"/>
      <c r="Q218" s="145"/>
      <c r="R218" s="136"/>
    </row>
    <row r="219" spans="14:18">
      <c r="N219" s="145"/>
      <c r="P219" s="145"/>
      <c r="Q219" s="145"/>
      <c r="R219" s="136"/>
    </row>
    <row r="220" spans="14:18">
      <c r="N220" s="145"/>
      <c r="P220" s="145"/>
      <c r="Q220" s="145"/>
      <c r="R220" s="136"/>
    </row>
    <row r="221" spans="14:18">
      <c r="N221" s="145"/>
      <c r="P221" s="145"/>
      <c r="Q221" s="145"/>
      <c r="R221" s="136"/>
    </row>
    <row r="222" spans="14:18">
      <c r="N222" s="145"/>
      <c r="P222" s="145"/>
      <c r="Q222" s="145"/>
      <c r="R222" s="136"/>
    </row>
    <row r="223" spans="14:18">
      <c r="N223" s="145"/>
      <c r="P223" s="145"/>
      <c r="Q223" s="145"/>
      <c r="R223" s="136"/>
    </row>
    <row r="224" spans="14:18">
      <c r="N224" s="145"/>
      <c r="P224" s="145"/>
      <c r="Q224" s="145"/>
      <c r="R224" s="136"/>
    </row>
    <row r="225" spans="14:18">
      <c r="N225" s="145"/>
      <c r="P225" s="145"/>
      <c r="Q225" s="145"/>
      <c r="R225" s="136"/>
    </row>
    <row r="226" spans="14:18">
      <c r="N226" s="145"/>
      <c r="P226" s="145"/>
      <c r="Q226" s="145"/>
      <c r="R226" s="136"/>
    </row>
    <row r="227" spans="14:18">
      <c r="N227" s="145"/>
      <c r="P227" s="145"/>
      <c r="Q227" s="145"/>
      <c r="R227" s="136"/>
    </row>
    <row r="228" spans="14:18">
      <c r="N228" s="145"/>
      <c r="P228" s="145"/>
      <c r="Q228" s="145"/>
      <c r="R228" s="136"/>
    </row>
    <row r="229" spans="14:18">
      <c r="N229" s="145"/>
      <c r="P229" s="145"/>
      <c r="Q229" s="145"/>
      <c r="R229" s="136"/>
    </row>
    <row r="230" spans="14:18">
      <c r="N230" s="145"/>
      <c r="P230" s="145"/>
      <c r="Q230" s="145"/>
      <c r="R230" s="136"/>
    </row>
    <row r="231" spans="14:18">
      <c r="N231" s="145"/>
      <c r="P231" s="145"/>
      <c r="Q231" s="145"/>
      <c r="R231" s="136"/>
    </row>
    <row r="232" spans="14:18">
      <c r="N232" s="145"/>
      <c r="P232" s="145"/>
      <c r="Q232" s="145"/>
      <c r="R232" s="136"/>
    </row>
    <row r="233" spans="14:18">
      <c r="N233" s="145"/>
      <c r="P233" s="145"/>
      <c r="Q233" s="145"/>
      <c r="R233" s="136"/>
    </row>
    <row r="234" spans="14:18">
      <c r="N234" s="145"/>
      <c r="P234" s="145"/>
      <c r="Q234" s="145"/>
      <c r="R234" s="136"/>
    </row>
    <row r="235" spans="14:18">
      <c r="N235" s="145"/>
      <c r="P235" s="145"/>
      <c r="Q235" s="145"/>
      <c r="R235" s="136"/>
    </row>
    <row r="236" spans="14:18">
      <c r="N236" s="145"/>
      <c r="P236" s="145"/>
      <c r="Q236" s="145"/>
      <c r="R236" s="136"/>
    </row>
    <row r="237" spans="14:18">
      <c r="N237" s="145"/>
      <c r="P237" s="145"/>
      <c r="Q237" s="145"/>
      <c r="R237" s="136"/>
    </row>
    <row r="238" spans="14:18">
      <c r="N238" s="145"/>
      <c r="P238" s="145"/>
      <c r="Q238" s="145"/>
      <c r="R238" s="136"/>
    </row>
    <row r="239" spans="14:18">
      <c r="N239" s="145"/>
      <c r="P239" s="145"/>
      <c r="Q239" s="145"/>
      <c r="R239" s="136"/>
    </row>
    <row r="240" spans="14:18">
      <c r="N240" s="145"/>
      <c r="P240" s="145"/>
      <c r="Q240" s="145"/>
      <c r="R240" s="136"/>
    </row>
    <row r="241" spans="14:18">
      <c r="N241" s="145"/>
      <c r="P241" s="145"/>
      <c r="Q241" s="145"/>
      <c r="R241" s="136"/>
    </row>
    <row r="242" spans="14:18">
      <c r="N242" s="145"/>
      <c r="P242" s="145"/>
      <c r="Q242" s="145"/>
      <c r="R242" s="136"/>
    </row>
    <row r="243" spans="14:18">
      <c r="N243" s="145"/>
      <c r="P243" s="145"/>
      <c r="Q243" s="145"/>
      <c r="R243" s="136"/>
    </row>
    <row r="244" spans="14:18">
      <c r="N244" s="145"/>
      <c r="P244" s="145"/>
      <c r="Q244" s="145"/>
      <c r="R244" s="136"/>
    </row>
    <row r="245" spans="14:18">
      <c r="N245" s="145"/>
      <c r="P245" s="145"/>
      <c r="Q245" s="145"/>
      <c r="R245" s="136"/>
    </row>
    <row r="246" spans="14:18">
      <c r="N246" s="145"/>
      <c r="P246" s="145"/>
      <c r="Q246" s="145"/>
      <c r="R246" s="136"/>
    </row>
    <row r="247" spans="14:18">
      <c r="N247" s="145"/>
      <c r="P247" s="145"/>
      <c r="Q247" s="145"/>
      <c r="R247" s="136"/>
    </row>
    <row r="248" spans="14:18">
      <c r="N248" s="145"/>
      <c r="P248" s="145"/>
      <c r="Q248" s="145"/>
      <c r="R248" s="136"/>
    </row>
    <row r="249" spans="14:18">
      <c r="N249" s="145"/>
      <c r="P249" s="145"/>
      <c r="Q249" s="145"/>
      <c r="R249" s="136"/>
    </row>
    <row r="250" spans="14:18">
      <c r="N250" s="145"/>
      <c r="P250" s="145"/>
      <c r="Q250" s="145"/>
      <c r="R250" s="136"/>
    </row>
    <row r="251" spans="14:18">
      <c r="N251" s="145"/>
      <c r="P251" s="145"/>
      <c r="Q251" s="145"/>
      <c r="R251" s="136"/>
    </row>
    <row r="252" spans="14:18">
      <c r="N252" s="145"/>
      <c r="P252" s="145"/>
      <c r="Q252" s="145"/>
      <c r="R252" s="136"/>
    </row>
    <row r="253" spans="14:18">
      <c r="N253" s="145"/>
      <c r="P253" s="145"/>
      <c r="Q253" s="145"/>
      <c r="R253" s="136"/>
    </row>
    <row r="254" spans="14:18">
      <c r="N254" s="145"/>
      <c r="P254" s="145"/>
      <c r="Q254" s="145"/>
      <c r="R254" s="136"/>
    </row>
    <row r="255" spans="14:18">
      <c r="N255" s="145"/>
      <c r="P255" s="145"/>
      <c r="Q255" s="145"/>
      <c r="R255" s="136"/>
    </row>
    <row r="256" spans="14:18">
      <c r="N256" s="145"/>
      <c r="P256" s="145"/>
      <c r="Q256" s="145"/>
      <c r="R256" s="136"/>
    </row>
    <row r="257" spans="14:18">
      <c r="N257" s="145"/>
      <c r="P257" s="145"/>
      <c r="Q257" s="145"/>
      <c r="R257" s="136"/>
    </row>
    <row r="258" spans="14:18">
      <c r="N258" s="145"/>
      <c r="P258" s="145"/>
      <c r="Q258" s="145"/>
      <c r="R258" s="136"/>
    </row>
    <row r="259" spans="14:18">
      <c r="N259" s="145"/>
      <c r="P259" s="145"/>
      <c r="Q259" s="145"/>
      <c r="R259" s="136"/>
    </row>
    <row r="260" spans="14:18">
      <c r="N260" s="145"/>
      <c r="P260" s="145"/>
      <c r="Q260" s="145"/>
      <c r="R260" s="136"/>
    </row>
    <row r="261" spans="14:18">
      <c r="N261" s="145"/>
      <c r="P261" s="145"/>
      <c r="Q261" s="145"/>
      <c r="R261" s="136"/>
    </row>
    <row r="262" spans="14:18">
      <c r="N262" s="145"/>
      <c r="P262" s="145"/>
      <c r="Q262" s="145"/>
      <c r="R262" s="136"/>
    </row>
    <row r="263" spans="14:18">
      <c r="N263" s="145"/>
      <c r="P263" s="145"/>
      <c r="Q263" s="145"/>
      <c r="R263" s="136"/>
    </row>
    <row r="264" spans="14:18">
      <c r="N264" s="145"/>
      <c r="P264" s="145"/>
      <c r="Q264" s="145"/>
      <c r="R264" s="136"/>
    </row>
    <row r="265" spans="14:18">
      <c r="N265" s="145"/>
      <c r="P265" s="145"/>
      <c r="Q265" s="145"/>
      <c r="R265" s="136"/>
    </row>
    <row r="266" spans="14:18">
      <c r="N266" s="145"/>
      <c r="P266" s="145"/>
      <c r="Q266" s="145"/>
      <c r="R266" s="136"/>
    </row>
    <row r="267" spans="14:18">
      <c r="N267" s="145"/>
      <c r="P267" s="145"/>
      <c r="Q267" s="145"/>
      <c r="R267" s="136"/>
    </row>
    <row r="268" spans="14:18">
      <c r="N268" s="145"/>
      <c r="P268" s="145"/>
      <c r="Q268" s="145"/>
      <c r="R268" s="136"/>
    </row>
    <row r="269" spans="14:18">
      <c r="N269" s="145"/>
      <c r="P269" s="145"/>
      <c r="Q269" s="145"/>
      <c r="R269" s="136"/>
    </row>
    <row r="270" spans="14:18">
      <c r="N270" s="145"/>
      <c r="P270" s="145"/>
      <c r="Q270" s="145"/>
      <c r="R270" s="136"/>
    </row>
    <row r="271" spans="14:18">
      <c r="N271" s="145"/>
      <c r="P271" s="145"/>
      <c r="Q271" s="145"/>
      <c r="R271" s="136"/>
    </row>
    <row r="272" spans="14:18">
      <c r="N272" s="145"/>
      <c r="P272" s="145"/>
      <c r="Q272" s="145"/>
      <c r="R272" s="136"/>
    </row>
    <row r="273" spans="14:136">
      <c r="N273" s="145"/>
      <c r="P273" s="145"/>
      <c r="Q273" s="145"/>
      <c r="R273" s="136"/>
    </row>
    <row r="274" spans="14:136">
      <c r="N274" s="145"/>
      <c r="P274" s="145"/>
      <c r="Q274" s="145"/>
      <c r="R274" s="136"/>
    </row>
    <row r="275" spans="14:136">
      <c r="N275" s="145"/>
      <c r="P275" s="145"/>
      <c r="Q275" s="145"/>
      <c r="R275" s="136"/>
    </row>
    <row r="276" spans="14:136">
      <c r="N276" s="145"/>
      <c r="P276" s="145"/>
      <c r="Q276" s="145"/>
      <c r="R276" s="136"/>
    </row>
    <row r="277" spans="14:136">
      <c r="N277" s="145"/>
      <c r="P277" s="145"/>
      <c r="Q277" s="145"/>
      <c r="R277" s="136"/>
    </row>
    <row r="278" spans="14:136">
      <c r="N278" s="145"/>
      <c r="P278" s="145"/>
      <c r="Q278" s="145"/>
      <c r="R278" s="136"/>
    </row>
    <row r="279" spans="14:136">
      <c r="N279" s="145"/>
      <c r="P279" s="145"/>
      <c r="Q279" s="145"/>
      <c r="R279" s="136"/>
    </row>
    <row r="280" spans="14:136">
      <c r="N280" s="145"/>
      <c r="P280" s="145"/>
      <c r="Q280" s="145"/>
      <c r="R280" s="136"/>
    </row>
    <row r="281" spans="14:136">
      <c r="N281" s="145"/>
      <c r="P281" s="145"/>
      <c r="Q281" s="145"/>
      <c r="R281" s="136"/>
    </row>
    <row r="282" spans="14:136">
      <c r="N282" s="145"/>
      <c r="P282" s="145"/>
      <c r="Q282" s="145"/>
      <c r="R282" s="136"/>
    </row>
    <row r="283" spans="14:136">
      <c r="N283" s="145"/>
      <c r="P283" s="145"/>
      <c r="Q283" s="145"/>
      <c r="R283" s="136"/>
    </row>
    <row r="284" spans="14:136">
      <c r="N284" s="145"/>
      <c r="P284" s="145"/>
      <c r="Q284" s="145"/>
      <c r="R284" s="136"/>
    </row>
    <row r="285" spans="14:136">
      <c r="N285" s="145"/>
      <c r="P285" s="145"/>
      <c r="Q285" s="145"/>
      <c r="R285" s="136"/>
    </row>
    <row r="286" spans="14:136">
      <c r="N286" s="145"/>
      <c r="P286" s="145"/>
      <c r="Q286" s="145"/>
      <c r="R286" s="136"/>
    </row>
    <row r="287" spans="14:136">
      <c r="N287" s="145"/>
      <c r="P287" s="145"/>
      <c r="Q287" s="145"/>
      <c r="R287" s="136"/>
      <c r="EF287" s="157"/>
    </row>
    <row r="288" spans="14:136">
      <c r="N288" s="145"/>
      <c r="P288" s="145"/>
      <c r="Q288" s="145"/>
      <c r="R288" s="136"/>
      <c r="EF288" s="157"/>
    </row>
    <row r="289" spans="14:136">
      <c r="N289" s="145"/>
      <c r="P289" s="145"/>
      <c r="Q289" s="145"/>
      <c r="R289" s="136"/>
      <c r="EF289" s="157"/>
    </row>
    <row r="290" spans="14:136">
      <c r="N290" s="145"/>
      <c r="P290" s="145"/>
      <c r="Q290" s="145"/>
      <c r="R290" s="136"/>
      <c r="EF290" s="157"/>
    </row>
    <row r="291" spans="14:136">
      <c r="N291" s="145"/>
      <c r="P291" s="145"/>
      <c r="Q291" s="145"/>
      <c r="R291" s="136"/>
      <c r="EF291" s="157"/>
    </row>
    <row r="292" spans="14:136">
      <c r="N292" s="145"/>
      <c r="P292" s="145"/>
      <c r="Q292" s="145"/>
      <c r="R292" s="136"/>
      <c r="EF292" s="157"/>
    </row>
    <row r="293" spans="14:136">
      <c r="N293" s="145"/>
      <c r="P293" s="145"/>
      <c r="Q293" s="145"/>
      <c r="R293" s="136"/>
      <c r="EF293" s="157"/>
    </row>
    <row r="294" spans="14:136">
      <c r="N294" s="145"/>
      <c r="P294" s="145"/>
      <c r="Q294" s="145"/>
      <c r="R294" s="136"/>
      <c r="EF294" s="157"/>
    </row>
    <row r="295" spans="14:136">
      <c r="N295" s="145"/>
      <c r="P295" s="145"/>
      <c r="Q295" s="145"/>
      <c r="R295" s="136"/>
      <c r="EF295" s="157"/>
    </row>
    <row r="296" spans="14:136">
      <c r="N296" s="145"/>
      <c r="P296" s="145"/>
      <c r="Q296" s="145"/>
      <c r="R296" s="136"/>
      <c r="EF296" s="157"/>
    </row>
    <row r="297" spans="14:136">
      <c r="N297" s="145"/>
      <c r="P297" s="145"/>
      <c r="Q297" s="145"/>
      <c r="R297" s="136"/>
      <c r="EF297" s="157"/>
    </row>
    <row r="298" spans="14:136">
      <c r="N298" s="145"/>
      <c r="P298" s="145"/>
      <c r="Q298" s="145"/>
      <c r="R298" s="136"/>
      <c r="EF298" s="157"/>
    </row>
    <row r="299" spans="14:136">
      <c r="N299" s="145"/>
      <c r="P299" s="145"/>
      <c r="Q299" s="145"/>
      <c r="R299" s="136"/>
      <c r="EF299" s="157"/>
    </row>
    <row r="300" spans="14:136">
      <c r="N300" s="145"/>
      <c r="P300" s="145"/>
      <c r="Q300" s="145"/>
      <c r="R300" s="136"/>
      <c r="EF300" s="157"/>
    </row>
    <row r="301" spans="14:136">
      <c r="N301" s="145"/>
      <c r="P301" s="145"/>
      <c r="Q301" s="145"/>
      <c r="R301" s="136"/>
      <c r="EF301" s="157"/>
    </row>
    <row r="302" spans="14:136">
      <c r="N302" s="145"/>
      <c r="P302" s="145"/>
      <c r="Q302" s="145"/>
      <c r="R302" s="136"/>
      <c r="EF302" s="157"/>
    </row>
    <row r="303" spans="14:136">
      <c r="N303" s="145"/>
      <c r="P303" s="145"/>
      <c r="Q303" s="145"/>
      <c r="R303" s="136"/>
      <c r="EF303" s="157"/>
    </row>
    <row r="304" spans="14:136">
      <c r="N304" s="145"/>
      <c r="P304" s="145"/>
      <c r="Q304" s="145"/>
      <c r="R304" s="136"/>
      <c r="EF304" s="157"/>
    </row>
    <row r="305" spans="14:136">
      <c r="N305" s="145"/>
      <c r="P305" s="145"/>
      <c r="Q305" s="145"/>
      <c r="R305" s="136"/>
      <c r="EF305" s="157"/>
    </row>
    <row r="306" spans="14:136">
      <c r="N306" s="145"/>
      <c r="P306" s="145"/>
      <c r="Q306" s="145"/>
      <c r="R306" s="136"/>
      <c r="EF306" s="157"/>
    </row>
    <row r="307" spans="14:136">
      <c r="N307" s="145"/>
      <c r="P307" s="145"/>
      <c r="Q307" s="145"/>
      <c r="R307" s="136"/>
      <c r="EF307" s="157"/>
    </row>
    <row r="308" spans="14:136">
      <c r="N308" s="145"/>
      <c r="P308" s="145"/>
      <c r="Q308" s="145"/>
      <c r="R308" s="136"/>
      <c r="EF308" s="157"/>
    </row>
    <row r="309" spans="14:136">
      <c r="N309" s="145"/>
      <c r="P309" s="145"/>
      <c r="Q309" s="145"/>
      <c r="R309" s="136"/>
      <c r="EF309" s="157"/>
    </row>
    <row r="310" spans="14:136">
      <c r="N310" s="145"/>
      <c r="P310" s="145"/>
      <c r="Q310" s="145"/>
      <c r="R310" s="136"/>
      <c r="EF310" s="157"/>
    </row>
    <row r="311" spans="14:136">
      <c r="N311" s="145"/>
      <c r="P311" s="145"/>
      <c r="Q311" s="145"/>
      <c r="R311" s="136"/>
      <c r="EF311" s="157"/>
    </row>
    <row r="312" spans="14:136">
      <c r="N312" s="145"/>
      <c r="P312" s="145"/>
      <c r="Q312" s="145"/>
      <c r="R312" s="136"/>
      <c r="EF312" s="157"/>
    </row>
    <row r="313" spans="14:136">
      <c r="N313" s="145"/>
      <c r="P313" s="145"/>
      <c r="Q313" s="145"/>
      <c r="R313" s="136"/>
      <c r="EF313" s="157"/>
    </row>
    <row r="314" spans="14:136">
      <c r="N314" s="145"/>
      <c r="P314" s="145"/>
      <c r="Q314" s="145"/>
      <c r="R314" s="136"/>
      <c r="EF314" s="157"/>
    </row>
    <row r="315" spans="14:136">
      <c r="N315" s="145"/>
      <c r="P315" s="145"/>
      <c r="Q315" s="145"/>
      <c r="R315" s="136"/>
      <c r="EF315" s="157"/>
    </row>
    <row r="316" spans="14:136">
      <c r="N316" s="145"/>
      <c r="P316" s="145"/>
      <c r="Q316" s="145"/>
      <c r="R316" s="136"/>
      <c r="EF316" s="157"/>
    </row>
    <row r="317" spans="14:136">
      <c r="N317" s="145"/>
      <c r="P317" s="145"/>
      <c r="Q317" s="145"/>
      <c r="R317" s="136"/>
      <c r="EF317" s="157"/>
    </row>
    <row r="318" spans="14:136">
      <c r="N318" s="145"/>
      <c r="P318" s="145"/>
      <c r="Q318" s="145"/>
      <c r="R318" s="136"/>
      <c r="EF318" s="157"/>
    </row>
    <row r="319" spans="14:136">
      <c r="N319" s="145"/>
      <c r="P319" s="145"/>
      <c r="Q319" s="145"/>
      <c r="R319" s="136"/>
      <c r="EF319" s="157"/>
    </row>
    <row r="320" spans="14:136">
      <c r="N320" s="145"/>
      <c r="P320" s="145"/>
      <c r="Q320" s="145"/>
      <c r="R320" s="136"/>
      <c r="EF320" s="157"/>
    </row>
    <row r="321" spans="14:136">
      <c r="N321" s="145"/>
      <c r="P321" s="145"/>
      <c r="Q321" s="145"/>
      <c r="R321" s="136"/>
      <c r="EF321" s="157"/>
    </row>
    <row r="322" spans="14:136">
      <c r="N322" s="145"/>
      <c r="P322" s="145"/>
      <c r="Q322" s="145"/>
      <c r="R322" s="136"/>
      <c r="EF322" s="157"/>
    </row>
    <row r="323" spans="14:136">
      <c r="N323" s="145"/>
      <c r="P323" s="145"/>
      <c r="Q323" s="145"/>
      <c r="R323" s="136"/>
      <c r="EF323" s="157"/>
    </row>
    <row r="324" spans="14:136">
      <c r="N324" s="145"/>
      <c r="P324" s="145"/>
      <c r="Q324" s="145"/>
      <c r="R324" s="136"/>
      <c r="EF324" s="157"/>
    </row>
    <row r="325" spans="14:136">
      <c r="N325" s="145"/>
      <c r="P325" s="145"/>
      <c r="Q325" s="145"/>
      <c r="R325" s="136"/>
      <c r="EF325" s="157"/>
    </row>
    <row r="326" spans="14:136">
      <c r="N326" s="145"/>
      <c r="P326" s="145"/>
      <c r="Q326" s="145"/>
      <c r="R326" s="136"/>
      <c r="EF326" s="157"/>
    </row>
    <row r="327" spans="14:136">
      <c r="N327" s="145"/>
      <c r="P327" s="145"/>
      <c r="Q327" s="145"/>
      <c r="R327" s="136"/>
      <c r="EF327" s="157"/>
    </row>
    <row r="328" spans="14:136">
      <c r="N328" s="145"/>
      <c r="P328" s="145"/>
      <c r="Q328" s="145"/>
      <c r="R328" s="136"/>
      <c r="EF328" s="157"/>
    </row>
    <row r="329" spans="14:136">
      <c r="N329" s="145"/>
      <c r="P329" s="145"/>
      <c r="Q329" s="145"/>
      <c r="R329" s="136"/>
      <c r="EF329" s="157"/>
    </row>
    <row r="330" spans="14:136">
      <c r="N330" s="145"/>
      <c r="P330" s="145"/>
      <c r="Q330" s="145"/>
      <c r="R330" s="136"/>
      <c r="EF330" s="157"/>
    </row>
    <row r="331" spans="14:136">
      <c r="N331" s="145"/>
      <c r="P331" s="145"/>
      <c r="Q331" s="145"/>
      <c r="R331" s="136"/>
      <c r="EF331" s="157"/>
    </row>
    <row r="332" spans="14:136">
      <c r="N332" s="145"/>
      <c r="P332" s="145"/>
      <c r="Q332" s="145"/>
      <c r="R332" s="136"/>
      <c r="EF332" s="157"/>
    </row>
    <row r="333" spans="14:136">
      <c r="N333" s="145"/>
      <c r="P333" s="145"/>
      <c r="Q333" s="145"/>
      <c r="R333" s="136"/>
      <c r="EF333" s="157"/>
    </row>
    <row r="334" spans="14:136">
      <c r="N334" s="145"/>
      <c r="P334" s="145"/>
      <c r="Q334" s="145"/>
      <c r="R334" s="136"/>
      <c r="EF334" s="157"/>
    </row>
    <row r="335" spans="14:136">
      <c r="N335" s="145"/>
      <c r="P335" s="145"/>
      <c r="Q335" s="145"/>
      <c r="R335" s="136"/>
      <c r="EF335" s="157"/>
    </row>
    <row r="336" spans="14:136">
      <c r="N336" s="145"/>
      <c r="P336" s="145"/>
      <c r="Q336" s="145"/>
      <c r="R336" s="136"/>
      <c r="EF336" s="157"/>
    </row>
    <row r="337" spans="14:136">
      <c r="N337" s="145"/>
      <c r="P337" s="145"/>
      <c r="Q337" s="145"/>
      <c r="R337" s="136"/>
      <c r="EF337" s="157"/>
    </row>
    <row r="338" spans="14:136">
      <c r="N338" s="145"/>
      <c r="P338" s="145"/>
      <c r="Q338" s="145"/>
      <c r="R338" s="136"/>
      <c r="EF338" s="157"/>
    </row>
    <row r="339" spans="14:136">
      <c r="N339" s="145"/>
      <c r="P339" s="145"/>
      <c r="Q339" s="145"/>
      <c r="R339" s="136"/>
      <c r="EF339" s="157"/>
    </row>
    <row r="340" spans="14:136">
      <c r="N340" s="145"/>
      <c r="P340" s="145"/>
      <c r="Q340" s="145"/>
      <c r="R340" s="136"/>
      <c r="EF340" s="157"/>
    </row>
    <row r="341" spans="14:136">
      <c r="N341" s="145"/>
      <c r="P341" s="145"/>
      <c r="Q341" s="145"/>
      <c r="R341" s="136"/>
      <c r="EF341" s="157"/>
    </row>
    <row r="342" spans="14:136">
      <c r="N342" s="145"/>
      <c r="P342" s="145"/>
      <c r="Q342" s="145"/>
      <c r="R342" s="136"/>
      <c r="EF342" s="157"/>
    </row>
    <row r="343" spans="14:136">
      <c r="N343" s="145"/>
      <c r="P343" s="145"/>
      <c r="Q343" s="145"/>
      <c r="R343" s="136"/>
      <c r="EF343" s="157"/>
    </row>
    <row r="344" spans="14:136">
      <c r="N344" s="145"/>
      <c r="P344" s="145"/>
      <c r="Q344" s="145"/>
      <c r="R344" s="136"/>
      <c r="EF344" s="157"/>
    </row>
    <row r="345" spans="14:136">
      <c r="N345" s="145"/>
      <c r="P345" s="145"/>
      <c r="Q345" s="145"/>
      <c r="R345" s="136"/>
      <c r="EF345" s="157"/>
    </row>
    <row r="346" spans="14:136">
      <c r="N346" s="145"/>
      <c r="P346" s="145"/>
      <c r="Q346" s="145"/>
      <c r="R346" s="136"/>
      <c r="EF346" s="157"/>
    </row>
    <row r="347" spans="14:136">
      <c r="N347" s="145"/>
      <c r="P347" s="145"/>
      <c r="Q347" s="145"/>
      <c r="R347" s="136"/>
      <c r="EF347" s="157"/>
    </row>
    <row r="348" spans="14:136">
      <c r="N348" s="145"/>
      <c r="P348" s="145"/>
      <c r="Q348" s="145"/>
      <c r="R348" s="136"/>
      <c r="EF348" s="157"/>
    </row>
    <row r="349" spans="14:136">
      <c r="N349" s="145"/>
      <c r="P349" s="145"/>
      <c r="Q349" s="145"/>
      <c r="R349" s="136"/>
      <c r="EF349" s="157"/>
    </row>
    <row r="350" spans="14:136">
      <c r="N350" s="145"/>
      <c r="P350" s="145"/>
      <c r="Q350" s="145"/>
      <c r="R350" s="136"/>
      <c r="EF350" s="157"/>
    </row>
    <row r="351" spans="14:136">
      <c r="N351" s="145"/>
      <c r="P351" s="145"/>
      <c r="Q351" s="145"/>
      <c r="R351" s="136"/>
      <c r="EF351" s="157"/>
    </row>
    <row r="352" spans="14:136">
      <c r="N352" s="145"/>
      <c r="P352" s="145"/>
      <c r="Q352" s="145"/>
      <c r="R352" s="136"/>
      <c r="EF352" s="157"/>
    </row>
    <row r="353" spans="14:136">
      <c r="N353" s="145"/>
      <c r="P353" s="145"/>
      <c r="Q353" s="145"/>
      <c r="R353" s="136"/>
      <c r="EF353" s="157"/>
    </row>
    <row r="354" spans="14:136">
      <c r="N354" s="145"/>
      <c r="P354" s="145"/>
      <c r="Q354" s="145"/>
      <c r="R354" s="136"/>
      <c r="EF354" s="157"/>
    </row>
    <row r="355" spans="14:136">
      <c r="N355" s="145"/>
      <c r="P355" s="145"/>
      <c r="Q355" s="145"/>
      <c r="R355" s="136"/>
      <c r="EF355" s="157"/>
    </row>
    <row r="356" spans="14:136">
      <c r="N356" s="145"/>
      <c r="P356" s="145"/>
      <c r="Q356" s="145"/>
      <c r="R356" s="136"/>
      <c r="EF356" s="157"/>
    </row>
    <row r="357" spans="14:136">
      <c r="N357" s="145"/>
      <c r="P357" s="145"/>
      <c r="Q357" s="145"/>
      <c r="R357" s="136"/>
      <c r="EF357" s="157"/>
    </row>
    <row r="358" spans="14:136">
      <c r="N358" s="145"/>
      <c r="P358" s="145"/>
      <c r="Q358" s="145"/>
      <c r="R358" s="136"/>
      <c r="EF358" s="157"/>
    </row>
    <row r="359" spans="14:136">
      <c r="N359" s="145"/>
      <c r="P359" s="145"/>
      <c r="Q359" s="145"/>
      <c r="R359" s="136"/>
      <c r="EF359" s="157"/>
    </row>
    <row r="360" spans="14:136">
      <c r="N360" s="145"/>
      <c r="P360" s="145"/>
      <c r="Q360" s="145"/>
      <c r="R360" s="136"/>
      <c r="EF360" s="157"/>
    </row>
    <row r="361" spans="14:136">
      <c r="N361" s="145"/>
      <c r="P361" s="145"/>
      <c r="Q361" s="145"/>
      <c r="R361" s="136"/>
      <c r="EF361" s="157"/>
    </row>
    <row r="362" spans="14:136">
      <c r="N362" s="145"/>
      <c r="P362" s="145"/>
      <c r="Q362" s="145"/>
      <c r="R362" s="136"/>
      <c r="EF362" s="157"/>
    </row>
    <row r="363" spans="14:136">
      <c r="N363" s="145"/>
      <c r="P363" s="145"/>
      <c r="Q363" s="145"/>
      <c r="R363" s="136"/>
      <c r="EF363" s="157"/>
    </row>
    <row r="364" spans="14:136">
      <c r="N364" s="145"/>
      <c r="P364" s="145"/>
      <c r="Q364" s="145"/>
      <c r="R364" s="136"/>
      <c r="EF364" s="157"/>
    </row>
    <row r="365" spans="14:136">
      <c r="N365" s="145"/>
      <c r="P365" s="145"/>
      <c r="Q365" s="145"/>
      <c r="R365" s="136"/>
      <c r="EF365" s="157"/>
    </row>
    <row r="366" spans="14:136">
      <c r="N366" s="145"/>
      <c r="P366" s="145"/>
      <c r="Q366" s="145"/>
      <c r="R366" s="136"/>
      <c r="EF366" s="157"/>
    </row>
    <row r="367" spans="14:136">
      <c r="N367" s="145"/>
      <c r="P367" s="145"/>
      <c r="Q367" s="145"/>
      <c r="R367" s="136"/>
      <c r="EF367" s="157"/>
    </row>
    <row r="368" spans="14:136">
      <c r="N368" s="145"/>
      <c r="P368" s="145"/>
      <c r="Q368" s="145"/>
      <c r="R368" s="136"/>
      <c r="EF368" s="157"/>
    </row>
    <row r="369" spans="14:136">
      <c r="N369" s="145"/>
      <c r="P369" s="145"/>
      <c r="Q369" s="145"/>
      <c r="R369" s="136"/>
      <c r="EF369" s="157"/>
    </row>
    <row r="370" spans="14:136">
      <c r="N370" s="145"/>
      <c r="P370" s="145"/>
      <c r="Q370" s="145"/>
      <c r="R370" s="136"/>
      <c r="EF370" s="157"/>
    </row>
    <row r="371" spans="14:136">
      <c r="N371" s="145"/>
      <c r="P371" s="145"/>
      <c r="Q371" s="145"/>
      <c r="R371" s="136"/>
      <c r="EF371" s="157"/>
    </row>
    <row r="372" spans="14:136">
      <c r="N372" s="145"/>
      <c r="P372" s="145"/>
      <c r="Q372" s="145"/>
      <c r="R372" s="136"/>
      <c r="EF372" s="157"/>
    </row>
    <row r="373" spans="14:136">
      <c r="N373" s="145"/>
      <c r="P373" s="145"/>
      <c r="Q373" s="145"/>
      <c r="R373" s="136"/>
      <c r="EF373" s="157"/>
    </row>
    <row r="374" spans="14:136">
      <c r="N374" s="145"/>
      <c r="P374" s="145"/>
      <c r="Q374" s="145"/>
      <c r="R374" s="136"/>
      <c r="EF374" s="157"/>
    </row>
    <row r="375" spans="14:136">
      <c r="N375" s="145"/>
      <c r="P375" s="145"/>
      <c r="Q375" s="145"/>
      <c r="R375" s="136"/>
      <c r="EF375" s="157"/>
    </row>
    <row r="376" spans="14:136">
      <c r="N376" s="145"/>
      <c r="P376" s="145"/>
      <c r="Q376" s="145"/>
      <c r="R376" s="136"/>
      <c r="EF376" s="157"/>
    </row>
    <row r="377" spans="14:136">
      <c r="N377" s="145"/>
      <c r="P377" s="145"/>
      <c r="Q377" s="145"/>
      <c r="R377" s="136"/>
      <c r="EF377" s="157"/>
    </row>
    <row r="378" spans="14:136">
      <c r="N378" s="145"/>
      <c r="P378" s="145"/>
      <c r="Q378" s="145"/>
      <c r="R378" s="136"/>
      <c r="EF378" s="157"/>
    </row>
    <row r="379" spans="14:136">
      <c r="N379" s="145"/>
      <c r="P379" s="145"/>
      <c r="Q379" s="145"/>
      <c r="R379" s="136"/>
      <c r="EF379" s="157"/>
    </row>
    <row r="380" spans="14:136">
      <c r="N380" s="145"/>
      <c r="P380" s="145"/>
      <c r="Q380" s="145"/>
      <c r="R380" s="136"/>
      <c r="EF380" s="157"/>
    </row>
    <row r="381" spans="14:136">
      <c r="N381" s="145"/>
      <c r="P381" s="145"/>
      <c r="Q381" s="145"/>
      <c r="R381" s="136"/>
      <c r="EF381" s="157"/>
    </row>
    <row r="382" spans="14:136">
      <c r="N382" s="145"/>
      <c r="P382" s="145"/>
      <c r="Q382" s="145"/>
      <c r="R382" s="136"/>
      <c r="EF382" s="157"/>
    </row>
    <row r="383" spans="14:136">
      <c r="N383" s="145"/>
      <c r="P383" s="145"/>
      <c r="Q383" s="145"/>
      <c r="R383" s="136"/>
      <c r="EF383" s="157"/>
    </row>
    <row r="384" spans="14:136">
      <c r="N384" s="145"/>
      <c r="P384" s="145"/>
      <c r="Q384" s="145"/>
      <c r="R384" s="136"/>
      <c r="EF384" s="157"/>
    </row>
    <row r="385" spans="14:136">
      <c r="N385" s="145"/>
      <c r="P385" s="145"/>
      <c r="Q385" s="145"/>
      <c r="R385" s="136"/>
      <c r="EF385" s="157"/>
    </row>
    <row r="386" spans="14:136">
      <c r="N386" s="145"/>
      <c r="P386" s="145"/>
      <c r="Q386" s="145"/>
      <c r="R386" s="136"/>
      <c r="EF386" s="157"/>
    </row>
    <row r="387" spans="14:136">
      <c r="N387" s="145"/>
      <c r="P387" s="145"/>
      <c r="Q387" s="145"/>
      <c r="R387" s="136"/>
      <c r="EF387" s="157"/>
    </row>
    <row r="388" spans="14:136">
      <c r="N388" s="145"/>
      <c r="P388" s="145"/>
      <c r="Q388" s="145"/>
      <c r="R388" s="136"/>
      <c r="EF388" s="157"/>
    </row>
    <row r="389" spans="14:136">
      <c r="N389" s="145"/>
      <c r="P389" s="145"/>
      <c r="Q389" s="145"/>
      <c r="R389" s="136"/>
      <c r="EF389" s="157"/>
    </row>
    <row r="390" spans="14:136">
      <c r="N390" s="145"/>
      <c r="P390" s="145"/>
      <c r="Q390" s="145"/>
      <c r="R390" s="136"/>
      <c r="EF390" s="157"/>
    </row>
    <row r="391" spans="14:136">
      <c r="N391" s="145"/>
      <c r="P391" s="145"/>
      <c r="Q391" s="145"/>
      <c r="R391" s="136"/>
      <c r="EF391" s="157"/>
    </row>
    <row r="392" spans="14:136">
      <c r="N392" s="145"/>
      <c r="P392" s="145"/>
      <c r="Q392" s="145"/>
      <c r="R392" s="136"/>
      <c r="EF392" s="157"/>
    </row>
    <row r="393" spans="14:136">
      <c r="N393" s="145"/>
      <c r="P393" s="145"/>
      <c r="Q393" s="145"/>
      <c r="R393" s="136"/>
      <c r="EF393" s="157"/>
    </row>
    <row r="394" spans="14:136">
      <c r="N394" s="145"/>
      <c r="P394" s="145"/>
      <c r="Q394" s="145"/>
      <c r="R394" s="136"/>
      <c r="EF394" s="157"/>
    </row>
    <row r="395" spans="14:136">
      <c r="N395" s="145"/>
      <c r="P395" s="145"/>
      <c r="Q395" s="145"/>
      <c r="R395" s="136"/>
      <c r="EF395" s="157"/>
    </row>
    <row r="396" spans="14:136">
      <c r="N396" s="145"/>
      <c r="P396" s="145"/>
      <c r="Q396" s="145"/>
      <c r="R396" s="136"/>
      <c r="EF396" s="157"/>
    </row>
    <row r="397" spans="14:136">
      <c r="N397" s="145"/>
      <c r="P397" s="145"/>
      <c r="Q397" s="145"/>
      <c r="R397" s="136"/>
      <c r="EF397" s="157"/>
    </row>
    <row r="398" spans="14:136">
      <c r="N398" s="145"/>
      <c r="P398" s="145"/>
      <c r="Q398" s="145"/>
      <c r="R398" s="136"/>
      <c r="EF398" s="157"/>
    </row>
    <row r="399" spans="14:136">
      <c r="N399" s="145"/>
      <c r="P399" s="145"/>
      <c r="Q399" s="145"/>
      <c r="R399" s="136"/>
      <c r="EF399" s="157"/>
    </row>
    <row r="400" spans="14:136">
      <c r="N400" s="145"/>
      <c r="P400" s="145"/>
      <c r="Q400" s="145"/>
      <c r="R400" s="136"/>
      <c r="EF400" s="157"/>
    </row>
    <row r="401" spans="14:136">
      <c r="N401" s="145"/>
      <c r="P401" s="145"/>
      <c r="Q401" s="145"/>
      <c r="R401" s="136"/>
      <c r="EF401" s="157"/>
    </row>
    <row r="402" spans="14:136">
      <c r="N402" s="145"/>
      <c r="P402" s="145"/>
      <c r="Q402" s="145"/>
      <c r="R402" s="136"/>
      <c r="EF402" s="157"/>
    </row>
    <row r="403" spans="14:136">
      <c r="N403" s="145"/>
      <c r="P403" s="145"/>
      <c r="Q403" s="145"/>
      <c r="R403" s="136"/>
      <c r="EF403" s="157"/>
    </row>
    <row r="404" spans="14:136">
      <c r="N404" s="145"/>
      <c r="P404" s="145"/>
      <c r="Q404" s="145"/>
      <c r="R404" s="136"/>
      <c r="EF404" s="157"/>
    </row>
    <row r="405" spans="14:136">
      <c r="N405" s="145"/>
      <c r="P405" s="145"/>
      <c r="Q405" s="145"/>
      <c r="R405" s="136"/>
      <c r="EF405" s="157"/>
    </row>
    <row r="406" spans="14:136">
      <c r="N406" s="145"/>
      <c r="P406" s="145"/>
      <c r="Q406" s="145"/>
      <c r="R406" s="136"/>
      <c r="EF406" s="157"/>
    </row>
    <row r="407" spans="14:136">
      <c r="N407" s="145"/>
      <c r="P407" s="145"/>
      <c r="Q407" s="145"/>
      <c r="R407" s="136"/>
      <c r="EF407" s="157"/>
    </row>
    <row r="408" spans="14:136">
      <c r="N408" s="145"/>
      <c r="P408" s="145"/>
      <c r="Q408" s="145"/>
      <c r="R408" s="136"/>
      <c r="EF408" s="157"/>
    </row>
    <row r="409" spans="14:136">
      <c r="N409" s="145"/>
      <c r="P409" s="145"/>
      <c r="Q409" s="145"/>
      <c r="R409" s="136"/>
      <c r="EF409" s="157"/>
    </row>
    <row r="410" spans="14:136">
      <c r="N410" s="145"/>
      <c r="P410" s="145"/>
      <c r="Q410" s="145"/>
      <c r="R410" s="136"/>
      <c r="EF410" s="157"/>
    </row>
    <row r="411" spans="14:136">
      <c r="N411" s="145"/>
      <c r="P411" s="145"/>
      <c r="Q411" s="145"/>
      <c r="R411" s="136"/>
      <c r="EF411" s="157"/>
    </row>
    <row r="412" spans="14:136">
      <c r="N412" s="145"/>
      <c r="P412" s="145"/>
      <c r="Q412" s="145"/>
      <c r="R412" s="136"/>
      <c r="EF412" s="157"/>
    </row>
    <row r="413" spans="14:136">
      <c r="N413" s="145"/>
      <c r="P413" s="145"/>
      <c r="Q413" s="145"/>
      <c r="R413" s="136"/>
      <c r="EF413" s="157"/>
    </row>
    <row r="414" spans="14:136">
      <c r="N414" s="145"/>
      <c r="P414" s="145"/>
      <c r="Q414" s="145"/>
      <c r="R414" s="136"/>
      <c r="EF414" s="157"/>
    </row>
    <row r="415" spans="14:136">
      <c r="N415" s="145"/>
      <c r="P415" s="145"/>
      <c r="Q415" s="145"/>
      <c r="R415" s="136"/>
      <c r="EF415" s="157"/>
    </row>
    <row r="416" spans="14:136">
      <c r="N416" s="145"/>
      <c r="P416" s="145"/>
      <c r="Q416" s="145"/>
      <c r="R416" s="136"/>
      <c r="EF416" s="157"/>
    </row>
    <row r="417" spans="14:136">
      <c r="N417" s="145"/>
      <c r="P417" s="145"/>
      <c r="Q417" s="145"/>
      <c r="R417" s="136"/>
      <c r="EF417" s="157"/>
    </row>
    <row r="418" spans="14:136">
      <c r="N418" s="145"/>
      <c r="P418" s="145"/>
      <c r="Q418" s="145"/>
      <c r="R418" s="136"/>
      <c r="EF418" s="157"/>
    </row>
    <row r="419" spans="14:136">
      <c r="N419" s="145"/>
      <c r="P419" s="145"/>
      <c r="Q419" s="145"/>
      <c r="R419" s="136"/>
      <c r="EF419" s="157"/>
    </row>
    <row r="420" spans="14:136">
      <c r="N420" s="145"/>
      <c r="P420" s="145"/>
      <c r="Q420" s="145"/>
      <c r="R420" s="136"/>
      <c r="EF420" s="157"/>
    </row>
    <row r="421" spans="14:136">
      <c r="N421" s="145"/>
      <c r="P421" s="145"/>
      <c r="Q421" s="145"/>
      <c r="R421" s="136"/>
      <c r="EF421" s="157"/>
    </row>
    <row r="422" spans="14:136">
      <c r="N422" s="145"/>
      <c r="P422" s="145"/>
      <c r="Q422" s="145"/>
      <c r="R422" s="136"/>
      <c r="EF422" s="157"/>
    </row>
    <row r="423" spans="14:136">
      <c r="N423" s="145"/>
      <c r="P423" s="145"/>
      <c r="Q423" s="145"/>
      <c r="R423" s="136"/>
      <c r="EF423" s="157"/>
    </row>
    <row r="424" spans="14:136">
      <c r="N424" s="145"/>
      <c r="P424" s="145"/>
      <c r="Q424" s="145"/>
      <c r="R424" s="136"/>
      <c r="EF424" s="157"/>
    </row>
    <row r="425" spans="14:136">
      <c r="N425" s="145"/>
      <c r="P425" s="145"/>
      <c r="Q425" s="145"/>
      <c r="R425" s="136"/>
      <c r="EF425" s="157"/>
    </row>
    <row r="426" spans="14:136">
      <c r="N426" s="145"/>
      <c r="P426" s="145"/>
      <c r="Q426" s="145"/>
      <c r="R426" s="136"/>
      <c r="EF426" s="157"/>
    </row>
    <row r="427" spans="14:136">
      <c r="N427" s="145"/>
      <c r="P427" s="145"/>
      <c r="Q427" s="145"/>
      <c r="R427" s="136"/>
      <c r="EF427" s="157"/>
    </row>
    <row r="428" spans="14:136">
      <c r="N428" s="145"/>
      <c r="P428" s="145"/>
      <c r="Q428" s="145"/>
      <c r="R428" s="136"/>
      <c r="EF428" s="157"/>
    </row>
    <row r="429" spans="14:136">
      <c r="N429" s="145"/>
      <c r="P429" s="145"/>
      <c r="Q429" s="145"/>
      <c r="R429" s="136"/>
      <c r="EF429" s="157"/>
    </row>
    <row r="430" spans="14:136">
      <c r="N430" s="145"/>
      <c r="P430" s="145"/>
      <c r="Q430" s="145"/>
      <c r="R430" s="136"/>
      <c r="EF430" s="157"/>
    </row>
    <row r="431" spans="14:136">
      <c r="N431" s="145"/>
      <c r="P431" s="145"/>
      <c r="Q431" s="145"/>
      <c r="R431" s="136"/>
      <c r="EF431" s="157"/>
    </row>
    <row r="432" spans="14:136">
      <c r="N432" s="145"/>
      <c r="P432" s="145"/>
      <c r="Q432" s="145"/>
      <c r="R432" s="136"/>
      <c r="EF432" s="157"/>
    </row>
    <row r="433" spans="14:136">
      <c r="N433" s="145"/>
      <c r="P433" s="145"/>
      <c r="Q433" s="145"/>
      <c r="R433" s="136"/>
      <c r="EF433" s="157"/>
    </row>
    <row r="434" spans="14:136">
      <c r="N434" s="145"/>
      <c r="P434" s="145"/>
      <c r="Q434" s="145"/>
      <c r="R434" s="136"/>
      <c r="EF434" s="157"/>
    </row>
    <row r="435" spans="14:136">
      <c r="N435" s="145"/>
      <c r="P435" s="145"/>
      <c r="Q435" s="145"/>
      <c r="R435" s="136"/>
      <c r="EF435" s="157"/>
    </row>
    <row r="436" spans="14:136">
      <c r="N436" s="145"/>
      <c r="P436" s="145"/>
      <c r="Q436" s="145"/>
      <c r="R436" s="136"/>
      <c r="EF436" s="157"/>
    </row>
    <row r="437" spans="14:136">
      <c r="N437" s="145"/>
      <c r="P437" s="145"/>
      <c r="Q437" s="145"/>
      <c r="R437" s="136"/>
      <c r="EF437" s="157"/>
    </row>
    <row r="438" spans="14:136">
      <c r="N438" s="145"/>
      <c r="P438" s="145"/>
      <c r="Q438" s="145"/>
      <c r="R438" s="136"/>
      <c r="EF438" s="157"/>
    </row>
    <row r="439" spans="14:136">
      <c r="N439" s="145"/>
      <c r="P439" s="145"/>
      <c r="Q439" s="145"/>
      <c r="R439" s="136"/>
      <c r="EF439" s="157"/>
    </row>
    <row r="440" spans="14:136">
      <c r="N440" s="145"/>
      <c r="P440" s="145"/>
      <c r="Q440" s="145"/>
      <c r="R440" s="136"/>
      <c r="EF440" s="157"/>
    </row>
    <row r="441" spans="14:136">
      <c r="N441" s="145"/>
      <c r="P441" s="145"/>
      <c r="Q441" s="145"/>
      <c r="R441" s="136"/>
      <c r="EF441" s="157"/>
    </row>
    <row r="442" spans="14:136">
      <c r="N442" s="145"/>
      <c r="P442" s="145"/>
      <c r="Q442" s="145"/>
      <c r="R442" s="136"/>
      <c r="EF442" s="157"/>
    </row>
    <row r="443" spans="14:136">
      <c r="N443" s="145"/>
      <c r="P443" s="145"/>
      <c r="Q443" s="145"/>
      <c r="R443" s="136"/>
      <c r="EF443" s="157"/>
    </row>
    <row r="444" spans="14:136">
      <c r="N444" s="145"/>
      <c r="P444" s="145"/>
      <c r="Q444" s="145"/>
      <c r="R444" s="136"/>
      <c r="EF444" s="157"/>
    </row>
    <row r="445" spans="14:136">
      <c r="N445" s="145"/>
      <c r="P445" s="145"/>
      <c r="Q445" s="145"/>
      <c r="R445" s="136"/>
      <c r="EF445" s="157"/>
    </row>
    <row r="446" spans="14:136">
      <c r="N446" s="145"/>
      <c r="P446" s="145"/>
      <c r="Q446" s="145"/>
      <c r="R446" s="136"/>
      <c r="EF446" s="157"/>
    </row>
    <row r="447" spans="14:136">
      <c r="N447" s="145"/>
      <c r="P447" s="145"/>
      <c r="Q447" s="145"/>
      <c r="R447" s="136"/>
      <c r="EF447" s="157"/>
    </row>
    <row r="448" spans="14:136">
      <c r="N448" s="145"/>
      <c r="P448" s="145"/>
      <c r="Q448" s="145"/>
      <c r="R448" s="136"/>
      <c r="EF448" s="157"/>
    </row>
    <row r="449" spans="14:136">
      <c r="N449" s="145"/>
      <c r="P449" s="145"/>
      <c r="Q449" s="145"/>
      <c r="R449" s="136"/>
      <c r="EF449" s="157"/>
    </row>
    <row r="450" spans="14:136">
      <c r="N450" s="145"/>
      <c r="P450" s="145"/>
      <c r="Q450" s="145"/>
      <c r="R450" s="136"/>
      <c r="EF450" s="157"/>
    </row>
    <row r="451" spans="14:136">
      <c r="N451" s="145"/>
      <c r="P451" s="145"/>
      <c r="Q451" s="145"/>
      <c r="R451" s="136"/>
      <c r="EF451" s="157"/>
    </row>
    <row r="452" spans="14:136">
      <c r="N452" s="145"/>
      <c r="P452" s="145"/>
      <c r="Q452" s="145"/>
      <c r="R452" s="136"/>
      <c r="EF452" s="157"/>
    </row>
    <row r="453" spans="14:136">
      <c r="N453" s="145"/>
      <c r="P453" s="145"/>
      <c r="Q453" s="145"/>
      <c r="R453" s="136"/>
      <c r="EF453" s="157"/>
    </row>
    <row r="454" spans="14:136">
      <c r="N454" s="145"/>
      <c r="P454" s="145"/>
      <c r="Q454" s="145"/>
      <c r="R454" s="136"/>
      <c r="EF454" s="157"/>
    </row>
    <row r="455" spans="14:136">
      <c r="N455" s="145"/>
      <c r="P455" s="145"/>
      <c r="Q455" s="145"/>
      <c r="R455" s="136"/>
      <c r="EF455" s="157"/>
    </row>
    <row r="456" spans="14:136">
      <c r="N456" s="145"/>
      <c r="P456" s="145"/>
      <c r="Q456" s="145"/>
      <c r="R456" s="136"/>
      <c r="EF456" s="157"/>
    </row>
    <row r="457" spans="14:136">
      <c r="N457" s="145"/>
      <c r="P457" s="145"/>
      <c r="Q457" s="145"/>
      <c r="R457" s="136"/>
      <c r="EF457" s="157"/>
    </row>
    <row r="458" spans="14:136">
      <c r="N458" s="145"/>
      <c r="P458" s="145"/>
      <c r="Q458" s="145"/>
      <c r="R458" s="136"/>
      <c r="EF458" s="157"/>
    </row>
    <row r="459" spans="14:136">
      <c r="N459" s="145"/>
      <c r="P459" s="145"/>
      <c r="Q459" s="145"/>
      <c r="R459" s="136"/>
      <c r="EF459" s="157"/>
    </row>
    <row r="460" spans="14:136">
      <c r="N460" s="145"/>
      <c r="P460" s="145"/>
      <c r="Q460" s="145"/>
      <c r="R460" s="136"/>
      <c r="EF460" s="157"/>
    </row>
    <row r="461" spans="14:136">
      <c r="N461" s="145"/>
      <c r="P461" s="145"/>
      <c r="Q461" s="145"/>
      <c r="R461" s="136"/>
      <c r="EF461" s="157"/>
    </row>
    <row r="462" spans="14:136">
      <c r="N462" s="145"/>
      <c r="P462" s="145"/>
      <c r="Q462" s="145"/>
      <c r="R462" s="136"/>
      <c r="EF462" s="157"/>
    </row>
    <row r="463" spans="14:136">
      <c r="N463" s="145"/>
      <c r="P463" s="145"/>
      <c r="Q463" s="145"/>
      <c r="R463" s="136"/>
      <c r="EF463" s="157"/>
    </row>
    <row r="464" spans="14:136">
      <c r="N464" s="145"/>
      <c r="P464" s="145"/>
      <c r="Q464" s="145"/>
      <c r="R464" s="136"/>
      <c r="EF464" s="157"/>
    </row>
    <row r="465" spans="14:136">
      <c r="N465" s="145"/>
      <c r="P465" s="145"/>
      <c r="Q465" s="145"/>
      <c r="R465" s="136"/>
      <c r="EF465" s="157"/>
    </row>
    <row r="466" spans="14:136">
      <c r="N466" s="145"/>
      <c r="P466" s="145"/>
      <c r="Q466" s="145"/>
      <c r="R466" s="136"/>
      <c r="EF466" s="157"/>
    </row>
    <row r="467" spans="14:136">
      <c r="N467" s="145"/>
      <c r="P467" s="145"/>
      <c r="Q467" s="145"/>
      <c r="R467" s="136"/>
      <c r="EF467" s="157"/>
    </row>
    <row r="468" spans="14:136">
      <c r="N468" s="145"/>
      <c r="P468" s="145"/>
      <c r="Q468" s="145"/>
      <c r="R468" s="136"/>
      <c r="EF468" s="157"/>
    </row>
    <row r="469" spans="14:136">
      <c r="N469" s="145"/>
      <c r="P469" s="145"/>
      <c r="Q469" s="145"/>
      <c r="R469" s="136"/>
      <c r="EF469" s="157"/>
    </row>
    <row r="470" spans="14:136">
      <c r="N470" s="145"/>
      <c r="P470" s="145"/>
      <c r="Q470" s="145"/>
      <c r="R470" s="136"/>
      <c r="EF470" s="157"/>
    </row>
    <row r="471" spans="14:136">
      <c r="N471" s="145"/>
      <c r="P471" s="145"/>
      <c r="Q471" s="145"/>
      <c r="R471" s="136"/>
      <c r="EF471" s="157"/>
    </row>
    <row r="472" spans="14:136">
      <c r="N472" s="145"/>
      <c r="P472" s="145"/>
      <c r="Q472" s="145"/>
      <c r="R472" s="136"/>
      <c r="EF472" s="157"/>
    </row>
    <row r="473" spans="14:136">
      <c r="N473" s="145"/>
      <c r="P473" s="145"/>
      <c r="Q473" s="145"/>
      <c r="R473" s="136"/>
      <c r="EF473" s="157"/>
    </row>
    <row r="474" spans="14:136">
      <c r="N474" s="145"/>
      <c r="P474" s="145"/>
      <c r="Q474" s="145"/>
      <c r="R474" s="136"/>
      <c r="EF474" s="157"/>
    </row>
    <row r="475" spans="14:136">
      <c r="N475" s="145"/>
      <c r="P475" s="145"/>
      <c r="Q475" s="145"/>
      <c r="R475" s="136"/>
      <c r="EF475" s="157"/>
    </row>
    <row r="476" spans="14:136">
      <c r="N476" s="145"/>
      <c r="P476" s="145"/>
      <c r="Q476" s="145"/>
      <c r="R476" s="136"/>
      <c r="EF476" s="157"/>
    </row>
    <row r="477" spans="14:136">
      <c r="N477" s="145"/>
      <c r="P477" s="145"/>
      <c r="Q477" s="145"/>
      <c r="R477" s="136"/>
      <c r="EF477" s="157"/>
    </row>
    <row r="478" spans="14:136">
      <c r="N478" s="145"/>
      <c r="P478" s="145"/>
      <c r="Q478" s="145"/>
      <c r="R478" s="136"/>
      <c r="EF478" s="157"/>
    </row>
    <row r="479" spans="14:136">
      <c r="N479" s="145"/>
      <c r="P479" s="145"/>
      <c r="Q479" s="145"/>
      <c r="R479" s="136"/>
      <c r="EF479" s="157"/>
    </row>
    <row r="480" spans="14:136">
      <c r="N480" s="145"/>
      <c r="P480" s="145"/>
      <c r="Q480" s="145"/>
      <c r="R480" s="136"/>
      <c r="EF480" s="157"/>
    </row>
    <row r="481" spans="14:136">
      <c r="N481" s="145"/>
      <c r="P481" s="145"/>
      <c r="Q481" s="145"/>
      <c r="R481" s="136"/>
      <c r="EF481" s="157"/>
    </row>
    <row r="482" spans="14:136">
      <c r="N482" s="145"/>
      <c r="P482" s="145"/>
      <c r="Q482" s="145"/>
      <c r="R482" s="136"/>
      <c r="EF482" s="157"/>
    </row>
    <row r="483" spans="14:136">
      <c r="N483" s="145"/>
      <c r="P483" s="145"/>
      <c r="Q483" s="145"/>
      <c r="R483" s="136"/>
      <c r="EF483" s="157"/>
    </row>
    <row r="484" spans="14:136">
      <c r="N484" s="145"/>
      <c r="P484" s="145"/>
      <c r="Q484" s="145"/>
      <c r="R484" s="136"/>
      <c r="EF484" s="157"/>
    </row>
    <row r="485" spans="14:136">
      <c r="N485" s="145"/>
      <c r="P485" s="145"/>
      <c r="Q485" s="145"/>
      <c r="R485" s="136"/>
      <c r="EF485" s="157"/>
    </row>
    <row r="486" spans="14:136">
      <c r="N486" s="145"/>
      <c r="P486" s="145"/>
      <c r="Q486" s="145"/>
      <c r="R486" s="136"/>
      <c r="EF486" s="157"/>
    </row>
    <row r="487" spans="14:136">
      <c r="N487" s="145"/>
      <c r="P487" s="145"/>
      <c r="Q487" s="145"/>
      <c r="R487" s="136"/>
      <c r="EF487" s="157"/>
    </row>
    <row r="488" spans="14:136">
      <c r="N488" s="145"/>
      <c r="P488" s="145"/>
      <c r="Q488" s="145"/>
      <c r="R488" s="136"/>
      <c r="EF488" s="157"/>
    </row>
    <row r="489" spans="14:136">
      <c r="N489" s="145"/>
      <c r="P489" s="145"/>
      <c r="Q489" s="145"/>
      <c r="R489" s="136"/>
      <c r="EF489" s="157"/>
    </row>
    <row r="490" spans="14:136">
      <c r="N490" s="145"/>
      <c r="P490" s="145"/>
      <c r="Q490" s="145"/>
      <c r="R490" s="136"/>
      <c r="EF490" s="157"/>
    </row>
    <row r="491" spans="14:136">
      <c r="N491" s="145"/>
      <c r="P491" s="145"/>
      <c r="Q491" s="145"/>
      <c r="R491" s="136"/>
      <c r="EF491" s="157"/>
    </row>
    <row r="492" spans="14:136">
      <c r="N492" s="145"/>
      <c r="P492" s="145"/>
      <c r="Q492" s="145"/>
      <c r="R492" s="136"/>
      <c r="EF492" s="157"/>
    </row>
    <row r="493" spans="14:136">
      <c r="N493" s="145"/>
      <c r="P493" s="145"/>
      <c r="Q493" s="145"/>
      <c r="R493" s="136"/>
      <c r="EF493" s="157"/>
    </row>
    <row r="494" spans="14:136">
      <c r="N494" s="145"/>
      <c r="P494" s="145"/>
      <c r="Q494" s="145"/>
      <c r="R494" s="136"/>
      <c r="EF494" s="157"/>
    </row>
    <row r="495" spans="14:136">
      <c r="N495" s="145"/>
      <c r="P495" s="145"/>
      <c r="Q495" s="145"/>
      <c r="R495" s="136"/>
      <c r="EF495" s="157"/>
    </row>
    <row r="496" spans="14:136">
      <c r="N496" s="145"/>
      <c r="P496" s="145"/>
      <c r="Q496" s="145"/>
      <c r="R496" s="136"/>
      <c r="EF496" s="157"/>
    </row>
    <row r="497" spans="14:136">
      <c r="N497" s="145"/>
      <c r="P497" s="145"/>
      <c r="Q497" s="145"/>
      <c r="R497" s="136"/>
      <c r="EF497" s="157"/>
    </row>
    <row r="498" spans="14:136">
      <c r="N498" s="145"/>
      <c r="P498" s="145"/>
      <c r="Q498" s="145"/>
      <c r="R498" s="136"/>
      <c r="EF498" s="157"/>
    </row>
    <row r="499" spans="14:136">
      <c r="N499" s="145"/>
      <c r="P499" s="145"/>
      <c r="Q499" s="145"/>
      <c r="R499" s="136"/>
      <c r="EF499" s="157"/>
    </row>
    <row r="500" spans="14:136">
      <c r="N500" s="145"/>
      <c r="P500" s="145"/>
      <c r="Q500" s="145"/>
      <c r="R500" s="136"/>
      <c r="EF500" s="157"/>
    </row>
    <row r="501" spans="14:136">
      <c r="N501" s="145"/>
      <c r="P501" s="145"/>
      <c r="Q501" s="145"/>
      <c r="R501" s="136"/>
      <c r="EF501" s="157"/>
    </row>
    <row r="502" spans="14:136">
      <c r="N502" s="145"/>
      <c r="P502" s="145"/>
      <c r="Q502" s="145"/>
      <c r="R502" s="136"/>
      <c r="EF502" s="157"/>
    </row>
    <row r="503" spans="14:136">
      <c r="N503" s="145"/>
      <c r="P503" s="145"/>
      <c r="Q503" s="145"/>
      <c r="R503" s="136"/>
      <c r="EF503" s="157"/>
    </row>
    <row r="504" spans="14:136">
      <c r="N504" s="145"/>
      <c r="P504" s="145"/>
      <c r="Q504" s="145"/>
      <c r="R504" s="136"/>
      <c r="EF504" s="157"/>
    </row>
    <row r="505" spans="14:136">
      <c r="N505" s="145"/>
      <c r="P505" s="145"/>
      <c r="Q505" s="145"/>
      <c r="R505" s="136"/>
      <c r="EF505" s="157"/>
    </row>
    <row r="506" spans="14:136">
      <c r="N506" s="145"/>
      <c r="P506" s="145"/>
      <c r="Q506" s="145"/>
      <c r="R506" s="136"/>
      <c r="EF506" s="157"/>
    </row>
    <row r="507" spans="14:136">
      <c r="N507" s="145"/>
      <c r="P507" s="145"/>
      <c r="Q507" s="145"/>
      <c r="R507" s="136"/>
      <c r="EF507" s="157"/>
    </row>
    <row r="508" spans="14:136">
      <c r="N508" s="145"/>
      <c r="P508" s="145"/>
      <c r="Q508" s="145"/>
      <c r="R508" s="136"/>
      <c r="EF508" s="157"/>
    </row>
    <row r="509" spans="14:136">
      <c r="N509" s="145"/>
      <c r="P509" s="145"/>
      <c r="Q509" s="145"/>
      <c r="R509" s="136"/>
      <c r="EF509" s="157"/>
    </row>
    <row r="510" spans="14:136">
      <c r="N510" s="145"/>
      <c r="P510" s="145"/>
      <c r="Q510" s="145"/>
      <c r="R510" s="136"/>
      <c r="EF510" s="157"/>
    </row>
    <row r="511" spans="14:136">
      <c r="N511" s="145"/>
      <c r="P511" s="145"/>
      <c r="Q511" s="145"/>
      <c r="R511" s="136"/>
      <c r="EF511" s="157"/>
    </row>
    <row r="512" spans="14:136">
      <c r="N512" s="145"/>
      <c r="P512" s="145"/>
      <c r="Q512" s="145"/>
      <c r="R512" s="136"/>
      <c r="EF512" s="157"/>
    </row>
    <row r="513" spans="14:136">
      <c r="N513" s="145"/>
      <c r="P513" s="145"/>
      <c r="Q513" s="145"/>
      <c r="R513" s="136"/>
      <c r="EF513" s="157"/>
    </row>
    <row r="514" spans="14:136">
      <c r="N514" s="145"/>
      <c r="P514" s="145"/>
      <c r="Q514" s="145"/>
      <c r="R514" s="136"/>
      <c r="EF514" s="157"/>
    </row>
    <row r="515" spans="14:136">
      <c r="N515" s="145"/>
      <c r="P515" s="145"/>
      <c r="Q515" s="145"/>
      <c r="R515" s="136"/>
      <c r="EF515" s="157"/>
    </row>
    <row r="516" spans="14:136">
      <c r="N516" s="145"/>
      <c r="P516" s="145"/>
      <c r="Q516" s="145"/>
      <c r="R516" s="136"/>
      <c r="EF516" s="157"/>
    </row>
    <row r="517" spans="14:136">
      <c r="N517" s="145"/>
      <c r="P517" s="145"/>
      <c r="Q517" s="145"/>
      <c r="R517" s="136"/>
      <c r="EF517" s="157"/>
    </row>
    <row r="518" spans="14:136">
      <c r="N518" s="145"/>
      <c r="P518" s="145"/>
      <c r="Q518" s="145"/>
      <c r="R518" s="136"/>
      <c r="EF518" s="157"/>
    </row>
    <row r="519" spans="14:136">
      <c r="N519" s="145"/>
      <c r="P519" s="145"/>
      <c r="Q519" s="145"/>
      <c r="R519" s="136"/>
      <c r="EF519" s="157"/>
    </row>
    <row r="520" spans="14:136">
      <c r="N520" s="145"/>
      <c r="P520" s="145"/>
      <c r="Q520" s="145"/>
      <c r="R520" s="136"/>
      <c r="EF520" s="157"/>
    </row>
    <row r="521" spans="14:136">
      <c r="N521" s="145"/>
      <c r="P521" s="145"/>
      <c r="Q521" s="145"/>
      <c r="R521" s="136"/>
      <c r="EF521" s="157"/>
    </row>
    <row r="522" spans="14:136">
      <c r="N522" s="145"/>
      <c r="P522" s="145"/>
      <c r="Q522" s="145"/>
      <c r="R522" s="136"/>
      <c r="EF522" s="157"/>
    </row>
    <row r="523" spans="14:136">
      <c r="N523" s="145"/>
      <c r="P523" s="145"/>
      <c r="Q523" s="145"/>
      <c r="R523" s="136"/>
      <c r="EF523" s="157"/>
    </row>
    <row r="524" spans="14:136">
      <c r="N524" s="145"/>
      <c r="P524" s="145"/>
      <c r="Q524" s="145"/>
      <c r="R524" s="136"/>
      <c r="EF524" s="157"/>
    </row>
    <row r="525" spans="14:136">
      <c r="N525" s="145"/>
      <c r="P525" s="145"/>
      <c r="Q525" s="145"/>
      <c r="R525" s="136"/>
      <c r="EF525" s="157"/>
    </row>
    <row r="526" spans="14:136">
      <c r="N526" s="145"/>
      <c r="P526" s="145"/>
      <c r="Q526" s="145"/>
      <c r="R526" s="136"/>
      <c r="EF526" s="157"/>
    </row>
    <row r="527" spans="14:136">
      <c r="N527" s="145"/>
      <c r="P527" s="145"/>
      <c r="Q527" s="145"/>
      <c r="R527" s="136"/>
      <c r="EF527" s="157"/>
    </row>
    <row r="528" spans="14:136">
      <c r="N528" s="145"/>
      <c r="P528" s="145"/>
      <c r="Q528" s="145"/>
      <c r="R528" s="136"/>
      <c r="EF528" s="157"/>
    </row>
    <row r="529" spans="14:136">
      <c r="N529" s="145"/>
      <c r="P529" s="145"/>
      <c r="Q529" s="145"/>
      <c r="R529" s="136"/>
      <c r="EF529" s="157"/>
    </row>
    <row r="530" spans="14:136">
      <c r="N530" s="145"/>
      <c r="P530" s="145"/>
      <c r="Q530" s="145"/>
      <c r="R530" s="136"/>
      <c r="EF530" s="157"/>
    </row>
    <row r="531" spans="14:136">
      <c r="N531" s="145"/>
      <c r="P531" s="145"/>
      <c r="Q531" s="145"/>
      <c r="R531" s="136"/>
      <c r="EF531" s="157"/>
    </row>
    <row r="532" spans="14:136">
      <c r="N532" s="145"/>
      <c r="P532" s="145"/>
      <c r="Q532" s="145"/>
      <c r="R532" s="136"/>
      <c r="EF532" s="157"/>
    </row>
    <row r="533" spans="14:136">
      <c r="N533" s="145"/>
      <c r="P533" s="145"/>
      <c r="Q533" s="145"/>
      <c r="R533" s="136"/>
      <c r="EF533" s="157"/>
    </row>
    <row r="534" spans="14:136">
      <c r="N534" s="145"/>
      <c r="P534" s="145"/>
      <c r="Q534" s="145"/>
      <c r="R534" s="136"/>
      <c r="EF534" s="157"/>
    </row>
    <row r="535" spans="14:136">
      <c r="N535" s="145"/>
      <c r="P535" s="145"/>
      <c r="Q535" s="145"/>
      <c r="R535" s="136"/>
      <c r="EF535" s="157"/>
    </row>
    <row r="536" spans="14:136">
      <c r="N536" s="145"/>
      <c r="P536" s="145"/>
      <c r="Q536" s="145"/>
      <c r="R536" s="136"/>
      <c r="EF536" s="157"/>
    </row>
    <row r="537" spans="14:136">
      <c r="N537" s="145"/>
      <c r="P537" s="145"/>
      <c r="Q537" s="145"/>
      <c r="R537" s="136"/>
      <c r="EF537" s="157"/>
    </row>
    <row r="538" spans="14:136">
      <c r="N538" s="145"/>
      <c r="P538" s="145"/>
      <c r="Q538" s="145"/>
      <c r="R538" s="136"/>
      <c r="EF538" s="157"/>
    </row>
    <row r="539" spans="14:136">
      <c r="N539" s="145"/>
      <c r="P539" s="145"/>
      <c r="Q539" s="145"/>
      <c r="R539" s="136"/>
      <c r="EF539" s="157"/>
    </row>
    <row r="540" spans="14:136">
      <c r="N540" s="145"/>
      <c r="P540" s="145"/>
      <c r="Q540" s="145"/>
      <c r="R540" s="136"/>
      <c r="EF540" s="157"/>
    </row>
    <row r="541" spans="14:136">
      <c r="N541" s="145"/>
      <c r="P541" s="145"/>
      <c r="Q541" s="145"/>
      <c r="R541" s="136"/>
      <c r="EF541" s="157"/>
    </row>
    <row r="542" spans="14:136">
      <c r="N542" s="145"/>
      <c r="P542" s="145"/>
      <c r="Q542" s="145"/>
      <c r="R542" s="136"/>
      <c r="EF542" s="157"/>
    </row>
    <row r="543" spans="14:136">
      <c r="N543" s="145"/>
      <c r="P543" s="145"/>
      <c r="Q543" s="145"/>
      <c r="R543" s="136"/>
      <c r="EF543" s="157"/>
    </row>
    <row r="544" spans="14:136">
      <c r="N544" s="145"/>
      <c r="P544" s="145"/>
      <c r="Q544" s="145"/>
      <c r="R544" s="136"/>
      <c r="EF544" s="157"/>
    </row>
    <row r="545" spans="14:136">
      <c r="N545" s="145"/>
      <c r="P545" s="145"/>
      <c r="Q545" s="145"/>
      <c r="R545" s="136"/>
      <c r="EF545" s="157"/>
    </row>
    <row r="546" spans="14:136">
      <c r="N546" s="145"/>
      <c r="P546" s="145"/>
      <c r="Q546" s="145"/>
      <c r="R546" s="136"/>
      <c r="EF546" s="157"/>
    </row>
    <row r="547" spans="14:136">
      <c r="N547" s="145"/>
      <c r="P547" s="145"/>
      <c r="Q547" s="145"/>
      <c r="R547" s="136"/>
      <c r="EF547" s="157"/>
    </row>
    <row r="548" spans="14:136">
      <c r="N548" s="145"/>
      <c r="P548" s="145"/>
      <c r="Q548" s="145"/>
      <c r="R548" s="136"/>
      <c r="EF548" s="157"/>
    </row>
    <row r="549" spans="14:136">
      <c r="N549" s="145"/>
      <c r="P549" s="145"/>
      <c r="Q549" s="145"/>
      <c r="R549" s="136"/>
      <c r="EF549" s="157"/>
    </row>
    <row r="550" spans="14:136">
      <c r="N550" s="145"/>
      <c r="P550" s="145"/>
      <c r="Q550" s="145"/>
      <c r="R550" s="136"/>
      <c r="EF550" s="157"/>
    </row>
    <row r="551" spans="14:136">
      <c r="N551" s="145"/>
      <c r="P551" s="145"/>
      <c r="Q551" s="145"/>
      <c r="R551" s="136"/>
      <c r="EF551" s="157"/>
    </row>
    <row r="552" spans="14:136">
      <c r="N552" s="145"/>
      <c r="P552" s="145"/>
      <c r="Q552" s="145"/>
      <c r="R552" s="136"/>
      <c r="EF552" s="157"/>
    </row>
    <row r="553" spans="14:136">
      <c r="N553" s="145"/>
      <c r="P553" s="145"/>
      <c r="Q553" s="145"/>
      <c r="R553" s="136"/>
      <c r="EF553" s="157"/>
    </row>
    <row r="554" spans="14:136">
      <c r="N554" s="145"/>
      <c r="P554" s="145"/>
      <c r="Q554" s="145"/>
      <c r="R554" s="136"/>
      <c r="EF554" s="157"/>
    </row>
    <row r="555" spans="14:136">
      <c r="N555" s="145"/>
      <c r="P555" s="145"/>
      <c r="Q555" s="145"/>
      <c r="R555" s="136"/>
      <c r="EF555" s="157"/>
    </row>
    <row r="556" spans="14:136">
      <c r="N556" s="145"/>
      <c r="P556" s="145"/>
      <c r="Q556" s="145"/>
      <c r="R556" s="136"/>
      <c r="EF556" s="157"/>
    </row>
    <row r="557" spans="14:136">
      <c r="N557" s="145"/>
      <c r="P557" s="145"/>
      <c r="Q557" s="145"/>
      <c r="R557" s="136"/>
      <c r="EF557" s="157"/>
    </row>
    <row r="558" spans="14:136">
      <c r="N558" s="145"/>
      <c r="P558" s="145"/>
      <c r="Q558" s="145"/>
      <c r="R558" s="136"/>
      <c r="EF558" s="157"/>
    </row>
    <row r="559" spans="14:136">
      <c r="N559" s="145"/>
      <c r="P559" s="145"/>
      <c r="Q559" s="145"/>
      <c r="R559" s="136"/>
      <c r="EF559" s="157"/>
    </row>
    <row r="560" spans="14:136">
      <c r="N560" s="145"/>
      <c r="P560" s="145"/>
      <c r="Q560" s="145"/>
      <c r="R560" s="136"/>
      <c r="EF560" s="157"/>
    </row>
    <row r="561" spans="14:136">
      <c r="N561" s="145"/>
      <c r="P561" s="145"/>
      <c r="Q561" s="145"/>
      <c r="R561" s="136"/>
      <c r="EF561" s="157"/>
    </row>
    <row r="562" spans="14:136">
      <c r="N562" s="145"/>
      <c r="P562" s="145"/>
      <c r="Q562" s="145"/>
      <c r="R562" s="136"/>
      <c r="EF562" s="157"/>
    </row>
    <row r="563" spans="14:136">
      <c r="N563" s="145"/>
      <c r="P563" s="145"/>
      <c r="Q563" s="145"/>
      <c r="R563" s="136"/>
      <c r="EF563" s="157"/>
    </row>
    <row r="564" spans="14:136">
      <c r="N564" s="145"/>
      <c r="P564" s="145"/>
      <c r="Q564" s="145"/>
      <c r="R564" s="136"/>
      <c r="EF564" s="157"/>
    </row>
    <row r="565" spans="14:136">
      <c r="N565" s="145"/>
      <c r="P565" s="145"/>
      <c r="Q565" s="145"/>
      <c r="R565" s="136"/>
      <c r="EF565" s="157"/>
    </row>
    <row r="566" spans="14:136">
      <c r="N566" s="145"/>
      <c r="P566" s="145"/>
      <c r="Q566" s="145"/>
      <c r="R566" s="136"/>
      <c r="EF566" s="157"/>
    </row>
    <row r="567" spans="14:136">
      <c r="N567" s="145"/>
      <c r="P567" s="145"/>
      <c r="Q567" s="145"/>
      <c r="R567" s="136"/>
      <c r="EF567" s="157"/>
    </row>
    <row r="568" spans="14:136">
      <c r="N568" s="145"/>
      <c r="P568" s="145"/>
      <c r="Q568" s="145"/>
      <c r="R568" s="136"/>
      <c r="EF568" s="157"/>
    </row>
    <row r="569" spans="14:136">
      <c r="N569" s="145"/>
      <c r="P569" s="145"/>
      <c r="Q569" s="145"/>
      <c r="R569" s="136"/>
      <c r="EF569" s="157"/>
    </row>
    <row r="570" spans="14:136">
      <c r="N570" s="145"/>
      <c r="P570" s="145"/>
      <c r="Q570" s="145"/>
      <c r="R570" s="136"/>
      <c r="EF570" s="157"/>
    </row>
    <row r="571" spans="14:136">
      <c r="N571" s="145"/>
      <c r="P571" s="145"/>
      <c r="Q571" s="145"/>
      <c r="R571" s="136"/>
      <c r="EF571" s="157"/>
    </row>
    <row r="572" spans="14:136">
      <c r="N572" s="145"/>
      <c r="P572" s="145"/>
      <c r="Q572" s="145"/>
      <c r="R572" s="136"/>
      <c r="EF572" s="157"/>
    </row>
    <row r="573" spans="14:136">
      <c r="N573" s="145"/>
      <c r="P573" s="145"/>
      <c r="Q573" s="145"/>
      <c r="R573" s="136"/>
      <c r="EF573" s="157"/>
    </row>
    <row r="574" spans="14:136">
      <c r="N574" s="145"/>
      <c r="P574" s="145"/>
      <c r="Q574" s="145"/>
      <c r="R574" s="136"/>
      <c r="EF574" s="157"/>
    </row>
    <row r="575" spans="14:136">
      <c r="N575" s="145"/>
      <c r="P575" s="145"/>
      <c r="Q575" s="145"/>
      <c r="R575" s="136"/>
      <c r="EF575" s="157"/>
    </row>
    <row r="576" spans="14:136">
      <c r="N576" s="145"/>
      <c r="P576" s="145"/>
      <c r="Q576" s="145"/>
      <c r="R576" s="136"/>
      <c r="EF576" s="157"/>
    </row>
    <row r="577" spans="14:136">
      <c r="N577" s="145"/>
      <c r="P577" s="145"/>
      <c r="Q577" s="145"/>
      <c r="R577" s="136"/>
      <c r="EF577" s="157"/>
    </row>
    <row r="578" spans="14:136">
      <c r="N578" s="145"/>
      <c r="P578" s="145"/>
      <c r="Q578" s="145"/>
      <c r="R578" s="136"/>
      <c r="EF578" s="157"/>
    </row>
    <row r="579" spans="14:136">
      <c r="N579" s="145"/>
      <c r="P579" s="145"/>
      <c r="Q579" s="145"/>
      <c r="R579" s="136"/>
      <c r="EF579" s="157"/>
    </row>
    <row r="580" spans="14:136">
      <c r="Q580" s="145"/>
      <c r="R580" s="136"/>
      <c r="EF580" s="157"/>
    </row>
    <row r="581" spans="14:136">
      <c r="EF581" s="157"/>
    </row>
    <row r="582" spans="14:136">
      <c r="EF582" s="157"/>
    </row>
    <row r="583" spans="14:136">
      <c r="EF583" s="157"/>
    </row>
    <row r="584" spans="14:136">
      <c r="EF584" s="157"/>
    </row>
    <row r="585" spans="14:136">
      <c r="EF585" s="157"/>
    </row>
    <row r="586" spans="14:136">
      <c r="EF586" s="157"/>
    </row>
    <row r="587" spans="14:136">
      <c r="EF587" s="157"/>
    </row>
    <row r="588" spans="14:136">
      <c r="EF588" s="157"/>
    </row>
    <row r="589" spans="14:136">
      <c r="EF589" s="157"/>
    </row>
    <row r="590" spans="14:136">
      <c r="EF590" s="157"/>
    </row>
    <row r="591" spans="14:136">
      <c r="EF591" s="157"/>
    </row>
    <row r="592" spans="14:136">
      <c r="EF592" s="157"/>
    </row>
    <row r="593" spans="136:136">
      <c r="EF593" s="157"/>
    </row>
    <row r="594" spans="136:136">
      <c r="EF594" s="157"/>
    </row>
    <row r="595" spans="136:136">
      <c r="EF595" s="157"/>
    </row>
    <row r="596" spans="136:136">
      <c r="EF596" s="157"/>
    </row>
    <row r="597" spans="136:136">
      <c r="EF597" s="157"/>
    </row>
    <row r="598" spans="136:136">
      <c r="EF598" s="157"/>
    </row>
    <row r="599" spans="136:136">
      <c r="EF599" s="157"/>
    </row>
    <row r="600" spans="136:136">
      <c r="EF600" s="157"/>
    </row>
    <row r="601" spans="136:136">
      <c r="EF601" s="157"/>
    </row>
    <row r="602" spans="136:136">
      <c r="EF602" s="157"/>
    </row>
    <row r="603" spans="136:136">
      <c r="EF603" s="157"/>
    </row>
    <row r="604" spans="136:136">
      <c r="EF604" s="157"/>
    </row>
    <row r="605" spans="136:136">
      <c r="EF605" s="157"/>
    </row>
    <row r="606" spans="136:136">
      <c r="EF606" s="157"/>
    </row>
    <row r="607" spans="136:136">
      <c r="EF607" s="157"/>
    </row>
    <row r="608" spans="136:136">
      <c r="EF608" s="157"/>
    </row>
    <row r="609" spans="136:136">
      <c r="EF609" s="157"/>
    </row>
    <row r="610" spans="136:136">
      <c r="EF610" s="157"/>
    </row>
    <row r="611" spans="136:136">
      <c r="EF611" s="157"/>
    </row>
    <row r="612" spans="136:136">
      <c r="EF612" s="157"/>
    </row>
    <row r="613" spans="136:136">
      <c r="EF613" s="157"/>
    </row>
    <row r="614" spans="136:136">
      <c r="EF614" s="157"/>
    </row>
    <row r="615" spans="136:136">
      <c r="EF615" s="157"/>
    </row>
    <row r="616" spans="136:136">
      <c r="EF616" s="157"/>
    </row>
    <row r="617" spans="136:136">
      <c r="EF617" s="157"/>
    </row>
    <row r="618" spans="136:136">
      <c r="EF618" s="157"/>
    </row>
    <row r="619" spans="136:136">
      <c r="EF619" s="157"/>
    </row>
    <row r="620" spans="136:136">
      <c r="EF620" s="157"/>
    </row>
    <row r="621" spans="136:136">
      <c r="EF621" s="157"/>
    </row>
    <row r="622" spans="136:136">
      <c r="EF622" s="157"/>
    </row>
    <row r="623" spans="136:136">
      <c r="EF623" s="157"/>
    </row>
    <row r="624" spans="136:136">
      <c r="EF624" s="157"/>
    </row>
    <row r="625" spans="136:136">
      <c r="EF625" s="157"/>
    </row>
    <row r="626" spans="136:136">
      <c r="EF626" s="157"/>
    </row>
    <row r="627" spans="136:136">
      <c r="EF627" s="157"/>
    </row>
    <row r="628" spans="136:136">
      <c r="EF628" s="157"/>
    </row>
    <row r="629" spans="136:136">
      <c r="EF629" s="157"/>
    </row>
    <row r="630" spans="136:136">
      <c r="EF630" s="157"/>
    </row>
    <row r="631" spans="136:136">
      <c r="EF631" s="157"/>
    </row>
    <row r="632" spans="136:136">
      <c r="EF632" s="157"/>
    </row>
    <row r="633" spans="136:136">
      <c r="EF633" s="157"/>
    </row>
    <row r="634" spans="136:136">
      <c r="EF634" s="157"/>
    </row>
    <row r="635" spans="136:136">
      <c r="EF635" s="157"/>
    </row>
    <row r="636" spans="136:136">
      <c r="EF636" s="157"/>
    </row>
    <row r="637" spans="136:136">
      <c r="EF637" s="157"/>
    </row>
    <row r="638" spans="136:136">
      <c r="EF638" s="157"/>
    </row>
    <row r="639" spans="136:136">
      <c r="EF639" s="157"/>
    </row>
    <row r="640" spans="136:136">
      <c r="EF640" s="157"/>
    </row>
    <row r="641" spans="136:136">
      <c r="EF641" s="157"/>
    </row>
    <row r="642" spans="136:136">
      <c r="EF642" s="157"/>
    </row>
    <row r="643" spans="136:136">
      <c r="EF643" s="157"/>
    </row>
    <row r="644" spans="136:136">
      <c r="EF644" s="157"/>
    </row>
    <row r="645" spans="136:136">
      <c r="EF645" s="157"/>
    </row>
    <row r="646" spans="136:136">
      <c r="EF646" s="157"/>
    </row>
    <row r="647" spans="136:136">
      <c r="EF647" s="157"/>
    </row>
    <row r="648" spans="136:136">
      <c r="EF648" s="157"/>
    </row>
    <row r="649" spans="136:136">
      <c r="EF649" s="157"/>
    </row>
    <row r="650" spans="136:136">
      <c r="EF650" s="157"/>
    </row>
    <row r="651" spans="136:136">
      <c r="EF651" s="157"/>
    </row>
    <row r="652" spans="136:136">
      <c r="EF652" s="157"/>
    </row>
    <row r="653" spans="136:136">
      <c r="EF653" s="157"/>
    </row>
    <row r="654" spans="136:136">
      <c r="EF654" s="157"/>
    </row>
    <row r="655" spans="136:136">
      <c r="EF655" s="157"/>
    </row>
    <row r="656" spans="136:136">
      <c r="EF656" s="157"/>
    </row>
    <row r="657" spans="136:136">
      <c r="EF657" s="157"/>
    </row>
    <row r="658" spans="136:136">
      <c r="EF658" s="157"/>
    </row>
    <row r="659" spans="136:136">
      <c r="EF659" s="157"/>
    </row>
    <row r="660" spans="136:136">
      <c r="EF660" s="157"/>
    </row>
    <row r="661" spans="136:136">
      <c r="EF661" s="157"/>
    </row>
    <row r="662" spans="136:136">
      <c r="EF662" s="157"/>
    </row>
    <row r="663" spans="136:136">
      <c r="EF663" s="157"/>
    </row>
    <row r="664" spans="136:136">
      <c r="EF664" s="157"/>
    </row>
    <row r="665" spans="136:136">
      <c r="EF665" s="157"/>
    </row>
    <row r="666" spans="136:136">
      <c r="EF666" s="157"/>
    </row>
    <row r="667" spans="136:136">
      <c r="EF667" s="157"/>
    </row>
    <row r="668" spans="136:136">
      <c r="EF668" s="157"/>
    </row>
    <row r="669" spans="136:136">
      <c r="EF669" s="157"/>
    </row>
    <row r="670" spans="136:136">
      <c r="EF670" s="157"/>
    </row>
    <row r="671" spans="136:136">
      <c r="EF671" s="157"/>
    </row>
    <row r="672" spans="136:136">
      <c r="EF672" s="157"/>
    </row>
    <row r="673" spans="136:136">
      <c r="EF673" s="157"/>
    </row>
    <row r="674" spans="136:136">
      <c r="EF674" s="157"/>
    </row>
    <row r="675" spans="136:136">
      <c r="EF675" s="157"/>
    </row>
    <row r="676" spans="136:136">
      <c r="EF676" s="157"/>
    </row>
    <row r="677" spans="136:136">
      <c r="EF677" s="157"/>
    </row>
    <row r="678" spans="136:136">
      <c r="EF678" s="157"/>
    </row>
    <row r="679" spans="136:136">
      <c r="EF679" s="157"/>
    </row>
    <row r="680" spans="136:136">
      <c r="EF680" s="157"/>
    </row>
    <row r="681" spans="136:136">
      <c r="EF681" s="157"/>
    </row>
    <row r="682" spans="136:136">
      <c r="EF682" s="157"/>
    </row>
    <row r="683" spans="136:136">
      <c r="EF683" s="157"/>
    </row>
    <row r="684" spans="136:136">
      <c r="EF684" s="157"/>
    </row>
    <row r="685" spans="136:136">
      <c r="EF685" s="157"/>
    </row>
    <row r="686" spans="136:136">
      <c r="EF686" s="157"/>
    </row>
    <row r="687" spans="136:136">
      <c r="EF687" s="157"/>
    </row>
    <row r="688" spans="136:136">
      <c r="EF688" s="157"/>
    </row>
    <row r="689" spans="136:136">
      <c r="EF689" s="157"/>
    </row>
    <row r="690" spans="136:136">
      <c r="EF690" s="157"/>
    </row>
    <row r="691" spans="136:136">
      <c r="EF691" s="157"/>
    </row>
    <row r="692" spans="136:136">
      <c r="EF692" s="157"/>
    </row>
    <row r="693" spans="136:136">
      <c r="EF693" s="157"/>
    </row>
    <row r="694" spans="136:136">
      <c r="EF694" s="157"/>
    </row>
    <row r="695" spans="136:136">
      <c r="EF695" s="157"/>
    </row>
    <row r="696" spans="136:136">
      <c r="EF696" s="157"/>
    </row>
    <row r="697" spans="136:136">
      <c r="EF697" s="157"/>
    </row>
    <row r="698" spans="136:136">
      <c r="EF698" s="157"/>
    </row>
    <row r="699" spans="136:136">
      <c r="EF699" s="157"/>
    </row>
    <row r="700" spans="136:136">
      <c r="EF700" s="157"/>
    </row>
    <row r="701" spans="136:136">
      <c r="EF701" s="157"/>
    </row>
    <row r="702" spans="136:136">
      <c r="EF702" s="157"/>
    </row>
    <row r="703" spans="136:136">
      <c r="EF703" s="157"/>
    </row>
    <row r="704" spans="136:136">
      <c r="EF704" s="157"/>
    </row>
    <row r="705" spans="136:136">
      <c r="EF705" s="157"/>
    </row>
    <row r="706" spans="136:136">
      <c r="EF706" s="157"/>
    </row>
    <row r="707" spans="136:136">
      <c r="EF707" s="157"/>
    </row>
    <row r="708" spans="136:136">
      <c r="EF708" s="157"/>
    </row>
    <row r="709" spans="136:136">
      <c r="EF709" s="157"/>
    </row>
    <row r="710" spans="136:136">
      <c r="EF710" s="157"/>
    </row>
    <row r="711" spans="136:136">
      <c r="EF711" s="157"/>
    </row>
    <row r="712" spans="136:136">
      <c r="EF712" s="157"/>
    </row>
    <row r="713" spans="136:136">
      <c r="EF713" s="157"/>
    </row>
    <row r="714" spans="136:136">
      <c r="EF714" s="157"/>
    </row>
    <row r="715" spans="136:136">
      <c r="EF715" s="157"/>
    </row>
    <row r="716" spans="136:136">
      <c r="EF716" s="157"/>
    </row>
    <row r="717" spans="136:136">
      <c r="EF717" s="157"/>
    </row>
    <row r="718" spans="136:136">
      <c r="EF718" s="157"/>
    </row>
    <row r="719" spans="136:136">
      <c r="EF719" s="157"/>
    </row>
    <row r="720" spans="136:136">
      <c r="EF720" s="157"/>
    </row>
    <row r="721" spans="136:136">
      <c r="EF721" s="157"/>
    </row>
    <row r="722" spans="136:136">
      <c r="EF722" s="157"/>
    </row>
    <row r="723" spans="136:136">
      <c r="EF723" s="157"/>
    </row>
    <row r="724" spans="136:136">
      <c r="EF724" s="157"/>
    </row>
    <row r="725" spans="136:136">
      <c r="EF725" s="157"/>
    </row>
    <row r="726" spans="136:136">
      <c r="EF726" s="157"/>
    </row>
    <row r="727" spans="136:136">
      <c r="EF727" s="157"/>
    </row>
    <row r="728" spans="136:136">
      <c r="EF728" s="157"/>
    </row>
    <row r="729" spans="136:136">
      <c r="EF729" s="157"/>
    </row>
    <row r="730" spans="136:136">
      <c r="EF730" s="157"/>
    </row>
    <row r="731" spans="136:136">
      <c r="EF731" s="157"/>
    </row>
    <row r="732" spans="136:136">
      <c r="EF732" s="157"/>
    </row>
    <row r="733" spans="136:136">
      <c r="EF733" s="157"/>
    </row>
    <row r="734" spans="136:136">
      <c r="EF734" s="157"/>
    </row>
    <row r="735" spans="136:136">
      <c r="EF735" s="157"/>
    </row>
    <row r="736" spans="136:136">
      <c r="EF736" s="157"/>
    </row>
    <row r="737" spans="136:136">
      <c r="EF737" s="157"/>
    </row>
    <row r="738" spans="136:136">
      <c r="EF738" s="157"/>
    </row>
    <row r="739" spans="136:136">
      <c r="EF739" s="157"/>
    </row>
    <row r="740" spans="136:136">
      <c r="EF740" s="157"/>
    </row>
    <row r="741" spans="136:136">
      <c r="EF741" s="157"/>
    </row>
    <row r="742" spans="136:136">
      <c r="EF742" s="157"/>
    </row>
    <row r="743" spans="136:136">
      <c r="EF743" s="157"/>
    </row>
    <row r="744" spans="136:136">
      <c r="EF744" s="157"/>
    </row>
    <row r="745" spans="136:136">
      <c r="EF745" s="157"/>
    </row>
    <row r="746" spans="136:136">
      <c r="EF746" s="157"/>
    </row>
    <row r="747" spans="136:136">
      <c r="EF747" s="157"/>
    </row>
    <row r="748" spans="136:136">
      <c r="EF748" s="157"/>
    </row>
    <row r="749" spans="136:136">
      <c r="EF749" s="157"/>
    </row>
    <row r="750" spans="136:136">
      <c r="EF750" s="157"/>
    </row>
    <row r="751" spans="136:136">
      <c r="EF751" s="157"/>
    </row>
    <row r="752" spans="136:136">
      <c r="EF752" s="157"/>
    </row>
    <row r="753" spans="136:136">
      <c r="EF753" s="157"/>
    </row>
    <row r="754" spans="136:136">
      <c r="EF754" s="157"/>
    </row>
    <row r="755" spans="136:136">
      <c r="EF755" s="157"/>
    </row>
    <row r="756" spans="136:136">
      <c r="EF756" s="157"/>
    </row>
    <row r="757" spans="136:136">
      <c r="EF757" s="157"/>
    </row>
    <row r="758" spans="136:136">
      <c r="EF758" s="157"/>
    </row>
    <row r="759" spans="136:136">
      <c r="EF759" s="157"/>
    </row>
    <row r="760" spans="136:136">
      <c r="EF760" s="157"/>
    </row>
    <row r="761" spans="136:136">
      <c r="EF761" s="157"/>
    </row>
    <row r="762" spans="136:136">
      <c r="EF762" s="157"/>
    </row>
    <row r="763" spans="136:136">
      <c r="EF763" s="157"/>
    </row>
    <row r="764" spans="136:136">
      <c r="EF764" s="157"/>
    </row>
    <row r="765" spans="136:136">
      <c r="EF765" s="157"/>
    </row>
    <row r="766" spans="136:136">
      <c r="EF766" s="157"/>
    </row>
    <row r="767" spans="136:136">
      <c r="EF767" s="157"/>
    </row>
    <row r="768" spans="136:136">
      <c r="EF768" s="157"/>
    </row>
    <row r="769" spans="136:136">
      <c r="EF769" s="157"/>
    </row>
    <row r="770" spans="136:136">
      <c r="EF770" s="157"/>
    </row>
    <row r="771" spans="136:136">
      <c r="EF771" s="157"/>
    </row>
    <row r="772" spans="136:136">
      <c r="EF772" s="157"/>
    </row>
    <row r="773" spans="136:136">
      <c r="EF773" s="157"/>
    </row>
    <row r="774" spans="136:136">
      <c r="EF774" s="157"/>
    </row>
    <row r="775" spans="136:136">
      <c r="EF775" s="157"/>
    </row>
    <row r="776" spans="136:136">
      <c r="EF776" s="157"/>
    </row>
    <row r="777" spans="136:136">
      <c r="EF777" s="157"/>
    </row>
    <row r="778" spans="136:136">
      <c r="EF778" s="157"/>
    </row>
    <row r="779" spans="136:136">
      <c r="EF779" s="157"/>
    </row>
    <row r="780" spans="136:136">
      <c r="EF780" s="157"/>
    </row>
    <row r="781" spans="136:136">
      <c r="EF781" s="157"/>
    </row>
    <row r="782" spans="136:136">
      <c r="EF782" s="157"/>
    </row>
    <row r="783" spans="136:136">
      <c r="EF783" s="157"/>
    </row>
    <row r="784" spans="136:136">
      <c r="EF784" s="157"/>
    </row>
    <row r="785" spans="136:136">
      <c r="EF785" s="157"/>
    </row>
    <row r="786" spans="136:136">
      <c r="EF786" s="157"/>
    </row>
    <row r="787" spans="136:136">
      <c r="EF787" s="157"/>
    </row>
    <row r="788" spans="136:136">
      <c r="EF788" s="157"/>
    </row>
    <row r="789" spans="136:136">
      <c r="EF789" s="157"/>
    </row>
    <row r="790" spans="136:136">
      <c r="EF790" s="157"/>
    </row>
    <row r="791" spans="136:136">
      <c r="EF791" s="157"/>
    </row>
    <row r="792" spans="136:136">
      <c r="EF792" s="157"/>
    </row>
    <row r="793" spans="136:136">
      <c r="EF793" s="157"/>
    </row>
    <row r="794" spans="136:136">
      <c r="EF794" s="157"/>
    </row>
    <row r="795" spans="136:136">
      <c r="EF795" s="157"/>
    </row>
    <row r="796" spans="136:136">
      <c r="EF796" s="157"/>
    </row>
    <row r="797" spans="136:136">
      <c r="EF797" s="157"/>
    </row>
    <row r="798" spans="136:136">
      <c r="EF798" s="157"/>
    </row>
    <row r="799" spans="136:136">
      <c r="EF799" s="157"/>
    </row>
    <row r="800" spans="136:136">
      <c r="EF800" s="157"/>
    </row>
    <row r="801" spans="136:136">
      <c r="EF801" s="157"/>
    </row>
    <row r="802" spans="136:136">
      <c r="EF802" s="157"/>
    </row>
    <row r="803" spans="136:136">
      <c r="EF803" s="157"/>
    </row>
    <row r="804" spans="136:136">
      <c r="EF804" s="157"/>
    </row>
    <row r="805" spans="136:136">
      <c r="EF805" s="157"/>
    </row>
    <row r="806" spans="136:136">
      <c r="EF806" s="157"/>
    </row>
    <row r="807" spans="136:136">
      <c r="EF807" s="157"/>
    </row>
    <row r="808" spans="136:136">
      <c r="EF808" s="157"/>
    </row>
    <row r="809" spans="136:136">
      <c r="EF809" s="157"/>
    </row>
    <row r="810" spans="136:136">
      <c r="EF810" s="157"/>
    </row>
    <row r="811" spans="136:136">
      <c r="EF811" s="157"/>
    </row>
    <row r="812" spans="136:136">
      <c r="EF812" s="157"/>
    </row>
    <row r="813" spans="136:136">
      <c r="EF813" s="157"/>
    </row>
    <row r="814" spans="136:136">
      <c r="EF814" s="157"/>
    </row>
    <row r="815" spans="136:136">
      <c r="EF815" s="157"/>
    </row>
    <row r="816" spans="136:136">
      <c r="EF816" s="157"/>
    </row>
    <row r="817" spans="136:136">
      <c r="EF817" s="157"/>
    </row>
    <row r="818" spans="136:136">
      <c r="EF818" s="157"/>
    </row>
    <row r="819" spans="136:136">
      <c r="EF819" s="157"/>
    </row>
    <row r="820" spans="136:136">
      <c r="EF820" s="157"/>
    </row>
    <row r="821" spans="136:136">
      <c r="EF821" s="157"/>
    </row>
    <row r="822" spans="136:136">
      <c r="EF822" s="157"/>
    </row>
    <row r="823" spans="136:136">
      <c r="EF823" s="157"/>
    </row>
    <row r="824" spans="136:136">
      <c r="EF824" s="157"/>
    </row>
    <row r="825" spans="136:136">
      <c r="EF825" s="157"/>
    </row>
    <row r="826" spans="136:136">
      <c r="EF826" s="157"/>
    </row>
    <row r="827" spans="136:136">
      <c r="EF827" s="157"/>
    </row>
    <row r="828" spans="136:136">
      <c r="EF828" s="157"/>
    </row>
    <row r="829" spans="136:136">
      <c r="EF829" s="157"/>
    </row>
    <row r="830" spans="136:136">
      <c r="EF830" s="157"/>
    </row>
    <row r="831" spans="136:136">
      <c r="EF831" s="157"/>
    </row>
    <row r="832" spans="136:136">
      <c r="EF832" s="157"/>
    </row>
    <row r="833" spans="136:136">
      <c r="EF833" s="157"/>
    </row>
    <row r="834" spans="136:136">
      <c r="EF834" s="157"/>
    </row>
    <row r="835" spans="136:136">
      <c r="EF835" s="157"/>
    </row>
    <row r="836" spans="136:136">
      <c r="EF836" s="157"/>
    </row>
    <row r="837" spans="136:136">
      <c r="EF837" s="157"/>
    </row>
    <row r="838" spans="136:136">
      <c r="EF838" s="157"/>
    </row>
    <row r="839" spans="136:136">
      <c r="EF839" s="157"/>
    </row>
    <row r="840" spans="136:136">
      <c r="EF840" s="157"/>
    </row>
    <row r="841" spans="136:136">
      <c r="EF841" s="157"/>
    </row>
    <row r="842" spans="136:136">
      <c r="EF842" s="157"/>
    </row>
    <row r="843" spans="136:136">
      <c r="EF843" s="157"/>
    </row>
    <row r="844" spans="136:136">
      <c r="EF844" s="157"/>
    </row>
    <row r="845" spans="136:136">
      <c r="EF845" s="157"/>
    </row>
    <row r="846" spans="136:136">
      <c r="EF846" s="157"/>
    </row>
    <row r="847" spans="136:136">
      <c r="EF847" s="157"/>
    </row>
    <row r="848" spans="136:136">
      <c r="EF848" s="157"/>
    </row>
    <row r="849" spans="136:136">
      <c r="EF849" s="157"/>
    </row>
    <row r="850" spans="136:136">
      <c r="EF850" s="157"/>
    </row>
    <row r="851" spans="136:136">
      <c r="EF851" s="157"/>
    </row>
    <row r="852" spans="136:136">
      <c r="EF852" s="157"/>
    </row>
    <row r="853" spans="136:136">
      <c r="EF853" s="157"/>
    </row>
    <row r="854" spans="136:136">
      <c r="EF854" s="157"/>
    </row>
    <row r="855" spans="136:136">
      <c r="EF855" s="157"/>
    </row>
    <row r="856" spans="136:136">
      <c r="EF856" s="157"/>
    </row>
    <row r="857" spans="136:136">
      <c r="EF857" s="157"/>
    </row>
    <row r="858" spans="136:136">
      <c r="EF858" s="157"/>
    </row>
    <row r="859" spans="136:136">
      <c r="EF859" s="157"/>
    </row>
    <row r="860" spans="136:136">
      <c r="EF860" s="157"/>
    </row>
    <row r="861" spans="136:136">
      <c r="EF861" s="157"/>
    </row>
    <row r="862" spans="136:136">
      <c r="EF862" s="157"/>
    </row>
    <row r="863" spans="136:136">
      <c r="EF863" s="157"/>
    </row>
    <row r="864" spans="136:136">
      <c r="EF864" s="157"/>
    </row>
    <row r="865" spans="136:136">
      <c r="EF865" s="157"/>
    </row>
    <row r="866" spans="136:136">
      <c r="EF866" s="157"/>
    </row>
    <row r="867" spans="136:136">
      <c r="EF867" s="157"/>
    </row>
    <row r="868" spans="136:136">
      <c r="EF868" s="157"/>
    </row>
    <row r="869" spans="136:136">
      <c r="EF869" s="157"/>
    </row>
    <row r="870" spans="136:136">
      <c r="EF870" s="157"/>
    </row>
    <row r="871" spans="136:136">
      <c r="EF871" s="157"/>
    </row>
    <row r="872" spans="136:136">
      <c r="EF872" s="157"/>
    </row>
    <row r="873" spans="136:136">
      <c r="EF873" s="157"/>
    </row>
    <row r="874" spans="136:136">
      <c r="EF874" s="157"/>
    </row>
    <row r="875" spans="136:136">
      <c r="EF875" s="157"/>
    </row>
    <row r="876" spans="136:136">
      <c r="EF876" s="157"/>
    </row>
    <row r="877" spans="136:136">
      <c r="EF877" s="157"/>
    </row>
    <row r="878" spans="136:136">
      <c r="EF878" s="157"/>
    </row>
    <row r="879" spans="136:136">
      <c r="EF879" s="157"/>
    </row>
    <row r="880" spans="136:136">
      <c r="EF880" s="157"/>
    </row>
    <row r="881" spans="136:136">
      <c r="EF881" s="157"/>
    </row>
    <row r="882" spans="136:136">
      <c r="EF882" s="157"/>
    </row>
    <row r="883" spans="136:136">
      <c r="EF883" s="157"/>
    </row>
    <row r="884" spans="136:136">
      <c r="EF884" s="157"/>
    </row>
    <row r="885" spans="136:136">
      <c r="EF885" s="157"/>
    </row>
    <row r="886" spans="136:136">
      <c r="EF886" s="157"/>
    </row>
    <row r="887" spans="136:136">
      <c r="EF887" s="157"/>
    </row>
    <row r="888" spans="136:136">
      <c r="EF888" s="157"/>
    </row>
    <row r="889" spans="136:136">
      <c r="EF889" s="157"/>
    </row>
    <row r="890" spans="136:136">
      <c r="EF890" s="157"/>
    </row>
    <row r="891" spans="136:136">
      <c r="EF891" s="157"/>
    </row>
    <row r="892" spans="136:136">
      <c r="EF892" s="157"/>
    </row>
    <row r="893" spans="136:136">
      <c r="EF893" s="157"/>
    </row>
    <row r="894" spans="136:136">
      <c r="EF894" s="157"/>
    </row>
    <row r="895" spans="136:136">
      <c r="EF895" s="157"/>
    </row>
    <row r="896" spans="136:136">
      <c r="EF896" s="157"/>
    </row>
    <row r="897" spans="136:136">
      <c r="EF897" s="157"/>
    </row>
    <row r="898" spans="136:136">
      <c r="EF898" s="157"/>
    </row>
    <row r="899" spans="136:136">
      <c r="EF899" s="157"/>
    </row>
    <row r="900" spans="136:136">
      <c r="EF900" s="157"/>
    </row>
    <row r="901" spans="136:136">
      <c r="EF901" s="157"/>
    </row>
    <row r="902" spans="136:136">
      <c r="EF902" s="157"/>
    </row>
    <row r="903" spans="136:136">
      <c r="EF903" s="157"/>
    </row>
    <row r="904" spans="136:136">
      <c r="EF904" s="157"/>
    </row>
    <row r="905" spans="136:136">
      <c r="EF905" s="157"/>
    </row>
    <row r="906" spans="136:136">
      <c r="EF906" s="157"/>
    </row>
    <row r="907" spans="136:136">
      <c r="EF907" s="157"/>
    </row>
    <row r="908" spans="136:136">
      <c r="EF908" s="157"/>
    </row>
    <row r="909" spans="136:136">
      <c r="EF909" s="157"/>
    </row>
    <row r="910" spans="136:136">
      <c r="EF910" s="157"/>
    </row>
    <row r="911" spans="136:136">
      <c r="EF911" s="157"/>
    </row>
    <row r="912" spans="136:136">
      <c r="EF912" s="157"/>
    </row>
    <row r="913" spans="136:136">
      <c r="EF913" s="157"/>
    </row>
    <row r="914" spans="136:136">
      <c r="EF914" s="157"/>
    </row>
    <row r="915" spans="136:136">
      <c r="EF915" s="157"/>
    </row>
    <row r="916" spans="136:136">
      <c r="EF916" s="157"/>
    </row>
    <row r="917" spans="136:136">
      <c r="EF917" s="157"/>
    </row>
    <row r="918" spans="136:136">
      <c r="EF918" s="157"/>
    </row>
    <row r="919" spans="136:136">
      <c r="EF919" s="157"/>
    </row>
    <row r="920" spans="136:136">
      <c r="EF920" s="157"/>
    </row>
    <row r="921" spans="136:136">
      <c r="EF921" s="157"/>
    </row>
    <row r="922" spans="136:136">
      <c r="EF922" s="157"/>
    </row>
    <row r="923" spans="136:136">
      <c r="EF923" s="157"/>
    </row>
    <row r="924" spans="136:136">
      <c r="EF924" s="157"/>
    </row>
    <row r="925" spans="136:136">
      <c r="EF925" s="157"/>
    </row>
    <row r="926" spans="136:136">
      <c r="EF926" s="157"/>
    </row>
    <row r="927" spans="136:136">
      <c r="EF927" s="157"/>
    </row>
    <row r="928" spans="136:136">
      <c r="EF928" s="157"/>
    </row>
    <row r="929" spans="136:136">
      <c r="EF929" s="157"/>
    </row>
    <row r="930" spans="136:136">
      <c r="EF930" s="157"/>
    </row>
    <row r="931" spans="136:136">
      <c r="EF931" s="157"/>
    </row>
    <row r="932" spans="136:136">
      <c r="EF932" s="157"/>
    </row>
    <row r="933" spans="136:136">
      <c r="EF933" s="157"/>
    </row>
    <row r="934" spans="136:136">
      <c r="EF934" s="157"/>
    </row>
    <row r="935" spans="136:136">
      <c r="EF935" s="157"/>
    </row>
    <row r="936" spans="136:136">
      <c r="EF936" s="157"/>
    </row>
    <row r="937" spans="136:136">
      <c r="EF937" s="157"/>
    </row>
    <row r="938" spans="136:136">
      <c r="EF938" s="157"/>
    </row>
    <row r="939" spans="136:136">
      <c r="EF939" s="157"/>
    </row>
    <row r="940" spans="136:136">
      <c r="EF940" s="157"/>
    </row>
    <row r="941" spans="136:136">
      <c r="EF941" s="157"/>
    </row>
    <row r="942" spans="136:136">
      <c r="EF942" s="157"/>
    </row>
    <row r="943" spans="136:136">
      <c r="EF943" s="157"/>
    </row>
    <row r="944" spans="136:136">
      <c r="EF944" s="157"/>
    </row>
    <row r="945" spans="136:136">
      <c r="EF945" s="157"/>
    </row>
    <row r="946" spans="136:136">
      <c r="EF946" s="157"/>
    </row>
    <row r="947" spans="136:136">
      <c r="EF947" s="157"/>
    </row>
    <row r="948" spans="136:136">
      <c r="EF948" s="157"/>
    </row>
    <row r="949" spans="136:136">
      <c r="EF949" s="157"/>
    </row>
    <row r="950" spans="136:136">
      <c r="EF950" s="157"/>
    </row>
    <row r="951" spans="136:136">
      <c r="EF951" s="157"/>
    </row>
    <row r="952" spans="136:136">
      <c r="EF952" s="157"/>
    </row>
    <row r="953" spans="136:136">
      <c r="EF953" s="157"/>
    </row>
    <row r="954" spans="136:136">
      <c r="EF954" s="157"/>
    </row>
    <row r="955" spans="136:136">
      <c r="EF955" s="157"/>
    </row>
    <row r="956" spans="136:136">
      <c r="EF956" s="157"/>
    </row>
    <row r="957" spans="136:136">
      <c r="EF957" s="157"/>
    </row>
    <row r="958" spans="136:136">
      <c r="EF958" s="157"/>
    </row>
    <row r="959" spans="136:136">
      <c r="EF959" s="157"/>
    </row>
    <row r="960" spans="136:136">
      <c r="EF960" s="157"/>
    </row>
    <row r="961" spans="136:136">
      <c r="EF961" s="157"/>
    </row>
    <row r="962" spans="136:136">
      <c r="EF962" s="157"/>
    </row>
    <row r="963" spans="136:136">
      <c r="EF963" s="157"/>
    </row>
    <row r="964" spans="136:136">
      <c r="EF964" s="157"/>
    </row>
    <row r="965" spans="136:136">
      <c r="EF965" s="157"/>
    </row>
    <row r="966" spans="136:136">
      <c r="EF966" s="157"/>
    </row>
    <row r="967" spans="136:136">
      <c r="EF967" s="157"/>
    </row>
    <row r="968" spans="136:136">
      <c r="EF968" s="157"/>
    </row>
    <row r="969" spans="136:136">
      <c r="EF969" s="157"/>
    </row>
    <row r="970" spans="136:136">
      <c r="EF970" s="157"/>
    </row>
    <row r="971" spans="136:136">
      <c r="EF971" s="157"/>
    </row>
    <row r="972" spans="136:136">
      <c r="EF972" s="157"/>
    </row>
    <row r="973" spans="136:136">
      <c r="EF973" s="157"/>
    </row>
    <row r="974" spans="136:136">
      <c r="EF974" s="157"/>
    </row>
    <row r="975" spans="136:136">
      <c r="EF975" s="157"/>
    </row>
    <row r="976" spans="136:136">
      <c r="EF976" s="157"/>
    </row>
    <row r="977" spans="136:136">
      <c r="EF977" s="157"/>
    </row>
    <row r="978" spans="136:136">
      <c r="EF978" s="157"/>
    </row>
    <row r="979" spans="136:136">
      <c r="EF979" s="157"/>
    </row>
    <row r="980" spans="136:136">
      <c r="EF980" s="157"/>
    </row>
    <row r="981" spans="136:136">
      <c r="EF981" s="157"/>
    </row>
    <row r="982" spans="136:136">
      <c r="EF982" s="157"/>
    </row>
    <row r="983" spans="136:136">
      <c r="EF983" s="157"/>
    </row>
    <row r="984" spans="136:136">
      <c r="EF984" s="157"/>
    </row>
    <row r="985" spans="136:136">
      <c r="EF985" s="157"/>
    </row>
    <row r="986" spans="136:136">
      <c r="EF986" s="157"/>
    </row>
    <row r="987" spans="136:136">
      <c r="EF987" s="157"/>
    </row>
    <row r="988" spans="136:136">
      <c r="EF988" s="157"/>
    </row>
    <row r="989" spans="136:136">
      <c r="EF989" s="157"/>
    </row>
    <row r="990" spans="136:136">
      <c r="EF990" s="157"/>
    </row>
    <row r="991" spans="136:136">
      <c r="EF991" s="157"/>
    </row>
    <row r="992" spans="136:136">
      <c r="EF992" s="157"/>
    </row>
    <row r="993" spans="136:136">
      <c r="EF993" s="157"/>
    </row>
    <row r="994" spans="136:136">
      <c r="EF994" s="157"/>
    </row>
    <row r="995" spans="136:136">
      <c r="EF995" s="157"/>
    </row>
    <row r="996" spans="136:136">
      <c r="EF996" s="157"/>
    </row>
    <row r="997" spans="136:136">
      <c r="EF997" s="157"/>
    </row>
    <row r="998" spans="136:136">
      <c r="EF998" s="157"/>
    </row>
    <row r="999" spans="136:136">
      <c r="EF999" s="157"/>
    </row>
    <row r="1000" spans="136:136">
      <c r="EF1000" s="157"/>
    </row>
    <row r="1001" spans="136:136">
      <c r="EF1001" s="157"/>
    </row>
    <row r="1002" spans="136:136">
      <c r="EF1002" s="157"/>
    </row>
    <row r="1003" spans="136:136">
      <c r="EF1003" s="157"/>
    </row>
    <row r="1004" spans="136:136">
      <c r="EF1004" s="157"/>
    </row>
    <row r="1005" spans="136:136">
      <c r="EF1005" s="157"/>
    </row>
    <row r="1006" spans="136:136">
      <c r="EF1006" s="157"/>
    </row>
    <row r="1007" spans="136:136">
      <c r="EF1007" s="157"/>
    </row>
    <row r="1008" spans="136:136">
      <c r="EF1008" s="157"/>
    </row>
    <row r="1009" spans="136:136">
      <c r="EF1009" s="157"/>
    </row>
    <row r="1010" spans="136:136">
      <c r="EF1010" s="157"/>
    </row>
    <row r="1011" spans="136:136">
      <c r="EF1011" s="157"/>
    </row>
    <row r="1012" spans="136:136">
      <c r="EF1012" s="157"/>
    </row>
    <row r="1013" spans="136:136">
      <c r="EF1013" s="157"/>
    </row>
    <row r="1014" spans="136:136">
      <c r="EF1014" s="157"/>
    </row>
    <row r="1015" spans="136:136">
      <c r="EF1015" s="157"/>
    </row>
    <row r="1016" spans="136:136">
      <c r="EF1016" s="157"/>
    </row>
    <row r="1017" spans="136:136">
      <c r="EF1017" s="157"/>
    </row>
    <row r="1018" spans="136:136">
      <c r="EF1018" s="157"/>
    </row>
    <row r="1019" spans="136:136">
      <c r="EF1019" s="157"/>
    </row>
    <row r="1020" spans="136:136">
      <c r="EF1020" s="157"/>
    </row>
    <row r="1021" spans="136:136">
      <c r="EF1021" s="157"/>
    </row>
    <row r="1022" spans="136:136">
      <c r="EF1022" s="157"/>
    </row>
    <row r="1023" spans="136:136">
      <c r="EF1023" s="157"/>
    </row>
    <row r="1024" spans="136:136">
      <c r="EF1024" s="157"/>
    </row>
    <row r="1025" spans="136:136">
      <c r="EF1025" s="157"/>
    </row>
    <row r="1026" spans="136:136">
      <c r="EF1026" s="157"/>
    </row>
    <row r="1027" spans="136:136">
      <c r="EF1027" s="157"/>
    </row>
    <row r="1028" spans="136:136">
      <c r="EF1028" s="157"/>
    </row>
    <row r="1029" spans="136:136">
      <c r="EF1029" s="157"/>
    </row>
    <row r="1030" spans="136:136">
      <c r="EF1030" s="157"/>
    </row>
    <row r="1031" spans="136:136">
      <c r="EF1031" s="157"/>
    </row>
    <row r="1032" spans="136:136">
      <c r="EF1032" s="157"/>
    </row>
    <row r="1033" spans="136:136">
      <c r="EF1033" s="157"/>
    </row>
    <row r="1034" spans="136:136">
      <c r="EF1034" s="157"/>
    </row>
    <row r="1035" spans="136:136">
      <c r="EF1035" s="157"/>
    </row>
    <row r="1036" spans="136:136">
      <c r="EF1036" s="157"/>
    </row>
    <row r="1037" spans="136:136">
      <c r="EF1037" s="157"/>
    </row>
    <row r="1038" spans="136:136">
      <c r="EF1038" s="157"/>
    </row>
    <row r="1039" spans="136:136">
      <c r="EF1039" s="157"/>
    </row>
    <row r="1040" spans="136:136">
      <c r="EF1040" s="157"/>
    </row>
    <row r="1041" spans="136:136">
      <c r="EF1041" s="157"/>
    </row>
    <row r="1042" spans="136:136">
      <c r="EF1042" s="157"/>
    </row>
    <row r="1043" spans="136:136">
      <c r="EF1043" s="157"/>
    </row>
    <row r="1044" spans="136:136">
      <c r="EF1044" s="157"/>
    </row>
    <row r="1045" spans="136:136">
      <c r="EF1045" s="157"/>
    </row>
    <row r="1046" spans="136:136">
      <c r="EF1046" s="157"/>
    </row>
    <row r="1047" spans="136:136">
      <c r="EF1047" s="157"/>
    </row>
    <row r="1048" spans="136:136">
      <c r="EF1048" s="157"/>
    </row>
    <row r="1049" spans="136:136">
      <c r="EF1049" s="157"/>
    </row>
    <row r="1050" spans="136:136">
      <c r="EF1050" s="157"/>
    </row>
    <row r="1051" spans="136:136">
      <c r="EF1051" s="157"/>
    </row>
    <row r="1052" spans="136:136">
      <c r="EF1052" s="157"/>
    </row>
    <row r="1053" spans="136:136">
      <c r="EF1053" s="157"/>
    </row>
    <row r="1054" spans="136:136">
      <c r="EF1054" s="157"/>
    </row>
    <row r="1055" spans="136:136">
      <c r="EF1055" s="157"/>
    </row>
    <row r="1056" spans="136:136">
      <c r="EF1056" s="157"/>
    </row>
    <row r="1057" spans="136:136">
      <c r="EF1057" s="157"/>
    </row>
    <row r="1058" spans="136:136">
      <c r="EF1058" s="157"/>
    </row>
    <row r="1059" spans="136:136">
      <c r="EF1059" s="157"/>
    </row>
    <row r="1060" spans="136:136">
      <c r="EF1060" s="157"/>
    </row>
    <row r="1061" spans="136:136">
      <c r="EF1061" s="157"/>
    </row>
    <row r="1062" spans="136:136">
      <c r="EF1062" s="157"/>
    </row>
    <row r="1063" spans="136:136">
      <c r="EF1063" s="157"/>
    </row>
    <row r="1064" spans="136:136">
      <c r="EF1064" s="157"/>
    </row>
    <row r="1065" spans="136:136">
      <c r="EF1065" s="157"/>
    </row>
    <row r="1066" spans="136:136">
      <c r="EF1066" s="157"/>
    </row>
    <row r="1067" spans="136:136">
      <c r="EF1067" s="157"/>
    </row>
    <row r="1068" spans="136:136">
      <c r="EF1068" s="157"/>
    </row>
    <row r="1069" spans="136:136">
      <c r="EF1069" s="157"/>
    </row>
    <row r="1070" spans="136:136">
      <c r="EF1070" s="157"/>
    </row>
    <row r="1071" spans="136:136">
      <c r="EF1071" s="157"/>
    </row>
    <row r="1072" spans="136:136">
      <c r="EF1072" s="157"/>
    </row>
    <row r="1073" spans="136:136">
      <c r="EF1073" s="157"/>
    </row>
    <row r="1074" spans="136:136">
      <c r="EF1074" s="157"/>
    </row>
    <row r="1075" spans="136:136">
      <c r="EF1075" s="157"/>
    </row>
    <row r="1076" spans="136:136">
      <c r="EF1076" s="157"/>
    </row>
    <row r="1077" spans="136:136">
      <c r="EF1077" s="157"/>
    </row>
    <row r="1078" spans="136:136">
      <c r="EF1078" s="157"/>
    </row>
    <row r="1079" spans="136:136">
      <c r="EF1079" s="157"/>
    </row>
    <row r="1080" spans="136:136">
      <c r="EF1080" s="157"/>
    </row>
    <row r="1081" spans="136:136">
      <c r="EF1081" s="157"/>
    </row>
    <row r="1082" spans="136:136">
      <c r="EF1082" s="157"/>
    </row>
    <row r="1083" spans="136:136">
      <c r="EF1083" s="157"/>
    </row>
    <row r="1084" spans="136:136">
      <c r="EF1084" s="157"/>
    </row>
    <row r="1085" spans="136:136">
      <c r="EF1085" s="157"/>
    </row>
    <row r="1086" spans="136:136">
      <c r="EF1086" s="157"/>
    </row>
    <row r="1087" spans="136:136">
      <c r="EF1087" s="157"/>
    </row>
    <row r="1088" spans="136:136">
      <c r="EF1088" s="157"/>
    </row>
    <row r="1089" spans="136:136">
      <c r="EF1089" s="157"/>
    </row>
    <row r="1090" spans="136:136">
      <c r="EF1090" s="157"/>
    </row>
    <row r="1091" spans="136:136">
      <c r="EF1091" s="157"/>
    </row>
    <row r="1092" spans="136:136">
      <c r="EF1092" s="157"/>
    </row>
    <row r="1093" spans="136:136">
      <c r="EF1093" s="157"/>
    </row>
    <row r="1094" spans="136:136">
      <c r="EF1094" s="157"/>
    </row>
    <row r="1095" spans="136:136">
      <c r="EF1095" s="157"/>
    </row>
    <row r="1096" spans="136:136">
      <c r="EF1096" s="157"/>
    </row>
    <row r="1097" spans="136:136">
      <c r="EF1097" s="157"/>
    </row>
    <row r="1098" spans="136:136">
      <c r="EF1098" s="157"/>
    </row>
    <row r="1099" spans="136:136">
      <c r="EF1099" s="157"/>
    </row>
    <row r="1100" spans="136:136">
      <c r="EF1100" s="157"/>
    </row>
    <row r="1101" spans="136:136">
      <c r="EF1101" s="157"/>
    </row>
    <row r="1102" spans="136:136">
      <c r="EF1102" s="157"/>
    </row>
    <row r="1103" spans="136:136">
      <c r="EF1103" s="157"/>
    </row>
    <row r="1104" spans="136:136">
      <c r="EF1104" s="157"/>
    </row>
    <row r="1105" spans="136:136">
      <c r="EF1105" s="157"/>
    </row>
    <row r="1106" spans="136:136">
      <c r="EF1106" s="157"/>
    </row>
    <row r="1107" spans="136:136">
      <c r="EF1107" s="157"/>
    </row>
    <row r="1108" spans="136:136">
      <c r="EF1108" s="157"/>
    </row>
    <row r="1109" spans="136:136">
      <c r="EF1109" s="157"/>
    </row>
    <row r="1110" spans="136:136">
      <c r="EF1110" s="157"/>
    </row>
    <row r="1111" spans="136:136">
      <c r="EF1111" s="157"/>
    </row>
    <row r="1112" spans="136:136">
      <c r="EF1112" s="157"/>
    </row>
    <row r="1113" spans="136:136">
      <c r="EF1113" s="157"/>
    </row>
    <row r="1114" spans="136:136">
      <c r="EF1114" s="157"/>
    </row>
    <row r="1115" spans="136:136">
      <c r="EF1115" s="157"/>
    </row>
    <row r="1116" spans="136:136">
      <c r="EF1116" s="157"/>
    </row>
    <row r="1117" spans="136:136">
      <c r="EF1117" s="157"/>
    </row>
    <row r="1118" spans="136:136">
      <c r="EF1118" s="157"/>
    </row>
    <row r="1119" spans="136:136">
      <c r="EF1119" s="157"/>
    </row>
    <row r="1120" spans="136:136">
      <c r="EF1120" s="157"/>
    </row>
    <row r="1121" spans="136:136">
      <c r="EF1121" s="157"/>
    </row>
    <row r="1122" spans="136:136">
      <c r="EF1122" s="157"/>
    </row>
    <row r="1123" spans="136:136">
      <c r="EF1123" s="157"/>
    </row>
    <row r="1124" spans="136:136">
      <c r="EF1124" s="157"/>
    </row>
    <row r="1125" spans="136:136">
      <c r="EF1125" s="157"/>
    </row>
    <row r="1126" spans="136:136">
      <c r="EF1126" s="157"/>
    </row>
    <row r="1127" spans="136:136">
      <c r="EF1127" s="157"/>
    </row>
    <row r="1128" spans="136:136">
      <c r="EF1128" s="157"/>
    </row>
    <row r="1129" spans="136:136">
      <c r="EF1129" s="157"/>
    </row>
    <row r="1130" spans="136:136">
      <c r="EF1130" s="157"/>
    </row>
    <row r="1131" spans="136:136">
      <c r="EF1131" s="157"/>
    </row>
    <row r="1132" spans="136:136">
      <c r="EF1132" s="157"/>
    </row>
    <row r="1133" spans="136:136">
      <c r="EF1133" s="157"/>
    </row>
    <row r="1134" spans="136:136">
      <c r="EF1134" s="157"/>
    </row>
    <row r="1135" spans="136:136">
      <c r="EF1135" s="157"/>
    </row>
    <row r="1136" spans="136:136">
      <c r="EF1136" s="157"/>
    </row>
    <row r="1137" spans="136:136">
      <c r="EF1137" s="157"/>
    </row>
    <row r="1138" spans="136:136">
      <c r="EF1138" s="157"/>
    </row>
    <row r="1139" spans="136:136">
      <c r="EF1139" s="157"/>
    </row>
    <row r="1140" spans="136:136">
      <c r="EF1140" s="157"/>
    </row>
    <row r="1141" spans="136:136">
      <c r="EF1141" s="157"/>
    </row>
    <row r="1142" spans="136:136">
      <c r="EF1142" s="157"/>
    </row>
    <row r="1143" spans="136:136">
      <c r="EF1143" s="157"/>
    </row>
    <row r="1144" spans="136:136">
      <c r="EF1144" s="157"/>
    </row>
    <row r="1145" spans="136:136">
      <c r="EF1145" s="157"/>
    </row>
    <row r="1146" spans="136:136">
      <c r="EF1146" s="157"/>
    </row>
    <row r="1147" spans="136:136">
      <c r="EF1147" s="157"/>
    </row>
    <row r="1148" spans="136:136">
      <c r="EF1148" s="157"/>
    </row>
    <row r="1149" spans="136:136">
      <c r="EF1149" s="157"/>
    </row>
    <row r="1150" spans="136:136">
      <c r="EF1150" s="157"/>
    </row>
    <row r="1151" spans="136:136">
      <c r="EF1151" s="157"/>
    </row>
    <row r="1152" spans="136:136">
      <c r="EF1152" s="157"/>
    </row>
    <row r="1153" spans="136:136">
      <c r="EF1153" s="157"/>
    </row>
    <row r="1154" spans="136:136">
      <c r="EF1154" s="157"/>
    </row>
    <row r="1155" spans="136:136">
      <c r="EF1155" s="157"/>
    </row>
    <row r="1156" spans="136:136">
      <c r="EF1156" s="157"/>
    </row>
    <row r="1157" spans="136:136">
      <c r="EF1157" s="157"/>
    </row>
    <row r="1158" spans="136:136">
      <c r="EF1158" s="157"/>
    </row>
    <row r="1159" spans="136:136">
      <c r="EF1159" s="157"/>
    </row>
    <row r="1160" spans="136:136">
      <c r="EF1160" s="157"/>
    </row>
    <row r="1161" spans="136:136">
      <c r="EF1161" s="157"/>
    </row>
    <row r="1162" spans="136:136">
      <c r="EF1162" s="157"/>
    </row>
    <row r="1163" spans="136:136">
      <c r="EF1163" s="157"/>
    </row>
    <row r="1164" spans="136:136">
      <c r="EF1164" s="157"/>
    </row>
    <row r="1165" spans="136:136">
      <c r="EF1165" s="157"/>
    </row>
    <row r="1166" spans="136:136">
      <c r="EF1166" s="157"/>
    </row>
    <row r="1167" spans="136:136">
      <c r="EF1167" s="157"/>
    </row>
    <row r="1168" spans="136:136">
      <c r="EF1168" s="157"/>
    </row>
    <row r="1169" spans="136:136">
      <c r="EF1169" s="157"/>
    </row>
    <row r="1170" spans="136:136">
      <c r="EF1170" s="157"/>
    </row>
    <row r="1171" spans="136:136">
      <c r="EF1171" s="157"/>
    </row>
    <row r="1172" spans="136:136">
      <c r="EF1172" s="157"/>
    </row>
    <row r="1173" spans="136:136">
      <c r="EF1173" s="157"/>
    </row>
    <row r="1174" spans="136:136">
      <c r="EF1174" s="157"/>
    </row>
    <row r="1175" spans="136:136">
      <c r="EF1175" s="157"/>
    </row>
    <row r="1176" spans="136:136">
      <c r="EF1176" s="157"/>
    </row>
    <row r="1177" spans="136:136">
      <c r="EF1177" s="157"/>
    </row>
    <row r="1178" spans="136:136">
      <c r="EF1178" s="157"/>
    </row>
    <row r="1179" spans="136:136">
      <c r="EF1179" s="157"/>
    </row>
    <row r="1180" spans="136:136">
      <c r="EF1180" s="157"/>
    </row>
    <row r="1181" spans="136:136">
      <c r="EF1181" s="157"/>
    </row>
    <row r="1182" spans="136:136">
      <c r="EF1182" s="157"/>
    </row>
    <row r="1183" spans="136:136">
      <c r="EF1183" s="157"/>
    </row>
    <row r="1184" spans="136:136">
      <c r="EF1184" s="157"/>
    </row>
    <row r="1185" spans="136:136">
      <c r="EF1185" s="157"/>
    </row>
    <row r="1186" spans="136:136">
      <c r="EF1186" s="157"/>
    </row>
    <row r="1187" spans="136:136">
      <c r="EF1187" s="157"/>
    </row>
    <row r="1188" spans="136:136">
      <c r="EF1188" s="157"/>
    </row>
    <row r="1189" spans="136:136">
      <c r="EF1189" s="157"/>
    </row>
    <row r="1190" spans="136:136">
      <c r="EF1190" s="157"/>
    </row>
    <row r="1191" spans="136:136">
      <c r="EF1191" s="157"/>
    </row>
    <row r="1192" spans="136:136">
      <c r="EF1192" s="157"/>
    </row>
    <row r="1193" spans="136:136">
      <c r="EF1193" s="157"/>
    </row>
    <row r="1194" spans="136:136">
      <c r="EF1194" s="157"/>
    </row>
    <row r="1195" spans="136:136">
      <c r="EF1195" s="157"/>
    </row>
    <row r="1196" spans="136:136">
      <c r="EF1196" s="157"/>
    </row>
    <row r="1197" spans="136:136">
      <c r="EF1197" s="157"/>
    </row>
    <row r="1198" spans="136:136">
      <c r="EF1198" s="157"/>
    </row>
    <row r="1199" spans="136:136">
      <c r="EF1199" s="157"/>
    </row>
    <row r="1200" spans="136:136">
      <c r="EF1200" s="157"/>
    </row>
    <row r="1201" spans="136:136">
      <c r="EF1201" s="157"/>
    </row>
    <row r="1202" spans="136:136">
      <c r="EF1202" s="157"/>
    </row>
    <row r="1203" spans="136:136">
      <c r="EF1203" s="157"/>
    </row>
    <row r="1204" spans="136:136">
      <c r="EF1204" s="157"/>
    </row>
    <row r="1205" spans="136:136">
      <c r="EF1205" s="157"/>
    </row>
    <row r="1206" spans="136:136">
      <c r="EF1206" s="157"/>
    </row>
    <row r="1207" spans="136:136">
      <c r="EF1207" s="157"/>
    </row>
    <row r="1208" spans="136:136">
      <c r="EF1208" s="157"/>
    </row>
    <row r="1209" spans="136:136">
      <c r="EF1209" s="157"/>
    </row>
    <row r="1210" spans="136:136">
      <c r="EF1210" s="157"/>
    </row>
    <row r="1211" spans="136:136">
      <c r="EF1211" s="157"/>
    </row>
    <row r="1212" spans="136:136">
      <c r="EF1212" s="157"/>
    </row>
    <row r="1213" spans="136:136">
      <c r="EF1213" s="157"/>
    </row>
    <row r="1214" spans="136:136">
      <c r="EF1214" s="157"/>
    </row>
    <row r="1215" spans="136:136">
      <c r="EF1215" s="157"/>
    </row>
    <row r="1216" spans="136:136">
      <c r="EF1216" s="157"/>
    </row>
    <row r="1217" spans="136:136">
      <c r="EF1217" s="157"/>
    </row>
    <row r="1218" spans="136:136">
      <c r="EF1218" s="157"/>
    </row>
    <row r="1219" spans="136:136">
      <c r="EF1219" s="157"/>
    </row>
    <row r="1220" spans="136:136">
      <c r="EF1220" s="157"/>
    </row>
    <row r="1221" spans="136:136">
      <c r="EF1221" s="157"/>
    </row>
    <row r="1222" spans="136:136">
      <c r="EF1222" s="157"/>
    </row>
    <row r="1223" spans="136:136">
      <c r="EF1223" s="157"/>
    </row>
    <row r="1224" spans="136:136">
      <c r="EF1224" s="157"/>
    </row>
    <row r="1225" spans="136:136">
      <c r="EF1225" s="157"/>
    </row>
    <row r="1226" spans="136:136">
      <c r="EF1226" s="157"/>
    </row>
    <row r="1227" spans="136:136">
      <c r="EF1227" s="157"/>
    </row>
    <row r="1228" spans="136:136">
      <c r="EF1228" s="157"/>
    </row>
    <row r="1229" spans="136:136">
      <c r="EF1229" s="157"/>
    </row>
    <row r="1230" spans="136:136">
      <c r="EF1230" s="157"/>
    </row>
    <row r="1231" spans="136:136">
      <c r="EF1231" s="157"/>
    </row>
    <row r="1232" spans="136:136">
      <c r="EF1232" s="157"/>
    </row>
    <row r="1233" spans="136:136">
      <c r="EF1233" s="157"/>
    </row>
    <row r="1234" spans="136:136">
      <c r="EF1234" s="157"/>
    </row>
    <row r="1235" spans="136:136">
      <c r="EF1235" s="157"/>
    </row>
    <row r="1236" spans="136:136">
      <c r="EF1236" s="157"/>
    </row>
    <row r="1237" spans="136:136">
      <c r="EF1237" s="157"/>
    </row>
    <row r="1238" spans="136:136">
      <c r="EF1238" s="157"/>
    </row>
    <row r="1239" spans="136:136">
      <c r="EF1239" s="157"/>
    </row>
    <row r="1240" spans="136:136">
      <c r="EF1240" s="157"/>
    </row>
    <row r="1241" spans="136:136">
      <c r="EF1241" s="157"/>
    </row>
    <row r="1242" spans="136:136">
      <c r="EF1242" s="157"/>
    </row>
    <row r="1243" spans="136:136">
      <c r="EF1243" s="157"/>
    </row>
    <row r="1244" spans="136:136">
      <c r="EF1244" s="157"/>
    </row>
    <row r="1245" spans="136:136">
      <c r="EF1245" s="157"/>
    </row>
    <row r="1246" spans="136:136">
      <c r="EF1246" s="157"/>
    </row>
    <row r="1247" spans="136:136">
      <c r="EF1247" s="157"/>
    </row>
    <row r="1248" spans="136:136">
      <c r="EF1248" s="157"/>
    </row>
    <row r="1249" spans="136:136">
      <c r="EF1249" s="157"/>
    </row>
    <row r="1250" spans="136:136">
      <c r="EF1250" s="157"/>
    </row>
    <row r="1251" spans="136:136">
      <c r="EF1251" s="157"/>
    </row>
    <row r="1252" spans="136:136">
      <c r="EF1252" s="157"/>
    </row>
    <row r="1253" spans="136:136">
      <c r="EF1253" s="157"/>
    </row>
    <row r="1254" spans="136:136">
      <c r="EF1254" s="157"/>
    </row>
    <row r="1255" spans="136:136">
      <c r="EF1255" s="157"/>
    </row>
    <row r="1256" spans="136:136">
      <c r="EF1256" s="157"/>
    </row>
    <row r="1257" spans="136:136">
      <c r="EF1257" s="157"/>
    </row>
    <row r="1258" spans="136:136">
      <c r="EF1258" s="157"/>
    </row>
    <row r="1259" spans="136:136">
      <c r="EF1259" s="157"/>
    </row>
    <row r="1260" spans="136:136">
      <c r="EF1260" s="157"/>
    </row>
    <row r="1261" spans="136:136">
      <c r="EF1261" s="157"/>
    </row>
    <row r="1262" spans="136:136">
      <c r="EF1262" s="157"/>
    </row>
    <row r="1263" spans="136:136">
      <c r="EF1263" s="157"/>
    </row>
    <row r="1264" spans="136:136">
      <c r="EF1264" s="157"/>
    </row>
    <row r="1265" spans="136:136">
      <c r="EF1265" s="157"/>
    </row>
    <row r="1266" spans="136:136">
      <c r="EF1266" s="157"/>
    </row>
    <row r="1267" spans="136:136">
      <c r="EF1267" s="157"/>
    </row>
    <row r="1268" spans="136:136">
      <c r="EF1268" s="157"/>
    </row>
    <row r="1269" spans="136:136">
      <c r="EF1269" s="157"/>
    </row>
    <row r="1270" spans="136:136">
      <c r="EF1270" s="157"/>
    </row>
    <row r="1271" spans="136:136">
      <c r="EF1271" s="157"/>
    </row>
    <row r="1272" spans="136:136">
      <c r="EF1272" s="157"/>
    </row>
    <row r="1273" spans="136:136">
      <c r="EF1273" s="157"/>
    </row>
    <row r="1274" spans="136:136">
      <c r="EF1274" s="157"/>
    </row>
    <row r="1275" spans="136:136">
      <c r="EF1275" s="157"/>
    </row>
    <row r="1276" spans="136:136">
      <c r="EF1276" s="157"/>
    </row>
    <row r="1277" spans="136:136">
      <c r="EF1277" s="157"/>
    </row>
    <row r="1278" spans="136:136">
      <c r="EF1278" s="157"/>
    </row>
    <row r="1279" spans="136:136">
      <c r="EF1279" s="157"/>
    </row>
    <row r="1280" spans="136:136">
      <c r="EF1280" s="157"/>
    </row>
    <row r="1281" spans="136:136">
      <c r="EF1281" s="157"/>
    </row>
    <row r="1282" spans="136:136">
      <c r="EF1282" s="157"/>
    </row>
    <row r="1283" spans="136:136">
      <c r="EF1283" s="157"/>
    </row>
    <row r="1284" spans="136:136">
      <c r="EF1284" s="157"/>
    </row>
    <row r="1285" spans="136:136">
      <c r="EF1285" s="157"/>
    </row>
    <row r="1286" spans="136:136">
      <c r="EF1286" s="157"/>
    </row>
    <row r="1287" spans="136:136">
      <c r="EF1287" s="157"/>
    </row>
    <row r="1288" spans="136:136">
      <c r="EF1288" s="157"/>
    </row>
    <row r="1289" spans="136:136">
      <c r="EF1289" s="157"/>
    </row>
    <row r="1290" spans="136:136">
      <c r="EF1290" s="157"/>
    </row>
    <row r="1291" spans="136:136">
      <c r="EF1291" s="157"/>
    </row>
    <row r="1292" spans="136:136">
      <c r="EF1292" s="157"/>
    </row>
    <row r="1293" spans="136:136">
      <c r="EF1293" s="157"/>
    </row>
    <row r="1294" spans="136:136">
      <c r="EF1294" s="157"/>
    </row>
    <row r="1295" spans="136:136">
      <c r="EF1295" s="157"/>
    </row>
    <row r="1296" spans="136:136">
      <c r="EF1296" s="157"/>
    </row>
    <row r="1297" spans="136:136">
      <c r="EF1297" s="157"/>
    </row>
    <row r="1298" spans="136:136">
      <c r="EF1298" s="157"/>
    </row>
    <row r="1299" spans="136:136">
      <c r="EF1299" s="157"/>
    </row>
    <row r="1300" spans="136:136">
      <c r="EF1300" s="157"/>
    </row>
    <row r="1301" spans="136:136">
      <c r="EF1301" s="157"/>
    </row>
    <row r="1302" spans="136:136">
      <c r="EF1302" s="157"/>
    </row>
    <row r="1303" spans="136:136">
      <c r="EF1303" s="157"/>
    </row>
    <row r="1304" spans="136:136">
      <c r="EF1304" s="157"/>
    </row>
    <row r="1305" spans="136:136">
      <c r="EF1305" s="157"/>
    </row>
    <row r="1306" spans="136:136">
      <c r="EF1306" s="157"/>
    </row>
    <row r="1307" spans="136:136">
      <c r="EF1307" s="157"/>
    </row>
    <row r="1308" spans="136:136">
      <c r="EF1308" s="157"/>
    </row>
    <row r="1309" spans="136:136">
      <c r="EF1309" s="157"/>
    </row>
    <row r="1310" spans="136:136">
      <c r="EF1310" s="157"/>
    </row>
    <row r="1311" spans="136:136">
      <c r="EF1311" s="157"/>
    </row>
    <row r="1312" spans="136:136">
      <c r="EF1312" s="157"/>
    </row>
    <row r="1313" spans="136:136">
      <c r="EF1313" s="157"/>
    </row>
    <row r="1314" spans="136:136">
      <c r="EF1314" s="157"/>
    </row>
    <row r="1315" spans="136:136">
      <c r="EF1315" s="157"/>
    </row>
    <row r="1316" spans="136:136">
      <c r="EF1316" s="157"/>
    </row>
    <row r="1317" spans="136:136">
      <c r="EF1317" s="157"/>
    </row>
    <row r="1318" spans="136:136">
      <c r="EF1318" s="157"/>
    </row>
    <row r="1319" spans="136:136">
      <c r="EF1319" s="157"/>
    </row>
    <row r="1320" spans="136:136">
      <c r="EF1320" s="157"/>
    </row>
    <row r="1321" spans="136:136">
      <c r="EF1321" s="157"/>
    </row>
    <row r="1322" spans="136:136">
      <c r="EF1322" s="157"/>
    </row>
    <row r="1323" spans="136:136">
      <c r="EF1323" s="157"/>
    </row>
    <row r="1324" spans="136:136">
      <c r="EF1324" s="157"/>
    </row>
    <row r="1325" spans="136:136">
      <c r="EF1325" s="157"/>
    </row>
    <row r="1326" spans="136:136">
      <c r="EF1326" s="157"/>
    </row>
    <row r="1327" spans="136:136">
      <c r="EF1327" s="157"/>
    </row>
    <row r="1328" spans="136:136">
      <c r="EF1328" s="157"/>
    </row>
    <row r="1329" spans="136:136">
      <c r="EF1329" s="157"/>
    </row>
    <row r="1330" spans="136:136">
      <c r="EF1330" s="157"/>
    </row>
    <row r="1331" spans="136:136">
      <c r="EF1331" s="157"/>
    </row>
    <row r="1332" spans="136:136">
      <c r="EF1332" s="157"/>
    </row>
    <row r="1333" spans="136:136">
      <c r="EF1333" s="157"/>
    </row>
    <row r="1334" spans="136:136">
      <c r="EF1334" s="157"/>
    </row>
    <row r="1335" spans="136:136">
      <c r="EF1335" s="157"/>
    </row>
    <row r="1336" spans="136:136">
      <c r="EF1336" s="157"/>
    </row>
    <row r="1337" spans="136:136">
      <c r="EF1337" s="157"/>
    </row>
    <row r="1338" spans="136:136">
      <c r="EF1338" s="157"/>
    </row>
    <row r="1339" spans="136:136">
      <c r="EF1339" s="157"/>
    </row>
    <row r="1340" spans="136:136">
      <c r="EF1340" s="157"/>
    </row>
    <row r="1341" spans="136:136">
      <c r="EF1341" s="157"/>
    </row>
    <row r="1342" spans="136:136">
      <c r="EF1342" s="157"/>
    </row>
    <row r="1343" spans="136:136">
      <c r="EF1343" s="157"/>
    </row>
    <row r="1344" spans="136:136">
      <c r="EF1344" s="157"/>
    </row>
    <row r="1345" spans="136:136">
      <c r="EF1345" s="157"/>
    </row>
    <row r="1346" spans="136:136">
      <c r="EF1346" s="157"/>
    </row>
    <row r="1347" spans="136:136">
      <c r="EF1347" s="157"/>
    </row>
    <row r="1348" spans="136:136">
      <c r="EF1348" s="157"/>
    </row>
    <row r="1349" spans="136:136">
      <c r="EF1349" s="157"/>
    </row>
    <row r="1350" spans="136:136">
      <c r="EF1350" s="157"/>
    </row>
    <row r="1351" spans="136:136">
      <c r="EF1351" s="157"/>
    </row>
    <row r="1352" spans="136:136">
      <c r="EF1352" s="157"/>
    </row>
    <row r="1353" spans="136:136">
      <c r="EF1353" s="157"/>
    </row>
    <row r="1354" spans="136:136">
      <c r="EF1354" s="157"/>
    </row>
    <row r="1355" spans="136:136">
      <c r="EF1355" s="157"/>
    </row>
    <row r="1356" spans="136:136">
      <c r="EF1356" s="157"/>
    </row>
    <row r="1357" spans="136:136">
      <c r="EF1357" s="157"/>
    </row>
    <row r="1358" spans="136:136">
      <c r="EF1358" s="157"/>
    </row>
    <row r="1359" spans="136:136">
      <c r="EF1359" s="157"/>
    </row>
    <row r="1360" spans="136:136">
      <c r="EF1360" s="157"/>
    </row>
    <row r="1361" spans="136:136">
      <c r="EF1361" s="157"/>
    </row>
    <row r="1362" spans="136:136">
      <c r="EF1362" s="157"/>
    </row>
    <row r="1363" spans="136:136">
      <c r="EF1363" s="157"/>
    </row>
    <row r="1364" spans="136:136">
      <c r="EF1364" s="157"/>
    </row>
    <row r="1365" spans="136:136">
      <c r="EF1365" s="157"/>
    </row>
    <row r="1366" spans="136:136">
      <c r="EF1366" s="157"/>
    </row>
    <row r="1367" spans="136:136">
      <c r="EF1367" s="157"/>
    </row>
    <row r="1368" spans="136:136">
      <c r="EF1368" s="157"/>
    </row>
    <row r="1369" spans="136:136">
      <c r="EF1369" s="157"/>
    </row>
    <row r="1370" spans="136:136">
      <c r="EF1370" s="157"/>
    </row>
    <row r="1371" spans="136:136">
      <c r="EF1371" s="157"/>
    </row>
    <row r="1372" spans="136:136">
      <c r="EF1372" s="157"/>
    </row>
    <row r="1373" spans="136:136">
      <c r="EF1373" s="157"/>
    </row>
    <row r="1374" spans="136:136">
      <c r="EF1374" s="157"/>
    </row>
    <row r="1375" spans="136:136">
      <c r="EF1375" s="157"/>
    </row>
    <row r="1376" spans="136:136">
      <c r="EF1376" s="157"/>
    </row>
    <row r="1377" spans="136:136">
      <c r="EF1377" s="157"/>
    </row>
    <row r="1378" spans="136:136">
      <c r="EF1378" s="157"/>
    </row>
    <row r="1379" spans="136:136">
      <c r="EF1379" s="157"/>
    </row>
    <row r="1380" spans="136:136">
      <c r="EF1380" s="157"/>
    </row>
    <row r="1381" spans="136:136">
      <c r="EF1381" s="157"/>
    </row>
    <row r="1382" spans="136:136">
      <c r="EF1382" s="157"/>
    </row>
    <row r="1383" spans="136:136">
      <c r="EF1383" s="157"/>
    </row>
    <row r="1384" spans="136:136">
      <c r="EF1384" s="157"/>
    </row>
    <row r="1385" spans="136:136">
      <c r="EF1385" s="157"/>
    </row>
    <row r="1386" spans="136:136">
      <c r="EF1386" s="157"/>
    </row>
    <row r="1387" spans="136:136">
      <c r="EF1387" s="157"/>
    </row>
    <row r="1388" spans="136:136">
      <c r="EF1388" s="157"/>
    </row>
    <row r="1389" spans="136:136">
      <c r="EF1389" s="157"/>
    </row>
    <row r="1390" spans="136:136">
      <c r="EF1390" s="157"/>
    </row>
    <row r="1391" spans="136:136">
      <c r="EF1391" s="157"/>
    </row>
    <row r="1392" spans="136:136">
      <c r="EF1392" s="157"/>
    </row>
    <row r="1393" spans="136:136">
      <c r="EF1393" s="157"/>
    </row>
    <row r="1394" spans="136:136">
      <c r="EF1394" s="157"/>
    </row>
    <row r="1395" spans="136:136">
      <c r="EF1395" s="157"/>
    </row>
    <row r="1396" spans="136:136">
      <c r="EF1396" s="157"/>
    </row>
    <row r="1397" spans="136:136">
      <c r="EF1397" s="157"/>
    </row>
    <row r="1398" spans="136:136">
      <c r="EF1398" s="157"/>
    </row>
    <row r="1399" spans="136:136">
      <c r="EF1399" s="157"/>
    </row>
    <row r="1400" spans="136:136">
      <c r="EF1400" s="157"/>
    </row>
    <row r="1401" spans="136:136">
      <c r="EF1401" s="157"/>
    </row>
    <row r="1402" spans="136:136">
      <c r="EF1402" s="157"/>
    </row>
    <row r="1403" spans="136:136">
      <c r="EF1403" s="157"/>
    </row>
    <row r="1404" spans="136:136">
      <c r="EF1404" s="157"/>
    </row>
    <row r="1405" spans="136:136">
      <c r="EF1405" s="157"/>
    </row>
    <row r="1406" spans="136:136">
      <c r="EF1406" s="157"/>
    </row>
    <row r="1407" spans="136:136">
      <c r="EF1407" s="157"/>
    </row>
    <row r="1408" spans="136:136">
      <c r="EF1408" s="157"/>
    </row>
    <row r="1409" spans="136:136">
      <c r="EF1409" s="157"/>
    </row>
    <row r="1410" spans="136:136">
      <c r="EF1410" s="157"/>
    </row>
    <row r="1411" spans="136:136">
      <c r="EF1411" s="157"/>
    </row>
    <row r="1412" spans="136:136">
      <c r="EF1412" s="157"/>
    </row>
    <row r="1413" spans="136:136">
      <c r="EF1413" s="157"/>
    </row>
    <row r="1414" spans="136:136">
      <c r="EF1414" s="157"/>
    </row>
    <row r="1415" spans="136:136">
      <c r="EF1415" s="157"/>
    </row>
    <row r="1416" spans="136:136">
      <c r="EF1416" s="157"/>
    </row>
    <row r="1417" spans="136:136">
      <c r="EF1417" s="157"/>
    </row>
    <row r="1418" spans="136:136">
      <c r="EF1418" s="157"/>
    </row>
    <row r="1419" spans="136:136">
      <c r="EF1419" s="157"/>
    </row>
    <row r="1420" spans="136:136">
      <c r="EF1420" s="157"/>
    </row>
    <row r="1421" spans="136:136">
      <c r="EF1421" s="157"/>
    </row>
    <row r="1422" spans="136:136">
      <c r="EF1422" s="157"/>
    </row>
    <row r="1423" spans="136:136">
      <c r="EF1423" s="157"/>
    </row>
    <row r="1424" spans="136:136">
      <c r="EF1424" s="157"/>
    </row>
    <row r="1425" spans="136:136">
      <c r="EF1425" s="157"/>
    </row>
    <row r="1426" spans="136:136">
      <c r="EF1426" s="157"/>
    </row>
    <row r="1427" spans="136:136">
      <c r="EF1427" s="157"/>
    </row>
    <row r="1428" spans="136:136">
      <c r="EF1428" s="157"/>
    </row>
    <row r="1429" spans="136:136">
      <c r="EF1429" s="157"/>
    </row>
    <row r="1430" spans="136:136">
      <c r="EF1430" s="157"/>
    </row>
    <row r="1431" spans="136:136">
      <c r="EF1431" s="157"/>
    </row>
    <row r="1432" spans="136:136">
      <c r="EF1432" s="157"/>
    </row>
    <row r="1433" spans="136:136">
      <c r="EF1433" s="157"/>
    </row>
    <row r="1434" spans="136:136">
      <c r="EF1434" s="157"/>
    </row>
    <row r="1435" spans="136:136">
      <c r="EF1435" s="157"/>
    </row>
    <row r="1436" spans="136:136">
      <c r="EF1436" s="157"/>
    </row>
    <row r="1437" spans="136:136">
      <c r="EF1437" s="157"/>
    </row>
    <row r="1438" spans="136:136">
      <c r="EF1438" s="157"/>
    </row>
    <row r="1439" spans="136:136">
      <c r="EF1439" s="157"/>
    </row>
    <row r="1440" spans="136:136">
      <c r="EF1440" s="157"/>
    </row>
    <row r="1441" spans="136:136">
      <c r="EF1441" s="157"/>
    </row>
    <row r="1442" spans="136:136">
      <c r="EF1442" s="157"/>
    </row>
    <row r="1443" spans="136:136">
      <c r="EF1443" s="157"/>
    </row>
    <row r="1444" spans="136:136">
      <c r="EF1444" s="157"/>
    </row>
    <row r="1445" spans="136:136">
      <c r="EF1445" s="157"/>
    </row>
    <row r="1446" spans="136:136">
      <c r="EF1446" s="157"/>
    </row>
    <row r="1447" spans="136:136">
      <c r="EF1447" s="157"/>
    </row>
    <row r="1448" spans="136:136">
      <c r="EF1448" s="157"/>
    </row>
    <row r="1449" spans="136:136">
      <c r="EF1449" s="157"/>
    </row>
    <row r="1450" spans="136:136">
      <c r="EF1450" s="157"/>
    </row>
    <row r="1451" spans="136:136">
      <c r="EF1451" s="157"/>
    </row>
    <row r="1452" spans="136:136">
      <c r="EF1452" s="157"/>
    </row>
    <row r="1453" spans="136:136">
      <c r="EF1453" s="157"/>
    </row>
    <row r="1454" spans="136:136">
      <c r="EF1454" s="157"/>
    </row>
    <row r="1455" spans="136:136">
      <c r="EF1455" s="157"/>
    </row>
    <row r="1456" spans="136:136">
      <c r="EF1456" s="157"/>
    </row>
    <row r="1457" spans="136:136">
      <c r="EF1457" s="157"/>
    </row>
    <row r="1458" spans="136:136">
      <c r="EF1458" s="157"/>
    </row>
    <row r="1459" spans="136:136">
      <c r="EF1459" s="157"/>
    </row>
    <row r="1460" spans="136:136">
      <c r="EF1460" s="157"/>
    </row>
    <row r="1461" spans="136:136">
      <c r="EF1461" s="157"/>
    </row>
    <row r="1462" spans="136:136">
      <c r="EF1462" s="157"/>
    </row>
    <row r="1463" spans="136:136">
      <c r="EF1463" s="157"/>
    </row>
    <row r="1464" spans="136:136">
      <c r="EF1464" s="157"/>
    </row>
    <row r="1465" spans="136:136">
      <c r="EF1465" s="157"/>
    </row>
    <row r="1466" spans="136:136">
      <c r="EF1466" s="157"/>
    </row>
    <row r="1467" spans="136:136">
      <c r="EF1467" s="157"/>
    </row>
    <row r="1468" spans="136:136">
      <c r="EF1468" s="157"/>
    </row>
    <row r="1469" spans="136:136">
      <c r="EF1469" s="157"/>
    </row>
    <row r="1470" spans="136:136">
      <c r="EF1470" s="157"/>
    </row>
    <row r="1471" spans="136:136">
      <c r="EF1471" s="157"/>
    </row>
    <row r="1472" spans="136:136">
      <c r="EF1472" s="157"/>
    </row>
    <row r="1473" spans="136:136">
      <c r="EF1473" s="157"/>
    </row>
    <row r="1474" spans="136:136">
      <c r="EF1474" s="157"/>
    </row>
    <row r="1475" spans="136:136">
      <c r="EF1475" s="157"/>
    </row>
    <row r="1476" spans="136:136">
      <c r="EF1476" s="157"/>
    </row>
    <row r="1477" spans="136:136">
      <c r="EF1477" s="157"/>
    </row>
    <row r="1478" spans="136:136">
      <c r="EF1478" s="157"/>
    </row>
    <row r="1479" spans="136:136">
      <c r="EF1479" s="157"/>
    </row>
    <row r="1480" spans="136:136">
      <c r="EF1480" s="157"/>
    </row>
    <row r="1481" spans="136:136">
      <c r="EF1481" s="157"/>
    </row>
    <row r="1482" spans="136:136">
      <c r="EF1482" s="157"/>
    </row>
    <row r="1483" spans="136:136">
      <c r="EF1483" s="157"/>
    </row>
    <row r="1484" spans="136:136">
      <c r="EF1484" s="157"/>
    </row>
    <row r="1485" spans="136:136">
      <c r="EF1485" s="157"/>
    </row>
    <row r="1486" spans="136:136">
      <c r="EF1486" s="157"/>
    </row>
    <row r="1487" spans="136:136">
      <c r="EF1487" s="157"/>
    </row>
    <row r="1488" spans="136:136">
      <c r="EF1488" s="157"/>
    </row>
    <row r="1489" spans="136:136">
      <c r="EF1489" s="157"/>
    </row>
    <row r="1490" spans="136:136">
      <c r="EF1490" s="157"/>
    </row>
    <row r="1491" spans="136:136">
      <c r="EF1491" s="157"/>
    </row>
    <row r="1492" spans="136:136">
      <c r="EF1492" s="157"/>
    </row>
    <row r="1493" spans="136:136">
      <c r="EF1493" s="157"/>
    </row>
    <row r="1494" spans="136:136">
      <c r="EF1494" s="157"/>
    </row>
    <row r="1495" spans="136:136">
      <c r="EF1495" s="157"/>
    </row>
    <row r="1496" spans="136:136">
      <c r="EF1496" s="157"/>
    </row>
    <row r="1497" spans="136:136">
      <c r="EF1497" s="157"/>
    </row>
    <row r="1498" spans="136:136">
      <c r="EF1498" s="157"/>
    </row>
    <row r="1499" spans="136:136">
      <c r="EF1499" s="157"/>
    </row>
    <row r="1500" spans="136:136">
      <c r="EF1500" s="157"/>
    </row>
    <row r="1501" spans="136:136">
      <c r="EF1501" s="157"/>
    </row>
    <row r="1502" spans="136:136">
      <c r="EF1502" s="157"/>
    </row>
    <row r="1503" spans="136:136">
      <c r="EF1503" s="157"/>
    </row>
    <row r="1504" spans="136:136">
      <c r="EF1504" s="157"/>
    </row>
    <row r="1505" spans="136:136">
      <c r="EF1505" s="157"/>
    </row>
    <row r="1506" spans="136:136">
      <c r="EF1506" s="157"/>
    </row>
    <row r="1507" spans="136:136">
      <c r="EF1507" s="157"/>
    </row>
    <row r="1508" spans="136:136">
      <c r="EF1508" s="157"/>
    </row>
    <row r="1509" spans="136:136">
      <c r="EF1509" s="157"/>
    </row>
    <row r="1510" spans="136:136">
      <c r="EF1510" s="157"/>
    </row>
    <row r="1511" spans="136:136">
      <c r="EF1511" s="157"/>
    </row>
    <row r="1512" spans="136:136">
      <c r="EF1512" s="157"/>
    </row>
    <row r="1513" spans="136:136">
      <c r="EF1513" s="157"/>
    </row>
    <row r="1514" spans="136:136">
      <c r="EF1514" s="157"/>
    </row>
    <row r="1515" spans="136:136">
      <c r="EF1515" s="157"/>
    </row>
    <row r="1516" spans="136:136">
      <c r="EF1516" s="157"/>
    </row>
    <row r="1517" spans="136:136">
      <c r="EF1517" s="157"/>
    </row>
    <row r="1518" spans="136:136">
      <c r="EF1518" s="157"/>
    </row>
    <row r="1519" spans="136:136">
      <c r="EF1519" s="157"/>
    </row>
    <row r="1520" spans="136:136">
      <c r="EF1520" s="157"/>
    </row>
    <row r="1521" spans="136:136">
      <c r="EF1521" s="157"/>
    </row>
    <row r="1522" spans="136:136">
      <c r="EF1522" s="157"/>
    </row>
    <row r="1523" spans="136:136">
      <c r="EF1523" s="157"/>
    </row>
    <row r="1524" spans="136:136">
      <c r="EF1524" s="157"/>
    </row>
    <row r="1525" spans="136:136">
      <c r="EF1525" s="157"/>
    </row>
    <row r="1526" spans="136:136">
      <c r="EF1526" s="157"/>
    </row>
    <row r="1527" spans="136:136">
      <c r="EF1527" s="157"/>
    </row>
    <row r="1528" spans="136:136">
      <c r="EF1528" s="157"/>
    </row>
    <row r="1529" spans="136:136">
      <c r="EF1529" s="157"/>
    </row>
    <row r="1530" spans="136:136">
      <c r="EF1530" s="157"/>
    </row>
    <row r="1531" spans="136:136">
      <c r="EF1531" s="157"/>
    </row>
    <row r="1532" spans="136:136">
      <c r="EF1532" s="157"/>
    </row>
    <row r="1533" spans="136:136">
      <c r="EF1533" s="157"/>
    </row>
    <row r="1534" spans="136:136">
      <c r="EF1534" s="157"/>
    </row>
    <row r="1535" spans="136:136">
      <c r="EF1535" s="157"/>
    </row>
    <row r="1536" spans="136:136">
      <c r="EF1536" s="157"/>
    </row>
    <row r="1537" spans="136:136">
      <c r="EF1537" s="157"/>
    </row>
    <row r="1538" spans="136:136">
      <c r="EF1538" s="157"/>
    </row>
    <row r="1539" spans="136:136">
      <c r="EF1539" s="157"/>
    </row>
    <row r="1540" spans="136:136">
      <c r="EF1540" s="157"/>
    </row>
    <row r="1541" spans="136:136">
      <c r="EF1541" s="157"/>
    </row>
    <row r="1542" spans="136:136">
      <c r="EF1542" s="157"/>
    </row>
    <row r="1543" spans="136:136">
      <c r="EF1543" s="157"/>
    </row>
    <row r="1544" spans="136:136">
      <c r="EF1544" s="157"/>
    </row>
    <row r="1545" spans="136:136">
      <c r="EF1545" s="157"/>
    </row>
    <row r="1546" spans="136:136">
      <c r="EF1546" s="157"/>
    </row>
    <row r="1547" spans="136:136">
      <c r="EF1547" s="157"/>
    </row>
    <row r="1548" spans="136:136">
      <c r="EF1548" s="157"/>
    </row>
    <row r="1549" spans="136:136">
      <c r="EF1549" s="157"/>
    </row>
    <row r="1550" spans="136:136">
      <c r="EF1550" s="157"/>
    </row>
    <row r="1551" spans="136:136">
      <c r="EF1551" s="157"/>
    </row>
    <row r="1552" spans="136:136">
      <c r="EF1552" s="157"/>
    </row>
    <row r="1553" spans="136:136">
      <c r="EF1553" s="157"/>
    </row>
    <row r="1554" spans="136:136">
      <c r="EF1554" s="157"/>
    </row>
    <row r="1555" spans="136:136">
      <c r="EF1555" s="157"/>
    </row>
    <row r="1556" spans="136:136">
      <c r="EF1556" s="157"/>
    </row>
    <row r="1557" spans="136:136">
      <c r="EF1557" s="157"/>
    </row>
    <row r="1558" spans="136:136">
      <c r="EF1558" s="157"/>
    </row>
    <row r="1559" spans="136:136">
      <c r="EF1559" s="157"/>
    </row>
    <row r="1560" spans="136:136">
      <c r="EF1560" s="157"/>
    </row>
    <row r="1561" spans="136:136">
      <c r="EF1561" s="157"/>
    </row>
    <row r="1562" spans="136:136">
      <c r="EF1562" s="157"/>
    </row>
    <row r="1563" spans="136:136">
      <c r="EF1563" s="157"/>
    </row>
    <row r="1564" spans="136:136">
      <c r="EF1564" s="157"/>
    </row>
    <row r="1565" spans="136:136">
      <c r="EF1565" s="157"/>
    </row>
    <row r="1566" spans="136:136">
      <c r="EF1566" s="157"/>
    </row>
    <row r="1567" spans="136:136">
      <c r="EF1567" s="157"/>
    </row>
    <row r="1568" spans="136:136">
      <c r="EF1568" s="157"/>
    </row>
    <row r="1569" spans="136:136">
      <c r="EF1569" s="157"/>
    </row>
    <row r="1570" spans="136:136">
      <c r="EF1570" s="157"/>
    </row>
    <row r="1571" spans="136:136">
      <c r="EF1571" s="157"/>
    </row>
    <row r="1572" spans="136:136">
      <c r="EF1572" s="157"/>
    </row>
    <row r="1573" spans="136:136">
      <c r="EF1573" s="157"/>
    </row>
    <row r="1574" spans="136:136">
      <c r="EF1574" s="157"/>
    </row>
    <row r="1575" spans="136:136">
      <c r="EF1575" s="157"/>
    </row>
    <row r="1576" spans="136:136">
      <c r="EF1576" s="157"/>
    </row>
    <row r="1577" spans="136:136">
      <c r="EF1577" s="157"/>
    </row>
    <row r="1578" spans="136:136">
      <c r="EF1578" s="157"/>
    </row>
    <row r="1579" spans="136:136">
      <c r="EF1579" s="157"/>
    </row>
    <row r="1580" spans="136:136">
      <c r="EF1580" s="157"/>
    </row>
    <row r="1581" spans="136:136">
      <c r="EF1581" s="157"/>
    </row>
    <row r="1582" spans="136:136">
      <c r="EF1582" s="157"/>
    </row>
    <row r="1583" spans="136:136">
      <c r="EF1583" s="157"/>
    </row>
    <row r="1584" spans="136:136">
      <c r="EF1584" s="157"/>
    </row>
    <row r="1585" spans="136:136">
      <c r="EF1585" s="157"/>
    </row>
    <row r="1586" spans="136:136">
      <c r="EF1586" s="157"/>
    </row>
    <row r="1587" spans="136:136">
      <c r="EF1587" s="157"/>
    </row>
    <row r="1588" spans="136:136">
      <c r="EF1588" s="157"/>
    </row>
    <row r="1589" spans="136:136">
      <c r="EF1589" s="157"/>
    </row>
    <row r="1590" spans="136:136">
      <c r="EF1590" s="157"/>
    </row>
    <row r="1591" spans="136:136">
      <c r="EF1591" s="157"/>
    </row>
    <row r="1592" spans="136:136">
      <c r="EF1592" s="157"/>
    </row>
    <row r="1593" spans="136:136">
      <c r="EF1593" s="157"/>
    </row>
    <row r="1594" spans="136:136">
      <c r="EF1594" s="157"/>
    </row>
    <row r="1595" spans="136:136">
      <c r="EF1595" s="157"/>
    </row>
    <row r="1596" spans="136:136">
      <c r="EF1596" s="157"/>
    </row>
    <row r="1597" spans="136:136">
      <c r="EF1597" s="157"/>
    </row>
    <row r="1598" spans="136:136">
      <c r="EF1598" s="157"/>
    </row>
    <row r="1599" spans="136:136">
      <c r="EF1599" s="157"/>
    </row>
    <row r="1600" spans="136:136">
      <c r="EF1600" s="157"/>
    </row>
    <row r="1601" spans="136:136">
      <c r="EF1601" s="157"/>
    </row>
    <row r="1602" spans="136:136">
      <c r="EF1602" s="157"/>
    </row>
    <row r="1603" spans="136:136">
      <c r="EF1603" s="157"/>
    </row>
    <row r="1604" spans="136:136">
      <c r="EF1604" s="157"/>
    </row>
    <row r="1605" spans="136:136">
      <c r="EF1605" s="157"/>
    </row>
    <row r="1606" spans="136:136">
      <c r="EF1606" s="157"/>
    </row>
    <row r="1607" spans="136:136">
      <c r="EF1607" s="157"/>
    </row>
    <row r="1608" spans="136:136">
      <c r="EF1608" s="157"/>
    </row>
    <row r="1609" spans="136:136">
      <c r="EF1609" s="157"/>
    </row>
    <row r="1610" spans="136:136">
      <c r="EF1610" s="157"/>
    </row>
    <row r="1611" spans="136:136">
      <c r="EF1611" s="157"/>
    </row>
    <row r="1612" spans="136:136">
      <c r="EF1612" s="157"/>
    </row>
    <row r="1613" spans="136:136">
      <c r="EF1613" s="157"/>
    </row>
    <row r="1614" spans="136:136">
      <c r="EF1614" s="157"/>
    </row>
    <row r="1615" spans="136:136">
      <c r="EF1615" s="157"/>
    </row>
    <row r="1616" spans="136:136">
      <c r="EF1616" s="157"/>
    </row>
    <row r="1617" spans="136:136">
      <c r="EF1617" s="157"/>
    </row>
    <row r="1618" spans="136:136">
      <c r="EF1618" s="157"/>
    </row>
    <row r="1619" spans="136:136">
      <c r="EF1619" s="157"/>
    </row>
    <row r="1620" spans="136:136">
      <c r="EF1620" s="157"/>
    </row>
    <row r="1621" spans="136:136">
      <c r="EF1621" s="157"/>
    </row>
    <row r="1622" spans="136:136">
      <c r="EF1622" s="157"/>
    </row>
    <row r="1623" spans="136:136">
      <c r="EF1623" s="157"/>
    </row>
    <row r="1624" spans="136:136">
      <c r="EF1624" s="157"/>
    </row>
    <row r="1625" spans="136:136">
      <c r="EF1625" s="157"/>
    </row>
    <row r="1626" spans="136:136">
      <c r="EF1626" s="157"/>
    </row>
    <row r="1627" spans="136:136">
      <c r="EF1627" s="157"/>
    </row>
    <row r="1628" spans="136:136">
      <c r="EF1628" s="157"/>
    </row>
    <row r="1629" spans="136:136">
      <c r="EF1629" s="157"/>
    </row>
    <row r="1630" spans="136:136">
      <c r="EF1630" s="157"/>
    </row>
    <row r="1631" spans="136:136">
      <c r="EF1631" s="157"/>
    </row>
    <row r="1632" spans="136:136">
      <c r="EF1632" s="157"/>
    </row>
    <row r="1633" spans="136:136">
      <c r="EF1633" s="157"/>
    </row>
    <row r="1634" spans="136:136">
      <c r="EF1634" s="157"/>
    </row>
    <row r="1635" spans="136:136">
      <c r="EF1635" s="157"/>
    </row>
    <row r="1636" spans="136:136">
      <c r="EF1636" s="157"/>
    </row>
    <row r="1637" spans="136:136">
      <c r="EF1637" s="157"/>
    </row>
    <row r="1638" spans="136:136">
      <c r="EF1638" s="157"/>
    </row>
    <row r="1639" spans="136:136">
      <c r="EF1639" s="157"/>
    </row>
    <row r="1640" spans="136:136">
      <c r="EF1640" s="157"/>
    </row>
    <row r="1641" spans="136:136">
      <c r="EF1641" s="157"/>
    </row>
    <row r="1642" spans="136:136">
      <c r="EF1642" s="157"/>
    </row>
    <row r="1643" spans="136:136">
      <c r="EF1643" s="157"/>
    </row>
    <row r="1644" spans="136:136">
      <c r="EF1644" s="157"/>
    </row>
    <row r="1645" spans="136:136">
      <c r="EF1645" s="157"/>
    </row>
    <row r="1646" spans="136:136">
      <c r="EF1646" s="157"/>
    </row>
    <row r="1647" spans="136:136">
      <c r="EF1647" s="157"/>
    </row>
    <row r="1648" spans="136:136">
      <c r="EF1648" s="157"/>
    </row>
    <row r="1649" spans="136:136">
      <c r="EF1649" s="157"/>
    </row>
    <row r="1650" spans="136:136">
      <c r="EF1650" s="157"/>
    </row>
    <row r="1651" spans="136:136">
      <c r="EF1651" s="157"/>
    </row>
    <row r="1652" spans="136:136">
      <c r="EF1652" s="157"/>
    </row>
    <row r="1653" spans="136:136">
      <c r="EF1653" s="157"/>
    </row>
    <row r="1654" spans="136:136">
      <c r="EF1654" s="157"/>
    </row>
    <row r="1655" spans="136:136">
      <c r="EF1655" s="157"/>
    </row>
    <row r="1656" spans="136:136">
      <c r="EF1656" s="157"/>
    </row>
    <row r="1657" spans="136:136">
      <c r="EF1657" s="157"/>
    </row>
    <row r="1658" spans="136:136">
      <c r="EF1658" s="157"/>
    </row>
    <row r="1659" spans="136:136">
      <c r="EF1659" s="157"/>
    </row>
    <row r="1660" spans="136:136">
      <c r="EF1660" s="157"/>
    </row>
    <row r="1661" spans="136:136">
      <c r="EF1661" s="157"/>
    </row>
    <row r="1662" spans="136:136">
      <c r="EF1662" s="157"/>
    </row>
    <row r="1663" spans="136:136">
      <c r="EF1663" s="157"/>
    </row>
    <row r="1664" spans="136:136">
      <c r="EF1664" s="157"/>
    </row>
    <row r="1665" spans="136:136">
      <c r="EF1665" s="157"/>
    </row>
    <row r="1666" spans="136:136">
      <c r="EF1666" s="157"/>
    </row>
    <row r="1667" spans="136:136">
      <c r="EF1667" s="157"/>
    </row>
    <row r="1668" spans="136:136">
      <c r="EF1668" s="157"/>
    </row>
    <row r="1669" spans="136:136">
      <c r="EF1669" s="157"/>
    </row>
    <row r="1670" spans="136:136">
      <c r="EF1670" s="157"/>
    </row>
    <row r="1671" spans="136:136">
      <c r="EF1671" s="157"/>
    </row>
    <row r="1672" spans="136:136">
      <c r="EF1672" s="157"/>
    </row>
    <row r="1673" spans="136:136">
      <c r="EF1673" s="157"/>
    </row>
    <row r="1674" spans="136:136">
      <c r="EF1674" s="157"/>
    </row>
    <row r="1675" spans="136:136">
      <c r="EF1675" s="157"/>
    </row>
    <row r="1676" spans="136:136">
      <c r="EF1676" s="157"/>
    </row>
    <row r="1677" spans="136:136">
      <c r="EF1677" s="157"/>
    </row>
    <row r="1678" spans="136:136">
      <c r="EF1678" s="157"/>
    </row>
    <row r="1679" spans="136:136">
      <c r="EF1679" s="157"/>
    </row>
    <row r="1680" spans="136:136">
      <c r="EF1680" s="157"/>
    </row>
    <row r="1681" spans="136:136">
      <c r="EF1681" s="157"/>
    </row>
    <row r="1682" spans="136:136">
      <c r="EF1682" s="157"/>
    </row>
    <row r="1683" spans="136:136">
      <c r="EF1683" s="157"/>
    </row>
    <row r="1684" spans="136:136">
      <c r="EF1684" s="157"/>
    </row>
    <row r="1685" spans="136:136">
      <c r="EF1685" s="157"/>
    </row>
    <row r="1686" spans="136:136">
      <c r="EF1686" s="157"/>
    </row>
    <row r="1687" spans="136:136">
      <c r="EF1687" s="157"/>
    </row>
    <row r="1688" spans="136:136">
      <c r="EF1688" s="157"/>
    </row>
    <row r="1689" spans="136:136">
      <c r="EF1689" s="157"/>
    </row>
    <row r="1690" spans="136:136">
      <c r="EF1690" s="157"/>
    </row>
    <row r="1691" spans="136:136">
      <c r="EF1691" s="157"/>
    </row>
    <row r="1692" spans="136:136">
      <c r="EF1692" s="157"/>
    </row>
    <row r="1693" spans="136:136">
      <c r="EF1693" s="157"/>
    </row>
    <row r="1694" spans="136:136">
      <c r="EF1694" s="157"/>
    </row>
    <row r="1695" spans="136:136">
      <c r="EF1695" s="157"/>
    </row>
    <row r="1696" spans="136:136">
      <c r="EF1696" s="157"/>
    </row>
    <row r="1697" spans="136:136">
      <c r="EF1697" s="157"/>
    </row>
    <row r="1698" spans="136:136">
      <c r="EF1698" s="157"/>
    </row>
    <row r="1699" spans="136:136">
      <c r="EF1699" s="157"/>
    </row>
    <row r="1700" spans="136:136">
      <c r="EF1700" s="157"/>
    </row>
    <row r="1701" spans="136:136">
      <c r="EF1701" s="157"/>
    </row>
    <row r="1702" spans="136:136">
      <c r="EF1702" s="157"/>
    </row>
    <row r="1703" spans="136:136">
      <c r="EF1703" s="157"/>
    </row>
    <row r="1704" spans="136:136">
      <c r="EF1704" s="157"/>
    </row>
    <row r="1705" spans="136:136">
      <c r="EF1705" s="157"/>
    </row>
    <row r="1706" spans="136:136">
      <c r="EF1706" s="157"/>
    </row>
    <row r="1707" spans="136:136">
      <c r="EF1707" s="157"/>
    </row>
    <row r="1708" spans="136:136">
      <c r="EF1708" s="157"/>
    </row>
    <row r="1709" spans="136:136">
      <c r="EF1709" s="157"/>
    </row>
    <row r="1710" spans="136:136">
      <c r="EF1710" s="157"/>
    </row>
    <row r="1711" spans="136:136">
      <c r="EF1711" s="157"/>
    </row>
    <row r="1712" spans="136:136">
      <c r="EF1712" s="157"/>
    </row>
    <row r="1713" spans="136:136">
      <c r="EF1713" s="157"/>
    </row>
    <row r="1714" spans="136:136">
      <c r="EF1714" s="157"/>
    </row>
    <row r="1715" spans="136:136">
      <c r="EF1715" s="157"/>
    </row>
    <row r="1716" spans="136:136">
      <c r="EF1716" s="157"/>
    </row>
    <row r="1717" spans="136:136">
      <c r="EF1717" s="157"/>
    </row>
    <row r="1718" spans="136:136">
      <c r="EF1718" s="157"/>
    </row>
    <row r="1719" spans="136:136">
      <c r="EF1719" s="157"/>
    </row>
    <row r="1720" spans="136:136">
      <c r="EF1720" s="157"/>
    </row>
    <row r="1721" spans="136:136">
      <c r="EF1721" s="157"/>
    </row>
    <row r="1722" spans="136:136">
      <c r="EF1722" s="157"/>
    </row>
    <row r="1723" spans="136:136">
      <c r="EF1723" s="157"/>
    </row>
    <row r="1724" spans="136:136">
      <c r="EF1724" s="157"/>
    </row>
    <row r="1725" spans="136:136">
      <c r="EF1725" s="157"/>
    </row>
    <row r="1726" spans="136:136">
      <c r="EF1726" s="157"/>
    </row>
    <row r="1727" spans="136:136">
      <c r="EF1727" s="157"/>
    </row>
    <row r="1728" spans="136:136">
      <c r="EF1728" s="157"/>
    </row>
    <row r="1729" spans="136:136">
      <c r="EF1729" s="157"/>
    </row>
    <row r="1730" spans="136:136">
      <c r="EF1730" s="157"/>
    </row>
    <row r="1731" spans="136:136">
      <c r="EF1731" s="157"/>
    </row>
    <row r="1732" spans="136:136">
      <c r="EF1732" s="157"/>
    </row>
    <row r="1733" spans="136:136">
      <c r="EF1733" s="157"/>
    </row>
    <row r="1734" spans="136:136">
      <c r="EF1734" s="157"/>
    </row>
    <row r="1735" spans="136:136">
      <c r="EF1735" s="157"/>
    </row>
    <row r="1736" spans="136:136">
      <c r="EF1736" s="157"/>
    </row>
    <row r="1737" spans="136:136">
      <c r="EF1737" s="157"/>
    </row>
    <row r="1738" spans="136:136">
      <c r="EF1738" s="157"/>
    </row>
    <row r="1739" spans="136:136">
      <c r="EF1739" s="157"/>
    </row>
    <row r="1740" spans="136:136">
      <c r="EF1740" s="157"/>
    </row>
    <row r="1741" spans="136:136">
      <c r="EF1741" s="157"/>
    </row>
    <row r="1742" spans="136:136">
      <c r="EF1742" s="157"/>
    </row>
    <row r="1743" spans="136:136">
      <c r="EF1743" s="157"/>
    </row>
    <row r="1744" spans="136:136">
      <c r="EF1744" s="157"/>
    </row>
    <row r="1745" spans="136:136">
      <c r="EF1745" s="157"/>
    </row>
    <row r="1746" spans="136:136">
      <c r="EF1746" s="157"/>
    </row>
    <row r="1747" spans="136:136">
      <c r="EF1747" s="157"/>
    </row>
    <row r="1748" spans="136:136">
      <c r="EF1748" s="157"/>
    </row>
    <row r="1749" spans="136:136">
      <c r="EF1749" s="157"/>
    </row>
    <row r="1750" spans="136:136">
      <c r="EF1750" s="157"/>
    </row>
    <row r="1751" spans="136:136">
      <c r="EF1751" s="157"/>
    </row>
    <row r="1752" spans="136:136">
      <c r="EF1752" s="157"/>
    </row>
    <row r="1753" spans="136:136">
      <c r="EF1753" s="157"/>
    </row>
    <row r="1754" spans="136:136">
      <c r="EF1754" s="157"/>
    </row>
    <row r="1755" spans="136:136">
      <c r="EF1755" s="157"/>
    </row>
    <row r="1756" spans="136:136">
      <c r="EF1756" s="157"/>
    </row>
    <row r="1757" spans="136:136">
      <c r="EF1757" s="157"/>
    </row>
    <row r="1758" spans="136:136">
      <c r="EF1758" s="157"/>
    </row>
    <row r="1759" spans="136:136">
      <c r="EF1759" s="157"/>
    </row>
    <row r="1760" spans="136:136">
      <c r="EF1760" s="157"/>
    </row>
    <row r="1761" spans="136:136">
      <c r="EF1761" s="157"/>
    </row>
    <row r="1762" spans="136:136">
      <c r="EF1762" s="157"/>
    </row>
    <row r="1763" spans="136:136">
      <c r="EF1763" s="157"/>
    </row>
    <row r="1764" spans="136:136">
      <c r="EF1764" s="157"/>
    </row>
    <row r="1765" spans="136:136">
      <c r="EF1765" s="157"/>
    </row>
    <row r="1766" spans="136:136">
      <c r="EF1766" s="157"/>
    </row>
    <row r="1767" spans="136:136">
      <c r="EF1767" s="157"/>
    </row>
    <row r="1768" spans="136:136">
      <c r="EF1768" s="157"/>
    </row>
    <row r="1769" spans="136:136">
      <c r="EF1769" s="157"/>
    </row>
    <row r="1770" spans="136:136">
      <c r="EF1770" s="157"/>
    </row>
    <row r="1771" spans="136:136">
      <c r="EF1771" s="157"/>
    </row>
    <row r="1772" spans="136:136">
      <c r="EF1772" s="157"/>
    </row>
    <row r="1773" spans="136:136">
      <c r="EF1773" s="157"/>
    </row>
    <row r="1774" spans="136:136">
      <c r="EF1774" s="157"/>
    </row>
    <row r="1775" spans="136:136">
      <c r="EF1775" s="157"/>
    </row>
    <row r="1776" spans="136:136">
      <c r="EF1776" s="157"/>
    </row>
    <row r="1777" spans="136:136">
      <c r="EF1777" s="157"/>
    </row>
    <row r="1778" spans="136:136">
      <c r="EF1778" s="157"/>
    </row>
    <row r="1779" spans="136:136">
      <c r="EF1779" s="157"/>
    </row>
    <row r="1780" spans="136:136">
      <c r="EF1780" s="157"/>
    </row>
    <row r="1781" spans="136:136">
      <c r="EF1781" s="157"/>
    </row>
    <row r="1782" spans="136:136">
      <c r="EF1782" s="157"/>
    </row>
    <row r="1783" spans="136:136">
      <c r="EF1783" s="157"/>
    </row>
    <row r="1784" spans="136:136">
      <c r="EF1784" s="157"/>
    </row>
    <row r="1785" spans="136:136">
      <c r="EF1785" s="157"/>
    </row>
    <row r="1786" spans="136:136">
      <c r="EF1786" s="157"/>
    </row>
    <row r="1787" spans="136:136">
      <c r="EF1787" s="157"/>
    </row>
    <row r="1788" spans="136:136">
      <c r="EF1788" s="157"/>
    </row>
    <row r="1789" spans="136:136">
      <c r="EF1789" s="157"/>
    </row>
    <row r="1790" spans="136:136">
      <c r="EF1790" s="157"/>
    </row>
    <row r="1791" spans="136:136">
      <c r="EF1791" s="157"/>
    </row>
    <row r="1792" spans="136:136">
      <c r="EF1792" s="157"/>
    </row>
    <row r="1793" spans="136:136">
      <c r="EF1793" s="157"/>
    </row>
    <row r="1794" spans="136:136">
      <c r="EF1794" s="157"/>
    </row>
    <row r="1795" spans="136:136">
      <c r="EF1795" s="157"/>
    </row>
    <row r="1796" spans="136:136">
      <c r="EF1796" s="157"/>
    </row>
    <row r="1797" spans="136:136">
      <c r="EF1797" s="157"/>
    </row>
    <row r="1798" spans="136:136">
      <c r="EF1798" s="157"/>
    </row>
    <row r="1799" spans="136:136">
      <c r="EF1799" s="157"/>
    </row>
    <row r="1800" spans="136:136">
      <c r="EF1800" s="157"/>
    </row>
    <row r="1801" spans="136:136">
      <c r="EF1801" s="157"/>
    </row>
    <row r="1802" spans="136:136">
      <c r="EF1802" s="157"/>
    </row>
    <row r="1803" spans="136:136">
      <c r="EF1803" s="157"/>
    </row>
    <row r="1804" spans="136:136">
      <c r="EF1804" s="157"/>
    </row>
    <row r="1805" spans="136:136">
      <c r="EF1805" s="157"/>
    </row>
    <row r="1806" spans="136:136">
      <c r="EF1806" s="157"/>
    </row>
    <row r="1807" spans="136:136">
      <c r="EF1807" s="157"/>
    </row>
    <row r="1808" spans="136:136">
      <c r="EF1808" s="157"/>
    </row>
    <row r="1809" spans="136:136">
      <c r="EF1809" s="157"/>
    </row>
    <row r="1810" spans="136:136">
      <c r="EF1810" s="157"/>
    </row>
    <row r="1811" spans="136:136">
      <c r="EF1811" s="157"/>
    </row>
    <row r="1812" spans="136:136">
      <c r="EF1812" s="157"/>
    </row>
    <row r="1813" spans="136:136">
      <c r="EF1813" s="157"/>
    </row>
    <row r="1814" spans="136:136">
      <c r="EF1814" s="157"/>
    </row>
    <row r="1815" spans="136:136">
      <c r="EF1815" s="157"/>
    </row>
    <row r="1816" spans="136:136">
      <c r="EF1816" s="157"/>
    </row>
    <row r="1817" spans="136:136">
      <c r="EF1817" s="157"/>
    </row>
    <row r="1818" spans="136:136">
      <c r="EF1818" s="157"/>
    </row>
    <row r="1819" spans="136:136">
      <c r="EF1819" s="157"/>
    </row>
    <row r="1820" spans="136:136">
      <c r="EF1820" s="157"/>
    </row>
    <row r="1821" spans="136:136">
      <c r="EF1821" s="157"/>
    </row>
    <row r="1822" spans="136:136">
      <c r="EF1822" s="157"/>
    </row>
    <row r="1823" spans="136:136">
      <c r="EF1823" s="157"/>
    </row>
    <row r="1824" spans="136:136">
      <c r="EF1824" s="157"/>
    </row>
    <row r="1825" spans="136:136">
      <c r="EF1825" s="157"/>
    </row>
    <row r="1826" spans="136:136">
      <c r="EF1826" s="157"/>
    </row>
    <row r="1827" spans="136:136">
      <c r="EF1827" s="157"/>
    </row>
    <row r="1828" spans="136:136">
      <c r="EF1828" s="157"/>
    </row>
    <row r="1829" spans="136:136">
      <c r="EF1829" s="157"/>
    </row>
    <row r="1830" spans="136:136">
      <c r="EF1830" s="157"/>
    </row>
    <row r="1831" spans="136:136">
      <c r="EF1831" s="157"/>
    </row>
    <row r="1832" spans="136:136">
      <c r="EF1832" s="157"/>
    </row>
    <row r="1833" spans="136:136">
      <c r="EF1833" s="157"/>
    </row>
    <row r="1834" spans="136:136">
      <c r="EF1834" s="157"/>
    </row>
    <row r="1835" spans="136:136">
      <c r="EF1835" s="157"/>
    </row>
    <row r="1836" spans="136:136">
      <c r="EF1836" s="157"/>
    </row>
    <row r="1837" spans="136:136">
      <c r="EF1837" s="157"/>
    </row>
    <row r="1838" spans="136:136">
      <c r="EF1838" s="157"/>
    </row>
    <row r="1839" spans="136:136">
      <c r="EF1839" s="157"/>
    </row>
    <row r="1840" spans="136:136">
      <c r="EF1840" s="157"/>
    </row>
    <row r="1841" spans="136:136">
      <c r="EF1841" s="157"/>
    </row>
    <row r="1842" spans="136:136">
      <c r="EF1842" s="157"/>
    </row>
    <row r="1843" spans="136:136">
      <c r="EF1843" s="157"/>
    </row>
    <row r="1844" spans="136:136">
      <c r="EF1844" s="157"/>
    </row>
    <row r="1845" spans="136:136">
      <c r="EF1845" s="157"/>
    </row>
    <row r="1846" spans="136:136">
      <c r="EF1846" s="157"/>
    </row>
    <row r="1847" spans="136:136">
      <c r="EF1847" s="157"/>
    </row>
    <row r="1848" spans="136:136">
      <c r="EF1848" s="157"/>
    </row>
    <row r="1849" spans="136:136">
      <c r="EF1849" s="157"/>
    </row>
    <row r="1850" spans="136:136">
      <c r="EF1850" s="157"/>
    </row>
    <row r="1851" spans="136:136">
      <c r="EF1851" s="157"/>
    </row>
    <row r="1852" spans="136:136">
      <c r="EF1852" s="157"/>
    </row>
    <row r="1853" spans="136:136">
      <c r="EF1853" s="157"/>
    </row>
    <row r="1854" spans="136:136">
      <c r="EF1854" s="157"/>
    </row>
    <row r="1855" spans="136:136">
      <c r="EF1855" s="157"/>
    </row>
    <row r="1856" spans="136:136">
      <c r="EF1856" s="157"/>
    </row>
    <row r="1857" spans="136:136">
      <c r="EF1857" s="157"/>
    </row>
    <row r="1858" spans="136:136">
      <c r="EF1858" s="157"/>
    </row>
    <row r="1859" spans="136:136">
      <c r="EF1859" s="157"/>
    </row>
    <row r="1860" spans="136:136">
      <c r="EF1860" s="157"/>
    </row>
    <row r="1861" spans="136:136">
      <c r="EF1861" s="157"/>
    </row>
    <row r="1862" spans="136:136">
      <c r="EF1862" s="157"/>
    </row>
    <row r="1863" spans="136:136">
      <c r="EF1863" s="157"/>
    </row>
    <row r="1864" spans="136:136">
      <c r="EF1864" s="157"/>
    </row>
    <row r="1865" spans="136:136">
      <c r="EF1865" s="157"/>
    </row>
    <row r="1866" spans="136:136">
      <c r="EF1866" s="157"/>
    </row>
    <row r="1867" spans="136:136">
      <c r="EF1867" s="157"/>
    </row>
    <row r="1868" spans="136:136">
      <c r="EF1868" s="157"/>
    </row>
    <row r="1869" spans="136:136">
      <c r="EF1869" s="157"/>
    </row>
    <row r="1870" spans="136:136">
      <c r="EF1870" s="157"/>
    </row>
    <row r="1871" spans="136:136">
      <c r="EF1871" s="157"/>
    </row>
    <row r="1872" spans="136:136">
      <c r="EF1872" s="157"/>
    </row>
    <row r="1873" spans="136:136">
      <c r="EF1873" s="157"/>
    </row>
    <row r="1874" spans="136:136">
      <c r="EF1874" s="157"/>
    </row>
    <row r="1875" spans="136:136">
      <c r="EF1875" s="157"/>
    </row>
    <row r="1876" spans="136:136">
      <c r="EF1876" s="157"/>
    </row>
    <row r="1877" spans="136:136">
      <c r="EF1877" s="157"/>
    </row>
    <row r="1878" spans="136:136">
      <c r="EF1878" s="157"/>
    </row>
    <row r="1879" spans="136:136">
      <c r="EF1879" s="157"/>
    </row>
    <row r="1880" spans="136:136">
      <c r="EF1880" s="157"/>
    </row>
    <row r="1881" spans="136:136">
      <c r="EF1881" s="157"/>
    </row>
    <row r="1882" spans="136:136">
      <c r="EF1882" s="157"/>
    </row>
    <row r="1883" spans="136:136">
      <c r="EF1883" s="157"/>
    </row>
    <row r="1884" spans="136:136">
      <c r="EF1884" s="157"/>
    </row>
    <row r="1885" spans="136:136">
      <c r="EF1885" s="157"/>
    </row>
    <row r="1886" spans="136:136">
      <c r="EF1886" s="157"/>
    </row>
    <row r="1887" spans="136:136">
      <c r="EF1887" s="157"/>
    </row>
    <row r="1888" spans="136:136">
      <c r="EF1888" s="157"/>
    </row>
    <row r="1889" spans="136:136">
      <c r="EF1889" s="157"/>
    </row>
    <row r="1890" spans="136:136">
      <c r="EF1890" s="157"/>
    </row>
    <row r="1891" spans="136:136">
      <c r="EF1891" s="157"/>
    </row>
    <row r="1892" spans="136:136">
      <c r="EF1892" s="157"/>
    </row>
    <row r="1893" spans="136:136">
      <c r="EF1893" s="157"/>
    </row>
    <row r="1894" spans="136:136">
      <c r="EF1894" s="157"/>
    </row>
    <row r="1895" spans="136:136">
      <c r="EF1895" s="157"/>
    </row>
    <row r="1896" spans="136:136">
      <c r="EF1896" s="157"/>
    </row>
    <row r="1897" spans="136:136">
      <c r="EF1897" s="157"/>
    </row>
    <row r="1898" spans="136:136">
      <c r="EF1898" s="157"/>
    </row>
    <row r="1899" spans="136:136">
      <c r="EF1899" s="157"/>
    </row>
    <row r="1900" spans="136:136">
      <c r="EF1900" s="157"/>
    </row>
    <row r="1901" spans="136:136">
      <c r="EF1901" s="157"/>
    </row>
    <row r="1902" spans="136:136">
      <c r="EF1902" s="157"/>
    </row>
    <row r="1903" spans="136:136">
      <c r="EF1903" s="157"/>
    </row>
    <row r="1904" spans="136:136">
      <c r="EF1904" s="157"/>
    </row>
    <row r="1905" spans="136:136">
      <c r="EF1905" s="157"/>
    </row>
    <row r="1906" spans="136:136">
      <c r="EF1906" s="157"/>
    </row>
    <row r="1907" spans="136:136">
      <c r="EF1907" s="157"/>
    </row>
    <row r="1908" spans="136:136">
      <c r="EF1908" s="157"/>
    </row>
    <row r="1909" spans="136:136">
      <c r="EF1909" s="157"/>
    </row>
    <row r="1910" spans="136:136">
      <c r="EF1910" s="157"/>
    </row>
    <row r="1911" spans="136:136">
      <c r="EF1911" s="157"/>
    </row>
    <row r="1912" spans="136:136">
      <c r="EF1912" s="157"/>
    </row>
    <row r="1913" spans="136:136">
      <c r="EF1913" s="157"/>
    </row>
    <row r="1914" spans="136:136">
      <c r="EF1914" s="157"/>
    </row>
    <row r="1915" spans="136:136">
      <c r="EF1915" s="157"/>
    </row>
    <row r="1916" spans="136:136">
      <c r="EF1916" s="157"/>
    </row>
    <row r="1917" spans="136:136">
      <c r="EF1917" s="157"/>
    </row>
    <row r="1918" spans="136:136">
      <c r="EF1918" s="157"/>
    </row>
    <row r="1919" spans="136:136">
      <c r="EF1919" s="157"/>
    </row>
    <row r="1920" spans="136:136">
      <c r="EF1920" s="157"/>
    </row>
    <row r="1921" spans="136:136">
      <c r="EF1921" s="157"/>
    </row>
    <row r="1922" spans="136:136">
      <c r="EF1922" s="157"/>
    </row>
    <row r="1923" spans="136:136">
      <c r="EF1923" s="157"/>
    </row>
    <row r="1924" spans="136:136">
      <c r="EF1924" s="157"/>
    </row>
    <row r="1925" spans="136:136">
      <c r="EF1925" s="157"/>
    </row>
    <row r="1926" spans="136:136">
      <c r="EF1926" s="157"/>
    </row>
    <row r="1927" spans="136:136">
      <c r="EF1927" s="157"/>
    </row>
    <row r="1928" spans="136:136">
      <c r="EF1928" s="157"/>
    </row>
    <row r="1929" spans="136:136">
      <c r="EF1929" s="157"/>
    </row>
    <row r="1930" spans="136:136">
      <c r="EF1930" s="157"/>
    </row>
    <row r="1931" spans="136:136">
      <c r="EF1931" s="157"/>
    </row>
    <row r="1932" spans="136:136">
      <c r="EF1932" s="157"/>
    </row>
    <row r="1933" spans="136:136">
      <c r="EF1933" s="157"/>
    </row>
    <row r="1934" spans="136:136">
      <c r="EF1934" s="157"/>
    </row>
    <row r="1935" spans="136:136">
      <c r="EF1935" s="157"/>
    </row>
    <row r="1936" spans="136:136">
      <c r="EF1936" s="157"/>
    </row>
    <row r="1937" spans="136:136">
      <c r="EF1937" s="157"/>
    </row>
    <row r="1938" spans="136:136">
      <c r="EF1938" s="157"/>
    </row>
    <row r="1939" spans="136:136">
      <c r="EF1939" s="157"/>
    </row>
    <row r="1940" spans="136:136">
      <c r="EF1940" s="157"/>
    </row>
    <row r="1941" spans="136:136">
      <c r="EF1941" s="157"/>
    </row>
    <row r="1942" spans="136:136">
      <c r="EF1942" s="157"/>
    </row>
    <row r="1943" spans="136:136">
      <c r="EF1943" s="157"/>
    </row>
    <row r="1944" spans="136:136">
      <c r="EF1944" s="157"/>
    </row>
    <row r="1945" spans="136:136">
      <c r="EF1945" s="157"/>
    </row>
    <row r="1946" spans="136:136">
      <c r="EF1946" s="157"/>
    </row>
    <row r="1947" spans="136:136">
      <c r="EF1947" s="157"/>
    </row>
    <row r="1948" spans="136:136">
      <c r="EF1948" s="157"/>
    </row>
    <row r="1949" spans="136:136">
      <c r="EF1949" s="157"/>
    </row>
    <row r="1950" spans="136:136">
      <c r="EF1950" s="157"/>
    </row>
    <row r="1951" spans="136:136">
      <c r="EF1951" s="157"/>
    </row>
    <row r="1952" spans="136:136">
      <c r="EF1952" s="157"/>
    </row>
    <row r="1953" spans="136:136">
      <c r="EF1953" s="157"/>
    </row>
    <row r="1954" spans="136:136">
      <c r="EF1954" s="157"/>
    </row>
    <row r="1955" spans="136:136">
      <c r="EF1955" s="157"/>
    </row>
    <row r="1956" spans="136:136">
      <c r="EF1956" s="157"/>
    </row>
    <row r="1957" spans="136:136">
      <c r="EF1957" s="157"/>
    </row>
    <row r="1958" spans="136:136">
      <c r="EF1958" s="157"/>
    </row>
    <row r="1959" spans="136:136">
      <c r="EF1959" s="157"/>
    </row>
    <row r="1960" spans="136:136">
      <c r="EF1960" s="157"/>
    </row>
    <row r="1961" spans="136:136">
      <c r="EF1961" s="157"/>
    </row>
    <row r="1962" spans="136:136">
      <c r="EF1962" s="157"/>
    </row>
    <row r="1963" spans="136:136">
      <c r="EF1963" s="157"/>
    </row>
    <row r="1964" spans="136:136">
      <c r="EF1964" s="157"/>
    </row>
    <row r="1965" spans="136:136">
      <c r="EF1965" s="157"/>
    </row>
    <row r="1966" spans="136:136">
      <c r="EF1966" s="157"/>
    </row>
    <row r="1967" spans="136:136">
      <c r="EF1967" s="157"/>
    </row>
    <row r="1968" spans="136:136">
      <c r="EF1968" s="157"/>
    </row>
    <row r="1969" spans="136:136">
      <c r="EF1969" s="157"/>
    </row>
    <row r="1970" spans="136:136">
      <c r="EF1970" s="157"/>
    </row>
    <row r="1971" spans="136:136">
      <c r="EF1971" s="157"/>
    </row>
    <row r="1972" spans="136:136">
      <c r="EF1972" s="157"/>
    </row>
    <row r="1973" spans="136:136">
      <c r="EF1973" s="157"/>
    </row>
    <row r="1974" spans="136:136">
      <c r="EF1974" s="157"/>
    </row>
    <row r="1975" spans="136:136">
      <c r="EF1975" s="157"/>
    </row>
    <row r="1976" spans="136:136">
      <c r="EF1976" s="157"/>
    </row>
    <row r="1977" spans="136:136">
      <c r="EF1977" s="157"/>
    </row>
    <row r="1978" spans="136:136">
      <c r="EF1978" s="157"/>
    </row>
    <row r="1979" spans="136:136">
      <c r="EF1979" s="157"/>
    </row>
    <row r="1980" spans="136:136">
      <c r="EF1980" s="157"/>
    </row>
    <row r="1981" spans="136:136">
      <c r="EF1981" s="157"/>
    </row>
    <row r="1982" spans="136:136">
      <c r="EF1982" s="157"/>
    </row>
    <row r="1983" spans="136:136">
      <c r="EF1983" s="157"/>
    </row>
    <row r="1984" spans="136:136">
      <c r="EF1984" s="157"/>
    </row>
    <row r="1985" spans="136:136">
      <c r="EF1985" s="157"/>
    </row>
    <row r="1986" spans="136:136">
      <c r="EF1986" s="157"/>
    </row>
    <row r="1987" spans="136:136">
      <c r="EF1987" s="157"/>
    </row>
    <row r="1988" spans="136:136">
      <c r="EF1988" s="157"/>
    </row>
    <row r="1989" spans="136:136">
      <c r="EF1989" s="157"/>
    </row>
    <row r="1990" spans="136:136">
      <c r="EF1990" s="157"/>
    </row>
    <row r="1991" spans="136:136">
      <c r="EF1991" s="157"/>
    </row>
    <row r="1992" spans="136:136">
      <c r="EF1992" s="157"/>
    </row>
    <row r="1993" spans="136:136">
      <c r="EF1993" s="157"/>
    </row>
    <row r="1994" spans="136:136">
      <c r="EF1994" s="157"/>
    </row>
    <row r="1995" spans="136:136">
      <c r="EF1995" s="157"/>
    </row>
    <row r="1996" spans="136:136">
      <c r="EF1996" s="157"/>
    </row>
    <row r="1997" spans="136:136">
      <c r="EF1997" s="157"/>
    </row>
    <row r="1998" spans="136:136">
      <c r="EF1998" s="157"/>
    </row>
    <row r="1999" spans="136:136">
      <c r="EF1999" s="157"/>
    </row>
    <row r="2000" spans="136:136">
      <c r="EF2000" s="157"/>
    </row>
    <row r="2001" spans="136:136">
      <c r="EF2001" s="157"/>
    </row>
    <row r="2002" spans="136:136">
      <c r="EF2002" s="157"/>
    </row>
    <row r="2003" spans="136:136">
      <c r="EF2003" s="157"/>
    </row>
    <row r="2004" spans="136:136">
      <c r="EF2004" s="157"/>
    </row>
    <row r="2005" spans="136:136">
      <c r="EF2005" s="157"/>
    </row>
    <row r="2006" spans="136:136">
      <c r="EF2006" s="157"/>
    </row>
    <row r="2007" spans="136:136">
      <c r="EF2007" s="157"/>
    </row>
    <row r="2008" spans="136:136">
      <c r="EF2008" s="157"/>
    </row>
    <row r="2009" spans="136:136">
      <c r="EF2009" s="157"/>
    </row>
    <row r="2010" spans="136:136">
      <c r="EF2010" s="157"/>
    </row>
    <row r="2011" spans="136:136">
      <c r="EF2011" s="157"/>
    </row>
    <row r="2012" spans="136:136">
      <c r="EF2012" s="157"/>
    </row>
    <row r="2013" spans="136:136">
      <c r="EF2013" s="157"/>
    </row>
    <row r="2014" spans="136:136">
      <c r="EF2014" s="157"/>
    </row>
    <row r="2015" spans="136:136">
      <c r="EF2015" s="157"/>
    </row>
    <row r="2016" spans="136:136">
      <c r="EF2016" s="157"/>
    </row>
    <row r="2017" spans="136:136">
      <c r="EF2017" s="157"/>
    </row>
    <row r="2018" spans="136:136">
      <c r="EF2018" s="157"/>
    </row>
    <row r="2019" spans="136:136">
      <c r="EF2019" s="157"/>
    </row>
    <row r="2020" spans="136:136">
      <c r="EF2020" s="157"/>
    </row>
    <row r="2021" spans="136:136">
      <c r="EF2021" s="157"/>
    </row>
    <row r="2022" spans="136:136">
      <c r="EF2022" s="157"/>
    </row>
    <row r="2023" spans="136:136">
      <c r="EF2023" s="157"/>
    </row>
    <row r="2024" spans="136:136">
      <c r="EF2024" s="157"/>
    </row>
    <row r="2025" spans="136:136">
      <c r="EF2025" s="157"/>
    </row>
    <row r="2026" spans="136:136">
      <c r="EF2026" s="157"/>
    </row>
    <row r="2027" spans="136:136">
      <c r="EF2027" s="157"/>
    </row>
    <row r="2028" spans="136:136">
      <c r="EF2028" s="157"/>
    </row>
    <row r="2029" spans="136:136">
      <c r="EF2029" s="157"/>
    </row>
    <row r="2030" spans="136:136">
      <c r="EF2030" s="157"/>
    </row>
    <row r="2031" spans="136:136">
      <c r="EF2031" s="157"/>
    </row>
    <row r="2032" spans="136:136">
      <c r="EF2032" s="157"/>
    </row>
    <row r="2033" spans="136:136">
      <c r="EF2033" s="157"/>
    </row>
    <row r="2034" spans="136:136">
      <c r="EF2034" s="157"/>
    </row>
    <row r="2035" spans="136:136">
      <c r="EF2035" s="157"/>
    </row>
    <row r="2036" spans="136:136">
      <c r="EF2036" s="157"/>
    </row>
    <row r="2037" spans="136:136">
      <c r="EF2037" s="157"/>
    </row>
    <row r="2038" spans="136:136">
      <c r="EF2038" s="157"/>
    </row>
    <row r="2039" spans="136:136">
      <c r="EF2039" s="157"/>
    </row>
    <row r="2040" spans="136:136">
      <c r="EF2040" s="157"/>
    </row>
    <row r="2041" spans="136:136">
      <c r="EF2041" s="157"/>
    </row>
    <row r="2042" spans="136:136">
      <c r="EF2042" s="157"/>
    </row>
    <row r="2043" spans="136:136">
      <c r="EF2043" s="157"/>
    </row>
    <row r="2044" spans="136:136">
      <c r="EF2044" s="157"/>
    </row>
    <row r="2045" spans="136:136">
      <c r="EF2045" s="157"/>
    </row>
    <row r="2046" spans="136:136">
      <c r="EF2046" s="157"/>
    </row>
    <row r="2047" spans="136:136">
      <c r="EF2047" s="157"/>
    </row>
    <row r="2048" spans="136:136">
      <c r="EF2048" s="157"/>
    </row>
    <row r="2049" spans="136:136">
      <c r="EF2049" s="157"/>
    </row>
    <row r="2050" spans="136:136">
      <c r="EF2050" s="157"/>
    </row>
    <row r="2051" spans="136:136">
      <c r="EF2051" s="157"/>
    </row>
    <row r="2052" spans="136:136">
      <c r="EF2052" s="157"/>
    </row>
    <row r="2053" spans="136:136">
      <c r="EF2053" s="157"/>
    </row>
    <row r="2054" spans="136:136">
      <c r="EF2054" s="157"/>
    </row>
    <row r="2055" spans="136:136">
      <c r="EF2055" s="157"/>
    </row>
    <row r="2056" spans="136:136">
      <c r="EF2056" s="157"/>
    </row>
    <row r="2057" spans="136:136">
      <c r="EF2057" s="157"/>
    </row>
    <row r="2058" spans="136:136">
      <c r="EF2058" s="157"/>
    </row>
    <row r="2059" spans="136:136">
      <c r="EF2059" s="157"/>
    </row>
    <row r="2060" spans="136:136">
      <c r="EF2060" s="157"/>
    </row>
    <row r="2061" spans="136:136">
      <c r="EF2061" s="157"/>
    </row>
    <row r="2062" spans="136:136">
      <c r="EF2062" s="157"/>
    </row>
    <row r="2063" spans="136:136">
      <c r="EF2063" s="157"/>
    </row>
    <row r="2064" spans="136:136">
      <c r="EF2064" s="157"/>
    </row>
    <row r="2065" spans="136:136">
      <c r="EF2065" s="157"/>
    </row>
    <row r="2066" spans="136:136">
      <c r="EF2066" s="157"/>
    </row>
    <row r="2067" spans="136:136">
      <c r="EF2067" s="157"/>
    </row>
    <row r="2068" spans="136:136">
      <c r="EF2068" s="157"/>
    </row>
    <row r="2069" spans="136:136">
      <c r="EF2069" s="157"/>
    </row>
    <row r="2070" spans="136:136">
      <c r="EF2070" s="157"/>
    </row>
    <row r="2071" spans="136:136">
      <c r="EF2071" s="157"/>
    </row>
    <row r="2072" spans="136:136">
      <c r="EF2072" s="157"/>
    </row>
    <row r="2073" spans="136:136">
      <c r="EF2073" s="157"/>
    </row>
    <row r="2074" spans="136:136">
      <c r="EF2074" s="157"/>
    </row>
    <row r="2075" spans="136:136">
      <c r="EF2075" s="157"/>
    </row>
    <row r="2076" spans="136:136">
      <c r="EF2076" s="157"/>
    </row>
    <row r="2077" spans="136:136">
      <c r="EF2077" s="157"/>
    </row>
    <row r="2078" spans="136:136">
      <c r="EF2078" s="157"/>
    </row>
    <row r="2079" spans="136:136">
      <c r="EF2079" s="157"/>
    </row>
    <row r="2080" spans="136:136">
      <c r="EF2080" s="157"/>
    </row>
    <row r="2081" spans="136:136">
      <c r="EF2081" s="157"/>
    </row>
    <row r="2082" spans="136:136">
      <c r="EF2082" s="157"/>
    </row>
    <row r="2083" spans="136:136">
      <c r="EF2083" s="157"/>
    </row>
    <row r="2084" spans="136:136">
      <c r="EF2084" s="157"/>
    </row>
    <row r="2085" spans="136:136">
      <c r="EF2085" s="157"/>
    </row>
    <row r="2086" spans="136:136">
      <c r="EF2086" s="157"/>
    </row>
    <row r="2087" spans="136:136">
      <c r="EF2087" s="157"/>
    </row>
    <row r="2088" spans="136:136">
      <c r="EF2088" s="157"/>
    </row>
    <row r="2089" spans="136:136">
      <c r="EF2089" s="157"/>
    </row>
    <row r="2090" spans="136:136">
      <c r="EF2090" s="157"/>
    </row>
    <row r="2091" spans="136:136">
      <c r="EF2091" s="157"/>
    </row>
    <row r="2092" spans="136:136">
      <c r="EF2092" s="157"/>
    </row>
    <row r="2093" spans="136:136">
      <c r="EF2093" s="157"/>
    </row>
    <row r="2094" spans="136:136">
      <c r="EF2094" s="157"/>
    </row>
    <row r="2095" spans="136:136">
      <c r="EF2095" s="157"/>
    </row>
    <row r="2096" spans="136:136">
      <c r="EF2096" s="157"/>
    </row>
    <row r="2097" spans="136:136">
      <c r="EF2097" s="157"/>
    </row>
    <row r="2098" spans="136:136">
      <c r="EF2098" s="157"/>
    </row>
    <row r="2099" spans="136:136">
      <c r="EF2099" s="157"/>
    </row>
    <row r="2100" spans="136:136">
      <c r="EF2100" s="157"/>
    </row>
    <row r="2101" spans="136:136">
      <c r="EF2101" s="157"/>
    </row>
    <row r="2102" spans="136:136">
      <c r="EF2102" s="157"/>
    </row>
    <row r="2103" spans="136:136">
      <c r="EF2103" s="157"/>
    </row>
    <row r="2104" spans="136:136">
      <c r="EF2104" s="157"/>
    </row>
    <row r="2105" spans="136:136">
      <c r="EF2105" s="157"/>
    </row>
    <row r="2106" spans="136:136">
      <c r="EF2106" s="157"/>
    </row>
    <row r="2107" spans="136:136">
      <c r="EF2107" s="157"/>
    </row>
    <row r="2108" spans="136:136">
      <c r="EF2108" s="157"/>
    </row>
    <row r="2109" spans="136:136">
      <c r="EF2109" s="157"/>
    </row>
    <row r="2110" spans="136:136">
      <c r="EF2110" s="157"/>
    </row>
    <row r="2111" spans="136:136">
      <c r="EF2111" s="157"/>
    </row>
    <row r="2112" spans="136:136">
      <c r="EF2112" s="157"/>
    </row>
    <row r="2113" spans="136:136">
      <c r="EF2113" s="157"/>
    </row>
    <row r="2114" spans="136:136">
      <c r="EF2114" s="157"/>
    </row>
    <row r="2115" spans="136:136">
      <c r="EF2115" s="157"/>
    </row>
    <row r="2116" spans="136:136">
      <c r="EF2116" s="157"/>
    </row>
    <row r="2117" spans="136:136">
      <c r="EF2117" s="157"/>
    </row>
    <row r="2118" spans="136:136">
      <c r="EF2118" s="157"/>
    </row>
    <row r="2119" spans="136:136">
      <c r="EF2119" s="157"/>
    </row>
    <row r="2120" spans="136:136">
      <c r="EF2120" s="157"/>
    </row>
    <row r="2121" spans="136:136">
      <c r="EF2121" s="157"/>
    </row>
    <row r="2122" spans="136:136">
      <c r="EF2122" s="157"/>
    </row>
    <row r="2123" spans="136:136">
      <c r="EF2123" s="157"/>
    </row>
    <row r="2124" spans="136:136">
      <c r="EF2124" s="157"/>
    </row>
    <row r="2125" spans="136:136">
      <c r="EF2125" s="157"/>
    </row>
    <row r="2126" spans="136:136">
      <c r="EF2126" s="157"/>
    </row>
    <row r="2127" spans="136:136">
      <c r="EF2127" s="157"/>
    </row>
    <row r="2128" spans="136:136">
      <c r="EF2128" s="157"/>
    </row>
    <row r="2129" spans="136:136">
      <c r="EF2129" s="157"/>
    </row>
    <row r="2130" spans="136:136">
      <c r="EF2130" s="157"/>
    </row>
    <row r="2131" spans="136:136">
      <c r="EF2131" s="157"/>
    </row>
    <row r="2132" spans="136:136">
      <c r="EF2132" s="157"/>
    </row>
    <row r="2133" spans="136:136">
      <c r="EF2133" s="157"/>
    </row>
    <row r="2134" spans="136:136">
      <c r="EF2134" s="157"/>
    </row>
    <row r="2135" spans="136:136">
      <c r="EF2135" s="157"/>
    </row>
    <row r="2136" spans="136:136">
      <c r="EF2136" s="157"/>
    </row>
    <row r="2137" spans="136:136">
      <c r="EF2137" s="157"/>
    </row>
    <row r="2138" spans="136:136">
      <c r="EF2138" s="157"/>
    </row>
    <row r="2139" spans="136:136">
      <c r="EF2139" s="157"/>
    </row>
    <row r="2140" spans="136:136">
      <c r="EF2140" s="157"/>
    </row>
    <row r="2141" spans="136:136">
      <c r="EF2141" s="157"/>
    </row>
    <row r="2142" spans="136:136">
      <c r="EF2142" s="157"/>
    </row>
    <row r="2143" spans="136:136">
      <c r="EF2143" s="157"/>
    </row>
    <row r="2144" spans="136:136">
      <c r="EF2144" s="157"/>
    </row>
    <row r="2145" spans="136:136">
      <c r="EF2145" s="157"/>
    </row>
    <row r="2146" spans="136:136">
      <c r="EF2146" s="157"/>
    </row>
    <row r="2147" spans="136:136">
      <c r="EF2147" s="157"/>
    </row>
    <row r="2148" spans="136:136">
      <c r="EF2148" s="157"/>
    </row>
    <row r="2149" spans="136:136">
      <c r="EF2149" s="157"/>
    </row>
    <row r="2150" spans="136:136">
      <c r="EF2150" s="157"/>
    </row>
    <row r="2151" spans="136:136">
      <c r="EF2151" s="157"/>
    </row>
    <row r="2152" spans="136:136">
      <c r="EF2152" s="157"/>
    </row>
    <row r="2153" spans="136:136">
      <c r="EF2153" s="157"/>
    </row>
    <row r="2154" spans="136:136">
      <c r="EF2154" s="157"/>
    </row>
    <row r="2155" spans="136:136">
      <c r="EF2155" s="157"/>
    </row>
    <row r="2156" spans="136:136">
      <c r="EF2156" s="157"/>
    </row>
    <row r="2157" spans="136:136">
      <c r="EF2157" s="157"/>
    </row>
    <row r="2158" spans="136:136">
      <c r="EF2158" s="157"/>
    </row>
    <row r="2159" spans="136:136">
      <c r="EF2159" s="157"/>
    </row>
    <row r="2160" spans="136:136">
      <c r="EF2160" s="157"/>
    </row>
    <row r="2161" spans="136:136">
      <c r="EF2161" s="157"/>
    </row>
    <row r="2162" spans="136:136">
      <c r="EF2162" s="157"/>
    </row>
    <row r="2163" spans="136:136">
      <c r="EF2163" s="157"/>
    </row>
    <row r="2164" spans="136:136">
      <c r="EF2164" s="157"/>
    </row>
    <row r="2165" spans="136:136">
      <c r="EF2165" s="157"/>
    </row>
    <row r="2166" spans="136:136">
      <c r="EF2166" s="157"/>
    </row>
    <row r="2167" spans="136:136">
      <c r="EF2167" s="157"/>
    </row>
    <row r="2168" spans="136:136">
      <c r="EF2168" s="157"/>
    </row>
    <row r="2169" spans="136:136">
      <c r="EF2169" s="157"/>
    </row>
    <row r="2170" spans="136:136">
      <c r="EF2170" s="157"/>
    </row>
    <row r="2171" spans="136:136">
      <c r="EF2171" s="157"/>
    </row>
    <row r="2172" spans="136:136">
      <c r="EF2172" s="157"/>
    </row>
    <row r="2173" spans="136:136">
      <c r="EF2173" s="157"/>
    </row>
    <row r="2174" spans="136:136">
      <c r="EF2174" s="157"/>
    </row>
    <row r="2175" spans="136:136">
      <c r="EF2175" s="157"/>
    </row>
    <row r="2176" spans="136:136">
      <c r="EF2176" s="157"/>
    </row>
    <row r="2177" spans="136:136">
      <c r="EF2177" s="157"/>
    </row>
    <row r="2178" spans="136:136">
      <c r="EF2178" s="157"/>
    </row>
    <row r="2179" spans="136:136">
      <c r="EF2179" s="157"/>
    </row>
    <row r="2180" spans="136:136">
      <c r="EF2180" s="157"/>
    </row>
    <row r="2181" spans="136:136">
      <c r="EF2181" s="157"/>
    </row>
    <row r="2182" spans="136:136">
      <c r="EF2182" s="157"/>
    </row>
    <row r="2183" spans="136:136">
      <c r="EF2183" s="157"/>
    </row>
    <row r="2184" spans="136:136">
      <c r="EF2184" s="157"/>
    </row>
    <row r="2185" spans="136:136">
      <c r="EF2185" s="157"/>
    </row>
    <row r="2186" spans="136:136">
      <c r="EF2186" s="157"/>
    </row>
    <row r="2187" spans="136:136">
      <c r="EF2187" s="157"/>
    </row>
    <row r="2188" spans="136:136">
      <c r="EF2188" s="157"/>
    </row>
    <row r="2189" spans="136:136">
      <c r="EF2189" s="157"/>
    </row>
    <row r="2190" spans="136:136">
      <c r="EF2190" s="157"/>
    </row>
    <row r="2191" spans="136:136">
      <c r="EF2191" s="157"/>
    </row>
    <row r="2192" spans="136:136">
      <c r="EF2192" s="157"/>
    </row>
    <row r="2193" spans="136:136">
      <c r="EF2193" s="157"/>
    </row>
    <row r="2194" spans="136:136">
      <c r="EF2194" s="157"/>
    </row>
    <row r="2195" spans="136:136">
      <c r="EF2195" s="157"/>
    </row>
    <row r="2196" spans="136:136">
      <c r="EF2196" s="157"/>
    </row>
    <row r="2197" spans="136:136">
      <c r="EF2197" s="157"/>
    </row>
    <row r="2198" spans="136:136">
      <c r="EF2198" s="157"/>
    </row>
    <row r="2199" spans="136:136">
      <c r="EF2199" s="157"/>
    </row>
    <row r="2200" spans="136:136">
      <c r="EF2200" s="157"/>
    </row>
    <row r="2201" spans="136:136">
      <c r="EF2201" s="157"/>
    </row>
    <row r="2202" spans="136:136">
      <c r="EF2202" s="157"/>
    </row>
    <row r="2203" spans="136:136">
      <c r="EF2203" s="157"/>
    </row>
    <row r="2204" spans="136:136">
      <c r="EF2204" s="157"/>
    </row>
    <row r="2205" spans="136:136">
      <c r="EF2205" s="157"/>
    </row>
    <row r="2206" spans="136:136">
      <c r="EF2206" s="157"/>
    </row>
    <row r="2207" spans="136:136">
      <c r="EF2207" s="157"/>
    </row>
    <row r="2208" spans="136:136">
      <c r="EF2208" s="157"/>
    </row>
    <row r="2209" spans="136:136">
      <c r="EF2209" s="157"/>
    </row>
    <row r="2210" spans="136:136">
      <c r="EF2210" s="157"/>
    </row>
    <row r="2211" spans="136:136">
      <c r="EF2211" s="157"/>
    </row>
    <row r="2212" spans="136:136">
      <c r="EF2212" s="157"/>
    </row>
    <row r="2213" spans="136:136">
      <c r="EF2213" s="157"/>
    </row>
    <row r="2214" spans="136:136">
      <c r="EF2214" s="157"/>
    </row>
    <row r="2215" spans="136:136">
      <c r="EF2215" s="157"/>
    </row>
    <row r="2216" spans="136:136">
      <c r="EF2216" s="157"/>
    </row>
    <row r="2217" spans="136:136">
      <c r="EF2217" s="157"/>
    </row>
    <row r="2218" spans="136:136">
      <c r="EF2218" s="157"/>
    </row>
    <row r="2219" spans="136:136">
      <c r="EF2219" s="157"/>
    </row>
    <row r="2220" spans="136:136">
      <c r="EF2220" s="157"/>
    </row>
    <row r="2221" spans="136:136">
      <c r="EF2221" s="157"/>
    </row>
    <row r="2222" spans="136:136">
      <c r="EF2222" s="157"/>
    </row>
    <row r="2223" spans="136:136">
      <c r="EF2223" s="157"/>
    </row>
    <row r="2224" spans="136:136">
      <c r="EF2224" s="157"/>
    </row>
    <row r="2225" spans="136:136">
      <c r="EF2225" s="157"/>
    </row>
    <row r="2226" spans="136:136">
      <c r="EF2226" s="157"/>
    </row>
    <row r="2227" spans="136:136">
      <c r="EF2227" s="157"/>
    </row>
    <row r="2228" spans="136:136">
      <c r="EF2228" s="157"/>
    </row>
    <row r="2229" spans="136:136">
      <c r="EF2229" s="157"/>
    </row>
    <row r="2230" spans="136:136">
      <c r="EF2230" s="157"/>
    </row>
    <row r="2231" spans="136:136">
      <c r="EF2231" s="157"/>
    </row>
    <row r="2232" spans="136:136">
      <c r="EF2232" s="157"/>
    </row>
    <row r="2233" spans="136:136">
      <c r="EF2233" s="157"/>
    </row>
    <row r="2234" spans="136:136">
      <c r="EF2234" s="157"/>
    </row>
    <row r="2235" spans="136:136">
      <c r="EF2235" s="157"/>
    </row>
    <row r="2236" spans="136:136">
      <c r="EF2236" s="157"/>
    </row>
    <row r="2237" spans="136:136">
      <c r="EF2237" s="157"/>
    </row>
    <row r="2238" spans="136:136">
      <c r="EF2238" s="157"/>
    </row>
    <row r="2239" spans="136:136">
      <c r="EF2239" s="157"/>
    </row>
    <row r="2240" spans="136:136">
      <c r="EF2240" s="157"/>
    </row>
    <row r="2241" spans="136:136">
      <c r="EF2241" s="157"/>
    </row>
    <row r="2242" spans="136:136">
      <c r="EF2242" s="157"/>
    </row>
    <row r="2243" spans="136:136">
      <c r="EF2243" s="157"/>
    </row>
    <row r="2244" spans="136:136">
      <c r="EF2244" s="157"/>
    </row>
    <row r="2245" spans="136:136">
      <c r="EF2245" s="157"/>
    </row>
    <row r="2246" spans="136:136">
      <c r="EF2246" s="157"/>
    </row>
    <row r="2247" spans="136:136">
      <c r="EF2247" s="157"/>
    </row>
    <row r="2248" spans="136:136">
      <c r="EF2248" s="157"/>
    </row>
    <row r="2249" spans="136:136">
      <c r="EF2249" s="157"/>
    </row>
    <row r="2250" spans="136:136">
      <c r="EF2250" s="157"/>
    </row>
    <row r="2251" spans="136:136">
      <c r="EF2251" s="157"/>
    </row>
    <row r="2252" spans="136:136">
      <c r="EF2252" s="157"/>
    </row>
    <row r="2253" spans="136:136">
      <c r="EF2253" s="157"/>
    </row>
    <row r="2254" spans="136:136">
      <c r="EF2254" s="157"/>
    </row>
    <row r="2255" spans="136:136">
      <c r="EF2255" s="157"/>
    </row>
    <row r="2256" spans="136:136">
      <c r="EF2256" s="157"/>
    </row>
    <row r="2257" spans="136:136">
      <c r="EF2257" s="157"/>
    </row>
    <row r="2258" spans="136:136">
      <c r="EF2258" s="157"/>
    </row>
    <row r="2259" spans="136:136">
      <c r="EF2259" s="157"/>
    </row>
    <row r="2260" spans="136:136">
      <c r="EF2260" s="157"/>
    </row>
    <row r="2261" spans="136:136">
      <c r="EF2261" s="157"/>
    </row>
    <row r="2262" spans="136:136">
      <c r="EF2262" s="157"/>
    </row>
    <row r="2263" spans="136:136">
      <c r="EF2263" s="157"/>
    </row>
    <row r="2264" spans="136:136">
      <c r="EF2264" s="157"/>
    </row>
    <row r="2265" spans="136:136">
      <c r="EF2265" s="157"/>
    </row>
    <row r="2266" spans="136:136">
      <c r="EF2266" s="157"/>
    </row>
    <row r="2267" spans="136:136">
      <c r="EF2267" s="157"/>
    </row>
  </sheetData>
  <phoneticPr fontId="2" type="noConversion"/>
  <pageMargins left="0.78740157499999996" right="0.78740157499999996" top="0.984251969" bottom="0.984251969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indexed="51"/>
  </sheetPr>
  <dimension ref="A1:IY157"/>
  <sheetViews>
    <sheetView workbookViewId="0">
      <pane xSplit="4" ySplit="3" topLeftCell="AH4" activePane="bottomRight" state="frozen"/>
      <selection pane="topRight" activeCell="E1" sqref="E1"/>
      <selection pane="bottomLeft" activeCell="A4" sqref="A4"/>
      <selection pane="bottomRight" activeCell="AI14" sqref="AI14"/>
    </sheetView>
  </sheetViews>
  <sheetFormatPr baseColWidth="10" defaultRowHeight="13"/>
  <cols>
    <col min="1" max="84" width="16.5" customWidth="1"/>
    <col min="85" max="87" width="16.5" style="136" customWidth="1"/>
    <col min="88" max="88" width="12.5" style="177" bestFit="1" customWidth="1"/>
    <col min="89" max="89" width="11.5" style="177" bestFit="1" customWidth="1"/>
    <col min="90" max="90" width="11.5" style="177" customWidth="1"/>
    <col min="91" max="91" width="12.5" style="177" bestFit="1" customWidth="1"/>
    <col min="92" max="92" width="13.5" style="177" customWidth="1"/>
    <col min="93" max="93" width="12.5" style="177" bestFit="1" customWidth="1"/>
    <col min="94" max="94" width="11.5" style="177"/>
    <col min="95" max="96" width="12.5" style="177" customWidth="1"/>
    <col min="97" max="97" width="16.5" style="36" customWidth="1"/>
    <col min="98" max="99" width="12.1640625" style="36" customWidth="1"/>
    <col min="131" max="133" width="11.5" style="136"/>
    <col min="134" max="138" width="11.5" style="207"/>
    <col min="143" max="147" width="11.5" style="207"/>
    <col min="152" max="156" width="11.5" style="207"/>
    <col min="159" max="159" width="9.5" customWidth="1"/>
  </cols>
  <sheetData>
    <row r="1" spans="1:258" ht="15.75" customHeight="1">
      <c r="A1" s="37" t="str">
        <f>Basicinfo!A1</f>
        <v>Catchments</v>
      </c>
      <c r="B1" s="3"/>
      <c r="C1" s="3"/>
      <c r="D1" s="28"/>
      <c r="E1" s="49" t="s">
        <v>161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54" t="s">
        <v>300</v>
      </c>
      <c r="Q1" s="45"/>
      <c r="R1" s="47"/>
      <c r="S1" s="59" t="s">
        <v>299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54" t="s">
        <v>301</v>
      </c>
      <c r="AG1" s="45"/>
      <c r="AH1" s="45"/>
      <c r="AI1" s="367"/>
      <c r="AJ1" s="383"/>
      <c r="AK1" s="45"/>
      <c r="AL1" s="45"/>
      <c r="AM1" s="45"/>
      <c r="AN1" s="45"/>
      <c r="AO1" s="45"/>
      <c r="AP1" s="45"/>
      <c r="AQ1" s="45"/>
      <c r="AR1" s="81"/>
      <c r="AS1" s="49" t="s">
        <v>302</v>
      </c>
      <c r="AT1" s="10"/>
      <c r="AU1" s="10"/>
      <c r="AV1" s="10"/>
      <c r="AW1" s="10"/>
      <c r="AX1" s="10"/>
      <c r="AY1" s="10"/>
      <c r="AZ1" s="10"/>
      <c r="BA1" s="10"/>
      <c r="BB1" s="10"/>
      <c r="BC1" s="49"/>
      <c r="BD1" s="54" t="s">
        <v>175</v>
      </c>
      <c r="BE1" s="45"/>
      <c r="BF1" s="47"/>
      <c r="BG1" s="59" t="s">
        <v>176</v>
      </c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54" t="s">
        <v>177</v>
      </c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6"/>
      <c r="CG1" s="36"/>
      <c r="CH1" s="36" t="s">
        <v>500</v>
      </c>
      <c r="CJ1" s="241" t="s">
        <v>548</v>
      </c>
      <c r="CK1" s="241"/>
      <c r="CL1" s="241"/>
      <c r="CM1" s="241"/>
      <c r="CN1" s="241" t="s">
        <v>501</v>
      </c>
      <c r="CO1" s="241"/>
      <c r="CP1" s="208"/>
      <c r="CQ1" s="241"/>
      <c r="CR1" s="241"/>
      <c r="CS1" s="208"/>
      <c r="CT1" s="208"/>
      <c r="CW1" s="36" t="s">
        <v>500</v>
      </c>
      <c r="CX1" s="136"/>
      <c r="CY1" s="36" t="s">
        <v>500</v>
      </c>
      <c r="CZ1" s="423" t="s">
        <v>501</v>
      </c>
      <c r="DA1" s="423"/>
      <c r="DB1" s="423"/>
      <c r="DC1" s="423" t="s">
        <v>548</v>
      </c>
      <c r="DD1" s="423"/>
      <c r="DE1" s="423"/>
      <c r="DF1" s="423"/>
      <c r="DG1" s="177"/>
      <c r="DH1" s="36"/>
      <c r="DK1" s="36" t="s">
        <v>500</v>
      </c>
      <c r="DL1" s="136"/>
      <c r="DM1" s="36" t="s">
        <v>500</v>
      </c>
      <c r="DN1" s="423" t="s">
        <v>501</v>
      </c>
      <c r="DO1" s="423"/>
      <c r="DP1" s="423"/>
      <c r="DQ1" s="423" t="s">
        <v>548</v>
      </c>
      <c r="DR1" s="423"/>
      <c r="DS1" s="423"/>
      <c r="DT1" s="423"/>
      <c r="DU1" s="177"/>
      <c r="DV1" s="36"/>
      <c r="DY1" s="424" t="s">
        <v>500</v>
      </c>
      <c r="DZ1" s="424"/>
      <c r="EA1" s="424" t="s">
        <v>548</v>
      </c>
      <c r="EB1" s="424"/>
      <c r="EC1" s="424"/>
      <c r="ED1" s="218"/>
      <c r="EE1" s="208"/>
      <c r="EG1" s="208"/>
      <c r="EH1" s="208"/>
      <c r="EK1" s="36" t="s">
        <v>500</v>
      </c>
      <c r="EL1" s="136"/>
      <c r="EM1" s="208"/>
      <c r="EN1" s="218" t="s">
        <v>561</v>
      </c>
      <c r="EO1" s="219" t="s">
        <v>548</v>
      </c>
      <c r="EP1" s="208"/>
      <c r="EQ1" s="208"/>
      <c r="ET1" s="36" t="s">
        <v>500</v>
      </c>
      <c r="EU1" s="136"/>
      <c r="EV1" s="208"/>
      <c r="EW1" s="218" t="s">
        <v>561</v>
      </c>
      <c r="EX1" s="219" t="s">
        <v>548</v>
      </c>
      <c r="EY1" s="208"/>
      <c r="EZ1" s="208"/>
      <c r="FF1" s="207" t="s">
        <v>622</v>
      </c>
      <c r="FG1" s="207"/>
      <c r="FH1" s="207"/>
      <c r="FS1" s="424" t="s">
        <v>639</v>
      </c>
      <c r="FT1" s="424"/>
      <c r="FU1" s="424"/>
      <c r="FV1" s="424"/>
      <c r="FW1" s="424"/>
      <c r="FX1" s="218"/>
      <c r="FY1" s="208"/>
      <c r="FZ1" s="207"/>
      <c r="GA1" s="208"/>
      <c r="GB1" s="208"/>
      <c r="GD1" s="207" t="s">
        <v>628</v>
      </c>
      <c r="GE1" s="207"/>
      <c r="GF1" s="207"/>
      <c r="GG1" s="207"/>
      <c r="GH1" s="207"/>
      <c r="GI1" s="207"/>
      <c r="GJ1" s="207"/>
      <c r="GK1" s="207"/>
      <c r="GL1" s="207"/>
      <c r="GM1" s="207"/>
      <c r="GN1" s="207"/>
      <c r="GO1" s="136"/>
      <c r="GP1" s="136"/>
      <c r="GQ1" s="136"/>
      <c r="GR1" s="207" t="s">
        <v>629</v>
      </c>
      <c r="GS1" s="207"/>
      <c r="GT1" s="207"/>
      <c r="GU1" s="136"/>
      <c r="GV1" s="136"/>
      <c r="GW1" s="136"/>
      <c r="GX1" s="136"/>
      <c r="GY1" s="136"/>
      <c r="GZ1" s="136"/>
      <c r="HA1" s="136"/>
      <c r="HB1" s="136"/>
      <c r="HC1" s="136"/>
      <c r="HD1" s="136"/>
      <c r="HE1" s="207" t="s">
        <v>630</v>
      </c>
      <c r="HF1" s="207"/>
      <c r="HG1" s="219"/>
      <c r="HH1" s="219"/>
      <c r="HI1" s="239"/>
      <c r="HJ1" s="207"/>
      <c r="HK1" s="136"/>
      <c r="HL1" s="136"/>
      <c r="HM1" s="207"/>
      <c r="HQ1" s="424" t="s">
        <v>639</v>
      </c>
      <c r="HR1" s="424"/>
      <c r="HS1" s="424"/>
      <c r="HT1" s="424"/>
      <c r="HU1" s="424"/>
      <c r="HV1" s="218"/>
      <c r="HW1" s="208"/>
      <c r="HX1" s="207"/>
      <c r="HY1" s="208"/>
      <c r="HZ1" s="208"/>
      <c r="IB1" s="207" t="s">
        <v>648</v>
      </c>
    </row>
    <row r="2" spans="1:258" s="103" customFormat="1" ht="50.25" customHeight="1">
      <c r="A2" s="104" t="str">
        <f>Basicinfo!A2</f>
        <v>Name</v>
      </c>
      <c r="B2" s="105" t="str">
        <f>Basicinfo!B2</f>
        <v>ID</v>
      </c>
      <c r="C2" s="105" t="str">
        <f>Basicinfo!C2</f>
        <v>Downstream ID</v>
      </c>
      <c r="D2" s="113" t="s">
        <v>409</v>
      </c>
      <c r="E2" s="116" t="s">
        <v>160</v>
      </c>
      <c r="F2" s="107" t="s">
        <v>256</v>
      </c>
      <c r="G2" s="107" t="s">
        <v>257</v>
      </c>
      <c r="H2" s="107" t="s">
        <v>249</v>
      </c>
      <c r="I2" s="107" t="s">
        <v>467</v>
      </c>
      <c r="J2" s="107" t="s">
        <v>248</v>
      </c>
      <c r="K2" s="162" t="s">
        <v>947</v>
      </c>
      <c r="L2" s="162" t="s">
        <v>946</v>
      </c>
      <c r="M2" s="162" t="s">
        <v>948</v>
      </c>
      <c r="N2" s="108" t="s">
        <v>165</v>
      </c>
      <c r="O2" s="115" t="s">
        <v>236</v>
      </c>
      <c r="P2" s="78" t="s">
        <v>460</v>
      </c>
      <c r="Q2" s="46" t="s">
        <v>461</v>
      </c>
      <c r="R2" s="45" t="s">
        <v>162</v>
      </c>
      <c r="S2" s="106" t="s">
        <v>463</v>
      </c>
      <c r="T2" s="107" t="s">
        <v>322</v>
      </c>
      <c r="U2" s="107" t="s">
        <v>445</v>
      </c>
      <c r="V2" s="107" t="s">
        <v>458</v>
      </c>
      <c r="W2" s="107" t="s">
        <v>462</v>
      </c>
      <c r="X2" s="107" t="s">
        <v>465</v>
      </c>
      <c r="Y2" s="107" t="s">
        <v>468</v>
      </c>
      <c r="Z2" s="107" t="s">
        <v>820</v>
      </c>
      <c r="AA2" s="108" t="s">
        <v>822</v>
      </c>
      <c r="AB2" s="108" t="s">
        <v>824</v>
      </c>
      <c r="AC2" s="108" t="s">
        <v>135</v>
      </c>
      <c r="AD2" s="115" t="s">
        <v>237</v>
      </c>
      <c r="AE2" s="108" t="s">
        <v>384</v>
      </c>
      <c r="AF2" s="109" t="s">
        <v>464</v>
      </c>
      <c r="AG2" s="110" t="s">
        <v>323</v>
      </c>
      <c r="AH2" s="110" t="s">
        <v>446</v>
      </c>
      <c r="AI2" s="405" t="s">
        <v>459</v>
      </c>
      <c r="AJ2" s="374" t="s">
        <v>315</v>
      </c>
      <c r="AK2" s="110" t="s">
        <v>466</v>
      </c>
      <c r="AL2" s="112" t="s">
        <v>469</v>
      </c>
      <c r="AM2" s="112" t="s">
        <v>821</v>
      </c>
      <c r="AN2" s="112" t="s">
        <v>823</v>
      </c>
      <c r="AO2" s="112" t="s">
        <v>825</v>
      </c>
      <c r="AP2" s="417" t="s">
        <v>136</v>
      </c>
      <c r="AQ2" s="118" t="s">
        <v>134</v>
      </c>
      <c r="AR2" s="372" t="s">
        <v>385</v>
      </c>
      <c r="AS2" s="107" t="s">
        <v>256</v>
      </c>
      <c r="AT2" s="107" t="s">
        <v>257</v>
      </c>
      <c r="AU2" s="107" t="s">
        <v>249</v>
      </c>
      <c r="AV2" s="107" t="s">
        <v>467</v>
      </c>
      <c r="AW2" s="107" t="s">
        <v>248</v>
      </c>
      <c r="AX2" s="162" t="s">
        <v>947</v>
      </c>
      <c r="AY2" s="162" t="s">
        <v>946</v>
      </c>
      <c r="AZ2" s="162" t="s">
        <v>948</v>
      </c>
      <c r="BA2" s="108" t="s">
        <v>165</v>
      </c>
      <c r="BB2" s="115" t="s">
        <v>236</v>
      </c>
      <c r="BC2" s="108" t="s">
        <v>160</v>
      </c>
      <c r="BD2" s="384" t="s">
        <v>460</v>
      </c>
      <c r="BE2" s="376" t="s">
        <v>461</v>
      </c>
      <c r="BF2" s="117" t="s">
        <v>162</v>
      </c>
      <c r="BG2" s="106" t="s">
        <v>463</v>
      </c>
      <c r="BH2" s="107" t="s">
        <v>322</v>
      </c>
      <c r="BI2" s="107" t="s">
        <v>445</v>
      </c>
      <c r="BJ2" s="107" t="s">
        <v>458</v>
      </c>
      <c r="BK2" s="107" t="s">
        <v>462</v>
      </c>
      <c r="BL2" s="107" t="s">
        <v>465</v>
      </c>
      <c r="BM2" s="107" t="s">
        <v>468</v>
      </c>
      <c r="BN2" s="107" t="s">
        <v>820</v>
      </c>
      <c r="BO2" s="108" t="s">
        <v>822</v>
      </c>
      <c r="BP2" s="108" t="s">
        <v>824</v>
      </c>
      <c r="BQ2" s="108" t="s">
        <v>135</v>
      </c>
      <c r="BR2" s="115" t="s">
        <v>237</v>
      </c>
      <c r="BS2" s="108" t="s">
        <v>384</v>
      </c>
      <c r="BT2" s="109" t="s">
        <v>464</v>
      </c>
      <c r="BU2" s="110" t="s">
        <v>323</v>
      </c>
      <c r="BV2" s="110" t="s">
        <v>446</v>
      </c>
      <c r="BW2" s="378" t="s">
        <v>459</v>
      </c>
      <c r="BX2" s="376" t="s">
        <v>315</v>
      </c>
      <c r="BY2" s="112" t="s">
        <v>466</v>
      </c>
      <c r="BZ2" s="112" t="s">
        <v>469</v>
      </c>
      <c r="CA2" s="112" t="s">
        <v>821</v>
      </c>
      <c r="CB2" s="112" t="s">
        <v>823</v>
      </c>
      <c r="CC2" s="112" t="s">
        <v>825</v>
      </c>
      <c r="CD2" s="369" t="s">
        <v>136</v>
      </c>
      <c r="CE2" s="120" t="s">
        <v>134</v>
      </c>
      <c r="CF2" s="380" t="s">
        <v>385</v>
      </c>
      <c r="CG2" s="214"/>
      <c r="CH2" s="215" t="s">
        <v>237</v>
      </c>
      <c r="CI2" s="216" t="s">
        <v>163</v>
      </c>
      <c r="CJ2" s="179" t="s">
        <v>503</v>
      </c>
      <c r="CK2" s="179" t="s">
        <v>504</v>
      </c>
      <c r="CL2" s="179" t="s">
        <v>623</v>
      </c>
      <c r="CM2" s="179" t="s">
        <v>641</v>
      </c>
      <c r="CN2" s="179" t="s">
        <v>498</v>
      </c>
      <c r="CO2" s="179" t="s">
        <v>499</v>
      </c>
      <c r="CP2" s="209" t="s">
        <v>505</v>
      </c>
      <c r="CQ2" s="209" t="s">
        <v>502</v>
      </c>
      <c r="CR2" s="209" t="s">
        <v>506</v>
      </c>
      <c r="CS2" s="209" t="s">
        <v>497</v>
      </c>
      <c r="CT2" s="209" t="s">
        <v>550</v>
      </c>
      <c r="CU2" s="178"/>
      <c r="CV2" s="103" t="s">
        <v>551</v>
      </c>
      <c r="CW2" s="215" t="s">
        <v>237</v>
      </c>
      <c r="CX2" s="216" t="s">
        <v>163</v>
      </c>
      <c r="CY2" s="178" t="s">
        <v>497</v>
      </c>
      <c r="CZ2" s="179" t="s">
        <v>498</v>
      </c>
      <c r="DA2" s="179" t="s">
        <v>499</v>
      </c>
      <c r="DB2" s="179" t="s">
        <v>502</v>
      </c>
      <c r="DC2" s="179" t="s">
        <v>503</v>
      </c>
      <c r="DD2" s="179" t="s">
        <v>504</v>
      </c>
      <c r="DE2" s="179" t="s">
        <v>549</v>
      </c>
      <c r="DF2" s="179" t="s">
        <v>506</v>
      </c>
      <c r="DG2" s="179" t="s">
        <v>505</v>
      </c>
      <c r="DH2" s="178" t="s">
        <v>550</v>
      </c>
      <c r="DI2" s="103" t="s">
        <v>551</v>
      </c>
      <c r="DK2" s="215" t="s">
        <v>237</v>
      </c>
      <c r="DL2" s="216" t="s">
        <v>163</v>
      </c>
      <c r="DM2" s="178" t="s">
        <v>497</v>
      </c>
      <c r="DN2" s="179" t="s">
        <v>498</v>
      </c>
      <c r="DO2" s="179" t="s">
        <v>499</v>
      </c>
      <c r="DP2" s="179" t="s">
        <v>502</v>
      </c>
      <c r="DQ2" s="179" t="s">
        <v>503</v>
      </c>
      <c r="DR2" s="179" t="s">
        <v>504</v>
      </c>
      <c r="DS2" s="179" t="s">
        <v>549</v>
      </c>
      <c r="DT2" s="179" t="s">
        <v>506</v>
      </c>
      <c r="DU2" s="179" t="s">
        <v>505</v>
      </c>
      <c r="DV2" s="178" t="s">
        <v>550</v>
      </c>
      <c r="DW2" s="103" t="s">
        <v>551</v>
      </c>
      <c r="DY2" s="215" t="s">
        <v>134</v>
      </c>
      <c r="DZ2" s="217" t="s">
        <v>164</v>
      </c>
      <c r="EA2" s="178" t="s">
        <v>624</v>
      </c>
      <c r="EB2" s="178" t="s">
        <v>625</v>
      </c>
      <c r="EC2" s="178" t="s">
        <v>64</v>
      </c>
      <c r="ED2" s="209" t="s">
        <v>562</v>
      </c>
      <c r="EE2" s="209" t="s">
        <v>505</v>
      </c>
      <c r="EF2" s="209" t="s">
        <v>548</v>
      </c>
      <c r="EG2" s="209" t="s">
        <v>500</v>
      </c>
      <c r="EH2" s="209" t="s">
        <v>550</v>
      </c>
      <c r="EI2" s="103" t="s">
        <v>551</v>
      </c>
      <c r="EK2" s="215" t="s">
        <v>134</v>
      </c>
      <c r="EL2" s="217" t="s">
        <v>164</v>
      </c>
      <c r="EM2" s="209" t="s">
        <v>560</v>
      </c>
      <c r="EN2" s="209" t="s">
        <v>562</v>
      </c>
      <c r="EO2" s="209" t="s">
        <v>548</v>
      </c>
      <c r="EP2" s="209" t="s">
        <v>505</v>
      </c>
      <c r="EQ2" s="209" t="s">
        <v>550</v>
      </c>
      <c r="ER2" s="103" t="s">
        <v>551</v>
      </c>
      <c r="ET2" s="215" t="s">
        <v>134</v>
      </c>
      <c r="EU2" s="217" t="s">
        <v>164</v>
      </c>
      <c r="EV2" s="209" t="s">
        <v>560</v>
      </c>
      <c r="EW2" s="209" t="s">
        <v>562</v>
      </c>
      <c r="EX2" s="209" t="s">
        <v>548</v>
      </c>
      <c r="EY2" s="209" t="s">
        <v>505</v>
      </c>
      <c r="EZ2" s="209" t="s">
        <v>550</v>
      </c>
      <c r="FA2" s="103" t="s">
        <v>551</v>
      </c>
      <c r="FC2" s="103" t="str">
        <f>Basicinfo!CT2</f>
        <v>N-GW_measured</v>
      </c>
      <c r="FD2" s="103" t="s">
        <v>607</v>
      </c>
      <c r="FF2" s="103" t="s">
        <v>464</v>
      </c>
      <c r="FG2" s="103" t="s">
        <v>323</v>
      </c>
      <c r="FH2" s="103" t="s">
        <v>446</v>
      </c>
      <c r="FI2" s="103" t="s">
        <v>459</v>
      </c>
      <c r="FJ2" s="103" t="s">
        <v>65</v>
      </c>
      <c r="FK2" s="103" t="s">
        <v>466</v>
      </c>
      <c r="FL2" s="103" t="s">
        <v>469</v>
      </c>
      <c r="FM2" s="103" t="str">
        <f>AM2</f>
        <v>P-emission from urban areas connected to separated system</v>
      </c>
      <c r="FN2" s="103" t="str">
        <f>AN2</f>
        <v>P-emission from urban areas connected to combined system</v>
      </c>
      <c r="FO2" s="103" t="str">
        <f>AO2</f>
        <v>P-emission from not connected urban areas</v>
      </c>
      <c r="FP2" s="103" t="s">
        <v>134</v>
      </c>
      <c r="FQ2" s="103" t="s">
        <v>581</v>
      </c>
      <c r="FS2" s="215" t="s">
        <v>637</v>
      </c>
      <c r="FT2" s="217" t="s">
        <v>638</v>
      </c>
      <c r="FU2" s="178" t="s">
        <v>624</v>
      </c>
      <c r="FV2" s="178" t="s">
        <v>625</v>
      </c>
      <c r="FW2" s="178" t="s">
        <v>64</v>
      </c>
      <c r="FX2" s="209" t="s">
        <v>562</v>
      </c>
      <c r="FY2" s="209" t="s">
        <v>505</v>
      </c>
      <c r="FZ2" s="209" t="s">
        <v>548</v>
      </c>
      <c r="GA2" s="209" t="s">
        <v>500</v>
      </c>
      <c r="GB2" s="209" t="s">
        <v>550</v>
      </c>
      <c r="GD2" s="103" t="s">
        <v>621</v>
      </c>
      <c r="GE2" s="103" t="s">
        <v>464</v>
      </c>
      <c r="GF2" s="103" t="s">
        <v>323</v>
      </c>
      <c r="GG2" s="103" t="s">
        <v>446</v>
      </c>
      <c r="GH2" s="103" t="s">
        <v>459</v>
      </c>
      <c r="GI2" s="103" t="s">
        <v>65</v>
      </c>
      <c r="GJ2" s="103" t="s">
        <v>466</v>
      </c>
      <c r="GK2" s="103" t="s">
        <v>469</v>
      </c>
      <c r="GL2" s="103" t="str">
        <f>AM2</f>
        <v>P-emission from urban areas connected to separated system</v>
      </c>
      <c r="GM2" s="270" t="str">
        <f>AN2</f>
        <v>P-emission from urban areas connected to combined system</v>
      </c>
      <c r="GN2" s="270" t="str">
        <f>AO2</f>
        <v>P-emission from not connected urban areas</v>
      </c>
      <c r="GO2" s="103" t="s">
        <v>134</v>
      </c>
      <c r="GP2" s="103" t="s">
        <v>631</v>
      </c>
      <c r="GR2" s="103" t="s">
        <v>464</v>
      </c>
      <c r="GS2" s="103" t="s">
        <v>323</v>
      </c>
      <c r="GT2" s="103" t="s">
        <v>446</v>
      </c>
      <c r="GU2" s="103" t="s">
        <v>459</v>
      </c>
      <c r="GV2" s="103" t="s">
        <v>65</v>
      </c>
      <c r="GW2" s="103" t="s">
        <v>466</v>
      </c>
      <c r="GX2" s="103" t="s">
        <v>469</v>
      </c>
      <c r="GY2" s="103" t="str">
        <f>FM2</f>
        <v>P-emission from urban areas connected to separated system</v>
      </c>
      <c r="GZ2" s="103" t="str">
        <f>FN2</f>
        <v>P-emission from urban areas connected to combined system</v>
      </c>
      <c r="HA2" s="103" t="str">
        <f>FO2</f>
        <v>P-emission from not connected urban areas</v>
      </c>
      <c r="HB2" s="103" t="s">
        <v>134</v>
      </c>
      <c r="HC2" s="103" t="s">
        <v>581</v>
      </c>
      <c r="HE2" s="103" t="str">
        <f>DY2</f>
        <v>P-emissions from point sources</v>
      </c>
      <c r="HF2" s="103" t="str">
        <f>DZ2</f>
        <v>P-emission via urban runoff</v>
      </c>
      <c r="HG2" s="178" t="s">
        <v>624</v>
      </c>
      <c r="HH2" s="178" t="s">
        <v>625</v>
      </c>
      <c r="HI2" s="178" t="s">
        <v>64</v>
      </c>
      <c r="HJ2" s="103" t="str">
        <f t="shared" ref="HJ2:HO3" si="0">ED2</f>
        <v>Others total</v>
      </c>
      <c r="HK2" s="103" t="str">
        <f t="shared" si="0"/>
        <v>background</v>
      </c>
      <c r="HL2" s="103" t="str">
        <f t="shared" si="0"/>
        <v>agriculture</v>
      </c>
      <c r="HM2" s="103" t="str">
        <f t="shared" si="0"/>
        <v>waste water</v>
      </c>
      <c r="HN2" s="103" t="str">
        <f t="shared" si="0"/>
        <v>total</v>
      </c>
      <c r="HO2" s="103" t="str">
        <f t="shared" si="0"/>
        <v>total pathways</v>
      </c>
      <c r="HQ2" s="215" t="s">
        <v>637</v>
      </c>
      <c r="HR2" s="217" t="s">
        <v>638</v>
      </c>
      <c r="HS2" s="178" t="s">
        <v>624</v>
      </c>
      <c r="HT2" s="178" t="s">
        <v>625</v>
      </c>
      <c r="HU2" s="178" t="s">
        <v>64</v>
      </c>
      <c r="HV2" s="209" t="s">
        <v>562</v>
      </c>
      <c r="HW2" s="209" t="s">
        <v>505</v>
      </c>
      <c r="HX2" s="209" t="s">
        <v>548</v>
      </c>
      <c r="HY2" s="209" t="s">
        <v>500</v>
      </c>
      <c r="HZ2" s="209" t="s">
        <v>550</v>
      </c>
      <c r="IB2" s="103" t="s">
        <v>647</v>
      </c>
      <c r="IC2" s="103" t="str">
        <f t="shared" ref="IC2:IJ2" si="1">S2</f>
        <v>N-emission via atmospheric deposition</v>
      </c>
      <c r="ID2" s="103" t="str">
        <f t="shared" si="1"/>
        <v>N-emission via surface runoff</v>
      </c>
      <c r="IE2" s="103" t="str">
        <f t="shared" si="1"/>
        <v>N-emission via snowmelt</v>
      </c>
      <c r="IF2" s="103" t="str">
        <f t="shared" si="1"/>
        <v>N-emission via agricultural erosion</v>
      </c>
      <c r="IG2" s="103" t="str">
        <f t="shared" si="1"/>
        <v>N-emission via natural erosion</v>
      </c>
      <c r="IH2" s="103" t="str">
        <f t="shared" si="1"/>
        <v>N-emission via tile drainage systems</v>
      </c>
      <c r="II2" s="103" t="str">
        <f t="shared" si="1"/>
        <v>N-emission via groundwater</v>
      </c>
      <c r="IJ2" s="103" t="str">
        <f t="shared" si="1"/>
        <v>N-emission from urban areas connected to separated system</v>
      </c>
      <c r="IK2" s="103" t="str">
        <f>AA2</f>
        <v>N-emission from urban areas connected to combined system</v>
      </c>
      <c r="IL2" s="103" t="str">
        <f>AB2</f>
        <v>N-emission from not connected urban areas</v>
      </c>
      <c r="IM2" s="103" t="str">
        <f>AD2</f>
        <v>N-emissions from point sources</v>
      </c>
      <c r="IN2" s="103" t="str">
        <f>AE2</f>
        <v>Total TN emissions</v>
      </c>
      <c r="IP2" s="103" t="str">
        <f t="shared" ref="IP2:IX3" si="2">CH2</f>
        <v>N-emissions from point sources</v>
      </c>
      <c r="IQ2" s="103" t="str">
        <f t="shared" si="2"/>
        <v>N-emission via urban runoff</v>
      </c>
      <c r="IR2" s="103" t="str">
        <f t="shared" si="2"/>
        <v>NH3 via naturally covered and open areas</v>
      </c>
      <c r="IS2" s="103" t="str">
        <f t="shared" si="2"/>
        <v>NH3 via agricultural areas</v>
      </c>
      <c r="IT2" s="103" t="str">
        <f t="shared" si="2"/>
        <v>drainage</v>
      </c>
      <c r="IU2" s="103" t="str">
        <f t="shared" si="2"/>
        <v>agriculture landcultivation (groundwater and surface runoff)</v>
      </c>
      <c r="IV2" s="103" t="str">
        <f t="shared" si="2"/>
        <v>Combusdtion via naturally covered and open areas</v>
      </c>
      <c r="IW2" s="103" t="str">
        <f t="shared" si="2"/>
        <v>Combustion via agricultural areas</v>
      </c>
      <c r="IX2" s="103" t="str">
        <f t="shared" si="2"/>
        <v>background</v>
      </c>
    </row>
    <row r="3" spans="1:258" ht="14.25" customHeight="1">
      <c r="A3" s="38"/>
      <c r="B3" s="62"/>
      <c r="C3" s="62"/>
      <c r="D3" s="51" t="s">
        <v>449</v>
      </c>
      <c r="E3" s="85" t="s">
        <v>411</v>
      </c>
      <c r="F3" s="41" t="s">
        <v>234</v>
      </c>
      <c r="G3" s="41" t="s">
        <v>234</v>
      </c>
      <c r="H3" s="41" t="s">
        <v>234</v>
      </c>
      <c r="I3" s="41" t="s">
        <v>234</v>
      </c>
      <c r="J3" s="41" t="s">
        <v>234</v>
      </c>
      <c r="K3" s="41" t="s">
        <v>234</v>
      </c>
      <c r="L3" s="41" t="s">
        <v>234</v>
      </c>
      <c r="M3" s="41" t="s">
        <v>234</v>
      </c>
      <c r="N3" s="52" t="s">
        <v>411</v>
      </c>
      <c r="O3" s="40" t="s">
        <v>411</v>
      </c>
      <c r="P3" s="78" t="s">
        <v>397</v>
      </c>
      <c r="Q3" s="46" t="s">
        <v>397</v>
      </c>
      <c r="R3" s="45" t="s">
        <v>397</v>
      </c>
      <c r="S3" s="60" t="s">
        <v>397</v>
      </c>
      <c r="T3" s="41" t="s">
        <v>397</v>
      </c>
      <c r="U3" s="41" t="s">
        <v>397</v>
      </c>
      <c r="V3" s="41" t="s">
        <v>397</v>
      </c>
      <c r="W3" s="41" t="s">
        <v>397</v>
      </c>
      <c r="X3" s="41" t="s">
        <v>397</v>
      </c>
      <c r="Y3" s="41" t="s">
        <v>397</v>
      </c>
      <c r="Z3" s="41" t="s">
        <v>79</v>
      </c>
      <c r="AA3" s="52" t="s">
        <v>79</v>
      </c>
      <c r="AB3" s="52" t="s">
        <v>79</v>
      </c>
      <c r="AC3" s="52" t="s">
        <v>397</v>
      </c>
      <c r="AD3" s="40" t="s">
        <v>397</v>
      </c>
      <c r="AE3" s="52" t="s">
        <v>397</v>
      </c>
      <c r="AF3" s="55" t="s">
        <v>397</v>
      </c>
      <c r="AG3" s="44" t="s">
        <v>397</v>
      </c>
      <c r="AH3" s="44" t="s">
        <v>397</v>
      </c>
      <c r="AI3" s="368" t="s">
        <v>397</v>
      </c>
      <c r="AJ3" s="375" t="s">
        <v>397</v>
      </c>
      <c r="AK3" s="44" t="s">
        <v>397</v>
      </c>
      <c r="AL3" s="57" t="s">
        <v>397</v>
      </c>
      <c r="AM3" s="57" t="s">
        <v>79</v>
      </c>
      <c r="AN3" s="57" t="s">
        <v>79</v>
      </c>
      <c r="AO3" s="57" t="s">
        <v>79</v>
      </c>
      <c r="AP3" s="371" t="s">
        <v>397</v>
      </c>
      <c r="AQ3" s="78" t="s">
        <v>397</v>
      </c>
      <c r="AR3" s="373" t="s">
        <v>397</v>
      </c>
      <c r="AS3" s="41" t="s">
        <v>202</v>
      </c>
      <c r="AT3" s="41" t="s">
        <v>202</v>
      </c>
      <c r="AU3" s="41" t="s">
        <v>202</v>
      </c>
      <c r="AV3" s="41" t="s">
        <v>202</v>
      </c>
      <c r="AW3" s="41" t="s">
        <v>202</v>
      </c>
      <c r="AX3" s="41" t="s">
        <v>202</v>
      </c>
      <c r="AY3" s="41" t="s">
        <v>202</v>
      </c>
      <c r="AZ3" s="41" t="s">
        <v>202</v>
      </c>
      <c r="BA3" s="41" t="s">
        <v>202</v>
      </c>
      <c r="BB3" s="41" t="s">
        <v>202</v>
      </c>
      <c r="BC3" s="52" t="s">
        <v>202</v>
      </c>
      <c r="BD3" s="385" t="s">
        <v>394</v>
      </c>
      <c r="BE3" s="377" t="s">
        <v>394</v>
      </c>
      <c r="BF3" s="57" t="s">
        <v>394</v>
      </c>
      <c r="BG3" s="60" t="s">
        <v>395</v>
      </c>
      <c r="BH3" s="41" t="s">
        <v>395</v>
      </c>
      <c r="BI3" s="41" t="s">
        <v>395</v>
      </c>
      <c r="BJ3" s="41" t="s">
        <v>395</v>
      </c>
      <c r="BK3" s="41" t="s">
        <v>395</v>
      </c>
      <c r="BL3" s="41" t="s">
        <v>395</v>
      </c>
      <c r="BM3" s="41" t="s">
        <v>395</v>
      </c>
      <c r="BN3" s="41" t="s">
        <v>395</v>
      </c>
      <c r="BO3" s="41" t="s">
        <v>395</v>
      </c>
      <c r="BP3" s="41" t="s">
        <v>395</v>
      </c>
      <c r="BQ3" s="41" t="s">
        <v>395</v>
      </c>
      <c r="BR3" s="41" t="s">
        <v>395</v>
      </c>
      <c r="BS3" s="52" t="s">
        <v>395</v>
      </c>
      <c r="BT3" s="55" t="s">
        <v>395</v>
      </c>
      <c r="BU3" s="44" t="s">
        <v>395</v>
      </c>
      <c r="BV3" s="44" t="s">
        <v>395</v>
      </c>
      <c r="BW3" s="379" t="s">
        <v>395</v>
      </c>
      <c r="BX3" s="377" t="s">
        <v>395</v>
      </c>
      <c r="BY3" s="57" t="s">
        <v>395</v>
      </c>
      <c r="BZ3" s="57" t="s">
        <v>395</v>
      </c>
      <c r="CA3" s="57" t="s">
        <v>395</v>
      </c>
      <c r="CB3" s="57" t="s">
        <v>395</v>
      </c>
      <c r="CC3" s="57" t="s">
        <v>395</v>
      </c>
      <c r="CD3" s="370" t="s">
        <v>395</v>
      </c>
      <c r="CE3" s="57" t="s">
        <v>395</v>
      </c>
      <c r="CF3" s="381" t="s">
        <v>395</v>
      </c>
      <c r="CG3" s="176"/>
      <c r="CH3" s="40" t="s">
        <v>79</v>
      </c>
      <c r="CI3" s="41" t="s">
        <v>397</v>
      </c>
      <c r="CJ3" s="189" t="s">
        <v>79</v>
      </c>
      <c r="CK3" s="189" t="s">
        <v>79</v>
      </c>
      <c r="CL3" s="189" t="s">
        <v>79</v>
      </c>
      <c r="CM3" s="189" t="s">
        <v>79</v>
      </c>
      <c r="CN3" s="189" t="s">
        <v>79</v>
      </c>
      <c r="CO3" s="189" t="s">
        <v>79</v>
      </c>
      <c r="CP3" s="210" t="s">
        <v>79</v>
      </c>
      <c r="CQ3" s="210" t="s">
        <v>79</v>
      </c>
      <c r="CR3" s="210" t="s">
        <v>79</v>
      </c>
      <c r="CS3" s="210" t="s">
        <v>79</v>
      </c>
      <c r="CT3" s="210" t="s">
        <v>79</v>
      </c>
      <c r="CU3" s="222"/>
      <c r="CV3" s="189" t="s">
        <v>79</v>
      </c>
      <c r="CW3" s="189" t="s">
        <v>552</v>
      </c>
      <c r="CX3" s="189" t="s">
        <v>552</v>
      </c>
      <c r="CY3" s="189" t="s">
        <v>552</v>
      </c>
      <c r="CZ3" s="189" t="s">
        <v>552</v>
      </c>
      <c r="DA3" s="189" t="s">
        <v>552</v>
      </c>
      <c r="DB3" s="189" t="s">
        <v>552</v>
      </c>
      <c r="DC3" s="189" t="s">
        <v>552</v>
      </c>
      <c r="DD3" s="189" t="s">
        <v>552</v>
      </c>
      <c r="DE3" s="189" t="s">
        <v>552</v>
      </c>
      <c r="DF3" s="189" t="s">
        <v>552</v>
      </c>
      <c r="DG3" s="189" t="s">
        <v>552</v>
      </c>
      <c r="DH3" s="189" t="s">
        <v>552</v>
      </c>
      <c r="DI3" s="189" t="s">
        <v>552</v>
      </c>
      <c r="DJ3" s="189"/>
      <c r="DK3" s="189" t="s">
        <v>410</v>
      </c>
      <c r="DL3" s="189" t="s">
        <v>410</v>
      </c>
      <c r="DM3" s="189" t="s">
        <v>410</v>
      </c>
      <c r="DN3" s="189" t="s">
        <v>410</v>
      </c>
      <c r="DO3" s="189" t="s">
        <v>410</v>
      </c>
      <c r="DP3" s="189" t="s">
        <v>410</v>
      </c>
      <c r="DQ3" s="189" t="s">
        <v>410</v>
      </c>
      <c r="DR3" s="189" t="s">
        <v>410</v>
      </c>
      <c r="DS3" s="189" t="s">
        <v>410</v>
      </c>
      <c r="DT3" s="189" t="s">
        <v>410</v>
      </c>
      <c r="DU3" s="189" t="s">
        <v>410</v>
      </c>
      <c r="DV3" s="189" t="s">
        <v>410</v>
      </c>
      <c r="DW3" s="189" t="s">
        <v>410</v>
      </c>
      <c r="DY3" s="40" t="s">
        <v>79</v>
      </c>
      <c r="DZ3" s="40" t="s">
        <v>79</v>
      </c>
      <c r="EA3" s="222" t="s">
        <v>79</v>
      </c>
      <c r="EB3" s="222" t="s">
        <v>79</v>
      </c>
      <c r="EC3" s="222" t="s">
        <v>79</v>
      </c>
      <c r="ED3" s="210" t="s">
        <v>79</v>
      </c>
      <c r="EE3" s="210" t="s">
        <v>79</v>
      </c>
      <c r="EF3" s="210" t="s">
        <v>79</v>
      </c>
      <c r="EG3" s="210" t="s">
        <v>79</v>
      </c>
      <c r="EH3" s="210" t="s">
        <v>79</v>
      </c>
      <c r="EI3" s="189" t="s">
        <v>79</v>
      </c>
      <c r="EK3" s="40" t="s">
        <v>525</v>
      </c>
      <c r="EL3" s="40" t="s">
        <v>525</v>
      </c>
      <c r="EM3" s="221" t="s">
        <v>525</v>
      </c>
      <c r="EN3" s="221" t="s">
        <v>525</v>
      </c>
      <c r="EO3" s="221" t="s">
        <v>525</v>
      </c>
      <c r="EP3" s="221" t="s">
        <v>525</v>
      </c>
      <c r="EQ3" s="221" t="s">
        <v>525</v>
      </c>
      <c r="ER3" s="40" t="s">
        <v>525</v>
      </c>
      <c r="ET3" s="40" t="s">
        <v>410</v>
      </c>
      <c r="EU3" s="40" t="s">
        <v>410</v>
      </c>
      <c r="EV3" s="221" t="s">
        <v>410</v>
      </c>
      <c r="EW3" s="221" t="s">
        <v>410</v>
      </c>
      <c r="EX3" s="221" t="s">
        <v>410</v>
      </c>
      <c r="EY3" s="221" t="s">
        <v>410</v>
      </c>
      <c r="EZ3" s="221" t="s">
        <v>410</v>
      </c>
      <c r="FA3" s="40" t="s">
        <v>410</v>
      </c>
      <c r="FC3" s="103" t="str">
        <f>Basicinfo!CT3</f>
        <v>mg/l</v>
      </c>
      <c r="FF3" t="s">
        <v>397</v>
      </c>
      <c r="FG3" t="s">
        <v>397</v>
      </c>
      <c r="FH3" t="s">
        <v>397</v>
      </c>
      <c r="FI3" t="s">
        <v>397</v>
      </c>
      <c r="FK3" t="s">
        <v>397</v>
      </c>
      <c r="FL3" t="s">
        <v>397</v>
      </c>
      <c r="FM3" t="s">
        <v>397</v>
      </c>
      <c r="FN3" t="s">
        <v>397</v>
      </c>
      <c r="FO3" t="s">
        <v>397</v>
      </c>
      <c r="FP3" t="s">
        <v>397</v>
      </c>
      <c r="FQ3" t="s">
        <v>79</v>
      </c>
      <c r="FS3" s="40" t="s">
        <v>79</v>
      </c>
      <c r="FT3" s="40" t="s">
        <v>79</v>
      </c>
      <c r="FU3" s="222" t="s">
        <v>79</v>
      </c>
      <c r="FV3" s="222" t="s">
        <v>79</v>
      </c>
      <c r="FW3" s="222" t="s">
        <v>79</v>
      </c>
      <c r="FX3" s="210" t="s">
        <v>79</v>
      </c>
      <c r="FY3" s="210" t="s">
        <v>79</v>
      </c>
      <c r="FZ3" s="210" t="s">
        <v>79</v>
      </c>
      <c r="GA3" s="210" t="s">
        <v>79</v>
      </c>
      <c r="GB3" s="210" t="s">
        <v>79</v>
      </c>
      <c r="GR3" t="s">
        <v>397</v>
      </c>
      <c r="GS3" t="s">
        <v>397</v>
      </c>
      <c r="GT3" t="s">
        <v>397</v>
      </c>
      <c r="GU3" t="s">
        <v>397</v>
      </c>
      <c r="GW3" t="s">
        <v>397</v>
      </c>
      <c r="GX3" t="s">
        <v>397</v>
      </c>
      <c r="GY3" t="s">
        <v>397</v>
      </c>
      <c r="GZ3" t="s">
        <v>397</v>
      </c>
      <c r="HA3" t="s">
        <v>397</v>
      </c>
      <c r="HB3" t="s">
        <v>397</v>
      </c>
      <c r="HC3" t="s">
        <v>79</v>
      </c>
      <c r="HE3" s="103" t="str">
        <f>DY3</f>
        <v>t/a</v>
      </c>
      <c r="HF3" s="103" t="str">
        <f>DZ3</f>
        <v>t/a</v>
      </c>
      <c r="HG3" s="222" t="s">
        <v>79</v>
      </c>
      <c r="HH3" s="222" t="s">
        <v>79</v>
      </c>
      <c r="HI3" s="222" t="s">
        <v>79</v>
      </c>
      <c r="HJ3" s="103" t="str">
        <f t="shared" si="0"/>
        <v>t/a</v>
      </c>
      <c r="HK3" s="103" t="str">
        <f t="shared" si="0"/>
        <v>t/a</v>
      </c>
      <c r="HL3" s="103" t="str">
        <f t="shared" si="0"/>
        <v>t/a</v>
      </c>
      <c r="HM3" s="103" t="str">
        <f t="shared" si="0"/>
        <v>t/a</v>
      </c>
      <c r="HN3" s="103" t="str">
        <f t="shared" si="0"/>
        <v>t/a</v>
      </c>
      <c r="HO3" s="103" t="str">
        <f t="shared" si="0"/>
        <v>t/a</v>
      </c>
      <c r="HP3" s="103"/>
      <c r="HQ3" s="40" t="s">
        <v>79</v>
      </c>
      <c r="HR3" s="40" t="s">
        <v>79</v>
      </c>
      <c r="HS3" s="222" t="s">
        <v>79</v>
      </c>
      <c r="HT3" s="222" t="s">
        <v>79</v>
      </c>
      <c r="HU3" s="222" t="s">
        <v>79</v>
      </c>
      <c r="HV3" s="210" t="s">
        <v>79</v>
      </c>
      <c r="HW3" s="210" t="s">
        <v>79</v>
      </c>
      <c r="HX3" s="210" t="s">
        <v>79</v>
      </c>
      <c r="HY3" s="210" t="s">
        <v>79</v>
      </c>
      <c r="HZ3" s="210" t="s">
        <v>79</v>
      </c>
      <c r="IB3" s="242" t="s">
        <v>229</v>
      </c>
      <c r="IC3" s="242" t="s">
        <v>79</v>
      </c>
      <c r="ID3" s="242" t="s">
        <v>79</v>
      </c>
      <c r="IE3" s="242" t="s">
        <v>79</v>
      </c>
      <c r="IF3" s="242" t="s">
        <v>79</v>
      </c>
      <c r="IG3" s="242" t="s">
        <v>79</v>
      </c>
      <c r="IH3" s="242" t="s">
        <v>79</v>
      </c>
      <c r="II3" s="242" t="s">
        <v>79</v>
      </c>
      <c r="IJ3" s="242" t="s">
        <v>79</v>
      </c>
      <c r="IK3" s="242" t="s">
        <v>79</v>
      </c>
      <c r="IL3" s="242" t="s">
        <v>79</v>
      </c>
      <c r="IM3" s="242" t="s">
        <v>79</v>
      </c>
      <c r="IN3" s="242" t="s">
        <v>79</v>
      </c>
      <c r="IP3" s="103" t="str">
        <f t="shared" si="2"/>
        <v>t/a</v>
      </c>
      <c r="IQ3" s="103" t="str">
        <f t="shared" si="2"/>
        <v>t/y</v>
      </c>
      <c r="IR3" s="103" t="str">
        <f t="shared" si="2"/>
        <v>t/a</v>
      </c>
      <c r="IS3" s="103" t="str">
        <f t="shared" si="2"/>
        <v>t/a</v>
      </c>
      <c r="IT3" s="103" t="str">
        <f t="shared" si="2"/>
        <v>t/a</v>
      </c>
      <c r="IU3" s="103" t="str">
        <f t="shared" si="2"/>
        <v>t/a</v>
      </c>
      <c r="IV3" s="103" t="str">
        <f t="shared" si="2"/>
        <v>t/a</v>
      </c>
      <c r="IW3" s="103" t="str">
        <f t="shared" si="2"/>
        <v>t/a</v>
      </c>
      <c r="IX3" s="103" t="str">
        <f t="shared" si="2"/>
        <v>t/a</v>
      </c>
    </row>
    <row r="4" spans="1:258" ht="15.75" customHeight="1">
      <c r="A4" s="39" t="str">
        <f>Basicinfo!A4</f>
        <v>Moosb./Mühlheimerache</v>
      </c>
      <c r="B4" s="63">
        <f>Basicinfo!B4</f>
        <v>580</v>
      </c>
      <c r="C4" s="63">
        <f>Basicinfo!C4</f>
        <v>0</v>
      </c>
      <c r="D4" s="130">
        <f>Basicinfo!G4</f>
        <v>126.601554666</v>
      </c>
      <c r="E4" s="87">
        <f>N4+O4</f>
        <v>1.4660504824059599</v>
      </c>
      <c r="F4" s="19">
        <f>Intermediate!AR4</f>
        <v>1.7621692515189268E-2</v>
      </c>
      <c r="G4" s="19">
        <f>Intermediate!AU4</f>
        <v>0.24865252857636438</v>
      </c>
      <c r="H4" s="19">
        <f>Intermediate!AW4</f>
        <v>0</v>
      </c>
      <c r="I4" s="19">
        <f>Intermediate!AZ4</f>
        <v>4.6004332526996032E-2</v>
      </c>
      <c r="J4" s="19">
        <f>Intermediate!BA4</f>
        <v>1.1094121169889388</v>
      </c>
      <c r="K4" s="19">
        <f>Intermediate!AC4</f>
        <v>1.1981439384347283E-2</v>
      </c>
      <c r="L4" s="19">
        <f>Intermediate!AO4</f>
        <v>3.2217228568012309E-3</v>
      </c>
      <c r="M4" s="19">
        <f>Intermediate!AP4</f>
        <v>1.5102584573388981E-2</v>
      </c>
      <c r="N4" s="19">
        <f>SUM(F4:M4)</f>
        <v>1.4519964174220261</v>
      </c>
      <c r="O4" s="19">
        <f>Basicinfo!CB4+Basicinfo!CG4</f>
        <v>1.4054064983933705E-2</v>
      </c>
      <c r="P4" s="56">
        <f>Intermediate!BK4-Intermediate!BI4</f>
        <v>86.812938826970026</v>
      </c>
      <c r="Q4" s="43">
        <f>Intermediate!BI4</f>
        <v>439.46721411119461</v>
      </c>
      <c r="R4" s="88">
        <f t="shared" ref="R4:R16" si="3">P4+Q4</f>
        <v>526.28015293816463</v>
      </c>
      <c r="S4" s="61">
        <f>Intermediate!F4*Intermediate!BO4/1000</f>
        <v>3.5065920389525673</v>
      </c>
      <c r="T4" s="19">
        <f>Intermediate!BU4*Intermediate!AU4*86.4*0.365</f>
        <v>16.266980628394712</v>
      </c>
      <c r="U4" s="19">
        <f>Intermediate!AW4*Intermediate!BS4*0.365*86.4</f>
        <v>0</v>
      </c>
      <c r="V4" s="19">
        <f>(Basicinfo!BL4/1000000)*(Intermediate!BK4-Intermediate!BF4-Intermediate!BG4-Intermediate!BH4)*Intermediate!CV4</f>
        <v>0.75904640233595788</v>
      </c>
      <c r="W4" s="19">
        <f>Intermediate!BI4*Parameters!$C$51/1000000</f>
        <v>1.0986680352779866E-2</v>
      </c>
      <c r="X4" s="19">
        <f>Intermediate!AZ4*Intermediate!CG4*86.4*0.365</f>
        <v>17.24072412005205</v>
      </c>
      <c r="Y4" s="19">
        <f>Intermediate!CM4*Intermediate!BA4*86.4*0.365+Parameters!$C$126*Intermediate!BB4*Basicinfo!P4/1000+Parameters!$C$127*Intermediate!BB4*Basicinfo!S4/1000</f>
        <v>107.10579679648974</v>
      </c>
      <c r="Z4" s="19">
        <f>Intermediate!DG4</f>
        <v>1.1298124563455201</v>
      </c>
      <c r="AA4" s="19">
        <f>Intermediate!DI4</f>
        <v>0.96127797605469423</v>
      </c>
      <c r="AB4" s="19">
        <f>Intermediate!DK4</f>
        <v>0.54126845284592717</v>
      </c>
      <c r="AC4" s="19">
        <f>SUM(S4:AB4)</f>
        <v>147.52248555182399</v>
      </c>
      <c r="AD4" s="19">
        <f>Basicinfo!CC4+Basicinfo!CE4+Basicinfo!CH4+Basicinfo!CJ4</f>
        <v>1.5501200000000002</v>
      </c>
      <c r="AE4" s="87">
        <f>AC4+AD4</f>
        <v>149.07260555182398</v>
      </c>
      <c r="AF4" s="56">
        <f>Intermediate!F4*Basicinfo!BD4/1000</f>
        <v>5.6396953671328416E-2</v>
      </c>
      <c r="AG4" s="43">
        <f>Intermediate!CA4*Intermediate!AU4*86.4*0.365</f>
        <v>0.2746144851678809</v>
      </c>
      <c r="AH4" s="43">
        <f>Intermediate!AW4*Intermediate!BZ4*0.365*86.4</f>
        <v>0</v>
      </c>
      <c r="AI4" s="43">
        <f>(Intermediate!CU4/1000000)*(Intermediate!BK4-Intermediate!BF4-Intermediate!BG4-Intermediate!BH4)*Intermediate!CW4</f>
        <v>0.47264499202588622</v>
      </c>
      <c r="AJ4" s="43">
        <f>Intermediate!BF4*Parameters!$C$52/1000000+(Intermediate!BG4+Intermediate!BH4)*Intermediate!CX4/1000000</f>
        <v>0.19776024635003758</v>
      </c>
      <c r="AK4" s="43">
        <f>Intermediate!AZ4*Intermediate!CH4*86.4*0.365</f>
        <v>0.61373815323479775</v>
      </c>
      <c r="AL4" s="58">
        <f>Intermediate!CR4*Intermediate!BA4*86.4*0.365</f>
        <v>1.0625183180126703</v>
      </c>
      <c r="AM4" s="43">
        <f>Intermediate!DH4</f>
        <v>0.22841239319170989</v>
      </c>
      <c r="AN4" s="42">
        <f>Intermediate!DJ4</f>
        <v>0.16750424720684648</v>
      </c>
      <c r="AO4" s="42">
        <f>Intermediate!DL4</f>
        <v>8.0684541810668531E-2</v>
      </c>
      <c r="AP4" s="42">
        <f>SUM(AF4:AO4)</f>
        <v>3.1542743306718264</v>
      </c>
      <c r="AQ4" s="43">
        <f>Basicinfo!CD4+Basicinfo!CF4+Basicinfo!CI4+Basicinfo!CK4</f>
        <v>0.25710416666666669</v>
      </c>
      <c r="AR4" s="83">
        <f t="shared" ref="AR4:AR16" si="4">AP4+AQ4</f>
        <v>3.4113784973384931</v>
      </c>
      <c r="AS4" s="19">
        <f>F4*86400*365/(Basicinfo!G4*1000000)*1000</f>
        <v>4.3895013503199243</v>
      </c>
      <c r="AT4" s="19">
        <f>G4*86400*365/(Basicinfo!G4*1000000)*1000</f>
        <v>61.938466410398163</v>
      </c>
      <c r="AU4" s="19">
        <f>H4*86400*365/(Basicinfo!G4*1000000)*1000</f>
        <v>0</v>
      </c>
      <c r="AV4" s="19">
        <f>I4*86400*365/(Basicinfo!G4*1000000)*1000</f>
        <v>11.459516704979062</v>
      </c>
      <c r="AW4" s="19">
        <f>J4*86400*365/(Basicinfo!G4*1000000)*1000</f>
        <v>276.35063892907391</v>
      </c>
      <c r="AX4" s="53">
        <f>K4*86400*365/(Basicinfo!G4*1000000)*1000</f>
        <v>2.9845342217290334</v>
      </c>
      <c r="AY4" s="53">
        <f>L4*86400*365/(Basicinfo!G4*1000000)*1000</f>
        <v>0.80251978168929472</v>
      </c>
      <c r="AZ4" s="53">
        <f>M4*86400*365/(Basicinfo!G4*1000000)*1000</f>
        <v>3.7620004617076237</v>
      </c>
      <c r="BA4" s="19">
        <f>SUM(AS4:AZ4)</f>
        <v>361.68717785989696</v>
      </c>
      <c r="BB4" s="19">
        <f>O4*86400*365/(Basicinfo!G4*1000000)*1000</f>
        <v>3.5008179362615772</v>
      </c>
      <c r="BC4" s="53">
        <f>BA4+BB4</f>
        <v>365.18799579615853</v>
      </c>
      <c r="BD4" s="56">
        <f>P4/(Basicinfo!G4*100)*1000</f>
        <v>6.857177943509444</v>
      </c>
      <c r="BE4" s="43">
        <f>Q4/(Basicinfo!G4*100)*1000</f>
        <v>34.712623811816236</v>
      </c>
      <c r="BF4" s="58">
        <f t="shared" ref="BF4:BF16" si="5">SUM(BD4:BE4)</f>
        <v>41.569801755325678</v>
      </c>
      <c r="BG4" s="61">
        <f>S4/(Basicinfo!G4*100)*1000000</f>
        <v>276.97859226165531</v>
      </c>
      <c r="BH4" s="19">
        <f>T4/(Basicinfo!G4*100)*1000000</f>
        <v>1284.8958033185481</v>
      </c>
      <c r="BI4" s="19">
        <f>U4/(Basicinfo!G4*100)*1000000</f>
        <v>0</v>
      </c>
      <c r="BJ4" s="19">
        <f>V4/(Basicinfo!G4*100)*1000000</f>
        <v>59.955535643971579</v>
      </c>
      <c r="BK4" s="19">
        <f>W4/(Basicinfo!G4*100)*1000000</f>
        <v>0.86781559529540597</v>
      </c>
      <c r="BL4" s="19">
        <f>X4/(Basicinfo!G4*100)*1000000</f>
        <v>1361.8098265488525</v>
      </c>
      <c r="BM4" s="19">
        <f>Y4/(Basicinfo!G4*100)*1000000</f>
        <v>8460.0696317715901</v>
      </c>
      <c r="BN4" s="53">
        <f>Z4/(Basicinfo!G4*100)*1000000</f>
        <v>89.241594175220783</v>
      </c>
      <c r="BO4" s="53">
        <f>AA4/(Basicinfo!G4*100)*1000000</f>
        <v>75.929397438343955</v>
      </c>
      <c r="BP4" s="53">
        <f>AB4/(Basicinfo!G4*100)*1000000</f>
        <v>42.753697162242652</v>
      </c>
      <c r="BQ4" s="19">
        <f>SUM(BG4:BP4)</f>
        <v>11652.50189391572</v>
      </c>
      <c r="BR4" s="19">
        <f>AD4/(Basicinfo!G4*100)*1000000</f>
        <v>122.44083448181375</v>
      </c>
      <c r="BS4" s="53">
        <f t="shared" ref="BS4:BS16" si="6">BQ4+BR4</f>
        <v>11774.942728397533</v>
      </c>
      <c r="BT4" s="56">
        <f>AF4/(Basicinfo!G4*100)*1000000</f>
        <v>4.4546809729244448</v>
      </c>
      <c r="BU4" s="43">
        <f>AG4/(Basicinfo!G4*100)*1000000</f>
        <v>21.691241145684852</v>
      </c>
      <c r="BV4" s="43">
        <f>AH4/(Basicinfo!G4*100)*1000000</f>
        <v>0</v>
      </c>
      <c r="BW4" s="43">
        <f>AI4/(Basicinfo!G4*100)*1000000</f>
        <v>37.333269190320564</v>
      </c>
      <c r="BX4" s="43">
        <f>AJ4/(Basicinfo!G4*100)*1000000</f>
        <v>15.620680715317308</v>
      </c>
      <c r="BY4" s="58">
        <f>AK4/(Basicinfo!G4*100)*1000000</f>
        <v>48.477931795858332</v>
      </c>
      <c r="BZ4" s="58">
        <f>AL4/(Basicinfo!G4*100)*1000000</f>
        <v>83.926166690117213</v>
      </c>
      <c r="CA4" s="58">
        <f>AM4/(Basicinfo!G4*100)*1000000</f>
        <v>18.041831618443162</v>
      </c>
      <c r="CB4" s="58">
        <f>AN4/(Basicinfo!G4*100)*1000000</f>
        <v>13.230820715334492</v>
      </c>
      <c r="CC4" s="58">
        <f>AO4/(Basicinfo!G4*100)*1000000</f>
        <v>6.3731082942488619</v>
      </c>
      <c r="CD4" s="58">
        <f>SUM(BT4:CC4)</f>
        <v>249.14973113824922</v>
      </c>
      <c r="CE4" s="58">
        <f>AQ4/(Basicinfo!G4*100)*1000000</f>
        <v>20.308136605822771</v>
      </c>
      <c r="CF4" s="43">
        <f t="shared" ref="CF4:CF16" si="7">CD4+CE4</f>
        <v>269.45786774407202</v>
      </c>
      <c r="CG4" s="84"/>
      <c r="CH4" s="84">
        <f t="shared" ref="CH4:CH56" si="8">AD4</f>
        <v>1.5501200000000002</v>
      </c>
      <c r="CI4" s="146">
        <f t="shared" ref="CI4:CI50" si="9">Z4+AA4+AB4</f>
        <v>2.6323588852461413</v>
      </c>
      <c r="CJ4" s="200">
        <f>Intermediate!EW4+Intermediate!EY4+Intermediate!FD4</f>
        <v>20.236536109423447</v>
      </c>
      <c r="CK4" s="180">
        <f>Intermediate!FA4+Intermediate!FF4</f>
        <v>16.087056509733035</v>
      </c>
      <c r="CL4" s="180">
        <f t="shared" ref="CL4:CL35" si="10">X4</f>
        <v>17.24072412005205</v>
      </c>
      <c r="CM4" s="180">
        <f t="shared" ref="CM4:CM35" si="11">S4+T4+U4+V4+Y4+W4-CN4-CO4-CJ4-CK4-CP4</f>
        <v>54.150198064330787</v>
      </c>
      <c r="CN4" s="202">
        <f>Intermediate!EX4+Intermediate!EZ4+Intermediate!FE4</f>
        <v>7.9911388287258491</v>
      </c>
      <c r="CO4" s="180">
        <f>Intermediate!FB4+Intermediate!FG4</f>
        <v>6.423497977738915</v>
      </c>
      <c r="CP4" s="213">
        <f>Intermediate!EP4+Intermediate!EQ4+Intermediate!ER4+Intermediate!ES4+Intermediate!ET4+Intermediate!EU4+Intermediate!EV4+W4</f>
        <v>22.760975056573734</v>
      </c>
      <c r="CQ4" s="212">
        <f t="shared" ref="CQ4:CQ56" si="12">CN4+CO4</f>
        <v>14.414636806464763</v>
      </c>
      <c r="CR4" s="212">
        <f t="shared" ref="CR4:CR56" si="13">CM4+CK4+CJ4+CL4</f>
        <v>107.71451480353932</v>
      </c>
      <c r="CS4" s="211">
        <f t="shared" ref="CS4:CS35" si="14">Z4+AD4</f>
        <v>2.6799324563455205</v>
      </c>
      <c r="CT4" s="212">
        <f t="shared" ref="CT4:CT56" si="15">CS4+CQ4+CR4+CP4</f>
        <v>147.57005912292334</v>
      </c>
      <c r="CU4" s="84"/>
      <c r="CV4" s="31">
        <f t="shared" ref="CV4:CV56" si="16">AE4</f>
        <v>149.07260555182398</v>
      </c>
      <c r="CW4" s="31">
        <f>CH4/Basicinfo!$G4*1000/100</f>
        <v>0.12244083448181374</v>
      </c>
      <c r="CX4" s="31">
        <f>CI4/Basicinfo!$G4*1000/100</f>
        <v>0.20792468877580736</v>
      </c>
      <c r="CY4" s="31">
        <f>CS4/Basicinfo!$G4*1000/100</f>
        <v>0.21168242865703454</v>
      </c>
      <c r="CZ4" s="31">
        <f>CN4/Basicinfo!$G4*1000/100</f>
        <v>0.63120384657266315</v>
      </c>
      <c r="DA4" s="31">
        <f>CO4/Basicinfo!$G4*1000/100</f>
        <v>0.5073790756113048</v>
      </c>
      <c r="DB4" s="31">
        <f>CQ4/Basicinfo!$G4*1000/100</f>
        <v>1.1385829221839678</v>
      </c>
      <c r="DC4" s="31">
        <f>CJ4/Basicinfo!$G4*1000/100</f>
        <v>1.5984429387783936</v>
      </c>
      <c r="DD4" s="31">
        <f>CK4/Basicinfo!$G4*1000/100</f>
        <v>1.2706839621499024</v>
      </c>
      <c r="DE4" s="31">
        <f>CM4/Basicinfo!$G4*1000/100</f>
        <v>4.2772143049261713</v>
      </c>
      <c r="DF4" s="31">
        <f>CR4/Basicinfo!$G4*1000/100</f>
        <v>8.5081510324033189</v>
      </c>
      <c r="DG4" s="31">
        <f>CP4/Basicinfo!$G4*1000/100</f>
        <v>1.7978432505526254</v>
      </c>
      <c r="DH4" s="31">
        <f>CT4/Basicinfo!$G4*1000/100</f>
        <v>11.65625963379695</v>
      </c>
      <c r="DI4" s="31">
        <f>CV4/Basicinfo!$G4*1000/100</f>
        <v>11.774942728397534</v>
      </c>
      <c r="DJ4" s="31"/>
      <c r="DK4" s="188">
        <f t="shared" ref="DK4:DK56" si="17">CH4/$CT4*100</f>
        <v>1.0504298834147492</v>
      </c>
      <c r="DL4" s="188">
        <f t="shared" ref="DL4:DL56" si="18">CI4/$CT4*100</f>
        <v>1.7838028261908001</v>
      </c>
      <c r="DM4" s="188">
        <f t="shared" ref="DM4:DM56" si="19">CS4/$CT4*100</f>
        <v>1.8160407824416351</v>
      </c>
      <c r="DN4" s="188">
        <f t="shared" ref="DN4:DN56" si="20">CN4/$CT4*100</f>
        <v>5.415149167941558</v>
      </c>
      <c r="DO4" s="188">
        <f t="shared" ref="DO4:DO56" si="21">CO4/$CT4*100</f>
        <v>4.3528463808422346</v>
      </c>
      <c r="DP4" s="188">
        <f t="shared" ref="DP4:DP56" si="22">CQ4/$CT4*100</f>
        <v>9.7679955487837926</v>
      </c>
      <c r="DQ4" s="188">
        <f t="shared" ref="DQ4:DQ57" si="23">CJ4/$CT4*100</f>
        <v>13.713172055157042</v>
      </c>
      <c r="DR4" s="188">
        <f t="shared" ref="DR4:DR57" si="24">CK4/$CT4*100</f>
        <v>10.901301121206973</v>
      </c>
      <c r="DS4" s="188">
        <f t="shared" ref="DS4:DS57" si="25">CM4/$CT4*100</f>
        <v>36.694569607256575</v>
      </c>
      <c r="DT4" s="188">
        <f t="shared" ref="DT4:DT56" si="26">CR4/$CT4*100</f>
        <v>72.992120111448187</v>
      </c>
      <c r="DU4" s="188">
        <f t="shared" ref="DU4:DU56" si="27">CP4/$CT4*100</f>
        <v>15.423843557326375</v>
      </c>
      <c r="DV4" s="188">
        <f t="shared" ref="DV4:DV57" si="28">CT4/$CT4*100</f>
        <v>100</v>
      </c>
      <c r="DW4" s="188">
        <f t="shared" ref="DW4:DW57" si="29">CV4/$CT4*100</f>
        <v>101.01819192716393</v>
      </c>
      <c r="DY4" s="181">
        <f t="shared" ref="DY4:DY56" si="30">AQ4</f>
        <v>0.25710416666666669</v>
      </c>
      <c r="DZ4" s="181">
        <f>AM4+AN4+AO4</f>
        <v>0.47660118220922487</v>
      </c>
      <c r="EA4" s="185">
        <f t="shared" ref="EA4:EA56" si="31">AK4</f>
        <v>0.61373815323479775</v>
      </c>
      <c r="EB4" s="185">
        <f>AG4+AH4+AL4-Intermediate!FJ4-Intermediate!FM4</f>
        <v>1.0451868779784217</v>
      </c>
      <c r="EC4" s="185">
        <f>AI4+AJ4-Intermediate!FK4</f>
        <v>0.42261469287584691</v>
      </c>
      <c r="ED4" s="240">
        <f t="shared" ref="ED4:ED56" si="32">AF4</f>
        <v>5.6396953671328416E-2</v>
      </c>
      <c r="EE4" s="240">
        <f>Intermediate!FJ4+Intermediate!FK4+Intermediate!FM4</f>
        <v>0.53973647070220654</v>
      </c>
      <c r="EF4" s="240">
        <f t="shared" ref="EF4:EF56" si="33">AG4+AH4+AI4+AJ4+AK4+AL4-EE4</f>
        <v>2.0815397240890663</v>
      </c>
      <c r="EG4" s="240">
        <f t="shared" ref="EG4:EG56" si="34">DZ4+DY4</f>
        <v>0.73370534887589156</v>
      </c>
      <c r="EH4" s="240">
        <f t="shared" ref="EH4:EH56" si="35">EG4+ED4+EF4+EE4</f>
        <v>3.4113784973384931</v>
      </c>
      <c r="EI4" s="181">
        <f t="shared" ref="EI4:EI56" si="36">AR4</f>
        <v>3.4113784973384931</v>
      </c>
      <c r="EK4" s="31">
        <f>DY4/Basicinfo!$G4*1000/100</f>
        <v>2.0308136605822771E-2</v>
      </c>
      <c r="EL4" s="31">
        <f>DZ4/Basicinfo!$G4*1000/100</f>
        <v>3.7645760628026513E-2</v>
      </c>
      <c r="EM4" s="220">
        <f>EG4/Basicinfo!$G4*1000/100</f>
        <v>5.7953897233849277E-2</v>
      </c>
      <c r="EN4" s="220">
        <f>ED4/Basicinfo!$G4*1000/100</f>
        <v>4.4546809729244449E-3</v>
      </c>
      <c r="EO4" s="220">
        <f>EF4/Basicinfo!$G4*1000/100</f>
        <v>0.16441660053706142</v>
      </c>
      <c r="EP4" s="220">
        <f>EE4/Basicinfo!$G4*1000/100</f>
        <v>4.2632689000236874E-2</v>
      </c>
      <c r="EQ4" s="220">
        <f>EH4/Basicinfo!$G4*1000/100</f>
        <v>0.26945786774407199</v>
      </c>
      <c r="ER4" s="31">
        <f>EI4/Basicinfo!$G4*1000/100</f>
        <v>0.26945786774407199</v>
      </c>
      <c r="ET4" s="188">
        <f t="shared" ref="ET4:ET57" si="37">EK4/$ER4*100</f>
        <v>7.536664924963782</v>
      </c>
      <c r="EU4" s="188">
        <f t="shared" ref="EU4:EU57" si="38">EL4/$ER4*100</f>
        <v>13.970926491477334</v>
      </c>
      <c r="EV4" s="223">
        <f t="shared" ref="EV4:EV57" si="39">EM4/$ER4*100</f>
        <v>21.507591416441116</v>
      </c>
      <c r="EW4" s="223">
        <f t="shared" ref="EW4:EW57" si="40">EN4/$ER4*100</f>
        <v>1.653201300158528</v>
      </c>
      <c r="EX4" s="223">
        <f t="shared" ref="EX4:EX57" si="41">EO4/$ER4*100</f>
        <v>61.017554214903249</v>
      </c>
      <c r="EY4" s="223">
        <f t="shared" ref="EY4:EY57" si="42">EP4/$ER4*100</f>
        <v>15.821653068497119</v>
      </c>
      <c r="EZ4" s="223">
        <f t="shared" ref="EZ4:EZ57" si="43">EQ4/$ER4*100</f>
        <v>100</v>
      </c>
      <c r="FA4" s="188">
        <f t="shared" ref="FA4:FA57" si="44">ER4/$ER4*100</f>
        <v>100</v>
      </c>
      <c r="FC4" s="236">
        <f>Basicinfo!CT4</f>
        <v>4.9850537634408614</v>
      </c>
      <c r="FD4" s="181">
        <f>IF((Intermediate!CL4+Intermediate!CM4*3)/4&gt;11,(Intermediate!CL4+Intermediate!CM4*9)/10,(Intermediate!CL4+Intermediate!CM4*3)/4)</f>
        <v>4.1687150412463527</v>
      </c>
      <c r="FF4" s="31">
        <f t="shared" ref="FF4:FF56" si="45">AF4</f>
        <v>5.6396953671328416E-2</v>
      </c>
      <c r="FG4" s="31">
        <f t="shared" ref="FG4:FG56" si="46">AG4</f>
        <v>0.2746144851678809</v>
      </c>
      <c r="FH4" s="31">
        <f t="shared" ref="FH4:FH56" si="47">AH4</f>
        <v>0</v>
      </c>
      <c r="FI4" s="31">
        <f>(AI4-(P4*450/1000000))*Parameters!$C$153</f>
        <v>0.34686333564299976</v>
      </c>
      <c r="FJ4" s="31"/>
      <c r="FK4" s="31">
        <f t="shared" ref="FK4:FK56" si="48">AK4</f>
        <v>0.61373815323479775</v>
      </c>
      <c r="FL4" s="31">
        <f t="shared" ref="FL4:FL56" si="49">AL4</f>
        <v>1.0625183180126703</v>
      </c>
      <c r="FM4" s="31">
        <f>AM4*Parameters!$C$154</f>
        <v>0.20557115387253891</v>
      </c>
      <c r="FN4" s="31">
        <f>AN4*Parameters!$C$154</f>
        <v>0.15075382248616184</v>
      </c>
      <c r="FO4" s="31">
        <f>AO4*Parameters!$C$154</f>
        <v>7.2616087629601686E-2</v>
      </c>
      <c r="FP4" s="31">
        <f>AQ4*Parameters!$C$155</f>
        <v>0.25710416666666669</v>
      </c>
      <c r="FQ4" s="31">
        <f t="shared" ref="FQ4:FQ57" si="50">SUM(FF4:FP4)</f>
        <v>3.0401764763846466</v>
      </c>
      <c r="FS4" s="147">
        <f>DY4*Parameters!$C$155</f>
        <v>0.25710416666666669</v>
      </c>
      <c r="FT4" s="147">
        <f>DZ4*Parameters!$C$154</f>
        <v>0.4289410639883024</v>
      </c>
      <c r="FU4" s="181">
        <f t="shared" ref="FU4:FU57" si="51">EA4</f>
        <v>0.61373815323479775</v>
      </c>
      <c r="FV4" s="181">
        <f t="shared" ref="FV4:FV57" si="52">EB4</f>
        <v>1.0451868779784217</v>
      </c>
      <c r="FW4" s="31">
        <f t="shared" ref="FW4:FW57" si="53">FQ4-FS4-FT4-FU4-FV4-FX4-FY4</f>
        <v>0.34686333564300004</v>
      </c>
      <c r="FX4" s="181">
        <f t="shared" ref="FX4:FX57" si="54">ED4</f>
        <v>5.6396953671328416E-2</v>
      </c>
      <c r="FY4" s="147">
        <f>Intermediate!FJ4+Intermediate!FM4</f>
        <v>0.29194592520212964</v>
      </c>
      <c r="FZ4" s="181">
        <f t="shared" ref="FZ4:FZ57" si="55">SUM(FU4:FW4)</f>
        <v>2.0057883668562195</v>
      </c>
      <c r="GA4" s="147">
        <f t="shared" ref="GA4:GA57" si="56">SUM(FS4:FT4)</f>
        <v>0.68604523065496914</v>
      </c>
      <c r="GB4" s="181">
        <f t="shared" ref="GB4:GB57" si="57">SUM(FX4:GA4)</f>
        <v>3.0401764763846471</v>
      </c>
      <c r="GD4" s="147">
        <f>IF('River loads'!CH4&gt;0.99,1,0)</f>
        <v>1</v>
      </c>
      <c r="GE4" s="147">
        <f t="shared" ref="GE4:GE56" si="58">AF4*$GD4</f>
        <v>5.6396953671328416E-2</v>
      </c>
      <c r="GF4" s="147">
        <f t="shared" ref="GF4:GF56" si="59">AG4*$GD4</f>
        <v>0.2746144851678809</v>
      </c>
      <c r="GG4" s="147">
        <f t="shared" ref="GG4:GG56" si="60">AH4*$GD4</f>
        <v>0</v>
      </c>
      <c r="GH4" s="147">
        <f t="shared" ref="GH4:GH56" si="61">AI4*$GD4</f>
        <v>0.47264499202588622</v>
      </c>
      <c r="GI4" s="147">
        <f t="shared" ref="GI4:GI56" si="62">AJ4*$GD4</f>
        <v>0.19776024635003758</v>
      </c>
      <c r="GJ4" s="147">
        <f t="shared" ref="GJ4:GJ56" si="63">AK4*$GD4</f>
        <v>0.61373815323479775</v>
      </c>
      <c r="GK4" s="147">
        <f t="shared" ref="GK4:GK56" si="64">AL4*$GD4</f>
        <v>1.0625183180126703</v>
      </c>
      <c r="GL4" s="147">
        <f t="shared" ref="GL4:GL56" si="65">AM4*$GD4</f>
        <v>0.22841239319170989</v>
      </c>
      <c r="GM4" s="270">
        <f>AN4*GD4</f>
        <v>0.16750424720684648</v>
      </c>
      <c r="GN4" s="270">
        <f>AO4*GD4</f>
        <v>8.0684541810668531E-2</v>
      </c>
      <c r="GO4" s="147">
        <f t="shared" ref="GO4:GO56" si="66">AQ4*$GD4</f>
        <v>0.25710416666666669</v>
      </c>
      <c r="GP4" s="147">
        <f t="shared" ref="GP4:GP57" si="67">SUM(GE4:GO4)</f>
        <v>3.4113784973384931</v>
      </c>
      <c r="GQ4" s="147"/>
      <c r="GR4" s="147">
        <f t="shared" ref="GR4:GR57" si="68">$GD4*FF4</f>
        <v>5.6396953671328416E-2</v>
      </c>
      <c r="GS4" s="147">
        <f t="shared" ref="GS4:GS56" si="69">$GD4*FG4</f>
        <v>0.2746144851678809</v>
      </c>
      <c r="GT4" s="147">
        <f t="shared" ref="GT4:GT56" si="70">$GD4*FH4</f>
        <v>0</v>
      </c>
      <c r="GU4" s="147">
        <f t="shared" ref="GU4:GU56" si="71">$GD4*FI4</f>
        <v>0.34686333564299976</v>
      </c>
      <c r="GV4" s="147">
        <f t="shared" ref="GV4:GV56" si="72">$GD4*FJ4</f>
        <v>0</v>
      </c>
      <c r="GW4" s="147">
        <f t="shared" ref="GW4:GW56" si="73">$GD4*FK4</f>
        <v>0.61373815323479775</v>
      </c>
      <c r="GX4" s="147">
        <f t="shared" ref="GX4:GX56" si="74">$GD4*FL4</f>
        <v>1.0625183180126703</v>
      </c>
      <c r="GY4" s="147">
        <f t="shared" ref="GY4:GY56" si="75">$GD4*FM4</f>
        <v>0.20557115387253891</v>
      </c>
      <c r="GZ4" s="147">
        <f>$GD4*FN4</f>
        <v>0.15075382248616184</v>
      </c>
      <c r="HA4" s="147">
        <f>$GD4*FO4</f>
        <v>7.2616087629601686E-2</v>
      </c>
      <c r="HB4" s="147">
        <f t="shared" ref="HB4:HB56" si="76">$GD4*FP4</f>
        <v>0.25710416666666669</v>
      </c>
      <c r="HC4" s="147">
        <f t="shared" ref="HC4:HC56" si="77">$GD4*FQ4</f>
        <v>3.0401764763846466</v>
      </c>
      <c r="HD4" s="147"/>
      <c r="HE4" s="147">
        <f t="shared" ref="HE4:HE56" si="78">DY4*$GD4</f>
        <v>0.25710416666666669</v>
      </c>
      <c r="HF4" s="147">
        <f t="shared" ref="HF4:HF56" si="79">DZ4*$GD4</f>
        <v>0.47660118220922487</v>
      </c>
      <c r="HG4" s="147">
        <f t="shared" ref="HG4:HG56" si="80">EA4*$GD4</f>
        <v>0.61373815323479775</v>
      </c>
      <c r="HH4" s="147">
        <f t="shared" ref="HH4:HH56" si="81">EB4*$GD4</f>
        <v>1.0451868779784217</v>
      </c>
      <c r="HI4" s="147">
        <f t="shared" ref="HI4:HI56" si="82">EC4*$GD4</f>
        <v>0.42261469287584691</v>
      </c>
      <c r="HJ4" s="147">
        <f t="shared" ref="HJ4:HJ56" si="83">ED4*$GD4</f>
        <v>5.6396953671328416E-2</v>
      </c>
      <c r="HK4" s="147">
        <f t="shared" ref="HK4:HK56" si="84">EE4*$GD4</f>
        <v>0.53973647070220654</v>
      </c>
      <c r="HL4" s="147">
        <f t="shared" ref="HL4:HL56" si="85">EF4*$GD4</f>
        <v>2.0815397240890663</v>
      </c>
      <c r="HM4" s="147">
        <f t="shared" ref="HM4:HM56" si="86">EG4*$GD4</f>
        <v>0.73370534887589156</v>
      </c>
      <c r="HN4" s="147">
        <f t="shared" ref="HN4:HN56" si="87">EH4*$GD4</f>
        <v>3.4113784973384931</v>
      </c>
      <c r="HO4" s="147">
        <f t="shared" ref="HO4:HO56" si="88">EI4*$GD4</f>
        <v>3.4113784973384931</v>
      </c>
      <c r="HQ4" s="147">
        <f t="shared" ref="HQ4:HQ57" si="89">FS4*$GD4</f>
        <v>0.25710416666666669</v>
      </c>
      <c r="HR4" s="147">
        <f t="shared" ref="HR4:HR56" si="90">FT4*$GD4</f>
        <v>0.4289410639883024</v>
      </c>
      <c r="HS4" s="147">
        <f t="shared" ref="HS4:HS56" si="91">FU4*$GD4</f>
        <v>0.61373815323479775</v>
      </c>
      <c r="HT4" s="147">
        <f t="shared" ref="HT4:HT56" si="92">FV4*$GD4</f>
        <v>1.0451868779784217</v>
      </c>
      <c r="HU4" s="147">
        <f t="shared" ref="HU4:HU56" si="93">FW4*$GD4</f>
        <v>0.34686333564300004</v>
      </c>
      <c r="HV4" s="147">
        <f t="shared" ref="HV4:HV56" si="94">FX4*$GD4</f>
        <v>5.6396953671328416E-2</v>
      </c>
      <c r="HW4" s="147">
        <f t="shared" ref="HW4:HW56" si="95">FY4*$GD4</f>
        <v>0.29194592520212964</v>
      </c>
      <c r="HX4" s="147">
        <f t="shared" ref="HX4:HX56" si="96">FZ4*$GD4</f>
        <v>2.0057883668562195</v>
      </c>
      <c r="HY4" s="147">
        <f t="shared" ref="HY4:HY56" si="97">GA4*$GD4</f>
        <v>0.68604523065496914</v>
      </c>
      <c r="HZ4" s="147">
        <f t="shared" ref="HZ4:HZ56" si="98">GB4*$GD4</f>
        <v>3.0401764763846471</v>
      </c>
      <c r="IB4" s="147">
        <f>IF('River loads'!CI4&gt;0.99,1,0)</f>
        <v>0</v>
      </c>
      <c r="IC4">
        <f t="shared" ref="IC4:IC35" si="99">$IB4*S4</f>
        <v>0</v>
      </c>
      <c r="ID4">
        <f t="shared" ref="ID4:ID35" si="100">$IB4*T4</f>
        <v>0</v>
      </c>
      <c r="IE4">
        <f t="shared" ref="IE4:IE35" si="101">$IB4*U4</f>
        <v>0</v>
      </c>
      <c r="IF4">
        <f t="shared" ref="IF4:IF35" si="102">$IB4*V4</f>
        <v>0</v>
      </c>
      <c r="IG4">
        <f t="shared" ref="IG4:IG35" si="103">$IB4*W4</f>
        <v>0</v>
      </c>
      <c r="IH4">
        <f t="shared" ref="IH4:IH35" si="104">$IB4*X4</f>
        <v>0</v>
      </c>
      <c r="II4">
        <f t="shared" ref="II4:II35" si="105">$IB4*Y4</f>
        <v>0</v>
      </c>
      <c r="IJ4">
        <f t="shared" ref="IJ4:IJ35" si="106">$IB4*Z4</f>
        <v>0</v>
      </c>
      <c r="IK4">
        <f>$IB4*AA4</f>
        <v>0</v>
      </c>
      <c r="IL4">
        <f>$IB4*AB4</f>
        <v>0</v>
      </c>
      <c r="IM4">
        <f t="shared" ref="IM4:IM57" si="107">$IB4*AD4</f>
        <v>0</v>
      </c>
      <c r="IN4">
        <f t="shared" ref="IN4:IN57" si="108">$IB4*AE4</f>
        <v>0</v>
      </c>
      <c r="IP4">
        <f t="shared" ref="IP4:IP57" si="109">CH4*$IB4</f>
        <v>0</v>
      </c>
      <c r="IQ4">
        <f t="shared" ref="IQ4:IQ56" si="110">CI4*$IB4</f>
        <v>0</v>
      </c>
      <c r="IR4">
        <f t="shared" ref="IR4:IR56" si="111">CJ4*$IB4</f>
        <v>0</v>
      </c>
      <c r="IS4">
        <f t="shared" ref="IS4:IS56" si="112">CK4*$IB4</f>
        <v>0</v>
      </c>
      <c r="IT4">
        <f t="shared" ref="IT4:IT56" si="113">CL4*$IB4</f>
        <v>0</v>
      </c>
      <c r="IU4">
        <f t="shared" ref="IU4:IU56" si="114">CM4*$IB4</f>
        <v>0</v>
      </c>
      <c r="IV4">
        <f t="shared" ref="IV4:IV56" si="115">CN4*$IB4</f>
        <v>0</v>
      </c>
      <c r="IW4">
        <f t="shared" ref="IW4:IW56" si="116">CO4*$IB4</f>
        <v>0</v>
      </c>
      <c r="IX4">
        <f t="shared" ref="IX4:IX56" si="117">CP4*$IB4</f>
        <v>0</v>
      </c>
    </row>
    <row r="5" spans="1:258">
      <c r="A5" s="39" t="str">
        <f>Basicinfo!A5</f>
        <v>Enknach</v>
      </c>
      <c r="B5" s="63">
        <f>Basicinfo!B5</f>
        <v>600</v>
      </c>
      <c r="C5" s="63">
        <f>Basicinfo!C5</f>
        <v>610</v>
      </c>
      <c r="D5" s="130">
        <f>Basicinfo!G5</f>
        <v>120.044162032</v>
      </c>
      <c r="E5" s="87">
        <f t="shared" ref="E5:E56" si="118">N5+O5</f>
        <v>0.44046045544155299</v>
      </c>
      <c r="F5" s="19">
        <f>Intermediate!AR5</f>
        <v>4.4839097520814313E-3</v>
      </c>
      <c r="G5" s="19">
        <f>Intermediate!AU5</f>
        <v>5.3256986594873386E-2</v>
      </c>
      <c r="H5" s="19">
        <f>Intermediate!AW5</f>
        <v>0</v>
      </c>
      <c r="I5" s="19">
        <f>Intermediate!AZ5</f>
        <v>1.512656520226561E-2</v>
      </c>
      <c r="J5" s="19">
        <f>Intermediate!BA5</f>
        <v>0.35377926946492722</v>
      </c>
      <c r="K5" s="19">
        <f>Intermediate!AC5</f>
        <v>3.4625526883686063E-3</v>
      </c>
      <c r="L5" s="19">
        <f>Intermediate!AO5</f>
        <v>3.9453009965841213E-3</v>
      </c>
      <c r="M5" s="19">
        <f>Intermediate!AP5</f>
        <v>6.4058707424526516E-3</v>
      </c>
      <c r="N5" s="19">
        <f t="shared" ref="N5:N68" si="119">SUM(F5:M5)</f>
        <v>0.44046045544155299</v>
      </c>
      <c r="O5" s="19">
        <f>Basicinfo!CB5+Basicinfo!CG5</f>
        <v>0</v>
      </c>
      <c r="P5" s="56">
        <f>Intermediate!BK5-Intermediate!BI5</f>
        <v>600.74554925686402</v>
      </c>
      <c r="Q5" s="43">
        <f>Intermediate!BI5</f>
        <v>520.90279646122349</v>
      </c>
      <c r="R5" s="88">
        <f t="shared" si="3"/>
        <v>1121.6483457180875</v>
      </c>
      <c r="S5" s="61">
        <f>Intermediate!F5*Intermediate!BO5/1000</f>
        <v>0.87928533163944544</v>
      </c>
      <c r="T5" s="19">
        <f>Intermediate!BU5*Intermediate!AU5*86.4*0.365</f>
        <v>3.4811777653712634</v>
      </c>
      <c r="U5" s="19">
        <f>Intermediate!AW5*Intermediate!BS5*0.365*86.4</f>
        <v>0</v>
      </c>
      <c r="V5" s="19">
        <f>(Basicinfo!BL5/1000000)*(Intermediate!BK5-Intermediate!BF5-Intermediate!BG5-Intermediate!BH5)*Intermediate!CV5</f>
        <v>4.5126076803552522</v>
      </c>
      <c r="W5" s="19">
        <f>Intermediate!BI5*Parameters!$C$51/1000000</f>
        <v>1.3022569911530587E-2</v>
      </c>
      <c r="X5" s="19">
        <f>Intermediate!AZ5*Intermediate!CG5*86.4*0.365</f>
        <v>6.1260446316026966</v>
      </c>
      <c r="Y5" s="19">
        <f>Intermediate!CM5*Intermediate!BA5*86.4*0.365+Parameters!$C$126*Intermediate!BB5*Basicinfo!P5/1000+Parameters!$C$127*Intermediate!BB5*Basicinfo!S5/1000</f>
        <v>13.682564714450283</v>
      </c>
      <c r="Z5" s="19">
        <f>Intermediate!DG5</f>
        <v>0.33995873982396801</v>
      </c>
      <c r="AA5" s="19">
        <f>Intermediate!DI5</f>
        <v>1.099936417295432</v>
      </c>
      <c r="AB5" s="19">
        <f>Intermediate!DK5</f>
        <v>0.24118069845291176</v>
      </c>
      <c r="AC5" s="19">
        <f t="shared" ref="AC5:AC68" si="120">SUM(S5:AB5)</f>
        <v>30.37577854890278</v>
      </c>
      <c r="AD5" s="19">
        <f>Basicinfo!CC5+Basicinfo!CE5+Basicinfo!CH5+Basicinfo!CJ5</f>
        <v>0</v>
      </c>
      <c r="AE5" s="87">
        <f t="shared" ref="AE5:AE16" si="121">AC5+AD5</f>
        <v>30.37577854890278</v>
      </c>
      <c r="AF5" s="56">
        <f>Intermediate!F5*Basicinfo!BD5/1000</f>
        <v>1.4822740270263894E-2</v>
      </c>
      <c r="AG5" s="43">
        <f>Intermediate!CA5*Intermediate!AU5*86.4*0.365</f>
        <v>5.8929453130559757E-2</v>
      </c>
      <c r="AH5" s="43">
        <f>Intermediate!AW5*Intermediate!BZ5*0.365*86.4</f>
        <v>0</v>
      </c>
      <c r="AI5" s="43">
        <f>(Intermediate!CU5/1000000)*(Intermediate!BK5-Intermediate!BF5-Intermediate!BG5-Intermediate!BH5)*Intermediate!CW5</f>
        <v>2.4056840528555647</v>
      </c>
      <c r="AJ5" s="43">
        <f>Intermediate!BF5*Parameters!$C$52/1000000+(Intermediate!BG5+Intermediate!BH5)*Intermediate!CX5/1000000</f>
        <v>0.23440625840755058</v>
      </c>
      <c r="AK5" s="43">
        <f>Intermediate!AZ5*Intermediate!CH5*86.4*0.365</f>
        <v>3.8210430262881803E-2</v>
      </c>
      <c r="AL5" s="58">
        <f>Intermediate!CR5*Intermediate!BA5*86.4*0.365</f>
        <v>0.21187181965379986</v>
      </c>
      <c r="AM5" s="43">
        <f>Intermediate!DH5</f>
        <v>7.8177211641539485E-2</v>
      </c>
      <c r="AN5" s="42">
        <f>Intermediate!DJ5</f>
        <v>0.20331922241510664</v>
      </c>
      <c r="AO5" s="42">
        <f>Intermediate!DL5</f>
        <v>3.7371817507880274E-2</v>
      </c>
      <c r="AP5" s="42">
        <f t="shared" ref="AP5:AP68" si="122">SUM(AF5:AO5)</f>
        <v>3.2827930061451469</v>
      </c>
      <c r="AQ5" s="43">
        <f>Basicinfo!CD5+Basicinfo!CF5+Basicinfo!CI5+Basicinfo!CK5</f>
        <v>0</v>
      </c>
      <c r="AR5" s="83">
        <f t="shared" si="4"/>
        <v>3.2827930061451469</v>
      </c>
      <c r="AS5" s="19">
        <f>F5*86400*365/(Basicinfo!G5*1000000)*1000</f>
        <v>1.1779379817233093</v>
      </c>
      <c r="AT5" s="19">
        <f>G5*86400*365/(Basicinfo!G5*1000000)*1000</f>
        <v>13.990787230521228</v>
      </c>
      <c r="AU5" s="19">
        <f>H5*86400*365/(Basicinfo!G5*1000000)*1000</f>
        <v>0</v>
      </c>
      <c r="AV5" s="19">
        <f>I5*86400*365/(Basicinfo!G5*1000000)*1000</f>
        <v>3.9737989098669098</v>
      </c>
      <c r="AW5" s="19">
        <f>J5*86400*365/(Basicinfo!G5*1000000)*1000</f>
        <v>92.938988893703097</v>
      </c>
      <c r="AX5" s="53">
        <f>K5*86400*365/(Basicinfo!G5*1000000)*1000</f>
        <v>0.90962408943538964</v>
      </c>
      <c r="AY5" s="53">
        <f>L5*86400*365/(Basicinfo!G5*1000000)*1000</f>
        <v>1.0364436730801674</v>
      </c>
      <c r="AZ5" s="53">
        <f>M5*86400*365/(Basicinfo!G5*1000000)*1000</f>
        <v>1.6828435162064423</v>
      </c>
      <c r="BA5" s="19">
        <f t="shared" ref="BA5:BA68" si="123">SUM(AS5:AZ5)</f>
        <v>115.71042429453655</v>
      </c>
      <c r="BB5" s="19">
        <f>O5*86400*365/(Basicinfo!G5*1000000)*1000</f>
        <v>0</v>
      </c>
      <c r="BC5" s="53">
        <f t="shared" ref="BC5:BC16" si="124">BA5+BB5</f>
        <v>115.71042429453655</v>
      </c>
      <c r="BD5" s="56">
        <f>P5/(Basicinfo!G5*100)*1000</f>
        <v>50.043712171252785</v>
      </c>
      <c r="BE5" s="43">
        <f>Q5/(Basicinfo!G5*100)*1000</f>
        <v>43.392597161231976</v>
      </c>
      <c r="BF5" s="58">
        <f t="shared" si="5"/>
        <v>93.436309332484768</v>
      </c>
      <c r="BG5" s="61">
        <f>S5/(Basicinfo!G5*100)*1000000</f>
        <v>73.246821565971331</v>
      </c>
      <c r="BH5" s="19">
        <f>T5/(Basicinfo!G5*100)*1000000</f>
        <v>289.99142535921828</v>
      </c>
      <c r="BI5" s="19">
        <f>U5/(Basicinfo!G5*100)*1000000</f>
        <v>0</v>
      </c>
      <c r="BJ5" s="19">
        <f>V5/(Basicinfo!G5*100)*1000000</f>
        <v>375.91229793851471</v>
      </c>
      <c r="BK5" s="19">
        <f>W5/(Basicinfo!G5*100)*1000000</f>
        <v>1.0848149290307993</v>
      </c>
      <c r="BL5" s="19">
        <f>X5/(Basicinfo!G5*100)*1000000</f>
        <v>510.31591440237514</v>
      </c>
      <c r="BM5" s="19">
        <f>Y5/(Basicinfo!G5*100)*1000000</f>
        <v>1139.7942626150316</v>
      </c>
      <c r="BN5" s="53">
        <f>Z5/(Basicinfo!G5*100)*1000000</f>
        <v>28.319472939745765</v>
      </c>
      <c r="BO5" s="53">
        <f>AA5/(Basicinfo!G5*100)*1000000</f>
        <v>91.627647582080954</v>
      </c>
      <c r="BP5" s="53">
        <f>AB5/(Basicinfo!G5*100)*1000000</f>
        <v>20.090997710377664</v>
      </c>
      <c r="BQ5" s="19">
        <f t="shared" ref="BQ5:BQ68" si="125">SUM(BG5:BP5)</f>
        <v>2530.3836550423462</v>
      </c>
      <c r="BR5" s="19">
        <f>AD5/(Basicinfo!G5*100)*1000000</f>
        <v>0</v>
      </c>
      <c r="BS5" s="53">
        <f t="shared" si="6"/>
        <v>2530.3836550423462</v>
      </c>
      <c r="BT5" s="56">
        <f>AF5/(Basicinfo!G5*100)*1000000</f>
        <v>1.2347739381372513</v>
      </c>
      <c r="BU5" s="43">
        <f>AG5/(Basicinfo!G5*100)*1000000</f>
        <v>4.9089811726830179</v>
      </c>
      <c r="BV5" s="43">
        <f>AH5/(Basicinfo!G5*100)*1000000</f>
        <v>0</v>
      </c>
      <c r="BW5" s="43">
        <f>AI5/(Basicinfo!G5*100)*1000000</f>
        <v>200.39992050711177</v>
      </c>
      <c r="BX5" s="43">
        <f>AJ5/(Basicinfo!G5*100)*1000000</f>
        <v>19.52666872255439</v>
      </c>
      <c r="BY5" s="58">
        <f>AK5/(Basicinfo!G5*100)*1000000</f>
        <v>3.1830311125580684</v>
      </c>
      <c r="BZ5" s="58">
        <f>AL5/(Basicinfo!G5*100)*1000000</f>
        <v>17.649489660090385</v>
      </c>
      <c r="CA5" s="58">
        <f>AM5/(Basicinfo!G5*100)*1000000</f>
        <v>6.5123709740003761</v>
      </c>
      <c r="CB5" s="58">
        <f>AN5/(Basicinfo!G5*100)*1000000</f>
        <v>16.937035418757649</v>
      </c>
      <c r="CC5" s="58">
        <f>AO5/(Basicinfo!G5*100)*1000000</f>
        <v>3.1131724254877238</v>
      </c>
      <c r="CD5" s="58">
        <f t="shared" ref="CD5:CD68" si="126">SUM(BT5:CC5)</f>
        <v>273.46544393138066</v>
      </c>
      <c r="CE5" s="58">
        <f>AQ5/(Basicinfo!G5*100)*1000000</f>
        <v>0</v>
      </c>
      <c r="CF5" s="43">
        <f t="shared" si="7"/>
        <v>273.46544393138066</v>
      </c>
      <c r="CG5" s="84"/>
      <c r="CH5" s="84">
        <f t="shared" si="8"/>
        <v>0</v>
      </c>
      <c r="CI5" s="146">
        <f t="shared" si="9"/>
        <v>1.6810758555723118</v>
      </c>
      <c r="CJ5" s="200">
        <f>Intermediate!EW5+Intermediate!EY5+Intermediate!FD5</f>
        <v>2.3526190693094495</v>
      </c>
      <c r="CK5" s="180">
        <f>Intermediate!FA5+Intermediate!FF5</f>
        <v>2.7222152018018377</v>
      </c>
      <c r="CL5" s="180">
        <f t="shared" si="10"/>
        <v>6.1260446316026966</v>
      </c>
      <c r="CM5" s="180">
        <f t="shared" si="11"/>
        <v>12.490961909750402</v>
      </c>
      <c r="CN5" s="202">
        <f>Intermediate!EX5+Intermediate!EZ5+Intermediate!FE5</f>
        <v>0.94315867653219065</v>
      </c>
      <c r="CO5" s="180">
        <f>Intermediate!FB5+Intermediate!FG5</f>
        <v>1.1054168225165073</v>
      </c>
      <c r="CP5" s="213">
        <f>Intermediate!EP5+Intermediate!EQ5+Intermediate!ER5+Intermediate!ES5+Intermediate!ET5+Intermediate!EU5+Intermediate!EV5+W5</f>
        <v>2.9542863818173841</v>
      </c>
      <c r="CQ5" s="212">
        <f t="shared" si="12"/>
        <v>2.048575499048698</v>
      </c>
      <c r="CR5" s="212">
        <f t="shared" si="13"/>
        <v>23.691840812464385</v>
      </c>
      <c r="CS5" s="211">
        <f t="shared" si="14"/>
        <v>0.33995873982396801</v>
      </c>
      <c r="CT5" s="212">
        <f t="shared" si="15"/>
        <v>29.034661433154433</v>
      </c>
      <c r="CU5" s="84"/>
      <c r="CV5" s="31">
        <f t="shared" si="16"/>
        <v>30.37577854890278</v>
      </c>
      <c r="CW5" s="31">
        <f>CH5/Basicinfo!$G5*1000/100</f>
        <v>0</v>
      </c>
      <c r="CX5" s="31">
        <f>CI5/Basicinfo!$G5*1000/100</f>
        <v>0.14003811823220441</v>
      </c>
      <c r="CY5" s="31">
        <f>CS5/Basicinfo!$G5*1000/100</f>
        <v>2.8319472939745766E-2</v>
      </c>
      <c r="CZ5" s="31">
        <f>CN5/Basicinfo!$G5*1000/100</f>
        <v>7.8567642154957443E-2</v>
      </c>
      <c r="DA5" s="31">
        <f>CO5/Basicinfo!$G5*1000/100</f>
        <v>9.2084180005508123E-2</v>
      </c>
      <c r="DB5" s="31">
        <f>CQ5/Basicinfo!$G5*1000/100</f>
        <v>0.17065182216046559</v>
      </c>
      <c r="DC5" s="31">
        <f>CJ5/Basicinfo!$G5*1000/100</f>
        <v>0.19597946534728738</v>
      </c>
      <c r="DD5" s="31">
        <f>CK5/Basicinfo!$G5*1000/100</f>
        <v>0.22676781242191357</v>
      </c>
      <c r="DE5" s="31">
        <f>CM5/Basicinfo!$G5*1000/100</f>
        <v>1.0405305596136116</v>
      </c>
      <c r="DF5" s="31">
        <f>CR5/Basicinfo!$G5*1000/100</f>
        <v>1.9735937517851874</v>
      </c>
      <c r="DG5" s="31">
        <f>CP5/Basicinfo!$G5*1000/100</f>
        <v>0.24609996286448851</v>
      </c>
      <c r="DH5" s="31">
        <f>CT5/Basicinfo!$G5*1000/100</f>
        <v>2.4186650097498874</v>
      </c>
      <c r="DI5" s="31">
        <f>CV5/Basicinfo!$G5*1000/100</f>
        <v>2.5303836550423457</v>
      </c>
      <c r="DJ5" s="31"/>
      <c r="DK5" s="188">
        <f t="shared" si="17"/>
        <v>0</v>
      </c>
      <c r="DL5" s="188">
        <f t="shared" si="18"/>
        <v>5.7898930884474016</v>
      </c>
      <c r="DM5" s="188">
        <f t="shared" si="19"/>
        <v>1.1708720647790025</v>
      </c>
      <c r="DN5" s="188">
        <f t="shared" si="20"/>
        <v>3.2483887532272231</v>
      </c>
      <c r="DO5" s="188">
        <f t="shared" si="21"/>
        <v>3.8072316602054164</v>
      </c>
      <c r="DP5" s="188">
        <f t="shared" si="22"/>
        <v>7.0556204134326395</v>
      </c>
      <c r="DQ5" s="188">
        <f t="shared" si="23"/>
        <v>8.1027949119565559</v>
      </c>
      <c r="DR5" s="188">
        <f t="shared" si="24"/>
        <v>9.3757428791415602</v>
      </c>
      <c r="DS5" s="188">
        <f t="shared" si="25"/>
        <v>43.020862972719492</v>
      </c>
      <c r="DT5" s="188">
        <f t="shared" si="26"/>
        <v>81.598474523318785</v>
      </c>
      <c r="DU5" s="188">
        <f t="shared" si="27"/>
        <v>10.175032998469579</v>
      </c>
      <c r="DV5" s="188">
        <f t="shared" si="28"/>
        <v>100</v>
      </c>
      <c r="DW5" s="188">
        <f t="shared" si="29"/>
        <v>104.6190210236684</v>
      </c>
      <c r="DY5" s="181">
        <f t="shared" si="30"/>
        <v>0</v>
      </c>
      <c r="DZ5" s="181">
        <f t="shared" ref="DZ5:DZ68" si="127">AM5+AN5+AO5</f>
        <v>0.31886825156452642</v>
      </c>
      <c r="EA5" s="185">
        <f t="shared" si="31"/>
        <v>3.8210430262881803E-2</v>
      </c>
      <c r="EB5" s="185">
        <f>AG5+AH5+AL5-Intermediate!FJ5-Intermediate!FM5</f>
        <v>0.20643994973947918</v>
      </c>
      <c r="EC5" s="185">
        <f>AI5+AJ5-Intermediate!FK5</f>
        <v>2.2968813070387202</v>
      </c>
      <c r="ED5" s="240">
        <f t="shared" si="32"/>
        <v>1.4822740270263894E-2</v>
      </c>
      <c r="EE5" s="240">
        <f>Intermediate!FJ5+Intermediate!FK5+Intermediate!FM5</f>
        <v>0.40757032726927567</v>
      </c>
      <c r="EF5" s="240">
        <f t="shared" si="33"/>
        <v>2.5415316870410809</v>
      </c>
      <c r="EG5" s="240">
        <f t="shared" si="34"/>
        <v>0.31886825156452642</v>
      </c>
      <c r="EH5" s="240">
        <f t="shared" si="35"/>
        <v>3.2827930061451465</v>
      </c>
      <c r="EI5" s="181">
        <f t="shared" si="36"/>
        <v>3.2827930061451469</v>
      </c>
      <c r="EK5" s="31">
        <f>DY5/Basicinfo!$G5*1000/100</f>
        <v>0</v>
      </c>
      <c r="EL5" s="31">
        <f>DZ5/Basicinfo!$G5*1000/100</f>
        <v>2.6562578818245752E-2</v>
      </c>
      <c r="EM5" s="220">
        <f>EG5/Basicinfo!$G5*1000/100</f>
        <v>2.6562578818245752E-2</v>
      </c>
      <c r="EN5" s="220">
        <f>ED5/Basicinfo!$G5*1000/100</f>
        <v>1.2347739381372513E-3</v>
      </c>
      <c r="EO5" s="220">
        <f>EF5/Basicinfo!$G5*1000/100</f>
        <v>0.21171639203608991</v>
      </c>
      <c r="EP5" s="220">
        <f>EE5/Basicinfo!$G5*1000/100</f>
        <v>3.3951699138907748E-2</v>
      </c>
      <c r="EQ5" s="220">
        <f>EH5/Basicinfo!$G5*1000/100</f>
        <v>0.27346544393138061</v>
      </c>
      <c r="ER5" s="31">
        <f>EI5/Basicinfo!$G5*1000/100</f>
        <v>0.27346544393138061</v>
      </c>
      <c r="ET5" s="188">
        <f t="shared" si="37"/>
        <v>0</v>
      </c>
      <c r="EU5" s="188">
        <f t="shared" si="38"/>
        <v>9.713321886808842</v>
      </c>
      <c r="EV5" s="223">
        <f t="shared" si="39"/>
        <v>9.713321886808842</v>
      </c>
      <c r="EW5" s="223">
        <f t="shared" si="40"/>
        <v>0.45152832489032413</v>
      </c>
      <c r="EX5" s="223">
        <f t="shared" si="41"/>
        <v>77.419797175256591</v>
      </c>
      <c r="EY5" s="223">
        <f t="shared" si="42"/>
        <v>12.415352613044259</v>
      </c>
      <c r="EZ5" s="223">
        <f t="shared" si="43"/>
        <v>100</v>
      </c>
      <c r="FA5" s="188">
        <f t="shared" si="44"/>
        <v>100</v>
      </c>
      <c r="FC5" s="236">
        <f>Basicinfo!CT5</f>
        <v>3.7881290322580652</v>
      </c>
      <c r="FD5" s="181">
        <f>IF((Intermediate!CL5+Intermediate!CM5*3)/4&gt;11,(Intermediate!CL5+Intermediate!CM5*9)/10,(Intermediate!CL5+Intermediate!CM5*3)/4)</f>
        <v>8.0085548226366825</v>
      </c>
      <c r="FF5" s="31">
        <f t="shared" si="45"/>
        <v>1.4822740270263894E-2</v>
      </c>
      <c r="FG5" s="31">
        <f t="shared" si="46"/>
        <v>5.8929453130559757E-2</v>
      </c>
      <c r="FH5" s="31">
        <f t="shared" si="47"/>
        <v>0</v>
      </c>
      <c r="FI5" s="31">
        <f>(AI5-(P5*450/1000000))*Parameters!$C$153</f>
        <v>1.7082788445519808</v>
      </c>
      <c r="FJ5" s="31"/>
      <c r="FK5" s="31">
        <f t="shared" si="48"/>
        <v>3.8210430262881803E-2</v>
      </c>
      <c r="FL5" s="31">
        <f t="shared" si="49"/>
        <v>0.21187181965379986</v>
      </c>
      <c r="FM5" s="31">
        <f>AM5*Parameters!$C$154</f>
        <v>7.0359490477385545E-2</v>
      </c>
      <c r="FN5" s="31">
        <f>AN5*Parameters!$C$154</f>
        <v>0.18298730017359599</v>
      </c>
      <c r="FO5" s="31">
        <f>AO5*Parameters!$C$154</f>
        <v>3.3634635757092246E-2</v>
      </c>
      <c r="FP5" s="31">
        <f>AQ5*Parameters!$C$155</f>
        <v>0</v>
      </c>
      <c r="FQ5" s="31">
        <f t="shared" si="50"/>
        <v>2.3190947142775604</v>
      </c>
      <c r="FS5" s="147">
        <f>DY5*Parameters!$C$155</f>
        <v>0</v>
      </c>
      <c r="FT5" s="147">
        <f>DZ5*Parameters!$C$154</f>
        <v>0.28698142640807378</v>
      </c>
      <c r="FU5" s="181">
        <f t="shared" si="51"/>
        <v>3.8210430262881803E-2</v>
      </c>
      <c r="FV5" s="181">
        <f t="shared" si="52"/>
        <v>0.20643994973947918</v>
      </c>
      <c r="FW5" s="31">
        <f t="shared" si="53"/>
        <v>1.7082788445519814</v>
      </c>
      <c r="FX5" s="181">
        <f t="shared" si="54"/>
        <v>1.4822740270263894E-2</v>
      </c>
      <c r="FY5" s="147">
        <f>Intermediate!FJ5+Intermediate!FM5</f>
        <v>6.4361323044880417E-2</v>
      </c>
      <c r="FZ5" s="181">
        <f t="shared" si="55"/>
        <v>1.9529292245543424</v>
      </c>
      <c r="GA5" s="147">
        <f t="shared" si="56"/>
        <v>0.28698142640807378</v>
      </c>
      <c r="GB5" s="181">
        <f t="shared" si="57"/>
        <v>2.3190947142775604</v>
      </c>
      <c r="GD5" s="147">
        <f>IF('River loads'!CH5&gt;0.99,1,0)</f>
        <v>1</v>
      </c>
      <c r="GE5" s="147">
        <f t="shared" si="58"/>
        <v>1.4822740270263894E-2</v>
      </c>
      <c r="GF5" s="147">
        <f t="shared" si="59"/>
        <v>5.8929453130559757E-2</v>
      </c>
      <c r="GG5" s="147">
        <f t="shared" si="60"/>
        <v>0</v>
      </c>
      <c r="GH5" s="147">
        <f t="shared" si="61"/>
        <v>2.4056840528555647</v>
      </c>
      <c r="GI5" s="147">
        <f t="shared" si="62"/>
        <v>0.23440625840755058</v>
      </c>
      <c r="GJ5" s="147">
        <f t="shared" si="63"/>
        <v>3.8210430262881803E-2</v>
      </c>
      <c r="GK5" s="147">
        <f t="shared" si="64"/>
        <v>0.21187181965379986</v>
      </c>
      <c r="GL5" s="147">
        <f t="shared" si="65"/>
        <v>7.8177211641539485E-2</v>
      </c>
      <c r="GM5" s="270">
        <f t="shared" ref="GM5:GM68" si="128">AN5*GD5</f>
        <v>0.20331922241510664</v>
      </c>
      <c r="GN5" s="270">
        <f t="shared" ref="GN5:GN68" si="129">AO5*GD5</f>
        <v>3.7371817507880274E-2</v>
      </c>
      <c r="GO5" s="147">
        <f t="shared" si="66"/>
        <v>0</v>
      </c>
      <c r="GP5" s="147">
        <f t="shared" si="67"/>
        <v>3.2827930061451469</v>
      </c>
      <c r="GQ5" s="147"/>
      <c r="GR5" s="147">
        <f t="shared" si="68"/>
        <v>1.4822740270263894E-2</v>
      </c>
      <c r="GS5" s="147">
        <f t="shared" si="69"/>
        <v>5.8929453130559757E-2</v>
      </c>
      <c r="GT5" s="147">
        <f t="shared" si="70"/>
        <v>0</v>
      </c>
      <c r="GU5" s="147">
        <f t="shared" si="71"/>
        <v>1.7082788445519808</v>
      </c>
      <c r="GV5" s="147">
        <f t="shared" si="72"/>
        <v>0</v>
      </c>
      <c r="GW5" s="147">
        <f t="shared" si="73"/>
        <v>3.8210430262881803E-2</v>
      </c>
      <c r="GX5" s="147">
        <f t="shared" si="74"/>
        <v>0.21187181965379986</v>
      </c>
      <c r="GY5" s="147">
        <f t="shared" si="75"/>
        <v>7.0359490477385545E-2</v>
      </c>
      <c r="GZ5" s="147">
        <f t="shared" ref="GZ5:GZ68" si="130">$GD5*FN5</f>
        <v>0.18298730017359599</v>
      </c>
      <c r="HA5" s="147">
        <f t="shared" ref="HA5:HA68" si="131">$GD5*FO5</f>
        <v>3.3634635757092246E-2</v>
      </c>
      <c r="HB5" s="147">
        <f t="shared" si="76"/>
        <v>0</v>
      </c>
      <c r="HC5" s="147">
        <f t="shared" si="77"/>
        <v>2.3190947142775604</v>
      </c>
      <c r="HD5" s="147"/>
      <c r="HE5" s="147">
        <f t="shared" si="78"/>
        <v>0</v>
      </c>
      <c r="HF5" s="147">
        <f t="shared" si="79"/>
        <v>0.31886825156452642</v>
      </c>
      <c r="HG5" s="147">
        <f t="shared" si="80"/>
        <v>3.8210430262881803E-2</v>
      </c>
      <c r="HH5" s="147">
        <f t="shared" si="81"/>
        <v>0.20643994973947918</v>
      </c>
      <c r="HI5" s="147">
        <f t="shared" si="82"/>
        <v>2.2968813070387202</v>
      </c>
      <c r="HJ5" s="147">
        <f t="shared" si="83"/>
        <v>1.4822740270263894E-2</v>
      </c>
      <c r="HK5" s="147">
        <f t="shared" si="84"/>
        <v>0.40757032726927567</v>
      </c>
      <c r="HL5" s="147">
        <f t="shared" si="85"/>
        <v>2.5415316870410809</v>
      </c>
      <c r="HM5" s="147">
        <f t="shared" si="86"/>
        <v>0.31886825156452642</v>
      </c>
      <c r="HN5" s="147">
        <f t="shared" si="87"/>
        <v>3.2827930061451465</v>
      </c>
      <c r="HO5" s="147">
        <f t="shared" si="88"/>
        <v>3.2827930061451469</v>
      </c>
      <c r="HQ5" s="147">
        <f t="shared" si="89"/>
        <v>0</v>
      </c>
      <c r="HR5" s="147">
        <f t="shared" si="90"/>
        <v>0.28698142640807378</v>
      </c>
      <c r="HS5" s="147">
        <f t="shared" si="91"/>
        <v>3.8210430262881803E-2</v>
      </c>
      <c r="HT5" s="147">
        <f t="shared" si="92"/>
        <v>0.20643994973947918</v>
      </c>
      <c r="HU5" s="147">
        <f t="shared" si="93"/>
        <v>1.7082788445519814</v>
      </c>
      <c r="HV5" s="147">
        <f t="shared" si="94"/>
        <v>1.4822740270263894E-2</v>
      </c>
      <c r="HW5" s="147">
        <f t="shared" si="95"/>
        <v>6.4361323044880417E-2</v>
      </c>
      <c r="HX5" s="147">
        <f t="shared" si="96"/>
        <v>1.9529292245543424</v>
      </c>
      <c r="HY5" s="147">
        <f t="shared" si="97"/>
        <v>0.28698142640807378</v>
      </c>
      <c r="HZ5" s="147">
        <f t="shared" si="98"/>
        <v>2.3190947142775604</v>
      </c>
      <c r="IB5" s="147">
        <f>IF('River loads'!CI5&gt;0.99,1,0)</f>
        <v>0</v>
      </c>
      <c r="IC5">
        <f t="shared" si="99"/>
        <v>0</v>
      </c>
      <c r="ID5">
        <f t="shared" si="100"/>
        <v>0</v>
      </c>
      <c r="IE5">
        <f t="shared" si="101"/>
        <v>0</v>
      </c>
      <c r="IF5">
        <f t="shared" si="102"/>
        <v>0</v>
      </c>
      <c r="IG5">
        <f t="shared" si="103"/>
        <v>0</v>
      </c>
      <c r="IH5">
        <f t="shared" si="104"/>
        <v>0</v>
      </c>
      <c r="II5">
        <f t="shared" si="105"/>
        <v>0</v>
      </c>
      <c r="IJ5">
        <f t="shared" si="106"/>
        <v>0</v>
      </c>
      <c r="IK5">
        <f t="shared" ref="IK5:IK68" si="132">$IB5*AA5</f>
        <v>0</v>
      </c>
      <c r="IL5">
        <f t="shared" ref="IL5:IL68" si="133">$IB5*AB5</f>
        <v>0</v>
      </c>
      <c r="IM5">
        <f t="shared" si="107"/>
        <v>0</v>
      </c>
      <c r="IN5">
        <f t="shared" si="108"/>
        <v>0</v>
      </c>
      <c r="IP5">
        <f t="shared" si="109"/>
        <v>0</v>
      </c>
      <c r="IQ5">
        <f t="shared" si="110"/>
        <v>0</v>
      </c>
      <c r="IR5">
        <f t="shared" si="111"/>
        <v>0</v>
      </c>
      <c r="IS5">
        <f t="shared" si="112"/>
        <v>0</v>
      </c>
      <c r="IT5">
        <f t="shared" si="113"/>
        <v>0</v>
      </c>
      <c r="IU5">
        <f t="shared" si="114"/>
        <v>0</v>
      </c>
      <c r="IV5">
        <f t="shared" si="115"/>
        <v>0</v>
      </c>
      <c r="IW5">
        <f t="shared" si="116"/>
        <v>0</v>
      </c>
      <c r="IX5">
        <f t="shared" si="117"/>
        <v>0</v>
      </c>
    </row>
    <row r="6" spans="1:258">
      <c r="A6" s="39" t="str">
        <f>Basicinfo!A6</f>
        <v>Enknach</v>
      </c>
      <c r="B6" s="63">
        <f>Basicinfo!B6</f>
        <v>610</v>
      </c>
      <c r="C6" s="63">
        <f>Basicinfo!C6</f>
        <v>1050</v>
      </c>
      <c r="D6" s="130">
        <f>Basicinfo!G6</f>
        <v>19.8672520804</v>
      </c>
      <c r="E6" s="87">
        <f t="shared" si="118"/>
        <v>0.37505172823482291</v>
      </c>
      <c r="F6" s="19">
        <f>Intermediate!AR6</f>
        <v>5.1480633922249561E-4</v>
      </c>
      <c r="G6" s="19">
        <f>Intermediate!AU6</f>
        <v>7.1585676785395833E-2</v>
      </c>
      <c r="H6" s="19">
        <f>Intermediate!AW6</f>
        <v>0</v>
      </c>
      <c r="I6" s="19">
        <f>Intermediate!AZ6</f>
        <v>0</v>
      </c>
      <c r="J6" s="19">
        <f>Intermediate!BA6</f>
        <v>0.29275102411665532</v>
      </c>
      <c r="K6" s="19">
        <f>Intermediate!AC6</f>
        <v>2.8542994955791513E-3</v>
      </c>
      <c r="L6" s="19">
        <f>Intermediate!AO6</f>
        <v>2.6896832162569069E-3</v>
      </c>
      <c r="M6" s="19">
        <f>Intermediate!AP6</f>
        <v>4.6562382817132613E-3</v>
      </c>
      <c r="N6" s="19">
        <f t="shared" si="119"/>
        <v>0.37505172823482291</v>
      </c>
      <c r="O6" s="19">
        <f>Basicinfo!CB6+Basicinfo!CG6</f>
        <v>0</v>
      </c>
      <c r="P6" s="56">
        <f>Intermediate!BK6-Intermediate!BI6</f>
        <v>22.575646200361419</v>
      </c>
      <c r="Q6" s="43">
        <f>Intermediate!BI6</f>
        <v>97.335958768247693</v>
      </c>
      <c r="R6" s="88">
        <f t="shared" si="3"/>
        <v>119.91160496860911</v>
      </c>
      <c r="S6" s="61">
        <f>Intermediate!F6*Intermediate!BO6/1000</f>
        <v>0.20820055503664905</v>
      </c>
      <c r="T6" s="19">
        <f>Intermediate!BU6*Intermediate!AU6*86.4*0.365</f>
        <v>5.518070027942092</v>
      </c>
      <c r="U6" s="19">
        <f>Intermediate!AW6*Intermediate!BS6*0.365*86.4</f>
        <v>0</v>
      </c>
      <c r="V6" s="19">
        <f>(Basicinfo!BL6/1000000)*(Intermediate!BK6-Intermediate!BF6-Intermediate!BG6-Intermediate!BH6)*Intermediate!CV6</f>
        <v>0.17717123484264938</v>
      </c>
      <c r="W6" s="19">
        <f>Intermediate!BI6*Parameters!$C$51/1000000</f>
        <v>2.4333989692061921E-3</v>
      </c>
      <c r="X6" s="19">
        <f>Intermediate!AZ6*Intermediate!CG6*86.4*0.365</f>
        <v>0</v>
      </c>
      <c r="Y6" s="19">
        <f>Intermediate!CM6*Intermediate!BA6*86.4*0.365+Parameters!$C$126*Intermediate!BB6*Basicinfo!P6/1000+Parameters!$C$127*Intermediate!BB6*Basicinfo!S6/1000</f>
        <v>23.683148409412208</v>
      </c>
      <c r="Z6" s="19">
        <f>Intermediate!DG6</f>
        <v>0.31483591995737048</v>
      </c>
      <c r="AA6" s="19">
        <f>Intermediate!DI6</f>
        <v>0.71886516345136753</v>
      </c>
      <c r="AB6" s="19">
        <f>Intermediate!DK6</f>
        <v>0.22374474962136662</v>
      </c>
      <c r="AC6" s="19">
        <f t="shared" si="120"/>
        <v>30.846469459232914</v>
      </c>
      <c r="AD6" s="19">
        <f>Basicinfo!CC6+Basicinfo!CE6+Basicinfo!CH6+Basicinfo!CJ6</f>
        <v>0</v>
      </c>
      <c r="AE6" s="87">
        <f t="shared" si="121"/>
        <v>30.846469459232914</v>
      </c>
      <c r="AF6" s="56">
        <f>Intermediate!F6*Basicinfo!BD6/1000</f>
        <v>3.4346742736817704E-3</v>
      </c>
      <c r="AG6" s="43">
        <f>Intermediate!CA6*Intermediate!AU6*86.4*0.365</f>
        <v>7.9663025915571894E-2</v>
      </c>
      <c r="AH6" s="43">
        <f>Intermediate!AW6*Intermediate!BZ6*0.365*86.4</f>
        <v>0</v>
      </c>
      <c r="AI6" s="43">
        <f>(Intermediate!CU6/1000000)*(Intermediate!BK6-Intermediate!BF6-Intermediate!BG6-Intermediate!BH6)*Intermediate!CW6</f>
        <v>8.8752281712320233E-2</v>
      </c>
      <c r="AJ6" s="43">
        <f>Intermediate!BF6*Parameters!$C$52/1000000+(Intermediate!BG6+Intermediate!BH6)*Intermediate!CX6/1000000</f>
        <v>4.3801181445711462E-2</v>
      </c>
      <c r="AK6" s="43">
        <f>Intermediate!AZ6*Intermediate!CH6*86.4*0.365</f>
        <v>0</v>
      </c>
      <c r="AL6" s="58">
        <f>Intermediate!CR6*Intermediate!BA6*86.4*0.365</f>
        <v>0.14523197148395639</v>
      </c>
      <c r="AM6" s="43">
        <f>Intermediate!DH6</f>
        <v>6.4482737984720151E-2</v>
      </c>
      <c r="AN6" s="42">
        <f>Intermediate!DJ6</f>
        <v>0.12874170557746231</v>
      </c>
      <c r="AO6" s="42">
        <f>Intermediate!DL6</f>
        <v>3.2813009000769014E-2</v>
      </c>
      <c r="AP6" s="42">
        <f t="shared" si="122"/>
        <v>0.58692058739419328</v>
      </c>
      <c r="AQ6" s="43">
        <f>Basicinfo!CD6+Basicinfo!CF6+Basicinfo!CI6+Basicinfo!CK6</f>
        <v>0</v>
      </c>
      <c r="AR6" s="83">
        <f t="shared" si="4"/>
        <v>0.58692058739419328</v>
      </c>
      <c r="AS6" s="19">
        <f>F6*86400*365/(Basicinfo!G6*1000000)*1000</f>
        <v>0.81717052001052348</v>
      </c>
      <c r="AT6" s="19">
        <f>G6*86400*365/(Basicinfo!G6*1000000)*1000</f>
        <v>113.63050581773213</v>
      </c>
      <c r="AU6" s="19">
        <f>H6*86400*365/(Basicinfo!G6*1000000)*1000</f>
        <v>0</v>
      </c>
      <c r="AV6" s="19">
        <f>I6*86400*365/(Basicinfo!G6*1000000)*1000</f>
        <v>0</v>
      </c>
      <c r="AW6" s="19">
        <f>J6*86400*365/(Basicinfo!G6*1000000)*1000</f>
        <v>464.69417407004397</v>
      </c>
      <c r="AX6" s="53">
        <f>K6*86400*365/(Basicinfo!G6*1000000)*1000</f>
        <v>4.5307317050346612</v>
      </c>
      <c r="AY6" s="53">
        <f>L6*86400*365/(Basicinfo!G6*1000000)*1000</f>
        <v>4.2694303955381248</v>
      </c>
      <c r="AZ6" s="53">
        <f>M6*86400*365/(Basicinfo!G6*1000000)*1000</f>
        <v>7.3910136066060819</v>
      </c>
      <c r="BA6" s="19">
        <f t="shared" si="123"/>
        <v>595.33302611496549</v>
      </c>
      <c r="BB6" s="19">
        <f>O6*86400*365/(Basicinfo!G6*1000000)*1000</f>
        <v>0</v>
      </c>
      <c r="BC6" s="53">
        <f t="shared" si="124"/>
        <v>595.33302611496549</v>
      </c>
      <c r="BD6" s="56">
        <f>P6/(Basicinfo!G6*100)*1000</f>
        <v>11.36324545991611</v>
      </c>
      <c r="BE6" s="43">
        <f>Q6/(Basicinfo!G6*100)*1000</f>
        <v>48.993166430034023</v>
      </c>
      <c r="BF6" s="58">
        <f t="shared" si="5"/>
        <v>60.356411889950131</v>
      </c>
      <c r="BG6" s="61">
        <f>S6/(Basicinfo!G6*100)*1000000</f>
        <v>104.79584906563345</v>
      </c>
      <c r="BH6" s="19">
        <f>T6/(Basicinfo!G6*100)*1000000</f>
        <v>2777.4701834009211</v>
      </c>
      <c r="BI6" s="19">
        <f>U6/(Basicinfo!G6*100)*1000000</f>
        <v>0</v>
      </c>
      <c r="BJ6" s="19">
        <f>V6/(Basicinfo!G6*100)*1000000</f>
        <v>89.177523960365562</v>
      </c>
      <c r="BK6" s="19">
        <f>W6/(Basicinfo!G6*100)*1000000</f>
        <v>1.2248291607508504</v>
      </c>
      <c r="BL6" s="19">
        <f>X6/(Basicinfo!G6*100)*1000000</f>
        <v>0</v>
      </c>
      <c r="BM6" s="19">
        <f>Y6/(Basicinfo!G6*100)*1000000</f>
        <v>11920.696588320221</v>
      </c>
      <c r="BN6" s="53">
        <f>Z6/(Basicinfo!G6*100)*1000000</f>
        <v>158.46978670390521</v>
      </c>
      <c r="BO6" s="53">
        <f>AA6/(Basicinfo!G6*100)*1000000</f>
        <v>361.83421871440515</v>
      </c>
      <c r="BP6" s="53">
        <f>AB6/(Basicinfo!G6*100)*1000000</f>
        <v>112.61987753308954</v>
      </c>
      <c r="BQ6" s="19">
        <f t="shared" si="125"/>
        <v>15526.288856859292</v>
      </c>
      <c r="BR6" s="19">
        <f>AD6/(Basicinfo!G6*100)*1000000</f>
        <v>0</v>
      </c>
      <c r="BS6" s="53">
        <f t="shared" si="6"/>
        <v>15526.288856859292</v>
      </c>
      <c r="BT6" s="56">
        <f>AF6/(Basicinfo!G6*100)*1000000</f>
        <v>1.7288119463034557</v>
      </c>
      <c r="BU6" s="43">
        <f>AG6/(Basicinfo!G6*100)*1000000</f>
        <v>40.097656985066038</v>
      </c>
      <c r="BV6" s="43">
        <f>AH6/(Basicinfo!G6*100)*1000000</f>
        <v>0</v>
      </c>
      <c r="BW6" s="43">
        <f>AI6/(Basicinfo!G6*100)*1000000</f>
        <v>44.672650929857895</v>
      </c>
      <c r="BX6" s="43">
        <f>AJ6/(Basicinfo!G6*100)*1000000</f>
        <v>22.04692489351531</v>
      </c>
      <c r="BY6" s="58">
        <f>AK6/(Basicinfo!G6*100)*1000000</f>
        <v>0</v>
      </c>
      <c r="BZ6" s="58">
        <f>AL6/(Basicinfo!G6*100)*1000000</f>
        <v>73.10118726848728</v>
      </c>
      <c r="CA6" s="58">
        <f>AM6/(Basicinfo!G6*100)*1000000</f>
        <v>32.45679761034264</v>
      </c>
      <c r="CB6" s="58">
        <f>AN6/(Basicinfo!G6*100)*1000000</f>
        <v>64.800962436306008</v>
      </c>
      <c r="CC6" s="58">
        <f>AO6/(Basicinfo!G6*100)*1000000</f>
        <v>16.516128585865491</v>
      </c>
      <c r="CD6" s="58">
        <f t="shared" si="126"/>
        <v>295.42112065574412</v>
      </c>
      <c r="CE6" s="58">
        <f>AQ6/(Basicinfo!G6*100)*1000000</f>
        <v>0</v>
      </c>
      <c r="CF6" s="43">
        <f t="shared" si="7"/>
        <v>295.42112065574412</v>
      </c>
      <c r="CG6" s="84"/>
      <c r="CH6" s="84">
        <f t="shared" si="8"/>
        <v>0</v>
      </c>
      <c r="CI6" s="146">
        <f t="shared" si="9"/>
        <v>1.2574458330301046</v>
      </c>
      <c r="CJ6" s="200">
        <f>Intermediate!EW6+Intermediate!EY6+Intermediate!FD6</f>
        <v>6.1717588729113411</v>
      </c>
      <c r="CK6" s="180">
        <f>Intermediate!FA6+Intermediate!FF6</f>
        <v>2.9578066678441211</v>
      </c>
      <c r="CL6" s="180">
        <f t="shared" si="10"/>
        <v>0</v>
      </c>
      <c r="CM6" s="180">
        <f t="shared" si="11"/>
        <v>11.224248813121108</v>
      </c>
      <c r="CN6" s="202">
        <f>Intermediate!EX6+Intermediate!EZ6+Intermediate!FE6</f>
        <v>2.4262258696543206</v>
      </c>
      <c r="CO6" s="180">
        <f>Intermediate!FB6+Intermediate!FG6</f>
        <v>1.1517848068461041</v>
      </c>
      <c r="CP6" s="213">
        <f>Intermediate!EP6+Intermediate!EQ6+Intermediate!ER6+Intermediate!ES6+Intermediate!ET6+Intermediate!EU6+Intermediate!EV6+W6</f>
        <v>5.6571985958258102</v>
      </c>
      <c r="CQ6" s="212">
        <f t="shared" si="12"/>
        <v>3.5780106765004245</v>
      </c>
      <c r="CR6" s="212">
        <f t="shared" si="13"/>
        <v>20.353814353876569</v>
      </c>
      <c r="CS6" s="211">
        <f t="shared" si="14"/>
        <v>0.31483591995737048</v>
      </c>
      <c r="CT6" s="212">
        <f t="shared" si="15"/>
        <v>29.903859546160174</v>
      </c>
      <c r="CU6" s="84"/>
      <c r="CV6" s="31">
        <f t="shared" si="16"/>
        <v>30.846469459232914</v>
      </c>
      <c r="CW6" s="31">
        <f>CH6/Basicinfo!$G6*1000/100</f>
        <v>0</v>
      </c>
      <c r="CX6" s="31">
        <f>CI6/Basicinfo!$G6*1000/100</f>
        <v>0.6329238829513999</v>
      </c>
      <c r="CY6" s="31">
        <f>CS6/Basicinfo!$G6*1000/100</f>
        <v>0.15846978670390519</v>
      </c>
      <c r="CZ6" s="31">
        <f>CN6/Basicinfo!$G6*1000/100</f>
        <v>1.2212186465625556</v>
      </c>
      <c r="DA6" s="31">
        <f>CO6/Basicinfo!$G6*1000/100</f>
        <v>0.57974036982316002</v>
      </c>
      <c r="DB6" s="31">
        <f>CQ6/Basicinfo!$G6*1000/100</f>
        <v>1.8009590163857154</v>
      </c>
      <c r="DC6" s="31">
        <f>CJ6/Basicinfo!$G6*1000/100</f>
        <v>3.1064984970921459</v>
      </c>
      <c r="DD6" s="31">
        <f>CK6/Basicinfo!$G6*1000/100</f>
        <v>1.4887849894259608</v>
      </c>
      <c r="DE6" s="31">
        <f>CM6/Basicinfo!$G6*1000/100</f>
        <v>5.6496231928291527</v>
      </c>
      <c r="DF6" s="31">
        <f>CR6/Basicinfo!$G6*1000/100</f>
        <v>10.24490667934726</v>
      </c>
      <c r="DG6" s="31">
        <f>CP6/Basicinfo!$G6*1000/100</f>
        <v>2.8474992781749164</v>
      </c>
      <c r="DH6" s="31">
        <f>CT6/Basicinfo!$G6*1000/100</f>
        <v>15.051834760611795</v>
      </c>
      <c r="DI6" s="31">
        <f>CV6/Basicinfo!$G6*1000/100</f>
        <v>15.526288856859294</v>
      </c>
      <c r="DJ6" s="31"/>
      <c r="DK6" s="188">
        <f t="shared" si="17"/>
        <v>0</v>
      </c>
      <c r="DL6" s="188">
        <f t="shared" si="18"/>
        <v>4.2049616742249842</v>
      </c>
      <c r="DM6" s="188">
        <f t="shared" si="19"/>
        <v>1.0528270421795678</v>
      </c>
      <c r="DN6" s="188">
        <f t="shared" si="20"/>
        <v>8.113420496471873</v>
      </c>
      <c r="DO6" s="188">
        <f t="shared" si="21"/>
        <v>3.8516259249686038</v>
      </c>
      <c r="DP6" s="188">
        <f t="shared" si="22"/>
        <v>11.965046421440476</v>
      </c>
      <c r="DQ6" s="188">
        <f t="shared" si="23"/>
        <v>20.638669946213785</v>
      </c>
      <c r="DR6" s="188">
        <f t="shared" si="24"/>
        <v>9.8910532377213514</v>
      </c>
      <c r="DS6" s="188">
        <f t="shared" si="25"/>
        <v>37.534448674744276</v>
      </c>
      <c r="DT6" s="188">
        <f t="shared" si="26"/>
        <v>68.064171858679416</v>
      </c>
      <c r="DU6" s="188">
        <f t="shared" si="27"/>
        <v>18.917954677700546</v>
      </c>
      <c r="DV6" s="188">
        <f t="shared" si="28"/>
        <v>100</v>
      </c>
      <c r="DW6" s="188">
        <f t="shared" si="29"/>
        <v>103.15213463204545</v>
      </c>
      <c r="DY6" s="181">
        <f t="shared" si="30"/>
        <v>0</v>
      </c>
      <c r="DZ6" s="181">
        <f t="shared" si="127"/>
        <v>0.22603745256295149</v>
      </c>
      <c r="EA6" s="185">
        <f t="shared" si="31"/>
        <v>0</v>
      </c>
      <c r="EB6" s="185">
        <f>AG6+AH6+AL6-Intermediate!FJ6-Intermediate!FM6</f>
        <v>0.14126549264260835</v>
      </c>
      <c r="EC6" s="185">
        <f>AI6+AJ6-Intermediate!FK6</f>
        <v>8.4328824643856076E-2</v>
      </c>
      <c r="ED6" s="240">
        <f t="shared" si="32"/>
        <v>3.4346742736817704E-3</v>
      </c>
      <c r="EE6" s="240">
        <f>Intermediate!FJ6+Intermediate!FK6+Intermediate!FM6</f>
        <v>0.13185414327109554</v>
      </c>
      <c r="EF6" s="240">
        <f t="shared" si="33"/>
        <v>0.22559431728646442</v>
      </c>
      <c r="EG6" s="240">
        <f t="shared" si="34"/>
        <v>0.22603745256295149</v>
      </c>
      <c r="EH6" s="240">
        <f t="shared" si="35"/>
        <v>0.58692058739419328</v>
      </c>
      <c r="EI6" s="181">
        <f t="shared" si="36"/>
        <v>0.58692058739419328</v>
      </c>
      <c r="EK6" s="31">
        <f>DY6/Basicinfo!$G6*1000/100</f>
        <v>0</v>
      </c>
      <c r="EL6" s="31">
        <f>DZ6/Basicinfo!$G6*1000/100</f>
        <v>0.11377388863251417</v>
      </c>
      <c r="EM6" s="220">
        <f>EG6/Basicinfo!$G6*1000/100</f>
        <v>0.11377388863251417</v>
      </c>
      <c r="EN6" s="220">
        <f>ED6/Basicinfo!$G6*1000/100</f>
        <v>1.7288119463034558E-3</v>
      </c>
      <c r="EO6" s="220">
        <f>EF6/Basicinfo!$G6*1000/100</f>
        <v>0.11355084053572968</v>
      </c>
      <c r="EP6" s="220">
        <f>EE6/Basicinfo!$G6*1000/100</f>
        <v>6.6367579541196833E-2</v>
      </c>
      <c r="EQ6" s="220">
        <f>EH6/Basicinfo!$G6*1000/100</f>
        <v>0.29542112065574416</v>
      </c>
      <c r="ER6" s="31">
        <f>EI6/Basicinfo!$G6*1000/100</f>
        <v>0.29542112065574416</v>
      </c>
      <c r="ET6" s="188">
        <f t="shared" si="37"/>
        <v>0</v>
      </c>
      <c r="EU6" s="188">
        <f t="shared" si="38"/>
        <v>38.512442299308553</v>
      </c>
      <c r="EV6" s="223">
        <f t="shared" si="39"/>
        <v>38.512442299308553</v>
      </c>
      <c r="EW6" s="223">
        <f t="shared" si="40"/>
        <v>0.58520255507325414</v>
      </c>
      <c r="EX6" s="223">
        <f t="shared" si="41"/>
        <v>38.436940555801051</v>
      </c>
      <c r="EY6" s="223">
        <f t="shared" si="42"/>
        <v>22.465414589817136</v>
      </c>
      <c r="EZ6" s="223">
        <f t="shared" si="43"/>
        <v>100</v>
      </c>
      <c r="FA6" s="188">
        <f t="shared" si="44"/>
        <v>100</v>
      </c>
      <c r="FC6" s="236">
        <f>Basicinfo!CT6</f>
        <v>4.209032258064517</v>
      </c>
      <c r="FD6" s="181">
        <f>IF((Intermediate!CL6+Intermediate!CM6*3)/4&gt;11,(Intermediate!CL6+Intermediate!CM6*9)/10,(Intermediate!CL6+Intermediate!CM6*3)/4)</f>
        <v>2.9697285966909313</v>
      </c>
      <c r="FF6" s="31">
        <f t="shared" si="45"/>
        <v>3.4346742736817704E-3</v>
      </c>
      <c r="FG6" s="31">
        <f t="shared" si="46"/>
        <v>7.9663025915571894E-2</v>
      </c>
      <c r="FH6" s="31">
        <f t="shared" si="47"/>
        <v>0</v>
      </c>
      <c r="FI6" s="31">
        <f>(AI6-(P6*450/1000000))*Parameters!$C$153</f>
        <v>6.2874592737726082E-2</v>
      </c>
      <c r="FJ6" s="31"/>
      <c r="FK6" s="31">
        <f t="shared" si="48"/>
        <v>0</v>
      </c>
      <c r="FL6" s="31">
        <f t="shared" si="49"/>
        <v>0.14523197148395639</v>
      </c>
      <c r="FM6" s="31">
        <f>AM6*Parameters!$C$154</f>
        <v>5.8034464186248136E-2</v>
      </c>
      <c r="FN6" s="31">
        <f>AN6*Parameters!$C$154</f>
        <v>0.11586753501971608</v>
      </c>
      <c r="FO6" s="31">
        <f>AO6*Parameters!$C$154</f>
        <v>2.9531708100692115E-2</v>
      </c>
      <c r="FP6" s="31">
        <f>AQ6*Parameters!$C$155</f>
        <v>0</v>
      </c>
      <c r="FQ6" s="31">
        <f t="shared" si="50"/>
        <v>0.4946379717175925</v>
      </c>
      <c r="FS6" s="147">
        <f>DY6*Parameters!$C$155</f>
        <v>0</v>
      </c>
      <c r="FT6" s="147">
        <f>DZ6*Parameters!$C$154</f>
        <v>0.20343370730665636</v>
      </c>
      <c r="FU6" s="181">
        <f t="shared" si="51"/>
        <v>0</v>
      </c>
      <c r="FV6" s="181">
        <f t="shared" si="52"/>
        <v>0.14126549264260835</v>
      </c>
      <c r="FW6" s="31">
        <f t="shared" si="53"/>
        <v>6.2874592737726095E-2</v>
      </c>
      <c r="FX6" s="181">
        <f t="shared" si="54"/>
        <v>3.4346742736817704E-3</v>
      </c>
      <c r="FY6" s="147">
        <f>Intermediate!FJ6+Intermediate!FM6</f>
        <v>8.3629504756919951E-2</v>
      </c>
      <c r="FZ6" s="181">
        <f t="shared" si="55"/>
        <v>0.20414008538033446</v>
      </c>
      <c r="GA6" s="147">
        <f t="shared" si="56"/>
        <v>0.20343370730665636</v>
      </c>
      <c r="GB6" s="181">
        <f t="shared" si="57"/>
        <v>0.4946379717175925</v>
      </c>
      <c r="GD6" s="147">
        <f>IF('River loads'!CH6&gt;0.99,1,0)</f>
        <v>1</v>
      </c>
      <c r="GE6" s="147">
        <f t="shared" si="58"/>
        <v>3.4346742736817704E-3</v>
      </c>
      <c r="GF6" s="147">
        <f t="shared" si="59"/>
        <v>7.9663025915571894E-2</v>
      </c>
      <c r="GG6" s="147">
        <f t="shared" si="60"/>
        <v>0</v>
      </c>
      <c r="GH6" s="147">
        <f t="shared" si="61"/>
        <v>8.8752281712320233E-2</v>
      </c>
      <c r="GI6" s="147">
        <f t="shared" si="62"/>
        <v>4.3801181445711462E-2</v>
      </c>
      <c r="GJ6" s="147">
        <f t="shared" si="63"/>
        <v>0</v>
      </c>
      <c r="GK6" s="147">
        <f t="shared" si="64"/>
        <v>0.14523197148395639</v>
      </c>
      <c r="GL6" s="147">
        <f t="shared" si="65"/>
        <v>6.4482737984720151E-2</v>
      </c>
      <c r="GM6" s="270">
        <f t="shared" si="128"/>
        <v>0.12874170557746231</v>
      </c>
      <c r="GN6" s="270">
        <f t="shared" si="129"/>
        <v>3.2813009000769014E-2</v>
      </c>
      <c r="GO6" s="147">
        <f t="shared" si="66"/>
        <v>0</v>
      </c>
      <c r="GP6" s="147">
        <f t="shared" si="67"/>
        <v>0.58692058739419328</v>
      </c>
      <c r="GQ6" s="147"/>
      <c r="GR6" s="147">
        <f t="shared" si="68"/>
        <v>3.4346742736817704E-3</v>
      </c>
      <c r="GS6" s="147">
        <f t="shared" si="69"/>
        <v>7.9663025915571894E-2</v>
      </c>
      <c r="GT6" s="147">
        <f t="shared" si="70"/>
        <v>0</v>
      </c>
      <c r="GU6" s="147">
        <f t="shared" si="71"/>
        <v>6.2874592737726082E-2</v>
      </c>
      <c r="GV6" s="147">
        <f t="shared" si="72"/>
        <v>0</v>
      </c>
      <c r="GW6" s="147">
        <f t="shared" si="73"/>
        <v>0</v>
      </c>
      <c r="GX6" s="147">
        <f t="shared" si="74"/>
        <v>0.14523197148395639</v>
      </c>
      <c r="GY6" s="147">
        <f t="shared" si="75"/>
        <v>5.8034464186248136E-2</v>
      </c>
      <c r="GZ6" s="147">
        <f t="shared" si="130"/>
        <v>0.11586753501971608</v>
      </c>
      <c r="HA6" s="147">
        <f t="shared" si="131"/>
        <v>2.9531708100692115E-2</v>
      </c>
      <c r="HB6" s="147">
        <f t="shared" si="76"/>
        <v>0</v>
      </c>
      <c r="HC6" s="147">
        <f t="shared" si="77"/>
        <v>0.4946379717175925</v>
      </c>
      <c r="HD6" s="147"/>
      <c r="HE6" s="147">
        <f t="shared" si="78"/>
        <v>0</v>
      </c>
      <c r="HF6" s="147">
        <f t="shared" si="79"/>
        <v>0.22603745256295149</v>
      </c>
      <c r="HG6" s="147">
        <f t="shared" si="80"/>
        <v>0</v>
      </c>
      <c r="HH6" s="147">
        <f t="shared" si="81"/>
        <v>0.14126549264260835</v>
      </c>
      <c r="HI6" s="147">
        <f t="shared" si="82"/>
        <v>8.4328824643856076E-2</v>
      </c>
      <c r="HJ6" s="147">
        <f t="shared" si="83"/>
        <v>3.4346742736817704E-3</v>
      </c>
      <c r="HK6" s="147">
        <f t="shared" si="84"/>
        <v>0.13185414327109554</v>
      </c>
      <c r="HL6" s="147">
        <f t="shared" si="85"/>
        <v>0.22559431728646442</v>
      </c>
      <c r="HM6" s="147">
        <f t="shared" si="86"/>
        <v>0.22603745256295149</v>
      </c>
      <c r="HN6" s="147">
        <f t="shared" si="87"/>
        <v>0.58692058739419328</v>
      </c>
      <c r="HO6" s="147">
        <f t="shared" si="88"/>
        <v>0.58692058739419328</v>
      </c>
      <c r="HQ6" s="147">
        <f t="shared" si="89"/>
        <v>0</v>
      </c>
      <c r="HR6" s="147">
        <f t="shared" si="90"/>
        <v>0.20343370730665636</v>
      </c>
      <c r="HS6" s="147">
        <f t="shared" si="91"/>
        <v>0</v>
      </c>
      <c r="HT6" s="147">
        <f t="shared" si="92"/>
        <v>0.14126549264260835</v>
      </c>
      <c r="HU6" s="147">
        <f t="shared" si="93"/>
        <v>6.2874592737726095E-2</v>
      </c>
      <c r="HV6" s="147">
        <f t="shared" si="94"/>
        <v>3.4346742736817704E-3</v>
      </c>
      <c r="HW6" s="147">
        <f t="shared" si="95"/>
        <v>8.3629504756919951E-2</v>
      </c>
      <c r="HX6" s="147">
        <f t="shared" si="96"/>
        <v>0.20414008538033446</v>
      </c>
      <c r="HY6" s="147">
        <f t="shared" si="97"/>
        <v>0.20343370730665636</v>
      </c>
      <c r="HZ6" s="147">
        <f t="shared" si="98"/>
        <v>0.4946379717175925</v>
      </c>
      <c r="IB6" s="147">
        <f>IF('River loads'!CI6&gt;0.99,1,0)</f>
        <v>0</v>
      </c>
      <c r="IC6">
        <f t="shared" si="99"/>
        <v>0</v>
      </c>
      <c r="ID6">
        <f t="shared" si="100"/>
        <v>0</v>
      </c>
      <c r="IE6">
        <f t="shared" si="101"/>
        <v>0</v>
      </c>
      <c r="IF6">
        <f t="shared" si="102"/>
        <v>0</v>
      </c>
      <c r="IG6">
        <f t="shared" si="103"/>
        <v>0</v>
      </c>
      <c r="IH6">
        <f t="shared" si="104"/>
        <v>0</v>
      </c>
      <c r="II6">
        <f t="shared" si="105"/>
        <v>0</v>
      </c>
      <c r="IJ6">
        <f t="shared" si="106"/>
        <v>0</v>
      </c>
      <c r="IK6">
        <f t="shared" si="132"/>
        <v>0</v>
      </c>
      <c r="IL6">
        <f t="shared" si="133"/>
        <v>0</v>
      </c>
      <c r="IM6">
        <f t="shared" si="107"/>
        <v>0</v>
      </c>
      <c r="IN6">
        <f t="shared" si="108"/>
        <v>0</v>
      </c>
      <c r="IP6">
        <f t="shared" si="109"/>
        <v>0</v>
      </c>
      <c r="IQ6">
        <f t="shared" si="110"/>
        <v>0</v>
      </c>
      <c r="IR6">
        <f t="shared" si="111"/>
        <v>0</v>
      </c>
      <c r="IS6">
        <f t="shared" si="112"/>
        <v>0</v>
      </c>
      <c r="IT6">
        <f t="shared" si="113"/>
        <v>0</v>
      </c>
      <c r="IU6">
        <f t="shared" si="114"/>
        <v>0</v>
      </c>
      <c r="IV6">
        <f t="shared" si="115"/>
        <v>0</v>
      </c>
      <c r="IW6">
        <f t="shared" si="116"/>
        <v>0</v>
      </c>
      <c r="IX6">
        <f t="shared" si="117"/>
        <v>0</v>
      </c>
    </row>
    <row r="7" spans="1:258">
      <c r="A7" s="39" t="str">
        <f>Basicinfo!A7</f>
        <v>Schwemmbach</v>
      </c>
      <c r="B7" s="63">
        <f>Basicinfo!B7</f>
        <v>620</v>
      </c>
      <c r="C7" s="63">
        <f>Basicinfo!C7</f>
        <v>630</v>
      </c>
      <c r="D7" s="130">
        <f>Basicinfo!G7</f>
        <v>221.723280864</v>
      </c>
      <c r="E7" s="87">
        <f t="shared" si="118"/>
        <v>1.38201598465747</v>
      </c>
      <c r="F7" s="19">
        <f>Intermediate!AR7</f>
        <v>1.5485519328247094E-2</v>
      </c>
      <c r="G7" s="19">
        <f>Intermediate!AU7</f>
        <v>0.19124635523073724</v>
      </c>
      <c r="H7" s="19">
        <f>Intermediate!AW7</f>
        <v>0</v>
      </c>
      <c r="I7" s="19">
        <f>Intermediate!AZ7</f>
        <v>1.1692552315393031E-2</v>
      </c>
      <c r="J7" s="19">
        <f>Intermediate!BA7</f>
        <v>1.1188248395697273</v>
      </c>
      <c r="K7" s="19">
        <f>Intermediate!AC7</f>
        <v>1.1688453610969504E-2</v>
      </c>
      <c r="L7" s="19">
        <f>Intermediate!AO7</f>
        <v>1.4480294431166243E-2</v>
      </c>
      <c r="M7" s="19">
        <f>Intermediate!AP7</f>
        <v>1.8597970171229466E-2</v>
      </c>
      <c r="N7" s="19">
        <f t="shared" si="119"/>
        <v>1.38201598465747</v>
      </c>
      <c r="O7" s="19">
        <f>Basicinfo!CB7+Basicinfo!CG7</f>
        <v>0</v>
      </c>
      <c r="P7" s="56">
        <f>Intermediate!BK7-Intermediate!BI7</f>
        <v>90.108723314756617</v>
      </c>
      <c r="Q7" s="43">
        <f>Intermediate!BI7</f>
        <v>1580.636958037519</v>
      </c>
      <c r="R7" s="88">
        <f t="shared" si="3"/>
        <v>1670.7456813522756</v>
      </c>
      <c r="S7" s="61">
        <f>Intermediate!F7*Intermediate!BO7/1000</f>
        <v>1.3748504422140198</v>
      </c>
      <c r="T7" s="19">
        <f>Intermediate!BU7*Intermediate!AU7*86.4*0.365</f>
        <v>8.3715915918149282</v>
      </c>
      <c r="U7" s="19">
        <f>Intermediate!AW7*Intermediate!BS7*0.365*86.4</f>
        <v>0</v>
      </c>
      <c r="V7" s="19">
        <f>(Basicinfo!BL7/1000000)*(Intermediate!BK7-Intermediate!BF7-Intermediate!BG7-Intermediate!BH7)*Intermediate!CV7</f>
        <v>1.1291013437188941</v>
      </c>
      <c r="W7" s="19">
        <f>Intermediate!BI7*Parameters!$C$51/1000000</f>
        <v>3.9515923950937976E-2</v>
      </c>
      <c r="X7" s="19">
        <f>Intermediate!AZ7*Intermediate!CG7*86.4*0.365</f>
        <v>3.1731169786775619</v>
      </c>
      <c r="Y7" s="19">
        <f>Intermediate!CM7*Intermediate!BA7*86.4*0.365+Parameters!$C$126*Intermediate!BB7*Basicinfo!P7/1000+Parameters!$C$127*Intermediate!BB7*Basicinfo!S7/1000</f>
        <v>63.166758325148237</v>
      </c>
      <c r="Z7" s="19">
        <f>Intermediate!DG7</f>
        <v>0.79705599116446091</v>
      </c>
      <c r="AA7" s="19">
        <f>Intermediate!DI7</f>
        <v>5.1362185173620301</v>
      </c>
      <c r="AB7" s="19">
        <f>Intermediate!DK7</f>
        <v>0.68687836364199994</v>
      </c>
      <c r="AC7" s="19">
        <f t="shared" si="120"/>
        <v>83.875087477693057</v>
      </c>
      <c r="AD7" s="19">
        <f>Basicinfo!CC7+Basicinfo!CE7+Basicinfo!CH7+Basicinfo!CJ7</f>
        <v>0</v>
      </c>
      <c r="AE7" s="87">
        <f t="shared" si="121"/>
        <v>83.875087477693057</v>
      </c>
      <c r="AF7" s="56">
        <f>Intermediate!F7*Basicinfo!BD7/1000</f>
        <v>2.5695265566474883E-2</v>
      </c>
      <c r="AG7" s="43">
        <f>Intermediate!CA7*Intermediate!AU7*86.4*0.365</f>
        <v>0.20962475380547796</v>
      </c>
      <c r="AH7" s="43">
        <f>Intermediate!AW7*Intermediate!BZ7*0.365*86.4</f>
        <v>0</v>
      </c>
      <c r="AI7" s="43">
        <f>(Intermediate!CU7/1000000)*(Intermediate!BK7-Intermediate!BF7-Intermediate!BG7-Intermediate!BH7)*Intermediate!CW7</f>
        <v>0.35642343103575447</v>
      </c>
      <c r="AJ7" s="43">
        <f>Intermediate!BF7*Parameters!$C$52/1000000+(Intermediate!BG7+Intermediate!BH7)*Intermediate!CX7/1000000</f>
        <v>0.71128663111688362</v>
      </c>
      <c r="AK7" s="43">
        <f>Intermediate!AZ7*Intermediate!CH7*86.4*0.365</f>
        <v>3.7235293906143205E-2</v>
      </c>
      <c r="AL7" s="58">
        <f>Intermediate!CR7*Intermediate!BA7*86.4*0.365</f>
        <v>0.5196035729958195</v>
      </c>
      <c r="AM7" s="43">
        <f>Intermediate!DH7</f>
        <v>0.18314307791585102</v>
      </c>
      <c r="AN7" s="42">
        <f>Intermediate!DJ7</f>
        <v>0.89510737159557341</v>
      </c>
      <c r="AO7" s="42">
        <f>Intermediate!DL7</f>
        <v>0.10396050170345697</v>
      </c>
      <c r="AP7" s="42">
        <f t="shared" si="122"/>
        <v>3.0420798996414344</v>
      </c>
      <c r="AQ7" s="43">
        <f>Basicinfo!CD7+Basicinfo!CF7+Basicinfo!CI7+Basicinfo!CK7</f>
        <v>0</v>
      </c>
      <c r="AR7" s="83">
        <f t="shared" si="4"/>
        <v>3.0420798996414344</v>
      </c>
      <c r="AS7" s="19">
        <f>F7*86400*365/(Basicinfo!G7*1000000)*1000</f>
        <v>2.2025262102951828</v>
      </c>
      <c r="AT7" s="19">
        <f>G7*86400*365/(Basicinfo!G7*1000000)*1000</f>
        <v>27.201225938271666</v>
      </c>
      <c r="AU7" s="19">
        <f>H7*86400*365/(Basicinfo!G7*1000000)*1000</f>
        <v>0</v>
      </c>
      <c r="AV7" s="19">
        <f>I7*86400*365/(Basicinfo!G7*1000000)*1000</f>
        <v>1.6630474183015951</v>
      </c>
      <c r="AW7" s="19">
        <f>J7*86400*365/(Basicinfo!G7*1000000)*1000</f>
        <v>159.13195945496074</v>
      </c>
      <c r="AX7" s="53">
        <f>K7*86400*365/(Basicinfo!G7*1000000)*1000</f>
        <v>1.6624644540670921</v>
      </c>
      <c r="AY7" s="53">
        <f>L7*86400*365/(Basicinfo!G7*1000000)*1000</f>
        <v>2.0595517232191676</v>
      </c>
      <c r="AZ7" s="53">
        <f>M7*86400*365/(Basicinfo!G7*1000000)*1000</f>
        <v>2.6452142735504696</v>
      </c>
      <c r="BA7" s="19">
        <f t="shared" si="123"/>
        <v>196.5659894726659</v>
      </c>
      <c r="BB7" s="19">
        <f>O7*86400*365/(Basicinfo!G7*1000000)*1000</f>
        <v>0</v>
      </c>
      <c r="BC7" s="53">
        <f t="shared" si="124"/>
        <v>196.5659894726659</v>
      </c>
      <c r="BD7" s="56">
        <f>P7/(Basicinfo!G7*100)*1000</f>
        <v>4.064017227402803</v>
      </c>
      <c r="BE7" s="43">
        <f>Q7/(Basicinfo!G7*100)*1000</f>
        <v>71.288723127231989</v>
      </c>
      <c r="BF7" s="58">
        <f t="shared" si="5"/>
        <v>75.35274035463479</v>
      </c>
      <c r="BG7" s="61">
        <f>S7/(Basicinfo!G7*100)*1000000</f>
        <v>62.007491358443389</v>
      </c>
      <c r="BH7" s="19">
        <f>T7/(Basicinfo!G7*100)*1000000</f>
        <v>377.56935398001218</v>
      </c>
      <c r="BI7" s="19">
        <f>U7/(Basicinfo!G7*100)*1000000</f>
        <v>0</v>
      </c>
      <c r="BJ7" s="19">
        <f>V7/(Basicinfo!G7*100)*1000000</f>
        <v>50.923896639047982</v>
      </c>
      <c r="BK7" s="19">
        <f>W7/(Basicinfo!G7*100)*1000000</f>
        <v>1.7822180781807997</v>
      </c>
      <c r="BL7" s="19">
        <f>X7/(Basicinfo!G7*100)*1000000</f>
        <v>143.11158333544051</v>
      </c>
      <c r="BM7" s="19">
        <f>Y7/(Basicinfo!G7*100)*1000000</f>
        <v>2848.9005790913438</v>
      </c>
      <c r="BN7" s="53">
        <f>Z7/(Basicinfo!G7*100)*1000000</f>
        <v>35.948231870759521</v>
      </c>
      <c r="BO7" s="53">
        <f>AA7/(Basicinfo!G7*100)*1000000</f>
        <v>231.64994209662942</v>
      </c>
      <c r="BP7" s="53">
        <f>AB7/(Basicinfo!G7*100)*1000000</f>
        <v>30.979081716877328</v>
      </c>
      <c r="BQ7" s="19">
        <f t="shared" si="125"/>
        <v>3782.872378166735</v>
      </c>
      <c r="BR7" s="19">
        <f>AD7/(Basicinfo!G7*100)*1000000</f>
        <v>0</v>
      </c>
      <c r="BS7" s="53">
        <f t="shared" si="6"/>
        <v>3782.872378166735</v>
      </c>
      <c r="BT7" s="56">
        <f>AF7/(Basicinfo!G7*100)*1000000</f>
        <v>1.1588889297662779</v>
      </c>
      <c r="BU7" s="43">
        <f>AG7/(Basicinfo!G7*100)*1000000</f>
        <v>9.4543411494103307</v>
      </c>
      <c r="BV7" s="43">
        <f>AH7/(Basicinfo!G7*100)*1000000</f>
        <v>0</v>
      </c>
      <c r="BW7" s="43">
        <f>AI7/(Basicinfo!G7*100)*1000000</f>
        <v>16.075146896927638</v>
      </c>
      <c r="BX7" s="43">
        <f>AJ7/(Basicinfo!G7*100)*1000000</f>
        <v>32.079925407254393</v>
      </c>
      <c r="BY7" s="58">
        <f>AK7/(Basicinfo!G7*100)*1000000</f>
        <v>1.6793587827605023</v>
      </c>
      <c r="BZ7" s="58">
        <f>AL7/(Basicinfo!G7*100)*1000000</f>
        <v>23.434777393291977</v>
      </c>
      <c r="CA7" s="58">
        <f>AM7/(Basicinfo!G7*100)*1000000</f>
        <v>8.2599841208459654</v>
      </c>
      <c r="CB7" s="58">
        <f>AN7/(Basicinfo!G7*100)*1000000</f>
        <v>40.370472965561603</v>
      </c>
      <c r="CC7" s="58">
        <f>AO7/(Basicinfo!G7*100)*1000000</f>
        <v>4.6887499273125028</v>
      </c>
      <c r="CD7" s="58">
        <f t="shared" si="126"/>
        <v>137.20164557313117</v>
      </c>
      <c r="CE7" s="58">
        <f>AQ7/(Basicinfo!G7*100)*1000000</f>
        <v>0</v>
      </c>
      <c r="CF7" s="43">
        <f t="shared" si="7"/>
        <v>137.20164557313117</v>
      </c>
      <c r="CG7" s="84"/>
      <c r="CH7" s="84">
        <f t="shared" si="8"/>
        <v>0</v>
      </c>
      <c r="CI7" s="146">
        <f t="shared" si="9"/>
        <v>6.6201528721684912</v>
      </c>
      <c r="CJ7" s="200">
        <f>Intermediate!EW7+Intermediate!EY7+Intermediate!FD7</f>
        <v>16.544082828453064</v>
      </c>
      <c r="CK7" s="180">
        <f>Intermediate!FA7+Intermediate!FF7</f>
        <v>5.1095575410205063</v>
      </c>
      <c r="CL7" s="180">
        <f t="shared" si="10"/>
        <v>3.1731169786775619</v>
      </c>
      <c r="CM7" s="180">
        <f t="shared" si="11"/>
        <v>24.92397506034693</v>
      </c>
      <c r="CN7" s="202">
        <f>Intermediate!EX7+Intermediate!EZ7+Intermediate!FE7</f>
        <v>9.1129024364498932</v>
      </c>
      <c r="CO7" s="180">
        <f>Intermediate!FB7+Intermediate!FG7</f>
        <v>2.8270324302067831</v>
      </c>
      <c r="CP7" s="213">
        <f>Intermediate!EP7+Intermediate!EQ7+Intermediate!ER7+Intermediate!ES7+Intermediate!ET7+Intermediate!EU7+Intermediate!EV7+W7</f>
        <v>15.564267330369841</v>
      </c>
      <c r="CQ7" s="212">
        <f t="shared" si="12"/>
        <v>11.939934866656676</v>
      </c>
      <c r="CR7" s="212">
        <f t="shared" si="13"/>
        <v>49.75073240849806</v>
      </c>
      <c r="CS7" s="211">
        <f t="shared" si="14"/>
        <v>0.79705599116446091</v>
      </c>
      <c r="CT7" s="212">
        <f t="shared" si="15"/>
        <v>78.051990596689038</v>
      </c>
      <c r="CU7" s="84"/>
      <c r="CV7" s="31">
        <f t="shared" si="16"/>
        <v>83.875087477693057</v>
      </c>
      <c r="CW7" s="31">
        <f>CH7/Basicinfo!$G7*1000/100</f>
        <v>0</v>
      </c>
      <c r="CX7" s="31">
        <f>CI7/Basicinfo!$G7*1000/100</f>
        <v>0.2985772556842663</v>
      </c>
      <c r="CY7" s="31">
        <f>CS7/Basicinfo!$G7*1000/100</f>
        <v>3.5948231870759517E-2</v>
      </c>
      <c r="CZ7" s="31">
        <f>CN7/Basicinfo!$G7*1000/100</f>
        <v>0.41100340933704382</v>
      </c>
      <c r="DA7" s="31">
        <f>CO7/Basicinfo!$G7*1000/100</f>
        <v>0.12750273310004015</v>
      </c>
      <c r="DB7" s="31">
        <f>CQ7/Basicinfo!$G7*1000/100</f>
        <v>0.53850614243708395</v>
      </c>
      <c r="DC7" s="31">
        <f>CJ7/Basicinfo!$G7*1000/100</f>
        <v>0.74615903048091847</v>
      </c>
      <c r="DD7" s="31">
        <f>CK7/Basicinfo!$G7*1000/100</f>
        <v>0.23044749839123083</v>
      </c>
      <c r="DE7" s="31">
        <f>CM7/Basicinfo!$G7*1000/100</f>
        <v>1.1241027538120694</v>
      </c>
      <c r="DF7" s="31">
        <f>CR7/Basicinfo!$G7*1000/100</f>
        <v>2.243820866019659</v>
      </c>
      <c r="DG7" s="31">
        <f>CP7/Basicinfo!$G7*1000/100</f>
        <v>0.7019681140257259</v>
      </c>
      <c r="DH7" s="31">
        <f>CT7/Basicinfo!$G7*1000/100</f>
        <v>3.5202433543532288</v>
      </c>
      <c r="DI7" s="31">
        <f>CV7/Basicinfo!$G7*1000/100</f>
        <v>3.7828723781667351</v>
      </c>
      <c r="DJ7" s="31"/>
      <c r="DK7" s="188">
        <f t="shared" si="17"/>
        <v>0</v>
      </c>
      <c r="DL7" s="188">
        <f t="shared" si="18"/>
        <v>8.4817220183098279</v>
      </c>
      <c r="DM7" s="188">
        <f t="shared" si="19"/>
        <v>1.021185987789877</v>
      </c>
      <c r="DN7" s="188">
        <f t="shared" si="20"/>
        <v>11.675426042031606</v>
      </c>
      <c r="DO7" s="188">
        <f t="shared" si="21"/>
        <v>3.621986330642931</v>
      </c>
      <c r="DP7" s="188">
        <f t="shared" si="22"/>
        <v>15.297412372674538</v>
      </c>
      <c r="DQ7" s="188">
        <f t="shared" si="23"/>
        <v>21.196234333009905</v>
      </c>
      <c r="DR7" s="188">
        <f t="shared" si="24"/>
        <v>6.546351351143187</v>
      </c>
      <c r="DS7" s="188">
        <f t="shared" si="25"/>
        <v>31.932529676449022</v>
      </c>
      <c r="DT7" s="188">
        <f t="shared" si="26"/>
        <v>63.74050428203747</v>
      </c>
      <c r="DU7" s="188">
        <f t="shared" si="27"/>
        <v>19.940897357498113</v>
      </c>
      <c r="DV7" s="188">
        <f t="shared" si="28"/>
        <v>100</v>
      </c>
      <c r="DW7" s="188">
        <f t="shared" si="29"/>
        <v>107.46053603051995</v>
      </c>
      <c r="DY7" s="181">
        <f t="shared" si="30"/>
        <v>0</v>
      </c>
      <c r="DZ7" s="181">
        <f t="shared" si="127"/>
        <v>1.1822109512148815</v>
      </c>
      <c r="EA7" s="185">
        <f t="shared" si="31"/>
        <v>3.7235293906143205E-2</v>
      </c>
      <c r="EB7" s="185">
        <f>AG7+AH7+AL7-Intermediate!FJ7-Intermediate!FM7</f>
        <v>0.50282755463295603</v>
      </c>
      <c r="EC7" s="185">
        <f>AI7+AJ7-Intermediate!FK7</f>
        <v>0.3126948462882484</v>
      </c>
      <c r="ED7" s="240">
        <f t="shared" si="32"/>
        <v>2.5695265566474883E-2</v>
      </c>
      <c r="EE7" s="240">
        <f>Intermediate!FJ7+Intermediate!FK7+Intermediate!FM7</f>
        <v>0.98141598803273111</v>
      </c>
      <c r="EF7" s="240">
        <f t="shared" si="33"/>
        <v>0.85275769482734742</v>
      </c>
      <c r="EG7" s="240">
        <f t="shared" si="34"/>
        <v>1.1822109512148815</v>
      </c>
      <c r="EH7" s="240">
        <f t="shared" si="35"/>
        <v>3.0420798996414353</v>
      </c>
      <c r="EI7" s="181">
        <f t="shared" si="36"/>
        <v>3.0420798996414344</v>
      </c>
      <c r="EK7" s="31">
        <f>DY7/Basicinfo!$G7*1000/100</f>
        <v>0</v>
      </c>
      <c r="EL7" s="31">
        <f>DZ7/Basicinfo!$G7*1000/100</f>
        <v>5.3319207013720081E-2</v>
      </c>
      <c r="EM7" s="220">
        <f>EG7/Basicinfo!$G7*1000/100</f>
        <v>5.3319207013720081E-2</v>
      </c>
      <c r="EN7" s="220">
        <f>ED7/Basicinfo!$G7*1000/100</f>
        <v>1.1588889297662779E-3</v>
      </c>
      <c r="EO7" s="220">
        <f>EF7/Basicinfo!$G7*1000/100</f>
        <v>3.8460449056335652E-2</v>
      </c>
      <c r="EP7" s="220">
        <f>EE7/Basicinfo!$G7*1000/100</f>
        <v>4.4263100573309178E-2</v>
      </c>
      <c r="EQ7" s="220">
        <f>EH7/Basicinfo!$G7*1000/100</f>
        <v>0.13720164557313119</v>
      </c>
      <c r="ER7" s="31">
        <f>EI7/Basicinfo!$G7*1000/100</f>
        <v>0.13720164557313116</v>
      </c>
      <c r="ET7" s="188">
        <f t="shared" si="37"/>
        <v>0</v>
      </c>
      <c r="EU7" s="188">
        <f t="shared" si="38"/>
        <v>38.861929673649506</v>
      </c>
      <c r="EV7" s="223">
        <f t="shared" si="39"/>
        <v>38.861929673649506</v>
      </c>
      <c r="EW7" s="223">
        <f t="shared" si="40"/>
        <v>0.84466110076541856</v>
      </c>
      <c r="EX7" s="223">
        <f t="shared" si="41"/>
        <v>28.032061055590969</v>
      </c>
      <c r="EY7" s="223">
        <f t="shared" si="42"/>
        <v>32.261348169994122</v>
      </c>
      <c r="EZ7" s="223">
        <f t="shared" si="43"/>
        <v>100.00000000000003</v>
      </c>
      <c r="FA7" s="188">
        <f t="shared" si="44"/>
        <v>100</v>
      </c>
      <c r="FC7" s="236">
        <f>Basicinfo!CT7</f>
        <v>1.974</v>
      </c>
      <c r="FD7" s="181">
        <f>IF((Intermediate!CL7+Intermediate!CM7*3)/4&gt;11,(Intermediate!CL7+Intermediate!CM7*9)/10,(Intermediate!CL7+Intermediate!CM7*3)/4)</f>
        <v>4.2053158324639615</v>
      </c>
      <c r="FF7" s="31">
        <f t="shared" si="45"/>
        <v>2.5695265566474883E-2</v>
      </c>
      <c r="FG7" s="31">
        <f t="shared" si="46"/>
        <v>0.20962475380547796</v>
      </c>
      <c r="FH7" s="31">
        <f t="shared" si="47"/>
        <v>0</v>
      </c>
      <c r="FI7" s="31">
        <f>(AI7-(P7*450/1000000))*Parameters!$C$153</f>
        <v>0.25269960443529121</v>
      </c>
      <c r="FJ7" s="31"/>
      <c r="FK7" s="31">
        <f t="shared" si="48"/>
        <v>3.7235293906143205E-2</v>
      </c>
      <c r="FL7" s="31">
        <f t="shared" si="49"/>
        <v>0.5196035729958195</v>
      </c>
      <c r="FM7" s="31">
        <f>AM7*Parameters!$C$154</f>
        <v>0.16482877012426592</v>
      </c>
      <c r="FN7" s="31">
        <f>AN7*Parameters!$C$154</f>
        <v>0.80559663443601603</v>
      </c>
      <c r="FO7" s="31">
        <f>AO7*Parameters!$C$154</f>
        <v>9.356445153311127E-2</v>
      </c>
      <c r="FP7" s="31">
        <f>AQ7*Parameters!$C$155</f>
        <v>0</v>
      </c>
      <c r="FQ7" s="31">
        <f t="shared" si="50"/>
        <v>2.1088483468025996</v>
      </c>
      <c r="FS7" s="147">
        <f>DY7*Parameters!$C$155</f>
        <v>0</v>
      </c>
      <c r="FT7" s="147">
        <f>DZ7*Parameters!$C$154</f>
        <v>1.0639898560933934</v>
      </c>
      <c r="FU7" s="181">
        <f t="shared" si="51"/>
        <v>3.7235293906143205E-2</v>
      </c>
      <c r="FV7" s="181">
        <f t="shared" si="52"/>
        <v>0.50282755463295603</v>
      </c>
      <c r="FW7" s="31">
        <f t="shared" si="53"/>
        <v>0.25269960443529083</v>
      </c>
      <c r="FX7" s="181">
        <f t="shared" si="54"/>
        <v>2.5695265566474883E-2</v>
      </c>
      <c r="FY7" s="147">
        <f>Intermediate!FJ7+Intermediate!FM7</f>
        <v>0.22640077216834137</v>
      </c>
      <c r="FZ7" s="181">
        <f t="shared" si="55"/>
        <v>0.79276245297439007</v>
      </c>
      <c r="GA7" s="147">
        <f t="shared" si="56"/>
        <v>1.0639898560933934</v>
      </c>
      <c r="GB7" s="181">
        <f t="shared" si="57"/>
        <v>2.1088483468025996</v>
      </c>
      <c r="GD7" s="147">
        <f>IF('River loads'!CH7&gt;0.99,1,0)</f>
        <v>0</v>
      </c>
      <c r="GE7" s="147">
        <f t="shared" si="58"/>
        <v>0</v>
      </c>
      <c r="GF7" s="147">
        <f t="shared" si="59"/>
        <v>0</v>
      </c>
      <c r="GG7" s="147">
        <f t="shared" si="60"/>
        <v>0</v>
      </c>
      <c r="GH7" s="147">
        <f t="shared" si="61"/>
        <v>0</v>
      </c>
      <c r="GI7" s="147">
        <f t="shared" si="62"/>
        <v>0</v>
      </c>
      <c r="GJ7" s="147">
        <f t="shared" si="63"/>
        <v>0</v>
      </c>
      <c r="GK7" s="147">
        <f t="shared" si="64"/>
        <v>0</v>
      </c>
      <c r="GL7" s="147">
        <f t="shared" si="65"/>
        <v>0</v>
      </c>
      <c r="GM7" s="270">
        <f t="shared" si="128"/>
        <v>0</v>
      </c>
      <c r="GN7" s="270">
        <f t="shared" si="129"/>
        <v>0</v>
      </c>
      <c r="GO7" s="147">
        <f t="shared" si="66"/>
        <v>0</v>
      </c>
      <c r="GP7" s="147">
        <f t="shared" si="67"/>
        <v>0</v>
      </c>
      <c r="GQ7" s="147"/>
      <c r="GR7" s="147">
        <f t="shared" si="68"/>
        <v>0</v>
      </c>
      <c r="GS7" s="147">
        <f t="shared" si="69"/>
        <v>0</v>
      </c>
      <c r="GT7" s="147">
        <f t="shared" si="70"/>
        <v>0</v>
      </c>
      <c r="GU7" s="147">
        <f t="shared" si="71"/>
        <v>0</v>
      </c>
      <c r="GV7" s="147">
        <f t="shared" si="72"/>
        <v>0</v>
      </c>
      <c r="GW7" s="147">
        <f t="shared" si="73"/>
        <v>0</v>
      </c>
      <c r="GX7" s="147">
        <f t="shared" si="74"/>
        <v>0</v>
      </c>
      <c r="GY7" s="147">
        <f t="shared" si="75"/>
        <v>0</v>
      </c>
      <c r="GZ7" s="147">
        <f t="shared" si="130"/>
        <v>0</v>
      </c>
      <c r="HA7" s="147">
        <f t="shared" si="131"/>
        <v>0</v>
      </c>
      <c r="HB7" s="147">
        <f t="shared" si="76"/>
        <v>0</v>
      </c>
      <c r="HC7" s="147">
        <f t="shared" si="77"/>
        <v>0</v>
      </c>
      <c r="HD7" s="147"/>
      <c r="HE7" s="147">
        <f t="shared" si="78"/>
        <v>0</v>
      </c>
      <c r="HF7" s="147">
        <f t="shared" si="79"/>
        <v>0</v>
      </c>
      <c r="HG7" s="147">
        <f t="shared" si="80"/>
        <v>0</v>
      </c>
      <c r="HH7" s="147">
        <f t="shared" si="81"/>
        <v>0</v>
      </c>
      <c r="HI7" s="147">
        <f t="shared" si="82"/>
        <v>0</v>
      </c>
      <c r="HJ7" s="147">
        <f t="shared" si="83"/>
        <v>0</v>
      </c>
      <c r="HK7" s="147">
        <f t="shared" si="84"/>
        <v>0</v>
      </c>
      <c r="HL7" s="147">
        <f t="shared" si="85"/>
        <v>0</v>
      </c>
      <c r="HM7" s="147">
        <f t="shared" si="86"/>
        <v>0</v>
      </c>
      <c r="HN7" s="147">
        <f t="shared" si="87"/>
        <v>0</v>
      </c>
      <c r="HO7" s="147">
        <f t="shared" si="88"/>
        <v>0</v>
      </c>
      <c r="HQ7" s="147">
        <f t="shared" si="89"/>
        <v>0</v>
      </c>
      <c r="HR7" s="147">
        <f t="shared" si="90"/>
        <v>0</v>
      </c>
      <c r="HS7" s="147">
        <f t="shared" si="91"/>
        <v>0</v>
      </c>
      <c r="HT7" s="147">
        <f t="shared" si="92"/>
        <v>0</v>
      </c>
      <c r="HU7" s="147">
        <f t="shared" si="93"/>
        <v>0</v>
      </c>
      <c r="HV7" s="147">
        <f t="shared" si="94"/>
        <v>0</v>
      </c>
      <c r="HW7" s="147">
        <f t="shared" si="95"/>
        <v>0</v>
      </c>
      <c r="HX7" s="147">
        <f t="shared" si="96"/>
        <v>0</v>
      </c>
      <c r="HY7" s="147">
        <f t="shared" si="97"/>
        <v>0</v>
      </c>
      <c r="HZ7" s="147">
        <f t="shared" si="98"/>
        <v>0</v>
      </c>
      <c r="IB7" s="147">
        <f>IF('River loads'!CI7&gt;0.99,1,0)</f>
        <v>0</v>
      </c>
      <c r="IC7">
        <f t="shared" si="99"/>
        <v>0</v>
      </c>
      <c r="ID7">
        <f t="shared" si="100"/>
        <v>0</v>
      </c>
      <c r="IE7">
        <f t="shared" si="101"/>
        <v>0</v>
      </c>
      <c r="IF7">
        <f t="shared" si="102"/>
        <v>0</v>
      </c>
      <c r="IG7">
        <f t="shared" si="103"/>
        <v>0</v>
      </c>
      <c r="IH7">
        <f t="shared" si="104"/>
        <v>0</v>
      </c>
      <c r="II7">
        <f t="shared" si="105"/>
        <v>0</v>
      </c>
      <c r="IJ7">
        <f t="shared" si="106"/>
        <v>0</v>
      </c>
      <c r="IK7">
        <f t="shared" si="132"/>
        <v>0</v>
      </c>
      <c r="IL7">
        <f t="shared" si="133"/>
        <v>0</v>
      </c>
      <c r="IM7">
        <f t="shared" si="107"/>
        <v>0</v>
      </c>
      <c r="IN7">
        <f t="shared" si="108"/>
        <v>0</v>
      </c>
      <c r="IP7">
        <f t="shared" si="109"/>
        <v>0</v>
      </c>
      <c r="IQ7">
        <f t="shared" si="110"/>
        <v>0</v>
      </c>
      <c r="IR7">
        <f t="shared" si="111"/>
        <v>0</v>
      </c>
      <c r="IS7">
        <f t="shared" si="112"/>
        <v>0</v>
      </c>
      <c r="IT7">
        <f t="shared" si="113"/>
        <v>0</v>
      </c>
      <c r="IU7">
        <f t="shared" si="114"/>
        <v>0</v>
      </c>
      <c r="IV7">
        <f t="shared" si="115"/>
        <v>0</v>
      </c>
      <c r="IW7">
        <f t="shared" si="116"/>
        <v>0</v>
      </c>
      <c r="IX7">
        <f t="shared" si="117"/>
        <v>0</v>
      </c>
    </row>
    <row r="8" spans="1:258">
      <c r="A8" s="39" t="str">
        <f>Basicinfo!A8</f>
        <v>Mattig</v>
      </c>
      <c r="B8" s="63">
        <f>Basicinfo!B8</f>
        <v>630</v>
      </c>
      <c r="C8" s="63">
        <f>Basicinfo!C8</f>
        <v>1050</v>
      </c>
      <c r="D8" s="130">
        <f>Basicinfo!G8</f>
        <v>228.65300675500001</v>
      </c>
      <c r="E8" s="87">
        <f t="shared" si="118"/>
        <v>4.6169000000000002</v>
      </c>
      <c r="F8" s="19">
        <f>Intermediate!AR8</f>
        <v>0.1559747165373864</v>
      </c>
      <c r="G8" s="19">
        <f>Intermediate!AU8</f>
        <v>0.89916321416714384</v>
      </c>
      <c r="H8" s="19">
        <f>Intermediate!AW8</f>
        <v>0</v>
      </c>
      <c r="I8" s="19">
        <f>Intermediate!AZ8</f>
        <v>2.2256185671755899E-2</v>
      </c>
      <c r="J8" s="19">
        <f>Intermediate!BA8</f>
        <v>3.3581614550301904</v>
      </c>
      <c r="K8" s="19">
        <f>Intermediate!AC8</f>
        <v>1.6340300372592743E-2</v>
      </c>
      <c r="L8" s="19">
        <f>Intermediate!AO8</f>
        <v>1.790274940083933E-2</v>
      </c>
      <c r="M8" s="19">
        <f>Intermediate!AP8</f>
        <v>2.5676421046964437E-2</v>
      </c>
      <c r="N8" s="19">
        <f t="shared" si="119"/>
        <v>4.4954750422268734</v>
      </c>
      <c r="O8" s="19">
        <f>Basicinfo!CB8+Basicinfo!CG8</f>
        <v>0.12142495777312701</v>
      </c>
      <c r="P8" s="56">
        <f>Intermediate!BK8-Intermediate!BI8</f>
        <v>371.4595649168615</v>
      </c>
      <c r="Q8" s="43">
        <f>Intermediate!BI8</f>
        <v>894.19029666544486</v>
      </c>
      <c r="R8" s="88">
        <f t="shared" si="3"/>
        <v>1265.6498615823064</v>
      </c>
      <c r="S8" s="61">
        <f>Intermediate!F8*Intermediate!BO8/1000</f>
        <v>22.107249801330045</v>
      </c>
      <c r="T8" s="19">
        <f>Intermediate!BU8*Intermediate!AU8*86.4*0.365</f>
        <v>50.394014863330113</v>
      </c>
      <c r="U8" s="19">
        <f>Intermediate!AW8*Intermediate!BS8*0.365*86.4</f>
        <v>0</v>
      </c>
      <c r="V8" s="19">
        <f>(Basicinfo!BL8/1000000)*(Intermediate!BK8-Intermediate!BF8-Intermediate!BG8-Intermediate!BH8)*Intermediate!CV8</f>
        <v>5.7827829870367085</v>
      </c>
      <c r="W8" s="19">
        <f>Intermediate!BI8*Parameters!$C$51/1000000</f>
        <v>2.2354757416636124E-2</v>
      </c>
      <c r="X8" s="19">
        <f>Intermediate!AZ8*Intermediate!CG8*86.4*0.365</f>
        <v>7.3096998200464416</v>
      </c>
      <c r="Y8" s="19">
        <f>Intermediate!CM8*Intermediate!BA8*86.4*0.365+Parameters!$C$126*Intermediate!BB8*Basicinfo!P8/1000+Parameters!$C$127*Intermediate!BB8*Basicinfo!S8/1000</f>
        <v>308.41705294204593</v>
      </c>
      <c r="Z8" s="19">
        <f>Intermediate!DG8</f>
        <v>1.3495871031693416</v>
      </c>
      <c r="AA8" s="19">
        <f>Intermediate!DI8</f>
        <v>5.5634065357817617</v>
      </c>
      <c r="AB8" s="19">
        <f>Intermediate!DK8</f>
        <v>1.1419182514753323</v>
      </c>
      <c r="AC8" s="19">
        <f t="shared" si="120"/>
        <v>402.08806706163233</v>
      </c>
      <c r="AD8" s="19">
        <f>Basicinfo!CC8+Basicinfo!CE8+Basicinfo!CH8+Basicinfo!CJ8</f>
        <v>45.218196833333337</v>
      </c>
      <c r="AE8" s="87">
        <f t="shared" si="121"/>
        <v>447.3062638949657</v>
      </c>
      <c r="AF8" s="56">
        <f>Intermediate!F8*Basicinfo!BD8/1000</f>
        <v>0.38985110352883318</v>
      </c>
      <c r="AG8" s="43">
        <f>Intermediate!CA8*Intermediate!AU8*86.4*0.365</f>
        <v>0.98916732480476988</v>
      </c>
      <c r="AH8" s="43">
        <f>Intermediate!AW8*Intermediate!BZ8*0.365*86.4</f>
        <v>0</v>
      </c>
      <c r="AI8" s="43">
        <f>(Intermediate!CU8/1000000)*(Intermediate!BK8-Intermediate!BF8-Intermediate!BG8-Intermediate!BH8)*Intermediate!CW8</f>
        <v>1.7954590952713254</v>
      </c>
      <c r="AJ8" s="43">
        <f>Intermediate!BF8*Parameters!$C$52/1000000+(Intermediate!BG8+Intermediate!BH8)*Intermediate!CX8/1000000</f>
        <v>0.40238563349945017</v>
      </c>
      <c r="AK8" s="43">
        <f>Intermediate!AZ8*Intermediate!CH8*86.4*0.365</f>
        <v>7.302043544985623E-2</v>
      </c>
      <c r="AL8" s="58">
        <f>Intermediate!CR8*Intermediate!BA8*86.4*0.365</f>
        <v>2.592159196370631</v>
      </c>
      <c r="AM8" s="43">
        <f>Intermediate!DH8</f>
        <v>0.29302327622700836</v>
      </c>
      <c r="AN8" s="42">
        <f>Intermediate!DJ8</f>
        <v>0.97903247428999407</v>
      </c>
      <c r="AO8" s="42">
        <f>Intermediate!DL8</f>
        <v>0.17009398650053154</v>
      </c>
      <c r="AP8" s="42">
        <f t="shared" si="122"/>
        <v>7.6841925259424002</v>
      </c>
      <c r="AQ8" s="43">
        <f>Basicinfo!CD8+Basicinfo!CF8+Basicinfo!CI8+Basicinfo!CK8</f>
        <v>2.7975053333333326</v>
      </c>
      <c r="AR8" s="83">
        <f t="shared" si="4"/>
        <v>10.481697859275734</v>
      </c>
      <c r="AS8" s="19">
        <f>F8*86400*365/(Basicinfo!G8*1000000)*1000</f>
        <v>21.512153855004826</v>
      </c>
      <c r="AT8" s="19">
        <f>G8*86400*365/(Basicinfo!G8*1000000)*1000</f>
        <v>124.01328775159431</v>
      </c>
      <c r="AU8" s="19">
        <f>H8*86400*365/(Basicinfo!G8*1000000)*1000</f>
        <v>0</v>
      </c>
      <c r="AV8" s="19">
        <f>I8*86400*365/(Basicinfo!G8*1000000)*1000</f>
        <v>3.0695903863470453</v>
      </c>
      <c r="AW8" s="19">
        <f>J8*86400*365/(Basicinfo!G8*1000000)*1000</f>
        <v>463.16023195490419</v>
      </c>
      <c r="AX8" s="53">
        <f>K8*86400*365/(Basicinfo!G8*1000000)*1000</f>
        <v>2.2536668984293446</v>
      </c>
      <c r="AY8" s="53">
        <f>L8*86400*365/(Basicinfo!G8*1000000)*1000</f>
        <v>2.4691610800019506</v>
      </c>
      <c r="AZ8" s="53">
        <f>M8*86400*365/(Basicinfo!G8*1000000)*1000</f>
        <v>3.5413119015079992</v>
      </c>
      <c r="BA8" s="19">
        <f t="shared" si="123"/>
        <v>620.0194038277898</v>
      </c>
      <c r="BB8" s="19">
        <f>O8*86400*365/(Basicinfo!G8*1000000)*1000</f>
        <v>16.747024334721974</v>
      </c>
      <c r="BC8" s="53">
        <f t="shared" si="124"/>
        <v>636.76642816251183</v>
      </c>
      <c r="BD8" s="56">
        <f>P8/(Basicinfo!G8*100)*1000</f>
        <v>16.245557851547417</v>
      </c>
      <c r="BE8" s="43">
        <f>Q8/(Basicinfo!G8*100)*1000</f>
        <v>39.106868059844189</v>
      </c>
      <c r="BF8" s="58">
        <f t="shared" si="5"/>
        <v>55.352425911391606</v>
      </c>
      <c r="BG8" s="61">
        <f>S8/(Basicinfo!G8*100)*1000000</f>
        <v>966.84710667364186</v>
      </c>
      <c r="BH8" s="19">
        <f>T8/(Basicinfo!G8*100)*1000000</f>
        <v>2203.9515499276563</v>
      </c>
      <c r="BI8" s="19">
        <f>U8/(Basicinfo!G8*100)*1000000</f>
        <v>0</v>
      </c>
      <c r="BJ8" s="19">
        <f>V8/(Basicinfo!G8*100)*1000000</f>
        <v>252.90649220427338</v>
      </c>
      <c r="BK8" s="19">
        <f>W8/(Basicinfo!G8*100)*1000000</f>
        <v>0.97767170149610505</v>
      </c>
      <c r="BL8" s="19">
        <f>X8/(Basicinfo!G8*100)*1000000</f>
        <v>319.68526999860228</v>
      </c>
      <c r="BM8" s="19">
        <f>Y8/(Basicinfo!G8*100)*1000000</f>
        <v>13488.431983425107</v>
      </c>
      <c r="BN8" s="53">
        <f>Z8/(Basicinfo!G8*100)*1000000</f>
        <v>59.023370054145587</v>
      </c>
      <c r="BO8" s="53">
        <f>AA8/(Basicinfo!G8*100)*1000000</f>
        <v>243.31219670961553</v>
      </c>
      <c r="BP8" s="53">
        <f>AB8/(Basicinfo!G8*100)*1000000</f>
        <v>49.94109929631886</v>
      </c>
      <c r="BQ8" s="19">
        <f t="shared" si="125"/>
        <v>17585.076739990858</v>
      </c>
      <c r="BR8" s="19">
        <f>AD8/(Basicinfo!G8*100)*1000000</f>
        <v>1977.5903004758777</v>
      </c>
      <c r="BS8" s="53">
        <f t="shared" si="6"/>
        <v>19562.667040466735</v>
      </c>
      <c r="BT8" s="56">
        <f>AF8/(Basicinfo!G8*100)*1000000</f>
        <v>17.049900592234753</v>
      </c>
      <c r="BU8" s="43">
        <f>AG8/(Basicinfo!G8*100)*1000000</f>
        <v>43.260630544196395</v>
      </c>
      <c r="BV8" s="43">
        <f>AH8/(Basicinfo!G8*100)*1000000</f>
        <v>0</v>
      </c>
      <c r="BW8" s="43">
        <f>AI8/(Basicinfo!G8*100)*1000000</f>
        <v>78.52331009122247</v>
      </c>
      <c r="BX8" s="43">
        <f>AJ8/(Basicinfo!G8*100)*1000000</f>
        <v>17.598090626929888</v>
      </c>
      <c r="BY8" s="58">
        <f>AK8/(Basicinfo!G8*100)*1000000</f>
        <v>3.1935042747151399</v>
      </c>
      <c r="BZ8" s="58">
        <f>AL8/(Basicinfo!G8*100)*1000000</f>
        <v>113.36650381982993</v>
      </c>
      <c r="CA8" s="58">
        <f>AM8/(Basicinfo!G8*100)*1000000</f>
        <v>12.81519453365337</v>
      </c>
      <c r="CB8" s="58">
        <f>AN8/(Basicinfo!G8*100)*1000000</f>
        <v>42.817389029089824</v>
      </c>
      <c r="CC8" s="58">
        <f>AO8/(Basicinfo!G8*100)*1000000</f>
        <v>7.4389569118059296</v>
      </c>
      <c r="CD8" s="58">
        <f t="shared" si="126"/>
        <v>336.06348042367773</v>
      </c>
      <c r="CE8" s="58">
        <f>AQ8/(Basicinfo!G8*100)*1000000</f>
        <v>122.34719206342379</v>
      </c>
      <c r="CF8" s="43">
        <f t="shared" si="7"/>
        <v>458.41067248710152</v>
      </c>
      <c r="CG8" s="84"/>
      <c r="CH8" s="84">
        <f t="shared" si="8"/>
        <v>45.218196833333337</v>
      </c>
      <c r="CI8" s="146">
        <f t="shared" si="9"/>
        <v>8.0549118904264354</v>
      </c>
      <c r="CJ8" s="200">
        <f>Intermediate!EW8+Intermediate!EY8+Intermediate!FD8</f>
        <v>50.216071310408637</v>
      </c>
      <c r="CK8" s="180">
        <f>Intermediate!FA8+Intermediate!FF8</f>
        <v>40.951529520127721</v>
      </c>
      <c r="CL8" s="180">
        <f t="shared" si="10"/>
        <v>7.3096998200464416</v>
      </c>
      <c r="CM8" s="180">
        <f t="shared" si="11"/>
        <v>184.81634795173636</v>
      </c>
      <c r="CN8" s="202">
        <f>Intermediate!EX8+Intermediate!EZ8+Intermediate!FE8</f>
        <v>24.066857227776872</v>
      </c>
      <c r="CO8" s="180">
        <f>Intermediate!FB8+Intermediate!FG8</f>
        <v>20.142122334711537</v>
      </c>
      <c r="CP8" s="213">
        <f>Intermediate!EP8+Intermediate!EQ8+Intermediate!ER8+Intermediate!ES8+Intermediate!ET8+Intermediate!EU8+Intermediate!EV8+W8</f>
        <v>66.530527006398259</v>
      </c>
      <c r="CQ8" s="212">
        <f t="shared" si="12"/>
        <v>44.208979562488409</v>
      </c>
      <c r="CR8" s="212">
        <f t="shared" si="13"/>
        <v>283.29364860231914</v>
      </c>
      <c r="CS8" s="211">
        <f t="shared" si="14"/>
        <v>46.567783936502678</v>
      </c>
      <c r="CT8" s="212">
        <f t="shared" si="15"/>
        <v>440.60093910770848</v>
      </c>
      <c r="CU8" s="84"/>
      <c r="CV8" s="31">
        <f t="shared" si="16"/>
        <v>447.3062638949657</v>
      </c>
      <c r="CW8" s="31">
        <f>CH8/Basicinfo!$G8*1000/100</f>
        <v>1.9775903004758777</v>
      </c>
      <c r="CX8" s="31">
        <f>CI8/Basicinfo!$G8*1000/100</f>
        <v>0.35227666606008001</v>
      </c>
      <c r="CY8" s="31">
        <f>CS8/Basicinfo!$G8*1000/100</f>
        <v>2.0366136705300231</v>
      </c>
      <c r="CZ8" s="31">
        <f>CN8/Basicinfo!$G8*1000/100</f>
        <v>1.0525493440619536</v>
      </c>
      <c r="DA8" s="31">
        <f>CO8/Basicinfo!$G8*1000/100</f>
        <v>0.88090345369014411</v>
      </c>
      <c r="DB8" s="31">
        <f>CQ8/Basicinfo!$G8*1000/100</f>
        <v>1.9334527977520981</v>
      </c>
      <c r="DC8" s="31">
        <f>CJ8/Basicinfo!$G8*1000/100</f>
        <v>2.1961692970088422</v>
      </c>
      <c r="DD8" s="31">
        <f>CK8/Basicinfo!$G8*1000/100</f>
        <v>1.7909902039471968</v>
      </c>
      <c r="DE8" s="31">
        <f>CM8/Basicinfo!$G8*1000/100</f>
        <v>8.0828304239080353</v>
      </c>
      <c r="DF8" s="31">
        <f>CR8/Basicinfo!$G8*1000/100</f>
        <v>12.389675194862676</v>
      </c>
      <c r="DG8" s="31">
        <f>CP8/Basicinfo!$G8*1000/100</f>
        <v>2.9096720813160015</v>
      </c>
      <c r="DH8" s="31">
        <f>CT8/Basicinfo!$G8*1000/100</f>
        <v>19.269413744460795</v>
      </c>
      <c r="DI8" s="31">
        <f>CV8/Basicinfo!$G8*1000/100</f>
        <v>19.562667040466739</v>
      </c>
      <c r="DJ8" s="31"/>
      <c r="DK8" s="188">
        <f t="shared" si="17"/>
        <v>10.262846222004846</v>
      </c>
      <c r="DL8" s="188">
        <f t="shared" si="18"/>
        <v>1.8281649391712591</v>
      </c>
      <c r="DM8" s="188">
        <f t="shared" si="19"/>
        <v>10.569152219877317</v>
      </c>
      <c r="DN8" s="188">
        <f t="shared" si="20"/>
        <v>5.4622800569867902</v>
      </c>
      <c r="DO8" s="188">
        <f t="shared" si="21"/>
        <v>4.5715114396947829</v>
      </c>
      <c r="DP8" s="188">
        <f t="shared" si="22"/>
        <v>10.033791496681573</v>
      </c>
      <c r="DQ8" s="188">
        <f t="shared" si="23"/>
        <v>11.397177548487456</v>
      </c>
      <c r="DR8" s="188">
        <f t="shared" si="24"/>
        <v>9.2944716829386493</v>
      </c>
      <c r="DS8" s="188">
        <f t="shared" si="25"/>
        <v>41.946426243670921</v>
      </c>
      <c r="DT8" s="188">
        <f t="shared" si="26"/>
        <v>64.297105034781993</v>
      </c>
      <c r="DU8" s="188">
        <f t="shared" si="27"/>
        <v>15.099951248659124</v>
      </c>
      <c r="DV8" s="188">
        <f t="shared" si="28"/>
        <v>100</v>
      </c>
      <c r="DW8" s="188">
        <f t="shared" si="29"/>
        <v>101.52185894129882</v>
      </c>
      <c r="DY8" s="181">
        <f t="shared" si="30"/>
        <v>2.7975053333333326</v>
      </c>
      <c r="DZ8" s="181">
        <f t="shared" si="127"/>
        <v>1.442149737017534</v>
      </c>
      <c r="EA8" s="185">
        <f t="shared" si="31"/>
        <v>7.302043544985623E-2</v>
      </c>
      <c r="EB8" s="185">
        <f>AG8+AH8+AL8-Intermediate!FJ8-Intermediate!FM8</f>
        <v>2.5484264275586743</v>
      </c>
      <c r="EC8" s="185">
        <f>AI8+AJ8-Intermediate!FK8</f>
        <v>1.6657124119136717</v>
      </c>
      <c r="ED8" s="240">
        <f t="shared" si="32"/>
        <v>0.38985110352883318</v>
      </c>
      <c r="EE8" s="240">
        <f>Intermediate!FJ8+Intermediate!FK8+Intermediate!FM8</f>
        <v>1.56503241047383</v>
      </c>
      <c r="EF8" s="240">
        <f t="shared" si="33"/>
        <v>4.2871592749222032</v>
      </c>
      <c r="EG8" s="240">
        <f t="shared" si="34"/>
        <v>4.2396550703508664</v>
      </c>
      <c r="EH8" s="240">
        <f t="shared" si="35"/>
        <v>10.481697859275732</v>
      </c>
      <c r="EI8" s="181">
        <f t="shared" si="36"/>
        <v>10.481697859275734</v>
      </c>
      <c r="EK8" s="31">
        <f>DY8/Basicinfo!$G8*1000/100</f>
        <v>0.1223471920634238</v>
      </c>
      <c r="EL8" s="31">
        <f>DZ8/Basicinfo!$G8*1000/100</f>
        <v>6.3071540474549131E-2</v>
      </c>
      <c r="EM8" s="220">
        <f>EG8/Basicinfo!$G8*1000/100</f>
        <v>0.18541873253797292</v>
      </c>
      <c r="EN8" s="220">
        <f>ED8/Basicinfo!$G8*1000/100</f>
        <v>1.7049900592234754E-2</v>
      </c>
      <c r="EO8" s="220">
        <f>EF8/Basicinfo!$G8*1000/100</f>
        <v>0.18749629999468417</v>
      </c>
      <c r="EP8" s="220">
        <f>EE8/Basicinfo!$G8*1000/100</f>
        <v>6.8445739362209684E-2</v>
      </c>
      <c r="EQ8" s="220">
        <f>EH8/Basicinfo!$G8*1000/100</f>
        <v>0.45841067248710149</v>
      </c>
      <c r="ER8" s="31">
        <f>EI8/Basicinfo!$G8*1000/100</f>
        <v>0.4584106724871016</v>
      </c>
      <c r="ET8" s="188">
        <f t="shared" si="37"/>
        <v>26.689429240299006</v>
      </c>
      <c r="EU8" s="188">
        <f t="shared" si="38"/>
        <v>13.75874172657352</v>
      </c>
      <c r="EV8" s="223">
        <f t="shared" si="39"/>
        <v>40.448170966872524</v>
      </c>
      <c r="EW8" s="223">
        <f t="shared" si="40"/>
        <v>3.7193507078992565</v>
      </c>
      <c r="EX8" s="223">
        <f t="shared" si="41"/>
        <v>40.901381937166789</v>
      </c>
      <c r="EY8" s="223">
        <f t="shared" si="42"/>
        <v>14.931096388061418</v>
      </c>
      <c r="EZ8" s="223">
        <f t="shared" si="43"/>
        <v>99.999999999999972</v>
      </c>
      <c r="FA8" s="188">
        <f t="shared" si="44"/>
        <v>100</v>
      </c>
      <c r="FC8" s="236">
        <f>Basicinfo!CT8</f>
        <v>2.7840909090909092</v>
      </c>
      <c r="FD8" s="181">
        <f>IF((Intermediate!CL8+Intermediate!CM8*3)/4&gt;11,(Intermediate!CL8+Intermediate!CM8*9)/10,(Intermediate!CL8+Intermediate!CM8*3)/4)</f>
        <v>3.3834129022736272</v>
      </c>
      <c r="FF8" s="31">
        <f t="shared" si="45"/>
        <v>0.38985110352883318</v>
      </c>
      <c r="FG8" s="31">
        <f t="shared" si="46"/>
        <v>0.98916732480476988</v>
      </c>
      <c r="FH8" s="31">
        <f t="shared" si="47"/>
        <v>0</v>
      </c>
      <c r="FI8" s="31">
        <f>(AI8-(P8*450/1000000))*Parameters!$C$153</f>
        <v>1.3026418328469902</v>
      </c>
      <c r="FJ8" s="31"/>
      <c r="FK8" s="31">
        <f t="shared" si="48"/>
        <v>7.302043544985623E-2</v>
      </c>
      <c r="FL8" s="31">
        <f t="shared" si="49"/>
        <v>2.592159196370631</v>
      </c>
      <c r="FM8" s="31">
        <f>AM8*Parameters!$C$154</f>
        <v>0.2637209486043075</v>
      </c>
      <c r="FN8" s="31">
        <f>AN8*Parameters!$C$154</f>
        <v>0.88112922686099471</v>
      </c>
      <c r="FO8" s="31">
        <f>AO8*Parameters!$C$154</f>
        <v>0.15308458785047838</v>
      </c>
      <c r="FP8" s="31">
        <f>AQ8*Parameters!$C$155</f>
        <v>2.7975053333333326</v>
      </c>
      <c r="FQ8" s="31">
        <f t="shared" si="50"/>
        <v>9.4422799896501921</v>
      </c>
      <c r="FS8" s="147">
        <f>DY8*Parameters!$C$155</f>
        <v>2.7975053333333326</v>
      </c>
      <c r="FT8" s="147">
        <f>DZ8*Parameters!$C$154</f>
        <v>1.2979347633157807</v>
      </c>
      <c r="FU8" s="181">
        <f t="shared" si="51"/>
        <v>7.302043544985623E-2</v>
      </c>
      <c r="FV8" s="181">
        <f t="shared" si="52"/>
        <v>2.5484264275586743</v>
      </c>
      <c r="FW8" s="31">
        <f t="shared" si="53"/>
        <v>1.3026418328469884</v>
      </c>
      <c r="FX8" s="181">
        <f t="shared" si="54"/>
        <v>0.38985110352883318</v>
      </c>
      <c r="FY8" s="147">
        <f>Intermediate!FJ8+Intermediate!FM8</f>
        <v>1.0329000936167263</v>
      </c>
      <c r="FZ8" s="181">
        <f t="shared" si="55"/>
        <v>3.9240886958555192</v>
      </c>
      <c r="GA8" s="147">
        <f t="shared" si="56"/>
        <v>4.0954400966491136</v>
      </c>
      <c r="GB8" s="181">
        <f t="shared" si="57"/>
        <v>9.4422799896501921</v>
      </c>
      <c r="GD8" s="147">
        <f>IF('River loads'!CH8&gt;0.99,1,0)</f>
        <v>1</v>
      </c>
      <c r="GE8" s="147">
        <f t="shared" si="58"/>
        <v>0.38985110352883318</v>
      </c>
      <c r="GF8" s="147">
        <f t="shared" si="59"/>
        <v>0.98916732480476988</v>
      </c>
      <c r="GG8" s="147">
        <f t="shared" si="60"/>
        <v>0</v>
      </c>
      <c r="GH8" s="147">
        <f t="shared" si="61"/>
        <v>1.7954590952713254</v>
      </c>
      <c r="GI8" s="147">
        <f t="shared" si="62"/>
        <v>0.40238563349945017</v>
      </c>
      <c r="GJ8" s="147">
        <f t="shared" si="63"/>
        <v>7.302043544985623E-2</v>
      </c>
      <c r="GK8" s="147">
        <f t="shared" si="64"/>
        <v>2.592159196370631</v>
      </c>
      <c r="GL8" s="147">
        <f t="shared" si="65"/>
        <v>0.29302327622700836</v>
      </c>
      <c r="GM8" s="270">
        <f t="shared" si="128"/>
        <v>0.97903247428999407</v>
      </c>
      <c r="GN8" s="270">
        <f t="shared" si="129"/>
        <v>0.17009398650053154</v>
      </c>
      <c r="GO8" s="147">
        <f t="shared" si="66"/>
        <v>2.7975053333333326</v>
      </c>
      <c r="GP8" s="147">
        <f t="shared" si="67"/>
        <v>10.481697859275734</v>
      </c>
      <c r="GQ8" s="147"/>
      <c r="GR8" s="147">
        <f t="shared" si="68"/>
        <v>0.38985110352883318</v>
      </c>
      <c r="GS8" s="147">
        <f t="shared" si="69"/>
        <v>0.98916732480476988</v>
      </c>
      <c r="GT8" s="147">
        <f t="shared" si="70"/>
        <v>0</v>
      </c>
      <c r="GU8" s="147">
        <f t="shared" si="71"/>
        <v>1.3026418328469902</v>
      </c>
      <c r="GV8" s="147">
        <f t="shared" si="72"/>
        <v>0</v>
      </c>
      <c r="GW8" s="147">
        <f t="shared" si="73"/>
        <v>7.302043544985623E-2</v>
      </c>
      <c r="GX8" s="147">
        <f t="shared" si="74"/>
        <v>2.592159196370631</v>
      </c>
      <c r="GY8" s="147">
        <f t="shared" si="75"/>
        <v>0.2637209486043075</v>
      </c>
      <c r="GZ8" s="147">
        <f t="shared" si="130"/>
        <v>0.88112922686099471</v>
      </c>
      <c r="HA8" s="147">
        <f t="shared" si="131"/>
        <v>0.15308458785047838</v>
      </c>
      <c r="HB8" s="147">
        <f t="shared" si="76"/>
        <v>2.7975053333333326</v>
      </c>
      <c r="HC8" s="147">
        <f t="shared" si="77"/>
        <v>9.4422799896501921</v>
      </c>
      <c r="HD8" s="147"/>
      <c r="HE8" s="147">
        <f t="shared" si="78"/>
        <v>2.7975053333333326</v>
      </c>
      <c r="HF8" s="147">
        <f t="shared" si="79"/>
        <v>1.442149737017534</v>
      </c>
      <c r="HG8" s="147">
        <f t="shared" si="80"/>
        <v>7.302043544985623E-2</v>
      </c>
      <c r="HH8" s="147">
        <f t="shared" si="81"/>
        <v>2.5484264275586743</v>
      </c>
      <c r="HI8" s="147">
        <f t="shared" si="82"/>
        <v>1.6657124119136717</v>
      </c>
      <c r="HJ8" s="147">
        <f t="shared" si="83"/>
        <v>0.38985110352883318</v>
      </c>
      <c r="HK8" s="147">
        <f t="shared" si="84"/>
        <v>1.56503241047383</v>
      </c>
      <c r="HL8" s="147">
        <f t="shared" si="85"/>
        <v>4.2871592749222032</v>
      </c>
      <c r="HM8" s="147">
        <f t="shared" si="86"/>
        <v>4.2396550703508664</v>
      </c>
      <c r="HN8" s="147">
        <f t="shared" si="87"/>
        <v>10.481697859275732</v>
      </c>
      <c r="HO8" s="147">
        <f t="shared" si="88"/>
        <v>10.481697859275734</v>
      </c>
      <c r="HQ8" s="147">
        <f t="shared" si="89"/>
        <v>2.7975053333333326</v>
      </c>
      <c r="HR8" s="147">
        <f t="shared" si="90"/>
        <v>1.2979347633157807</v>
      </c>
      <c r="HS8" s="147">
        <f t="shared" si="91"/>
        <v>7.302043544985623E-2</v>
      </c>
      <c r="HT8" s="147">
        <f t="shared" si="92"/>
        <v>2.5484264275586743</v>
      </c>
      <c r="HU8" s="147">
        <f t="shared" si="93"/>
        <v>1.3026418328469884</v>
      </c>
      <c r="HV8" s="147">
        <f t="shared" si="94"/>
        <v>0.38985110352883318</v>
      </c>
      <c r="HW8" s="147">
        <f t="shared" si="95"/>
        <v>1.0329000936167263</v>
      </c>
      <c r="HX8" s="147">
        <f t="shared" si="96"/>
        <v>3.9240886958555192</v>
      </c>
      <c r="HY8" s="147">
        <f t="shared" si="97"/>
        <v>4.0954400966491136</v>
      </c>
      <c r="HZ8" s="147">
        <f t="shared" si="98"/>
        <v>9.4422799896501921</v>
      </c>
      <c r="IB8" s="147">
        <f>IF('River loads'!CI8&gt;0.99,1,0)</f>
        <v>0</v>
      </c>
      <c r="IC8">
        <f t="shared" si="99"/>
        <v>0</v>
      </c>
      <c r="ID8">
        <f t="shared" si="100"/>
        <v>0</v>
      </c>
      <c r="IE8">
        <f t="shared" si="101"/>
        <v>0</v>
      </c>
      <c r="IF8">
        <f t="shared" si="102"/>
        <v>0</v>
      </c>
      <c r="IG8">
        <f t="shared" si="103"/>
        <v>0</v>
      </c>
      <c r="IH8">
        <f t="shared" si="104"/>
        <v>0</v>
      </c>
      <c r="II8">
        <f t="shared" si="105"/>
        <v>0</v>
      </c>
      <c r="IJ8">
        <f t="shared" si="106"/>
        <v>0</v>
      </c>
      <c r="IK8">
        <f t="shared" si="132"/>
        <v>0</v>
      </c>
      <c r="IL8">
        <f t="shared" si="133"/>
        <v>0</v>
      </c>
      <c r="IM8">
        <f t="shared" si="107"/>
        <v>0</v>
      </c>
      <c r="IN8">
        <f t="shared" si="108"/>
        <v>0</v>
      </c>
      <c r="IP8">
        <f t="shared" si="109"/>
        <v>0</v>
      </c>
      <c r="IQ8">
        <f t="shared" si="110"/>
        <v>0</v>
      </c>
      <c r="IR8">
        <f t="shared" si="111"/>
        <v>0</v>
      </c>
      <c r="IS8">
        <f t="shared" si="112"/>
        <v>0</v>
      </c>
      <c r="IT8">
        <f t="shared" si="113"/>
        <v>0</v>
      </c>
      <c r="IU8">
        <f t="shared" si="114"/>
        <v>0</v>
      </c>
      <c r="IV8">
        <f t="shared" si="115"/>
        <v>0</v>
      </c>
      <c r="IW8">
        <f t="shared" si="116"/>
        <v>0</v>
      </c>
      <c r="IX8">
        <f t="shared" si="117"/>
        <v>0</v>
      </c>
    </row>
    <row r="9" spans="1:258">
      <c r="A9" s="39" t="str">
        <f>Basicinfo!A9</f>
        <v>Moosbach</v>
      </c>
      <c r="B9" s="63">
        <f>Basicinfo!B9</f>
        <v>640</v>
      </c>
      <c r="C9" s="63">
        <f>Basicinfo!C9</f>
        <v>650</v>
      </c>
      <c r="D9" s="130">
        <f>Basicinfo!G9</f>
        <v>43.323729148699996</v>
      </c>
      <c r="E9" s="87">
        <f t="shared" si="118"/>
        <v>0.52182466627041502</v>
      </c>
      <c r="F9" s="19">
        <f>Intermediate!AR9</f>
        <v>3.2022573021895707E-3</v>
      </c>
      <c r="G9" s="19">
        <f>Intermediate!AU9</f>
        <v>9.2561198876111708E-2</v>
      </c>
      <c r="H9" s="19">
        <f>Intermediate!AW9</f>
        <v>0</v>
      </c>
      <c r="I9" s="19">
        <f>Intermediate!AZ9</f>
        <v>6.6221054938000465E-3</v>
      </c>
      <c r="J9" s="19">
        <f>Intermediate!BA9</f>
        <v>0.41018774687346793</v>
      </c>
      <c r="K9" s="19">
        <f>Intermediate!AC9</f>
        <v>1.5726883043776284E-3</v>
      </c>
      <c r="L9" s="19">
        <f>Intermediate!AO9</f>
        <v>9.7925579784956425E-4</v>
      </c>
      <c r="M9" s="19">
        <f>Intermediate!AP9</f>
        <v>2.970240878241799E-3</v>
      </c>
      <c r="N9" s="19">
        <f t="shared" si="119"/>
        <v>0.51809549352603823</v>
      </c>
      <c r="O9" s="19">
        <f>Basicinfo!CB9+Basicinfo!CG9</f>
        <v>3.729172744376797E-3</v>
      </c>
      <c r="P9" s="56">
        <f>Intermediate!BK9-Intermediate!BI9</f>
        <v>89.557530339025504</v>
      </c>
      <c r="Q9" s="43">
        <f>Intermediate!BI9</f>
        <v>308.78200192354274</v>
      </c>
      <c r="R9" s="88">
        <f t="shared" si="3"/>
        <v>398.33953226256824</v>
      </c>
      <c r="S9" s="61">
        <f>Intermediate!F9*Intermediate!BO9/1000</f>
        <v>0.39337497961862122</v>
      </c>
      <c r="T9" s="19">
        <f>Intermediate!BU9*Intermediate!AU9*86.4*0.365</f>
        <v>4.8642217337515286</v>
      </c>
      <c r="U9" s="19">
        <f>Intermediate!AW9*Intermediate!BS9*0.365*86.4</f>
        <v>0</v>
      </c>
      <c r="V9" s="19">
        <f>(Basicinfo!BL9/1000000)*(Intermediate!BK9-Intermediate!BF9-Intermediate!BG9-Intermediate!BH9)*Intermediate!CV9</f>
        <v>0.81122497924282277</v>
      </c>
      <c r="W9" s="19">
        <f>Intermediate!BI9*Parameters!$C$51/1000000</f>
        <v>7.7195500480885682E-3</v>
      </c>
      <c r="X9" s="19">
        <f>Intermediate!AZ9*Intermediate!CG9*86.4*0.365</f>
        <v>2.1193715508402535</v>
      </c>
      <c r="Y9" s="19">
        <f>Intermediate!CM9*Intermediate!BA9*86.4*0.365+Parameters!$C$126*Intermediate!BB9*Basicinfo!P9/1000+Parameters!$C$127*Intermediate!BB9*Basicinfo!S9/1000</f>
        <v>30.970413750167257</v>
      </c>
      <c r="Z9" s="19">
        <f>Intermediate!DG9</f>
        <v>0.13109083619628212</v>
      </c>
      <c r="AA9" s="19">
        <f>Intermediate!DI9</f>
        <v>0.29539988510237219</v>
      </c>
      <c r="AB9" s="19">
        <f>Intermediate!DK9</f>
        <v>9.5349476500936184E-2</v>
      </c>
      <c r="AC9" s="19">
        <f t="shared" si="120"/>
        <v>39.688166741468159</v>
      </c>
      <c r="AD9" s="19">
        <f>Basicinfo!CC9+Basicinfo!CE9+Basicinfo!CH9+Basicinfo!CJ9</f>
        <v>0.22066666666666668</v>
      </c>
      <c r="AE9" s="87">
        <f t="shared" si="121"/>
        <v>39.908833408134825</v>
      </c>
      <c r="AF9" s="56">
        <f>Intermediate!F9*Basicinfo!BD9/1000</f>
        <v>7.0558411039165483E-3</v>
      </c>
      <c r="AG9" s="43">
        <f>Intermediate!CA9*Intermediate!AU9*86.4*0.365</f>
        <v>0.10225452293628245</v>
      </c>
      <c r="AH9" s="43">
        <f>Intermediate!AW9*Intermediate!BZ9*0.365*86.4</f>
        <v>0</v>
      </c>
      <c r="AI9" s="43">
        <f>(Intermediate!CU9/1000000)*(Intermediate!BK9-Intermediate!BF9-Intermediate!BG9-Intermediate!BH9)*Intermediate!CW9</f>
        <v>0.33205521930896337</v>
      </c>
      <c r="AJ9" s="43">
        <f>Intermediate!BF9*Parameters!$C$52/1000000+(Intermediate!BG9+Intermediate!BH9)*Intermediate!CX9/1000000</f>
        <v>0.13895190086559425</v>
      </c>
      <c r="AK9" s="43">
        <f>Intermediate!AZ9*Intermediate!CH9*86.4*0.365</f>
        <v>2.3892639248190274E-2</v>
      </c>
      <c r="AL9" s="58">
        <f>Intermediate!CR9*Intermediate!BA9*86.4*0.365</f>
        <v>0.15646836079948798</v>
      </c>
      <c r="AM9" s="43">
        <f>Intermediate!DH9</f>
        <v>3.2024720377278083E-2</v>
      </c>
      <c r="AN9" s="42">
        <f>Intermediate!DJ9</f>
        <v>5.4201087193215487E-2</v>
      </c>
      <c r="AO9" s="42">
        <f>Intermediate!DL9</f>
        <v>1.5130434762898397E-2</v>
      </c>
      <c r="AP9" s="42">
        <f t="shared" si="122"/>
        <v>0.86203472659582692</v>
      </c>
      <c r="AQ9" s="43">
        <f>Basicinfo!CD9+Basicinfo!CF9+Basicinfo!CI9+Basicinfo!CK9</f>
        <v>8.1068000000000001E-2</v>
      </c>
      <c r="AR9" s="83">
        <f t="shared" si="4"/>
        <v>0.94310272659582695</v>
      </c>
      <c r="AS9" s="19">
        <f>F9*86400*365/(Basicinfo!G9*1000000)*1000</f>
        <v>2.330971693023812</v>
      </c>
      <c r="AT9" s="19">
        <f>G9*86400*365/(Basicinfo!G9*1000000)*1000</f>
        <v>67.376701523964925</v>
      </c>
      <c r="AU9" s="19">
        <f>H9*86400*365/(Basicinfo!G9*1000000)*1000</f>
        <v>0</v>
      </c>
      <c r="AV9" s="19">
        <f>I9*86400*365/(Basicinfo!G9*1000000)*1000</f>
        <v>4.820331096976787</v>
      </c>
      <c r="AW9" s="19">
        <f>J9*86400*365/(Basicinfo!G9*1000000)*1000</f>
        <v>298.58188663774899</v>
      </c>
      <c r="AX9" s="53">
        <f>K9*86400*365/(Basicinfo!G9*1000000)*1000</f>
        <v>1.1447836864786858</v>
      </c>
      <c r="AY9" s="53">
        <f>L9*86400*365/(Basicinfo!G9*1000000)*1000</f>
        <v>0.71281515806241535</v>
      </c>
      <c r="AZ9" s="53">
        <f>M9*86400*365/(Basicinfo!G9*1000000)*1000</f>
        <v>2.1620834165667406</v>
      </c>
      <c r="BA9" s="19">
        <f t="shared" si="123"/>
        <v>377.12957321282238</v>
      </c>
      <c r="BB9" s="19">
        <f>O9*86400*365/(Basicinfo!G9*1000000)*1000</f>
        <v>2.7145214407332605</v>
      </c>
      <c r="BC9" s="53">
        <f t="shared" si="124"/>
        <v>379.84409465355566</v>
      </c>
      <c r="BD9" s="56">
        <f>P9/(Basicinfo!G9*100)*1000</f>
        <v>20.671703959656217</v>
      </c>
      <c r="BE9" s="43">
        <f>Q9/(Basicinfo!G9*100)*1000</f>
        <v>71.273181693041835</v>
      </c>
      <c r="BF9" s="58">
        <f t="shared" si="5"/>
        <v>91.944885652698048</v>
      </c>
      <c r="BG9" s="61">
        <f>S9/(Basicinfo!G9*100)*1000000</f>
        <v>90.79896568193395</v>
      </c>
      <c r="BH9" s="19">
        <f>T9/(Basicinfo!G9*100)*1000000</f>
        <v>1122.7615510788705</v>
      </c>
      <c r="BI9" s="19">
        <f>U9/(Basicinfo!G9*100)*1000000</f>
        <v>0</v>
      </c>
      <c r="BJ9" s="19">
        <f>V9/(Basicinfo!G9*100)*1000000</f>
        <v>187.24726499384576</v>
      </c>
      <c r="BK9" s="19">
        <f>W9/(Basicinfo!G9*100)*1000000</f>
        <v>1.781829542326046</v>
      </c>
      <c r="BL9" s="19">
        <f>X9/(Basicinfo!G9*100)*1000000</f>
        <v>489.194165065047</v>
      </c>
      <c r="BM9" s="19">
        <f>Y9/(Basicinfo!G9*100)*1000000</f>
        <v>7148.6029385576512</v>
      </c>
      <c r="BN9" s="53">
        <f>Z9/(Basicinfo!G9*100)*1000000</f>
        <v>30.258437759671878</v>
      </c>
      <c r="BO9" s="53">
        <f>AA9/(Basicinfo!G9*100)*1000000</f>
        <v>68.184316287379474</v>
      </c>
      <c r="BP9" s="53">
        <f>AB9/(Basicinfo!G9*100)*1000000</f>
        <v>22.008603223805657</v>
      </c>
      <c r="BQ9" s="19">
        <f t="shared" si="125"/>
        <v>9160.8380721905305</v>
      </c>
      <c r="BR9" s="19">
        <f>AD9/(Basicinfo!G9*100)*1000000</f>
        <v>50.934365762760798</v>
      </c>
      <c r="BS9" s="53">
        <f t="shared" si="6"/>
        <v>9211.772437953292</v>
      </c>
      <c r="BT9" s="56">
        <f>AF9/(Basicinfo!G9*100)*1000000</f>
        <v>1.6286319858797915</v>
      </c>
      <c r="BU9" s="43">
        <f>AG9/(Basicinfo!G9*100)*1000000</f>
        <v>23.602428725679257</v>
      </c>
      <c r="BV9" s="43">
        <f>AH9/(Basicinfo!G9*100)*1000000</f>
        <v>0</v>
      </c>
      <c r="BW9" s="43">
        <f>AI9/(Basicinfo!G9*100)*1000000</f>
        <v>76.645114775150248</v>
      </c>
      <c r="BX9" s="43">
        <f>AJ9/(Basicinfo!G9*100)*1000000</f>
        <v>32.07293176186883</v>
      </c>
      <c r="BY9" s="58">
        <f>AK9/(Basicinfo!G9*100)*1000000</f>
        <v>5.5149082772130704</v>
      </c>
      <c r="BZ9" s="58">
        <f>AL9/(Basicinfo!G9*100)*1000000</f>
        <v>36.116087851634788</v>
      </c>
      <c r="CA9" s="58">
        <f>AM9/(Basicinfo!G9*100)*1000000</f>
        <v>7.3919584039868003</v>
      </c>
      <c r="CB9" s="58">
        <f>AN9/(Basicinfo!G9*100)*1000000</f>
        <v>12.510716011352843</v>
      </c>
      <c r="CC9" s="58">
        <f>AO9/(Basicinfo!G9*100)*1000000</f>
        <v>3.4924128324609867</v>
      </c>
      <c r="CD9" s="58">
        <f t="shared" si="126"/>
        <v>198.97519062522662</v>
      </c>
      <c r="CE9" s="58">
        <f>AQ9/(Basicinfo!G9*100)*1000000</f>
        <v>18.712147267320962</v>
      </c>
      <c r="CF9" s="43">
        <f t="shared" si="7"/>
        <v>217.68733789254759</v>
      </c>
      <c r="CG9" s="84"/>
      <c r="CH9" s="84">
        <f t="shared" si="8"/>
        <v>0.22066666666666668</v>
      </c>
      <c r="CI9" s="146">
        <f t="shared" si="9"/>
        <v>0.52184019779959046</v>
      </c>
      <c r="CJ9" s="200">
        <f>Intermediate!EW9+Intermediate!EY9+Intermediate!FD9</f>
        <v>7.3638690408963754</v>
      </c>
      <c r="CK9" s="180">
        <f>Intermediate!FA9+Intermediate!FF9</f>
        <v>3.0261103007750383</v>
      </c>
      <c r="CL9" s="180">
        <f t="shared" si="10"/>
        <v>2.1193715508402535</v>
      </c>
      <c r="CM9" s="180">
        <f t="shared" si="11"/>
        <v>14.080231495912102</v>
      </c>
      <c r="CN9" s="202">
        <f>Intermediate!EX9+Intermediate!EZ9+Intermediate!FE9</f>
        <v>3.6129781113650976</v>
      </c>
      <c r="CO9" s="180">
        <f>Intermediate!FB9+Intermediate!FG9</f>
        <v>1.483407594979683</v>
      </c>
      <c r="CP9" s="213">
        <f>Intermediate!EP9+Intermediate!EQ9+Intermediate!ER9+Intermediate!ES9+Intermediate!ET9+Intermediate!EU9+Intermediate!EV9+W9</f>
        <v>7.4803584489000281</v>
      </c>
      <c r="CQ9" s="212">
        <f t="shared" si="12"/>
        <v>5.0963857063447806</v>
      </c>
      <c r="CR9" s="212">
        <f t="shared" si="13"/>
        <v>26.589582388423768</v>
      </c>
      <c r="CS9" s="211">
        <f t="shared" si="14"/>
        <v>0.35175750286294882</v>
      </c>
      <c r="CT9" s="212">
        <f t="shared" si="15"/>
        <v>39.518084046531527</v>
      </c>
      <c r="CU9" s="84"/>
      <c r="CV9" s="31">
        <f t="shared" si="16"/>
        <v>39.908833408134825</v>
      </c>
      <c r="CW9" s="31">
        <f>CH9/Basicinfo!$G9*1000/100</f>
        <v>5.0934365762760787E-2</v>
      </c>
      <c r="CX9" s="31">
        <f>CI9/Basicinfo!$G9*1000/100</f>
        <v>0.12045135727085698</v>
      </c>
      <c r="CY9" s="31">
        <f>CS9/Basicinfo!$G9*1000/100</f>
        <v>8.1192803522432674E-2</v>
      </c>
      <c r="CZ9" s="31">
        <f>CN9/Basicinfo!$G9*1000/100</f>
        <v>0.83394901186005388</v>
      </c>
      <c r="DA9" s="31">
        <f>CO9/Basicinfo!$G9*1000/100</f>
        <v>0.34240071760401425</v>
      </c>
      <c r="DB9" s="31">
        <f>CQ9/Basicinfo!$G9*1000/100</f>
        <v>1.1763497294640681</v>
      </c>
      <c r="DC9" s="31">
        <f>CJ9/Basicinfo!$G9*1000/100</f>
        <v>1.6997311140094553</v>
      </c>
      <c r="DD9" s="31">
        <f>CK9/Basicinfo!$G9*1000/100</f>
        <v>0.6984879557317244</v>
      </c>
      <c r="DE9" s="31">
        <f>CM9/Basicinfo!$G9*1000/100</f>
        <v>3.2500045062105651</v>
      </c>
      <c r="DF9" s="31">
        <f>CR9/Basicinfo!$G9*1000/100</f>
        <v>6.137417741016792</v>
      </c>
      <c r="DG9" s="31">
        <f>CP9/Basicinfo!$G9*1000/100</f>
        <v>1.7266192444388155</v>
      </c>
      <c r="DH9" s="31">
        <f>CT9/Basicinfo!$G9*1000/100</f>
        <v>9.1215795184421093</v>
      </c>
      <c r="DI9" s="31">
        <f>CV9/Basicinfo!$G9*1000/100</f>
        <v>9.211772437953293</v>
      </c>
      <c r="DJ9" s="31"/>
      <c r="DK9" s="188">
        <f t="shared" si="17"/>
        <v>0.55839414281025712</v>
      </c>
      <c r="DL9" s="188">
        <f t="shared" si="18"/>
        <v>1.3205098637503201</v>
      </c>
      <c r="DM9" s="188">
        <f t="shared" si="19"/>
        <v>0.89011780644214289</v>
      </c>
      <c r="DN9" s="188">
        <f t="shared" si="20"/>
        <v>9.1425943300057497</v>
      </c>
      <c r="DO9" s="188">
        <f t="shared" si="21"/>
        <v>3.753743711949721</v>
      </c>
      <c r="DP9" s="188">
        <f t="shared" si="22"/>
        <v>12.896338041955469</v>
      </c>
      <c r="DQ9" s="188">
        <f t="shared" si="23"/>
        <v>18.634175260687257</v>
      </c>
      <c r="DR9" s="188">
        <f t="shared" si="24"/>
        <v>7.6575329340660119</v>
      </c>
      <c r="DS9" s="188">
        <f t="shared" si="25"/>
        <v>35.629843489712179</v>
      </c>
      <c r="DT9" s="188">
        <f t="shared" si="26"/>
        <v>67.284593952265553</v>
      </c>
      <c r="DU9" s="188">
        <f t="shared" si="27"/>
        <v>18.928950199336835</v>
      </c>
      <c r="DV9" s="188">
        <f t="shared" si="28"/>
        <v>100</v>
      </c>
      <c r="DW9" s="188">
        <f t="shared" si="29"/>
        <v>100.98878620011843</v>
      </c>
      <c r="DY9" s="181">
        <f t="shared" si="30"/>
        <v>8.1068000000000001E-2</v>
      </c>
      <c r="DZ9" s="181">
        <f t="shared" si="127"/>
        <v>0.10135624233339197</v>
      </c>
      <c r="EA9" s="185">
        <f t="shared" si="31"/>
        <v>2.3892639248190274E-2</v>
      </c>
      <c r="EB9" s="185">
        <f>AG9+AH9+AL9-Intermediate!FJ9-Intermediate!FM9</f>
        <v>0.15008969447157255</v>
      </c>
      <c r="EC9" s="185">
        <f>AI9+AJ9-Intermediate!FK9</f>
        <v>0.31806113556581062</v>
      </c>
      <c r="ED9" s="240">
        <f t="shared" si="32"/>
        <v>7.0558411039165483E-3</v>
      </c>
      <c r="EE9" s="240">
        <f>Intermediate!FJ9+Intermediate!FK9+Intermediate!FM9</f>
        <v>0.26157917387294488</v>
      </c>
      <c r="EF9" s="240">
        <f t="shared" si="33"/>
        <v>0.49204346928557346</v>
      </c>
      <c r="EG9" s="240">
        <f t="shared" si="34"/>
        <v>0.18242424233339197</v>
      </c>
      <c r="EH9" s="240">
        <f t="shared" si="35"/>
        <v>0.94310272659582695</v>
      </c>
      <c r="EI9" s="181">
        <f t="shared" si="36"/>
        <v>0.94310272659582695</v>
      </c>
      <c r="EK9" s="31">
        <f>DY9/Basicinfo!$G9*1000/100</f>
        <v>1.8712147267320959E-2</v>
      </c>
      <c r="EL9" s="31">
        <f>DZ9/Basicinfo!$G9*1000/100</f>
        <v>2.3395087247800629E-2</v>
      </c>
      <c r="EM9" s="220">
        <f>EG9/Basicinfo!$G9*1000/100</f>
        <v>4.2107234515121592E-2</v>
      </c>
      <c r="EN9" s="220">
        <f>ED9/Basicinfo!$G9*1000/100</f>
        <v>1.6286319858797916E-3</v>
      </c>
      <c r="EO9" s="220">
        <f>EF9/Basicinfo!$G9*1000/100</f>
        <v>0.11357366481466384</v>
      </c>
      <c r="EP9" s="220">
        <f>EE9/Basicinfo!$G9*1000/100</f>
        <v>6.0377806576882367E-2</v>
      </c>
      <c r="EQ9" s="220">
        <f>EH9/Basicinfo!$G9*1000/100</f>
        <v>0.2176873378925476</v>
      </c>
      <c r="ER9" s="31">
        <f>EI9/Basicinfo!$G9*1000/100</f>
        <v>0.2176873378925476</v>
      </c>
      <c r="ET9" s="188">
        <f t="shared" si="37"/>
        <v>8.5958822632841603</v>
      </c>
      <c r="EU9" s="188">
        <f t="shared" si="38"/>
        <v>10.747105217184773</v>
      </c>
      <c r="EV9" s="223">
        <f t="shared" si="39"/>
        <v>19.342987480468935</v>
      </c>
      <c r="EW9" s="223">
        <f t="shared" si="40"/>
        <v>0.74815191441391904</v>
      </c>
      <c r="EX9" s="223">
        <f t="shared" si="41"/>
        <v>52.17283922628738</v>
      </c>
      <c r="EY9" s="223">
        <f t="shared" si="42"/>
        <v>27.736021378829754</v>
      </c>
      <c r="EZ9" s="223">
        <f t="shared" si="43"/>
        <v>100</v>
      </c>
      <c r="FA9" s="188">
        <f t="shared" si="44"/>
        <v>100</v>
      </c>
      <c r="FC9" s="236">
        <f>Basicinfo!CT9</f>
        <v>3.314838709677419</v>
      </c>
      <c r="FD9" s="181">
        <f>IF((Intermediate!CL9+Intermediate!CM9*3)/4&gt;11,(Intermediate!CL9+Intermediate!CM9*9)/10,(Intermediate!CL9+Intermediate!CM9*3)/4)</f>
        <v>3.3974438222929457</v>
      </c>
      <c r="FF9" s="31">
        <f t="shared" si="45"/>
        <v>7.0558411039165483E-3</v>
      </c>
      <c r="FG9" s="31">
        <f t="shared" si="46"/>
        <v>0.10225452293628245</v>
      </c>
      <c r="FH9" s="31">
        <f t="shared" si="47"/>
        <v>0</v>
      </c>
      <c r="FI9" s="31">
        <f>(AI9-(P9*450/1000000))*Parameters!$C$153</f>
        <v>0.23340346452512151</v>
      </c>
      <c r="FJ9" s="31"/>
      <c r="FK9" s="31">
        <f t="shared" si="48"/>
        <v>2.3892639248190274E-2</v>
      </c>
      <c r="FL9" s="31">
        <f t="shared" si="49"/>
        <v>0.15646836079948798</v>
      </c>
      <c r="FM9" s="31">
        <f>AM9*Parameters!$C$154</f>
        <v>2.8822248339550275E-2</v>
      </c>
      <c r="FN9" s="31">
        <f>AN9*Parameters!$C$154</f>
        <v>4.8780978473893941E-2</v>
      </c>
      <c r="FO9" s="31">
        <f>AO9*Parameters!$C$154</f>
        <v>1.3617391286608558E-2</v>
      </c>
      <c r="FP9" s="31">
        <f>AQ9*Parameters!$C$155</f>
        <v>8.1068000000000001E-2</v>
      </c>
      <c r="FQ9" s="31">
        <f t="shared" si="50"/>
        <v>0.69536344671305161</v>
      </c>
      <c r="FS9" s="147">
        <f>DY9*Parameters!$C$155</f>
        <v>8.1068000000000001E-2</v>
      </c>
      <c r="FT9" s="147">
        <f>DZ9*Parameters!$C$154</f>
        <v>9.1220618100052775E-2</v>
      </c>
      <c r="FU9" s="181">
        <f t="shared" si="51"/>
        <v>2.3892639248190274E-2</v>
      </c>
      <c r="FV9" s="181">
        <f t="shared" si="52"/>
        <v>0.15008969447157255</v>
      </c>
      <c r="FW9" s="31">
        <f t="shared" si="53"/>
        <v>0.23340346452512148</v>
      </c>
      <c r="FX9" s="181">
        <f t="shared" si="54"/>
        <v>7.0558411039165483E-3</v>
      </c>
      <c r="FY9" s="147">
        <f>Intermediate!FJ9+Intermediate!FM9</f>
        <v>0.10863318926419793</v>
      </c>
      <c r="FZ9" s="181">
        <f t="shared" si="55"/>
        <v>0.4073857982448843</v>
      </c>
      <c r="GA9" s="147">
        <f t="shared" si="56"/>
        <v>0.17228861810005278</v>
      </c>
      <c r="GB9" s="181">
        <f t="shared" si="57"/>
        <v>0.69536344671305161</v>
      </c>
      <c r="GD9" s="147">
        <f>IF('River loads'!CH9&gt;0.99,1,0)</f>
        <v>0</v>
      </c>
      <c r="GE9" s="147">
        <f t="shared" si="58"/>
        <v>0</v>
      </c>
      <c r="GF9" s="147">
        <f t="shared" si="59"/>
        <v>0</v>
      </c>
      <c r="GG9" s="147">
        <f t="shared" si="60"/>
        <v>0</v>
      </c>
      <c r="GH9" s="147">
        <f t="shared" si="61"/>
        <v>0</v>
      </c>
      <c r="GI9" s="147">
        <f t="shared" si="62"/>
        <v>0</v>
      </c>
      <c r="GJ9" s="147">
        <f t="shared" si="63"/>
        <v>0</v>
      </c>
      <c r="GK9" s="147">
        <f t="shared" si="64"/>
        <v>0</v>
      </c>
      <c r="GL9" s="147">
        <f t="shared" si="65"/>
        <v>0</v>
      </c>
      <c r="GM9" s="270">
        <f t="shared" si="128"/>
        <v>0</v>
      </c>
      <c r="GN9" s="270">
        <f t="shared" si="129"/>
        <v>0</v>
      </c>
      <c r="GO9" s="147">
        <f t="shared" si="66"/>
        <v>0</v>
      </c>
      <c r="GP9" s="147">
        <f t="shared" si="67"/>
        <v>0</v>
      </c>
      <c r="GQ9" s="147"/>
      <c r="GR9" s="147">
        <f t="shared" si="68"/>
        <v>0</v>
      </c>
      <c r="GS9" s="147">
        <f t="shared" si="69"/>
        <v>0</v>
      </c>
      <c r="GT9" s="147">
        <f t="shared" si="70"/>
        <v>0</v>
      </c>
      <c r="GU9" s="147">
        <f t="shared" si="71"/>
        <v>0</v>
      </c>
      <c r="GV9" s="147">
        <f t="shared" si="72"/>
        <v>0</v>
      </c>
      <c r="GW9" s="147">
        <f t="shared" si="73"/>
        <v>0</v>
      </c>
      <c r="GX9" s="147">
        <f t="shared" si="74"/>
        <v>0</v>
      </c>
      <c r="GY9" s="147">
        <f t="shared" si="75"/>
        <v>0</v>
      </c>
      <c r="GZ9" s="147">
        <f t="shared" si="130"/>
        <v>0</v>
      </c>
      <c r="HA9" s="147">
        <f t="shared" si="131"/>
        <v>0</v>
      </c>
      <c r="HB9" s="147">
        <f t="shared" si="76"/>
        <v>0</v>
      </c>
      <c r="HC9" s="147">
        <f t="shared" si="77"/>
        <v>0</v>
      </c>
      <c r="HD9" s="147"/>
      <c r="HE9" s="147">
        <f t="shared" si="78"/>
        <v>0</v>
      </c>
      <c r="HF9" s="147">
        <f t="shared" si="79"/>
        <v>0</v>
      </c>
      <c r="HG9" s="147">
        <f t="shared" si="80"/>
        <v>0</v>
      </c>
      <c r="HH9" s="147">
        <f t="shared" si="81"/>
        <v>0</v>
      </c>
      <c r="HI9" s="147">
        <f t="shared" si="82"/>
        <v>0</v>
      </c>
      <c r="HJ9" s="147">
        <f t="shared" si="83"/>
        <v>0</v>
      </c>
      <c r="HK9" s="147">
        <f t="shared" si="84"/>
        <v>0</v>
      </c>
      <c r="HL9" s="147">
        <f t="shared" si="85"/>
        <v>0</v>
      </c>
      <c r="HM9" s="147">
        <f t="shared" si="86"/>
        <v>0</v>
      </c>
      <c r="HN9" s="147">
        <f t="shared" si="87"/>
        <v>0</v>
      </c>
      <c r="HO9" s="147">
        <f t="shared" si="88"/>
        <v>0</v>
      </c>
      <c r="HQ9" s="147">
        <f t="shared" si="89"/>
        <v>0</v>
      </c>
      <c r="HR9" s="147">
        <f t="shared" si="90"/>
        <v>0</v>
      </c>
      <c r="HS9" s="147">
        <f t="shared" si="91"/>
        <v>0</v>
      </c>
      <c r="HT9" s="147">
        <f t="shared" si="92"/>
        <v>0</v>
      </c>
      <c r="HU9" s="147">
        <f t="shared" si="93"/>
        <v>0</v>
      </c>
      <c r="HV9" s="147">
        <f t="shared" si="94"/>
        <v>0</v>
      </c>
      <c r="HW9" s="147">
        <f t="shared" si="95"/>
        <v>0</v>
      </c>
      <c r="HX9" s="147">
        <f t="shared" si="96"/>
        <v>0</v>
      </c>
      <c r="HY9" s="147">
        <f t="shared" si="97"/>
        <v>0</v>
      </c>
      <c r="HZ9" s="147">
        <f t="shared" si="98"/>
        <v>0</v>
      </c>
      <c r="IB9" s="147">
        <f>IF('River loads'!CI9&gt;0.99,1,0)</f>
        <v>0</v>
      </c>
      <c r="IC9">
        <f t="shared" si="99"/>
        <v>0</v>
      </c>
      <c r="ID9">
        <f t="shared" si="100"/>
        <v>0</v>
      </c>
      <c r="IE9">
        <f t="shared" si="101"/>
        <v>0</v>
      </c>
      <c r="IF9">
        <f t="shared" si="102"/>
        <v>0</v>
      </c>
      <c r="IG9">
        <f t="shared" si="103"/>
        <v>0</v>
      </c>
      <c r="IH9">
        <f t="shared" si="104"/>
        <v>0</v>
      </c>
      <c r="II9">
        <f t="shared" si="105"/>
        <v>0</v>
      </c>
      <c r="IJ9">
        <f t="shared" si="106"/>
        <v>0</v>
      </c>
      <c r="IK9">
        <f t="shared" si="132"/>
        <v>0</v>
      </c>
      <c r="IL9">
        <f t="shared" si="133"/>
        <v>0</v>
      </c>
      <c r="IM9">
        <f t="shared" si="107"/>
        <v>0</v>
      </c>
      <c r="IN9">
        <f t="shared" si="108"/>
        <v>0</v>
      </c>
      <c r="IP9">
        <f t="shared" si="109"/>
        <v>0</v>
      </c>
      <c r="IQ9">
        <f t="shared" si="110"/>
        <v>0</v>
      </c>
      <c r="IR9">
        <f t="shared" si="111"/>
        <v>0</v>
      </c>
      <c r="IS9">
        <f t="shared" si="112"/>
        <v>0</v>
      </c>
      <c r="IT9">
        <f t="shared" si="113"/>
        <v>0</v>
      </c>
      <c r="IU9">
        <f t="shared" si="114"/>
        <v>0</v>
      </c>
      <c r="IV9">
        <f t="shared" si="115"/>
        <v>0</v>
      </c>
      <c r="IW9">
        <f t="shared" si="116"/>
        <v>0</v>
      </c>
      <c r="IX9">
        <f t="shared" si="117"/>
        <v>0</v>
      </c>
    </row>
    <row r="10" spans="1:258">
      <c r="A10" s="39" t="str">
        <f>Basicinfo!A10</f>
        <v>Mühlheimer Ache</v>
      </c>
      <c r="B10" s="63">
        <f>Basicinfo!B10</f>
        <v>650</v>
      </c>
      <c r="C10" s="63">
        <f>Basicinfo!C10</f>
        <v>1050</v>
      </c>
      <c r="D10" s="130">
        <f>Basicinfo!G10</f>
        <v>270.25515082099997</v>
      </c>
      <c r="E10" s="87">
        <f t="shared" si="118"/>
        <v>4.1088634645397102</v>
      </c>
      <c r="F10" s="19">
        <f>Intermediate!AR10</f>
        <v>2.1986701126343319E-2</v>
      </c>
      <c r="G10" s="19">
        <f>Intermediate!AU10</f>
        <v>0.76194677902650565</v>
      </c>
      <c r="H10" s="19">
        <f>Intermediate!AW10</f>
        <v>0</v>
      </c>
      <c r="I10" s="19">
        <f>Intermediate!AZ10</f>
        <v>0.15167493966745266</v>
      </c>
      <c r="J10" s="19">
        <f>Intermediate!BA10</f>
        <v>3.0521505588298519</v>
      </c>
      <c r="K10" s="19">
        <f>Intermediate!AC10</f>
        <v>1.1779446927277549E-2</v>
      </c>
      <c r="L10" s="19">
        <f>Intermediate!AO10</f>
        <v>6.7564979070850661E-3</v>
      </c>
      <c r="M10" s="19">
        <f>Intermediate!AP10</f>
        <v>2.1668455086424818E-2</v>
      </c>
      <c r="N10" s="19">
        <f t="shared" si="119"/>
        <v>4.0279633785709406</v>
      </c>
      <c r="O10" s="19">
        <f>Basicinfo!CB10+Basicinfo!CG10</f>
        <v>8.0900085968769381E-2</v>
      </c>
      <c r="P10" s="56">
        <f>Intermediate!BK10-Intermediate!BI10</f>
        <v>3532.7093056544491</v>
      </c>
      <c r="Q10" s="43">
        <f>Intermediate!BI10</f>
        <v>1328.0466468372651</v>
      </c>
      <c r="R10" s="88">
        <f t="shared" si="3"/>
        <v>4860.7559524917142</v>
      </c>
      <c r="S10" s="61">
        <f>Intermediate!F10*Intermediate!BO10/1000</f>
        <v>3.5213466806775191</v>
      </c>
      <c r="T10" s="19">
        <f>Intermediate!BU10*Intermediate!AU10*86.4*0.365</f>
        <v>45.394182977295443</v>
      </c>
      <c r="U10" s="19">
        <f>Intermediate!AW10*Intermediate!BS10*0.365*86.4</f>
        <v>0</v>
      </c>
      <c r="V10" s="19">
        <f>(Basicinfo!BL10/1000000)*(Intermediate!BK10-Intermediate!BF10-Intermediate!BG10-Intermediate!BH10)*Intermediate!CV10</f>
        <v>29.34611486909931</v>
      </c>
      <c r="W10" s="19">
        <f>Intermediate!BI10*Parameters!$C$51/1000000</f>
        <v>3.3201166170931627E-2</v>
      </c>
      <c r="X10" s="19">
        <f>Intermediate!AZ10*Intermediate!CG10*86.4*0.365</f>
        <v>54.344963557083283</v>
      </c>
      <c r="Y10" s="19">
        <f>Intermediate!CM10*Intermediate!BA10*86.4*0.365+Parameters!$C$126*Intermediate!BB10*Basicinfo!P10/1000+Parameters!$C$127*Intermediate!BB10*Basicinfo!S10/1000</f>
        <v>275.96775296807573</v>
      </c>
      <c r="Z10" s="19">
        <f>Intermediate!DG10</f>
        <v>1.0645721021309273</v>
      </c>
      <c r="AA10" s="19">
        <f>Intermediate!DI10</f>
        <v>1.922532345966973</v>
      </c>
      <c r="AB10" s="19">
        <f>Intermediate!DK10</f>
        <v>0.77590956576584247</v>
      </c>
      <c r="AC10" s="19">
        <f t="shared" si="120"/>
        <v>412.37057623226599</v>
      </c>
      <c r="AD10" s="19">
        <f>Basicinfo!CC10+Basicinfo!CE10+Basicinfo!CH10+Basicinfo!CJ10</f>
        <v>6.007641374666667</v>
      </c>
      <c r="AE10" s="87">
        <f t="shared" si="121"/>
        <v>418.37821760693265</v>
      </c>
      <c r="AF10" s="56">
        <f>Intermediate!F10*Basicinfo!BD10/1000</f>
        <v>6.3025851758464882E-2</v>
      </c>
      <c r="AG10" s="43">
        <f>Intermediate!CA10*Intermediate!AU10*86.4*0.365</f>
        <v>0.84349207326970566</v>
      </c>
      <c r="AH10" s="43">
        <f>Intermediate!AW10*Intermediate!BZ10*0.365*86.4</f>
        <v>0</v>
      </c>
      <c r="AI10" s="43">
        <f>(Intermediate!CU10/1000000)*(Intermediate!BK10-Intermediate!BF10-Intermediate!BG10-Intermediate!BH10)*Intermediate!CW10</f>
        <v>9.9361197641490264</v>
      </c>
      <c r="AJ10" s="43">
        <f>Intermediate!BF10*Parameters!$C$52/1000000+(Intermediate!BG10+Intermediate!BH10)*Intermediate!CX10/1000000</f>
        <v>0.59762099107676936</v>
      </c>
      <c r="AK10" s="43">
        <f>Intermediate!AZ10*Intermediate!CH10*86.4*0.365</f>
        <v>0.48914787776539131</v>
      </c>
      <c r="AL10" s="58">
        <f>Intermediate!CR10*Intermediate!BA10*86.4*0.365</f>
        <v>4.8790979946236028</v>
      </c>
      <c r="AM10" s="43">
        <f>Intermediate!DH10</f>
        <v>0.2541010176805385</v>
      </c>
      <c r="AN10" s="42">
        <f>Intermediate!DJ10</f>
        <v>0.35596230162666737</v>
      </c>
      <c r="AO10" s="42">
        <f>Intermediate!DL10</f>
        <v>0.12127975612564197</v>
      </c>
      <c r="AP10" s="42">
        <f t="shared" si="122"/>
        <v>17.539847628075812</v>
      </c>
      <c r="AQ10" s="43">
        <f>Basicinfo!CD10+Basicinfo!CF10+Basicinfo!CI10+Basicinfo!CK10</f>
        <v>1.9921928133333333</v>
      </c>
      <c r="AR10" s="83">
        <f t="shared" si="4"/>
        <v>19.532040441409144</v>
      </c>
      <c r="AS10" s="19">
        <f>F10*86400*365/(Basicinfo!G10*1000000)*1000</f>
        <v>2.5656221708040978</v>
      </c>
      <c r="AT10" s="19">
        <f>G10*86400*365/(Basicinfo!G10*1000000)*1000</f>
        <v>88.911362282582417</v>
      </c>
      <c r="AU10" s="19">
        <f>H10*86400*365/(Basicinfo!G10*1000000)*1000</f>
        <v>0</v>
      </c>
      <c r="AV10" s="19">
        <f>I10*86400*365/(Basicinfo!G10*1000000)*1000</f>
        <v>17.698907431817613</v>
      </c>
      <c r="AW10" s="19">
        <f>J10*86400*365/(Basicinfo!G10*1000000)*1000</f>
        <v>356.15461807427266</v>
      </c>
      <c r="AX10" s="53">
        <f>K10*86400*365/(Basicinfo!G10*1000000)*1000</f>
        <v>1.3745404561952921</v>
      </c>
      <c r="AY10" s="53">
        <f>L10*86400*365/(Basicinfo!G10*1000000)*1000</f>
        <v>0.78841390201277139</v>
      </c>
      <c r="AZ10" s="53">
        <f>M10*86400*365/(Basicinfo!G10*1000000)*1000</f>
        <v>2.5284861270159182</v>
      </c>
      <c r="BA10" s="19">
        <f t="shared" si="123"/>
        <v>470.02195044470079</v>
      </c>
      <c r="BB10" s="19">
        <f>O10*86400*365/(Basicinfo!G10*1000000)*1000</f>
        <v>9.4402090149279303</v>
      </c>
      <c r="BC10" s="53">
        <f t="shared" si="124"/>
        <v>479.46215945962871</v>
      </c>
      <c r="BD10" s="56">
        <f>P10/(Basicinfo!G10*100)*1000</f>
        <v>130.71755690585499</v>
      </c>
      <c r="BE10" s="43">
        <f>Q10/(Basicinfo!G10*100)*1000</f>
        <v>49.14047494757574</v>
      </c>
      <c r="BF10" s="58">
        <f t="shared" si="5"/>
        <v>179.85803185343073</v>
      </c>
      <c r="BG10" s="61">
        <f>S10/(Basicinfo!G10*100)*1000000</f>
        <v>130.29711626143393</v>
      </c>
      <c r="BH10" s="19">
        <f>T10/(Basicinfo!G10*100)*1000000</f>
        <v>1679.6787346843835</v>
      </c>
      <c r="BI10" s="19">
        <f>U10/(Basicinfo!G10*100)*1000000</f>
        <v>0</v>
      </c>
      <c r="BJ10" s="19">
        <f>V10/(Basicinfo!G10*100)*1000000</f>
        <v>1085.86699568721</v>
      </c>
      <c r="BK10" s="19">
        <f>W10/(Basicinfo!G10*100)*1000000</f>
        <v>1.2285118736893932</v>
      </c>
      <c r="BL10" s="19">
        <f>X10/(Basicinfo!G10*100)*1000000</f>
        <v>2010.8761439695172</v>
      </c>
      <c r="BM10" s="19">
        <f>Y10/(Basicinfo!G10*100)*1000000</f>
        <v>10211.378104347748</v>
      </c>
      <c r="BN10" s="53">
        <f>Z10/(Basicinfo!G10*100)*1000000</f>
        <v>39.391371409458642</v>
      </c>
      <c r="BO10" s="53">
        <f>AA10/(Basicinfo!G10*100)*1000000</f>
        <v>71.137676381988285</v>
      </c>
      <c r="BP10" s="53">
        <f>AB10/(Basicinfo!G10*100)*1000000</f>
        <v>28.710260041621044</v>
      </c>
      <c r="BQ10" s="19">
        <f t="shared" si="125"/>
        <v>15258.56491465705</v>
      </c>
      <c r="BR10" s="19">
        <f>AD10/(Basicinfo!G10*100)*1000000</f>
        <v>222.29516649048998</v>
      </c>
      <c r="BS10" s="53">
        <f t="shared" si="6"/>
        <v>15480.860081147541</v>
      </c>
      <c r="BT10" s="56">
        <f>AF10/(Basicinfo!G10*100)*1000000</f>
        <v>2.3320869765849253</v>
      </c>
      <c r="BU10" s="43">
        <f>AG10/(Basicinfo!G10*100)*1000000</f>
        <v>31.210952712919124</v>
      </c>
      <c r="BV10" s="43">
        <f>AH10/(Basicinfo!G10*100)*1000000</f>
        <v>0</v>
      </c>
      <c r="BW10" s="43">
        <f>AI10/(Basicinfo!G10*100)*1000000</f>
        <v>367.65699872747615</v>
      </c>
      <c r="BX10" s="43">
        <f>AJ10/(Basicinfo!G10*100)*1000000</f>
        <v>22.113213726409082</v>
      </c>
      <c r="BY10" s="58">
        <f>AK10/(Basicinfo!G10*100)*1000000</f>
        <v>18.099483997970943</v>
      </c>
      <c r="BZ10" s="58">
        <f>AL10/(Basicinfo!G10*100)*1000000</f>
        <v>180.53672537975825</v>
      </c>
      <c r="CA10" s="58">
        <f>AM10/(Basicinfo!G10*100)*1000000</f>
        <v>9.4022636352577429</v>
      </c>
      <c r="CB10" s="58">
        <f>AN10/(Basicinfo!G10*100)*1000000</f>
        <v>13.171341990903787</v>
      </c>
      <c r="CC10" s="58">
        <f>AO10/(Basicinfo!G10*100)*1000000</f>
        <v>4.4876020219118802</v>
      </c>
      <c r="CD10" s="58">
        <f t="shared" si="126"/>
        <v>649.01066916919194</v>
      </c>
      <c r="CE10" s="58">
        <f>AQ10/(Basicinfo!G10*100)*1000000</f>
        <v>73.715257869509998</v>
      </c>
      <c r="CF10" s="43">
        <f t="shared" si="7"/>
        <v>722.72592703870191</v>
      </c>
      <c r="CG10" s="84"/>
      <c r="CH10" s="84">
        <f t="shared" si="8"/>
        <v>6.007641374666667</v>
      </c>
      <c r="CI10" s="146">
        <f t="shared" si="9"/>
        <v>3.7630140138637431</v>
      </c>
      <c r="CJ10" s="200">
        <f>Intermediate!EW10+Intermediate!EY10+Intermediate!FD10</f>
        <v>33.996708344930767</v>
      </c>
      <c r="CK10" s="180">
        <f>Intermediate!FA10+Intermediate!FF10</f>
        <v>37.934923920855965</v>
      </c>
      <c r="CL10" s="180">
        <f t="shared" si="10"/>
        <v>54.344963557083283</v>
      </c>
      <c r="CM10" s="180">
        <f t="shared" si="11"/>
        <v>188.64693179572913</v>
      </c>
      <c r="CN10" s="202">
        <f>Intermediate!EX10+Intermediate!EZ10+Intermediate!FE10</f>
        <v>16.457303867317677</v>
      </c>
      <c r="CO10" s="180">
        <f>Intermediate!FB10+Intermediate!FG10</f>
        <v>18.364668660329095</v>
      </c>
      <c r="CP10" s="213">
        <f>Intermediate!EP10+Intermediate!EQ10+Intermediate!ER10+Intermediate!ES10+Intermediate!ET10+Intermediate!EU10+Intermediate!EV10+W10</f>
        <v>58.862062072156348</v>
      </c>
      <c r="CQ10" s="212">
        <f t="shared" si="12"/>
        <v>34.821972527646771</v>
      </c>
      <c r="CR10" s="212">
        <f t="shared" si="13"/>
        <v>314.92352761859917</v>
      </c>
      <c r="CS10" s="211">
        <f t="shared" si="14"/>
        <v>7.0722134767975948</v>
      </c>
      <c r="CT10" s="212">
        <f t="shared" si="15"/>
        <v>415.67977569519985</v>
      </c>
      <c r="CU10" s="84"/>
      <c r="CV10" s="31">
        <f t="shared" si="16"/>
        <v>418.37821760693265</v>
      </c>
      <c r="CW10" s="31">
        <f>CH10/Basicinfo!$G10*1000/100</f>
        <v>0.22229516649049</v>
      </c>
      <c r="CX10" s="31">
        <f>CI10/Basicinfo!$G10*1000/100</f>
        <v>0.13923930783306798</v>
      </c>
      <c r="CY10" s="31">
        <f>CS10/Basicinfo!$G10*1000/100</f>
        <v>0.26168653789994861</v>
      </c>
      <c r="CZ10" s="31">
        <f>CN10/Basicinfo!$G10*1000/100</f>
        <v>0.60895430918976123</v>
      </c>
      <c r="DA10" s="31">
        <f>CO10/Basicinfo!$G10*1000/100</f>
        <v>0.67953075471603852</v>
      </c>
      <c r="DB10" s="31">
        <f>CQ10/Basicinfo!$G10*1000/100</f>
        <v>1.2884850639057999</v>
      </c>
      <c r="DC10" s="31">
        <f>CJ10/Basicinfo!$G10*1000/100</f>
        <v>1.257948580874525</v>
      </c>
      <c r="DD10" s="31">
        <f>CK10/Basicinfo!$G10*1000/100</f>
        <v>1.4036707091655645</v>
      </c>
      <c r="DE10" s="31">
        <f>CM10/Basicinfo!$G10*1000/100</f>
        <v>6.9803269696301546</v>
      </c>
      <c r="DF10" s="31">
        <f>CR10/Basicinfo!$G10*1000/100</f>
        <v>11.652822403639764</v>
      </c>
      <c r="DG10" s="31">
        <f>CP10/Basicinfo!$G10*1000/100</f>
        <v>2.1780181392784215</v>
      </c>
      <c r="DH10" s="31">
        <f>CT10/Basicinfo!$G10*1000/100</f>
        <v>15.381012144723933</v>
      </c>
      <c r="DI10" s="31">
        <f>CV10/Basicinfo!$G10*1000/100</f>
        <v>15.480860081147542</v>
      </c>
      <c r="DJ10" s="31"/>
      <c r="DK10" s="188">
        <f t="shared" si="17"/>
        <v>1.4452570767050772</v>
      </c>
      <c r="DL10" s="188">
        <f t="shared" si="18"/>
        <v>0.90526752415854839</v>
      </c>
      <c r="DM10" s="188">
        <f t="shared" si="19"/>
        <v>1.7013609731119914</v>
      </c>
      <c r="DN10" s="188">
        <f t="shared" si="20"/>
        <v>3.9591302799838668</v>
      </c>
      <c r="DO10" s="188">
        <f t="shared" si="21"/>
        <v>4.417984644457448</v>
      </c>
      <c r="DP10" s="188">
        <f t="shared" si="22"/>
        <v>8.3771149244413152</v>
      </c>
      <c r="DQ10" s="188">
        <f t="shared" si="23"/>
        <v>8.1785812860568647</v>
      </c>
      <c r="DR10" s="188">
        <f t="shared" si="24"/>
        <v>9.1259970147482044</v>
      </c>
      <c r="DS10" s="188">
        <f t="shared" si="25"/>
        <v>45.382754424419204</v>
      </c>
      <c r="DT10" s="188">
        <f t="shared" si="26"/>
        <v>75.761089673392974</v>
      </c>
      <c r="DU10" s="188">
        <f t="shared" si="27"/>
        <v>14.160434429053717</v>
      </c>
      <c r="DV10" s="188">
        <f t="shared" si="28"/>
        <v>100</v>
      </c>
      <c r="DW10" s="188">
        <f t="shared" si="29"/>
        <v>100.64916362775162</v>
      </c>
      <c r="DY10" s="181">
        <f t="shared" si="30"/>
        <v>1.9921928133333333</v>
      </c>
      <c r="DZ10" s="181">
        <f t="shared" si="127"/>
        <v>0.73134307543284782</v>
      </c>
      <c r="EA10" s="185">
        <f t="shared" si="31"/>
        <v>0.48914787776539131</v>
      </c>
      <c r="EB10" s="185">
        <f>AG10+AH10+AL10-Intermediate!FJ10-Intermediate!FM10</f>
        <v>4.8334573810633836</v>
      </c>
      <c r="EC10" s="185">
        <f>AI10+AJ10-Intermediate!FK10</f>
        <v>9.6623424721023241</v>
      </c>
      <c r="ED10" s="240">
        <f t="shared" si="32"/>
        <v>6.3025851758464882E-2</v>
      </c>
      <c r="EE10" s="240">
        <f>Intermediate!FJ10+Intermediate!FK10+Intermediate!FM10</f>
        <v>1.7605309699533984</v>
      </c>
      <c r="EF10" s="240">
        <f t="shared" si="33"/>
        <v>14.984947730931099</v>
      </c>
      <c r="EG10" s="240">
        <f t="shared" si="34"/>
        <v>2.7235358887661811</v>
      </c>
      <c r="EH10" s="240">
        <f t="shared" si="35"/>
        <v>19.532040441409141</v>
      </c>
      <c r="EI10" s="181">
        <f t="shared" si="36"/>
        <v>19.532040441409144</v>
      </c>
      <c r="EK10" s="31">
        <f>DY10/Basicinfo!$G10*1000/100</f>
        <v>7.3715257869510012E-2</v>
      </c>
      <c r="EL10" s="31">
        <f>DZ10/Basicinfo!$G10*1000/100</f>
        <v>2.7061207648073415E-2</v>
      </c>
      <c r="EM10" s="220">
        <f>EG10/Basicinfo!$G10*1000/100</f>
        <v>0.10077646551758343</v>
      </c>
      <c r="EN10" s="220">
        <f>ED10/Basicinfo!$G10*1000/100</f>
        <v>2.3320869765849255E-3</v>
      </c>
      <c r="EO10" s="220">
        <f>EF10/Basicinfo!$G10*1000/100</f>
        <v>0.55447408441277724</v>
      </c>
      <c r="EP10" s="220">
        <f>EE10/Basicinfo!$G10*1000/100</f>
        <v>6.514329013175639E-2</v>
      </c>
      <c r="EQ10" s="220">
        <f>EH10/Basicinfo!$G10*1000/100</f>
        <v>0.72272592703870187</v>
      </c>
      <c r="ER10" s="31">
        <f>EI10/Basicinfo!$G10*1000/100</f>
        <v>0.72272592703870198</v>
      </c>
      <c r="ET10" s="188">
        <f t="shared" si="37"/>
        <v>10.199614419749821</v>
      </c>
      <c r="EU10" s="188">
        <f t="shared" si="38"/>
        <v>3.7443250111358308</v>
      </c>
      <c r="EV10" s="223">
        <f t="shared" si="39"/>
        <v>13.943939430885651</v>
      </c>
      <c r="EW10" s="223">
        <f t="shared" si="40"/>
        <v>0.32267930197833383</v>
      </c>
      <c r="EX10" s="223">
        <f t="shared" si="41"/>
        <v>76.71982748490565</v>
      </c>
      <c r="EY10" s="223">
        <f t="shared" si="42"/>
        <v>9.013553782230364</v>
      </c>
      <c r="EZ10" s="223">
        <f t="shared" si="43"/>
        <v>99.999999999999986</v>
      </c>
      <c r="FA10" s="188">
        <f t="shared" si="44"/>
        <v>100</v>
      </c>
      <c r="FC10" s="236">
        <f>Basicinfo!CT10</f>
        <v>3.0136129032258063</v>
      </c>
      <c r="FD10" s="181">
        <f>IF((Intermediate!CL10+Intermediate!CM10*3)/4&gt;11,(Intermediate!CL10+Intermediate!CM10*9)/10,(Intermediate!CL10+Intermediate!CM10*3)/4)</f>
        <v>3.6715054642703175</v>
      </c>
      <c r="FF10" s="31">
        <f t="shared" si="45"/>
        <v>6.3025851758464882E-2</v>
      </c>
      <c r="FG10" s="31">
        <f t="shared" si="46"/>
        <v>0.84349207326970566</v>
      </c>
      <c r="FH10" s="31">
        <f t="shared" si="47"/>
        <v>0</v>
      </c>
      <c r="FI10" s="31">
        <f>(AI10-(P10*450/1000000))*Parameters!$C$153</f>
        <v>6.6771204612836206</v>
      </c>
      <c r="FJ10" s="31"/>
      <c r="FK10" s="31">
        <f t="shared" si="48"/>
        <v>0.48914787776539131</v>
      </c>
      <c r="FL10" s="31">
        <f t="shared" si="49"/>
        <v>4.8790979946236028</v>
      </c>
      <c r="FM10" s="31">
        <f>AM10*Parameters!$C$154</f>
        <v>0.22869091591248467</v>
      </c>
      <c r="FN10" s="31">
        <f>AN10*Parameters!$C$154</f>
        <v>0.32036607146400065</v>
      </c>
      <c r="FO10" s="31">
        <f>AO10*Parameters!$C$154</f>
        <v>0.10915178051307778</v>
      </c>
      <c r="FP10" s="31">
        <f>AQ10*Parameters!$C$155</f>
        <v>1.9921928133333333</v>
      </c>
      <c r="FQ10" s="31">
        <f t="shared" si="50"/>
        <v>15.602285839923681</v>
      </c>
      <c r="FS10" s="147">
        <f>DY10*Parameters!$C$155</f>
        <v>1.9921928133333333</v>
      </c>
      <c r="FT10" s="147">
        <f>DZ10*Parameters!$C$154</f>
        <v>0.65820876788956306</v>
      </c>
      <c r="FU10" s="181">
        <f t="shared" si="51"/>
        <v>0.48914787776539131</v>
      </c>
      <c r="FV10" s="181">
        <f t="shared" si="52"/>
        <v>4.8334573810633836</v>
      </c>
      <c r="FW10" s="31">
        <f t="shared" si="53"/>
        <v>6.6771204612836188</v>
      </c>
      <c r="FX10" s="181">
        <f t="shared" si="54"/>
        <v>6.3025851758464882E-2</v>
      </c>
      <c r="FY10" s="147">
        <f>Intermediate!FJ10+Intermediate!FM10</f>
        <v>0.88913268682992519</v>
      </c>
      <c r="FZ10" s="181">
        <f t="shared" si="55"/>
        <v>11.999725720112394</v>
      </c>
      <c r="GA10" s="147">
        <f t="shared" si="56"/>
        <v>2.6504015812228965</v>
      </c>
      <c r="GB10" s="181">
        <f t="shared" si="57"/>
        <v>15.602285839923681</v>
      </c>
      <c r="GD10" s="147">
        <f>IF('River loads'!CH10&gt;0.99,1,0)</f>
        <v>1</v>
      </c>
      <c r="GE10" s="147">
        <f t="shared" si="58"/>
        <v>6.3025851758464882E-2</v>
      </c>
      <c r="GF10" s="147">
        <f t="shared" si="59"/>
        <v>0.84349207326970566</v>
      </c>
      <c r="GG10" s="147">
        <f t="shared" si="60"/>
        <v>0</v>
      </c>
      <c r="GH10" s="147">
        <f t="shared" si="61"/>
        <v>9.9361197641490264</v>
      </c>
      <c r="GI10" s="147">
        <f t="shared" si="62"/>
        <v>0.59762099107676936</v>
      </c>
      <c r="GJ10" s="147">
        <f t="shared" si="63"/>
        <v>0.48914787776539131</v>
      </c>
      <c r="GK10" s="147">
        <f t="shared" si="64"/>
        <v>4.8790979946236028</v>
      </c>
      <c r="GL10" s="147">
        <f t="shared" si="65"/>
        <v>0.2541010176805385</v>
      </c>
      <c r="GM10" s="270">
        <f t="shared" si="128"/>
        <v>0.35596230162666737</v>
      </c>
      <c r="GN10" s="270">
        <f t="shared" si="129"/>
        <v>0.12127975612564197</v>
      </c>
      <c r="GO10" s="147">
        <f t="shared" si="66"/>
        <v>1.9921928133333333</v>
      </c>
      <c r="GP10" s="147">
        <f t="shared" si="67"/>
        <v>19.532040441409144</v>
      </c>
      <c r="GQ10" s="147"/>
      <c r="GR10" s="147">
        <f t="shared" si="68"/>
        <v>6.3025851758464882E-2</v>
      </c>
      <c r="GS10" s="147">
        <f t="shared" si="69"/>
        <v>0.84349207326970566</v>
      </c>
      <c r="GT10" s="147">
        <f t="shared" si="70"/>
        <v>0</v>
      </c>
      <c r="GU10" s="147">
        <f t="shared" si="71"/>
        <v>6.6771204612836206</v>
      </c>
      <c r="GV10" s="147">
        <f t="shared" si="72"/>
        <v>0</v>
      </c>
      <c r="GW10" s="147">
        <f t="shared" si="73"/>
        <v>0.48914787776539131</v>
      </c>
      <c r="GX10" s="147">
        <f t="shared" si="74"/>
        <v>4.8790979946236028</v>
      </c>
      <c r="GY10" s="147">
        <f t="shared" si="75"/>
        <v>0.22869091591248467</v>
      </c>
      <c r="GZ10" s="147">
        <f t="shared" si="130"/>
        <v>0.32036607146400065</v>
      </c>
      <c r="HA10" s="147">
        <f t="shared" si="131"/>
        <v>0.10915178051307778</v>
      </c>
      <c r="HB10" s="147">
        <f t="shared" si="76"/>
        <v>1.9921928133333333</v>
      </c>
      <c r="HC10" s="147">
        <f t="shared" si="77"/>
        <v>15.602285839923681</v>
      </c>
      <c r="HD10" s="147"/>
      <c r="HE10" s="147">
        <f t="shared" si="78"/>
        <v>1.9921928133333333</v>
      </c>
      <c r="HF10" s="147">
        <f t="shared" si="79"/>
        <v>0.73134307543284782</v>
      </c>
      <c r="HG10" s="147">
        <f t="shared" si="80"/>
        <v>0.48914787776539131</v>
      </c>
      <c r="HH10" s="147">
        <f t="shared" si="81"/>
        <v>4.8334573810633836</v>
      </c>
      <c r="HI10" s="147">
        <f t="shared" si="82"/>
        <v>9.6623424721023241</v>
      </c>
      <c r="HJ10" s="147">
        <f t="shared" si="83"/>
        <v>6.3025851758464882E-2</v>
      </c>
      <c r="HK10" s="147">
        <f t="shared" si="84"/>
        <v>1.7605309699533984</v>
      </c>
      <c r="HL10" s="147">
        <f t="shared" si="85"/>
        <v>14.984947730931099</v>
      </c>
      <c r="HM10" s="147">
        <f t="shared" si="86"/>
        <v>2.7235358887661811</v>
      </c>
      <c r="HN10" s="147">
        <f t="shared" si="87"/>
        <v>19.532040441409141</v>
      </c>
      <c r="HO10" s="147">
        <f t="shared" si="88"/>
        <v>19.532040441409144</v>
      </c>
      <c r="HQ10" s="147">
        <f t="shared" si="89"/>
        <v>1.9921928133333333</v>
      </c>
      <c r="HR10" s="147">
        <f t="shared" si="90"/>
        <v>0.65820876788956306</v>
      </c>
      <c r="HS10" s="147">
        <f t="shared" si="91"/>
        <v>0.48914787776539131</v>
      </c>
      <c r="HT10" s="147">
        <f t="shared" si="92"/>
        <v>4.8334573810633836</v>
      </c>
      <c r="HU10" s="147">
        <f t="shared" si="93"/>
        <v>6.6771204612836188</v>
      </c>
      <c r="HV10" s="147">
        <f t="shared" si="94"/>
        <v>6.3025851758464882E-2</v>
      </c>
      <c r="HW10" s="147">
        <f t="shared" si="95"/>
        <v>0.88913268682992519</v>
      </c>
      <c r="HX10" s="147">
        <f t="shared" si="96"/>
        <v>11.999725720112394</v>
      </c>
      <c r="HY10" s="147">
        <f t="shared" si="97"/>
        <v>2.6504015812228965</v>
      </c>
      <c r="HZ10" s="147">
        <f t="shared" si="98"/>
        <v>15.602285839923681</v>
      </c>
      <c r="IB10" s="147">
        <f>IF('River loads'!CI10&gt;0.99,1,0)</f>
        <v>1</v>
      </c>
      <c r="IC10">
        <f t="shared" si="99"/>
        <v>3.5213466806775191</v>
      </c>
      <c r="ID10">
        <f t="shared" si="100"/>
        <v>45.394182977295443</v>
      </c>
      <c r="IE10">
        <f t="shared" si="101"/>
        <v>0</v>
      </c>
      <c r="IF10">
        <f t="shared" si="102"/>
        <v>29.34611486909931</v>
      </c>
      <c r="IG10">
        <f t="shared" si="103"/>
        <v>3.3201166170931627E-2</v>
      </c>
      <c r="IH10">
        <f t="shared" si="104"/>
        <v>54.344963557083283</v>
      </c>
      <c r="II10">
        <f t="shared" si="105"/>
        <v>275.96775296807573</v>
      </c>
      <c r="IJ10">
        <f t="shared" si="106"/>
        <v>1.0645721021309273</v>
      </c>
      <c r="IK10">
        <f t="shared" si="132"/>
        <v>1.922532345966973</v>
      </c>
      <c r="IL10">
        <f t="shared" si="133"/>
        <v>0.77590956576584247</v>
      </c>
      <c r="IM10">
        <f t="shared" si="107"/>
        <v>6.007641374666667</v>
      </c>
      <c r="IN10">
        <f t="shared" si="108"/>
        <v>418.37821760693265</v>
      </c>
      <c r="IP10">
        <f t="shared" si="109"/>
        <v>6.007641374666667</v>
      </c>
      <c r="IQ10">
        <f t="shared" si="110"/>
        <v>3.7630140138637431</v>
      </c>
      <c r="IR10">
        <f t="shared" si="111"/>
        <v>33.996708344930767</v>
      </c>
      <c r="IS10">
        <f t="shared" si="112"/>
        <v>37.934923920855965</v>
      </c>
      <c r="IT10">
        <f t="shared" si="113"/>
        <v>54.344963557083283</v>
      </c>
      <c r="IU10">
        <f t="shared" si="114"/>
        <v>188.64693179572913</v>
      </c>
      <c r="IV10">
        <f t="shared" si="115"/>
        <v>16.457303867317677</v>
      </c>
      <c r="IW10">
        <f t="shared" si="116"/>
        <v>18.364668660329095</v>
      </c>
      <c r="IX10">
        <f t="shared" si="117"/>
        <v>58.862062072156348</v>
      </c>
    </row>
    <row r="11" spans="1:258">
      <c r="A11" s="39" t="str">
        <f>Basicinfo!A11</f>
        <v>Gurtenbach</v>
      </c>
      <c r="B11" s="63">
        <f>Basicinfo!B11</f>
        <v>660</v>
      </c>
      <c r="C11" s="63">
        <f>Basicinfo!C11</f>
        <v>1050</v>
      </c>
      <c r="D11" s="130">
        <f>Basicinfo!G11</f>
        <v>98.796958398699999</v>
      </c>
      <c r="E11" s="87">
        <f t="shared" si="118"/>
        <v>1.4346109469466097</v>
      </c>
      <c r="F11" s="19">
        <f>Intermediate!AR11</f>
        <v>3.2013546518723434E-3</v>
      </c>
      <c r="G11" s="19">
        <f>Intermediate!AU11</f>
        <v>0.26910261298503113</v>
      </c>
      <c r="H11" s="19">
        <f>Intermediate!AW11</f>
        <v>0</v>
      </c>
      <c r="I11" s="19">
        <f>Intermediate!AZ11</f>
        <v>5.5266686987225207E-2</v>
      </c>
      <c r="J11" s="19">
        <f>Intermediate!BA11</f>
        <v>1.0888951532221272</v>
      </c>
      <c r="K11" s="19">
        <f>Intermediate!AC11</f>
        <v>3.6754169868778428E-3</v>
      </c>
      <c r="L11" s="19">
        <f>Intermediate!AO11</f>
        <v>1.9158027384257306E-3</v>
      </c>
      <c r="M11" s="19">
        <f>Intermediate!AP11</f>
        <v>6.4975729772829343E-3</v>
      </c>
      <c r="N11" s="19">
        <f t="shared" si="119"/>
        <v>1.4285546005488421</v>
      </c>
      <c r="O11" s="19">
        <f>Basicinfo!CB11+Basicinfo!CG11</f>
        <v>6.0563463977676302E-3</v>
      </c>
      <c r="P11" s="56">
        <f>Intermediate!BK11-Intermediate!BI11</f>
        <v>4059.1249715512954</v>
      </c>
      <c r="Q11" s="43">
        <f>Intermediate!BI11</f>
        <v>880.9229008208946</v>
      </c>
      <c r="R11" s="88">
        <f t="shared" si="3"/>
        <v>4940.0478723721899</v>
      </c>
      <c r="S11" s="61">
        <f>Intermediate!F11*Intermediate!BO11/1000</f>
        <v>0.90701483958418938</v>
      </c>
      <c r="T11" s="19">
        <f>Intermediate!BU11*Intermediate!AU11*86.4*0.365</f>
        <v>19.586803992532165</v>
      </c>
      <c r="U11" s="19">
        <f>Intermediate!AW11*Intermediate!BS11*0.365*86.4</f>
        <v>0</v>
      </c>
      <c r="V11" s="19">
        <f>(Basicinfo!BL11/1000000)*(Intermediate!BK11-Intermediate!BF11-Intermediate!BG11-Intermediate!BH11)*Intermediate!CV11</f>
        <v>13.572356233700489</v>
      </c>
      <c r="W11" s="19">
        <f>Intermediate!BI11*Parameters!$C$51/1000000</f>
        <v>2.2023072520522366E-2</v>
      </c>
      <c r="X11" s="19">
        <f>Intermediate!AZ11*Intermediate!CG11*86.4*0.365</f>
        <v>20.553692953072272</v>
      </c>
      <c r="Y11" s="19">
        <f>Intermediate!CM11*Intermediate!BA11*86.4*0.365+Parameters!$C$126*Intermediate!BB11*Basicinfo!P11/1000+Parameters!$C$127*Intermediate!BB11*Basicinfo!S11/1000</f>
        <v>117.66339006263921</v>
      </c>
      <c r="Z11" s="19">
        <f>Intermediate!DG11</f>
        <v>0.38743285265206662</v>
      </c>
      <c r="AA11" s="19">
        <f>Intermediate!DI11</f>
        <v>0.50673795322484394</v>
      </c>
      <c r="AB11" s="19">
        <f>Intermediate!DK11</f>
        <v>0.26332726412793855</v>
      </c>
      <c r="AC11" s="19">
        <f t="shared" si="120"/>
        <v>173.46277922405372</v>
      </c>
      <c r="AD11" s="19">
        <f>Basicinfo!CC11+Basicinfo!CE11+Basicinfo!CH11+Basicinfo!CJ11</f>
        <v>0</v>
      </c>
      <c r="AE11" s="87">
        <f t="shared" si="121"/>
        <v>173.46277922405372</v>
      </c>
      <c r="AF11" s="56">
        <f>Intermediate!F11*Basicinfo!BD11/1000</f>
        <v>1.5653209742141794E-2</v>
      </c>
      <c r="AG11" s="43">
        <f>Intermediate!CA11*Intermediate!AU11*86.4*0.365</f>
        <v>0.30297533513285213</v>
      </c>
      <c r="AH11" s="43">
        <f>Intermediate!AW11*Intermediate!BZ11*0.365*86.4</f>
        <v>0</v>
      </c>
      <c r="AI11" s="43">
        <f>(Intermediate!CU11/1000000)*(Intermediate!BK11-Intermediate!BF11-Intermediate!BG11-Intermediate!BH11)*Intermediate!CW11</f>
        <v>8.1947299345849256</v>
      </c>
      <c r="AJ11" s="43">
        <f>Intermediate!BF11*Parameters!$C$52/1000000+(Intermediate!BG11+Intermediate!BH11)*Intermediate!CX11/1000000</f>
        <v>0.39641530536940256</v>
      </c>
      <c r="AK11" s="43">
        <f>Intermediate!AZ11*Intermediate!CH11*86.4*0.365</f>
        <v>0.11626747819280102</v>
      </c>
      <c r="AL11" s="58">
        <f>Intermediate!CR11*Intermediate!BA11*86.4*0.365</f>
        <v>1.3218740231697526</v>
      </c>
      <c r="AM11" s="43">
        <f>Intermediate!DH11</f>
        <v>8.8879028828041134E-2</v>
      </c>
      <c r="AN11" s="42">
        <f>Intermediate!DJ11</f>
        <v>9.5144035674165753E-2</v>
      </c>
      <c r="AO11" s="42">
        <f>Intermediate!DL11</f>
        <v>4.0676753025771201E-2</v>
      </c>
      <c r="AP11" s="42">
        <f t="shared" si="122"/>
        <v>10.572615103719851</v>
      </c>
      <c r="AQ11" s="43">
        <f>Basicinfo!CD11+Basicinfo!CF11+Basicinfo!CI11+Basicinfo!CK11</f>
        <v>0.13916224999999999</v>
      </c>
      <c r="AR11" s="83">
        <f t="shared" si="4"/>
        <v>10.711777353719851</v>
      </c>
      <c r="AS11" s="19">
        <f>F11*86400*365/(Basicinfo!G11*1000000)*1000</f>
        <v>1.0218727573983153</v>
      </c>
      <c r="AT11" s="19">
        <f>G11*86400*365/(Basicinfo!G11*1000000)*1000</f>
        <v>85.897583697350029</v>
      </c>
      <c r="AU11" s="19">
        <f>H11*86400*365/(Basicinfo!G11*1000000)*1000</f>
        <v>0</v>
      </c>
      <c r="AV11" s="19">
        <f>I11*86400*365/(Basicinfo!G11*1000000)*1000</f>
        <v>17.641132572073872</v>
      </c>
      <c r="AW11" s="19">
        <f>J11*86400*365/(Basicinfo!G11*1000000)*1000</f>
        <v>347.57545281338184</v>
      </c>
      <c r="AX11" s="53">
        <f>K11*86400*365/(Basicinfo!G11*1000000)*1000</f>
        <v>1.1731935069339623</v>
      </c>
      <c r="AY11" s="53">
        <f>L11*86400*365/(Basicinfo!G11*1000000)*1000</f>
        <v>0.61152444506620385</v>
      </c>
      <c r="AZ11" s="53">
        <f>M11*86400*365/(Basicinfo!G11*1000000)*1000</f>
        <v>2.0740260098360563</v>
      </c>
      <c r="BA11" s="19">
        <f t="shared" si="123"/>
        <v>455.99478580204027</v>
      </c>
      <c r="BB11" s="19">
        <f>O11*86400*365/(Basicinfo!G11*1000000)*1000</f>
        <v>1.9331864370686249</v>
      </c>
      <c r="BC11" s="53">
        <f t="shared" si="124"/>
        <v>457.9279722391089</v>
      </c>
      <c r="BD11" s="56">
        <f>P11/(Basicinfo!G11*100)*1000</f>
        <v>410.85525681575098</v>
      </c>
      <c r="BE11" s="43">
        <f>Q11/(Basicinfo!G11*100)*1000</f>
        <v>89.164981908237166</v>
      </c>
      <c r="BF11" s="58">
        <f t="shared" si="5"/>
        <v>500.02023872398814</v>
      </c>
      <c r="BG11" s="61">
        <f>S11/(Basicinfo!G11*100)*1000000</f>
        <v>91.805947701738575</v>
      </c>
      <c r="BH11" s="19">
        <f>T11/(Basicinfo!G11*100)*1000000</f>
        <v>1982.5310728179149</v>
      </c>
      <c r="BI11" s="19">
        <f>U11/(Basicinfo!G11*100)*1000000</f>
        <v>0</v>
      </c>
      <c r="BJ11" s="19">
        <f>V11/(Basicinfo!G11*100)*1000000</f>
        <v>1373.7625584513012</v>
      </c>
      <c r="BK11" s="19">
        <f>W11/(Basicinfo!G11*100)*1000000</f>
        <v>2.2291245477059292</v>
      </c>
      <c r="BL11" s="19">
        <f>X11/(Basicinfo!G11*100)*1000000</f>
        <v>2080.3973407892609</v>
      </c>
      <c r="BM11" s="19">
        <f>Y11/(Basicinfo!G11*100)*1000000</f>
        <v>11909.616649108042</v>
      </c>
      <c r="BN11" s="53">
        <f>Z11/(Basicinfo!G11*100)*1000000</f>
        <v>39.215058735772232</v>
      </c>
      <c r="BO11" s="53">
        <f>AA11/(Basicinfo!G11*100)*1000000</f>
        <v>51.29084553189157</v>
      </c>
      <c r="BP11" s="53">
        <f>AB11/(Basicinfo!G11*100)*1000000</f>
        <v>26.653377633881032</v>
      </c>
      <c r="BQ11" s="19">
        <f t="shared" si="125"/>
        <v>17557.501975317507</v>
      </c>
      <c r="BR11" s="19">
        <f>AD11/(Basicinfo!G11*100)*1000000</f>
        <v>0</v>
      </c>
      <c r="BS11" s="53">
        <f t="shared" si="6"/>
        <v>17557.501975317507</v>
      </c>
      <c r="BT11" s="56">
        <f>AF11/(Basicinfo!G11*100)*1000000</f>
        <v>1.5843817457388205</v>
      </c>
      <c r="BU11" s="43">
        <f>AG11/(Basicinfo!G11*100)*1000000</f>
        <v>30.666463830817566</v>
      </c>
      <c r="BV11" s="43">
        <f>AH11/(Basicinfo!G11*100)*1000000</f>
        <v>0</v>
      </c>
      <c r="BW11" s="43">
        <f>AI11/(Basicinfo!G11*100)*1000000</f>
        <v>829.45164177167158</v>
      </c>
      <c r="BX11" s="43">
        <f>AJ11/(Basicinfo!G11*100)*1000000</f>
        <v>40.124241858706725</v>
      </c>
      <c r="BY11" s="58">
        <f>AK11/(Basicinfo!G11*100)*1000000</f>
        <v>11.768325672901575</v>
      </c>
      <c r="BZ11" s="58">
        <f>AL11/(Basicinfo!G11*100)*1000000</f>
        <v>133.79703632527477</v>
      </c>
      <c r="CA11" s="58">
        <f>AM11/(Basicinfo!G11*100)*1000000</f>
        <v>8.9961300700539191</v>
      </c>
      <c r="CB11" s="58">
        <f>AN11/(Basicinfo!G11*100)*1000000</f>
        <v>9.630259596677794</v>
      </c>
      <c r="CC11" s="58">
        <f>AO11/(Basicinfo!G11*100)*1000000</f>
        <v>4.1172070157887006</v>
      </c>
      <c r="CD11" s="58">
        <f t="shared" si="126"/>
        <v>1070.1356878876313</v>
      </c>
      <c r="CE11" s="58">
        <f>AQ11/(Basicinfo!G11*100)*1000000</f>
        <v>14.085681609590029</v>
      </c>
      <c r="CF11" s="43">
        <f t="shared" si="7"/>
        <v>1084.2213694972213</v>
      </c>
      <c r="CG11" s="84"/>
      <c r="CH11" s="84">
        <f t="shared" si="8"/>
        <v>0</v>
      </c>
      <c r="CI11" s="146">
        <f t="shared" si="9"/>
        <v>1.1574980700048492</v>
      </c>
      <c r="CJ11" s="200">
        <f>Intermediate!EW11+Intermediate!EY11+Intermediate!FD11</f>
        <v>10.17031348368176</v>
      </c>
      <c r="CK11" s="180">
        <f>Intermediate!FA11+Intermediate!FF11</f>
        <v>19.637999760183884</v>
      </c>
      <c r="CL11" s="180">
        <f t="shared" si="10"/>
        <v>20.553692953072272</v>
      </c>
      <c r="CM11" s="180">
        <f t="shared" si="11"/>
        <v>84.575134570992617</v>
      </c>
      <c r="CN11" s="202">
        <f>Intermediate!EX11+Intermediate!EZ11+Intermediate!FE11</f>
        <v>4.4794490963935285</v>
      </c>
      <c r="CO11" s="180">
        <f>Intermediate!FB11+Intermediate!FG11</f>
        <v>8.6516430157488191</v>
      </c>
      <c r="CP11" s="213">
        <f>Intermediate!EP11+Intermediate!EQ11+Intermediate!ER11+Intermediate!ES11+Intermediate!ET11+Intermediate!EU11+Intermediate!EV11+W11</f>
        <v>24.237048273975951</v>
      </c>
      <c r="CQ11" s="212">
        <f t="shared" si="12"/>
        <v>13.131092112142348</v>
      </c>
      <c r="CR11" s="212">
        <f t="shared" si="13"/>
        <v>134.93714076793054</v>
      </c>
      <c r="CS11" s="211">
        <f t="shared" si="14"/>
        <v>0.38743285265206662</v>
      </c>
      <c r="CT11" s="212">
        <f t="shared" si="15"/>
        <v>172.6927140067009</v>
      </c>
      <c r="CU11" s="84"/>
      <c r="CV11" s="31">
        <f t="shared" si="16"/>
        <v>173.46277922405372</v>
      </c>
      <c r="CW11" s="31">
        <f>CH11/Basicinfo!$G11*1000/100</f>
        <v>0</v>
      </c>
      <c r="CX11" s="31">
        <f>CI11/Basicinfo!$G11*1000/100</f>
        <v>0.11715928190154484</v>
      </c>
      <c r="CY11" s="31">
        <f>CS11/Basicinfo!$G11*1000/100</f>
        <v>3.9215058735772232E-2</v>
      </c>
      <c r="CZ11" s="31">
        <f>CN11/Basicinfo!$G11*1000/100</f>
        <v>0.45339949417435416</v>
      </c>
      <c r="DA11" s="31">
        <f>CO11/Basicinfo!$G11*1000/100</f>
        <v>0.87569932880268309</v>
      </c>
      <c r="DB11" s="31">
        <f>CQ11/Basicinfo!$G11*1000/100</f>
        <v>1.3290988229770371</v>
      </c>
      <c r="DC11" s="31">
        <f>CJ11/Basicinfo!$G11*1000/100</f>
        <v>1.0294156468500737</v>
      </c>
      <c r="DD11" s="31">
        <f>CK11/Basicinfo!$G11*1000/100</f>
        <v>1.987712990204999</v>
      </c>
      <c r="DE11" s="31">
        <f>CM11/Basicinfo!$G11*1000/100</f>
        <v>8.5604998313496132</v>
      </c>
      <c r="DF11" s="31">
        <f>CR11/Basicinfo!$G11*1000/100</f>
        <v>13.658025809193948</v>
      </c>
      <c r="DG11" s="31">
        <f>CP11/Basicinfo!$G11*1000/100</f>
        <v>2.4532180612449777</v>
      </c>
      <c r="DH11" s="31">
        <f>CT11/Basicinfo!$G11*1000/100</f>
        <v>17.479557752151734</v>
      </c>
      <c r="DI11" s="31">
        <f>CV11/Basicinfo!$G11*1000/100</f>
        <v>17.557501975317511</v>
      </c>
      <c r="DJ11" s="31"/>
      <c r="DK11" s="188">
        <f t="shared" si="17"/>
        <v>0</v>
      </c>
      <c r="DL11" s="188">
        <f t="shared" si="18"/>
        <v>0.67026456597348716</v>
      </c>
      <c r="DM11" s="188">
        <f t="shared" si="19"/>
        <v>0.22434811733692095</v>
      </c>
      <c r="DN11" s="188">
        <f t="shared" si="20"/>
        <v>2.5938842424004727</v>
      </c>
      <c r="DO11" s="188">
        <f t="shared" si="21"/>
        <v>5.0098483109212788</v>
      </c>
      <c r="DP11" s="188">
        <f t="shared" si="22"/>
        <v>7.6037325533217519</v>
      </c>
      <c r="DQ11" s="188">
        <f t="shared" si="23"/>
        <v>5.8892545306150703</v>
      </c>
      <c r="DR11" s="188">
        <f t="shared" si="24"/>
        <v>11.371643484288446</v>
      </c>
      <c r="DS11" s="188">
        <f t="shared" si="25"/>
        <v>48.974350225169836</v>
      </c>
      <c r="DT11" s="188">
        <f t="shared" si="26"/>
        <v>78.137135978240906</v>
      </c>
      <c r="DU11" s="188">
        <f t="shared" si="27"/>
        <v>14.034783351100439</v>
      </c>
      <c r="DV11" s="188">
        <f t="shared" si="28"/>
        <v>100</v>
      </c>
      <c r="DW11" s="188">
        <f t="shared" si="29"/>
        <v>100.44591644863658</v>
      </c>
      <c r="DY11" s="181">
        <f t="shared" si="30"/>
        <v>0.13916224999999999</v>
      </c>
      <c r="DZ11" s="181">
        <f t="shared" si="127"/>
        <v>0.2246998175279781</v>
      </c>
      <c r="EA11" s="185">
        <f t="shared" si="31"/>
        <v>0.11626747819280102</v>
      </c>
      <c r="EB11" s="185">
        <f>AG11+AH11+AL11-Intermediate!FJ11-Intermediate!FM11</f>
        <v>1.31065495941824</v>
      </c>
      <c r="EC11" s="185">
        <f>AI11+AJ11-Intermediate!FK11</f>
        <v>7.9837298747373415</v>
      </c>
      <c r="ED11" s="240">
        <f t="shared" si="32"/>
        <v>1.5653209742141794E-2</v>
      </c>
      <c r="EE11" s="240">
        <f>Intermediate!FJ11+Intermediate!FK11+Intermediate!FM11</f>
        <v>0.92160976410135054</v>
      </c>
      <c r="EF11" s="240">
        <f t="shared" si="33"/>
        <v>9.4106523123483825</v>
      </c>
      <c r="EG11" s="240">
        <f t="shared" si="34"/>
        <v>0.36386206752797812</v>
      </c>
      <c r="EH11" s="240">
        <f t="shared" si="35"/>
        <v>10.711777353719853</v>
      </c>
      <c r="EI11" s="181">
        <f t="shared" si="36"/>
        <v>10.711777353719851</v>
      </c>
      <c r="EK11" s="31">
        <f>DY11/Basicinfo!$G11*1000/100</f>
        <v>1.408568160959003E-2</v>
      </c>
      <c r="EL11" s="31">
        <f>DZ11/Basicinfo!$G11*1000/100</f>
        <v>2.2743596682520417E-2</v>
      </c>
      <c r="EM11" s="220">
        <f>EG11/Basicinfo!$G11*1000/100</f>
        <v>3.6829278292110447E-2</v>
      </c>
      <c r="EN11" s="220">
        <f>ED11/Basicinfo!$G11*1000/100</f>
        <v>1.5843817457388205E-3</v>
      </c>
      <c r="EO11" s="220">
        <f>EF11/Basicinfo!$G11*1000/100</f>
        <v>0.95252449719871246</v>
      </c>
      <c r="EP11" s="220">
        <f>EE11/Basicinfo!$G11*1000/100</f>
        <v>9.3283212260659776E-2</v>
      </c>
      <c r="EQ11" s="220">
        <f>EH11/Basicinfo!$G11*1000/100</f>
        <v>1.0842213694972214</v>
      </c>
      <c r="ER11" s="31">
        <f>EI11/Basicinfo!$G11*1000/100</f>
        <v>1.0842213694972214</v>
      </c>
      <c r="ET11" s="188">
        <f t="shared" si="37"/>
        <v>1.2991518158438333</v>
      </c>
      <c r="EU11" s="188">
        <f t="shared" si="38"/>
        <v>2.0976893946544468</v>
      </c>
      <c r="EV11" s="223">
        <f t="shared" si="39"/>
        <v>3.3968412104982804</v>
      </c>
      <c r="EW11" s="223">
        <f t="shared" si="40"/>
        <v>0.14613083548367389</v>
      </c>
      <c r="EX11" s="223">
        <f t="shared" si="41"/>
        <v>87.853322577512031</v>
      </c>
      <c r="EY11" s="223">
        <f t="shared" si="42"/>
        <v>8.6037053765060314</v>
      </c>
      <c r="EZ11" s="223">
        <f t="shared" si="43"/>
        <v>100</v>
      </c>
      <c r="FA11" s="188">
        <f t="shared" si="44"/>
        <v>100</v>
      </c>
      <c r="FC11" s="236">
        <f>Basicinfo!CT11</f>
        <v>1.829032258064516</v>
      </c>
      <c r="FD11" s="181">
        <f>IF((Intermediate!CL11+Intermediate!CM11*3)/4&gt;11,(Intermediate!CL11+Intermediate!CM11*9)/10,(Intermediate!CL11+Intermediate!CM11*3)/4)</f>
        <v>4.1696306497964759</v>
      </c>
      <c r="FF11" s="31">
        <f t="shared" si="45"/>
        <v>1.5653209742141794E-2</v>
      </c>
      <c r="FG11" s="31">
        <f t="shared" si="46"/>
        <v>0.30297533513285213</v>
      </c>
      <c r="FH11" s="31">
        <f t="shared" si="47"/>
        <v>0</v>
      </c>
      <c r="FI11" s="31">
        <f>(AI11-(P11*450/1000000))*Parameters!$C$153</f>
        <v>5.0944989579094742</v>
      </c>
      <c r="FJ11" s="31"/>
      <c r="FK11" s="31">
        <f t="shared" si="48"/>
        <v>0.11626747819280102</v>
      </c>
      <c r="FL11" s="31">
        <f t="shared" si="49"/>
        <v>1.3218740231697526</v>
      </c>
      <c r="FM11" s="31">
        <f>AM11*Parameters!$C$154</f>
        <v>7.9991125945237024E-2</v>
      </c>
      <c r="FN11" s="31">
        <f>AN11*Parameters!$C$154</f>
        <v>8.5629632106749176E-2</v>
      </c>
      <c r="FO11" s="31">
        <f>AO11*Parameters!$C$154</f>
        <v>3.6609077723194085E-2</v>
      </c>
      <c r="FP11" s="31">
        <f>AQ11*Parameters!$C$155</f>
        <v>0.13916224999999999</v>
      </c>
      <c r="FQ11" s="31">
        <f t="shared" si="50"/>
        <v>7.1926610899222014</v>
      </c>
      <c r="FS11" s="147">
        <f>DY11*Parameters!$C$155</f>
        <v>0.13916224999999999</v>
      </c>
      <c r="FT11" s="147">
        <f>DZ11*Parameters!$C$154</f>
        <v>0.20222983577518031</v>
      </c>
      <c r="FU11" s="181">
        <f t="shared" si="51"/>
        <v>0.11626747819280102</v>
      </c>
      <c r="FV11" s="181">
        <f t="shared" si="52"/>
        <v>1.31065495941824</v>
      </c>
      <c r="FW11" s="31">
        <f t="shared" si="53"/>
        <v>5.0944989579094742</v>
      </c>
      <c r="FX11" s="181">
        <f t="shared" si="54"/>
        <v>1.5653209742141794E-2</v>
      </c>
      <c r="FY11" s="147">
        <f>Intermediate!FJ11+Intermediate!FM11</f>
        <v>0.31419439888436451</v>
      </c>
      <c r="FZ11" s="181">
        <f t="shared" si="55"/>
        <v>6.5214213955205151</v>
      </c>
      <c r="GA11" s="147">
        <f t="shared" si="56"/>
        <v>0.34139208577518032</v>
      </c>
      <c r="GB11" s="181">
        <f t="shared" si="57"/>
        <v>7.1926610899222023</v>
      </c>
      <c r="GD11" s="147">
        <f>IF('River loads'!CH11&gt;0.99,1,0)</f>
        <v>1</v>
      </c>
      <c r="GE11" s="147">
        <f t="shared" si="58"/>
        <v>1.5653209742141794E-2</v>
      </c>
      <c r="GF11" s="147">
        <f t="shared" si="59"/>
        <v>0.30297533513285213</v>
      </c>
      <c r="GG11" s="147">
        <f t="shared" si="60"/>
        <v>0</v>
      </c>
      <c r="GH11" s="147">
        <f t="shared" si="61"/>
        <v>8.1947299345849256</v>
      </c>
      <c r="GI11" s="147">
        <f t="shared" si="62"/>
        <v>0.39641530536940256</v>
      </c>
      <c r="GJ11" s="147">
        <f t="shared" si="63"/>
        <v>0.11626747819280102</v>
      </c>
      <c r="GK11" s="147">
        <f t="shared" si="64"/>
        <v>1.3218740231697526</v>
      </c>
      <c r="GL11" s="147">
        <f t="shared" si="65"/>
        <v>8.8879028828041134E-2</v>
      </c>
      <c r="GM11" s="270">
        <f t="shared" si="128"/>
        <v>9.5144035674165753E-2</v>
      </c>
      <c r="GN11" s="270">
        <f t="shared" si="129"/>
        <v>4.0676753025771201E-2</v>
      </c>
      <c r="GO11" s="147">
        <f t="shared" si="66"/>
        <v>0.13916224999999999</v>
      </c>
      <c r="GP11" s="147">
        <f t="shared" si="67"/>
        <v>10.711777353719851</v>
      </c>
      <c r="GQ11" s="147"/>
      <c r="GR11" s="147">
        <f t="shared" si="68"/>
        <v>1.5653209742141794E-2</v>
      </c>
      <c r="GS11" s="147">
        <f t="shared" si="69"/>
        <v>0.30297533513285213</v>
      </c>
      <c r="GT11" s="147">
        <f t="shared" si="70"/>
        <v>0</v>
      </c>
      <c r="GU11" s="147">
        <f t="shared" si="71"/>
        <v>5.0944989579094742</v>
      </c>
      <c r="GV11" s="147">
        <f t="shared" si="72"/>
        <v>0</v>
      </c>
      <c r="GW11" s="147">
        <f t="shared" si="73"/>
        <v>0.11626747819280102</v>
      </c>
      <c r="GX11" s="147">
        <f t="shared" si="74"/>
        <v>1.3218740231697526</v>
      </c>
      <c r="GY11" s="147">
        <f t="shared" si="75"/>
        <v>7.9991125945237024E-2</v>
      </c>
      <c r="GZ11" s="147">
        <f t="shared" si="130"/>
        <v>8.5629632106749176E-2</v>
      </c>
      <c r="HA11" s="147">
        <f t="shared" si="131"/>
        <v>3.6609077723194085E-2</v>
      </c>
      <c r="HB11" s="147">
        <f t="shared" si="76"/>
        <v>0.13916224999999999</v>
      </c>
      <c r="HC11" s="147">
        <f t="shared" si="77"/>
        <v>7.1926610899222014</v>
      </c>
      <c r="HD11" s="147"/>
      <c r="HE11" s="147">
        <f t="shared" si="78"/>
        <v>0.13916224999999999</v>
      </c>
      <c r="HF11" s="147">
        <f t="shared" si="79"/>
        <v>0.2246998175279781</v>
      </c>
      <c r="HG11" s="147">
        <f t="shared" si="80"/>
        <v>0.11626747819280102</v>
      </c>
      <c r="HH11" s="147">
        <f t="shared" si="81"/>
        <v>1.31065495941824</v>
      </c>
      <c r="HI11" s="147">
        <f t="shared" si="82"/>
        <v>7.9837298747373415</v>
      </c>
      <c r="HJ11" s="147">
        <f t="shared" si="83"/>
        <v>1.5653209742141794E-2</v>
      </c>
      <c r="HK11" s="147">
        <f t="shared" si="84"/>
        <v>0.92160976410135054</v>
      </c>
      <c r="HL11" s="147">
        <f t="shared" si="85"/>
        <v>9.4106523123483825</v>
      </c>
      <c r="HM11" s="147">
        <f t="shared" si="86"/>
        <v>0.36386206752797812</v>
      </c>
      <c r="HN11" s="147">
        <f t="shared" si="87"/>
        <v>10.711777353719853</v>
      </c>
      <c r="HO11" s="147">
        <f t="shared" si="88"/>
        <v>10.711777353719851</v>
      </c>
      <c r="HQ11" s="147">
        <f t="shared" si="89"/>
        <v>0.13916224999999999</v>
      </c>
      <c r="HR11" s="147">
        <f t="shared" si="90"/>
        <v>0.20222983577518031</v>
      </c>
      <c r="HS11" s="147">
        <f t="shared" si="91"/>
        <v>0.11626747819280102</v>
      </c>
      <c r="HT11" s="147">
        <f t="shared" si="92"/>
        <v>1.31065495941824</v>
      </c>
      <c r="HU11" s="147">
        <f t="shared" si="93"/>
        <v>5.0944989579094742</v>
      </c>
      <c r="HV11" s="147">
        <f t="shared" si="94"/>
        <v>1.5653209742141794E-2</v>
      </c>
      <c r="HW11" s="147">
        <f t="shared" si="95"/>
        <v>0.31419439888436451</v>
      </c>
      <c r="HX11" s="147">
        <f t="shared" si="96"/>
        <v>6.5214213955205151</v>
      </c>
      <c r="HY11" s="147">
        <f t="shared" si="97"/>
        <v>0.34139208577518032</v>
      </c>
      <c r="HZ11" s="147">
        <f t="shared" si="98"/>
        <v>7.1926610899222023</v>
      </c>
      <c r="IB11" s="147">
        <f>IF('River loads'!CI11&gt;0.99,1,0)</f>
        <v>1</v>
      </c>
      <c r="IC11">
        <f t="shared" si="99"/>
        <v>0.90701483958418938</v>
      </c>
      <c r="ID11">
        <f t="shared" si="100"/>
        <v>19.586803992532165</v>
      </c>
      <c r="IE11">
        <f t="shared" si="101"/>
        <v>0</v>
      </c>
      <c r="IF11">
        <f t="shared" si="102"/>
        <v>13.572356233700489</v>
      </c>
      <c r="IG11">
        <f t="shared" si="103"/>
        <v>2.2023072520522366E-2</v>
      </c>
      <c r="IH11">
        <f t="shared" si="104"/>
        <v>20.553692953072272</v>
      </c>
      <c r="II11">
        <f t="shared" si="105"/>
        <v>117.66339006263921</v>
      </c>
      <c r="IJ11">
        <f t="shared" si="106"/>
        <v>0.38743285265206662</v>
      </c>
      <c r="IK11">
        <f t="shared" si="132"/>
        <v>0.50673795322484394</v>
      </c>
      <c r="IL11">
        <f t="shared" si="133"/>
        <v>0.26332726412793855</v>
      </c>
      <c r="IM11">
        <f t="shared" si="107"/>
        <v>0</v>
      </c>
      <c r="IN11">
        <f t="shared" si="108"/>
        <v>173.46277922405372</v>
      </c>
      <c r="IP11">
        <f t="shared" si="109"/>
        <v>0</v>
      </c>
      <c r="IQ11">
        <f t="shared" si="110"/>
        <v>1.1574980700048492</v>
      </c>
      <c r="IR11">
        <f t="shared" si="111"/>
        <v>10.17031348368176</v>
      </c>
      <c r="IS11">
        <f t="shared" si="112"/>
        <v>19.637999760183884</v>
      </c>
      <c r="IT11">
        <f t="shared" si="113"/>
        <v>20.553692953072272</v>
      </c>
      <c r="IU11">
        <f t="shared" si="114"/>
        <v>84.575134570992617</v>
      </c>
      <c r="IV11">
        <f t="shared" si="115"/>
        <v>4.4794490963935285</v>
      </c>
      <c r="IW11">
        <f t="shared" si="116"/>
        <v>8.6516430157488191</v>
      </c>
      <c r="IX11">
        <f t="shared" si="117"/>
        <v>24.237048273975951</v>
      </c>
    </row>
    <row r="12" spans="1:258">
      <c r="A12" s="39" t="str">
        <f>Basicinfo!A12</f>
        <v>Antiesen</v>
      </c>
      <c r="B12" s="63">
        <f>Basicinfo!B12</f>
        <v>670</v>
      </c>
      <c r="C12" s="63">
        <f>Basicinfo!C12</f>
        <v>680</v>
      </c>
      <c r="D12" s="130">
        <f>Basicinfo!G12</f>
        <v>139.59965703099999</v>
      </c>
      <c r="E12" s="87">
        <f t="shared" si="118"/>
        <v>2.1045518022938299</v>
      </c>
      <c r="F12" s="19">
        <f>Intermediate!AR12</f>
        <v>8.451163728838371E-3</v>
      </c>
      <c r="G12" s="19">
        <f>Intermediate!AU12</f>
        <v>0.34423592592628804</v>
      </c>
      <c r="H12" s="19">
        <f>Intermediate!AW12</f>
        <v>0</v>
      </c>
      <c r="I12" s="19">
        <f>Intermediate!AZ12</f>
        <v>3.8409584783427583E-2</v>
      </c>
      <c r="J12" s="19">
        <f>Intermediate!BA12</f>
        <v>1.5045190236323986</v>
      </c>
      <c r="K12" s="19">
        <f>Intermediate!AC12</f>
        <v>1.1366615601894234E-2</v>
      </c>
      <c r="L12" s="19">
        <f>Intermediate!AO12</f>
        <v>1.3309881441558662E-2</v>
      </c>
      <c r="M12" s="19">
        <f>Intermediate!AP12</f>
        <v>1.4151983828333416E-2</v>
      </c>
      <c r="N12" s="19">
        <f t="shared" si="119"/>
        <v>1.9344441789427391</v>
      </c>
      <c r="O12" s="19">
        <f>Basicinfo!CB12+Basicinfo!CG12</f>
        <v>0.17010762335109081</v>
      </c>
      <c r="P12" s="56">
        <f>Intermediate!BK12-Intermediate!BI12</f>
        <v>2873.0848084915233</v>
      </c>
      <c r="Q12" s="43">
        <f>Intermediate!BI12</f>
        <v>728.57744289898062</v>
      </c>
      <c r="R12" s="88">
        <f t="shared" si="3"/>
        <v>3601.662251390504</v>
      </c>
      <c r="S12" s="61">
        <f>Intermediate!F12*Intermediate!BO12/1000</f>
        <v>1.3947517204824114</v>
      </c>
      <c r="T12" s="19">
        <f>Intermediate!BU12*Intermediate!AU12*86.4*0.365</f>
        <v>20.287710426699284</v>
      </c>
      <c r="U12" s="19">
        <f>Intermediate!AW12*Intermediate!BS12*0.365*86.4</f>
        <v>0</v>
      </c>
      <c r="V12" s="19">
        <f>(Basicinfo!BL12/1000000)*(Intermediate!BK12-Intermediate!BF12-Intermediate!BG12-Intermediate!BH12)*Intermediate!CV12</f>
        <v>16.099569858455673</v>
      </c>
      <c r="W12" s="19">
        <f>Intermediate!BI12*Parameters!$C$51/1000000</f>
        <v>1.8214436072474516E-2</v>
      </c>
      <c r="X12" s="19">
        <f>Intermediate!AZ12*Intermediate!CG12*86.4*0.365</f>
        <v>13.723124688811428</v>
      </c>
      <c r="Y12" s="19">
        <f>Intermediate!CM12*Intermediate!BA12*86.4*0.365+Parameters!$C$126*Intermediate!BB12*Basicinfo!P12/1000+Parameters!$C$127*Intermediate!BB12*Basicinfo!S12/1000</f>
        <v>157.75021045500552</v>
      </c>
      <c r="Z12" s="19">
        <f>Intermediate!DG12</f>
        <v>0.974030682640597</v>
      </c>
      <c r="AA12" s="19">
        <f>Intermediate!DI12</f>
        <v>3.8543646071937241</v>
      </c>
      <c r="AB12" s="19">
        <f>Intermediate!DK12</f>
        <v>0.48493406114789928</v>
      </c>
      <c r="AC12" s="19">
        <f t="shared" si="120"/>
        <v>214.58691093650901</v>
      </c>
      <c r="AD12" s="19">
        <f>Basicinfo!CC12+Basicinfo!CE12+Basicinfo!CH12+Basicinfo!CJ12</f>
        <v>18.532659375000001</v>
      </c>
      <c r="AE12" s="87">
        <f t="shared" si="121"/>
        <v>233.11957031150902</v>
      </c>
      <c r="AF12" s="56">
        <f>Intermediate!F12*Basicinfo!BD12/1000</f>
        <v>2.6156455348584452E-2</v>
      </c>
      <c r="AG12" s="43">
        <f>Intermediate!CA12*Intermediate!AU12*86.4*0.365</f>
        <v>0.3808857569006846</v>
      </c>
      <c r="AH12" s="43">
        <f>Intermediate!AW12*Intermediate!BZ12*0.365*86.4</f>
        <v>0</v>
      </c>
      <c r="AI12" s="43">
        <f>(Intermediate!CU12/1000000)*(Intermediate!BK12-Intermediate!BF12-Intermediate!BG12-Intermediate!BH12)*Intermediate!CW12</f>
        <v>7.3656372450449394</v>
      </c>
      <c r="AJ12" s="43">
        <f>Intermediate!BF12*Parameters!$C$52/1000000+(Intermediate!BG12+Intermediate!BH12)*Intermediate!CX12/1000000</f>
        <v>0.32785984930454132</v>
      </c>
      <c r="AK12" s="43">
        <f>Intermediate!AZ12*Intermediate!CH12*86.4*0.365</f>
        <v>9.338600432349177E-2</v>
      </c>
      <c r="AL12" s="58">
        <f>Intermediate!CR12*Intermediate!BA12*86.4*0.365</f>
        <v>1.2208877765796395</v>
      </c>
      <c r="AM12" s="43">
        <f>Intermediate!DH12</f>
        <v>0.21823413139583339</v>
      </c>
      <c r="AN12" s="42">
        <f>Intermediate!DJ12</f>
        <v>0.69195512614397436</v>
      </c>
      <c r="AO12" s="42">
        <f>Intermediate!DL12</f>
        <v>7.4242670922138168E-2</v>
      </c>
      <c r="AP12" s="42">
        <f t="shared" si="122"/>
        <v>10.399245015963825</v>
      </c>
      <c r="AQ12" s="43">
        <f>Basicinfo!CD12+Basicinfo!CF12+Basicinfo!CI12+Basicinfo!CK12</f>
        <v>3.2633631666666663</v>
      </c>
      <c r="AR12" s="83">
        <f t="shared" si="4"/>
        <v>13.662608182630491</v>
      </c>
      <c r="AS12" s="19">
        <f>F12*86400*365/(Basicinfo!G12*1000000)*1000</f>
        <v>1.9091443705586137</v>
      </c>
      <c r="AT12" s="19">
        <f>G12*86400*365/(Basicinfo!G12*1000000)*1000</f>
        <v>77.763974431547041</v>
      </c>
      <c r="AU12" s="19">
        <f>H12*86400*365/(Basicinfo!G12*1000000)*1000</f>
        <v>0</v>
      </c>
      <c r="AV12" s="19">
        <f>I12*86400*365/(Basicinfo!G12*1000000)*1000</f>
        <v>8.6768455703382585</v>
      </c>
      <c r="AW12" s="19">
        <f>J12*86400*365/(Basicinfo!G12*1000000)*1000</f>
        <v>339.87556229264368</v>
      </c>
      <c r="AX12" s="53">
        <f>K12*86400*365/(Basicinfo!G12*1000000)*1000</f>
        <v>2.567754085110225</v>
      </c>
      <c r="AY12" s="53">
        <f>L12*86400*365/(Basicinfo!G12*1000000)*1000</f>
        <v>3.0067439280870509</v>
      </c>
      <c r="AZ12" s="53">
        <f>M12*86400*365/(Basicinfo!G12*1000000)*1000</f>
        <v>3.1969774962356556</v>
      </c>
      <c r="BA12" s="19">
        <f t="shared" si="123"/>
        <v>436.99700217452056</v>
      </c>
      <c r="BB12" s="19">
        <f>O12*86400*365/(Basicinfo!G12*1000000)*1000</f>
        <v>38.427845197418627</v>
      </c>
      <c r="BC12" s="53">
        <f t="shared" si="124"/>
        <v>475.42484737193917</v>
      </c>
      <c r="BD12" s="56">
        <f>P12/(Basicinfo!G12*100)*1000</f>
        <v>205.80887300127938</v>
      </c>
      <c r="BE12" s="43">
        <f>Q12/(Basicinfo!G12*100)*1000</f>
        <v>52.190489460671827</v>
      </c>
      <c r="BF12" s="58">
        <f t="shared" si="5"/>
        <v>257.99936246195119</v>
      </c>
      <c r="BG12" s="61">
        <f>S12/(Basicinfo!G12*100)*1000000</f>
        <v>99.910827157167574</v>
      </c>
      <c r="BH12" s="19">
        <f>T12/(Basicinfo!G12*100)*1000000</f>
        <v>1453.2779562770793</v>
      </c>
      <c r="BI12" s="19">
        <f>U12/(Basicinfo!G12*100)*1000000</f>
        <v>0</v>
      </c>
      <c r="BJ12" s="19">
        <f>V12/(Basicinfo!G12*100)*1000000</f>
        <v>1153.2671498527068</v>
      </c>
      <c r="BK12" s="19">
        <f>W12/(Basicinfo!G12*100)*1000000</f>
        <v>1.3047622365167957</v>
      </c>
      <c r="BL12" s="19">
        <f>X12/(Basicinfo!G12*100)*1000000</f>
        <v>983.03426961600792</v>
      </c>
      <c r="BM12" s="19">
        <f>Y12/(Basicinfo!G12*100)*1000000</f>
        <v>11300.186104323662</v>
      </c>
      <c r="BN12" s="53">
        <f>Z12/(Basicinfo!G12*100)*1000000</f>
        <v>69.77314295437705</v>
      </c>
      <c r="BO12" s="53">
        <f>AA12/(Basicinfo!G12*100)*1000000</f>
        <v>276.10129488626256</v>
      </c>
      <c r="BP12" s="53">
        <f>AB12/(Basicinfo!G12*100)*1000000</f>
        <v>34.737482273342053</v>
      </c>
      <c r="BQ12" s="19">
        <f t="shared" si="125"/>
        <v>15371.592989577122</v>
      </c>
      <c r="BR12" s="19">
        <f>AD12/(Basicinfo!G12*100)*1000000</f>
        <v>1327.557658030963</v>
      </c>
      <c r="BS12" s="53">
        <f t="shared" si="6"/>
        <v>16699.150647608087</v>
      </c>
      <c r="BT12" s="56">
        <f>AF12/(Basicinfo!G12*100)*1000000</f>
        <v>1.8736761898187226</v>
      </c>
      <c r="BU12" s="43">
        <f>AG12/(Basicinfo!G12*100)*1000000</f>
        <v>27.284147038850087</v>
      </c>
      <c r="BV12" s="43">
        <f>AH12/(Basicinfo!G12*100)*1000000</f>
        <v>0</v>
      </c>
      <c r="BW12" s="43">
        <f>AI12/(Basicinfo!G12*100)*1000000</f>
        <v>527.62574075732152</v>
      </c>
      <c r="BX12" s="43">
        <f>AJ12/(Basicinfo!G12*100)*1000000</f>
        <v>23.485720257302322</v>
      </c>
      <c r="BY12" s="58">
        <f>AK12/(Basicinfo!G12*100)*1000000</f>
        <v>6.689558291877046</v>
      </c>
      <c r="BZ12" s="58">
        <f>AL12/(Basicinfo!G12*100)*1000000</f>
        <v>87.456359316737078</v>
      </c>
      <c r="CA12" s="58">
        <f>AM12/(Basicinfo!G12*100)*1000000</f>
        <v>15.632855842000499</v>
      </c>
      <c r="CB12" s="58">
        <f>AN12/(Basicinfo!G12*100)*1000000</f>
        <v>49.567107889836464</v>
      </c>
      <c r="CC12" s="58">
        <f>AO12/(Basicinfo!G12*100)*1000000</f>
        <v>5.3182559686125579</v>
      </c>
      <c r="CD12" s="58">
        <f t="shared" si="126"/>
        <v>744.93342155235632</v>
      </c>
      <c r="CE12" s="58">
        <f>AQ12/(Basicinfo!G12*100)*1000000</f>
        <v>233.76584413398612</v>
      </c>
      <c r="CF12" s="43">
        <f t="shared" si="7"/>
        <v>978.69926568634241</v>
      </c>
      <c r="CG12" s="84"/>
      <c r="CH12" s="84">
        <f t="shared" si="8"/>
        <v>18.532659375000001</v>
      </c>
      <c r="CI12" s="146">
        <f t="shared" si="9"/>
        <v>5.3133293509822206</v>
      </c>
      <c r="CJ12" s="200">
        <f>Intermediate!EW12+Intermediate!EY12+Intermediate!FD12</f>
        <v>14.611548605562209</v>
      </c>
      <c r="CK12" s="180">
        <f>Intermediate!FA12+Intermediate!FF12</f>
        <v>19.078256452159323</v>
      </c>
      <c r="CL12" s="180">
        <f t="shared" si="10"/>
        <v>13.723124688811428</v>
      </c>
      <c r="CM12" s="180">
        <f t="shared" si="11"/>
        <v>110.97134846095528</v>
      </c>
      <c r="CN12" s="202">
        <f>Intermediate!EX12+Intermediate!EZ12+Intermediate!FE12</f>
        <v>8.0899193929819884</v>
      </c>
      <c r="CO12" s="180">
        <f>Intermediate!FB12+Intermediate!FG12</f>
        <v>10.614874764715371</v>
      </c>
      <c r="CP12" s="213">
        <f>Intermediate!EP12+Intermediate!EQ12+Intermediate!ER12+Intermediate!ES12+Intermediate!ET12+Intermediate!EU12+Intermediate!EV12+W12</f>
        <v>32.184509220341191</v>
      </c>
      <c r="CQ12" s="212">
        <f t="shared" si="12"/>
        <v>18.704794157697357</v>
      </c>
      <c r="CR12" s="212">
        <f t="shared" si="13"/>
        <v>158.38427820748822</v>
      </c>
      <c r="CS12" s="211">
        <f t="shared" si="14"/>
        <v>19.506690057640597</v>
      </c>
      <c r="CT12" s="212">
        <f t="shared" si="15"/>
        <v>228.78027164316737</v>
      </c>
      <c r="CU12" s="84"/>
      <c r="CV12" s="31">
        <f t="shared" si="16"/>
        <v>233.11957031150902</v>
      </c>
      <c r="CW12" s="31">
        <f>CH12/Basicinfo!$G12*1000/100</f>
        <v>1.3275576580309629</v>
      </c>
      <c r="CX12" s="31">
        <f>CI12/Basicinfo!$G12*1000/100</f>
        <v>0.38061192011398171</v>
      </c>
      <c r="CY12" s="31">
        <f>CS12/Basicinfo!$G12*1000/100</f>
        <v>1.39733080098534</v>
      </c>
      <c r="CZ12" s="31">
        <f>CN12/Basicinfo!$G12*1000/100</f>
        <v>0.57950854357654424</v>
      </c>
      <c r="DA12" s="31">
        <f>CO12/Basicinfo!$G12*1000/100</f>
        <v>0.76037971657467562</v>
      </c>
      <c r="DB12" s="31">
        <f>CQ12/Basicinfo!$G12*1000/100</f>
        <v>1.3398882601512196</v>
      </c>
      <c r="DC12" s="31">
        <f>CJ12/Basicinfo!$G12*1000/100</f>
        <v>1.0466751076843632</v>
      </c>
      <c r="DD12" s="31">
        <f>CK12/Basicinfo!$G12*1000/100</f>
        <v>1.366640639233285</v>
      </c>
      <c r="DE12" s="31">
        <f>CM12/Basicinfo!$G12*1000/100</f>
        <v>7.9492565254879244</v>
      </c>
      <c r="DF12" s="31">
        <f>CR12/Basicinfo!$G12*1000/100</f>
        <v>11.345606542021578</v>
      </c>
      <c r="DG12" s="31">
        <f>CP12/Basicinfo!$G12*1000/100</f>
        <v>2.3054862672903407</v>
      </c>
      <c r="DH12" s="31">
        <f>CT12/Basicinfo!$G12*1000/100</f>
        <v>16.388311870448479</v>
      </c>
      <c r="DI12" s="31">
        <f>CV12/Basicinfo!$G12*1000/100</f>
        <v>16.699150647608086</v>
      </c>
      <c r="DJ12" s="31"/>
      <c r="DK12" s="188">
        <f t="shared" si="17"/>
        <v>8.1006370181716179</v>
      </c>
      <c r="DL12" s="188">
        <f t="shared" si="18"/>
        <v>2.3224595865807496</v>
      </c>
      <c r="DM12" s="188">
        <f t="shared" si="19"/>
        <v>8.5263864395027582</v>
      </c>
      <c r="DN12" s="188">
        <f t="shared" si="20"/>
        <v>3.5361088326706676</v>
      </c>
      <c r="DO12" s="188">
        <f t="shared" si="21"/>
        <v>4.6397684068106964</v>
      </c>
      <c r="DP12" s="188">
        <f t="shared" si="22"/>
        <v>8.1758772394813626</v>
      </c>
      <c r="DQ12" s="188">
        <f t="shared" si="23"/>
        <v>6.3867170454068258</v>
      </c>
      <c r="DR12" s="188">
        <f t="shared" si="24"/>
        <v>8.3391178422569663</v>
      </c>
      <c r="DS12" s="188">
        <f t="shared" si="25"/>
        <v>48.505645903786345</v>
      </c>
      <c r="DT12" s="188">
        <f t="shared" si="26"/>
        <v>69.229867186504165</v>
      </c>
      <c r="DU12" s="188">
        <f t="shared" si="27"/>
        <v>14.067869134511712</v>
      </c>
      <c r="DV12" s="188">
        <f t="shared" si="28"/>
        <v>100</v>
      </c>
      <c r="DW12" s="188">
        <f t="shared" si="29"/>
        <v>101.89671016524962</v>
      </c>
      <c r="DY12" s="181">
        <f t="shared" si="30"/>
        <v>3.2633631666666663</v>
      </c>
      <c r="DZ12" s="181">
        <f t="shared" si="127"/>
        <v>0.98443192846194594</v>
      </c>
      <c r="EA12" s="185">
        <f t="shared" si="31"/>
        <v>9.338600432349177E-2</v>
      </c>
      <c r="EB12" s="185">
        <f>AG12+AH12+AL12-Intermediate!FJ12-Intermediate!FM12</f>
        <v>1.1980964319152885</v>
      </c>
      <c r="EC12" s="185">
        <f>AI12+AJ12-Intermediate!FK12</f>
        <v>7.1921224231292085</v>
      </c>
      <c r="ED12" s="240">
        <f t="shared" si="32"/>
        <v>2.6156455348584452E-2</v>
      </c>
      <c r="EE12" s="240">
        <f>Intermediate!FJ12+Intermediate!FK12+Intermediate!FM12</f>
        <v>0.90505177278530813</v>
      </c>
      <c r="EF12" s="240">
        <f t="shared" si="33"/>
        <v>8.483604859367988</v>
      </c>
      <c r="EG12" s="240">
        <f t="shared" si="34"/>
        <v>4.2477950951286125</v>
      </c>
      <c r="EH12" s="240">
        <f t="shared" si="35"/>
        <v>13.662608182630493</v>
      </c>
      <c r="EI12" s="181">
        <f t="shared" si="36"/>
        <v>13.662608182630491</v>
      </c>
      <c r="EK12" s="31">
        <f>DY12/Basicinfo!$G12*1000/100</f>
        <v>0.23376584413398616</v>
      </c>
      <c r="EL12" s="31">
        <f>DZ12/Basicinfo!$G12*1000/100</f>
        <v>7.0518219700449511E-2</v>
      </c>
      <c r="EM12" s="220">
        <f>EG12/Basicinfo!$G12*1000/100</f>
        <v>0.30428406383443568</v>
      </c>
      <c r="EN12" s="220">
        <f>ED12/Basicinfo!$G12*1000/100</f>
        <v>1.8736761898187227E-3</v>
      </c>
      <c r="EO12" s="220">
        <f>EF12/Basicinfo!$G12*1000/100</f>
        <v>0.60770957750161869</v>
      </c>
      <c r="EP12" s="220">
        <f>EE12/Basicinfo!$G12*1000/100</f>
        <v>6.4831948160469277E-2</v>
      </c>
      <c r="EQ12" s="220">
        <f>EH12/Basicinfo!$G12*1000/100</f>
        <v>0.97869926568634225</v>
      </c>
      <c r="ER12" s="31">
        <f>EI12/Basicinfo!$G12*1000/100</f>
        <v>0.97869926568634213</v>
      </c>
      <c r="ET12" s="188">
        <f t="shared" si="37"/>
        <v>23.885360123372614</v>
      </c>
      <c r="EU12" s="188">
        <f t="shared" si="38"/>
        <v>7.205300154281459</v>
      </c>
      <c r="EV12" s="223">
        <f t="shared" si="39"/>
        <v>31.090660277654074</v>
      </c>
      <c r="EW12" s="223">
        <f t="shared" si="40"/>
        <v>0.1914455497731217</v>
      </c>
      <c r="EX12" s="223">
        <f t="shared" si="41"/>
        <v>62.093596961620698</v>
      </c>
      <c r="EY12" s="223">
        <f t="shared" si="42"/>
        <v>6.6242972109521236</v>
      </c>
      <c r="EZ12" s="223">
        <f t="shared" si="43"/>
        <v>100.00000000000003</v>
      </c>
      <c r="FA12" s="188">
        <f t="shared" si="44"/>
        <v>100</v>
      </c>
      <c r="FC12" s="236">
        <f>Basicinfo!CT12</f>
        <v>2.6306451612903223</v>
      </c>
      <c r="FD12" s="181">
        <f>IF((Intermediate!CL12+Intermediate!CM12*3)/4&gt;11,(Intermediate!CL12+Intermediate!CM12*9)/10,(Intermediate!CL12+Intermediate!CM12*3)/4)</f>
        <v>4.1764957721252385</v>
      </c>
      <c r="FF12" s="31">
        <f t="shared" si="45"/>
        <v>2.6156455348584452E-2</v>
      </c>
      <c r="FG12" s="31">
        <f t="shared" si="46"/>
        <v>0.3808857569006846</v>
      </c>
      <c r="FH12" s="31">
        <f t="shared" si="47"/>
        <v>0</v>
      </c>
      <c r="FI12" s="31">
        <f>(AI12-(P12*450/1000000))*Parameters!$C$153</f>
        <v>4.8581992649790031</v>
      </c>
      <c r="FJ12" s="31"/>
      <c r="FK12" s="31">
        <f t="shared" si="48"/>
        <v>9.338600432349177E-2</v>
      </c>
      <c r="FL12" s="31">
        <f t="shared" si="49"/>
        <v>1.2208877765796395</v>
      </c>
      <c r="FM12" s="31">
        <f>AM12*Parameters!$C$154</f>
        <v>0.19641071825625006</v>
      </c>
      <c r="FN12" s="31">
        <f>AN12*Parameters!$C$154</f>
        <v>0.62275961352957698</v>
      </c>
      <c r="FO12" s="31">
        <f>AO12*Parameters!$C$154</f>
        <v>6.681840382992435E-2</v>
      </c>
      <c r="FP12" s="31">
        <f>AQ12*Parameters!$C$155</f>
        <v>3.2633631666666663</v>
      </c>
      <c r="FQ12" s="31">
        <f t="shared" si="50"/>
        <v>10.72886716041382</v>
      </c>
      <c r="FS12" s="147">
        <f>DY12*Parameters!$C$155</f>
        <v>3.2633631666666663</v>
      </c>
      <c r="FT12" s="147">
        <f>DZ12*Parameters!$C$154</f>
        <v>0.88598873561575131</v>
      </c>
      <c r="FU12" s="181">
        <f t="shared" si="51"/>
        <v>9.338600432349177E-2</v>
      </c>
      <c r="FV12" s="181">
        <f t="shared" si="52"/>
        <v>1.1980964319152885</v>
      </c>
      <c r="FW12" s="31">
        <f t="shared" si="53"/>
        <v>4.8581992649790031</v>
      </c>
      <c r="FX12" s="181">
        <f t="shared" si="54"/>
        <v>2.6156455348584452E-2</v>
      </c>
      <c r="FY12" s="147">
        <f>Intermediate!FJ12+Intermediate!FM12</f>
        <v>0.40367710156503545</v>
      </c>
      <c r="FZ12" s="181">
        <f t="shared" si="55"/>
        <v>6.1496817012177836</v>
      </c>
      <c r="GA12" s="147">
        <f t="shared" si="56"/>
        <v>4.1493519022824179</v>
      </c>
      <c r="GB12" s="181">
        <f t="shared" si="57"/>
        <v>10.72886716041382</v>
      </c>
      <c r="GD12" s="147">
        <f>IF('River loads'!CH12&gt;0.99,1,0)</f>
        <v>1</v>
      </c>
      <c r="GE12" s="147">
        <f t="shared" si="58"/>
        <v>2.6156455348584452E-2</v>
      </c>
      <c r="GF12" s="147">
        <f t="shared" si="59"/>
        <v>0.3808857569006846</v>
      </c>
      <c r="GG12" s="147">
        <f t="shared" si="60"/>
        <v>0</v>
      </c>
      <c r="GH12" s="147">
        <f t="shared" si="61"/>
        <v>7.3656372450449394</v>
      </c>
      <c r="GI12" s="147">
        <f t="shared" si="62"/>
        <v>0.32785984930454132</v>
      </c>
      <c r="GJ12" s="147">
        <f t="shared" si="63"/>
        <v>9.338600432349177E-2</v>
      </c>
      <c r="GK12" s="147">
        <f t="shared" si="64"/>
        <v>1.2208877765796395</v>
      </c>
      <c r="GL12" s="147">
        <f t="shared" si="65"/>
        <v>0.21823413139583339</v>
      </c>
      <c r="GM12" s="270">
        <f t="shared" si="128"/>
        <v>0.69195512614397436</v>
      </c>
      <c r="GN12" s="270">
        <f t="shared" si="129"/>
        <v>7.4242670922138168E-2</v>
      </c>
      <c r="GO12" s="147">
        <f t="shared" si="66"/>
        <v>3.2633631666666663</v>
      </c>
      <c r="GP12" s="147">
        <f t="shared" si="67"/>
        <v>13.662608182630491</v>
      </c>
      <c r="GQ12" s="147"/>
      <c r="GR12" s="147">
        <f t="shared" si="68"/>
        <v>2.6156455348584452E-2</v>
      </c>
      <c r="GS12" s="147">
        <f t="shared" si="69"/>
        <v>0.3808857569006846</v>
      </c>
      <c r="GT12" s="147">
        <f t="shared" si="70"/>
        <v>0</v>
      </c>
      <c r="GU12" s="147">
        <f t="shared" si="71"/>
        <v>4.8581992649790031</v>
      </c>
      <c r="GV12" s="147">
        <f t="shared" si="72"/>
        <v>0</v>
      </c>
      <c r="GW12" s="147">
        <f t="shared" si="73"/>
        <v>9.338600432349177E-2</v>
      </c>
      <c r="GX12" s="147">
        <f t="shared" si="74"/>
        <v>1.2208877765796395</v>
      </c>
      <c r="GY12" s="147">
        <f t="shared" si="75"/>
        <v>0.19641071825625006</v>
      </c>
      <c r="GZ12" s="147">
        <f t="shared" si="130"/>
        <v>0.62275961352957698</v>
      </c>
      <c r="HA12" s="147">
        <f t="shared" si="131"/>
        <v>6.681840382992435E-2</v>
      </c>
      <c r="HB12" s="147">
        <f t="shared" si="76"/>
        <v>3.2633631666666663</v>
      </c>
      <c r="HC12" s="147">
        <f t="shared" si="77"/>
        <v>10.72886716041382</v>
      </c>
      <c r="HD12" s="147"/>
      <c r="HE12" s="147">
        <f t="shared" si="78"/>
        <v>3.2633631666666663</v>
      </c>
      <c r="HF12" s="147">
        <f t="shared" si="79"/>
        <v>0.98443192846194594</v>
      </c>
      <c r="HG12" s="147">
        <f t="shared" si="80"/>
        <v>9.338600432349177E-2</v>
      </c>
      <c r="HH12" s="147">
        <f t="shared" si="81"/>
        <v>1.1980964319152885</v>
      </c>
      <c r="HI12" s="147">
        <f t="shared" si="82"/>
        <v>7.1921224231292085</v>
      </c>
      <c r="HJ12" s="147">
        <f t="shared" si="83"/>
        <v>2.6156455348584452E-2</v>
      </c>
      <c r="HK12" s="147">
        <f t="shared" si="84"/>
        <v>0.90505177278530813</v>
      </c>
      <c r="HL12" s="147">
        <f t="shared" si="85"/>
        <v>8.483604859367988</v>
      </c>
      <c r="HM12" s="147">
        <f t="shared" si="86"/>
        <v>4.2477950951286125</v>
      </c>
      <c r="HN12" s="147">
        <f t="shared" si="87"/>
        <v>13.662608182630493</v>
      </c>
      <c r="HO12" s="147">
        <f t="shared" si="88"/>
        <v>13.662608182630491</v>
      </c>
      <c r="HQ12" s="147">
        <f t="shared" si="89"/>
        <v>3.2633631666666663</v>
      </c>
      <c r="HR12" s="147">
        <f t="shared" si="90"/>
        <v>0.88598873561575131</v>
      </c>
      <c r="HS12" s="147">
        <f t="shared" si="91"/>
        <v>9.338600432349177E-2</v>
      </c>
      <c r="HT12" s="147">
        <f t="shared" si="92"/>
        <v>1.1980964319152885</v>
      </c>
      <c r="HU12" s="147">
        <f t="shared" si="93"/>
        <v>4.8581992649790031</v>
      </c>
      <c r="HV12" s="147">
        <f t="shared" si="94"/>
        <v>2.6156455348584452E-2</v>
      </c>
      <c r="HW12" s="147">
        <f t="shared" si="95"/>
        <v>0.40367710156503545</v>
      </c>
      <c r="HX12" s="147">
        <f t="shared" si="96"/>
        <v>6.1496817012177836</v>
      </c>
      <c r="HY12" s="147">
        <f t="shared" si="97"/>
        <v>4.1493519022824179</v>
      </c>
      <c r="HZ12" s="147">
        <f t="shared" si="98"/>
        <v>10.72886716041382</v>
      </c>
      <c r="IB12" s="147">
        <f>IF('River loads'!CI12&gt;0.99,1,0)</f>
        <v>1</v>
      </c>
      <c r="IC12">
        <f t="shared" si="99"/>
        <v>1.3947517204824114</v>
      </c>
      <c r="ID12">
        <f t="shared" si="100"/>
        <v>20.287710426699284</v>
      </c>
      <c r="IE12">
        <f t="shared" si="101"/>
        <v>0</v>
      </c>
      <c r="IF12">
        <f t="shared" si="102"/>
        <v>16.099569858455673</v>
      </c>
      <c r="IG12">
        <f t="shared" si="103"/>
        <v>1.8214436072474516E-2</v>
      </c>
      <c r="IH12">
        <f t="shared" si="104"/>
        <v>13.723124688811428</v>
      </c>
      <c r="II12">
        <f t="shared" si="105"/>
        <v>157.75021045500552</v>
      </c>
      <c r="IJ12">
        <f t="shared" si="106"/>
        <v>0.974030682640597</v>
      </c>
      <c r="IK12">
        <f t="shared" si="132"/>
        <v>3.8543646071937241</v>
      </c>
      <c r="IL12">
        <f t="shared" si="133"/>
        <v>0.48493406114789928</v>
      </c>
      <c r="IM12">
        <f t="shared" si="107"/>
        <v>18.532659375000001</v>
      </c>
      <c r="IN12">
        <f t="shared" si="108"/>
        <v>233.11957031150902</v>
      </c>
      <c r="IP12">
        <f t="shared" si="109"/>
        <v>18.532659375000001</v>
      </c>
      <c r="IQ12">
        <f t="shared" si="110"/>
        <v>5.3133293509822206</v>
      </c>
      <c r="IR12">
        <f t="shared" si="111"/>
        <v>14.611548605562209</v>
      </c>
      <c r="IS12">
        <f t="shared" si="112"/>
        <v>19.078256452159323</v>
      </c>
      <c r="IT12">
        <f t="shared" si="113"/>
        <v>13.723124688811428</v>
      </c>
      <c r="IU12">
        <f t="shared" si="114"/>
        <v>110.97134846095528</v>
      </c>
      <c r="IV12">
        <f t="shared" si="115"/>
        <v>8.0899193929819884</v>
      </c>
      <c r="IW12">
        <f t="shared" si="116"/>
        <v>10.614874764715371</v>
      </c>
      <c r="IX12">
        <f t="shared" si="117"/>
        <v>32.184509220341191</v>
      </c>
    </row>
    <row r="13" spans="1:258">
      <c r="A13" s="39" t="str">
        <f>Basicinfo!A13</f>
        <v>Antiesen</v>
      </c>
      <c r="B13" s="63">
        <f>Basicinfo!B13</f>
        <v>680</v>
      </c>
      <c r="C13" s="63">
        <f>Basicinfo!C13</f>
        <v>1050</v>
      </c>
      <c r="D13" s="130">
        <f>Basicinfo!G13</f>
        <v>143.45644619199999</v>
      </c>
      <c r="E13" s="87">
        <f t="shared" si="118"/>
        <v>1.9670920510735399</v>
      </c>
      <c r="F13" s="19">
        <f>Intermediate!AR13</f>
        <v>7.8102158783241527E-3</v>
      </c>
      <c r="G13" s="19">
        <f>Intermediate!AU13</f>
        <v>0.34870698480844387</v>
      </c>
      <c r="H13" s="19">
        <f>Intermediate!AW13</f>
        <v>0</v>
      </c>
      <c r="I13" s="19">
        <f>Intermediate!AZ13</f>
        <v>3.2625101585366779E-2</v>
      </c>
      <c r="J13" s="19">
        <f>Intermediate!BA13</f>
        <v>1.5039844204606125</v>
      </c>
      <c r="K13" s="19">
        <f>Intermediate!AC13</f>
        <v>5.5623354553808032E-3</v>
      </c>
      <c r="L13" s="19">
        <f>Intermediate!AO13</f>
        <v>6.7140626709323659E-3</v>
      </c>
      <c r="M13" s="19">
        <f>Intermediate!AP13</f>
        <v>8.2550452893144464E-3</v>
      </c>
      <c r="N13" s="19">
        <f t="shared" si="119"/>
        <v>1.9136581661483749</v>
      </c>
      <c r="O13" s="19">
        <f>Basicinfo!CB13+Basicinfo!CG13</f>
        <v>5.343388492516489E-2</v>
      </c>
      <c r="P13" s="56">
        <f>Intermediate!BK13-Intermediate!BI13</f>
        <v>5411.6526140486267</v>
      </c>
      <c r="Q13" s="43">
        <f>Intermediate!BI13</f>
        <v>2169.9915050308846</v>
      </c>
      <c r="R13" s="88">
        <f t="shared" si="3"/>
        <v>7581.6441190795113</v>
      </c>
      <c r="S13" s="61">
        <f>Intermediate!F13*Intermediate!BO13/1000</f>
        <v>1.9587960492505834</v>
      </c>
      <c r="T13" s="19">
        <f>Intermediate!BU13*Intermediate!AU13*86.4*0.365</f>
        <v>22.731977095757699</v>
      </c>
      <c r="U13" s="19">
        <f>Intermediate!AW13*Intermediate!BS13*0.365*86.4</f>
        <v>0</v>
      </c>
      <c r="V13" s="19">
        <f>(Basicinfo!BL13/1000000)*(Intermediate!BK13-Intermediate!BF13-Intermediate!BG13-Intermediate!BH13)*Intermediate!CV13</f>
        <v>19.895991016018336</v>
      </c>
      <c r="W13" s="19">
        <f>Intermediate!BI13*Parameters!$C$51/1000000</f>
        <v>5.4249787625772115E-2</v>
      </c>
      <c r="X13" s="19">
        <f>Intermediate!AZ13*Intermediate!CG13*86.4*0.365</f>
        <v>12.571074686595486</v>
      </c>
      <c r="Y13" s="19">
        <f>Intermediate!CM13*Intermediate!BA13*86.4*0.365+Parameters!$C$126*Intermediate!BB13*Basicinfo!P13/1000+Parameters!$C$127*Intermediate!BB13*Basicinfo!S13/1000</f>
        <v>175.43198067239314</v>
      </c>
      <c r="Z13" s="19">
        <f>Intermediate!DG13</f>
        <v>0.54953021816505243</v>
      </c>
      <c r="AA13" s="19">
        <f>Intermediate!DI13</f>
        <v>1.7314161316955521</v>
      </c>
      <c r="AB13" s="19">
        <f>Intermediate!DK13</f>
        <v>0.28463432362071839</v>
      </c>
      <c r="AC13" s="19">
        <f t="shared" si="120"/>
        <v>235.20964998112231</v>
      </c>
      <c r="AD13" s="19">
        <f>Basicinfo!CC13+Basicinfo!CE13+Basicinfo!CH13+Basicinfo!CJ13</f>
        <v>6.5248667777777776</v>
      </c>
      <c r="AE13" s="87">
        <f t="shared" si="121"/>
        <v>241.7345167589001</v>
      </c>
      <c r="AF13" s="56">
        <f>Intermediate!F13*Basicinfo!BD13/1000</f>
        <v>3.7607145858907128E-2</v>
      </c>
      <c r="AG13" s="43">
        <f>Intermediate!CA13*Intermediate!AU13*86.4*0.365</f>
        <v>0.38744664793212563</v>
      </c>
      <c r="AH13" s="43">
        <f>Intermediate!AW13*Intermediate!BZ13*0.365*86.4</f>
        <v>0</v>
      </c>
      <c r="AI13" s="43">
        <f>(Intermediate!CU13/1000000)*(Intermediate!BK13-Intermediate!BF13-Intermediate!BG13-Intermediate!BH13)*Intermediate!CW13</f>
        <v>10.888806246059408</v>
      </c>
      <c r="AJ13" s="43">
        <f>Intermediate!BF13*Parameters!$C$52/1000000+(Intermediate!BG13+Intermediate!BH13)*Intermediate!CX13/1000000</f>
        <v>0.97649617726389804</v>
      </c>
      <c r="AK13" s="43">
        <f>Intermediate!AZ13*Intermediate!CH13*86.4*0.365</f>
        <v>7.5892116301190665E-2</v>
      </c>
      <c r="AL13" s="58">
        <f>Intermediate!CR13*Intermediate!BA13*86.4*0.365</f>
        <v>2.1568066400574764</v>
      </c>
      <c r="AM13" s="43">
        <f>Intermediate!DH13</f>
        <v>0.13524497108441838</v>
      </c>
      <c r="AN13" s="42">
        <f>Intermediate!DJ13</f>
        <v>0.33386444669149345</v>
      </c>
      <c r="AO13" s="42">
        <f>Intermediate!DL13</f>
        <v>4.5985557044542352E-2</v>
      </c>
      <c r="AP13" s="42">
        <f t="shared" si="122"/>
        <v>15.03814994829346</v>
      </c>
      <c r="AQ13" s="43">
        <f>Basicinfo!CD13+Basicinfo!CF13+Basicinfo!CI13+Basicinfo!CK13</f>
        <v>0.91579162500000011</v>
      </c>
      <c r="AR13" s="83">
        <f t="shared" si="4"/>
        <v>15.953941573293461</v>
      </c>
      <c r="AS13" s="19">
        <f>F13*86400*365/(Basicinfo!G13*1000000)*1000</f>
        <v>1.716918092402639</v>
      </c>
      <c r="AT13" s="19">
        <f>G13*86400*365/(Basicinfo!G13*1000000)*1000</f>
        <v>76.656182171145517</v>
      </c>
      <c r="AU13" s="19">
        <f>H13*86400*365/(Basicinfo!G13*1000000)*1000</f>
        <v>0</v>
      </c>
      <c r="AV13" s="19">
        <f>I13*86400*365/(Basicinfo!G13*1000000)*1000</f>
        <v>7.1719691300529549</v>
      </c>
      <c r="AW13" s="19">
        <f>J13*86400*365/(Basicinfo!G13*1000000)*1000</f>
        <v>330.62057469461303</v>
      </c>
      <c r="AX13" s="53">
        <f>K13*86400*365/(Basicinfo!G13*1000000)*1000</f>
        <v>1.2227670179848018</v>
      </c>
      <c r="AY13" s="53">
        <f>L13*86400*365/(Basicinfo!G13*1000000)*1000</f>
        <v>1.4759509663800017</v>
      </c>
      <c r="AZ13" s="53">
        <f>M13*86400*365/(Basicinfo!G13*1000000)*1000</f>
        <v>1.8147048470404534</v>
      </c>
      <c r="BA13" s="19">
        <f t="shared" si="123"/>
        <v>420.6790669196194</v>
      </c>
      <c r="BB13" s="19">
        <f>O13*86400*365/(Basicinfo!G13*1000000)*1000</f>
        <v>11.746359537895557</v>
      </c>
      <c r="BC13" s="53">
        <f t="shared" si="124"/>
        <v>432.42542645751496</v>
      </c>
      <c r="BD13" s="56">
        <f>P13/(Basicinfo!G13*100)*1000</f>
        <v>377.23314341732339</v>
      </c>
      <c r="BE13" s="43">
        <f>Q13/(Basicinfo!G13*100)*1000</f>
        <v>151.2648307296418</v>
      </c>
      <c r="BF13" s="58">
        <f t="shared" si="5"/>
        <v>528.49797414696513</v>
      </c>
      <c r="BG13" s="61">
        <f>S13/(Basicinfo!G13*100)*1000000</f>
        <v>136.54290910210892</v>
      </c>
      <c r="BH13" s="19">
        <f>T13/(Basicinfo!G13*100)*1000000</f>
        <v>1584.5908426682727</v>
      </c>
      <c r="BI13" s="19">
        <f>U13/(Basicinfo!G13*100)*1000000</f>
        <v>0</v>
      </c>
      <c r="BJ13" s="19">
        <f>V13/(Basicinfo!G13*100)*1000000</f>
        <v>1386.9011497322215</v>
      </c>
      <c r="BK13" s="19">
        <f>W13/(Basicinfo!G13*100)*1000000</f>
        <v>3.7816207682410452</v>
      </c>
      <c r="BL13" s="19">
        <f>X13/(Basicinfo!G13*100)*1000000</f>
        <v>876.29904547966748</v>
      </c>
      <c r="BM13" s="19">
        <f>Y13/(Basicinfo!G13*100)*1000000</f>
        <v>12228.936749039327</v>
      </c>
      <c r="BN13" s="53">
        <f>Z13/(Basicinfo!G13*100)*1000000</f>
        <v>38.30641513519506</v>
      </c>
      <c r="BO13" s="53">
        <f>AA13/(Basicinfo!G13*100)*1000000</f>
        <v>120.69280800238495</v>
      </c>
      <c r="BP13" s="53">
        <f>AB13/(Basicinfo!G13*100)*1000000</f>
        <v>19.841166512640918</v>
      </c>
      <c r="BQ13" s="19">
        <f t="shared" si="125"/>
        <v>16395.89270644006</v>
      </c>
      <c r="BR13" s="19">
        <f>AD13/(Basicinfo!G13*100)*1000000</f>
        <v>454.83259560500977</v>
      </c>
      <c r="BS13" s="53">
        <f t="shared" si="6"/>
        <v>16850.72530204507</v>
      </c>
      <c r="BT13" s="56">
        <f>AF13/(Basicinfo!G13*100)*1000000</f>
        <v>2.6215026830215966</v>
      </c>
      <c r="BU13" s="43">
        <f>AG13/(Basicinfo!G13*100)*1000000</f>
        <v>27.007963616606869</v>
      </c>
      <c r="BV13" s="43">
        <f>AH13/(Basicinfo!G13*100)*1000000</f>
        <v>0</v>
      </c>
      <c r="BW13" s="43">
        <f>AI13/(Basicinfo!G13*100)*1000000</f>
        <v>759.03220350837285</v>
      </c>
      <c r="BX13" s="43">
        <f>AJ13/(Basicinfo!G13*100)*1000000</f>
        <v>68.069173828338805</v>
      </c>
      <c r="BY13" s="58">
        <f>AK13/(Basicinfo!G13*100)*1000000</f>
        <v>5.2902548693850804</v>
      </c>
      <c r="BZ13" s="58">
        <f>AL13/(Basicinfo!G13*100)*1000000</f>
        <v>150.34574585591213</v>
      </c>
      <c r="CA13" s="58">
        <f>AM13/(Basicinfo!G13*100)*1000000</f>
        <v>9.4275980392967842</v>
      </c>
      <c r="CB13" s="58">
        <f>AN13/(Basicinfo!G13*100)*1000000</f>
        <v>23.272878671806371</v>
      </c>
      <c r="CC13" s="58">
        <f>AO13/(Basicinfo!G13*100)*1000000</f>
        <v>3.2055413517630265</v>
      </c>
      <c r="CD13" s="58">
        <f t="shared" si="126"/>
        <v>1048.2728624245035</v>
      </c>
      <c r="CE13" s="58">
        <f>AQ13/(Basicinfo!G13*100)*1000000</f>
        <v>63.837607114170261</v>
      </c>
      <c r="CF13" s="43">
        <f t="shared" si="7"/>
        <v>1112.1104695386737</v>
      </c>
      <c r="CG13" s="84"/>
      <c r="CH13" s="84">
        <f t="shared" si="8"/>
        <v>6.5248667777777776</v>
      </c>
      <c r="CI13" s="146">
        <f t="shared" si="9"/>
        <v>2.5655806734813229</v>
      </c>
      <c r="CJ13" s="200">
        <f>Intermediate!EW13+Intermediate!EY13+Intermediate!FD13</f>
        <v>12.77602276540399</v>
      </c>
      <c r="CK13" s="180">
        <f>Intermediate!FA13+Intermediate!FF13</f>
        <v>23.144756953770234</v>
      </c>
      <c r="CL13" s="180">
        <f t="shared" si="10"/>
        <v>12.571074686595486</v>
      </c>
      <c r="CM13" s="180">
        <f t="shared" si="11"/>
        <v>130.25197051429353</v>
      </c>
      <c r="CN13" s="202">
        <f>Intermediate!EX13+Intermediate!EZ13+Intermediate!FE13</f>
        <v>6.6407026542283445</v>
      </c>
      <c r="CO13" s="180">
        <f>Intermediate!FB13+Intermediate!FG13</f>
        <v>12.101336860756842</v>
      </c>
      <c r="CP13" s="213">
        <f>Intermediate!EP13+Intermediate!EQ13+Intermediate!ER13+Intermediate!ES13+Intermediate!ET13+Intermediate!EU13+Intermediate!EV13+W13</f>
        <v>35.158204872592584</v>
      </c>
      <c r="CQ13" s="212">
        <f t="shared" si="12"/>
        <v>18.742039514985187</v>
      </c>
      <c r="CR13" s="212">
        <f t="shared" si="13"/>
        <v>178.74382492006325</v>
      </c>
      <c r="CS13" s="211">
        <f t="shared" si="14"/>
        <v>7.0743969959428297</v>
      </c>
      <c r="CT13" s="212">
        <f t="shared" si="15"/>
        <v>239.71846630358385</v>
      </c>
      <c r="CU13" s="84"/>
      <c r="CV13" s="31">
        <f t="shared" si="16"/>
        <v>241.7345167589001</v>
      </c>
      <c r="CW13" s="31">
        <f>CH13/Basicinfo!$G13*1000/100</f>
        <v>0.45483259560500977</v>
      </c>
      <c r="CX13" s="31">
        <f>CI13/Basicinfo!$G13*1000/100</f>
        <v>0.17884038965022092</v>
      </c>
      <c r="CY13" s="31">
        <f>CS13/Basicinfo!$G13*1000/100</f>
        <v>0.49313901074020483</v>
      </c>
      <c r="CZ13" s="31">
        <f>CN13/Basicinfo!$G13*1000/100</f>
        <v>0.462907232857318</v>
      </c>
      <c r="DA13" s="31">
        <f>CO13/Basicinfo!$G13*1000/100</f>
        <v>0.84355476397070306</v>
      </c>
      <c r="DB13" s="31">
        <f>CQ13/Basicinfo!$G13*1000/100</f>
        <v>1.3064619968280211</v>
      </c>
      <c r="DC13" s="31">
        <f>CJ13/Basicinfo!$G13*1000/100</f>
        <v>0.89058547765115759</v>
      </c>
      <c r="DD13" s="31">
        <f>CK13/Basicinfo!$G13*1000/100</f>
        <v>1.6133647227531087</v>
      </c>
      <c r="DE13" s="31">
        <f>CM13/Basicinfo!$G13*1000/100</f>
        <v>9.0795481117639163</v>
      </c>
      <c r="DF13" s="31">
        <f>CR13/Basicinfo!$G13*1000/100</f>
        <v>12.459797357647851</v>
      </c>
      <c r="DG13" s="31">
        <f>CP13/Basicinfo!$G13*1000/100</f>
        <v>2.450792962313967</v>
      </c>
      <c r="DH13" s="31">
        <f>CT13/Basicinfo!$G13*1000/100</f>
        <v>16.710191327530044</v>
      </c>
      <c r="DI13" s="31">
        <f>CV13/Basicinfo!$G13*1000/100</f>
        <v>16.850725302045067</v>
      </c>
      <c r="DJ13" s="31"/>
      <c r="DK13" s="188">
        <f t="shared" si="17"/>
        <v>2.7218874200181835</v>
      </c>
      <c r="DL13" s="188">
        <f t="shared" si="18"/>
        <v>1.0702474085714466</v>
      </c>
      <c r="DM13" s="188">
        <f t="shared" si="19"/>
        <v>2.9511272556631845</v>
      </c>
      <c r="DN13" s="188">
        <f t="shared" si="20"/>
        <v>2.770209052571877</v>
      </c>
      <c r="DO13" s="188">
        <f t="shared" si="21"/>
        <v>5.0481454546899558</v>
      </c>
      <c r="DP13" s="188">
        <f t="shared" si="22"/>
        <v>7.8183545072618337</v>
      </c>
      <c r="DQ13" s="188">
        <f t="shared" si="23"/>
        <v>5.3295947376970956</v>
      </c>
      <c r="DR13" s="188">
        <f t="shared" si="24"/>
        <v>9.6549745668985256</v>
      </c>
      <c r="DS13" s="188">
        <f t="shared" si="25"/>
        <v>54.335392897658565</v>
      </c>
      <c r="DT13" s="188">
        <f t="shared" si="26"/>
        <v>74.564061616220584</v>
      </c>
      <c r="DU13" s="188">
        <f t="shared" si="27"/>
        <v>14.666456620854396</v>
      </c>
      <c r="DV13" s="188">
        <f t="shared" si="28"/>
        <v>100</v>
      </c>
      <c r="DW13" s="188">
        <f t="shared" si="29"/>
        <v>100.84100757292644</v>
      </c>
      <c r="DY13" s="181">
        <f t="shared" si="30"/>
        <v>0.91579162500000011</v>
      </c>
      <c r="DZ13" s="181">
        <f t="shared" si="127"/>
        <v>0.51509497482045419</v>
      </c>
      <c r="EA13" s="185">
        <f t="shared" si="31"/>
        <v>7.5892116301190665E-2</v>
      </c>
      <c r="EB13" s="185">
        <f>AG13+AH13+AL13-Intermediate!FJ13-Intermediate!FM13</f>
        <v>2.1356496400956106</v>
      </c>
      <c r="EC13" s="185">
        <f>AI13+AJ13-Intermediate!FK13</f>
        <v>10.621737457079597</v>
      </c>
      <c r="ED13" s="240">
        <f t="shared" si="32"/>
        <v>3.7607145858907128E-2</v>
      </c>
      <c r="EE13" s="240">
        <f>Intermediate!FJ13+Intermediate!FK13+Intermediate!FM13</f>
        <v>1.6521686141377003</v>
      </c>
      <c r="EF13" s="240">
        <f t="shared" si="33"/>
        <v>12.8332792134764</v>
      </c>
      <c r="EG13" s="240">
        <f t="shared" si="34"/>
        <v>1.4308865998204543</v>
      </c>
      <c r="EH13" s="240">
        <f t="shared" si="35"/>
        <v>15.953941573293463</v>
      </c>
      <c r="EI13" s="181">
        <f t="shared" si="36"/>
        <v>15.953941573293461</v>
      </c>
      <c r="EK13" s="31">
        <f>DY13/Basicinfo!$G13*1000/100</f>
        <v>6.3837607114170247E-2</v>
      </c>
      <c r="EL13" s="31">
        <f>DZ13/Basicinfo!$G13*1000/100</f>
        <v>3.5906018062866175E-2</v>
      </c>
      <c r="EM13" s="220">
        <f>EG13/Basicinfo!$G13*1000/100</f>
        <v>9.9743625177036443E-2</v>
      </c>
      <c r="EN13" s="220">
        <f>ED13/Basicinfo!$G13*1000/100</f>
        <v>2.6215026830215971E-3</v>
      </c>
      <c r="EO13" s="220">
        <f>EF13/Basicinfo!$G13*1000/100</f>
        <v>0.89457668540739732</v>
      </c>
      <c r="EP13" s="220">
        <f>EE13/Basicinfo!$G13*1000/100</f>
        <v>0.11516865627121854</v>
      </c>
      <c r="EQ13" s="220">
        <f>EH13/Basicinfo!$G13*1000/100</f>
        <v>1.1121104695386739</v>
      </c>
      <c r="ER13" s="31">
        <f>EI13/Basicinfo!$G13*1000/100</f>
        <v>1.1121104695386739</v>
      </c>
      <c r="ET13" s="188">
        <f t="shared" si="37"/>
        <v>5.7402217551869095</v>
      </c>
      <c r="EU13" s="188">
        <f t="shared" si="38"/>
        <v>3.2286377159780471</v>
      </c>
      <c r="EV13" s="223">
        <f t="shared" si="39"/>
        <v>8.9688594711649579</v>
      </c>
      <c r="EW13" s="223">
        <f t="shared" si="40"/>
        <v>0.23572322667810597</v>
      </c>
      <c r="EX13" s="223">
        <f t="shared" si="41"/>
        <v>80.439552536402786</v>
      </c>
      <c r="EY13" s="223">
        <f t="shared" si="42"/>
        <v>10.355864765754148</v>
      </c>
      <c r="EZ13" s="223">
        <f t="shared" si="43"/>
        <v>100</v>
      </c>
      <c r="FA13" s="188">
        <f t="shared" si="44"/>
        <v>100</v>
      </c>
      <c r="FC13" s="236">
        <f>Basicinfo!CT13</f>
        <v>2.6143870967741938</v>
      </c>
      <c r="FD13" s="181">
        <f>IF((Intermediate!CL13+Intermediate!CM13*3)/4&gt;11,(Intermediate!CL13+Intermediate!CM13*9)/10,(Intermediate!CL13+Intermediate!CM13*3)/4)</f>
        <v>4.5705926470967455</v>
      </c>
      <c r="FF13" s="31">
        <f t="shared" si="45"/>
        <v>3.7607145858907128E-2</v>
      </c>
      <c r="FG13" s="31">
        <f t="shared" si="46"/>
        <v>0.38744664793212563</v>
      </c>
      <c r="FH13" s="31">
        <f t="shared" si="47"/>
        <v>0</v>
      </c>
      <c r="FI13" s="31">
        <f>(AI13-(P13*450/1000000))*Parameters!$C$153</f>
        <v>6.7628500557900217</v>
      </c>
      <c r="FJ13" s="31"/>
      <c r="FK13" s="31">
        <f t="shared" si="48"/>
        <v>7.5892116301190665E-2</v>
      </c>
      <c r="FL13" s="31">
        <f t="shared" si="49"/>
        <v>2.1568066400574764</v>
      </c>
      <c r="FM13" s="31">
        <f>AM13*Parameters!$C$154</f>
        <v>0.12172047397597655</v>
      </c>
      <c r="FN13" s="31">
        <f>AN13*Parameters!$C$154</f>
        <v>0.30047800202234409</v>
      </c>
      <c r="FO13" s="31">
        <f>AO13*Parameters!$C$154</f>
        <v>4.1387001340088117E-2</v>
      </c>
      <c r="FP13" s="31">
        <f>AQ13*Parameters!$C$155</f>
        <v>0.91579162500000011</v>
      </c>
      <c r="FQ13" s="31">
        <f t="shared" si="50"/>
        <v>10.79997970827813</v>
      </c>
      <c r="FS13" s="147">
        <f>DY13*Parameters!$C$155</f>
        <v>0.91579162500000011</v>
      </c>
      <c r="FT13" s="147">
        <f>DZ13*Parameters!$C$154</f>
        <v>0.46358547733840877</v>
      </c>
      <c r="FU13" s="181">
        <f t="shared" si="51"/>
        <v>7.5892116301190665E-2</v>
      </c>
      <c r="FV13" s="181">
        <f t="shared" si="52"/>
        <v>2.1356496400956106</v>
      </c>
      <c r="FW13" s="31">
        <f t="shared" si="53"/>
        <v>6.76285005579002</v>
      </c>
      <c r="FX13" s="181">
        <f t="shared" si="54"/>
        <v>3.7607145858907128E-2</v>
      </c>
      <c r="FY13" s="147">
        <f>Intermediate!FJ13+Intermediate!FM13</f>
        <v>0.40860364789399101</v>
      </c>
      <c r="FZ13" s="181">
        <f t="shared" si="55"/>
        <v>8.9743918121868216</v>
      </c>
      <c r="GA13" s="147">
        <f t="shared" si="56"/>
        <v>1.3793771023384089</v>
      </c>
      <c r="GB13" s="181">
        <f t="shared" si="57"/>
        <v>10.79997970827813</v>
      </c>
      <c r="GD13" s="147">
        <f>IF('River loads'!CH13&gt;0.99,1,0)</f>
        <v>1</v>
      </c>
      <c r="GE13" s="147">
        <f t="shared" si="58"/>
        <v>3.7607145858907128E-2</v>
      </c>
      <c r="GF13" s="147">
        <f t="shared" si="59"/>
        <v>0.38744664793212563</v>
      </c>
      <c r="GG13" s="147">
        <f t="shared" si="60"/>
        <v>0</v>
      </c>
      <c r="GH13" s="147">
        <f t="shared" si="61"/>
        <v>10.888806246059408</v>
      </c>
      <c r="GI13" s="147">
        <f t="shared" si="62"/>
        <v>0.97649617726389804</v>
      </c>
      <c r="GJ13" s="147">
        <f t="shared" si="63"/>
        <v>7.5892116301190665E-2</v>
      </c>
      <c r="GK13" s="147">
        <f t="shared" si="64"/>
        <v>2.1568066400574764</v>
      </c>
      <c r="GL13" s="147">
        <f t="shared" si="65"/>
        <v>0.13524497108441838</v>
      </c>
      <c r="GM13" s="270">
        <f t="shared" si="128"/>
        <v>0.33386444669149345</v>
      </c>
      <c r="GN13" s="270">
        <f t="shared" si="129"/>
        <v>4.5985557044542352E-2</v>
      </c>
      <c r="GO13" s="147">
        <f t="shared" si="66"/>
        <v>0.91579162500000011</v>
      </c>
      <c r="GP13" s="147">
        <f t="shared" si="67"/>
        <v>15.953941573293461</v>
      </c>
      <c r="GQ13" s="147"/>
      <c r="GR13" s="147">
        <f t="shared" si="68"/>
        <v>3.7607145858907128E-2</v>
      </c>
      <c r="GS13" s="147">
        <f t="shared" si="69"/>
        <v>0.38744664793212563</v>
      </c>
      <c r="GT13" s="147">
        <f t="shared" si="70"/>
        <v>0</v>
      </c>
      <c r="GU13" s="147">
        <f t="shared" si="71"/>
        <v>6.7628500557900217</v>
      </c>
      <c r="GV13" s="147">
        <f t="shared" si="72"/>
        <v>0</v>
      </c>
      <c r="GW13" s="147">
        <f t="shared" si="73"/>
        <v>7.5892116301190665E-2</v>
      </c>
      <c r="GX13" s="147">
        <f t="shared" si="74"/>
        <v>2.1568066400574764</v>
      </c>
      <c r="GY13" s="147">
        <f t="shared" si="75"/>
        <v>0.12172047397597655</v>
      </c>
      <c r="GZ13" s="147">
        <f t="shared" si="130"/>
        <v>0.30047800202234409</v>
      </c>
      <c r="HA13" s="147">
        <f t="shared" si="131"/>
        <v>4.1387001340088117E-2</v>
      </c>
      <c r="HB13" s="147">
        <f t="shared" si="76"/>
        <v>0.91579162500000011</v>
      </c>
      <c r="HC13" s="147">
        <f t="shared" si="77"/>
        <v>10.79997970827813</v>
      </c>
      <c r="HD13" s="147"/>
      <c r="HE13" s="147">
        <f t="shared" si="78"/>
        <v>0.91579162500000011</v>
      </c>
      <c r="HF13" s="147">
        <f t="shared" si="79"/>
        <v>0.51509497482045419</v>
      </c>
      <c r="HG13" s="147">
        <f t="shared" si="80"/>
        <v>7.5892116301190665E-2</v>
      </c>
      <c r="HH13" s="147">
        <f t="shared" si="81"/>
        <v>2.1356496400956106</v>
      </c>
      <c r="HI13" s="147">
        <f t="shared" si="82"/>
        <v>10.621737457079597</v>
      </c>
      <c r="HJ13" s="147">
        <f t="shared" si="83"/>
        <v>3.7607145858907128E-2</v>
      </c>
      <c r="HK13" s="147">
        <f t="shared" si="84"/>
        <v>1.6521686141377003</v>
      </c>
      <c r="HL13" s="147">
        <f t="shared" si="85"/>
        <v>12.8332792134764</v>
      </c>
      <c r="HM13" s="147">
        <f t="shared" si="86"/>
        <v>1.4308865998204543</v>
      </c>
      <c r="HN13" s="147">
        <f t="shared" si="87"/>
        <v>15.953941573293463</v>
      </c>
      <c r="HO13" s="147">
        <f t="shared" si="88"/>
        <v>15.953941573293461</v>
      </c>
      <c r="HQ13" s="147">
        <f t="shared" si="89"/>
        <v>0.91579162500000011</v>
      </c>
      <c r="HR13" s="147">
        <f t="shared" si="90"/>
        <v>0.46358547733840877</v>
      </c>
      <c r="HS13" s="147">
        <f t="shared" si="91"/>
        <v>7.5892116301190665E-2</v>
      </c>
      <c r="HT13" s="147">
        <f t="shared" si="92"/>
        <v>2.1356496400956106</v>
      </c>
      <c r="HU13" s="147">
        <f t="shared" si="93"/>
        <v>6.76285005579002</v>
      </c>
      <c r="HV13" s="147">
        <f t="shared" si="94"/>
        <v>3.7607145858907128E-2</v>
      </c>
      <c r="HW13" s="147">
        <f t="shared" si="95"/>
        <v>0.40860364789399101</v>
      </c>
      <c r="HX13" s="147">
        <f t="shared" si="96"/>
        <v>8.9743918121868216</v>
      </c>
      <c r="HY13" s="147">
        <f t="shared" si="97"/>
        <v>1.3793771023384089</v>
      </c>
      <c r="HZ13" s="147">
        <f t="shared" si="98"/>
        <v>10.79997970827813</v>
      </c>
      <c r="IB13" s="147">
        <f>IF('River loads'!CI13&gt;0.99,1,0)</f>
        <v>1</v>
      </c>
      <c r="IC13">
        <f t="shared" si="99"/>
        <v>1.9587960492505834</v>
      </c>
      <c r="ID13">
        <f t="shared" si="100"/>
        <v>22.731977095757699</v>
      </c>
      <c r="IE13">
        <f t="shared" si="101"/>
        <v>0</v>
      </c>
      <c r="IF13">
        <f t="shared" si="102"/>
        <v>19.895991016018336</v>
      </c>
      <c r="IG13">
        <f t="shared" si="103"/>
        <v>5.4249787625772115E-2</v>
      </c>
      <c r="IH13">
        <f t="shared" si="104"/>
        <v>12.571074686595486</v>
      </c>
      <c r="II13">
        <f t="shared" si="105"/>
        <v>175.43198067239314</v>
      </c>
      <c r="IJ13">
        <f t="shared" si="106"/>
        <v>0.54953021816505243</v>
      </c>
      <c r="IK13">
        <f t="shared" si="132"/>
        <v>1.7314161316955521</v>
      </c>
      <c r="IL13">
        <f t="shared" si="133"/>
        <v>0.28463432362071839</v>
      </c>
      <c r="IM13">
        <f t="shared" si="107"/>
        <v>6.5248667777777776</v>
      </c>
      <c r="IN13">
        <f t="shared" si="108"/>
        <v>241.7345167589001</v>
      </c>
      <c r="IP13">
        <f t="shared" si="109"/>
        <v>6.5248667777777776</v>
      </c>
      <c r="IQ13">
        <f t="shared" si="110"/>
        <v>2.5655806734813229</v>
      </c>
      <c r="IR13">
        <f t="shared" si="111"/>
        <v>12.77602276540399</v>
      </c>
      <c r="IS13">
        <f t="shared" si="112"/>
        <v>23.144756953770234</v>
      </c>
      <c r="IT13">
        <f t="shared" si="113"/>
        <v>12.571074686595486</v>
      </c>
      <c r="IU13">
        <f t="shared" si="114"/>
        <v>130.25197051429353</v>
      </c>
      <c r="IV13">
        <f t="shared" si="115"/>
        <v>6.6407026542283445</v>
      </c>
      <c r="IW13">
        <f t="shared" si="116"/>
        <v>12.101336860756842</v>
      </c>
      <c r="IX13">
        <f t="shared" si="117"/>
        <v>35.158204872592584</v>
      </c>
    </row>
    <row r="14" spans="1:258">
      <c r="A14" s="39" t="str">
        <f>Basicinfo!A14</f>
        <v>Pram</v>
      </c>
      <c r="B14" s="63">
        <f>Basicinfo!B14</f>
        <v>690</v>
      </c>
      <c r="C14" s="63">
        <f>Basicinfo!C14</f>
        <v>700</v>
      </c>
      <c r="D14" s="130">
        <f>Basicinfo!G14</f>
        <v>83.768448207000006</v>
      </c>
      <c r="E14" s="87">
        <f t="shared" si="118"/>
        <v>1.1858115665776405</v>
      </c>
      <c r="F14" s="19">
        <f>Intermediate!AR14</f>
        <v>4.8764375734276968E-3</v>
      </c>
      <c r="G14" s="19">
        <f>Intermediate!AU14</f>
        <v>0.21071259026785394</v>
      </c>
      <c r="H14" s="19">
        <f>Intermediate!AW14</f>
        <v>0</v>
      </c>
      <c r="I14" s="19">
        <f>Intermediate!AZ14</f>
        <v>1.3779909096368434E-2</v>
      </c>
      <c r="J14" s="19">
        <f>Intermediate!BA14</f>
        <v>0.90121668068941452</v>
      </c>
      <c r="K14" s="19">
        <f>Intermediate!AC14</f>
        <v>3.920808975127853E-3</v>
      </c>
      <c r="L14" s="19">
        <f>Intermediate!AO14</f>
        <v>2.5261947328813028E-3</v>
      </c>
      <c r="M14" s="19">
        <f>Intermediate!AP14</f>
        <v>7.7745265359031928E-3</v>
      </c>
      <c r="N14" s="19">
        <f t="shared" si="119"/>
        <v>1.1448071478709771</v>
      </c>
      <c r="O14" s="19">
        <f>Basicinfo!CB14+Basicinfo!CG14</f>
        <v>4.1004418706663284E-2</v>
      </c>
      <c r="P14" s="56">
        <f>Intermediate!BK14-Intermediate!BI14</f>
        <v>1951.3216902773088</v>
      </c>
      <c r="Q14" s="43">
        <f>Intermediate!BI14</f>
        <v>636.52393683135244</v>
      </c>
      <c r="R14" s="88">
        <f t="shared" si="3"/>
        <v>2587.8456271086611</v>
      </c>
      <c r="S14" s="61">
        <f>Intermediate!F14*Intermediate!BO14/1000</f>
        <v>1.0391850855363252</v>
      </c>
      <c r="T14" s="19">
        <f>Intermediate!BU14*Intermediate!AU14*86.4*0.365</f>
        <v>12.079220396128488</v>
      </c>
      <c r="U14" s="19">
        <f>Intermediate!AW14*Intermediate!BS14*0.365*86.4</f>
        <v>0</v>
      </c>
      <c r="V14" s="19">
        <f>(Basicinfo!BL14/1000000)*(Intermediate!BK14-Intermediate!BF14-Intermediate!BG14-Intermediate!BH14)*Intermediate!CV14</f>
        <v>8.1593287517040309</v>
      </c>
      <c r="W14" s="19">
        <f>Intermediate!BI14*Parameters!$C$51/1000000</f>
        <v>1.5913098420783811E-2</v>
      </c>
      <c r="X14" s="19">
        <f>Intermediate!AZ14*Intermediate!CG14*86.4*0.365</f>
        <v>5.2213337511348792</v>
      </c>
      <c r="Y14" s="19">
        <f>Intermediate!CM14*Intermediate!BA14*86.4*0.365+Parameters!$C$126*Intermediate!BB14*Basicinfo!P14/1000+Parameters!$C$127*Intermediate!BB14*Basicinfo!S14/1000</f>
        <v>104.15946051378678</v>
      </c>
      <c r="Z14" s="19">
        <f>Intermediate!DG14</f>
        <v>0.35418160104821667</v>
      </c>
      <c r="AA14" s="19">
        <f>Intermediate!DI14</f>
        <v>0.64523864853616764</v>
      </c>
      <c r="AB14" s="19">
        <f>Intermediate!DK14</f>
        <v>0.33452998720898852</v>
      </c>
      <c r="AC14" s="19">
        <f t="shared" si="120"/>
        <v>132.00839183350467</v>
      </c>
      <c r="AD14" s="19">
        <f>Basicinfo!CC14+Basicinfo!CE14+Basicinfo!CH14+Basicinfo!CJ14</f>
        <v>2.268991666666667</v>
      </c>
      <c r="AE14" s="87">
        <f t="shared" si="121"/>
        <v>134.27738350017134</v>
      </c>
      <c r="AF14" s="56">
        <f>Intermediate!F14*Basicinfo!BD14/1000</f>
        <v>2.2521717682302309E-2</v>
      </c>
      <c r="AG14" s="43">
        <f>Intermediate!CA14*Intermediate!AU14*86.4*0.365</f>
        <v>0.23315033144104419</v>
      </c>
      <c r="AH14" s="43">
        <f>Intermediate!AW14*Intermediate!BZ14*0.365*86.4</f>
        <v>0</v>
      </c>
      <c r="AI14" s="43">
        <f>(Intermediate!CU14/1000000)*(Intermediate!BK14-Intermediate!BF14-Intermediate!BG14-Intermediate!BH14)*Intermediate!CW14</f>
        <v>5.0123572585541831</v>
      </c>
      <c r="AJ14" s="43">
        <f>Intermediate!BF14*Parameters!$C$52/1000000+(Intermediate!BG14+Intermediate!BH14)*Intermediate!CX14/1000000</f>
        <v>0.28643577157410866</v>
      </c>
      <c r="AK14" s="43">
        <f>Intermediate!AZ14*Intermediate!CH14*86.4*0.365</f>
        <v>2.7247266570456747E-2</v>
      </c>
      <c r="AL14" s="58">
        <f>Intermediate!CR14*Intermediate!BA14*86.4*0.365</f>
        <v>0.85222907565514672</v>
      </c>
      <c r="AM14" s="43">
        <f>Intermediate!DH14</f>
        <v>9.1742771865272868E-2</v>
      </c>
      <c r="AN14" s="42">
        <f>Intermediate!DJ14</f>
        <v>0.12566226181207421</v>
      </c>
      <c r="AO14" s="42">
        <f>Intermediate!DL14</f>
        <v>5.1894427808114887E-2</v>
      </c>
      <c r="AP14" s="42">
        <f t="shared" si="122"/>
        <v>6.7032408829627039</v>
      </c>
      <c r="AQ14" s="43">
        <f>Basicinfo!CD14+Basicinfo!CF14+Basicinfo!CI14+Basicinfo!CK14</f>
        <v>0.84725866666666683</v>
      </c>
      <c r="AR14" s="83">
        <f t="shared" si="4"/>
        <v>7.5504995496293708</v>
      </c>
      <c r="AS14" s="19">
        <f>F14*86400*365/(Basicinfo!G14*1000000)*1000</f>
        <v>1.8358145412411393</v>
      </c>
      <c r="AT14" s="19">
        <f>G14*86400*365/(Basicinfo!G14*1000000)*1000</f>
        <v>79.326194873116421</v>
      </c>
      <c r="AU14" s="19">
        <f>H14*86400*365/(Basicinfo!G14*1000000)*1000</f>
        <v>0</v>
      </c>
      <c r="AV14" s="19">
        <f>I14*86400*365/(Basicinfo!G14*1000000)*1000</f>
        <v>5.1876717614396632</v>
      </c>
      <c r="AW14" s="19">
        <f>J14*86400*365/(Basicinfo!G14*1000000)*1000</f>
        <v>339.27773344912498</v>
      </c>
      <c r="AX14" s="53">
        <f>K14*86400*365/(Basicinfo!G14*1000000)*1000</f>
        <v>1.4760525530339192</v>
      </c>
      <c r="AY14" s="53">
        <f>L14*86400*365/(Basicinfo!G14*1000000)*1000</f>
        <v>0.95102725192284954</v>
      </c>
      <c r="AZ14" s="53">
        <f>M14*86400*365/(Basicinfo!G14*1000000)*1000</f>
        <v>2.9268474477453092</v>
      </c>
      <c r="BA14" s="19">
        <f t="shared" si="123"/>
        <v>430.98134187762429</v>
      </c>
      <c r="BB14" s="19">
        <f>O14*86400*365/(Basicinfo!G14*1000000)*1000</f>
        <v>15.436782893935426</v>
      </c>
      <c r="BC14" s="53">
        <f t="shared" si="124"/>
        <v>446.41812477155969</v>
      </c>
      <c r="BD14" s="56">
        <f>P14/(Basicinfo!G14*100)*1000</f>
        <v>232.94232280099098</v>
      </c>
      <c r="BE14" s="43">
        <f>Q14/(Basicinfo!G14*100)*1000</f>
        <v>75.986120127048281</v>
      </c>
      <c r="BF14" s="58">
        <f t="shared" si="5"/>
        <v>308.92844292803926</v>
      </c>
      <c r="BG14" s="61">
        <f>S14/(Basicinfo!G14*100)*1000000</f>
        <v>124.05447489828123</v>
      </c>
      <c r="BH14" s="19">
        <f>T14/(Basicinfo!G14*100)*1000000</f>
        <v>1441.9773380879105</v>
      </c>
      <c r="BI14" s="19">
        <f>U14/(Basicinfo!G14*100)*1000000</f>
        <v>0</v>
      </c>
      <c r="BJ14" s="19">
        <f>V14/(Basicinfo!G14*100)*1000000</f>
        <v>974.03365185201164</v>
      </c>
      <c r="BK14" s="19">
        <f>W14/(Basicinfo!G14*100)*1000000</f>
        <v>1.8996530031762071</v>
      </c>
      <c r="BL14" s="19">
        <f>X14/(Basicinfo!G14*100)*1000000</f>
        <v>623.30553602144505</v>
      </c>
      <c r="BM14" s="19">
        <f>Y14/(Basicinfo!G14*100)*1000000</f>
        <v>12434.211537069255</v>
      </c>
      <c r="BN14" s="53">
        <f>Z14/(Basicinfo!G14*100)*1000000</f>
        <v>42.281026881744239</v>
      </c>
      <c r="BO14" s="53">
        <f>AA14/(Basicinfo!G14*100)*1000000</f>
        <v>77.026453557038565</v>
      </c>
      <c r="BP14" s="53">
        <f>AB14/(Basicinfo!G14*100)*1000000</f>
        <v>39.935082285675428</v>
      </c>
      <c r="BQ14" s="19">
        <f t="shared" si="125"/>
        <v>15758.724753656539</v>
      </c>
      <c r="BR14" s="19">
        <f>AD14/(Basicinfo!G14*100)*1000000</f>
        <v>270.86471281642554</v>
      </c>
      <c r="BS14" s="53">
        <f t="shared" si="6"/>
        <v>16029.589466472964</v>
      </c>
      <c r="BT14" s="56">
        <f>AF14/(Basicinfo!G14*100)*1000000</f>
        <v>2.6885680902968323</v>
      </c>
      <c r="BU14" s="43">
        <f>AG14/(Basicinfo!G14*100)*1000000</f>
        <v>27.832714635575794</v>
      </c>
      <c r="BV14" s="43">
        <f>AH14/(Basicinfo!G14*100)*1000000</f>
        <v>0</v>
      </c>
      <c r="BW14" s="43">
        <f>AI14/(Basicinfo!G14*100)*1000000</f>
        <v>598.35861423243273</v>
      </c>
      <c r="BX14" s="43">
        <f>AJ14/(Basicinfo!G14*100)*1000000</f>
        <v>34.193754057171738</v>
      </c>
      <c r="BY14" s="58">
        <f>AK14/(Basicinfo!G14*100)*1000000</f>
        <v>3.2526884708579171</v>
      </c>
      <c r="BZ14" s="58">
        <f>AL14/(Basicinfo!G14*100)*1000000</f>
        <v>101.73628542684779</v>
      </c>
      <c r="CA14" s="58">
        <f>AM14/(Basicinfo!G14*100)*1000000</f>
        <v>10.95194835632714</v>
      </c>
      <c r="CB14" s="58">
        <f>AN14/(Basicinfo!G14*100)*1000000</f>
        <v>15.001144762948277</v>
      </c>
      <c r="CC14" s="58">
        <f>AO14/(Basicinfo!G14*100)*1000000</f>
        <v>6.1949849757128961</v>
      </c>
      <c r="CD14" s="58">
        <f t="shared" si="126"/>
        <v>800.21070300817121</v>
      </c>
      <c r="CE14" s="58">
        <f>AQ14/(Basicinfo!G14*100)*1000000</f>
        <v>101.14293445821129</v>
      </c>
      <c r="CF14" s="43">
        <f t="shared" si="7"/>
        <v>901.35363746638245</v>
      </c>
      <c r="CG14" s="84"/>
      <c r="CH14" s="84">
        <f t="shared" si="8"/>
        <v>2.268991666666667</v>
      </c>
      <c r="CI14" s="146">
        <f t="shared" si="9"/>
        <v>1.3339502367933727</v>
      </c>
      <c r="CJ14" s="200">
        <f>Intermediate!EW14+Intermediate!EY14+Intermediate!FD14</f>
        <v>7.154367400698538</v>
      </c>
      <c r="CK14" s="180">
        <f>Intermediate!FA14+Intermediate!FF14</f>
        <v>11.90141312599286</v>
      </c>
      <c r="CL14" s="180">
        <f t="shared" si="10"/>
        <v>5.2213337511348792</v>
      </c>
      <c r="CM14" s="180">
        <f t="shared" si="11"/>
        <v>74.789791307258781</v>
      </c>
      <c r="CN14" s="202">
        <f>Intermediate!EX14+Intermediate!EZ14+Intermediate!FE14</f>
        <v>3.8935608015375776</v>
      </c>
      <c r="CO14" s="180">
        <f>Intermediate!FB14+Intermediate!FG14</f>
        <v>6.4873408608088052</v>
      </c>
      <c r="CP14" s="213">
        <f>Intermediate!EP14+Intermediate!EQ14+Intermediate!ER14+Intermediate!ES14+Intermediate!ET14+Intermediate!EU14+Intermediate!EV14+W14</f>
        <v>21.226634349279863</v>
      </c>
      <c r="CQ14" s="212">
        <f t="shared" si="12"/>
        <v>10.380901662346382</v>
      </c>
      <c r="CR14" s="212">
        <f t="shared" si="13"/>
        <v>99.066905585085053</v>
      </c>
      <c r="CS14" s="211">
        <f t="shared" si="14"/>
        <v>2.6231732677148836</v>
      </c>
      <c r="CT14" s="212">
        <f t="shared" si="15"/>
        <v>133.29761486442618</v>
      </c>
      <c r="CU14" s="84"/>
      <c r="CV14" s="31">
        <f t="shared" si="16"/>
        <v>134.27738350017134</v>
      </c>
      <c r="CW14" s="31">
        <f>CH14/Basicinfo!$G14*1000/100</f>
        <v>0.27086471281642549</v>
      </c>
      <c r="CX14" s="31">
        <f>CI14/Basicinfo!$G14*1000/100</f>
        <v>0.15924256272445819</v>
      </c>
      <c r="CY14" s="31">
        <f>CS14/Basicinfo!$G14*1000/100</f>
        <v>0.31314573969816978</v>
      </c>
      <c r="CZ14" s="31">
        <f>CN14/Basicinfo!$G14*1000/100</f>
        <v>0.46480039739022133</v>
      </c>
      <c r="DA14" s="31">
        <f>CO14/Basicinfo!$G14*1000/100</f>
        <v>0.77443727318165811</v>
      </c>
      <c r="DB14" s="31">
        <f>CQ14/Basicinfo!$G14*1000/100</f>
        <v>1.2392376705718795</v>
      </c>
      <c r="DC14" s="31">
        <f>CJ14/Basicinfo!$G14*1000/100</f>
        <v>0.85406469307147703</v>
      </c>
      <c r="DD14" s="31">
        <f>CK14/Basicinfo!$G14*1000/100</f>
        <v>1.4207512948769574</v>
      </c>
      <c r="DE14" s="31">
        <f>CM14/Basicinfo!$G14*1000/100</f>
        <v>8.9281576665292786</v>
      </c>
      <c r="DF14" s="31">
        <f>CR14/Basicinfo!$G14*1000/100</f>
        <v>11.826279190499156</v>
      </c>
      <c r="DG14" s="31">
        <f>CP14/Basicinfo!$G14*1000/100</f>
        <v>2.5339653298610449</v>
      </c>
      <c r="DH14" s="31">
        <f>CT14/Basicinfo!$G14*1000/100</f>
        <v>15.912627930630249</v>
      </c>
      <c r="DI14" s="31">
        <f>CV14/Basicinfo!$G14*1000/100</f>
        <v>16.029589466472963</v>
      </c>
      <c r="DJ14" s="31"/>
      <c r="DK14" s="188">
        <f t="shared" si="17"/>
        <v>1.7021997497662686</v>
      </c>
      <c r="DL14" s="188">
        <f t="shared" si="18"/>
        <v>1.0007307618745478</v>
      </c>
      <c r="DM14" s="188">
        <f t="shared" si="19"/>
        <v>1.967907130508562</v>
      </c>
      <c r="DN14" s="188">
        <f t="shared" si="20"/>
        <v>2.9209530909443693</v>
      </c>
      <c r="DO14" s="188">
        <f t="shared" si="21"/>
        <v>4.8668094079604689</v>
      </c>
      <c r="DP14" s="188">
        <f t="shared" si="22"/>
        <v>7.7877624989048382</v>
      </c>
      <c r="DQ14" s="188">
        <f t="shared" si="23"/>
        <v>5.3672133653517164</v>
      </c>
      <c r="DR14" s="188">
        <f t="shared" si="24"/>
        <v>8.9284516741709918</v>
      </c>
      <c r="DS14" s="188">
        <f t="shared" si="25"/>
        <v>56.107374001647138</v>
      </c>
      <c r="DT14" s="188">
        <f t="shared" si="26"/>
        <v>74.32008868714091</v>
      </c>
      <c r="DU14" s="188">
        <f t="shared" si="27"/>
        <v>15.924241683445697</v>
      </c>
      <c r="DV14" s="188">
        <f t="shared" si="28"/>
        <v>100</v>
      </c>
      <c r="DW14" s="188">
        <f t="shared" si="29"/>
        <v>100.73502338113225</v>
      </c>
      <c r="DY14" s="181">
        <f t="shared" si="30"/>
        <v>0.84725866666666683</v>
      </c>
      <c r="DZ14" s="181">
        <f t="shared" si="127"/>
        <v>0.26929946148546197</v>
      </c>
      <c r="EA14" s="185">
        <f t="shared" si="31"/>
        <v>2.7247266570456747E-2</v>
      </c>
      <c r="EB14" s="185">
        <f>AG14+AH14+AL14-Intermediate!FJ14-Intermediate!FM14</f>
        <v>0.83859289384103353</v>
      </c>
      <c r="EC14" s="185">
        <f>AI14+AJ14-Intermediate!FK14</f>
        <v>4.8747203565219559</v>
      </c>
      <c r="ED14" s="240">
        <f t="shared" si="32"/>
        <v>2.2521717682302309E-2</v>
      </c>
      <c r="EE14" s="240">
        <f>Intermediate!FJ14+Intermediate!FK14+Intermediate!FM14</f>
        <v>0.67085918686149304</v>
      </c>
      <c r="EF14" s="240">
        <f t="shared" si="33"/>
        <v>5.7405605169334457</v>
      </c>
      <c r="EG14" s="240">
        <f t="shared" si="34"/>
        <v>1.1165581281521288</v>
      </c>
      <c r="EH14" s="240">
        <f t="shared" si="35"/>
        <v>7.5504995496293699</v>
      </c>
      <c r="EI14" s="181">
        <f t="shared" si="36"/>
        <v>7.5504995496293708</v>
      </c>
      <c r="EK14" s="31">
        <f>DY14/Basicinfo!$G14*1000/100</f>
        <v>0.10114293445821128</v>
      </c>
      <c r="EL14" s="31">
        <f>DZ14/Basicinfo!$G14*1000/100</f>
        <v>3.2148078094988312E-2</v>
      </c>
      <c r="EM14" s="220">
        <f>EG14/Basicinfo!$G14*1000/100</f>
        <v>0.13329101255319961</v>
      </c>
      <c r="EN14" s="220">
        <f>ED14/Basicinfo!$G14*1000/100</f>
        <v>2.6885680902968318E-3</v>
      </c>
      <c r="EO14" s="220">
        <f>EF14/Basicinfo!$G14*1000/100</f>
        <v>0.6852891082269974</v>
      </c>
      <c r="EP14" s="220">
        <f>EE14/Basicinfo!$G14*1000/100</f>
        <v>8.0084948595888342E-2</v>
      </c>
      <c r="EQ14" s="220">
        <f>EH14/Basicinfo!$G14*1000/100</f>
        <v>0.9013536374663822</v>
      </c>
      <c r="ER14" s="31">
        <f>EI14/Basicinfo!$G14*1000/100</f>
        <v>0.90135363746638231</v>
      </c>
      <c r="ET14" s="188">
        <f t="shared" si="37"/>
        <v>11.221226636696587</v>
      </c>
      <c r="EU14" s="188">
        <f t="shared" si="38"/>
        <v>3.5666442957232016</v>
      </c>
      <c r="EV14" s="223">
        <f t="shared" si="39"/>
        <v>14.787870932419791</v>
      </c>
      <c r="EW14" s="223">
        <f t="shared" si="40"/>
        <v>0.29828116052808484</v>
      </c>
      <c r="EX14" s="223">
        <f t="shared" si="41"/>
        <v>76.028883641417224</v>
      </c>
      <c r="EY14" s="223">
        <f t="shared" si="42"/>
        <v>8.8849642656348919</v>
      </c>
      <c r="EZ14" s="223">
        <f t="shared" si="43"/>
        <v>99.999999999999986</v>
      </c>
      <c r="FA14" s="188">
        <f t="shared" si="44"/>
        <v>100</v>
      </c>
      <c r="FC14" s="236">
        <f>Basicinfo!CT14</f>
        <v>3.3615053763440854</v>
      </c>
      <c r="FD14" s="181">
        <f>IF((Intermediate!CL14+Intermediate!CM14*3)/4&gt;11,(Intermediate!CL14+Intermediate!CM14*9)/10,(Intermediate!CL14+Intermediate!CM14*3)/4)</f>
        <v>4.4723871813240361</v>
      </c>
      <c r="FF14" s="31">
        <f t="shared" si="45"/>
        <v>2.2521717682302309E-2</v>
      </c>
      <c r="FG14" s="31">
        <f t="shared" si="46"/>
        <v>0.23315033144104419</v>
      </c>
      <c r="FH14" s="31">
        <f t="shared" si="47"/>
        <v>0</v>
      </c>
      <c r="FI14" s="31">
        <f>(AI14-(P14*450/1000000))*Parameters!$C$153</f>
        <v>3.3074099983435157</v>
      </c>
      <c r="FJ14" s="31"/>
      <c r="FK14" s="31">
        <f t="shared" si="48"/>
        <v>2.7247266570456747E-2</v>
      </c>
      <c r="FL14" s="31">
        <f t="shared" si="49"/>
        <v>0.85222907565514672</v>
      </c>
      <c r="FM14" s="31">
        <f>AM14*Parameters!$C$154</f>
        <v>8.256849467874558E-2</v>
      </c>
      <c r="FN14" s="31">
        <f>AN14*Parameters!$C$154</f>
        <v>0.11309603563086679</v>
      </c>
      <c r="FO14" s="31">
        <f>AO14*Parameters!$C$154</f>
        <v>4.67049850273034E-2</v>
      </c>
      <c r="FP14" s="31">
        <f>AQ14*Parameters!$C$155</f>
        <v>0.84725866666666683</v>
      </c>
      <c r="FQ14" s="31">
        <f t="shared" si="50"/>
        <v>5.5321865716960481</v>
      </c>
      <c r="FS14" s="147">
        <f>DY14*Parameters!$C$155</f>
        <v>0.84725866666666683</v>
      </c>
      <c r="FT14" s="147">
        <f>DZ14*Parameters!$C$154</f>
        <v>0.24236951533691578</v>
      </c>
      <c r="FU14" s="181">
        <f t="shared" si="51"/>
        <v>2.7247266570456747E-2</v>
      </c>
      <c r="FV14" s="181">
        <f t="shared" si="52"/>
        <v>0.83859289384103353</v>
      </c>
      <c r="FW14" s="31">
        <f t="shared" si="53"/>
        <v>3.3074099983435166</v>
      </c>
      <c r="FX14" s="181">
        <f t="shared" si="54"/>
        <v>2.2521717682302309E-2</v>
      </c>
      <c r="FY14" s="147">
        <f>Intermediate!FJ14+Intermediate!FM14</f>
        <v>0.24678651325515721</v>
      </c>
      <c r="FZ14" s="181">
        <f t="shared" si="55"/>
        <v>4.1732501587550068</v>
      </c>
      <c r="GA14" s="147">
        <f t="shared" si="56"/>
        <v>1.0896281820035827</v>
      </c>
      <c r="GB14" s="181">
        <f t="shared" si="57"/>
        <v>5.5321865716960499</v>
      </c>
      <c r="GD14" s="147">
        <f>IF('River loads'!CH14&gt;0.99,1,0)</f>
        <v>1</v>
      </c>
      <c r="GE14" s="147">
        <f t="shared" si="58"/>
        <v>2.2521717682302309E-2</v>
      </c>
      <c r="GF14" s="147">
        <f t="shared" si="59"/>
        <v>0.23315033144104419</v>
      </c>
      <c r="GG14" s="147">
        <f t="shared" si="60"/>
        <v>0</v>
      </c>
      <c r="GH14" s="147">
        <f t="shared" si="61"/>
        <v>5.0123572585541831</v>
      </c>
      <c r="GI14" s="147">
        <f t="shared" si="62"/>
        <v>0.28643577157410866</v>
      </c>
      <c r="GJ14" s="147">
        <f t="shared" si="63"/>
        <v>2.7247266570456747E-2</v>
      </c>
      <c r="GK14" s="147">
        <f t="shared" si="64"/>
        <v>0.85222907565514672</v>
      </c>
      <c r="GL14" s="147">
        <f t="shared" si="65"/>
        <v>9.1742771865272868E-2</v>
      </c>
      <c r="GM14" s="270">
        <f t="shared" si="128"/>
        <v>0.12566226181207421</v>
      </c>
      <c r="GN14" s="270">
        <f t="shared" si="129"/>
        <v>5.1894427808114887E-2</v>
      </c>
      <c r="GO14" s="147">
        <f t="shared" si="66"/>
        <v>0.84725866666666683</v>
      </c>
      <c r="GP14" s="147">
        <f t="shared" si="67"/>
        <v>7.5504995496293708</v>
      </c>
      <c r="GQ14" s="147"/>
      <c r="GR14" s="147">
        <f t="shared" si="68"/>
        <v>2.2521717682302309E-2</v>
      </c>
      <c r="GS14" s="147">
        <f t="shared" si="69"/>
        <v>0.23315033144104419</v>
      </c>
      <c r="GT14" s="147">
        <f t="shared" si="70"/>
        <v>0</v>
      </c>
      <c r="GU14" s="147">
        <f t="shared" si="71"/>
        <v>3.3074099983435157</v>
      </c>
      <c r="GV14" s="147">
        <f t="shared" si="72"/>
        <v>0</v>
      </c>
      <c r="GW14" s="147">
        <f t="shared" si="73"/>
        <v>2.7247266570456747E-2</v>
      </c>
      <c r="GX14" s="147">
        <f t="shared" si="74"/>
        <v>0.85222907565514672</v>
      </c>
      <c r="GY14" s="147">
        <f t="shared" si="75"/>
        <v>8.256849467874558E-2</v>
      </c>
      <c r="GZ14" s="147">
        <f t="shared" si="130"/>
        <v>0.11309603563086679</v>
      </c>
      <c r="HA14" s="147">
        <f t="shared" si="131"/>
        <v>4.67049850273034E-2</v>
      </c>
      <c r="HB14" s="147">
        <f t="shared" si="76"/>
        <v>0.84725866666666683</v>
      </c>
      <c r="HC14" s="147">
        <f t="shared" si="77"/>
        <v>5.5321865716960481</v>
      </c>
      <c r="HD14" s="147"/>
      <c r="HE14" s="147">
        <f t="shared" si="78"/>
        <v>0.84725866666666683</v>
      </c>
      <c r="HF14" s="147">
        <f t="shared" si="79"/>
        <v>0.26929946148546197</v>
      </c>
      <c r="HG14" s="147">
        <f t="shared" si="80"/>
        <v>2.7247266570456747E-2</v>
      </c>
      <c r="HH14" s="147">
        <f t="shared" si="81"/>
        <v>0.83859289384103353</v>
      </c>
      <c r="HI14" s="147">
        <f t="shared" si="82"/>
        <v>4.8747203565219559</v>
      </c>
      <c r="HJ14" s="147">
        <f t="shared" si="83"/>
        <v>2.2521717682302309E-2</v>
      </c>
      <c r="HK14" s="147">
        <f t="shared" si="84"/>
        <v>0.67085918686149304</v>
      </c>
      <c r="HL14" s="147">
        <f t="shared" si="85"/>
        <v>5.7405605169334457</v>
      </c>
      <c r="HM14" s="147">
        <f t="shared" si="86"/>
        <v>1.1165581281521288</v>
      </c>
      <c r="HN14" s="147">
        <f t="shared" si="87"/>
        <v>7.5504995496293699</v>
      </c>
      <c r="HO14" s="147">
        <f t="shared" si="88"/>
        <v>7.5504995496293708</v>
      </c>
      <c r="HQ14" s="147">
        <f t="shared" si="89"/>
        <v>0.84725866666666683</v>
      </c>
      <c r="HR14" s="147">
        <f t="shared" si="90"/>
        <v>0.24236951533691578</v>
      </c>
      <c r="HS14" s="147">
        <f t="shared" si="91"/>
        <v>2.7247266570456747E-2</v>
      </c>
      <c r="HT14" s="147">
        <f t="shared" si="92"/>
        <v>0.83859289384103353</v>
      </c>
      <c r="HU14" s="147">
        <f t="shared" si="93"/>
        <v>3.3074099983435166</v>
      </c>
      <c r="HV14" s="147">
        <f t="shared" si="94"/>
        <v>2.2521717682302309E-2</v>
      </c>
      <c r="HW14" s="147">
        <f t="shared" si="95"/>
        <v>0.24678651325515721</v>
      </c>
      <c r="HX14" s="147">
        <f t="shared" si="96"/>
        <v>4.1732501587550068</v>
      </c>
      <c r="HY14" s="147">
        <f t="shared" si="97"/>
        <v>1.0896281820035827</v>
      </c>
      <c r="HZ14" s="147">
        <f t="shared" si="98"/>
        <v>5.5321865716960499</v>
      </c>
      <c r="IB14" s="147">
        <f>IF('River loads'!CI14&gt;0.99,1,0)</f>
        <v>1</v>
      </c>
      <c r="IC14">
        <f t="shared" si="99"/>
        <v>1.0391850855363252</v>
      </c>
      <c r="ID14">
        <f t="shared" si="100"/>
        <v>12.079220396128488</v>
      </c>
      <c r="IE14">
        <f t="shared" si="101"/>
        <v>0</v>
      </c>
      <c r="IF14">
        <f t="shared" si="102"/>
        <v>8.1593287517040309</v>
      </c>
      <c r="IG14">
        <f t="shared" si="103"/>
        <v>1.5913098420783811E-2</v>
      </c>
      <c r="IH14">
        <f t="shared" si="104"/>
        <v>5.2213337511348792</v>
      </c>
      <c r="II14">
        <f t="shared" si="105"/>
        <v>104.15946051378678</v>
      </c>
      <c r="IJ14">
        <f t="shared" si="106"/>
        <v>0.35418160104821667</v>
      </c>
      <c r="IK14">
        <f t="shared" si="132"/>
        <v>0.64523864853616764</v>
      </c>
      <c r="IL14">
        <f t="shared" si="133"/>
        <v>0.33452998720898852</v>
      </c>
      <c r="IM14">
        <f t="shared" si="107"/>
        <v>2.268991666666667</v>
      </c>
      <c r="IN14">
        <f t="shared" si="108"/>
        <v>134.27738350017134</v>
      </c>
      <c r="IP14">
        <f t="shared" si="109"/>
        <v>2.268991666666667</v>
      </c>
      <c r="IQ14">
        <f t="shared" si="110"/>
        <v>1.3339502367933727</v>
      </c>
      <c r="IR14">
        <f t="shared" si="111"/>
        <v>7.154367400698538</v>
      </c>
      <c r="IS14">
        <f t="shared" si="112"/>
        <v>11.90141312599286</v>
      </c>
      <c r="IT14">
        <f t="shared" si="113"/>
        <v>5.2213337511348792</v>
      </c>
      <c r="IU14">
        <f t="shared" si="114"/>
        <v>74.789791307258781</v>
      </c>
      <c r="IV14">
        <f t="shared" si="115"/>
        <v>3.8935608015375776</v>
      </c>
      <c r="IW14">
        <f t="shared" si="116"/>
        <v>6.4873408608088052</v>
      </c>
      <c r="IX14">
        <f t="shared" si="117"/>
        <v>21.226634349279863</v>
      </c>
    </row>
    <row r="15" spans="1:258">
      <c r="A15" s="39" t="str">
        <f>Basicinfo!A15</f>
        <v>Pram</v>
      </c>
      <c r="B15" s="63">
        <f>Basicinfo!B15</f>
        <v>700</v>
      </c>
      <c r="C15" s="63">
        <f>Basicinfo!C15</f>
        <v>710</v>
      </c>
      <c r="D15" s="130">
        <f>Basicinfo!G15</f>
        <v>222.10570206</v>
      </c>
      <c r="E15" s="87">
        <f t="shared" si="118"/>
        <v>2.9584715982725394</v>
      </c>
      <c r="F15" s="19">
        <f>Intermediate!AR15</f>
        <v>1.0836994851422666E-2</v>
      </c>
      <c r="G15" s="19">
        <f>Intermediate!AU15</f>
        <v>0.53379332575635929</v>
      </c>
      <c r="H15" s="19">
        <f>Intermediate!AW15</f>
        <v>0</v>
      </c>
      <c r="I15" s="19">
        <f>Intermediate!AZ15</f>
        <v>0.10174134396904784</v>
      </c>
      <c r="J15" s="19">
        <f>Intermediate!BA15</f>
        <v>2.2409456976138591</v>
      </c>
      <c r="K15" s="19">
        <f>Intermediate!AC15</f>
        <v>8.9839238687310259E-3</v>
      </c>
      <c r="L15" s="19">
        <f>Intermediate!AO15</f>
        <v>5.9137891441923031E-3</v>
      </c>
      <c r="M15" s="19">
        <f>Intermediate!AP15</f>
        <v>1.8088052802141961E-2</v>
      </c>
      <c r="N15" s="19">
        <f t="shared" si="119"/>
        <v>2.9203031280057541</v>
      </c>
      <c r="O15" s="19">
        <f>Basicinfo!CB15+Basicinfo!CG15</f>
        <v>3.8168470266785048E-2</v>
      </c>
      <c r="P15" s="56">
        <f>Intermediate!BK15-Intermediate!BI15</f>
        <v>6029.0005882974992</v>
      </c>
      <c r="Q15" s="43">
        <f>Intermediate!BI15</f>
        <v>2249.5380651950791</v>
      </c>
      <c r="R15" s="88">
        <f t="shared" si="3"/>
        <v>8278.5386534925783</v>
      </c>
      <c r="S15" s="61">
        <f>Intermediate!F15*Intermediate!BO15/1000</f>
        <v>2.233153314180679</v>
      </c>
      <c r="T15" s="19">
        <f>Intermediate!BU15*Intermediate!AU15*86.4*0.365</f>
        <v>31.544055537237586</v>
      </c>
      <c r="U15" s="19">
        <f>Intermediate!AW15*Intermediate!BS15*0.365*86.4</f>
        <v>0</v>
      </c>
      <c r="V15" s="19">
        <f>(Basicinfo!BL15/1000000)*(Intermediate!BK15-Intermediate!BF15-Intermediate!BG15-Intermediate!BH15)*Intermediate!CV15</f>
        <v>22.952606555579301</v>
      </c>
      <c r="W15" s="19">
        <f>Intermediate!BI15*Parameters!$C$51/1000000</f>
        <v>5.6238451629876972E-2</v>
      </c>
      <c r="X15" s="19">
        <f>Intermediate!AZ15*Intermediate!CG15*86.4*0.365</f>
        <v>38.240508357673455</v>
      </c>
      <c r="Y15" s="19">
        <f>Intermediate!CM15*Intermediate!BA15*86.4*0.365+Parameters!$C$126*Intermediate!BB15*Basicinfo!P15/1000+Parameters!$C$127*Intermediate!BB15*Basicinfo!S15/1000</f>
        <v>224.67992205075348</v>
      </c>
      <c r="Z15" s="19">
        <f>Intermediate!DG15</f>
        <v>0.82836424255936703</v>
      </c>
      <c r="AA15" s="19">
        <f>Intermediate!DI15</f>
        <v>1.5403964600574807</v>
      </c>
      <c r="AB15" s="19">
        <f>Intermediate!DK15</f>
        <v>1.696271732208364</v>
      </c>
      <c r="AC15" s="19">
        <f t="shared" si="120"/>
        <v>323.77151670187959</v>
      </c>
      <c r="AD15" s="19">
        <f>Basicinfo!CC15+Basicinfo!CE15+Basicinfo!CH15+Basicinfo!CJ15</f>
        <v>2.6384472666666663</v>
      </c>
      <c r="AE15" s="87">
        <f t="shared" si="121"/>
        <v>326.40996396854626</v>
      </c>
      <c r="AF15" s="56">
        <f>Intermediate!F15*Basicinfo!BD15/1000</f>
        <v>4.5689629301874812E-2</v>
      </c>
      <c r="AG15" s="43">
        <f>Intermediate!CA15*Intermediate!AU15*86.4*0.365</f>
        <v>0.57525081963353508</v>
      </c>
      <c r="AH15" s="43">
        <f>Intermediate!AW15*Intermediate!BZ15*0.365*86.4</f>
        <v>0</v>
      </c>
      <c r="AI15" s="43">
        <f>(Intermediate!CU15/1000000)*(Intermediate!BK15-Intermediate!BF15-Intermediate!BG15-Intermediate!BH15)*Intermediate!CW15</f>
        <v>12.232888763163144</v>
      </c>
      <c r="AJ15" s="43">
        <f>Intermediate!BF15*Parameters!$C$52/1000000+(Intermediate!BG15+Intermediate!BH15)*Intermediate!CX15/1000000</f>
        <v>1.0122921293377856</v>
      </c>
      <c r="AK15" s="43">
        <f>Intermediate!AZ15*Intermediate!CH15*86.4*0.365</f>
        <v>0.33252465601315179</v>
      </c>
      <c r="AL15" s="58">
        <f>Intermediate!CR15*Intermediate!BA15*86.4*0.365</f>
        <v>3.6373839961417844</v>
      </c>
      <c r="AM15" s="43">
        <f>Intermediate!DH15</f>
        <v>0.20927533601741036</v>
      </c>
      <c r="AN15" s="42">
        <f>Intermediate!DJ15</f>
        <v>0.29670401733238227</v>
      </c>
      <c r="AO15" s="42">
        <f>Intermediate!DL15</f>
        <v>0.26290620452181973</v>
      </c>
      <c r="AP15" s="42">
        <f t="shared" si="122"/>
        <v>18.604915551462888</v>
      </c>
      <c r="AQ15" s="43">
        <f>Basicinfo!CD15+Basicinfo!CF15+Basicinfo!CI15+Basicinfo!CK15</f>
        <v>1.0852463333333333</v>
      </c>
      <c r="AR15" s="83">
        <f t="shared" si="4"/>
        <v>19.690161884796222</v>
      </c>
      <c r="AS15" s="19">
        <f>F15*86400*365/(Basicinfo!G15*1000000)*1000</f>
        <v>1.5387064198025082</v>
      </c>
      <c r="AT15" s="19">
        <f>G15*86400*365/(Basicinfo!G15*1000000)*1000</f>
        <v>75.791418972688334</v>
      </c>
      <c r="AU15" s="19">
        <f>H15*86400*365/(Basicinfo!G15*1000000)*1000</f>
        <v>0</v>
      </c>
      <c r="AV15" s="19">
        <f>I15*86400*365/(Basicinfo!G15*1000000)*1000</f>
        <v>14.445892174984049</v>
      </c>
      <c r="AW15" s="19">
        <f>J15*86400*365/(Basicinfo!G15*1000000)*1000</f>
        <v>318.18392263004409</v>
      </c>
      <c r="AX15" s="53">
        <f>K15*86400*365/(Basicinfo!G15*1000000)*1000</f>
        <v>1.2755954507091669</v>
      </c>
      <c r="AY15" s="53">
        <f>L15*86400*365/(Basicinfo!G15*1000000)*1000</f>
        <v>0.83967792236539618</v>
      </c>
      <c r="AZ15" s="53">
        <f>M15*86400*365/(Basicinfo!G15*1000000)*1000</f>
        <v>2.5682583917375221</v>
      </c>
      <c r="BA15" s="19">
        <f t="shared" si="123"/>
        <v>414.64347196233109</v>
      </c>
      <c r="BB15" s="19">
        <f>O15*86400*365/(Basicinfo!G15*1000000)*1000</f>
        <v>5.4194055675714656</v>
      </c>
      <c r="BC15" s="53">
        <f t="shared" si="124"/>
        <v>420.06287752990255</v>
      </c>
      <c r="BD15" s="56">
        <f>P15/(Basicinfo!G15*100)*1000</f>
        <v>271.44735737891205</v>
      </c>
      <c r="BE15" s="43">
        <f>Q15/(Basicinfo!G15*100)*1000</f>
        <v>101.28231937905787</v>
      </c>
      <c r="BF15" s="58">
        <f t="shared" si="5"/>
        <v>372.72967675796991</v>
      </c>
      <c r="BG15" s="61">
        <f>S15/(Basicinfo!G15*100)*1000000</f>
        <v>100.54461877693763</v>
      </c>
      <c r="BH15" s="19">
        <f>T15/(Basicinfo!G15*100)*1000000</f>
        <v>1420.2271821331369</v>
      </c>
      <c r="BI15" s="19">
        <f>U15/(Basicinfo!G15*100)*1000000</f>
        <v>0</v>
      </c>
      <c r="BJ15" s="19">
        <f>V15/(Basicinfo!G15*100)*1000000</f>
        <v>1033.4091535110092</v>
      </c>
      <c r="BK15" s="19">
        <f>W15/(Basicinfo!G15*100)*1000000</f>
        <v>2.5320579844764461</v>
      </c>
      <c r="BL15" s="19">
        <f>X15/(Basicinfo!G15*100)*1000000</f>
        <v>1721.7256469779015</v>
      </c>
      <c r="BM15" s="19">
        <f>Y15/(Basicinfo!G15*100)*1000000</f>
        <v>10115.90067102636</v>
      </c>
      <c r="BN15" s="53">
        <f>Z15/(Basicinfo!G15*100)*1000000</f>
        <v>37.295946699089754</v>
      </c>
      <c r="BO15" s="53">
        <f>AA15/(Basicinfo!G15*100)*1000000</f>
        <v>69.354205937556486</v>
      </c>
      <c r="BP15" s="53">
        <f>AB15/(Basicinfo!G15*100)*1000000</f>
        <v>76.37227304277539</v>
      </c>
      <c r="BQ15" s="19">
        <f t="shared" si="125"/>
        <v>14577.361756089243</v>
      </c>
      <c r="BR15" s="19">
        <f>AD15/(Basicinfo!G15*100)*1000000</f>
        <v>118.79241470144299</v>
      </c>
      <c r="BS15" s="53">
        <f t="shared" si="6"/>
        <v>14696.154170790687</v>
      </c>
      <c r="BT15" s="56">
        <f>AF15/(Basicinfo!G15*100)*1000000</f>
        <v>2.0571119461639098</v>
      </c>
      <c r="BU15" s="43">
        <f>AG15/(Basicinfo!G15*100)*1000000</f>
        <v>25.899867238803978</v>
      </c>
      <c r="BV15" s="43">
        <f>AH15/(Basicinfo!G15*100)*1000000</f>
        <v>0</v>
      </c>
      <c r="BW15" s="43">
        <f>AI15/(Basicinfo!G15*100)*1000000</f>
        <v>550.76878484905046</v>
      </c>
      <c r="BX15" s="43">
        <f>AJ15/(Basicinfo!G15*100)*1000000</f>
        <v>45.577043720576036</v>
      </c>
      <c r="BY15" s="58">
        <f>AK15/(Basicinfo!G15*100)*1000000</f>
        <v>14.971459666682625</v>
      </c>
      <c r="BZ15" s="58">
        <f>AL15/(Basicinfo!G15*100)*1000000</f>
        <v>163.76815013777428</v>
      </c>
      <c r="CA15" s="58">
        <f>AM15/(Basicinfo!G15*100)*1000000</f>
        <v>9.4223306325056164</v>
      </c>
      <c r="CB15" s="58">
        <f>AN15/(Basicinfo!G15*100)*1000000</f>
        <v>13.3586852827502</v>
      </c>
      <c r="CC15" s="58">
        <f>AO15/(Basicinfo!G15*100)*1000000</f>
        <v>11.836985817266314</v>
      </c>
      <c r="CD15" s="58">
        <f t="shared" si="126"/>
        <v>837.66041929157336</v>
      </c>
      <c r="CE15" s="58">
        <f>AQ15/(Basicinfo!G15*100)*1000000</f>
        <v>48.861705182164265</v>
      </c>
      <c r="CF15" s="43">
        <f t="shared" si="7"/>
        <v>886.52212447373768</v>
      </c>
      <c r="CG15" s="84"/>
      <c r="CH15" s="84">
        <f t="shared" si="8"/>
        <v>2.6384472666666663</v>
      </c>
      <c r="CI15" s="146">
        <f t="shared" si="9"/>
        <v>4.0650324348252118</v>
      </c>
      <c r="CJ15" s="200">
        <f>Intermediate!EW15+Intermediate!EY15+Intermediate!FD15</f>
        <v>21.456946818044365</v>
      </c>
      <c r="CK15" s="180">
        <f>Intermediate!FA15+Intermediate!FF15</f>
        <v>30.06173785755886</v>
      </c>
      <c r="CL15" s="180">
        <f t="shared" si="10"/>
        <v>38.240508357673455</v>
      </c>
      <c r="CM15" s="180">
        <f t="shared" si="11"/>
        <v>160.43283154455099</v>
      </c>
      <c r="CN15" s="202">
        <f>Intermediate!EX15+Intermediate!EZ15+Intermediate!FE15</f>
        <v>10.730660179960314</v>
      </c>
      <c r="CO15" s="180">
        <f>Intermediate!FB15+Intermediate!FG15</f>
        <v>14.923630699895709</v>
      </c>
      <c r="CP15" s="213">
        <f>Intermediate!EP15+Intermediate!EQ15+Intermediate!ER15+Intermediate!ES15+Intermediate!ET15+Intermediate!EU15+Intermediate!EV15+W15</f>
        <v>43.860168809370705</v>
      </c>
      <c r="CQ15" s="212">
        <f t="shared" si="12"/>
        <v>25.654290879856021</v>
      </c>
      <c r="CR15" s="212">
        <f t="shared" si="13"/>
        <v>250.19202457782768</v>
      </c>
      <c r="CS15" s="211">
        <f t="shared" si="14"/>
        <v>3.4668115092260332</v>
      </c>
      <c r="CT15" s="212">
        <f t="shared" si="15"/>
        <v>323.17329577628044</v>
      </c>
      <c r="CU15" s="84"/>
      <c r="CV15" s="31">
        <f t="shared" si="16"/>
        <v>326.40996396854626</v>
      </c>
      <c r="CW15" s="31">
        <f>CH15/Basicinfo!$G15*1000/100</f>
        <v>0.11879241470144301</v>
      </c>
      <c r="CX15" s="31">
        <f>CI15/Basicinfo!$G15*1000/100</f>
        <v>0.18302242567942165</v>
      </c>
      <c r="CY15" s="31">
        <f>CS15/Basicinfo!$G15*1000/100</f>
        <v>0.15608836140053275</v>
      </c>
      <c r="CZ15" s="31">
        <f>CN15/Basicinfo!$G15*1000/100</f>
        <v>0.48313303442617228</v>
      </c>
      <c r="DA15" s="31">
        <f>CO15/Basicinfo!$G15*1000/100</f>
        <v>0.67191569426093423</v>
      </c>
      <c r="DB15" s="31">
        <f>CQ15/Basicinfo!$G15*1000/100</f>
        <v>1.1550487286871063</v>
      </c>
      <c r="DC15" s="31">
        <f>CJ15/Basicinfo!$G15*1000/100</f>
        <v>0.96606915621859857</v>
      </c>
      <c r="DD15" s="31">
        <f>CK15/Basicinfo!$G15*1000/100</f>
        <v>1.3534878924197062</v>
      </c>
      <c r="DE15" s="31">
        <f>CM15/Basicinfo!$G15*1000/100</f>
        <v>7.2232648714804908</v>
      </c>
      <c r="DF15" s="31">
        <f>CR15/Basicinfo!$G15*1000/100</f>
        <v>11.264547567096697</v>
      </c>
      <c r="DG15" s="31">
        <f>CP15/Basicinfo!$G15*1000/100</f>
        <v>1.97474303462602</v>
      </c>
      <c r="DH15" s="31">
        <f>CT15/Basicinfo!$G15*1000/100</f>
        <v>14.550427691810357</v>
      </c>
      <c r="DI15" s="31">
        <f>CV15/Basicinfo!$G15*1000/100</f>
        <v>14.696154170790686</v>
      </c>
      <c r="DJ15" s="31"/>
      <c r="DK15" s="188">
        <f t="shared" si="17"/>
        <v>0.81641871440180958</v>
      </c>
      <c r="DL15" s="188">
        <f t="shared" si="18"/>
        <v>1.2578491131393685</v>
      </c>
      <c r="DM15" s="188">
        <f t="shared" si="19"/>
        <v>1.0727407104904991</v>
      </c>
      <c r="DN15" s="188">
        <f t="shared" si="20"/>
        <v>3.3204043527744656</v>
      </c>
      <c r="DO15" s="188">
        <f t="shared" si="21"/>
        <v>4.6178415404182171</v>
      </c>
      <c r="DP15" s="188">
        <f t="shared" si="22"/>
        <v>7.9382458931926818</v>
      </c>
      <c r="DQ15" s="188">
        <f t="shared" si="23"/>
        <v>6.6394553938943419</v>
      </c>
      <c r="DR15" s="188">
        <f t="shared" si="24"/>
        <v>9.3020488544230968</v>
      </c>
      <c r="DS15" s="188">
        <f t="shared" si="25"/>
        <v>49.642972869767071</v>
      </c>
      <c r="DT15" s="188">
        <f t="shared" si="26"/>
        <v>77.417295255430176</v>
      </c>
      <c r="DU15" s="188">
        <f t="shared" si="27"/>
        <v>13.571718140886645</v>
      </c>
      <c r="DV15" s="188">
        <f t="shared" si="28"/>
        <v>100</v>
      </c>
      <c r="DW15" s="188">
        <f t="shared" si="29"/>
        <v>101.00152711705068</v>
      </c>
      <c r="DY15" s="181">
        <f t="shared" si="30"/>
        <v>1.0852463333333333</v>
      </c>
      <c r="DZ15" s="181">
        <f t="shared" si="127"/>
        <v>0.76888555787161228</v>
      </c>
      <c r="EA15" s="185">
        <f t="shared" si="31"/>
        <v>0.33252465601315179</v>
      </c>
      <c r="EB15" s="185">
        <f>AG15+AH15+AL15-Intermediate!FJ15-Intermediate!FM15</f>
        <v>3.6395289748227042</v>
      </c>
      <c r="EC15" s="185">
        <f>AI15+AJ15-Intermediate!FK15</f>
        <v>11.931514554865613</v>
      </c>
      <c r="ED15" s="240">
        <f t="shared" si="32"/>
        <v>4.5689629301874812E-2</v>
      </c>
      <c r="EE15" s="240">
        <f>Intermediate!FJ15+Intermediate!FK15+Intermediate!FM15</f>
        <v>1.8867721785879314</v>
      </c>
      <c r="EF15" s="240">
        <f t="shared" si="33"/>
        <v>15.903568185701472</v>
      </c>
      <c r="EG15" s="240">
        <f t="shared" si="34"/>
        <v>1.8541318912049456</v>
      </c>
      <c r="EH15" s="240">
        <f t="shared" si="35"/>
        <v>19.690161884796225</v>
      </c>
      <c r="EI15" s="181">
        <f t="shared" si="36"/>
        <v>19.690161884796222</v>
      </c>
      <c r="EK15" s="31">
        <f>DY15/Basicinfo!$G15*1000/100</f>
        <v>4.8861705182164261E-2</v>
      </c>
      <c r="EL15" s="31">
        <f>DZ15/Basicinfo!$G15*1000/100</f>
        <v>3.4618001732522129E-2</v>
      </c>
      <c r="EM15" s="220">
        <f>EG15/Basicinfo!$G15*1000/100</f>
        <v>8.3479706914686383E-2</v>
      </c>
      <c r="EN15" s="220">
        <f>ED15/Basicinfo!$G15*1000/100</f>
        <v>2.0571119461639097E-3</v>
      </c>
      <c r="EO15" s="220">
        <f>EF15/Basicinfo!$G15*1000/100</f>
        <v>0.71603601520348437</v>
      </c>
      <c r="EP15" s="220">
        <f>EE15/Basicinfo!$G15*1000/100</f>
        <v>8.4949290409403175E-2</v>
      </c>
      <c r="EQ15" s="220">
        <f>EH15/Basicinfo!$G15*1000/100</f>
        <v>0.88652212447373779</v>
      </c>
      <c r="ER15" s="31">
        <f>EI15/Basicinfo!$G15*1000/100</f>
        <v>0.88652212447373768</v>
      </c>
      <c r="ET15" s="188">
        <f t="shared" si="37"/>
        <v>5.5116171196708512</v>
      </c>
      <c r="EU15" s="188">
        <f t="shared" si="38"/>
        <v>3.9049224804256593</v>
      </c>
      <c r="EV15" s="223">
        <f t="shared" si="39"/>
        <v>9.4165396000965096</v>
      </c>
      <c r="EW15" s="223">
        <f t="shared" si="40"/>
        <v>0.23204293377168272</v>
      </c>
      <c r="EX15" s="223">
        <f t="shared" si="41"/>
        <v>80.76910834329621</v>
      </c>
      <c r="EY15" s="223">
        <f t="shared" si="42"/>
        <v>9.5823091228356265</v>
      </c>
      <c r="EZ15" s="223">
        <f t="shared" si="43"/>
        <v>100.00000000000003</v>
      </c>
      <c r="FA15" s="188">
        <f t="shared" si="44"/>
        <v>100</v>
      </c>
      <c r="FC15" s="236">
        <f>Basicinfo!CT15</f>
        <v>3.9158064516129039</v>
      </c>
      <c r="FD15" s="181">
        <f>IF((Intermediate!CL15+Intermediate!CM15*3)/4&gt;11,(Intermediate!CL15+Intermediate!CM15*9)/10,(Intermediate!CL15+Intermediate!CM15*3)/4)</f>
        <v>4.103258151486922</v>
      </c>
      <c r="FF15" s="31">
        <f t="shared" si="45"/>
        <v>4.5689629301874812E-2</v>
      </c>
      <c r="FG15" s="31">
        <f t="shared" si="46"/>
        <v>0.57525081963353508</v>
      </c>
      <c r="FH15" s="31">
        <f t="shared" si="47"/>
        <v>0</v>
      </c>
      <c r="FI15" s="31">
        <f>(AI15-(P15*450/1000000))*Parameters!$C$153</f>
        <v>7.6158707987434155</v>
      </c>
      <c r="FJ15" s="31"/>
      <c r="FK15" s="31">
        <f t="shared" si="48"/>
        <v>0.33252465601315179</v>
      </c>
      <c r="FL15" s="31">
        <f t="shared" si="49"/>
        <v>3.6373839961417844</v>
      </c>
      <c r="FM15" s="31">
        <f>AM15*Parameters!$C$154</f>
        <v>0.18834780241566931</v>
      </c>
      <c r="FN15" s="31">
        <f>AN15*Parameters!$C$154</f>
        <v>0.26703361559914407</v>
      </c>
      <c r="FO15" s="31">
        <f>AO15*Parameters!$C$154</f>
        <v>0.23661558406963776</v>
      </c>
      <c r="FP15" s="31">
        <f>AQ15*Parameters!$C$155</f>
        <v>1.0852463333333333</v>
      </c>
      <c r="FQ15" s="31">
        <f t="shared" si="50"/>
        <v>13.983963235251549</v>
      </c>
      <c r="FS15" s="147">
        <f>DY15*Parameters!$C$155</f>
        <v>1.0852463333333333</v>
      </c>
      <c r="FT15" s="147">
        <f>DZ15*Parameters!$C$154</f>
        <v>0.69199700208445103</v>
      </c>
      <c r="FU15" s="181">
        <f t="shared" si="51"/>
        <v>0.33252465601315179</v>
      </c>
      <c r="FV15" s="181">
        <f t="shared" si="52"/>
        <v>3.6395289748227042</v>
      </c>
      <c r="FW15" s="31">
        <f t="shared" si="53"/>
        <v>7.6158707987434182</v>
      </c>
      <c r="FX15" s="181">
        <f t="shared" si="54"/>
        <v>4.5689629301874812E-2</v>
      </c>
      <c r="FY15" s="147">
        <f>Intermediate!FJ15+Intermediate!FM15</f>
        <v>0.5731058409526153</v>
      </c>
      <c r="FZ15" s="181">
        <f t="shared" si="55"/>
        <v>11.587924429579274</v>
      </c>
      <c r="GA15" s="147">
        <f t="shared" si="56"/>
        <v>1.7772433354177843</v>
      </c>
      <c r="GB15" s="181">
        <f t="shared" si="57"/>
        <v>13.983963235251549</v>
      </c>
      <c r="GD15" s="147">
        <f>IF('River loads'!CH15&gt;0.99,1,0)</f>
        <v>1</v>
      </c>
      <c r="GE15" s="147">
        <f t="shared" si="58"/>
        <v>4.5689629301874812E-2</v>
      </c>
      <c r="GF15" s="147">
        <f t="shared" si="59"/>
        <v>0.57525081963353508</v>
      </c>
      <c r="GG15" s="147">
        <f t="shared" si="60"/>
        <v>0</v>
      </c>
      <c r="GH15" s="147">
        <f t="shared" si="61"/>
        <v>12.232888763163144</v>
      </c>
      <c r="GI15" s="147">
        <f t="shared" si="62"/>
        <v>1.0122921293377856</v>
      </c>
      <c r="GJ15" s="147">
        <f t="shared" si="63"/>
        <v>0.33252465601315179</v>
      </c>
      <c r="GK15" s="147">
        <f t="shared" si="64"/>
        <v>3.6373839961417844</v>
      </c>
      <c r="GL15" s="147">
        <f t="shared" si="65"/>
        <v>0.20927533601741036</v>
      </c>
      <c r="GM15" s="270">
        <f t="shared" si="128"/>
        <v>0.29670401733238227</v>
      </c>
      <c r="GN15" s="270">
        <f t="shared" si="129"/>
        <v>0.26290620452181973</v>
      </c>
      <c r="GO15" s="147">
        <f t="shared" si="66"/>
        <v>1.0852463333333333</v>
      </c>
      <c r="GP15" s="147">
        <f t="shared" si="67"/>
        <v>19.690161884796222</v>
      </c>
      <c r="GQ15" s="147"/>
      <c r="GR15" s="147">
        <f t="shared" si="68"/>
        <v>4.5689629301874812E-2</v>
      </c>
      <c r="GS15" s="147">
        <f t="shared" si="69"/>
        <v>0.57525081963353508</v>
      </c>
      <c r="GT15" s="147">
        <f t="shared" si="70"/>
        <v>0</v>
      </c>
      <c r="GU15" s="147">
        <f t="shared" si="71"/>
        <v>7.6158707987434155</v>
      </c>
      <c r="GV15" s="147">
        <f t="shared" si="72"/>
        <v>0</v>
      </c>
      <c r="GW15" s="147">
        <f t="shared" si="73"/>
        <v>0.33252465601315179</v>
      </c>
      <c r="GX15" s="147">
        <f t="shared" si="74"/>
        <v>3.6373839961417844</v>
      </c>
      <c r="GY15" s="147">
        <f t="shared" si="75"/>
        <v>0.18834780241566931</v>
      </c>
      <c r="GZ15" s="147">
        <f t="shared" si="130"/>
        <v>0.26703361559914407</v>
      </c>
      <c r="HA15" s="147">
        <f t="shared" si="131"/>
        <v>0.23661558406963776</v>
      </c>
      <c r="HB15" s="147">
        <f t="shared" si="76"/>
        <v>1.0852463333333333</v>
      </c>
      <c r="HC15" s="147">
        <f t="shared" si="77"/>
        <v>13.983963235251549</v>
      </c>
      <c r="HD15" s="147"/>
      <c r="HE15" s="147">
        <f t="shared" si="78"/>
        <v>1.0852463333333333</v>
      </c>
      <c r="HF15" s="147">
        <f t="shared" si="79"/>
        <v>0.76888555787161228</v>
      </c>
      <c r="HG15" s="147">
        <f t="shared" si="80"/>
        <v>0.33252465601315179</v>
      </c>
      <c r="HH15" s="147">
        <f t="shared" si="81"/>
        <v>3.6395289748227042</v>
      </c>
      <c r="HI15" s="147">
        <f t="shared" si="82"/>
        <v>11.931514554865613</v>
      </c>
      <c r="HJ15" s="147">
        <f t="shared" si="83"/>
        <v>4.5689629301874812E-2</v>
      </c>
      <c r="HK15" s="147">
        <f t="shared" si="84"/>
        <v>1.8867721785879314</v>
      </c>
      <c r="HL15" s="147">
        <f t="shared" si="85"/>
        <v>15.903568185701472</v>
      </c>
      <c r="HM15" s="147">
        <f t="shared" si="86"/>
        <v>1.8541318912049456</v>
      </c>
      <c r="HN15" s="147">
        <f t="shared" si="87"/>
        <v>19.690161884796225</v>
      </c>
      <c r="HO15" s="147">
        <f t="shared" si="88"/>
        <v>19.690161884796222</v>
      </c>
      <c r="HQ15" s="147">
        <f t="shared" si="89"/>
        <v>1.0852463333333333</v>
      </c>
      <c r="HR15" s="147">
        <f t="shared" si="90"/>
        <v>0.69199700208445103</v>
      </c>
      <c r="HS15" s="147">
        <f t="shared" si="91"/>
        <v>0.33252465601315179</v>
      </c>
      <c r="HT15" s="147">
        <f t="shared" si="92"/>
        <v>3.6395289748227042</v>
      </c>
      <c r="HU15" s="147">
        <f t="shared" si="93"/>
        <v>7.6158707987434182</v>
      </c>
      <c r="HV15" s="147">
        <f t="shared" si="94"/>
        <v>4.5689629301874812E-2</v>
      </c>
      <c r="HW15" s="147">
        <f t="shared" si="95"/>
        <v>0.5731058409526153</v>
      </c>
      <c r="HX15" s="147">
        <f t="shared" si="96"/>
        <v>11.587924429579274</v>
      </c>
      <c r="HY15" s="147">
        <f t="shared" si="97"/>
        <v>1.7772433354177843</v>
      </c>
      <c r="HZ15" s="147">
        <f t="shared" si="98"/>
        <v>13.983963235251549</v>
      </c>
      <c r="IB15" s="147">
        <f>IF('River loads'!CI15&gt;0.99,1,0)</f>
        <v>1</v>
      </c>
      <c r="IC15">
        <f t="shared" si="99"/>
        <v>2.233153314180679</v>
      </c>
      <c r="ID15">
        <f t="shared" si="100"/>
        <v>31.544055537237586</v>
      </c>
      <c r="IE15">
        <f t="shared" si="101"/>
        <v>0</v>
      </c>
      <c r="IF15">
        <f t="shared" si="102"/>
        <v>22.952606555579301</v>
      </c>
      <c r="IG15">
        <f t="shared" si="103"/>
        <v>5.6238451629876972E-2</v>
      </c>
      <c r="IH15">
        <f t="shared" si="104"/>
        <v>38.240508357673455</v>
      </c>
      <c r="II15">
        <f t="shared" si="105"/>
        <v>224.67992205075348</v>
      </c>
      <c r="IJ15">
        <f t="shared" si="106"/>
        <v>0.82836424255936703</v>
      </c>
      <c r="IK15">
        <f t="shared" si="132"/>
        <v>1.5403964600574807</v>
      </c>
      <c r="IL15">
        <f t="shared" si="133"/>
        <v>1.696271732208364</v>
      </c>
      <c r="IM15">
        <f t="shared" si="107"/>
        <v>2.6384472666666663</v>
      </c>
      <c r="IN15">
        <f t="shared" si="108"/>
        <v>326.40996396854626</v>
      </c>
      <c r="IP15">
        <f t="shared" si="109"/>
        <v>2.6384472666666663</v>
      </c>
      <c r="IQ15">
        <f t="shared" si="110"/>
        <v>4.0650324348252118</v>
      </c>
      <c r="IR15">
        <f t="shared" si="111"/>
        <v>21.456946818044365</v>
      </c>
      <c r="IS15">
        <f t="shared" si="112"/>
        <v>30.06173785755886</v>
      </c>
      <c r="IT15">
        <f t="shared" si="113"/>
        <v>38.240508357673455</v>
      </c>
      <c r="IU15">
        <f t="shared" si="114"/>
        <v>160.43283154455099</v>
      </c>
      <c r="IV15">
        <f t="shared" si="115"/>
        <v>10.730660179960314</v>
      </c>
      <c r="IW15">
        <f t="shared" si="116"/>
        <v>14.923630699895709</v>
      </c>
      <c r="IX15">
        <f t="shared" si="117"/>
        <v>43.860168809370705</v>
      </c>
    </row>
    <row r="16" spans="1:258">
      <c r="A16" s="39" t="str">
        <f>Basicinfo!A16</f>
        <v>Pram</v>
      </c>
      <c r="B16" s="63">
        <f>Basicinfo!B16</f>
        <v>710</v>
      </c>
      <c r="C16" s="63">
        <f>Basicinfo!C16</f>
        <v>1050</v>
      </c>
      <c r="D16" s="130">
        <f>Basicinfo!G16</f>
        <v>77.568499489900006</v>
      </c>
      <c r="E16" s="87">
        <f t="shared" si="118"/>
        <v>1.1057400723510198</v>
      </c>
      <c r="F16" s="19">
        <f>Intermediate!AR16</f>
        <v>5.2374290228645818E-3</v>
      </c>
      <c r="G16" s="19">
        <f>Intermediate!AU16</f>
        <v>0.19929346834845862</v>
      </c>
      <c r="H16" s="19">
        <f>Intermediate!AW16</f>
        <v>0</v>
      </c>
      <c r="I16" s="19">
        <f>Intermediate!AZ16</f>
        <v>3.769816245420194E-2</v>
      </c>
      <c r="J16" s="19">
        <f>Intermediate!BA16</f>
        <v>0.82662269343402772</v>
      </c>
      <c r="K16" s="19">
        <f>Intermediate!AC16</f>
        <v>4.9873728695626653E-3</v>
      </c>
      <c r="L16" s="19">
        <f>Intermediate!AO16</f>
        <v>3.0497892715995439E-3</v>
      </c>
      <c r="M16" s="19">
        <f>Intermediate!AP16</f>
        <v>9.3444505935486016E-3</v>
      </c>
      <c r="N16" s="19">
        <f t="shared" si="119"/>
        <v>1.0862333659942636</v>
      </c>
      <c r="O16" s="19">
        <f>Basicinfo!CB16+Basicinfo!CG16</f>
        <v>1.95067063567563E-2</v>
      </c>
      <c r="P16" s="56">
        <f>Intermediate!BK16-Intermediate!BI16</f>
        <v>2558.2524557885772</v>
      </c>
      <c r="Q16" s="43">
        <f>Intermediate!BI16</f>
        <v>1098.3433548255368</v>
      </c>
      <c r="R16" s="88">
        <f t="shared" si="3"/>
        <v>3656.5958106141143</v>
      </c>
      <c r="S16" s="61">
        <f>Intermediate!F16*Intermediate!BO16/1000</f>
        <v>1.3854588495952342</v>
      </c>
      <c r="T16" s="19">
        <f>Intermediate!BU16*Intermediate!AU16*86.4*0.365</f>
        <v>13.457370618832675</v>
      </c>
      <c r="U16" s="19">
        <f>Intermediate!AW16*Intermediate!BS16*0.365*86.4</f>
        <v>0</v>
      </c>
      <c r="V16" s="19">
        <f>(Basicinfo!BL16/1000000)*(Intermediate!BK16-Intermediate!BF16-Intermediate!BG16-Intermediate!BH16)*Intermediate!CV16</f>
        <v>9.269418205185465</v>
      </c>
      <c r="W16" s="19">
        <f>Intermediate!BI16*Parameters!$C$51/1000000</f>
        <v>2.7458583870638421E-2</v>
      </c>
      <c r="X16" s="19">
        <f>Intermediate!AZ16*Intermediate!CG16*86.4*0.365</f>
        <v>14.559698002224744</v>
      </c>
      <c r="Y16" s="19">
        <f>Intermediate!CM16*Intermediate!BA16*86.4*0.365+Parameters!$C$126*Intermediate!BB16*Basicinfo!P16/1000+Parameters!$C$127*Intermediate!BB16*Basicinfo!S16/1000</f>
        <v>77.725784179682861</v>
      </c>
      <c r="Z16" s="19">
        <f>Intermediate!DG16</f>
        <v>0.48994043839398632</v>
      </c>
      <c r="AA16" s="19">
        <f>Intermediate!DI16</f>
        <v>0.81509341148134584</v>
      </c>
      <c r="AB16" s="19">
        <f>Intermediate!DK16</f>
        <v>0.97155697211972547</v>
      </c>
      <c r="AC16" s="19">
        <f t="shared" si="120"/>
        <v>118.70177926138668</v>
      </c>
      <c r="AD16" s="19">
        <f>Basicinfo!CC16+Basicinfo!CE16+Basicinfo!CH16+Basicinfo!CJ16</f>
        <v>0.61660000000000004</v>
      </c>
      <c r="AE16" s="87">
        <f t="shared" si="121"/>
        <v>119.31837926138668</v>
      </c>
      <c r="AF16" s="56">
        <f>Intermediate!F16*Basicinfo!BD16/1000</f>
        <v>2.5435901502062607E-2</v>
      </c>
      <c r="AG16" s="43">
        <f>Intermediate!CA16*Intermediate!AU16*86.4*0.365</f>
        <v>0.21479864719856703</v>
      </c>
      <c r="AH16" s="43">
        <f>Intermediate!AW16*Intermediate!BZ16*0.365*86.4</f>
        <v>0</v>
      </c>
      <c r="AI16" s="43">
        <f>(Intermediate!CU16/1000000)*(Intermediate!BK16-Intermediate!BF16-Intermediate!BG16-Intermediate!BH16)*Intermediate!CW16</f>
        <v>4.9791884141949065</v>
      </c>
      <c r="AJ16" s="43">
        <f>Intermediate!BF16*Parameters!$C$52/1000000+(Intermediate!BG16+Intermediate!BH16)*Intermediate!CX16/1000000</f>
        <v>0.49425450967149159</v>
      </c>
      <c r="AK16" s="43">
        <f>Intermediate!AZ16*Intermediate!CH16*86.4*0.365</f>
        <v>9.6183785549181999E-2</v>
      </c>
      <c r="AL16" s="58">
        <f>Intermediate!CR16*Intermediate!BA16*86.4*0.365</f>
        <v>2.4286119740929388</v>
      </c>
      <c r="AM16" s="43">
        <f>Intermediate!DH16</f>
        <v>0.11031145261597408</v>
      </c>
      <c r="AN16" s="42">
        <f>Intermediate!DJ16</f>
        <v>0.15018711971812213</v>
      </c>
      <c r="AO16" s="42">
        <f>Intermediate!DL16</f>
        <v>0.14493470184393553</v>
      </c>
      <c r="AP16" s="42">
        <f t="shared" si="122"/>
        <v>8.6439065063871805</v>
      </c>
      <c r="AQ16" s="43">
        <f>Basicinfo!CD16+Basicinfo!CF16+Basicinfo!CI16+Basicinfo!CK16</f>
        <v>0.39703116666666671</v>
      </c>
      <c r="AR16" s="83">
        <f t="shared" si="4"/>
        <v>9.0409376730538469</v>
      </c>
      <c r="AS16" s="19">
        <f>F16*86400*365/(Basicinfo!G16*1000000)*1000</f>
        <v>2.1293123207386979</v>
      </c>
      <c r="AT16" s="19">
        <f>G16*86400*365/(Basicinfo!G16*1000000)*1000</f>
        <v>81.024112354465942</v>
      </c>
      <c r="AU16" s="19">
        <f>H16*86400*365/(Basicinfo!G16*1000000)*1000</f>
        <v>0</v>
      </c>
      <c r="AV16" s="19">
        <f>I16*86400*365/(Basicinfo!G16*1000000)*1000</f>
        <v>15.326443839622156</v>
      </c>
      <c r="AW16" s="19">
        <f>J16*86400*365/(Basicinfo!G16*1000000)*1000</f>
        <v>336.0690671028101</v>
      </c>
      <c r="AX16" s="53">
        <f>K16*86400*365/(Basicinfo!G16*1000000)*1000</f>
        <v>2.0276502942409951</v>
      </c>
      <c r="AY16" s="53">
        <f>L16*86400*365/(Basicinfo!G16*1000000)*1000</f>
        <v>1.2399125302364051</v>
      </c>
      <c r="AZ16" s="53">
        <f>M16*86400*365/(Basicinfo!G16*1000000)*1000</f>
        <v>3.7990498186253951</v>
      </c>
      <c r="BA16" s="19">
        <f t="shared" si="123"/>
        <v>441.61554826073962</v>
      </c>
      <c r="BB16" s="19">
        <f>O16*86400*365/(Basicinfo!G16*1000000)*1000</f>
        <v>7.9305838802098458</v>
      </c>
      <c r="BC16" s="53">
        <f t="shared" si="124"/>
        <v>449.54613214094945</v>
      </c>
      <c r="BD16" s="56">
        <f>P16/(Basicinfo!G16*100)*1000</f>
        <v>329.80558765632441</v>
      </c>
      <c r="BE16" s="43">
        <f>Q16/(Basicinfo!G16*100)*1000</f>
        <v>141.59657103700314</v>
      </c>
      <c r="BF16" s="58">
        <f t="shared" si="5"/>
        <v>471.40215869332758</v>
      </c>
      <c r="BG16" s="61">
        <f>S16/(Basicinfo!G16*100)*1000000</f>
        <v>178.61101590287063</v>
      </c>
      <c r="BH16" s="19">
        <f>T16/(Basicinfo!G16*100)*1000000</f>
        <v>1734.9015009095185</v>
      </c>
      <c r="BI16" s="19">
        <f>U16/(Basicinfo!G16*100)*1000000</f>
        <v>0</v>
      </c>
      <c r="BJ16" s="19">
        <f>V16/(Basicinfo!G16*100)*1000000</f>
        <v>1194.997746010597</v>
      </c>
      <c r="BK16" s="19">
        <f>W16/(Basicinfo!G16*100)*1000000</f>
        <v>3.5399142759250783</v>
      </c>
      <c r="BL16" s="19">
        <f>X16/(Basicinfo!G16*100)*1000000</f>
        <v>1877.011686183323</v>
      </c>
      <c r="BM16" s="19">
        <f>Y16/(Basicinfo!G16*100)*1000000</f>
        <v>10020.276876672513</v>
      </c>
      <c r="BN16" s="53">
        <f>Z16/(Basicinfo!G16*100)*1000000</f>
        <v>63.162294180742812</v>
      </c>
      <c r="BO16" s="53">
        <f>AA16/(Basicinfo!G16*100)*1000000</f>
        <v>105.08046653493369</v>
      </c>
      <c r="BP16" s="53">
        <f>AB16/(Basicinfo!G16*100)*1000000</f>
        <v>125.2514846244034</v>
      </c>
      <c r="BQ16" s="19">
        <f t="shared" si="125"/>
        <v>15302.832985294826</v>
      </c>
      <c r="BR16" s="19">
        <f>AD16/(Basicinfo!G16*100)*1000000</f>
        <v>79.491031031261073</v>
      </c>
      <c r="BS16" s="53">
        <f t="shared" si="6"/>
        <v>15382.324016326087</v>
      </c>
      <c r="BT16" s="56">
        <f>AF16/(Basicinfo!G16*100)*1000000</f>
        <v>3.2791534797414186</v>
      </c>
      <c r="BU16" s="43">
        <f>AG16/(Basicinfo!G16*100)*1000000</f>
        <v>27.691478965186818</v>
      </c>
      <c r="BV16" s="43">
        <f>AH16/(Basicinfo!G16*100)*1000000</f>
        <v>0</v>
      </c>
      <c r="BW16" s="43">
        <f>AI16/(Basicinfo!G16*100)*1000000</f>
        <v>641.90856429332291</v>
      </c>
      <c r="BX16" s="43">
        <f>AJ16/(Basicinfo!G16*100)*1000000</f>
        <v>63.718456966651424</v>
      </c>
      <c r="BY16" s="58">
        <f>AK16/(Basicinfo!G16*100)*1000000</f>
        <v>12.399851251693459</v>
      </c>
      <c r="BZ16" s="58">
        <f>AL16/(Basicinfo!G16*100)*1000000</f>
        <v>313.09255562036003</v>
      </c>
      <c r="CA16" s="58">
        <f>AM16/(Basicinfo!G16*100)*1000000</f>
        <v>14.221166239052678</v>
      </c>
      <c r="CB16" s="58">
        <f>AN16/(Basicinfo!G16*100)*1000000</f>
        <v>19.361869922168289</v>
      </c>
      <c r="CC16" s="58">
        <f>AO16/(Basicinfo!G16*100)*1000000</f>
        <v>18.684737077169721</v>
      </c>
      <c r="CD16" s="58">
        <f t="shared" si="126"/>
        <v>1114.357833815347</v>
      </c>
      <c r="CE16" s="58">
        <f>AQ16/(Basicinfo!G16*100)*1000000</f>
        <v>51.184587722798888</v>
      </c>
      <c r="CF16" s="43">
        <f t="shared" si="7"/>
        <v>1165.5424215381458</v>
      </c>
      <c r="CG16" s="84"/>
      <c r="CH16" s="84">
        <f t="shared" si="8"/>
        <v>0.61660000000000004</v>
      </c>
      <c r="CI16" s="146">
        <f t="shared" si="9"/>
        <v>2.2765908219950575</v>
      </c>
      <c r="CJ16" s="200">
        <f>Intermediate!EW16+Intermediate!EY16+Intermediate!FD16</f>
        <v>10.300869200254297</v>
      </c>
      <c r="CK16" s="180">
        <f>Intermediate!FA16+Intermediate!FF16</f>
        <v>12.615495756256706</v>
      </c>
      <c r="CL16" s="180">
        <f t="shared" si="10"/>
        <v>14.559698002224744</v>
      </c>
      <c r="CM16" s="180">
        <f t="shared" si="11"/>
        <v>53.281088427769291</v>
      </c>
      <c r="CN16" s="202">
        <f>Intermediate!EX16+Intermediate!EZ16+Intermediate!FE16</f>
        <v>4.5851192920527568</v>
      </c>
      <c r="CO16" s="180">
        <f>Intermediate!FB16+Intermediate!FG16</f>
        <v>5.5356724401757607</v>
      </c>
      <c r="CP16" s="213">
        <f>Intermediate!EP16+Intermediate!EQ16+Intermediate!ER16+Intermediate!ES16+Intermediate!ET16+Intermediate!EU16+Intermediate!EV16+W16</f>
        <v>15.547245320658067</v>
      </c>
      <c r="CQ16" s="212">
        <f t="shared" si="12"/>
        <v>10.120791732228518</v>
      </c>
      <c r="CR16" s="212">
        <f t="shared" si="13"/>
        <v>90.757151386505043</v>
      </c>
      <c r="CS16" s="211">
        <f t="shared" si="14"/>
        <v>1.1065404383939863</v>
      </c>
      <c r="CT16" s="212">
        <f t="shared" si="15"/>
        <v>117.53172887778561</v>
      </c>
      <c r="CU16" s="84"/>
      <c r="CV16" s="31">
        <f t="shared" si="16"/>
        <v>119.31837926138668</v>
      </c>
      <c r="CW16" s="31">
        <f>CH16/Basicinfo!$G16*1000/100</f>
        <v>7.9491031031261081E-2</v>
      </c>
      <c r="CX16" s="31">
        <f>CI16/Basicinfo!$G16*1000/100</f>
        <v>0.2934942453400799</v>
      </c>
      <c r="CY16" s="31">
        <f>CS16/Basicinfo!$G16*1000/100</f>
        <v>0.14265332521200388</v>
      </c>
      <c r="CZ16" s="31">
        <f>CN16/Basicinfo!$G16*1000/100</f>
        <v>0.59110583834998298</v>
      </c>
      <c r="DA16" s="31">
        <f>CO16/Basicinfo!$G16*1000/100</f>
        <v>0.71364954544422332</v>
      </c>
      <c r="DB16" s="31">
        <f>CQ16/Basicinfo!$G16*1000/100</f>
        <v>1.3047553837942063</v>
      </c>
      <c r="DC16" s="31">
        <f>CJ16/Basicinfo!$G16*1000/100</f>
        <v>1.3279706669581186</v>
      </c>
      <c r="DD16" s="31">
        <f>CK16/Basicinfo!$G16*1000/100</f>
        <v>1.6263684149129813</v>
      </c>
      <c r="DE16" s="31">
        <f>CM16/Basicinfo!$G16*1000/100</f>
        <v>6.8689079688471839</v>
      </c>
      <c r="DF16" s="31">
        <f>CR16/Basicinfo!$G16*1000/100</f>
        <v>11.700258736901608</v>
      </c>
      <c r="DG16" s="31">
        <f>CP16/Basicinfo!$G16*1000/100</f>
        <v>2.0043246192589343</v>
      </c>
      <c r="DH16" s="31">
        <f>CT16/Basicinfo!$G16*1000/100</f>
        <v>15.15199206516675</v>
      </c>
      <c r="DI16" s="31">
        <f>CV16/Basicinfo!$G16*1000/100</f>
        <v>15.382324016326088</v>
      </c>
      <c r="DJ16" s="31"/>
      <c r="DK16" s="188">
        <f t="shared" si="17"/>
        <v>0.52462429157420665</v>
      </c>
      <c r="DL16" s="188">
        <f t="shared" si="18"/>
        <v>1.9370010496164416</v>
      </c>
      <c r="DM16" s="188">
        <f t="shared" si="19"/>
        <v>0.94148231201858101</v>
      </c>
      <c r="DN16" s="188">
        <f t="shared" si="20"/>
        <v>3.9011757385280657</v>
      </c>
      <c r="DO16" s="188">
        <f t="shared" si="21"/>
        <v>4.7099387484821085</v>
      </c>
      <c r="DP16" s="188">
        <f t="shared" si="22"/>
        <v>8.611114487010175</v>
      </c>
      <c r="DQ16" s="188">
        <f t="shared" si="23"/>
        <v>8.7643305332176045</v>
      </c>
      <c r="DR16" s="188">
        <f t="shared" si="24"/>
        <v>10.733693681452456</v>
      </c>
      <c r="DS16" s="188">
        <f t="shared" si="25"/>
        <v>45.333365667728067</v>
      </c>
      <c r="DT16" s="188">
        <f t="shared" si="26"/>
        <v>77.219277086341606</v>
      </c>
      <c r="DU16" s="188">
        <f t="shared" si="27"/>
        <v>13.228126114629642</v>
      </c>
      <c r="DV16" s="188">
        <f t="shared" si="28"/>
        <v>100</v>
      </c>
      <c r="DW16" s="188">
        <f t="shared" si="29"/>
        <v>101.52014302917208</v>
      </c>
      <c r="DY16" s="181">
        <f t="shared" si="30"/>
        <v>0.39703116666666671</v>
      </c>
      <c r="DZ16" s="181">
        <f t="shared" si="127"/>
        <v>0.40543327417803177</v>
      </c>
      <c r="EA16" s="185">
        <f t="shared" si="31"/>
        <v>9.6183785549181999E-2</v>
      </c>
      <c r="EB16" s="185">
        <f>AG16+AH16+AL16-Intermediate!FJ16-Intermediate!FM16</f>
        <v>2.4299390132264098</v>
      </c>
      <c r="EC16" s="185">
        <f>AI16+AJ16-Intermediate!FK16</f>
        <v>4.8703191338510621</v>
      </c>
      <c r="ED16" s="240">
        <f t="shared" si="32"/>
        <v>2.5435901502062607E-2</v>
      </c>
      <c r="EE16" s="240">
        <f>Intermediate!FJ16+Intermediate!FK16+Intermediate!FM16</f>
        <v>0.81659539808043269</v>
      </c>
      <c r="EF16" s="240">
        <f t="shared" si="33"/>
        <v>7.3964419326266517</v>
      </c>
      <c r="EG16" s="240">
        <f t="shared" si="34"/>
        <v>0.80246444084469848</v>
      </c>
      <c r="EH16" s="240">
        <f t="shared" si="35"/>
        <v>9.0409376730538451</v>
      </c>
      <c r="EI16" s="181">
        <f t="shared" si="36"/>
        <v>9.0409376730538469</v>
      </c>
      <c r="EK16" s="31">
        <f>DY16/Basicinfo!$G16*1000/100</f>
        <v>5.1184587722798873E-2</v>
      </c>
      <c r="EL16" s="31">
        <f>DZ16/Basicinfo!$G16*1000/100</f>
        <v>5.2267773238390693E-2</v>
      </c>
      <c r="EM16" s="220">
        <f>EG16/Basicinfo!$G16*1000/100</f>
        <v>0.10345236096118958</v>
      </c>
      <c r="EN16" s="220">
        <f>ED16/Basicinfo!$G16*1000/100</f>
        <v>3.2791534797414184E-3</v>
      </c>
      <c r="EO16" s="220">
        <f>EF16/Basicinfo!$G16*1000/100</f>
        <v>0.95353680698564025</v>
      </c>
      <c r="EP16" s="220">
        <f>EE16/Basicinfo!$G16*1000/100</f>
        <v>0.10527410011157422</v>
      </c>
      <c r="EQ16" s="220">
        <f>EH16/Basicinfo!$G16*1000/100</f>
        <v>1.1655424215381454</v>
      </c>
      <c r="ER16" s="31">
        <f>EI16/Basicinfo!$G16*1000/100</f>
        <v>1.1655424215381456</v>
      </c>
      <c r="ET16" s="188">
        <f t="shared" si="37"/>
        <v>4.3914821783364593</v>
      </c>
      <c r="EU16" s="188">
        <f t="shared" si="38"/>
        <v>4.4844162059252932</v>
      </c>
      <c r="EV16" s="223">
        <f t="shared" si="39"/>
        <v>8.8758983842617525</v>
      </c>
      <c r="EW16" s="223">
        <f t="shared" si="40"/>
        <v>0.28134140972869764</v>
      </c>
      <c r="EX16" s="223">
        <f t="shared" si="41"/>
        <v>81.810562135291036</v>
      </c>
      <c r="EY16" s="223">
        <f t="shared" si="42"/>
        <v>9.032198070718513</v>
      </c>
      <c r="EZ16" s="223">
        <f t="shared" si="43"/>
        <v>99.999999999999972</v>
      </c>
      <c r="FA16" s="188">
        <f t="shared" si="44"/>
        <v>100</v>
      </c>
      <c r="FC16" s="236">
        <f>Basicinfo!CT16</f>
        <v>6.0854838709677423</v>
      </c>
      <c r="FD16" s="181">
        <f>IF((Intermediate!CL16+Intermediate!CM16*3)/4&gt;11,(Intermediate!CL16+Intermediate!CM16*9)/10,(Intermediate!CL16+Intermediate!CM16*3)/4)</f>
        <v>3.8293669041187424</v>
      </c>
      <c r="FF16" s="31">
        <f t="shared" si="45"/>
        <v>2.5435901502062607E-2</v>
      </c>
      <c r="FG16" s="31">
        <f t="shared" si="46"/>
        <v>0.21479864719856703</v>
      </c>
      <c r="FH16" s="31">
        <f t="shared" si="47"/>
        <v>0</v>
      </c>
      <c r="FI16" s="31">
        <f>(AI16-(P16*450/1000000))*Parameters!$C$153</f>
        <v>3.0623798472720374</v>
      </c>
      <c r="FJ16" s="31"/>
      <c r="FK16" s="31">
        <f t="shared" si="48"/>
        <v>9.6183785549181999E-2</v>
      </c>
      <c r="FL16" s="31">
        <f t="shared" si="49"/>
        <v>2.4286119740929388</v>
      </c>
      <c r="FM16" s="31">
        <f>AM16*Parameters!$C$154</f>
        <v>9.9280307354376679E-2</v>
      </c>
      <c r="FN16" s="31">
        <f>AN16*Parameters!$C$154</f>
        <v>0.13516840774630992</v>
      </c>
      <c r="FO16" s="31">
        <f>AO16*Parameters!$C$154</f>
        <v>0.130441231659542</v>
      </c>
      <c r="FP16" s="31">
        <f>AQ16*Parameters!$C$155</f>
        <v>0.39703116666666671</v>
      </c>
      <c r="FQ16" s="31">
        <f t="shared" si="50"/>
        <v>6.5893312690416819</v>
      </c>
      <c r="FS16" s="147">
        <f>DY16*Parameters!$C$155</f>
        <v>0.39703116666666671</v>
      </c>
      <c r="FT16" s="147">
        <f>DZ16*Parameters!$C$154</f>
        <v>0.36488994676022862</v>
      </c>
      <c r="FU16" s="181">
        <f t="shared" si="51"/>
        <v>9.6183785549181999E-2</v>
      </c>
      <c r="FV16" s="181">
        <f t="shared" si="52"/>
        <v>2.4299390132264098</v>
      </c>
      <c r="FW16" s="31">
        <f t="shared" si="53"/>
        <v>3.0623798472720365</v>
      </c>
      <c r="FX16" s="181">
        <f t="shared" si="54"/>
        <v>2.5435901502062607E-2</v>
      </c>
      <c r="FY16" s="147">
        <f>Intermediate!FJ16+Intermediate!FM16</f>
        <v>0.21347160806509638</v>
      </c>
      <c r="FZ16" s="181">
        <f t="shared" si="55"/>
        <v>5.5885026460476279</v>
      </c>
      <c r="GA16" s="147">
        <f t="shared" si="56"/>
        <v>0.76192111342689528</v>
      </c>
      <c r="GB16" s="181">
        <f t="shared" si="57"/>
        <v>6.5893312690416828</v>
      </c>
      <c r="GD16" s="147">
        <f>IF('River loads'!CH16&gt;0.99,1,0)</f>
        <v>1</v>
      </c>
      <c r="GE16" s="147">
        <f t="shared" si="58"/>
        <v>2.5435901502062607E-2</v>
      </c>
      <c r="GF16" s="147">
        <f t="shared" si="59"/>
        <v>0.21479864719856703</v>
      </c>
      <c r="GG16" s="147">
        <f t="shared" si="60"/>
        <v>0</v>
      </c>
      <c r="GH16" s="147">
        <f t="shared" si="61"/>
        <v>4.9791884141949065</v>
      </c>
      <c r="GI16" s="147">
        <f t="shared" si="62"/>
        <v>0.49425450967149159</v>
      </c>
      <c r="GJ16" s="147">
        <f t="shared" si="63"/>
        <v>9.6183785549181999E-2</v>
      </c>
      <c r="GK16" s="147">
        <f t="shared" si="64"/>
        <v>2.4286119740929388</v>
      </c>
      <c r="GL16" s="147">
        <f t="shared" si="65"/>
        <v>0.11031145261597408</v>
      </c>
      <c r="GM16" s="270">
        <f t="shared" si="128"/>
        <v>0.15018711971812213</v>
      </c>
      <c r="GN16" s="270">
        <f t="shared" si="129"/>
        <v>0.14493470184393553</v>
      </c>
      <c r="GO16" s="147">
        <f t="shared" si="66"/>
        <v>0.39703116666666671</v>
      </c>
      <c r="GP16" s="147">
        <f t="shared" si="67"/>
        <v>9.0409376730538469</v>
      </c>
      <c r="GQ16" s="147"/>
      <c r="GR16" s="147">
        <f t="shared" si="68"/>
        <v>2.5435901502062607E-2</v>
      </c>
      <c r="GS16" s="147">
        <f t="shared" si="69"/>
        <v>0.21479864719856703</v>
      </c>
      <c r="GT16" s="147">
        <f t="shared" si="70"/>
        <v>0</v>
      </c>
      <c r="GU16" s="147">
        <f t="shared" si="71"/>
        <v>3.0623798472720374</v>
      </c>
      <c r="GV16" s="147">
        <f t="shared" si="72"/>
        <v>0</v>
      </c>
      <c r="GW16" s="147">
        <f t="shared" si="73"/>
        <v>9.6183785549181999E-2</v>
      </c>
      <c r="GX16" s="147">
        <f t="shared" si="74"/>
        <v>2.4286119740929388</v>
      </c>
      <c r="GY16" s="147">
        <f t="shared" si="75"/>
        <v>9.9280307354376679E-2</v>
      </c>
      <c r="GZ16" s="147">
        <f t="shared" si="130"/>
        <v>0.13516840774630992</v>
      </c>
      <c r="HA16" s="147">
        <f t="shared" si="131"/>
        <v>0.130441231659542</v>
      </c>
      <c r="HB16" s="147">
        <f t="shared" si="76"/>
        <v>0.39703116666666671</v>
      </c>
      <c r="HC16" s="147">
        <f t="shared" si="77"/>
        <v>6.5893312690416819</v>
      </c>
      <c r="HD16" s="147"/>
      <c r="HE16" s="147">
        <f t="shared" si="78"/>
        <v>0.39703116666666671</v>
      </c>
      <c r="HF16" s="147">
        <f t="shared" si="79"/>
        <v>0.40543327417803177</v>
      </c>
      <c r="HG16" s="147">
        <f t="shared" si="80"/>
        <v>9.6183785549181999E-2</v>
      </c>
      <c r="HH16" s="147">
        <f t="shared" si="81"/>
        <v>2.4299390132264098</v>
      </c>
      <c r="HI16" s="147">
        <f t="shared" si="82"/>
        <v>4.8703191338510621</v>
      </c>
      <c r="HJ16" s="147">
        <f t="shared" si="83"/>
        <v>2.5435901502062607E-2</v>
      </c>
      <c r="HK16" s="147">
        <f t="shared" si="84"/>
        <v>0.81659539808043269</v>
      </c>
      <c r="HL16" s="147">
        <f t="shared" si="85"/>
        <v>7.3964419326266517</v>
      </c>
      <c r="HM16" s="147">
        <f t="shared" si="86"/>
        <v>0.80246444084469848</v>
      </c>
      <c r="HN16" s="147">
        <f t="shared" si="87"/>
        <v>9.0409376730538451</v>
      </c>
      <c r="HO16" s="147">
        <f t="shared" si="88"/>
        <v>9.0409376730538469</v>
      </c>
      <c r="HQ16" s="147">
        <f t="shared" si="89"/>
        <v>0.39703116666666671</v>
      </c>
      <c r="HR16" s="147">
        <f t="shared" si="90"/>
        <v>0.36488994676022862</v>
      </c>
      <c r="HS16" s="147">
        <f t="shared" si="91"/>
        <v>9.6183785549181999E-2</v>
      </c>
      <c r="HT16" s="147">
        <f t="shared" si="92"/>
        <v>2.4299390132264098</v>
      </c>
      <c r="HU16" s="147">
        <f t="shared" si="93"/>
        <v>3.0623798472720365</v>
      </c>
      <c r="HV16" s="147">
        <f t="shared" si="94"/>
        <v>2.5435901502062607E-2</v>
      </c>
      <c r="HW16" s="147">
        <f t="shared" si="95"/>
        <v>0.21347160806509638</v>
      </c>
      <c r="HX16" s="147">
        <f t="shared" si="96"/>
        <v>5.5885026460476279</v>
      </c>
      <c r="HY16" s="147">
        <f t="shared" si="97"/>
        <v>0.76192111342689528</v>
      </c>
      <c r="HZ16" s="147">
        <f t="shared" si="98"/>
        <v>6.5893312690416828</v>
      </c>
      <c r="IB16" s="147">
        <f>IF('River loads'!CI16&gt;0.99,1,0)</f>
        <v>1</v>
      </c>
      <c r="IC16">
        <f t="shared" si="99"/>
        <v>1.3854588495952342</v>
      </c>
      <c r="ID16">
        <f t="shared" si="100"/>
        <v>13.457370618832675</v>
      </c>
      <c r="IE16">
        <f t="shared" si="101"/>
        <v>0</v>
      </c>
      <c r="IF16">
        <f t="shared" si="102"/>
        <v>9.269418205185465</v>
      </c>
      <c r="IG16">
        <f t="shared" si="103"/>
        <v>2.7458583870638421E-2</v>
      </c>
      <c r="IH16">
        <f t="shared" si="104"/>
        <v>14.559698002224744</v>
      </c>
      <c r="II16">
        <f t="shared" si="105"/>
        <v>77.725784179682861</v>
      </c>
      <c r="IJ16">
        <f t="shared" si="106"/>
        <v>0.48994043839398632</v>
      </c>
      <c r="IK16">
        <f t="shared" si="132"/>
        <v>0.81509341148134584</v>
      </c>
      <c r="IL16">
        <f t="shared" si="133"/>
        <v>0.97155697211972547</v>
      </c>
      <c r="IM16">
        <f t="shared" si="107"/>
        <v>0.61660000000000004</v>
      </c>
      <c r="IN16">
        <f t="shared" si="108"/>
        <v>119.31837926138668</v>
      </c>
      <c r="IP16">
        <f t="shared" si="109"/>
        <v>0.61660000000000004</v>
      </c>
      <c r="IQ16">
        <f t="shared" si="110"/>
        <v>2.2765908219950575</v>
      </c>
      <c r="IR16">
        <f t="shared" si="111"/>
        <v>10.300869200254297</v>
      </c>
      <c r="IS16">
        <f t="shared" si="112"/>
        <v>12.615495756256706</v>
      </c>
      <c r="IT16">
        <f t="shared" si="113"/>
        <v>14.559698002224744</v>
      </c>
      <c r="IU16">
        <f t="shared" si="114"/>
        <v>53.281088427769291</v>
      </c>
      <c r="IV16">
        <f t="shared" si="115"/>
        <v>4.5851192920527568</v>
      </c>
      <c r="IW16">
        <f t="shared" si="116"/>
        <v>5.5356724401757607</v>
      </c>
      <c r="IX16">
        <f t="shared" si="117"/>
        <v>15.547245320658067</v>
      </c>
    </row>
    <row r="17" spans="1:258">
      <c r="A17" s="39" t="str">
        <f>Basicinfo!A17</f>
        <v>Inn</v>
      </c>
      <c r="B17" s="63">
        <f>Basicinfo!B17</f>
        <v>1050</v>
      </c>
      <c r="C17" s="63">
        <f>Basicinfo!C17</f>
        <v>4990</v>
      </c>
      <c r="D17" s="130">
        <f>Basicinfo!G17</f>
        <v>304.41058424400001</v>
      </c>
      <c r="E17" s="87">
        <f t="shared" si="118"/>
        <v>4.3010812199999995</v>
      </c>
      <c r="F17" s="19">
        <f>Intermediate!AR17</f>
        <v>9.0885784719814872E-2</v>
      </c>
      <c r="G17" s="19">
        <f>Intermediate!AU17</f>
        <v>0.73661368427924667</v>
      </c>
      <c r="H17" s="19">
        <f>Intermediate!AW17</f>
        <v>0</v>
      </c>
      <c r="I17" s="19">
        <f>Intermediate!AZ17</f>
        <v>7.2838447005772702E-2</v>
      </c>
      <c r="J17" s="19">
        <f>Intermediate!BA17</f>
        <v>3.0963854457706859</v>
      </c>
      <c r="K17" s="19">
        <f>Intermediate!AC17</f>
        <v>1.6908486301255275E-2</v>
      </c>
      <c r="L17" s="19">
        <f>Intermediate!AO17</f>
        <v>7.9643848332937757E-3</v>
      </c>
      <c r="M17" s="19">
        <f>Intermediate!AP17</f>
        <v>2.1393319102023179E-2</v>
      </c>
      <c r="N17" s="19">
        <f t="shared" si="119"/>
        <v>4.0429895520120915</v>
      </c>
      <c r="O17" s="19">
        <f>Basicinfo!CB17+Basicinfo!CG17</f>
        <v>0.258091667987908</v>
      </c>
      <c r="P17" s="56">
        <f>Intermediate!BK17-Intermediate!BI17</f>
        <v>2940.5200684590063</v>
      </c>
      <c r="Q17" s="43">
        <f>Intermediate!BI17</f>
        <v>1394.2406679045105</v>
      </c>
      <c r="R17" s="88">
        <f t="shared" ref="R17:R71" si="134">P17+Q17</f>
        <v>4334.760736363517</v>
      </c>
      <c r="S17" s="61">
        <f>Intermediate!F17*Intermediate!BO17/1000</f>
        <v>27.949726662194461</v>
      </c>
      <c r="T17" s="19">
        <f>Intermediate!BU17*Intermediate!AU17*86.4*0.365</f>
        <v>54.11888217399575</v>
      </c>
      <c r="U17" s="19">
        <f>Intermediate!AW17*Intermediate!BS17*0.365*86.4</f>
        <v>0</v>
      </c>
      <c r="V17" s="19">
        <f>(Basicinfo!BL17/1000000)*(Intermediate!BK17-Intermediate!BF17-Intermediate!BG17-Intermediate!BH17)*Intermediate!CV17</f>
        <v>21.036408823840119</v>
      </c>
      <c r="W17" s="19">
        <f>Intermediate!BI17*Parameters!$C$51/1000000</f>
        <v>3.4856016697612756E-2</v>
      </c>
      <c r="X17" s="19">
        <f>Intermediate!AZ17*Intermediate!CG17*86.4*0.365</f>
        <v>30.303971035132232</v>
      </c>
      <c r="Y17" s="19">
        <f>Intermediate!CM17*Intermediate!BA17*86.4*0.365+Parameters!$C$126*Intermediate!BB17*Basicinfo!P17/1000+Parameters!$C$127*Intermediate!BB17*Basicinfo!S17/1000</f>
        <v>287.22359411426044</v>
      </c>
      <c r="Z17" s="19">
        <f>Intermediate!DG17</f>
        <v>1.7919111958091045</v>
      </c>
      <c r="AA17" s="19">
        <f>Intermediate!DI17</f>
        <v>2.1359565270197871</v>
      </c>
      <c r="AB17" s="19">
        <f>Intermediate!DK17</f>
        <v>0.96422410333931041</v>
      </c>
      <c r="AC17" s="19">
        <f t="shared" si="120"/>
        <v>425.5595306522888</v>
      </c>
      <c r="AD17" s="19">
        <f>Basicinfo!CC17+Basicinfo!CE17+Basicinfo!CH17+Basicinfo!CJ17</f>
        <v>54.381679144444448</v>
      </c>
      <c r="AE17" s="87">
        <f t="shared" ref="AE17:AE71" si="135">AC17+AD17</f>
        <v>479.94120979673323</v>
      </c>
      <c r="AF17" s="56">
        <f>Intermediate!F17*Basicinfo!BD17/1000</f>
        <v>0.47368500504249761</v>
      </c>
      <c r="AG17" s="43">
        <f>Intermediate!CA17*Intermediate!AU17*86.4*0.365</f>
        <v>0.81292205502597548</v>
      </c>
      <c r="AH17" s="43">
        <f>Intermediate!AW17*Intermediate!BZ17*0.365*86.4</f>
        <v>0</v>
      </c>
      <c r="AI17" s="43">
        <f>(Intermediate!CU17/1000000)*(Intermediate!BK17-Intermediate!BF17-Intermediate!BG17-Intermediate!BH17)*Intermediate!CW17</f>
        <v>9.8075516947372865</v>
      </c>
      <c r="AJ17" s="43">
        <f>Intermediate!BF17*Parameters!$C$52/1000000+(Intermediate!BG17+Intermediate!BH17)*Intermediate!CX17/1000000</f>
        <v>0.62740830055702967</v>
      </c>
      <c r="AK17" s="43">
        <f>Intermediate!AZ17*Intermediate!CH17*86.4*0.365</f>
        <v>0.22986332895414313</v>
      </c>
      <c r="AL17" s="58">
        <f>Intermediate!CR17*Intermediate!BA17*86.4*0.365</f>
        <v>2.6072630044158824</v>
      </c>
      <c r="AM17" s="43">
        <f>Intermediate!DH17</f>
        <v>0.38867979358431776</v>
      </c>
      <c r="AN17" s="42">
        <f>Intermediate!DJ17</f>
        <v>0.39059079388274559</v>
      </c>
      <c r="AO17" s="42">
        <f>Intermediate!DL17</f>
        <v>0.14981974067541629</v>
      </c>
      <c r="AP17" s="42">
        <f t="shared" si="122"/>
        <v>15.487783716875295</v>
      </c>
      <c r="AQ17" s="43">
        <f>Basicinfo!CD17+Basicinfo!CF17+Basicinfo!CI17+Basicinfo!CK17</f>
        <v>6.4076270000000006</v>
      </c>
      <c r="AR17" s="83">
        <f t="shared" ref="AR17:AR71" si="136">AP17+AQ17</f>
        <v>21.895410716875297</v>
      </c>
      <c r="AS17" s="19">
        <f>F17*86400*365/(Basicinfo!G17*1000000)*1000</f>
        <v>9.4154876843135735</v>
      </c>
      <c r="AT17" s="19">
        <f>G17*86400*365/(Basicinfo!G17*1000000)*1000</f>
        <v>76.310911478723298</v>
      </c>
      <c r="AU17" s="19">
        <f>H17*86400*365/(Basicinfo!G17*1000000)*1000</f>
        <v>0</v>
      </c>
      <c r="AV17" s="19">
        <f>I17*86400*365/(Basicinfo!G17*1000000)*1000</f>
        <v>7.5458390202781613</v>
      </c>
      <c r="AW17" s="19">
        <f>J17*86400*365/(Basicinfo!G17*1000000)*1000</f>
        <v>320.77600606539687</v>
      </c>
      <c r="AX17" s="53">
        <f>K17*86400*365/(Basicinfo!G17*1000000)*1000</f>
        <v>1.7516671613789208</v>
      </c>
      <c r="AY17" s="53">
        <f>L17*86400*365/(Basicinfo!G17*1000000)*1000</f>
        <v>0.82508576607648965</v>
      </c>
      <c r="AZ17" s="53">
        <f>M17*86400*365/(Basicinfo!G17*1000000)*1000</f>
        <v>2.2162820418248996</v>
      </c>
      <c r="BA17" s="19">
        <f t="shared" si="123"/>
        <v>418.84127921799222</v>
      </c>
      <c r="BB17" s="19">
        <f>O17*86400*365/(Basicinfo!G17*1000000)*1000</f>
        <v>26.737502777310514</v>
      </c>
      <c r="BC17" s="53">
        <f t="shared" ref="BC17:BC71" si="137">BA17+BB17</f>
        <v>445.57878199530273</v>
      </c>
      <c r="BD17" s="56">
        <f>P17/(Basicinfo!G17*100)*1000</f>
        <v>96.597169108352531</v>
      </c>
      <c r="BE17" s="43">
        <f>Q17/(Basicinfo!G17*100)*1000</f>
        <v>45.801320324228882</v>
      </c>
      <c r="BF17" s="58">
        <f t="shared" ref="BF17:BF71" si="138">SUM(BD17:BE17)</f>
        <v>142.39848943258141</v>
      </c>
      <c r="BG17" s="61">
        <f>S17/(Basicinfo!G17*100)*1000000</f>
        <v>918.15883247316344</v>
      </c>
      <c r="BH17" s="19">
        <f>T17/(Basicinfo!G17*100)*1000000</f>
        <v>1777.8252457416793</v>
      </c>
      <c r="BI17" s="19">
        <f>U17/(Basicinfo!G17*100)*1000000</f>
        <v>0</v>
      </c>
      <c r="BJ17" s="19">
        <f>V17/(Basicinfo!G17*100)*1000000</f>
        <v>691.05379092135661</v>
      </c>
      <c r="BK17" s="19">
        <f>W17/(Basicinfo!G17*100)*1000000</f>
        <v>1.1450330081057216</v>
      </c>
      <c r="BL17" s="19">
        <f>X17/(Basicinfo!G17*100)*1000000</f>
        <v>995.4966286862782</v>
      </c>
      <c r="BM17" s="19">
        <f>Y17/(Basicinfo!G17*100)*1000000</f>
        <v>9435.4010333634324</v>
      </c>
      <c r="BN17" s="53">
        <f>Z17/(Basicinfo!G17*100)*1000000</f>
        <v>58.864943880295563</v>
      </c>
      <c r="BO17" s="53">
        <f>AA17/(Basicinfo!G17*100)*1000000</f>
        <v>70.166959940778966</v>
      </c>
      <c r="BP17" s="53">
        <f>AB17/(Basicinfo!G17*100)*1000000</f>
        <v>31.675117530290517</v>
      </c>
      <c r="BQ17" s="19">
        <f t="shared" si="125"/>
        <v>13979.78758554538</v>
      </c>
      <c r="BR17" s="19">
        <f>AD17/(Basicinfo!G17*100)*1000000</f>
        <v>1786.4582231758034</v>
      </c>
      <c r="BS17" s="53">
        <f t="shared" ref="BS17:BS71" si="139">BQ17+BR17</f>
        <v>15766.245808721183</v>
      </c>
      <c r="BT17" s="56">
        <f>AF17/(Basicinfo!G17*100)*1000000</f>
        <v>15.560727174414403</v>
      </c>
      <c r="BU17" s="43">
        <f>AG17/(Basicinfo!G17*100)*1000000</f>
        <v>26.704789422643021</v>
      </c>
      <c r="BV17" s="43">
        <f>AH17/(Basicinfo!G17*100)*1000000</f>
        <v>0</v>
      </c>
      <c r="BW17" s="43">
        <f>AI17/(Basicinfo!G17*100)*1000000</f>
        <v>322.18169151687749</v>
      </c>
      <c r="BX17" s="43">
        <f>AJ17/(Basicinfo!G17*100)*1000000</f>
        <v>20.610594145902994</v>
      </c>
      <c r="BY17" s="58">
        <f>AK17/(Basicinfo!G17*100)*1000000</f>
        <v>7.5510951606694592</v>
      </c>
      <c r="BZ17" s="58">
        <f>AL17/(Basicinfo!G17*100)*1000000</f>
        <v>85.649551604488011</v>
      </c>
      <c r="CA17" s="58">
        <f>AM17/(Basicinfo!G17*100)*1000000</f>
        <v>12.768274616653008</v>
      </c>
      <c r="CB17" s="58">
        <f>AN17/(Basicinfo!G17*100)*1000000</f>
        <v>12.831051681490415</v>
      </c>
      <c r="CC17" s="58">
        <f>AO17/(Basicinfo!G17*100)*1000000</f>
        <v>4.9216337548673543</v>
      </c>
      <c r="CD17" s="58">
        <f t="shared" si="126"/>
        <v>508.77940907800615</v>
      </c>
      <c r="CE17" s="58">
        <f>AQ17/(Basicinfo!G17*100)*1000000</f>
        <v>210.49291094504036</v>
      </c>
      <c r="CF17" s="43">
        <f t="shared" ref="CF17:CF71" si="140">CD17+CE17</f>
        <v>719.27232002304652</v>
      </c>
      <c r="CG17" s="84"/>
      <c r="CH17" s="84">
        <f t="shared" si="8"/>
        <v>54.381679144444448</v>
      </c>
      <c r="CI17" s="146">
        <f t="shared" si="9"/>
        <v>4.892091826168202</v>
      </c>
      <c r="CJ17" s="200">
        <f>Intermediate!EW17+Intermediate!EY17+Intermediate!FD17</f>
        <v>59.015521594696096</v>
      </c>
      <c r="CK17" s="180">
        <f>Intermediate!FA17+Intermediate!FF17</f>
        <v>45.030832178624919</v>
      </c>
      <c r="CL17" s="180">
        <f t="shared" si="10"/>
        <v>30.303971035132232</v>
      </c>
      <c r="CM17" s="180">
        <f t="shared" si="11"/>
        <v>182.08807592561459</v>
      </c>
      <c r="CN17" s="202">
        <f>Intermediate!EX17+Intermediate!EZ17+Intermediate!FE17</f>
        <v>23.081573264914372</v>
      </c>
      <c r="CO17" s="180">
        <f>Intermediate!FB17+Intermediate!FG17</f>
        <v>18.145954970214479</v>
      </c>
      <c r="CP17" s="213">
        <f>Intermediate!EP17+Intermediate!EQ17+Intermediate!ER17+Intermediate!ES17+Intermediate!ET17+Intermediate!EU17+Intermediate!EV17+W17</f>
        <v>63.001509856923967</v>
      </c>
      <c r="CQ17" s="212">
        <f t="shared" si="12"/>
        <v>41.227528235128851</v>
      </c>
      <c r="CR17" s="212">
        <f t="shared" si="13"/>
        <v>316.43840073406784</v>
      </c>
      <c r="CS17" s="211">
        <f t="shared" si="14"/>
        <v>56.173590340253554</v>
      </c>
      <c r="CT17" s="212">
        <f t="shared" si="15"/>
        <v>476.8410291663742</v>
      </c>
      <c r="CU17" s="84"/>
      <c r="CV17" s="31">
        <f t="shared" si="16"/>
        <v>479.94120979673323</v>
      </c>
      <c r="CW17" s="31">
        <f>CH17/Basicinfo!$G17*1000/100</f>
        <v>1.7864582231758033</v>
      </c>
      <c r="CX17" s="31">
        <f>CI17/Basicinfo!$G17*1000/100</f>
        <v>0.16070702135136508</v>
      </c>
      <c r="CY17" s="31">
        <f>CS17/Basicinfo!$G17*1000/100</f>
        <v>1.845323167056099</v>
      </c>
      <c r="CZ17" s="31">
        <f>CN17/Basicinfo!$G17*1000/100</f>
        <v>0.75823819734248654</v>
      </c>
      <c r="DA17" s="31">
        <f>CO17/Basicinfo!$G17*1000/100</f>
        <v>0.59610131544143707</v>
      </c>
      <c r="DB17" s="31">
        <f>CQ17/Basicinfo!$G17*1000/100</f>
        <v>1.3543395127839235</v>
      </c>
      <c r="DC17" s="31">
        <f>CJ17/Basicinfo!$G17*1000/100</f>
        <v>1.9386816572511902</v>
      </c>
      <c r="DD17" s="31">
        <f>CK17/Basicinfo!$G17*1000/100</f>
        <v>1.4792794504980318</v>
      </c>
      <c r="DE17" s="31">
        <f>CM17/Basicinfo!$G17*1000/100</f>
        <v>5.9816604727403977</v>
      </c>
      <c r="DF17" s="31">
        <f>CR17/Basicinfo!$G17*1000/100</f>
        <v>10.3951182091759</v>
      </c>
      <c r="DG17" s="31">
        <f>CP17/Basicinfo!$G17*1000/100</f>
        <v>2.0696228422341965</v>
      </c>
      <c r="DH17" s="31">
        <f>CT17/Basicinfo!$G17*1000/100</f>
        <v>15.664403731250118</v>
      </c>
      <c r="DI17" s="31">
        <f>CV17/Basicinfo!$G17*1000/100</f>
        <v>15.766245808721186</v>
      </c>
      <c r="DJ17" s="31"/>
      <c r="DK17" s="188">
        <f t="shared" si="17"/>
        <v>11.404572135815558</v>
      </c>
      <c r="DL17" s="188">
        <f t="shared" si="18"/>
        <v>1.0259376871828088</v>
      </c>
      <c r="DM17" s="188">
        <f t="shared" si="19"/>
        <v>11.780360099980841</v>
      </c>
      <c r="DN17" s="188">
        <f t="shared" si="20"/>
        <v>4.8405174582535766</v>
      </c>
      <c r="DO17" s="188">
        <f t="shared" si="21"/>
        <v>3.8054516831191529</v>
      </c>
      <c r="DP17" s="188">
        <f t="shared" si="22"/>
        <v>8.6459691413727295</v>
      </c>
      <c r="DQ17" s="188">
        <f t="shared" si="23"/>
        <v>12.376351443135789</v>
      </c>
      <c r="DR17" s="188">
        <f t="shared" si="24"/>
        <v>9.4435733135944666</v>
      </c>
      <c r="DS17" s="188">
        <f t="shared" si="25"/>
        <v>38.186327263814874</v>
      </c>
      <c r="DT17" s="188">
        <f t="shared" si="26"/>
        <v>66.361403775860822</v>
      </c>
      <c r="DU17" s="188">
        <f t="shared" si="27"/>
        <v>13.212266982785611</v>
      </c>
      <c r="DV17" s="188">
        <f t="shared" si="28"/>
        <v>100</v>
      </c>
      <c r="DW17" s="188">
        <f t="shared" si="29"/>
        <v>100.65014972301751</v>
      </c>
      <c r="DY17" s="181">
        <f t="shared" si="30"/>
        <v>6.4076270000000006</v>
      </c>
      <c r="DZ17" s="181">
        <f t="shared" si="127"/>
        <v>0.9290903281424796</v>
      </c>
      <c r="EA17" s="185">
        <f t="shared" si="31"/>
        <v>0.22986332895414313</v>
      </c>
      <c r="EB17" s="185">
        <f>AG17+AH17+AL17-Intermediate!FJ17-Intermediate!FM17</f>
        <v>2.5747241122716966</v>
      </c>
      <c r="EC17" s="185">
        <f>AI17+AJ17-Intermediate!FK17</f>
        <v>9.5297958449069</v>
      </c>
      <c r="ED17" s="240">
        <f t="shared" si="32"/>
        <v>0.47368500504249761</v>
      </c>
      <c r="EE17" s="240">
        <f>Intermediate!FJ17+Intermediate!FK17+Intermediate!FM17</f>
        <v>1.7506250975575766</v>
      </c>
      <c r="EF17" s="240">
        <f t="shared" si="33"/>
        <v>12.334383286132741</v>
      </c>
      <c r="EG17" s="240">
        <f t="shared" si="34"/>
        <v>7.3367173281424805</v>
      </c>
      <c r="EH17" s="240">
        <f t="shared" si="35"/>
        <v>21.895410716875297</v>
      </c>
      <c r="EI17" s="181">
        <f t="shared" si="36"/>
        <v>21.895410716875297</v>
      </c>
      <c r="EK17" s="31">
        <f>DY17/Basicinfo!$G17*1000/100</f>
        <v>0.21049291094504038</v>
      </c>
      <c r="EL17" s="31">
        <f>DZ17/Basicinfo!$G17*1000/100</f>
        <v>3.0520960053010776E-2</v>
      </c>
      <c r="EM17" s="220">
        <f>EG17/Basicinfo!$G17*1000/100</f>
        <v>0.24101387099805116</v>
      </c>
      <c r="EN17" s="220">
        <f>ED17/Basicinfo!$G17*1000/100</f>
        <v>1.5560727174414403E-2</v>
      </c>
      <c r="EO17" s="220">
        <f>EF17/Basicinfo!$G17*1000/100</f>
        <v>0.40518904152971658</v>
      </c>
      <c r="EP17" s="220">
        <f>EE17/Basicinfo!$G17*1000/100</f>
        <v>5.7508680320864432E-2</v>
      </c>
      <c r="EQ17" s="220">
        <f>EH17/Basicinfo!$G17*1000/100</f>
        <v>0.71927232002304664</v>
      </c>
      <c r="ER17" s="31">
        <f>EI17/Basicinfo!$G17*1000/100</f>
        <v>0.71927232002304664</v>
      </c>
      <c r="ET17" s="188">
        <f t="shared" si="37"/>
        <v>29.264703379423228</v>
      </c>
      <c r="EU17" s="188">
        <f t="shared" si="38"/>
        <v>4.243310802233129</v>
      </c>
      <c r="EV17" s="223">
        <f t="shared" si="39"/>
        <v>33.508014181656357</v>
      </c>
      <c r="EW17" s="223">
        <f t="shared" si="40"/>
        <v>2.1633985823221744</v>
      </c>
      <c r="EX17" s="223">
        <f t="shared" si="41"/>
        <v>56.333189843414758</v>
      </c>
      <c r="EY17" s="223">
        <f t="shared" si="42"/>
        <v>7.995397392606705</v>
      </c>
      <c r="EZ17" s="223">
        <f t="shared" si="43"/>
        <v>100</v>
      </c>
      <c r="FA17" s="188">
        <f t="shared" si="44"/>
        <v>100</v>
      </c>
      <c r="FC17" s="236">
        <f>Basicinfo!CT17</f>
        <v>6.8461693548387101</v>
      </c>
      <c r="FD17" s="181">
        <f>IF((Intermediate!CL17+Intermediate!CM17*3)/4&gt;11,(Intermediate!CL17+Intermediate!CM17*9)/10,(Intermediate!CL17+Intermediate!CM17*3)/4)</f>
        <v>3.9075531894613977</v>
      </c>
      <c r="FF17" s="31">
        <f t="shared" si="45"/>
        <v>0.47368500504249761</v>
      </c>
      <c r="FG17" s="31">
        <f t="shared" si="46"/>
        <v>0.81292205502597548</v>
      </c>
      <c r="FH17" s="31">
        <f t="shared" si="47"/>
        <v>0</v>
      </c>
      <c r="FI17" s="31">
        <f>(AI17-(P17*450/1000000))*Parameters!$C$153</f>
        <v>6.7874541311445871</v>
      </c>
      <c r="FJ17" s="31"/>
      <c r="FK17" s="31">
        <f t="shared" si="48"/>
        <v>0.22986332895414313</v>
      </c>
      <c r="FL17" s="31">
        <f t="shared" si="49"/>
        <v>2.6072630044158824</v>
      </c>
      <c r="FM17" s="31">
        <f>AM17*Parameters!$C$154</f>
        <v>0.34981181422588598</v>
      </c>
      <c r="FN17" s="31">
        <f>AN17*Parameters!$C$154</f>
        <v>0.35153171449447101</v>
      </c>
      <c r="FO17" s="31">
        <f>AO17*Parameters!$C$154</f>
        <v>0.13483776660787467</v>
      </c>
      <c r="FP17" s="31">
        <f>AQ17*Parameters!$C$155</f>
        <v>6.4076270000000006</v>
      </c>
      <c r="FQ17" s="31">
        <f t="shared" si="50"/>
        <v>18.154995819911317</v>
      </c>
      <c r="FS17" s="147">
        <f>DY17*Parameters!$C$155</f>
        <v>6.4076270000000006</v>
      </c>
      <c r="FT17" s="147">
        <f>DZ17*Parameters!$C$154</f>
        <v>0.83618129532823171</v>
      </c>
      <c r="FU17" s="181">
        <f t="shared" si="51"/>
        <v>0.22986332895414313</v>
      </c>
      <c r="FV17" s="181">
        <f t="shared" si="52"/>
        <v>2.5747241122716966</v>
      </c>
      <c r="FW17" s="31">
        <f t="shared" si="53"/>
        <v>6.7874541311445844</v>
      </c>
      <c r="FX17" s="181">
        <f t="shared" si="54"/>
        <v>0.47368500504249761</v>
      </c>
      <c r="FY17" s="147">
        <f>Intermediate!FJ17+Intermediate!FM17</f>
        <v>0.8454609471701614</v>
      </c>
      <c r="FZ17" s="181">
        <f t="shared" si="55"/>
        <v>9.5920415723704231</v>
      </c>
      <c r="GA17" s="147">
        <f t="shared" si="56"/>
        <v>7.2438082953282326</v>
      </c>
      <c r="GB17" s="181">
        <f t="shared" si="57"/>
        <v>18.154995819911314</v>
      </c>
      <c r="GD17" s="147">
        <f>IF('River loads'!CH17&gt;0.99,1,0)</f>
        <v>1</v>
      </c>
      <c r="GE17" s="147">
        <f t="shared" si="58"/>
        <v>0.47368500504249761</v>
      </c>
      <c r="GF17" s="147">
        <f t="shared" si="59"/>
        <v>0.81292205502597548</v>
      </c>
      <c r="GG17" s="147">
        <f t="shared" si="60"/>
        <v>0</v>
      </c>
      <c r="GH17" s="147">
        <f t="shared" si="61"/>
        <v>9.8075516947372865</v>
      </c>
      <c r="GI17" s="147">
        <f t="shared" si="62"/>
        <v>0.62740830055702967</v>
      </c>
      <c r="GJ17" s="147">
        <f t="shared" si="63"/>
        <v>0.22986332895414313</v>
      </c>
      <c r="GK17" s="147">
        <f t="shared" si="64"/>
        <v>2.6072630044158824</v>
      </c>
      <c r="GL17" s="147">
        <f t="shared" si="65"/>
        <v>0.38867979358431776</v>
      </c>
      <c r="GM17" s="270">
        <f t="shared" si="128"/>
        <v>0.39059079388274559</v>
      </c>
      <c r="GN17" s="270">
        <f t="shared" si="129"/>
        <v>0.14981974067541629</v>
      </c>
      <c r="GO17" s="147">
        <f t="shared" si="66"/>
        <v>6.4076270000000006</v>
      </c>
      <c r="GP17" s="147">
        <f t="shared" si="67"/>
        <v>21.895410716875297</v>
      </c>
      <c r="GQ17" s="147"/>
      <c r="GR17" s="147">
        <f t="shared" si="68"/>
        <v>0.47368500504249761</v>
      </c>
      <c r="GS17" s="147">
        <f t="shared" si="69"/>
        <v>0.81292205502597548</v>
      </c>
      <c r="GT17" s="147">
        <f t="shared" si="70"/>
        <v>0</v>
      </c>
      <c r="GU17" s="147">
        <f t="shared" si="71"/>
        <v>6.7874541311445871</v>
      </c>
      <c r="GV17" s="147">
        <f t="shared" si="72"/>
        <v>0</v>
      </c>
      <c r="GW17" s="147">
        <f t="shared" si="73"/>
        <v>0.22986332895414313</v>
      </c>
      <c r="GX17" s="147">
        <f t="shared" si="74"/>
        <v>2.6072630044158824</v>
      </c>
      <c r="GY17" s="147">
        <f t="shared" si="75"/>
        <v>0.34981181422588598</v>
      </c>
      <c r="GZ17" s="147">
        <f t="shared" si="130"/>
        <v>0.35153171449447101</v>
      </c>
      <c r="HA17" s="147">
        <f t="shared" si="131"/>
        <v>0.13483776660787467</v>
      </c>
      <c r="HB17" s="147">
        <f t="shared" si="76"/>
        <v>6.4076270000000006</v>
      </c>
      <c r="HC17" s="147">
        <f t="shared" si="77"/>
        <v>18.154995819911317</v>
      </c>
      <c r="HD17" s="147"/>
      <c r="HE17" s="147">
        <f t="shared" si="78"/>
        <v>6.4076270000000006</v>
      </c>
      <c r="HF17" s="147">
        <f t="shared" si="79"/>
        <v>0.9290903281424796</v>
      </c>
      <c r="HG17" s="147">
        <f t="shared" si="80"/>
        <v>0.22986332895414313</v>
      </c>
      <c r="HH17" s="147">
        <f t="shared" si="81"/>
        <v>2.5747241122716966</v>
      </c>
      <c r="HI17" s="147">
        <f t="shared" si="82"/>
        <v>9.5297958449069</v>
      </c>
      <c r="HJ17" s="147">
        <f t="shared" si="83"/>
        <v>0.47368500504249761</v>
      </c>
      <c r="HK17" s="147">
        <f t="shared" si="84"/>
        <v>1.7506250975575766</v>
      </c>
      <c r="HL17" s="147">
        <f t="shared" si="85"/>
        <v>12.334383286132741</v>
      </c>
      <c r="HM17" s="147">
        <f t="shared" si="86"/>
        <v>7.3367173281424805</v>
      </c>
      <c r="HN17" s="147">
        <f t="shared" si="87"/>
        <v>21.895410716875297</v>
      </c>
      <c r="HO17" s="147">
        <f t="shared" si="88"/>
        <v>21.895410716875297</v>
      </c>
      <c r="HQ17" s="147">
        <f t="shared" si="89"/>
        <v>6.4076270000000006</v>
      </c>
      <c r="HR17" s="147">
        <f t="shared" si="90"/>
        <v>0.83618129532823171</v>
      </c>
      <c r="HS17" s="147">
        <f t="shared" si="91"/>
        <v>0.22986332895414313</v>
      </c>
      <c r="HT17" s="147">
        <f t="shared" si="92"/>
        <v>2.5747241122716966</v>
      </c>
      <c r="HU17" s="147">
        <f t="shared" si="93"/>
        <v>6.7874541311445844</v>
      </c>
      <c r="HV17" s="147">
        <f t="shared" si="94"/>
        <v>0.47368500504249761</v>
      </c>
      <c r="HW17" s="147">
        <f t="shared" si="95"/>
        <v>0.8454609471701614</v>
      </c>
      <c r="HX17" s="147">
        <f t="shared" si="96"/>
        <v>9.5920415723704231</v>
      </c>
      <c r="HY17" s="147">
        <f t="shared" si="97"/>
        <v>7.2438082953282326</v>
      </c>
      <c r="HZ17" s="147">
        <f t="shared" si="98"/>
        <v>18.154995819911314</v>
      </c>
      <c r="IB17" s="147">
        <f>IF('River loads'!CI17&gt;0.99,1,0)</f>
        <v>0</v>
      </c>
      <c r="IC17">
        <f t="shared" si="99"/>
        <v>0</v>
      </c>
      <c r="ID17">
        <f t="shared" si="100"/>
        <v>0</v>
      </c>
      <c r="IE17">
        <f t="shared" si="101"/>
        <v>0</v>
      </c>
      <c r="IF17">
        <f t="shared" si="102"/>
        <v>0</v>
      </c>
      <c r="IG17">
        <f t="shared" si="103"/>
        <v>0</v>
      </c>
      <c r="IH17">
        <f t="shared" si="104"/>
        <v>0</v>
      </c>
      <c r="II17">
        <f t="shared" si="105"/>
        <v>0</v>
      </c>
      <c r="IJ17">
        <f t="shared" si="106"/>
        <v>0</v>
      </c>
      <c r="IK17">
        <f t="shared" si="132"/>
        <v>0</v>
      </c>
      <c r="IL17">
        <f t="shared" si="133"/>
        <v>0</v>
      </c>
      <c r="IM17">
        <f t="shared" si="107"/>
        <v>0</v>
      </c>
      <c r="IN17">
        <f t="shared" si="108"/>
        <v>0</v>
      </c>
      <c r="IP17">
        <f t="shared" si="109"/>
        <v>0</v>
      </c>
      <c r="IQ17">
        <f t="shared" si="110"/>
        <v>0</v>
      </c>
      <c r="IR17">
        <f t="shared" si="111"/>
        <v>0</v>
      </c>
      <c r="IS17">
        <f t="shared" si="112"/>
        <v>0</v>
      </c>
      <c r="IT17">
        <f t="shared" si="113"/>
        <v>0</v>
      </c>
      <c r="IU17">
        <f t="shared" si="114"/>
        <v>0</v>
      </c>
      <c r="IV17">
        <f t="shared" si="115"/>
        <v>0</v>
      </c>
      <c r="IW17">
        <f t="shared" si="116"/>
        <v>0</v>
      </c>
      <c r="IX17">
        <f t="shared" si="117"/>
        <v>0</v>
      </c>
    </row>
    <row r="18" spans="1:258">
      <c r="A18" s="39" t="str">
        <f>Basicinfo!A18</f>
        <v>Ranna</v>
      </c>
      <c r="B18" s="63">
        <f>Basicinfo!B18</f>
        <v>1100</v>
      </c>
      <c r="C18" s="63">
        <f>Basicinfo!C18</f>
        <v>5000</v>
      </c>
      <c r="D18" s="130">
        <f>Basicinfo!G18</f>
        <v>82.044416049000006</v>
      </c>
      <c r="E18" s="87">
        <f t="shared" si="118"/>
        <v>1.7096690294229704</v>
      </c>
      <c r="F18" s="19">
        <f>Intermediate!AR18</f>
        <v>8.5881322602473151E-3</v>
      </c>
      <c r="G18" s="19">
        <f>Intermediate!AU18</f>
        <v>0.35366079217858309</v>
      </c>
      <c r="H18" s="19">
        <f>Intermediate!AW18</f>
        <v>0</v>
      </c>
      <c r="I18" s="19">
        <f>Intermediate!AZ18</f>
        <v>3.3702157456361945E-2</v>
      </c>
      <c r="J18" s="19">
        <f>Intermediate!BA18</f>
        <v>1.2999761333087363</v>
      </c>
      <c r="K18" s="19">
        <f>Intermediate!AC18</f>
        <v>3.0286361854986762E-3</v>
      </c>
      <c r="L18" s="19">
        <f>Intermediate!AO18</f>
        <v>2.1387479044089673E-3</v>
      </c>
      <c r="M18" s="19">
        <f>Intermediate!AP18</f>
        <v>5.2580916588142968E-3</v>
      </c>
      <c r="N18" s="19">
        <f t="shared" si="119"/>
        <v>1.7063526909526507</v>
      </c>
      <c r="O18" s="19">
        <f>Basicinfo!CB18+Basicinfo!CG18</f>
        <v>3.3163384703196342E-3</v>
      </c>
      <c r="P18" s="56">
        <f>Intermediate!BK18-Intermediate!BI18</f>
        <v>96.933582934175604</v>
      </c>
      <c r="Q18" s="43">
        <f>Intermediate!BI18</f>
        <v>361.70320653815878</v>
      </c>
      <c r="R18" s="88">
        <f t="shared" si="134"/>
        <v>458.63678947233439</v>
      </c>
      <c r="S18" s="61">
        <f>Intermediate!F18*Intermediate!BO18/1000</f>
        <v>1.106396105948364</v>
      </c>
      <c r="T18" s="19">
        <f>Intermediate!BU18*Intermediate!AU18*86.4*0.365</f>
        <v>18.482318832562502</v>
      </c>
      <c r="U18" s="19">
        <f>Intermediate!AW18*Intermediate!BS18*0.365*86.4</f>
        <v>0</v>
      </c>
      <c r="V18" s="19">
        <f>(Basicinfo!BL18/1000000)*(Intermediate!BK18-Intermediate!BF18-Intermediate!BG18-Intermediate!BH18)*Intermediate!CV18</f>
        <v>0.88536235823765719</v>
      </c>
      <c r="W18" s="19">
        <f>Intermediate!BI18*Parameters!$C$51/1000000</f>
        <v>9.0425801634539688E-3</v>
      </c>
      <c r="X18" s="19">
        <f>Intermediate!AZ18*Intermediate!CG18*86.4*0.365</f>
        <v>9.3718841015370771</v>
      </c>
      <c r="Y18" s="19">
        <f>Intermediate!CM18*Intermediate!BA18*86.4*0.365+Parameters!$C$126*Intermediate!BB18*Basicinfo!P18/1000+Parameters!$C$127*Intermediate!BB18*Basicinfo!S18/1000</f>
        <v>49.565469861234874</v>
      </c>
      <c r="Z18" s="19">
        <f>Intermediate!DG18</f>
        <v>0.25378648141230276</v>
      </c>
      <c r="AA18" s="19">
        <f>Intermediate!DI18</f>
        <v>0.61470156821907529</v>
      </c>
      <c r="AB18" s="19">
        <f>Intermediate!DK18</f>
        <v>0.92382611419252425</v>
      </c>
      <c r="AC18" s="19">
        <f t="shared" si="120"/>
        <v>81.212788003507825</v>
      </c>
      <c r="AD18" s="19">
        <f>Basicinfo!CC18+Basicinfo!CE18+Basicinfo!CH18+Basicinfo!CJ18</f>
        <v>0.83717568000000009</v>
      </c>
      <c r="AE18" s="87">
        <f t="shared" si="135"/>
        <v>82.049963683507826</v>
      </c>
      <c r="AF18" s="56">
        <f>Intermediate!F18*Basicinfo!BD18/1000</f>
        <v>2.1574139056911783E-2</v>
      </c>
      <c r="AG18" s="43">
        <f>Intermediate!CA18*Intermediate!AU18*86.4*0.365</f>
        <v>0.34061799076030119</v>
      </c>
      <c r="AH18" s="43">
        <f>Intermediate!AW18*Intermediate!BZ18*0.365*86.4</f>
        <v>0</v>
      </c>
      <c r="AI18" s="43">
        <f>(Intermediate!CU18/1000000)*(Intermediate!BK18-Intermediate!BF18-Intermediate!BG18-Intermediate!BH18)*Intermediate!CW18</f>
        <v>0.3169430403457017</v>
      </c>
      <c r="AJ18" s="43">
        <f>Intermediate!BF18*Parameters!$C$52/1000000+(Intermediate!BG18+Intermediate!BH18)*Intermediate!CX18/1000000</f>
        <v>0.16276644294217144</v>
      </c>
      <c r="AK18" s="43">
        <f>Intermediate!AZ18*Intermediate!CH18*86.4*0.365</f>
        <v>0.22391271411131364</v>
      </c>
      <c r="AL18" s="58">
        <f>Intermediate!CR18*Intermediate!BA18*86.4*0.365</f>
        <v>1.8316287391923933</v>
      </c>
      <c r="AM18" s="43">
        <f>Intermediate!DH18</f>
        <v>6.2303092061203671E-2</v>
      </c>
      <c r="AN18" s="42">
        <f>Intermediate!DJ18</f>
        <v>0.11376834365354713</v>
      </c>
      <c r="AO18" s="42">
        <f>Intermediate!DL18</f>
        <v>0.14446408050765525</v>
      </c>
      <c r="AP18" s="42">
        <f t="shared" si="122"/>
        <v>3.2179785826311993</v>
      </c>
      <c r="AQ18" s="43">
        <f>Basicinfo!CD18+Basicinfo!CF18+Basicinfo!CI18+Basicinfo!CK18</f>
        <v>9.8287200000000005E-2</v>
      </c>
      <c r="AR18" s="83">
        <f t="shared" si="136"/>
        <v>3.3162657826311994</v>
      </c>
      <c r="AS18" s="19">
        <f>F18*86400*365/(Basicinfo!G18*1000000)*1000</f>
        <v>3.3010819261289672</v>
      </c>
      <c r="AT18" s="19">
        <f>G18*86400*365/(Basicinfo!G18*1000000)*1000</f>
        <v>135.9391324753019</v>
      </c>
      <c r="AU18" s="19">
        <f>H18*86400*365/(Basicinfo!G18*1000000)*1000</f>
        <v>0</v>
      </c>
      <c r="AV18" s="19">
        <f>I18*86400*365/(Basicinfo!G18*1000000)*1000</f>
        <v>12.954339718976943</v>
      </c>
      <c r="AW18" s="19">
        <f>J18*86400*365/(Basicinfo!G18*1000000)*1000</f>
        <v>499.68113997593605</v>
      </c>
      <c r="AX18" s="53">
        <f>K18*86400*365/(Basicinfo!G18*1000000)*1000</f>
        <v>1.1641385891374187</v>
      </c>
      <c r="AY18" s="53">
        <f>L18*86400*365/(Basicinfo!G18*1000000)*1000</f>
        <v>0.82208585497346931</v>
      </c>
      <c r="AZ18" s="53">
        <f>M18*86400*365/(Basicinfo!G18*1000000)*1000</f>
        <v>2.0210903622415235</v>
      </c>
      <c r="BA18" s="19">
        <f t="shared" si="123"/>
        <v>655.88300890269636</v>
      </c>
      <c r="BB18" s="19">
        <f>O18*86400*365/(Basicinfo!G18*1000000)*1000</f>
        <v>1.2747247775831381</v>
      </c>
      <c r="BC18" s="53">
        <f t="shared" si="137"/>
        <v>657.15773368027953</v>
      </c>
      <c r="BD18" s="56">
        <f>P18/(Basicinfo!G18*100)*1000</f>
        <v>11.81476907292304</v>
      </c>
      <c r="BE18" s="43">
        <f>Q18/(Basicinfo!G18*100)*1000</f>
        <v>44.086267409367146</v>
      </c>
      <c r="BF18" s="58">
        <f t="shared" si="138"/>
        <v>55.901036482290188</v>
      </c>
      <c r="BG18" s="61">
        <f>S18/(Basicinfo!G18*100)*1000000</f>
        <v>134.85330985689296</v>
      </c>
      <c r="BH18" s="19">
        <f>T18/(Basicinfo!G18*100)*1000000</f>
        <v>2252.7211140760837</v>
      </c>
      <c r="BI18" s="19">
        <f>U18/(Basicinfo!G18*100)*1000000</f>
        <v>0</v>
      </c>
      <c r="BJ18" s="19">
        <f>V18/(Basicinfo!G18*100)*1000000</f>
        <v>107.91256746941626</v>
      </c>
      <c r="BK18" s="19">
        <f>W18/(Basicinfo!G18*100)*1000000</f>
        <v>1.1021566852341784</v>
      </c>
      <c r="BL18" s="19">
        <f>X18/(Basicinfo!G18*100)*1000000</f>
        <v>1142.2939613513533</v>
      </c>
      <c r="BM18" s="19">
        <f>Y18/(Basicinfo!G18*100)*1000000</f>
        <v>6041.2971714775213</v>
      </c>
      <c r="BN18" s="53">
        <f>Z18/(Basicinfo!G18*100)*1000000</f>
        <v>30.932815861683011</v>
      </c>
      <c r="BO18" s="53">
        <f>AA18/(Basicinfo!G18*100)*1000000</f>
        <v>74.92302314053309</v>
      </c>
      <c r="BP18" s="53">
        <f>AB18/(Basicinfo!G18*100)*1000000</f>
        <v>112.60073002905897</v>
      </c>
      <c r="BQ18" s="19">
        <f t="shared" si="125"/>
        <v>9898.6368499477758</v>
      </c>
      <c r="BR18" s="19">
        <f>AD18/(Basicinfo!G18*100)*1000000</f>
        <v>102.03932458974506</v>
      </c>
      <c r="BS18" s="53">
        <f t="shared" si="139"/>
        <v>10000.676174537521</v>
      </c>
      <c r="BT18" s="56">
        <f>AF18/(Basicinfo!G18*100)*1000000</f>
        <v>2.6295682382609558</v>
      </c>
      <c r="BU18" s="43">
        <f>AG18/(Basicinfo!G18*100)*1000000</f>
        <v>41.516291682406674</v>
      </c>
      <c r="BV18" s="43">
        <f>AH18/(Basicinfo!G18*100)*1000000</f>
        <v>0</v>
      </c>
      <c r="BW18" s="43">
        <f>AI18/(Basicinfo!G18*100)*1000000</f>
        <v>38.63066563316282</v>
      </c>
      <c r="BX18" s="43">
        <f>AJ18/(Basicinfo!G18*100)*1000000</f>
        <v>19.83882033421521</v>
      </c>
      <c r="BY18" s="58">
        <f>AK18/(Basicinfo!G18*100)*1000000</f>
        <v>27.291645780937067</v>
      </c>
      <c r="BZ18" s="58">
        <f>AL18/(Basicinfo!G18*100)*1000000</f>
        <v>223.24843388469918</v>
      </c>
      <c r="CA18" s="58">
        <f>AM18/(Basicinfo!G18*100)*1000000</f>
        <v>7.5938247916828274</v>
      </c>
      <c r="CB18" s="58">
        <f>AN18/(Basicinfo!G18*100)*1000000</f>
        <v>13.866677238046327</v>
      </c>
      <c r="CC18" s="58">
        <f>AO18/(Basicinfo!G18*100)*1000000</f>
        <v>17.608033241576837</v>
      </c>
      <c r="CD18" s="58">
        <f t="shared" si="126"/>
        <v>392.2239608249879</v>
      </c>
      <c r="CE18" s="58">
        <f>AQ18/(Basicinfo!G18*100)*1000000</f>
        <v>11.979754958740786</v>
      </c>
      <c r="CF18" s="43">
        <f t="shared" si="140"/>
        <v>404.20371578372868</v>
      </c>
      <c r="CG18" s="84"/>
      <c r="CH18" s="84">
        <f t="shared" si="8"/>
        <v>0.83717568000000009</v>
      </c>
      <c r="CI18" s="146">
        <f t="shared" si="9"/>
        <v>1.7923141638239022</v>
      </c>
      <c r="CJ18" s="200">
        <f>Intermediate!EW18+Intermediate!EY18+Intermediate!FD18</f>
        <v>12.682553803226021</v>
      </c>
      <c r="CK18" s="180">
        <f>Intermediate!FA18+Intermediate!FF18</f>
        <v>10.149232169550199</v>
      </c>
      <c r="CL18" s="180">
        <f t="shared" si="10"/>
        <v>9.3718841015370771</v>
      </c>
      <c r="CM18" s="180">
        <f t="shared" si="11"/>
        <v>27.215275859476797</v>
      </c>
      <c r="CN18" s="202">
        <f>Intermediate!EX18+Intermediate!EZ18+Intermediate!FE18</f>
        <v>5.852553122311333</v>
      </c>
      <c r="CO18" s="180">
        <f>Intermediate!FB18+Intermediate!FG18</f>
        <v>4.5599749816718713</v>
      </c>
      <c r="CP18" s="213">
        <f>Intermediate!EP18+Intermediate!EQ18+Intermediate!ER18+Intermediate!ES18+Intermediate!ET18+Intermediate!EU18+Intermediate!EV18+W18</f>
        <v>9.5889998019106226</v>
      </c>
      <c r="CQ18" s="212">
        <f t="shared" si="12"/>
        <v>10.412528103983204</v>
      </c>
      <c r="CR18" s="212">
        <f t="shared" si="13"/>
        <v>59.418945933790091</v>
      </c>
      <c r="CS18" s="211">
        <f t="shared" si="14"/>
        <v>1.0909621614123028</v>
      </c>
      <c r="CT18" s="212">
        <f t="shared" si="15"/>
        <v>80.511436001096214</v>
      </c>
      <c r="CU18" s="84"/>
      <c r="CV18" s="31">
        <f t="shared" si="16"/>
        <v>82.049963683507826</v>
      </c>
      <c r="CW18" s="31">
        <f>CH18/Basicinfo!$G18*1000/100</f>
        <v>0.10203932458974506</v>
      </c>
      <c r="CX18" s="31">
        <f>CI18/Basicinfo!$G18*1000/100</f>
        <v>0.21845656903127508</v>
      </c>
      <c r="CY18" s="31">
        <f>CS18/Basicinfo!$G18*1000/100</f>
        <v>0.13297214045142808</v>
      </c>
      <c r="CZ18" s="31">
        <f>CN18/Basicinfo!$G18*1000/100</f>
        <v>0.71333960361372661</v>
      </c>
      <c r="DA18" s="31">
        <f>CO18/Basicinfo!$G18*1000/100</f>
        <v>0.5557934593560252</v>
      </c>
      <c r="DB18" s="31">
        <f>CQ18/Basicinfo!$G18*1000/100</f>
        <v>1.2691330629697517</v>
      </c>
      <c r="DC18" s="31">
        <f>CJ18/Basicinfo!$G18*1000/100</f>
        <v>1.5458155976942445</v>
      </c>
      <c r="DD18" s="31">
        <f>CK18/Basicinfo!$G18*1000/100</f>
        <v>1.2370411855315901</v>
      </c>
      <c r="DE18" s="31">
        <f>CM18/Basicinfo!$G18*1000/100</f>
        <v>3.3171393216112124</v>
      </c>
      <c r="DF18" s="31">
        <f>CR18/Basicinfo!$G18*1000/100</f>
        <v>7.2422900661884002</v>
      </c>
      <c r="DG18" s="31">
        <f>CP18/Basicinfo!$G18*1000/100</f>
        <v>1.168757151758349</v>
      </c>
      <c r="DH18" s="31">
        <f>CT18/Basicinfo!$G18*1000/100</f>
        <v>9.8131524213679295</v>
      </c>
      <c r="DI18" s="31">
        <f>CV18/Basicinfo!$G18*1000/100</f>
        <v>10.000676174537523</v>
      </c>
      <c r="DJ18" s="31"/>
      <c r="DK18" s="188">
        <f t="shared" si="17"/>
        <v>1.0398220694866271</v>
      </c>
      <c r="DL18" s="188">
        <f t="shared" si="18"/>
        <v>2.2261609689827151</v>
      </c>
      <c r="DM18" s="188">
        <f t="shared" si="19"/>
        <v>1.3550399987865682</v>
      </c>
      <c r="DN18" s="188">
        <f t="shared" si="20"/>
        <v>7.2692196450596738</v>
      </c>
      <c r="DO18" s="188">
        <f t="shared" si="21"/>
        <v>5.6637605887563405</v>
      </c>
      <c r="DP18" s="188">
        <f t="shared" si="22"/>
        <v>12.932980233816016</v>
      </c>
      <c r="DQ18" s="188">
        <f t="shared" si="23"/>
        <v>15.752487389559592</v>
      </c>
      <c r="DR18" s="188">
        <f t="shared" si="24"/>
        <v>12.60595099733659</v>
      </c>
      <c r="DS18" s="188">
        <f t="shared" si="25"/>
        <v>33.802993973559538</v>
      </c>
      <c r="DT18" s="188">
        <f t="shared" si="26"/>
        <v>73.801870746636624</v>
      </c>
      <c r="DU18" s="188">
        <f t="shared" si="27"/>
        <v>11.910109020760805</v>
      </c>
      <c r="DV18" s="188">
        <f t="shared" si="28"/>
        <v>100</v>
      </c>
      <c r="DW18" s="188">
        <f t="shared" si="29"/>
        <v>101.91094303968281</v>
      </c>
      <c r="DY18" s="181">
        <f t="shared" si="30"/>
        <v>9.8287200000000005E-2</v>
      </c>
      <c r="DZ18" s="181">
        <f t="shared" si="127"/>
        <v>0.32053551622240606</v>
      </c>
      <c r="EA18" s="185">
        <f t="shared" si="31"/>
        <v>0.22391271411131364</v>
      </c>
      <c r="EB18" s="185">
        <f>AG18+AH18+AL18-Intermediate!FJ18-Intermediate!FM18</f>
        <v>1.8725100672337525</v>
      </c>
      <c r="EC18" s="185">
        <f>AI18+AJ18-Intermediate!FK18</f>
        <v>0.28820740421274121</v>
      </c>
      <c r="ED18" s="240">
        <f t="shared" si="32"/>
        <v>2.1574139056911783E-2</v>
      </c>
      <c r="EE18" s="240">
        <f>Intermediate!FJ18+Intermediate!FK18+Intermediate!FM18</f>
        <v>0.49123874179407401</v>
      </c>
      <c r="EF18" s="240">
        <f t="shared" si="33"/>
        <v>2.3846301855578069</v>
      </c>
      <c r="EG18" s="240">
        <f t="shared" si="34"/>
        <v>0.41882271622240608</v>
      </c>
      <c r="EH18" s="240">
        <f t="shared" si="35"/>
        <v>3.3162657826311985</v>
      </c>
      <c r="EI18" s="181">
        <f t="shared" si="36"/>
        <v>3.3162657826311994</v>
      </c>
      <c r="EK18" s="31">
        <f>DY18/Basicinfo!$G18*1000/100</f>
        <v>1.1979754958740787E-2</v>
      </c>
      <c r="EL18" s="31">
        <f>DZ18/Basicinfo!$G18*1000/100</f>
        <v>3.9068535271305993E-2</v>
      </c>
      <c r="EM18" s="220">
        <f>EG18/Basicinfo!$G18*1000/100</f>
        <v>5.1048290230046783E-2</v>
      </c>
      <c r="EN18" s="220">
        <f>ED18/Basicinfo!$G18*1000/100</f>
        <v>2.6295682382609558E-3</v>
      </c>
      <c r="EO18" s="220">
        <f>EF18/Basicinfo!$G18*1000/100</f>
        <v>0.29065112537745608</v>
      </c>
      <c r="EP18" s="220">
        <f>EE18/Basicinfo!$G18*1000/100</f>
        <v>5.9874731937964894E-2</v>
      </c>
      <c r="EQ18" s="220">
        <f>EH18/Basicinfo!$G18*1000/100</f>
        <v>0.40420371578372866</v>
      </c>
      <c r="ER18" s="31">
        <f>EI18/Basicinfo!$G18*1000/100</f>
        <v>0.40420371578372882</v>
      </c>
      <c r="ET18" s="188">
        <f t="shared" si="37"/>
        <v>2.9637913979867059</v>
      </c>
      <c r="EU18" s="188">
        <f t="shared" si="38"/>
        <v>9.6655556952400214</v>
      </c>
      <c r="EV18" s="223">
        <f t="shared" si="39"/>
        <v>12.629347093226729</v>
      </c>
      <c r="EW18" s="223">
        <f t="shared" si="40"/>
        <v>0.65055518679791635</v>
      </c>
      <c r="EX18" s="223">
        <f t="shared" si="41"/>
        <v>71.907088932594178</v>
      </c>
      <c r="EY18" s="223">
        <f t="shared" si="42"/>
        <v>14.813008787381154</v>
      </c>
      <c r="EZ18" s="223">
        <f t="shared" si="43"/>
        <v>99.999999999999957</v>
      </c>
      <c r="FA18" s="188">
        <f t="shared" si="44"/>
        <v>100</v>
      </c>
      <c r="FC18" s="236">
        <f>Basicinfo!CT18</f>
        <v>5.0422580645161288</v>
      </c>
      <c r="FD18" s="181">
        <f>IF((Intermediate!CL18+Intermediate!CM18*3)/4&gt;11,(Intermediate!CL18+Intermediate!CM18*9)/10,(Intermediate!CL18+Intermediate!CM18*3)/4)</f>
        <v>1.8345811771840548</v>
      </c>
      <c r="FF18" s="31">
        <f t="shared" si="45"/>
        <v>2.1574139056911783E-2</v>
      </c>
      <c r="FG18" s="31">
        <f t="shared" si="46"/>
        <v>0.34061799076030119</v>
      </c>
      <c r="FH18" s="31">
        <f t="shared" si="47"/>
        <v>0</v>
      </c>
      <c r="FI18" s="31">
        <f>(AI18-(P18*450/1000000))*Parameters!$C$153</f>
        <v>0.21865834242025814</v>
      </c>
      <c r="FJ18" s="31"/>
      <c r="FK18" s="31">
        <f t="shared" si="48"/>
        <v>0.22391271411131364</v>
      </c>
      <c r="FL18" s="31">
        <f t="shared" si="49"/>
        <v>1.8316287391923933</v>
      </c>
      <c r="FM18" s="31">
        <f>AM18*Parameters!$C$154</f>
        <v>5.6072782855083304E-2</v>
      </c>
      <c r="FN18" s="31">
        <f>AN18*Parameters!$C$154</f>
        <v>0.10239150928819242</v>
      </c>
      <c r="FO18" s="31">
        <f>AO18*Parameters!$C$154</f>
        <v>0.13001767245688972</v>
      </c>
      <c r="FP18" s="31">
        <f>AQ18*Parameters!$C$155</f>
        <v>9.8287200000000005E-2</v>
      </c>
      <c r="FQ18" s="31">
        <f t="shared" si="50"/>
        <v>3.0231610901413437</v>
      </c>
      <c r="FS18" s="147">
        <f>DY18*Parameters!$C$155</f>
        <v>9.8287200000000005E-2</v>
      </c>
      <c r="FT18" s="147">
        <f>DZ18*Parameters!$C$154</f>
        <v>0.28848196460016545</v>
      </c>
      <c r="FU18" s="181">
        <f t="shared" si="51"/>
        <v>0.22391271411131364</v>
      </c>
      <c r="FV18" s="181">
        <f t="shared" si="52"/>
        <v>1.8725100672337525</v>
      </c>
      <c r="FW18" s="31">
        <f t="shared" si="53"/>
        <v>0.21865834242025822</v>
      </c>
      <c r="FX18" s="181">
        <f t="shared" si="54"/>
        <v>2.1574139056911783E-2</v>
      </c>
      <c r="FY18" s="147">
        <f>Intermediate!FJ18+Intermediate!FM18</f>
        <v>0.29973666271894212</v>
      </c>
      <c r="FZ18" s="181">
        <f t="shared" si="55"/>
        <v>2.3150811237653244</v>
      </c>
      <c r="GA18" s="147">
        <f t="shared" si="56"/>
        <v>0.38676916460016547</v>
      </c>
      <c r="GB18" s="181">
        <f t="shared" si="57"/>
        <v>3.0231610901413442</v>
      </c>
      <c r="GD18" s="147">
        <f>IF('River loads'!CH18&gt;0.99,1,0)</f>
        <v>0</v>
      </c>
      <c r="GE18" s="147">
        <f t="shared" si="58"/>
        <v>0</v>
      </c>
      <c r="GF18" s="147">
        <f t="shared" si="59"/>
        <v>0</v>
      </c>
      <c r="GG18" s="147">
        <f t="shared" si="60"/>
        <v>0</v>
      </c>
      <c r="GH18" s="147">
        <f t="shared" si="61"/>
        <v>0</v>
      </c>
      <c r="GI18" s="147">
        <f t="shared" si="62"/>
        <v>0</v>
      </c>
      <c r="GJ18" s="147">
        <f t="shared" si="63"/>
        <v>0</v>
      </c>
      <c r="GK18" s="147">
        <f t="shared" si="64"/>
        <v>0</v>
      </c>
      <c r="GL18" s="147">
        <f t="shared" si="65"/>
        <v>0</v>
      </c>
      <c r="GM18" s="270">
        <f t="shared" si="128"/>
        <v>0</v>
      </c>
      <c r="GN18" s="270">
        <f t="shared" si="129"/>
        <v>0</v>
      </c>
      <c r="GO18" s="147">
        <f t="shared" si="66"/>
        <v>0</v>
      </c>
      <c r="GP18" s="147">
        <f t="shared" si="67"/>
        <v>0</v>
      </c>
      <c r="GQ18" s="147"/>
      <c r="GR18" s="147">
        <f t="shared" si="68"/>
        <v>0</v>
      </c>
      <c r="GS18" s="147">
        <f t="shared" si="69"/>
        <v>0</v>
      </c>
      <c r="GT18" s="147">
        <f t="shared" si="70"/>
        <v>0</v>
      </c>
      <c r="GU18" s="147">
        <f t="shared" si="71"/>
        <v>0</v>
      </c>
      <c r="GV18" s="147">
        <f t="shared" si="72"/>
        <v>0</v>
      </c>
      <c r="GW18" s="147">
        <f t="shared" si="73"/>
        <v>0</v>
      </c>
      <c r="GX18" s="147">
        <f t="shared" si="74"/>
        <v>0</v>
      </c>
      <c r="GY18" s="147">
        <f t="shared" si="75"/>
        <v>0</v>
      </c>
      <c r="GZ18" s="147">
        <f t="shared" si="130"/>
        <v>0</v>
      </c>
      <c r="HA18" s="147">
        <f t="shared" si="131"/>
        <v>0</v>
      </c>
      <c r="HB18" s="147">
        <f t="shared" si="76"/>
        <v>0</v>
      </c>
      <c r="HC18" s="147">
        <f t="shared" si="77"/>
        <v>0</v>
      </c>
      <c r="HD18" s="147"/>
      <c r="HE18" s="147">
        <f t="shared" si="78"/>
        <v>0</v>
      </c>
      <c r="HF18" s="147">
        <f t="shared" si="79"/>
        <v>0</v>
      </c>
      <c r="HG18" s="147">
        <f t="shared" si="80"/>
        <v>0</v>
      </c>
      <c r="HH18" s="147">
        <f t="shared" si="81"/>
        <v>0</v>
      </c>
      <c r="HI18" s="147">
        <f t="shared" si="82"/>
        <v>0</v>
      </c>
      <c r="HJ18" s="147">
        <f t="shared" si="83"/>
        <v>0</v>
      </c>
      <c r="HK18" s="147">
        <f t="shared" si="84"/>
        <v>0</v>
      </c>
      <c r="HL18" s="147">
        <f t="shared" si="85"/>
        <v>0</v>
      </c>
      <c r="HM18" s="147">
        <f t="shared" si="86"/>
        <v>0</v>
      </c>
      <c r="HN18" s="147">
        <f t="shared" si="87"/>
        <v>0</v>
      </c>
      <c r="HO18" s="147">
        <f t="shared" si="88"/>
        <v>0</v>
      </c>
      <c r="HQ18" s="147">
        <f t="shared" si="89"/>
        <v>0</v>
      </c>
      <c r="HR18" s="147">
        <f t="shared" si="90"/>
        <v>0</v>
      </c>
      <c r="HS18" s="147">
        <f t="shared" si="91"/>
        <v>0</v>
      </c>
      <c r="HT18" s="147">
        <f t="shared" si="92"/>
        <v>0</v>
      </c>
      <c r="HU18" s="147">
        <f t="shared" si="93"/>
        <v>0</v>
      </c>
      <c r="HV18" s="147">
        <f t="shared" si="94"/>
        <v>0</v>
      </c>
      <c r="HW18" s="147">
        <f t="shared" si="95"/>
        <v>0</v>
      </c>
      <c r="HX18" s="147">
        <f t="shared" si="96"/>
        <v>0</v>
      </c>
      <c r="HY18" s="147">
        <f t="shared" si="97"/>
        <v>0</v>
      </c>
      <c r="HZ18" s="147">
        <f t="shared" si="98"/>
        <v>0</v>
      </c>
      <c r="IB18" s="147">
        <f>IF('River loads'!CI18&gt;0.99,1,0)</f>
        <v>0</v>
      </c>
      <c r="IC18">
        <f t="shared" si="99"/>
        <v>0</v>
      </c>
      <c r="ID18">
        <f t="shared" si="100"/>
        <v>0</v>
      </c>
      <c r="IE18">
        <f t="shared" si="101"/>
        <v>0</v>
      </c>
      <c r="IF18">
        <f t="shared" si="102"/>
        <v>0</v>
      </c>
      <c r="IG18">
        <f t="shared" si="103"/>
        <v>0</v>
      </c>
      <c r="IH18">
        <f t="shared" si="104"/>
        <v>0</v>
      </c>
      <c r="II18">
        <f t="shared" si="105"/>
        <v>0</v>
      </c>
      <c r="IJ18">
        <f t="shared" si="106"/>
        <v>0</v>
      </c>
      <c r="IK18">
        <f t="shared" si="132"/>
        <v>0</v>
      </c>
      <c r="IL18">
        <f t="shared" si="133"/>
        <v>0</v>
      </c>
      <c r="IM18">
        <f t="shared" si="107"/>
        <v>0</v>
      </c>
      <c r="IN18">
        <f t="shared" si="108"/>
        <v>0</v>
      </c>
      <c r="IP18">
        <f t="shared" si="109"/>
        <v>0</v>
      </c>
      <c r="IQ18">
        <f t="shared" si="110"/>
        <v>0</v>
      </c>
      <c r="IR18">
        <f t="shared" si="111"/>
        <v>0</v>
      </c>
      <c r="IS18">
        <f t="shared" si="112"/>
        <v>0</v>
      </c>
      <c r="IT18">
        <f t="shared" si="113"/>
        <v>0</v>
      </c>
      <c r="IU18">
        <f t="shared" si="114"/>
        <v>0</v>
      </c>
      <c r="IV18">
        <f t="shared" si="115"/>
        <v>0</v>
      </c>
      <c r="IW18">
        <f t="shared" si="116"/>
        <v>0</v>
      </c>
      <c r="IX18">
        <f t="shared" si="117"/>
        <v>0</v>
      </c>
    </row>
    <row r="19" spans="1:258">
      <c r="A19" s="39" t="str">
        <f>Basicinfo!A19</f>
        <v>Kleine Mühl</v>
      </c>
      <c r="B19" s="63">
        <f>Basicinfo!B19</f>
        <v>1110</v>
      </c>
      <c r="C19" s="63">
        <f>Basicinfo!C19</f>
        <v>5000</v>
      </c>
      <c r="D19" s="130">
        <f>Basicinfo!G19</f>
        <v>201.54418290800001</v>
      </c>
      <c r="E19" s="87">
        <f t="shared" si="118"/>
        <v>3.3249579263416096</v>
      </c>
      <c r="F19" s="19">
        <f>Intermediate!AR19</f>
        <v>9.3356339760253763E-3</v>
      </c>
      <c r="G19" s="19">
        <f>Intermediate!AU19</f>
        <v>0.6393902709452175</v>
      </c>
      <c r="H19" s="19">
        <f>Intermediate!AW19</f>
        <v>0</v>
      </c>
      <c r="I19" s="19">
        <f>Intermediate!AZ19</f>
        <v>1.2300021141560119E-2</v>
      </c>
      <c r="J19" s="19">
        <f>Intermediate!BA19</f>
        <v>2.6051472941655924</v>
      </c>
      <c r="K19" s="19">
        <f>Intermediate!AC19</f>
        <v>7.9513732547322608E-3</v>
      </c>
      <c r="L19" s="19">
        <f>Intermediate!AO19</f>
        <v>5.4418486015855583E-3</v>
      </c>
      <c r="M19" s="19">
        <f>Intermediate!AP19</f>
        <v>1.404624690910334E-2</v>
      </c>
      <c r="N19" s="19">
        <f t="shared" si="119"/>
        <v>3.2936126889938167</v>
      </c>
      <c r="O19" s="19">
        <f>Basicinfo!CB19+Basicinfo!CG19</f>
        <v>3.1345237347793001E-2</v>
      </c>
      <c r="P19" s="56">
        <f>Intermediate!BK19-Intermediate!BI19</f>
        <v>336.96515814725217</v>
      </c>
      <c r="Q19" s="43">
        <f>Intermediate!BI19</f>
        <v>768.35963673580181</v>
      </c>
      <c r="R19" s="88">
        <f t="shared" si="134"/>
        <v>1105.324794883054</v>
      </c>
      <c r="S19" s="61">
        <f>Intermediate!F19*Intermediate!BO19/1000</f>
        <v>1.270525566006047</v>
      </c>
      <c r="T19" s="19">
        <f>Intermediate!BU19*Intermediate!AU19*86.4*0.365</f>
        <v>31.890335842669565</v>
      </c>
      <c r="U19" s="19">
        <f>Intermediate!AW19*Intermediate!BS19*0.365*86.4</f>
        <v>0</v>
      </c>
      <c r="V19" s="19">
        <f>(Basicinfo!BL19/1000000)*(Intermediate!BK19-Intermediate!BF19-Intermediate!BG19-Intermediate!BH19)*Intermediate!CV19</f>
        <v>4.2263799101659618</v>
      </c>
      <c r="W19" s="19">
        <f>Intermediate!BI19*Parameters!$C$51/1000000</f>
        <v>1.9208990918395043E-2</v>
      </c>
      <c r="X19" s="19">
        <f>Intermediate!AZ19*Intermediate!CG19*86.4*0.365</f>
        <v>3.681308935257833</v>
      </c>
      <c r="Y19" s="19">
        <f>Intermediate!CM19*Intermediate!BA19*86.4*0.365+Parameters!$C$126*Intermediate!BB19*Basicinfo!P19/1000+Parameters!$C$127*Intermediate!BB19*Basicinfo!S19/1000</f>
        <v>123.9099541937984</v>
      </c>
      <c r="Z19" s="19">
        <f>Intermediate!DG19</f>
        <v>0.66240851800252221</v>
      </c>
      <c r="AA19" s="19">
        <f>Intermediate!DI19</f>
        <v>1.4567983673111025</v>
      </c>
      <c r="AB19" s="19">
        <f>Intermediate!DK19</f>
        <v>2.5519846131272854</v>
      </c>
      <c r="AC19" s="19">
        <f t="shared" si="120"/>
        <v>169.66890493725711</v>
      </c>
      <c r="AD19" s="19">
        <f>Basicinfo!CC19+Basicinfo!CE19+Basicinfo!CH19+Basicinfo!CJ19</f>
        <v>2.9243637583333331</v>
      </c>
      <c r="AE19" s="87">
        <f t="shared" si="135"/>
        <v>172.59326869559044</v>
      </c>
      <c r="AF19" s="56">
        <f>Intermediate!F19*Basicinfo!BD19/1000</f>
        <v>2.7993901371107421E-2</v>
      </c>
      <c r="AG19" s="43">
        <f>Intermediate!CA19*Intermediate!AU19*86.4*0.365</f>
        <v>0.62643623105747293</v>
      </c>
      <c r="AH19" s="43">
        <f>Intermediate!AW19*Intermediate!BZ19*0.365*86.4</f>
        <v>0</v>
      </c>
      <c r="AI19" s="43">
        <f>(Intermediate!CU19/1000000)*(Intermediate!BK19-Intermediate!BF19-Intermediate!BG19-Intermediate!BH19)*Intermediate!CW19</f>
        <v>1.1269526075511913</v>
      </c>
      <c r="AJ19" s="43">
        <f>Intermediate!BF19*Parameters!$C$52/1000000+(Intermediate!BG19+Intermediate!BH19)*Intermediate!CX19/1000000</f>
        <v>0.34576183653111081</v>
      </c>
      <c r="AK19" s="43">
        <f>Intermediate!AZ19*Intermediate!CH19*86.4*0.365</f>
        <v>7.7984807305693113E-2</v>
      </c>
      <c r="AL19" s="58">
        <f>Intermediate!CR19*Intermediate!BA19*86.4*0.365</f>
        <v>3.2613612696404246</v>
      </c>
      <c r="AM19" s="43">
        <f>Intermediate!DH19</f>
        <v>0.17540452749464711</v>
      </c>
      <c r="AN19" s="42">
        <f>Intermediate!DJ19</f>
        <v>0.28025623185386495</v>
      </c>
      <c r="AO19" s="42">
        <f>Intermediate!DL19</f>
        <v>0.40567510004663421</v>
      </c>
      <c r="AP19" s="42">
        <f t="shared" si="122"/>
        <v>6.3278265128521474</v>
      </c>
      <c r="AQ19" s="43">
        <f>Basicinfo!CD19+Basicinfo!CF19+Basicinfo!CI19+Basicinfo!CK19</f>
        <v>0.91144875000000014</v>
      </c>
      <c r="AR19" s="83">
        <f t="shared" si="136"/>
        <v>7.2392752628521473</v>
      </c>
      <c r="AS19" s="19">
        <f>F19*86400*365/(Basicinfo!G19*1000000)*1000</f>
        <v>1.4607643287939822</v>
      </c>
      <c r="AT19" s="19">
        <f>G19*86400*365/(Basicinfo!G19*1000000)*1000</f>
        <v>100.04660662288956</v>
      </c>
      <c r="AU19" s="19">
        <f>H19*86400*365/(Basicinfo!G19*1000000)*1000</f>
        <v>0</v>
      </c>
      <c r="AV19" s="19">
        <f>I19*86400*365/(Basicinfo!G19*1000000)*1000</f>
        <v>1.9246076027771233</v>
      </c>
      <c r="AW19" s="19">
        <f>J19*86400*365/(Basicinfo!G19*1000000)*1000</f>
        <v>407.63233095300143</v>
      </c>
      <c r="AX19" s="53">
        <f>K19*86400*365/(Basicinfo!G19*1000000)*1000</f>
        <v>1.2441664321103223</v>
      </c>
      <c r="AY19" s="53">
        <f>L19*86400*365/(Basicinfo!G19*1000000)*1000</f>
        <v>0.85149635689530068</v>
      </c>
      <c r="AZ19" s="53">
        <f>M19*86400*365/(Basicinfo!G19*1000000)*1000</f>
        <v>2.1978428557656979</v>
      </c>
      <c r="BA19" s="19">
        <f t="shared" si="123"/>
        <v>515.35781515223334</v>
      </c>
      <c r="BB19" s="19">
        <f>O19*86400*365/(Basicinfo!G19*1000000)*1000</f>
        <v>4.9046486519098771</v>
      </c>
      <c r="BC19" s="53">
        <f t="shared" si="137"/>
        <v>520.26246380414318</v>
      </c>
      <c r="BD19" s="56">
        <f>P19/(Basicinfo!G19*100)*1000</f>
        <v>16.719170619827242</v>
      </c>
      <c r="BE19" s="43">
        <f>Q19/(Basicinfo!G19*100)*1000</f>
        <v>38.123632528086368</v>
      </c>
      <c r="BF19" s="58">
        <f t="shared" si="138"/>
        <v>54.842803147913614</v>
      </c>
      <c r="BG19" s="61">
        <f>S19/(Basicinfo!G19*100)*1000000</f>
        <v>63.039555281335552</v>
      </c>
      <c r="BH19" s="19">
        <f>T19/(Basicinfo!G19*100)*1000000</f>
        <v>1582.2999891406801</v>
      </c>
      <c r="BI19" s="19">
        <f>U19/(Basicinfo!G19*100)*1000000</f>
        <v>0</v>
      </c>
      <c r="BJ19" s="19">
        <f>V19/(Basicinfo!G19*100)*1000000</f>
        <v>209.69992034427514</v>
      </c>
      <c r="BK19" s="19">
        <f>W19/(Basicinfo!G19*100)*1000000</f>
        <v>0.95309081320215916</v>
      </c>
      <c r="BL19" s="19">
        <f>X19/(Basicinfo!G19*100)*1000000</f>
        <v>182.65518171458515</v>
      </c>
      <c r="BM19" s="19">
        <f>Y19/(Basicinfo!G19*100)*1000000</f>
        <v>6148.0293008684976</v>
      </c>
      <c r="BN19" s="53">
        <f>Z19/(Basicinfo!G19*100)*1000000</f>
        <v>32.866665187002475</v>
      </c>
      <c r="BO19" s="53">
        <f>AA19/(Basicinfo!G19*100)*1000000</f>
        <v>72.281836483273509</v>
      </c>
      <c r="BP19" s="53">
        <f>AB19/(Basicinfo!G19*100)*1000000</f>
        <v>126.62159613369761</v>
      </c>
      <c r="BQ19" s="19">
        <f t="shared" si="125"/>
        <v>8418.4471359665495</v>
      </c>
      <c r="BR19" s="19">
        <f>AD19/(Basicinfo!G19*100)*1000000</f>
        <v>145.09789943519399</v>
      </c>
      <c r="BS19" s="53">
        <f t="shared" si="139"/>
        <v>8563.545035401743</v>
      </c>
      <c r="BT19" s="56">
        <f>AF19/(Basicinfo!G19*100)*1000000</f>
        <v>1.388970942608944</v>
      </c>
      <c r="BU19" s="43">
        <f>AG19/(Basicinfo!G19*100)*1000000</f>
        <v>31.081831388972699</v>
      </c>
      <c r="BV19" s="43">
        <f>AH19/(Basicinfo!G19*100)*1000000</f>
        <v>0</v>
      </c>
      <c r="BW19" s="43">
        <f>AI19/(Basicinfo!G19*100)*1000000</f>
        <v>55.91590842716694</v>
      </c>
      <c r="BX19" s="43">
        <f>AJ19/(Basicinfo!G19*100)*1000000</f>
        <v>17.155634637638865</v>
      </c>
      <c r="BY19" s="58">
        <f>AK19/(Basicinfo!G19*100)*1000000</f>
        <v>3.8693653262764363</v>
      </c>
      <c r="BZ19" s="58">
        <f>AL19/(Basicinfo!G19*100)*1000000</f>
        <v>161.81867531890794</v>
      </c>
      <c r="CA19" s="58">
        <f>AM19/(Basicinfo!G19*100)*1000000</f>
        <v>8.7030310160187057</v>
      </c>
      <c r="CB19" s="58">
        <f>AN19/(Basicinfo!G19*100)*1000000</f>
        <v>13.905448810784833</v>
      </c>
      <c r="CC19" s="58">
        <f>AO19/(Basicinfo!G19*100)*1000000</f>
        <v>20.128345764849733</v>
      </c>
      <c r="CD19" s="58">
        <f t="shared" si="126"/>
        <v>313.96721163322508</v>
      </c>
      <c r="CE19" s="58">
        <f>AQ19/(Basicinfo!G19*100)*1000000</f>
        <v>45.223272477978405</v>
      </c>
      <c r="CF19" s="43">
        <f t="shared" si="140"/>
        <v>359.19048411120349</v>
      </c>
      <c r="CG19" s="84"/>
      <c r="CH19" s="84">
        <f t="shared" si="8"/>
        <v>2.9243637583333331</v>
      </c>
      <c r="CI19" s="146">
        <f t="shared" si="9"/>
        <v>4.6711914984409102</v>
      </c>
      <c r="CJ19" s="200">
        <f>Intermediate!EW19+Intermediate!EY19+Intermediate!FD19</f>
        <v>20.958109358984775</v>
      </c>
      <c r="CK19" s="180">
        <f>Intermediate!FA19+Intermediate!FF19</f>
        <v>19.929944169274975</v>
      </c>
      <c r="CL19" s="180">
        <f t="shared" si="10"/>
        <v>3.681308935257833</v>
      </c>
      <c r="CM19" s="180">
        <f t="shared" si="11"/>
        <v>75.541760446825279</v>
      </c>
      <c r="CN19" s="202">
        <f>Intermediate!EX19+Intermediate!EZ19+Intermediate!FE19</f>
        <v>11.683321167023241</v>
      </c>
      <c r="CO19" s="180">
        <f>Intermediate!FB19+Intermediate!FG19</f>
        <v>10.893539860826479</v>
      </c>
      <c r="CP19" s="213">
        <f>Intermediate!EP19+Intermediate!EQ19+Intermediate!ER19+Intermediate!ES19+Intermediate!ET19+Intermediate!EU19+Intermediate!EV19+W19</f>
        <v>22.309729500623622</v>
      </c>
      <c r="CQ19" s="212">
        <f t="shared" si="12"/>
        <v>22.57686102784972</v>
      </c>
      <c r="CR19" s="212">
        <f t="shared" si="13"/>
        <v>120.11112291034286</v>
      </c>
      <c r="CS19" s="211">
        <f t="shared" si="14"/>
        <v>3.5867722763358554</v>
      </c>
      <c r="CT19" s="212">
        <f t="shared" si="15"/>
        <v>168.58448571515206</v>
      </c>
      <c r="CU19" s="84"/>
      <c r="CV19" s="31">
        <f t="shared" si="16"/>
        <v>172.59326869559044</v>
      </c>
      <c r="CW19" s="31">
        <f>CH19/Basicinfo!$G19*1000/100</f>
        <v>0.14509789943519402</v>
      </c>
      <c r="CX19" s="31">
        <f>CI19/Basicinfo!$G19*1000/100</f>
        <v>0.23177009780397356</v>
      </c>
      <c r="CY19" s="31">
        <f>CS19/Basicinfo!$G19*1000/100</f>
        <v>0.17796456462219648</v>
      </c>
      <c r="CZ19" s="31">
        <f>CN19/Basicinfo!$G19*1000/100</f>
        <v>0.57969031893896894</v>
      </c>
      <c r="DA19" s="31">
        <f>CO19/Basicinfo!$G19*1000/100</f>
        <v>0.54050380932101194</v>
      </c>
      <c r="DB19" s="31">
        <f>CQ19/Basicinfo!$G19*1000/100</f>
        <v>1.120194128259981</v>
      </c>
      <c r="DC19" s="31">
        <f>CJ19/Basicinfo!$G19*1000/100</f>
        <v>1.0398766690553227</v>
      </c>
      <c r="DD19" s="31">
        <f>CK19/Basicinfo!$G19*1000/100</f>
        <v>0.98886228725204661</v>
      </c>
      <c r="DE19" s="31">
        <f>CM19/Basicinfo!$G19*1000/100</f>
        <v>3.7481488851160862</v>
      </c>
      <c r="DF19" s="31">
        <f>CR19/Basicinfo!$G19*1000/100</f>
        <v>5.9595430231380409</v>
      </c>
      <c r="DG19" s="31">
        <f>CP19/Basicinfo!$G19*1000/100</f>
        <v>1.1069398867645546</v>
      </c>
      <c r="DH19" s="31">
        <f>CT19/Basicinfo!$G19*1000/100</f>
        <v>8.3646416027847721</v>
      </c>
      <c r="DI19" s="31">
        <f>CV19/Basicinfo!$G19*1000/100</f>
        <v>8.5635450354017433</v>
      </c>
      <c r="DJ19" s="31"/>
      <c r="DK19" s="188">
        <f t="shared" si="17"/>
        <v>1.7346576975502181</v>
      </c>
      <c r="DL19" s="188">
        <f t="shared" si="18"/>
        <v>2.770831182137107</v>
      </c>
      <c r="DM19" s="188">
        <f t="shared" si="19"/>
        <v>2.1275814682000025</v>
      </c>
      <c r="DN19" s="188">
        <f t="shared" si="20"/>
        <v>6.9302469426302418</v>
      </c>
      <c r="DO19" s="188">
        <f t="shared" si="21"/>
        <v>6.4617688956460055</v>
      </c>
      <c r="DP19" s="188">
        <f t="shared" si="22"/>
        <v>13.392015838276247</v>
      </c>
      <c r="DQ19" s="188">
        <f t="shared" si="23"/>
        <v>12.431813799519215</v>
      </c>
      <c r="DR19" s="188">
        <f t="shared" si="24"/>
        <v>11.821932537107541</v>
      </c>
      <c r="DS19" s="188">
        <f t="shared" si="25"/>
        <v>44.809437906679058</v>
      </c>
      <c r="DT19" s="188">
        <f t="shared" si="26"/>
        <v>71.24684243678746</v>
      </c>
      <c r="DU19" s="188">
        <f t="shared" si="27"/>
        <v>13.233560256736284</v>
      </c>
      <c r="DV19" s="188">
        <f t="shared" si="28"/>
        <v>100</v>
      </c>
      <c r="DW19" s="188">
        <f t="shared" si="29"/>
        <v>102.37790741148731</v>
      </c>
      <c r="DY19" s="181">
        <f t="shared" si="30"/>
        <v>0.91144875000000014</v>
      </c>
      <c r="DZ19" s="181">
        <f t="shared" si="127"/>
        <v>0.86133585939514623</v>
      </c>
      <c r="EA19" s="185">
        <f t="shared" si="31"/>
        <v>7.7984807305693113E-2</v>
      </c>
      <c r="EB19" s="185">
        <f>AG19+AH19+AL19-Intermediate!FJ19-Intermediate!FM19</f>
        <v>3.3409548926265482</v>
      </c>
      <c r="EC19" s="185">
        <f>AI19+AJ19-Intermediate!FK19</f>
        <v>1.0350748026985217</v>
      </c>
      <c r="ED19" s="240">
        <f t="shared" si="32"/>
        <v>2.7993901371107421E-2</v>
      </c>
      <c r="EE19" s="240">
        <f>Intermediate!FJ19+Intermediate!FK19+Intermediate!FM19</f>
        <v>0.98448224945512952</v>
      </c>
      <c r="EF19" s="240">
        <f t="shared" si="33"/>
        <v>4.4540145026307636</v>
      </c>
      <c r="EG19" s="240">
        <f t="shared" si="34"/>
        <v>1.7727846093951465</v>
      </c>
      <c r="EH19" s="240">
        <f t="shared" si="35"/>
        <v>7.2392752628521473</v>
      </c>
      <c r="EI19" s="181">
        <f t="shared" si="36"/>
        <v>7.2392752628521473</v>
      </c>
      <c r="EK19" s="31">
        <f>DY19/Basicinfo!$G19*1000/100</f>
        <v>4.5223272477978395E-2</v>
      </c>
      <c r="EL19" s="31">
        <f>DZ19/Basicinfo!$G19*1000/100</f>
        <v>4.2736825591653267E-2</v>
      </c>
      <c r="EM19" s="220">
        <f>EG19/Basicinfo!$G19*1000/100</f>
        <v>8.7960098069631662E-2</v>
      </c>
      <c r="EN19" s="220">
        <f>ED19/Basicinfo!$G19*1000/100</f>
        <v>1.3889709426089442E-3</v>
      </c>
      <c r="EO19" s="220">
        <f>EF19/Basicinfo!$G19*1000/100</f>
        <v>0.22099444590092246</v>
      </c>
      <c r="EP19" s="220">
        <f>EE19/Basicinfo!$G19*1000/100</f>
        <v>4.8846969198040394E-2</v>
      </c>
      <c r="EQ19" s="220">
        <f>EH19/Basicinfo!$G19*1000/100</f>
        <v>0.35919048411120352</v>
      </c>
      <c r="ER19" s="31">
        <f>EI19/Basicinfo!$G19*1000/100</f>
        <v>0.35919048411120352</v>
      </c>
      <c r="ET19" s="188">
        <f t="shared" si="37"/>
        <v>12.590331447638658</v>
      </c>
      <c r="EU19" s="188">
        <f t="shared" si="38"/>
        <v>11.898095156224175</v>
      </c>
      <c r="EV19" s="223">
        <f t="shared" si="39"/>
        <v>24.48842660386283</v>
      </c>
      <c r="EW19" s="223">
        <f t="shared" si="40"/>
        <v>0.38669480513824694</v>
      </c>
      <c r="EX19" s="223">
        <f t="shared" si="41"/>
        <v>61.525696163070876</v>
      </c>
      <c r="EY19" s="223">
        <f t="shared" si="42"/>
        <v>13.599182427928024</v>
      </c>
      <c r="EZ19" s="223">
        <f t="shared" si="43"/>
        <v>100</v>
      </c>
      <c r="FA19" s="188">
        <f t="shared" si="44"/>
        <v>100</v>
      </c>
      <c r="FC19" s="236">
        <f>Basicinfo!CT19</f>
        <v>3.5790322580645162</v>
      </c>
      <c r="FD19" s="181">
        <f>IF((Intermediate!CL19+Intermediate!CM19*3)/4&gt;11,(Intermediate!CL19+Intermediate!CM19*9)/10,(Intermediate!CL19+Intermediate!CM19*3)/4)</f>
        <v>2.316331159537981</v>
      </c>
      <c r="FF19" s="31">
        <f t="shared" si="45"/>
        <v>2.7993901371107421E-2</v>
      </c>
      <c r="FG19" s="31">
        <f t="shared" si="46"/>
        <v>0.62643623105747293</v>
      </c>
      <c r="FH19" s="31">
        <f t="shared" si="47"/>
        <v>0</v>
      </c>
      <c r="FI19" s="31">
        <f>(AI19-(P19*450/1000000))*Parameters!$C$153</f>
        <v>0.7802546291079423</v>
      </c>
      <c r="FJ19" s="31"/>
      <c r="FK19" s="31">
        <f t="shared" si="48"/>
        <v>7.7984807305693113E-2</v>
      </c>
      <c r="FL19" s="31">
        <f t="shared" si="49"/>
        <v>3.2613612696404246</v>
      </c>
      <c r="FM19" s="31">
        <f>AM19*Parameters!$C$154</f>
        <v>0.15786407474518241</v>
      </c>
      <c r="FN19" s="31">
        <f>AN19*Parameters!$C$154</f>
        <v>0.25223060866847846</v>
      </c>
      <c r="FO19" s="31">
        <f>AO19*Parameters!$C$154</f>
        <v>0.3651075900419708</v>
      </c>
      <c r="FP19" s="31">
        <f>AQ19*Parameters!$C$155</f>
        <v>0.91144875000000014</v>
      </c>
      <c r="FQ19" s="31">
        <f t="shared" si="50"/>
        <v>6.460681861938272</v>
      </c>
      <c r="FS19" s="147">
        <f>DY19*Parameters!$C$155</f>
        <v>0.91144875000000014</v>
      </c>
      <c r="FT19" s="147">
        <f>DZ19*Parameters!$C$154</f>
        <v>0.77520227345563164</v>
      </c>
      <c r="FU19" s="181">
        <f t="shared" si="51"/>
        <v>7.7984807305693113E-2</v>
      </c>
      <c r="FV19" s="181">
        <f t="shared" si="52"/>
        <v>3.3409548926265482</v>
      </c>
      <c r="FW19" s="31">
        <f t="shared" si="53"/>
        <v>0.78025462910794219</v>
      </c>
      <c r="FX19" s="181">
        <f t="shared" si="54"/>
        <v>2.7993901371107421E-2</v>
      </c>
      <c r="FY19" s="147">
        <f>Intermediate!FJ19+Intermediate!FM19</f>
        <v>0.54684260807134932</v>
      </c>
      <c r="FZ19" s="181">
        <f t="shared" si="55"/>
        <v>4.1991943290401839</v>
      </c>
      <c r="GA19" s="147">
        <f t="shared" si="56"/>
        <v>1.6866510234556318</v>
      </c>
      <c r="GB19" s="181">
        <f t="shared" si="57"/>
        <v>6.460681861938272</v>
      </c>
      <c r="GD19" s="147">
        <f>IF('River loads'!CH19&gt;0.99,1,0)</f>
        <v>0</v>
      </c>
      <c r="GE19" s="147">
        <f t="shared" si="58"/>
        <v>0</v>
      </c>
      <c r="GF19" s="147">
        <f t="shared" si="59"/>
        <v>0</v>
      </c>
      <c r="GG19" s="147">
        <f t="shared" si="60"/>
        <v>0</v>
      </c>
      <c r="GH19" s="147">
        <f t="shared" si="61"/>
        <v>0</v>
      </c>
      <c r="GI19" s="147">
        <f t="shared" si="62"/>
        <v>0</v>
      </c>
      <c r="GJ19" s="147">
        <f t="shared" si="63"/>
        <v>0</v>
      </c>
      <c r="GK19" s="147">
        <f t="shared" si="64"/>
        <v>0</v>
      </c>
      <c r="GL19" s="147">
        <f t="shared" si="65"/>
        <v>0</v>
      </c>
      <c r="GM19" s="270">
        <f t="shared" si="128"/>
        <v>0</v>
      </c>
      <c r="GN19" s="270">
        <f t="shared" si="129"/>
        <v>0</v>
      </c>
      <c r="GO19" s="147">
        <f t="shared" si="66"/>
        <v>0</v>
      </c>
      <c r="GP19" s="147">
        <f t="shared" si="67"/>
        <v>0</v>
      </c>
      <c r="GQ19" s="147"/>
      <c r="GR19" s="147">
        <f t="shared" si="68"/>
        <v>0</v>
      </c>
      <c r="GS19" s="147">
        <f t="shared" si="69"/>
        <v>0</v>
      </c>
      <c r="GT19" s="147">
        <f t="shared" si="70"/>
        <v>0</v>
      </c>
      <c r="GU19" s="147">
        <f t="shared" si="71"/>
        <v>0</v>
      </c>
      <c r="GV19" s="147">
        <f t="shared" si="72"/>
        <v>0</v>
      </c>
      <c r="GW19" s="147">
        <f t="shared" si="73"/>
        <v>0</v>
      </c>
      <c r="GX19" s="147">
        <f t="shared" si="74"/>
        <v>0</v>
      </c>
      <c r="GY19" s="147">
        <f t="shared" si="75"/>
        <v>0</v>
      </c>
      <c r="GZ19" s="147">
        <f t="shared" si="130"/>
        <v>0</v>
      </c>
      <c r="HA19" s="147">
        <f t="shared" si="131"/>
        <v>0</v>
      </c>
      <c r="HB19" s="147">
        <f t="shared" si="76"/>
        <v>0</v>
      </c>
      <c r="HC19" s="147">
        <f t="shared" si="77"/>
        <v>0</v>
      </c>
      <c r="HD19" s="147"/>
      <c r="HE19" s="147">
        <f t="shared" si="78"/>
        <v>0</v>
      </c>
      <c r="HF19" s="147">
        <f t="shared" si="79"/>
        <v>0</v>
      </c>
      <c r="HG19" s="147">
        <f t="shared" si="80"/>
        <v>0</v>
      </c>
      <c r="HH19" s="147">
        <f t="shared" si="81"/>
        <v>0</v>
      </c>
      <c r="HI19" s="147">
        <f t="shared" si="82"/>
        <v>0</v>
      </c>
      <c r="HJ19" s="147">
        <f t="shared" si="83"/>
        <v>0</v>
      </c>
      <c r="HK19" s="147">
        <f t="shared" si="84"/>
        <v>0</v>
      </c>
      <c r="HL19" s="147">
        <f t="shared" si="85"/>
        <v>0</v>
      </c>
      <c r="HM19" s="147">
        <f t="shared" si="86"/>
        <v>0</v>
      </c>
      <c r="HN19" s="147">
        <f t="shared" si="87"/>
        <v>0</v>
      </c>
      <c r="HO19" s="147">
        <f t="shared" si="88"/>
        <v>0</v>
      </c>
      <c r="HQ19" s="147">
        <f t="shared" si="89"/>
        <v>0</v>
      </c>
      <c r="HR19" s="147">
        <f t="shared" si="90"/>
        <v>0</v>
      </c>
      <c r="HS19" s="147">
        <f t="shared" si="91"/>
        <v>0</v>
      </c>
      <c r="HT19" s="147">
        <f t="shared" si="92"/>
        <v>0</v>
      </c>
      <c r="HU19" s="147">
        <f t="shared" si="93"/>
        <v>0</v>
      </c>
      <c r="HV19" s="147">
        <f t="shared" si="94"/>
        <v>0</v>
      </c>
      <c r="HW19" s="147">
        <f t="shared" si="95"/>
        <v>0</v>
      </c>
      <c r="HX19" s="147">
        <f t="shared" si="96"/>
        <v>0</v>
      </c>
      <c r="HY19" s="147">
        <f t="shared" si="97"/>
        <v>0</v>
      </c>
      <c r="HZ19" s="147">
        <f t="shared" si="98"/>
        <v>0</v>
      </c>
      <c r="IB19" s="147">
        <f>IF('River loads'!CI19&gt;0.99,1,0)</f>
        <v>0</v>
      </c>
      <c r="IC19">
        <f t="shared" si="99"/>
        <v>0</v>
      </c>
      <c r="ID19">
        <f t="shared" si="100"/>
        <v>0</v>
      </c>
      <c r="IE19">
        <f t="shared" si="101"/>
        <v>0</v>
      </c>
      <c r="IF19">
        <f t="shared" si="102"/>
        <v>0</v>
      </c>
      <c r="IG19">
        <f t="shared" si="103"/>
        <v>0</v>
      </c>
      <c r="IH19">
        <f t="shared" si="104"/>
        <v>0</v>
      </c>
      <c r="II19">
        <f t="shared" si="105"/>
        <v>0</v>
      </c>
      <c r="IJ19">
        <f t="shared" si="106"/>
        <v>0</v>
      </c>
      <c r="IK19">
        <f t="shared" si="132"/>
        <v>0</v>
      </c>
      <c r="IL19">
        <f t="shared" si="133"/>
        <v>0</v>
      </c>
      <c r="IM19">
        <f t="shared" si="107"/>
        <v>0</v>
      </c>
      <c r="IN19">
        <f t="shared" si="108"/>
        <v>0</v>
      </c>
      <c r="IP19">
        <f t="shared" si="109"/>
        <v>0</v>
      </c>
      <c r="IQ19">
        <f t="shared" si="110"/>
        <v>0</v>
      </c>
      <c r="IR19">
        <f t="shared" si="111"/>
        <v>0</v>
      </c>
      <c r="IS19">
        <f t="shared" si="112"/>
        <v>0</v>
      </c>
      <c r="IT19">
        <f t="shared" si="113"/>
        <v>0</v>
      </c>
      <c r="IU19">
        <f t="shared" si="114"/>
        <v>0</v>
      </c>
      <c r="IV19">
        <f t="shared" si="115"/>
        <v>0</v>
      </c>
      <c r="IW19">
        <f t="shared" si="116"/>
        <v>0</v>
      </c>
      <c r="IX19">
        <f t="shared" si="117"/>
        <v>0</v>
      </c>
    </row>
    <row r="20" spans="1:258">
      <c r="A20" s="39" t="str">
        <f>Basicinfo!A20</f>
        <v>Steinerne Mühl</v>
      </c>
      <c r="B20" s="63">
        <f>Basicinfo!B20</f>
        <v>1120</v>
      </c>
      <c r="C20" s="63">
        <f>Basicinfo!C20</f>
        <v>1130</v>
      </c>
      <c r="D20" s="130">
        <f>Basicinfo!G20</f>
        <v>108.905833594</v>
      </c>
      <c r="E20" s="87">
        <f t="shared" si="118"/>
        <v>1.6396631659407199</v>
      </c>
      <c r="F20" s="19">
        <f>Intermediate!AR20</f>
        <v>4.7799201754787678E-3</v>
      </c>
      <c r="G20" s="19">
        <f>Intermediate!AU20</f>
        <v>0.31327305068493011</v>
      </c>
      <c r="H20" s="19">
        <f>Intermediate!AW20</f>
        <v>0</v>
      </c>
      <c r="I20" s="19">
        <f>Intermediate!AZ20</f>
        <v>1.8886888267210147E-2</v>
      </c>
      <c r="J20" s="19">
        <f>Intermediate!BA20</f>
        <v>1.2920471972122434</v>
      </c>
      <c r="K20" s="19">
        <f>Intermediate!AC20</f>
        <v>3.1164532454720276E-3</v>
      </c>
      <c r="L20" s="19">
        <f>Intermediate!AO20</f>
        <v>2.0441389889808786E-3</v>
      </c>
      <c r="M20" s="19">
        <f>Intermediate!AP20</f>
        <v>5.5155173664044573E-3</v>
      </c>
      <c r="N20" s="19">
        <f t="shared" si="119"/>
        <v>1.6396631659407199</v>
      </c>
      <c r="O20" s="19">
        <f>Basicinfo!CB20+Basicinfo!CG20</f>
        <v>0</v>
      </c>
      <c r="P20" s="56">
        <f>Intermediate!BK20-Intermediate!BI20</f>
        <v>67.343876044060039</v>
      </c>
      <c r="Q20" s="43">
        <f>Intermediate!BI20</f>
        <v>573.6132689438997</v>
      </c>
      <c r="R20" s="88">
        <f t="shared" si="134"/>
        <v>640.95714498795974</v>
      </c>
      <c r="S20" s="61">
        <f>Intermediate!F20*Intermediate!BO20/1000</f>
        <v>0.61566276118456664</v>
      </c>
      <c r="T20" s="19">
        <f>Intermediate!BU20*Intermediate!AU20*86.4*0.365</f>
        <v>13.974274044605544</v>
      </c>
      <c r="U20" s="19">
        <f>Intermediate!AW20*Intermediate!BS20*0.365*86.4</f>
        <v>0</v>
      </c>
      <c r="V20" s="19">
        <f>(Basicinfo!BL20/1000000)*(Intermediate!BK20-Intermediate!BF20-Intermediate!BG20-Intermediate!BH20)*Intermediate!CV20</f>
        <v>0.57965249559933718</v>
      </c>
      <c r="W20" s="19">
        <f>Intermediate!BI20*Parameters!$C$51/1000000</f>
        <v>1.4340331723597492E-2</v>
      </c>
      <c r="X20" s="19">
        <f>Intermediate!AZ20*Intermediate!CG20*86.4*0.365</f>
        <v>6.2210042360595166</v>
      </c>
      <c r="Y20" s="19">
        <f>Intermediate!CM20*Intermediate!BA20*86.4*0.365+Parameters!$C$126*Intermediate!BB20*Basicinfo!P20/1000+Parameters!$C$127*Intermediate!BB20*Basicinfo!S20/1000</f>
        <v>57.254812128626604</v>
      </c>
      <c r="Z20" s="19">
        <f>Intermediate!DG20</f>
        <v>0.25269297015382852</v>
      </c>
      <c r="AA20" s="19">
        <f>Intermediate!DI20</f>
        <v>0.50795786465158477</v>
      </c>
      <c r="AB20" s="19">
        <f>Intermediate!DK20</f>
        <v>1.0379826397686898</v>
      </c>
      <c r="AC20" s="19">
        <f t="shared" si="120"/>
        <v>80.458379472373267</v>
      </c>
      <c r="AD20" s="19">
        <f>Basicinfo!CC20+Basicinfo!CE20+Basicinfo!CH20+Basicinfo!CJ20</f>
        <v>0</v>
      </c>
      <c r="AE20" s="87">
        <f t="shared" si="135"/>
        <v>80.458379472373267</v>
      </c>
      <c r="AF20" s="56">
        <f>Intermediate!F20*Basicinfo!BD20/1000</f>
        <v>1.598769235577599E-2</v>
      </c>
      <c r="AG20" s="43">
        <f>Intermediate!CA20*Intermediate!AU20*86.4*0.365</f>
        <v>0.29473058351933584</v>
      </c>
      <c r="AH20" s="43">
        <f>Intermediate!AW20*Intermediate!BZ20*0.365*86.4</f>
        <v>0</v>
      </c>
      <c r="AI20" s="43">
        <f>(Intermediate!CU20/1000000)*(Intermediate!BK20-Intermediate!BF20-Intermediate!BG20-Intermediate!BH20)*Intermediate!CW20</f>
        <v>0.21278390195644342</v>
      </c>
      <c r="AJ20" s="43">
        <f>Intermediate!BF20*Parameters!$C$52/1000000+(Intermediate!BG20+Intermediate!BH20)*Intermediate!CX20/1000000</f>
        <v>0.25812597102475487</v>
      </c>
      <c r="AK20" s="43">
        <f>Intermediate!AZ20*Intermediate!CH20*86.4*0.365</f>
        <v>0.16309559208946414</v>
      </c>
      <c r="AL20" s="58">
        <f>Intermediate!CR20*Intermediate!BA20*86.4*0.365</f>
        <v>0.83654841414928394</v>
      </c>
      <c r="AM20" s="43">
        <f>Intermediate!DH20</f>
        <v>7.3015913620451428E-2</v>
      </c>
      <c r="AN20" s="42">
        <f>Intermediate!DJ20</f>
        <v>0.10232066500183049</v>
      </c>
      <c r="AO20" s="42">
        <f>Intermediate!DL20</f>
        <v>0.16725886419282027</v>
      </c>
      <c r="AP20" s="42">
        <f t="shared" si="122"/>
        <v>2.1238675979101602</v>
      </c>
      <c r="AQ20" s="43">
        <f>Basicinfo!CD20+Basicinfo!CF20+Basicinfo!CI20+Basicinfo!CK20</f>
        <v>0</v>
      </c>
      <c r="AR20" s="83">
        <f t="shared" si="136"/>
        <v>2.1238675979101602</v>
      </c>
      <c r="AS20" s="19">
        <f>F20*86400*365/(Basicinfo!G20*1000000)*1000</f>
        <v>1.3841275318258361</v>
      </c>
      <c r="AT20" s="19">
        <f>G20*86400*365/(Basicinfo!G20*1000000)*1000</f>
        <v>90.714873578124354</v>
      </c>
      <c r="AU20" s="19">
        <f>H20*86400*365/(Basicinfo!G20*1000000)*1000</f>
        <v>0</v>
      </c>
      <c r="AV20" s="19">
        <f>I20*86400*365/(Basicinfo!G20*1000000)*1000</f>
        <v>5.469100127502756</v>
      </c>
      <c r="AW20" s="19">
        <f>J20*86400*365/(Basicinfo!G20*1000000)*1000</f>
        <v>374.13974134008328</v>
      </c>
      <c r="AX20" s="53">
        <f>K20*86400*365/(Basicinfo!G20*1000000)*1000</f>
        <v>0.9024353086134449</v>
      </c>
      <c r="AY20" s="53">
        <f>L20*86400*365/(Basicinfo!G20*1000000)*1000</f>
        <v>0.59192391288075619</v>
      </c>
      <c r="AZ20" s="53">
        <f>M20*86400*365/(Basicinfo!G20*1000000)*1000</f>
        <v>1.5971353409347007</v>
      </c>
      <c r="BA20" s="19">
        <f t="shared" si="123"/>
        <v>474.79933713996513</v>
      </c>
      <c r="BB20" s="19">
        <f>O20*86400*365/(Basicinfo!G20*1000000)*1000</f>
        <v>0</v>
      </c>
      <c r="BC20" s="53">
        <f t="shared" si="137"/>
        <v>474.79933713996513</v>
      </c>
      <c r="BD20" s="56">
        <f>P20/(Basicinfo!G20*100)*1000</f>
        <v>6.1836794064785758</v>
      </c>
      <c r="BE20" s="43">
        <f>Q20/(Basicinfo!G20*100)*1000</f>
        <v>52.67057328465296</v>
      </c>
      <c r="BF20" s="58">
        <f t="shared" si="138"/>
        <v>58.854252691131535</v>
      </c>
      <c r="BG20" s="61">
        <f>S20/(Basicinfo!G20*100)*1000000</f>
        <v>56.531660505878136</v>
      </c>
      <c r="BH20" s="19">
        <f>T20/(Basicinfo!G20*100)*1000000</f>
        <v>1283.1520207357778</v>
      </c>
      <c r="BI20" s="19">
        <f>U20/(Basicinfo!G20*100)*1000000</f>
        <v>0</v>
      </c>
      <c r="BJ20" s="19">
        <f>V20/(Basicinfo!G20*100)*1000000</f>
        <v>53.225109846757768</v>
      </c>
      <c r="BK20" s="19">
        <f>W20/(Basicinfo!G20*100)*1000000</f>
        <v>1.3167643321163238</v>
      </c>
      <c r="BL20" s="19">
        <f>X20/(Basicinfo!G20*100)*1000000</f>
        <v>571.2278241449734</v>
      </c>
      <c r="BM20" s="19">
        <f>Y20/(Basicinfo!G20*100)*1000000</f>
        <v>5257.2768821615236</v>
      </c>
      <c r="BN20" s="53">
        <f>Z20/(Basicinfo!G20*100)*1000000</f>
        <v>23.202886550216007</v>
      </c>
      <c r="BO20" s="53">
        <f>AA20/(Basicinfo!G20*100)*1000000</f>
        <v>46.641933484045239</v>
      </c>
      <c r="BP20" s="53">
        <f>AB20/(Basicinfo!G20*100)*1000000</f>
        <v>95.31010465777986</v>
      </c>
      <c r="BQ20" s="19">
        <f t="shared" si="125"/>
        <v>7387.8851864190674</v>
      </c>
      <c r="BR20" s="19">
        <f>AD20/(Basicinfo!G20*100)*1000000</f>
        <v>0</v>
      </c>
      <c r="BS20" s="53">
        <f t="shared" si="139"/>
        <v>7387.8851864190674</v>
      </c>
      <c r="BT20" s="56">
        <f>AF20/(Basicinfo!G20*100)*1000000</f>
        <v>1.4680290144399397</v>
      </c>
      <c r="BU20" s="43">
        <f>AG20/(Basicinfo!G20*100)*1000000</f>
        <v>27.062883024070949</v>
      </c>
      <c r="BV20" s="43">
        <f>AH20/(Basicinfo!G20*100)*1000000</f>
        <v>0</v>
      </c>
      <c r="BW20" s="43">
        <f>AI20/(Basicinfo!G20*100)*1000000</f>
        <v>19.538338299645176</v>
      </c>
      <c r="BX20" s="43">
        <f>AJ20/(Basicinfo!G20*100)*1000000</f>
        <v>23.701757978093834</v>
      </c>
      <c r="BY20" s="58">
        <f>AK20/(Basicinfo!G20*100)*1000000</f>
        <v>14.975836161126418</v>
      </c>
      <c r="BZ20" s="58">
        <f>AL20/(Basicinfo!G20*100)*1000000</f>
        <v>76.813921398180483</v>
      </c>
      <c r="CA20" s="58">
        <f>AM20/(Basicinfo!G20*100)*1000000</f>
        <v>6.7044997692827106</v>
      </c>
      <c r="CB20" s="58">
        <f>AN20/(Basicinfo!G20*100)*1000000</f>
        <v>9.3953337140121462</v>
      </c>
      <c r="CC20" s="58">
        <f>AO20/(Basicinfo!G20*100)*1000000</f>
        <v>15.358117988092344</v>
      </c>
      <c r="CD20" s="58">
        <f t="shared" si="126"/>
        <v>195.01871734694399</v>
      </c>
      <c r="CE20" s="58">
        <f>AQ20/(Basicinfo!G20*100)*1000000</f>
        <v>0</v>
      </c>
      <c r="CF20" s="43">
        <f t="shared" si="140"/>
        <v>195.01871734694399</v>
      </c>
      <c r="CG20" s="84"/>
      <c r="CH20" s="84">
        <f t="shared" si="8"/>
        <v>0</v>
      </c>
      <c r="CI20" s="146">
        <f t="shared" si="9"/>
        <v>1.7986334745741031</v>
      </c>
      <c r="CJ20" s="200">
        <f>Intermediate!EW20+Intermediate!EY20+Intermediate!FD20</f>
        <v>12.788105463364204</v>
      </c>
      <c r="CK20" s="180">
        <f>Intermediate!FA20+Intermediate!FF20</f>
        <v>6.8984313516415448</v>
      </c>
      <c r="CL20" s="180">
        <f t="shared" si="10"/>
        <v>6.2210042360595166</v>
      </c>
      <c r="CM20" s="180">
        <f t="shared" si="11"/>
        <v>27.950286202219907</v>
      </c>
      <c r="CN20" s="202">
        <f>Intermediate!EX20+Intermediate!EZ20+Intermediate!FE20</f>
        <v>8.3570543886452224</v>
      </c>
      <c r="CO20" s="180">
        <f>Intermediate!FB20+Intermediate!FG20</f>
        <v>4.5095331672860484</v>
      </c>
      <c r="CP20" s="213">
        <f>Intermediate!EP20+Intermediate!EQ20+Intermediate!ER20+Intermediate!ES20+Intermediate!ET20+Intermediate!EU20+Intermediate!EV20+W20</f>
        <v>11.935331188582714</v>
      </c>
      <c r="CQ20" s="212">
        <f t="shared" si="12"/>
        <v>12.866587555931272</v>
      </c>
      <c r="CR20" s="212">
        <f t="shared" si="13"/>
        <v>53.857827253285166</v>
      </c>
      <c r="CS20" s="211">
        <f t="shared" si="14"/>
        <v>0.25269297015382852</v>
      </c>
      <c r="CT20" s="212">
        <f t="shared" si="15"/>
        <v>78.91243896795298</v>
      </c>
      <c r="CU20" s="84"/>
      <c r="CV20" s="31">
        <f t="shared" si="16"/>
        <v>80.458379472373267</v>
      </c>
      <c r="CW20" s="31">
        <f>CH20/Basicinfo!$G20*1000/100</f>
        <v>0</v>
      </c>
      <c r="CX20" s="31">
        <f>CI20/Basicinfo!$G20*1000/100</f>
        <v>0.16515492469204107</v>
      </c>
      <c r="CY20" s="31">
        <f>CS20/Basicinfo!$G20*1000/100</f>
        <v>2.3202886550216007E-2</v>
      </c>
      <c r="CZ20" s="31">
        <f>CN20/Basicinfo!$G20*1000/100</f>
        <v>0.76736517345803978</v>
      </c>
      <c r="DA20" s="31">
        <f>CO20/Basicinfo!$G20*1000/100</f>
        <v>0.41407636473336668</v>
      </c>
      <c r="DB20" s="31">
        <f>CQ20/Basicinfo!$G20*1000/100</f>
        <v>1.1814415381914065</v>
      </c>
      <c r="DC20" s="31">
        <f>CJ20/Basicinfo!$G20*1000/100</f>
        <v>1.1742351205021899</v>
      </c>
      <c r="DD20" s="31">
        <f>CK20/Basicinfo!$G20*1000/100</f>
        <v>0.63343083873347295</v>
      </c>
      <c r="DE20" s="31">
        <f>CM20/Basicinfo!$G20*1000/100</f>
        <v>2.5664636392590627</v>
      </c>
      <c r="DF20" s="31">
        <f>CR20/Basicinfo!$G20*1000/100</f>
        <v>4.9453574226396979</v>
      </c>
      <c r="DG20" s="31">
        <f>CP20/Basicinfo!$G20*1000/100</f>
        <v>1.0959313008959213</v>
      </c>
      <c r="DH20" s="31">
        <f>CT20/Basicinfo!$G20*1000/100</f>
        <v>7.245933148277242</v>
      </c>
      <c r="DI20" s="31">
        <f>CV20/Basicinfo!$G20*1000/100</f>
        <v>7.3878851864190676</v>
      </c>
      <c r="DJ20" s="31"/>
      <c r="DK20" s="188">
        <f t="shared" si="17"/>
        <v>0</v>
      </c>
      <c r="DL20" s="188">
        <f t="shared" si="18"/>
        <v>2.2792775107414225</v>
      </c>
      <c r="DM20" s="188">
        <f t="shared" si="19"/>
        <v>0.32021944000038993</v>
      </c>
      <c r="DN20" s="188">
        <f t="shared" si="20"/>
        <v>10.590287789785707</v>
      </c>
      <c r="DO20" s="188">
        <f t="shared" si="21"/>
        <v>5.7146037130057641</v>
      </c>
      <c r="DP20" s="188">
        <f t="shared" si="22"/>
        <v>16.30489150279147</v>
      </c>
      <c r="DQ20" s="188">
        <f t="shared" si="23"/>
        <v>16.205436849515657</v>
      </c>
      <c r="DR20" s="188">
        <f t="shared" si="24"/>
        <v>8.7418808008748243</v>
      </c>
      <c r="DS20" s="188">
        <f t="shared" si="25"/>
        <v>35.419366791553301</v>
      </c>
      <c r="DT20" s="188">
        <f t="shared" si="26"/>
        <v>68.2501110821797</v>
      </c>
      <c r="DU20" s="188">
        <f t="shared" si="27"/>
        <v>15.124777975028442</v>
      </c>
      <c r="DV20" s="188">
        <f t="shared" si="28"/>
        <v>100</v>
      </c>
      <c r="DW20" s="188">
        <f t="shared" si="29"/>
        <v>101.95905807074104</v>
      </c>
      <c r="DY20" s="181">
        <f t="shared" si="30"/>
        <v>0</v>
      </c>
      <c r="DZ20" s="181">
        <f t="shared" si="127"/>
        <v>0.34259544281510218</v>
      </c>
      <c r="EA20" s="185">
        <f t="shared" si="31"/>
        <v>0.16309559208946414</v>
      </c>
      <c r="EB20" s="185">
        <f>AG20+AH20+AL20-Intermediate!FJ20-Intermediate!FM20</f>
        <v>0.86161423363031009</v>
      </c>
      <c r="EC20" s="185">
        <f>AI20+AJ20-Intermediate!FK20</f>
        <v>0.18326804954072068</v>
      </c>
      <c r="ED20" s="240">
        <f t="shared" si="32"/>
        <v>1.598769235577599E-2</v>
      </c>
      <c r="EE20" s="240">
        <f>Intermediate!FJ20+Intermediate!FK20+Intermediate!FM20</f>
        <v>0.55730658747878736</v>
      </c>
      <c r="EF20" s="240">
        <f t="shared" si="33"/>
        <v>1.2079778752604948</v>
      </c>
      <c r="EG20" s="240">
        <f t="shared" si="34"/>
        <v>0.34259544281510218</v>
      </c>
      <c r="EH20" s="240">
        <f t="shared" si="35"/>
        <v>2.1238675979101602</v>
      </c>
      <c r="EI20" s="181">
        <f t="shared" si="36"/>
        <v>2.1238675979101602</v>
      </c>
      <c r="EK20" s="31">
        <f>DY20/Basicinfo!$G20*1000/100</f>
        <v>0</v>
      </c>
      <c r="EL20" s="31">
        <f>DZ20/Basicinfo!$G20*1000/100</f>
        <v>3.1457951471387198E-2</v>
      </c>
      <c r="EM20" s="220">
        <f>EG20/Basicinfo!$G20*1000/100</f>
        <v>3.1457951471387198E-2</v>
      </c>
      <c r="EN20" s="220">
        <f>ED20/Basicinfo!$G20*1000/100</f>
        <v>1.4680290144399397E-3</v>
      </c>
      <c r="EO20" s="220">
        <f>EF20/Basicinfo!$G20*1000/100</f>
        <v>0.11091948295109937</v>
      </c>
      <c r="EP20" s="220">
        <f>EE20/Basicinfo!$G20*1000/100</f>
        <v>5.1173253910017487E-2</v>
      </c>
      <c r="EQ20" s="220">
        <f>EH20/Basicinfo!$G20*1000/100</f>
        <v>0.19501871734694401</v>
      </c>
      <c r="ER20" s="31">
        <f>EI20/Basicinfo!$G20*1000/100</f>
        <v>0.19501871734694401</v>
      </c>
      <c r="ET20" s="188">
        <f t="shared" si="37"/>
        <v>0</v>
      </c>
      <c r="EU20" s="188">
        <f t="shared" si="38"/>
        <v>16.13073447479535</v>
      </c>
      <c r="EV20" s="223">
        <f t="shared" si="39"/>
        <v>16.13073447479535</v>
      </c>
      <c r="EW20" s="223">
        <f t="shared" si="40"/>
        <v>0.75276313700098485</v>
      </c>
      <c r="EX20" s="223">
        <f t="shared" si="41"/>
        <v>56.876326775224527</v>
      </c>
      <c r="EY20" s="223">
        <f t="shared" si="42"/>
        <v>26.240175612979122</v>
      </c>
      <c r="EZ20" s="223">
        <f t="shared" si="43"/>
        <v>100</v>
      </c>
      <c r="FA20" s="188">
        <f t="shared" si="44"/>
        <v>100</v>
      </c>
      <c r="FC20" s="236">
        <f>Basicinfo!CT20</f>
        <v>3.0077419354838715</v>
      </c>
      <c r="FD20" s="181">
        <f>IF((Intermediate!CL20+Intermediate!CM20*3)/4&gt;11,(Intermediate!CL20+Intermediate!CM20*9)/10,(Intermediate!CL20+Intermediate!CM20*3)/4)</f>
        <v>2.1552557719421692</v>
      </c>
      <c r="FF20" s="31">
        <f t="shared" si="45"/>
        <v>1.598769235577599E-2</v>
      </c>
      <c r="FG20" s="31">
        <f t="shared" si="46"/>
        <v>0.29473058351933584</v>
      </c>
      <c r="FH20" s="31">
        <f t="shared" si="47"/>
        <v>0</v>
      </c>
      <c r="FI20" s="31">
        <f>(AI20-(P20*450/1000000))*Parameters!$C$153</f>
        <v>0.14598332618929313</v>
      </c>
      <c r="FJ20" s="31"/>
      <c r="FK20" s="31">
        <f t="shared" si="48"/>
        <v>0.16309559208946414</v>
      </c>
      <c r="FL20" s="31">
        <f t="shared" si="49"/>
        <v>0.83654841414928394</v>
      </c>
      <c r="FM20" s="31">
        <f>AM20*Parameters!$C$154</f>
        <v>6.5714322258406288E-2</v>
      </c>
      <c r="FN20" s="31">
        <f>AN20*Parameters!$C$154</f>
        <v>9.208859850164744E-2</v>
      </c>
      <c r="FO20" s="31">
        <f>AO20*Parameters!$C$154</f>
        <v>0.15053297777353825</v>
      </c>
      <c r="FP20" s="31">
        <f>AQ20*Parameters!$C$155</f>
        <v>0</v>
      </c>
      <c r="FQ20" s="31">
        <f t="shared" si="50"/>
        <v>1.764681506836745</v>
      </c>
      <c r="FS20" s="147">
        <f>DY20*Parameters!$C$155</f>
        <v>0</v>
      </c>
      <c r="FT20" s="147">
        <f>DZ20*Parameters!$C$154</f>
        <v>0.30833589853359195</v>
      </c>
      <c r="FU20" s="181">
        <f t="shared" si="51"/>
        <v>0.16309559208946414</v>
      </c>
      <c r="FV20" s="181">
        <f t="shared" si="52"/>
        <v>0.86161423363031009</v>
      </c>
      <c r="FW20" s="31">
        <f t="shared" si="53"/>
        <v>0.14598332618929299</v>
      </c>
      <c r="FX20" s="181">
        <f t="shared" si="54"/>
        <v>1.598769235577599E-2</v>
      </c>
      <c r="FY20" s="147">
        <f>Intermediate!FJ20+Intermediate!FM20</f>
        <v>0.26966476403830975</v>
      </c>
      <c r="FZ20" s="181">
        <f t="shared" si="55"/>
        <v>1.1706931519090671</v>
      </c>
      <c r="GA20" s="147">
        <f t="shared" si="56"/>
        <v>0.30833589853359195</v>
      </c>
      <c r="GB20" s="181">
        <f t="shared" si="57"/>
        <v>1.764681506836745</v>
      </c>
      <c r="GD20" s="147">
        <f>IF('River loads'!CH20&gt;0.99,1,0)</f>
        <v>0</v>
      </c>
      <c r="GE20" s="147">
        <f t="shared" si="58"/>
        <v>0</v>
      </c>
      <c r="GF20" s="147">
        <f t="shared" si="59"/>
        <v>0</v>
      </c>
      <c r="GG20" s="147">
        <f t="shared" si="60"/>
        <v>0</v>
      </c>
      <c r="GH20" s="147">
        <f t="shared" si="61"/>
        <v>0</v>
      </c>
      <c r="GI20" s="147">
        <f t="shared" si="62"/>
        <v>0</v>
      </c>
      <c r="GJ20" s="147">
        <f t="shared" si="63"/>
        <v>0</v>
      </c>
      <c r="GK20" s="147">
        <f t="shared" si="64"/>
        <v>0</v>
      </c>
      <c r="GL20" s="147">
        <f t="shared" si="65"/>
        <v>0</v>
      </c>
      <c r="GM20" s="270">
        <f t="shared" si="128"/>
        <v>0</v>
      </c>
      <c r="GN20" s="270">
        <f t="shared" si="129"/>
        <v>0</v>
      </c>
      <c r="GO20" s="147">
        <f t="shared" si="66"/>
        <v>0</v>
      </c>
      <c r="GP20" s="147">
        <f t="shared" si="67"/>
        <v>0</v>
      </c>
      <c r="GQ20" s="147"/>
      <c r="GR20" s="147">
        <f t="shared" si="68"/>
        <v>0</v>
      </c>
      <c r="GS20" s="147">
        <f t="shared" si="69"/>
        <v>0</v>
      </c>
      <c r="GT20" s="147">
        <f t="shared" si="70"/>
        <v>0</v>
      </c>
      <c r="GU20" s="147">
        <f t="shared" si="71"/>
        <v>0</v>
      </c>
      <c r="GV20" s="147">
        <f t="shared" si="72"/>
        <v>0</v>
      </c>
      <c r="GW20" s="147">
        <f t="shared" si="73"/>
        <v>0</v>
      </c>
      <c r="GX20" s="147">
        <f t="shared" si="74"/>
        <v>0</v>
      </c>
      <c r="GY20" s="147">
        <f t="shared" si="75"/>
        <v>0</v>
      </c>
      <c r="GZ20" s="147">
        <f t="shared" si="130"/>
        <v>0</v>
      </c>
      <c r="HA20" s="147">
        <f t="shared" si="131"/>
        <v>0</v>
      </c>
      <c r="HB20" s="147">
        <f t="shared" si="76"/>
        <v>0</v>
      </c>
      <c r="HC20" s="147">
        <f t="shared" si="77"/>
        <v>0</v>
      </c>
      <c r="HD20" s="147"/>
      <c r="HE20" s="147">
        <f t="shared" si="78"/>
        <v>0</v>
      </c>
      <c r="HF20" s="147">
        <f t="shared" si="79"/>
        <v>0</v>
      </c>
      <c r="HG20" s="147">
        <f t="shared" si="80"/>
        <v>0</v>
      </c>
      <c r="HH20" s="147">
        <f t="shared" si="81"/>
        <v>0</v>
      </c>
      <c r="HI20" s="147">
        <f t="shared" si="82"/>
        <v>0</v>
      </c>
      <c r="HJ20" s="147">
        <f t="shared" si="83"/>
        <v>0</v>
      </c>
      <c r="HK20" s="147">
        <f t="shared" si="84"/>
        <v>0</v>
      </c>
      <c r="HL20" s="147">
        <f t="shared" si="85"/>
        <v>0</v>
      </c>
      <c r="HM20" s="147">
        <f t="shared" si="86"/>
        <v>0</v>
      </c>
      <c r="HN20" s="147">
        <f t="shared" si="87"/>
        <v>0</v>
      </c>
      <c r="HO20" s="147">
        <f t="shared" si="88"/>
        <v>0</v>
      </c>
      <c r="HQ20" s="147">
        <f t="shared" si="89"/>
        <v>0</v>
      </c>
      <c r="HR20" s="147">
        <f t="shared" si="90"/>
        <v>0</v>
      </c>
      <c r="HS20" s="147">
        <f t="shared" si="91"/>
        <v>0</v>
      </c>
      <c r="HT20" s="147">
        <f t="shared" si="92"/>
        <v>0</v>
      </c>
      <c r="HU20" s="147">
        <f t="shared" si="93"/>
        <v>0</v>
      </c>
      <c r="HV20" s="147">
        <f t="shared" si="94"/>
        <v>0</v>
      </c>
      <c r="HW20" s="147">
        <f t="shared" si="95"/>
        <v>0</v>
      </c>
      <c r="HX20" s="147">
        <f t="shared" si="96"/>
        <v>0</v>
      </c>
      <c r="HY20" s="147">
        <f t="shared" si="97"/>
        <v>0</v>
      </c>
      <c r="HZ20" s="147">
        <f t="shared" si="98"/>
        <v>0</v>
      </c>
      <c r="IB20" s="147">
        <f>IF('River loads'!CI20&gt;0.99,1,0)</f>
        <v>0</v>
      </c>
      <c r="IC20">
        <f t="shared" si="99"/>
        <v>0</v>
      </c>
      <c r="ID20">
        <f t="shared" si="100"/>
        <v>0</v>
      </c>
      <c r="IE20">
        <f t="shared" si="101"/>
        <v>0</v>
      </c>
      <c r="IF20">
        <f t="shared" si="102"/>
        <v>0</v>
      </c>
      <c r="IG20">
        <f t="shared" si="103"/>
        <v>0</v>
      </c>
      <c r="IH20">
        <f t="shared" si="104"/>
        <v>0</v>
      </c>
      <c r="II20">
        <f t="shared" si="105"/>
        <v>0</v>
      </c>
      <c r="IJ20">
        <f t="shared" si="106"/>
        <v>0</v>
      </c>
      <c r="IK20">
        <f t="shared" si="132"/>
        <v>0</v>
      </c>
      <c r="IL20">
        <f t="shared" si="133"/>
        <v>0</v>
      </c>
      <c r="IM20">
        <f t="shared" si="107"/>
        <v>0</v>
      </c>
      <c r="IN20">
        <f t="shared" si="108"/>
        <v>0</v>
      </c>
      <c r="IP20">
        <f t="shared" si="109"/>
        <v>0</v>
      </c>
      <c r="IQ20">
        <f t="shared" si="110"/>
        <v>0</v>
      </c>
      <c r="IR20">
        <f t="shared" si="111"/>
        <v>0</v>
      </c>
      <c r="IS20">
        <f t="shared" si="112"/>
        <v>0</v>
      </c>
      <c r="IT20">
        <f t="shared" si="113"/>
        <v>0</v>
      </c>
      <c r="IU20">
        <f t="shared" si="114"/>
        <v>0</v>
      </c>
      <c r="IV20">
        <f t="shared" si="115"/>
        <v>0</v>
      </c>
      <c r="IW20">
        <f t="shared" si="116"/>
        <v>0</v>
      </c>
      <c r="IX20">
        <f t="shared" si="117"/>
        <v>0</v>
      </c>
    </row>
    <row r="21" spans="1:258">
      <c r="A21" s="39" t="str">
        <f>Basicinfo!A21</f>
        <v>Große Mühl</v>
      </c>
      <c r="B21" s="63">
        <f>Basicinfo!B21</f>
        <v>1130</v>
      </c>
      <c r="C21" s="63">
        <f>Basicinfo!C21</f>
        <v>5000</v>
      </c>
      <c r="D21" s="130">
        <f>Basicinfo!G21</f>
        <v>146.92194418299999</v>
      </c>
      <c r="E21" s="87">
        <f t="shared" si="118"/>
        <v>2.4863612845605201</v>
      </c>
      <c r="F21" s="19">
        <f>Intermediate!AR21</f>
        <v>1.2772405984648492E-2</v>
      </c>
      <c r="G21" s="19">
        <f>Intermediate!AU21</f>
        <v>0.46525947483081581</v>
      </c>
      <c r="H21" s="19">
        <f>Intermediate!AW21</f>
        <v>0</v>
      </c>
      <c r="I21" s="19">
        <f>Intermediate!AZ21</f>
        <v>2.101904549099419E-2</v>
      </c>
      <c r="J21" s="19">
        <f>Intermediate!BA21</f>
        <v>1.8798744101040563</v>
      </c>
      <c r="K21" s="19">
        <f>Intermediate!AC21</f>
        <v>6.3180585916110246E-3</v>
      </c>
      <c r="L21" s="19">
        <f>Intermediate!AO21</f>
        <v>4.004129328159748E-3</v>
      </c>
      <c r="M21" s="19">
        <f>Intermediate!AP21</f>
        <v>1.0653982463026561E-2</v>
      </c>
      <c r="N21" s="19">
        <f t="shared" si="119"/>
        <v>2.399901506793312</v>
      </c>
      <c r="O21" s="19">
        <f>Basicinfo!CB21+Basicinfo!CG21</f>
        <v>8.645977776720784E-2</v>
      </c>
      <c r="P21" s="56">
        <f>Intermediate!BK21-Intermediate!BI21</f>
        <v>320.18364377841431</v>
      </c>
      <c r="Q21" s="43">
        <f>Intermediate!BI21</f>
        <v>630.66189337477738</v>
      </c>
      <c r="R21" s="88">
        <f t="shared" si="134"/>
        <v>950.84553715319169</v>
      </c>
      <c r="S21" s="61">
        <f>Intermediate!F21*Intermediate!BO21/1000</f>
        <v>2.0999644952428986</v>
      </c>
      <c r="T21" s="19">
        <f>Intermediate!BU21*Intermediate!AU21*86.4*0.365</f>
        <v>23.333590987897605</v>
      </c>
      <c r="U21" s="19">
        <f>Intermediate!AW21*Intermediate!BS21*0.365*86.4</f>
        <v>0</v>
      </c>
      <c r="V21" s="19">
        <f>(Basicinfo!BL21/1000000)*(Intermediate!BK21-Intermediate!BF21-Intermediate!BG21-Intermediate!BH21)*Intermediate!CV21</f>
        <v>2.1430372327309408</v>
      </c>
      <c r="W21" s="19">
        <f>Intermediate!BI21*Parameters!$C$51/1000000</f>
        <v>1.5766547334369434E-2</v>
      </c>
      <c r="X21" s="19">
        <f>Intermediate!AZ21*Intermediate!CG21*86.4*0.365</f>
        <v>7.3257885600591743</v>
      </c>
      <c r="Y21" s="19">
        <f>Intermediate!CM21*Intermediate!BA21*86.4*0.365+Parameters!$C$126*Intermediate!BB21*Basicinfo!P21/1000+Parameters!$C$127*Intermediate!BB21*Basicinfo!S21/1000</f>
        <v>92.105877033210163</v>
      </c>
      <c r="Z21" s="19">
        <f>Intermediate!DG21</f>
        <v>0.53209395761099865</v>
      </c>
      <c r="AA21" s="19">
        <f>Intermediate!DI21</f>
        <v>1.0163445256784498</v>
      </c>
      <c r="AB21" s="19">
        <f>Intermediate!DK21</f>
        <v>2.0369700572434062</v>
      </c>
      <c r="AC21" s="19">
        <f t="shared" si="120"/>
        <v>130.60943339700799</v>
      </c>
      <c r="AD21" s="19">
        <f>Basicinfo!CC21+Basicinfo!CE21+Basicinfo!CH21+Basicinfo!CJ21</f>
        <v>7.1078833333333336</v>
      </c>
      <c r="AE21" s="87">
        <f t="shared" si="135"/>
        <v>137.71731673034134</v>
      </c>
      <c r="AF21" s="56">
        <f>Intermediate!F21*Basicinfo!BD21/1000</f>
        <v>4.9997771620662164E-2</v>
      </c>
      <c r="AG21" s="43">
        <f>Intermediate!CA21*Intermediate!AU21*86.4*0.365</f>
        <v>0.45972034707078385</v>
      </c>
      <c r="AH21" s="43">
        <f>Intermediate!AW21*Intermediate!BZ21*0.365*86.4</f>
        <v>0</v>
      </c>
      <c r="AI21" s="43">
        <f>(Intermediate!CU21/1000000)*(Intermediate!BK21-Intermediate!BF21-Intermediate!BG21-Intermediate!BH21)*Intermediate!CW21</f>
        <v>1.0238650396230122</v>
      </c>
      <c r="AJ21" s="43">
        <f>Intermediate!BF21*Parameters!$C$52/1000000+(Intermediate!BG21+Intermediate!BH21)*Intermediate!CX21/1000000</f>
        <v>0.28379785201864982</v>
      </c>
      <c r="AK21" s="43">
        <f>Intermediate!AZ21*Intermediate!CH21*86.4*0.365</f>
        <v>0.13051245898989194</v>
      </c>
      <c r="AL21" s="58">
        <f>Intermediate!CR21*Intermediate!BA21*86.4*0.365</f>
        <v>2.5930711345048989</v>
      </c>
      <c r="AM21" s="43">
        <f>Intermediate!DH21</f>
        <v>0.14320539963434947</v>
      </c>
      <c r="AN21" s="42">
        <f>Intermediate!DJ21</f>
        <v>0.1990758183581606</v>
      </c>
      <c r="AO21" s="42">
        <f>Intermediate!DL21</f>
        <v>0.32040504276520987</v>
      </c>
      <c r="AP21" s="42">
        <f t="shared" si="122"/>
        <v>5.2036508645856188</v>
      </c>
      <c r="AQ21" s="43">
        <f>Basicinfo!CD21+Basicinfo!CF21+Basicinfo!CI21+Basicinfo!CK21</f>
        <v>2.4520211666666665</v>
      </c>
      <c r="AR21" s="83">
        <f t="shared" si="136"/>
        <v>7.6556720312522852</v>
      </c>
      <c r="AS21" s="19">
        <f>F21*86400*365/(Basicinfo!G21*1000000)*1000</f>
        <v>2.7415278049286855</v>
      </c>
      <c r="AT21" s="19">
        <f>G21*86400*365/(Basicinfo!G21*1000000)*1000</f>
        <v>99.865427726638529</v>
      </c>
      <c r="AU21" s="19">
        <f>H21*86400*365/(Basicinfo!G21*1000000)*1000</f>
        <v>0</v>
      </c>
      <c r="AV21" s="19">
        <f>I21*86400*365/(Basicinfo!G21*1000000)*1000</f>
        <v>4.511624334199972</v>
      </c>
      <c r="AW21" s="19">
        <f>J21*86400*365/(Basicinfo!G21*1000000)*1000</f>
        <v>403.50486597972139</v>
      </c>
      <c r="AX21" s="53">
        <f>K21*86400*365/(Basicinfo!G21*1000000)*1000</f>
        <v>1.3561370757309894</v>
      </c>
      <c r="AY21" s="53">
        <f>L21*86400*365/(Basicinfo!G21*1000000)*1000</f>
        <v>0.85946468510901119</v>
      </c>
      <c r="AZ21" s="53">
        <f>M21*86400*365/(Basicinfo!G21*1000000)*1000</f>
        <v>2.2868196634773472</v>
      </c>
      <c r="BA21" s="19">
        <f t="shared" si="123"/>
        <v>515.12586726980589</v>
      </c>
      <c r="BB21" s="19">
        <f>O21*86400*365/(Basicinfo!G21*1000000)*1000</f>
        <v>18.558123273066208</v>
      </c>
      <c r="BC21" s="53">
        <f t="shared" si="137"/>
        <v>533.68399054287215</v>
      </c>
      <c r="BD21" s="56">
        <f>P21/(Basicinfo!G21*100)*1000</f>
        <v>21.792772043610217</v>
      </c>
      <c r="BE21" s="43">
        <f>Q21/(Basicinfo!G21*100)*1000</f>
        <v>42.924962426936752</v>
      </c>
      <c r="BF21" s="58">
        <f t="shared" si="138"/>
        <v>64.717734470546972</v>
      </c>
      <c r="BG21" s="61">
        <f>S21/(Basicinfo!G21*100)*1000000</f>
        <v>142.93062257788179</v>
      </c>
      <c r="BH21" s="19">
        <f>T21/(Basicinfo!G21*100)*1000000</f>
        <v>1588.1624162850876</v>
      </c>
      <c r="BI21" s="19">
        <f>U21/(Basicinfo!G21*100)*1000000</f>
        <v>0</v>
      </c>
      <c r="BJ21" s="19">
        <f>V21/(Basicinfo!G21*100)*1000000</f>
        <v>145.862297470122</v>
      </c>
      <c r="BK21" s="19">
        <f>W21/(Basicinfo!G21*100)*1000000</f>
        <v>1.0731240606734187</v>
      </c>
      <c r="BL21" s="19">
        <f>X21/(Basicinfo!G21*100)*1000000</f>
        <v>498.61772526876382</v>
      </c>
      <c r="BM21" s="19">
        <f>Y21/(Basicinfo!G21*100)*1000000</f>
        <v>6269.0347276161028</v>
      </c>
      <c r="BN21" s="53">
        <f>Z21/(Basicinfo!G21*100)*1000000</f>
        <v>36.216098321449117</v>
      </c>
      <c r="BO21" s="53">
        <f>AA21/(Basicinfo!G21*100)*1000000</f>
        <v>69.175815180646694</v>
      </c>
      <c r="BP21" s="53">
        <f>AB21/(Basicinfo!G21*100)*1000000</f>
        <v>138.64300997176019</v>
      </c>
      <c r="BQ21" s="19">
        <f t="shared" si="125"/>
        <v>8889.7158367524862</v>
      </c>
      <c r="BR21" s="19">
        <f>AD21/(Basicinfo!G21*100)*1000000</f>
        <v>483.7863651246027</v>
      </c>
      <c r="BS21" s="53">
        <f t="shared" si="139"/>
        <v>9373.5022018770887</v>
      </c>
      <c r="BT21" s="56">
        <f>AF21/(Basicinfo!G21*100)*1000000</f>
        <v>3.4030159278580583</v>
      </c>
      <c r="BU21" s="43">
        <f>AG21/(Basicinfo!G21*100)*1000000</f>
        <v>31.290107793439958</v>
      </c>
      <c r="BV21" s="43">
        <f>AH21/(Basicinfo!G21*100)*1000000</f>
        <v>0</v>
      </c>
      <c r="BW21" s="43">
        <f>AI21/(Basicinfo!G21*100)*1000000</f>
        <v>69.687686568299668</v>
      </c>
      <c r="BX21" s="43">
        <f>AJ21/(Basicinfo!G21*100)*1000000</f>
        <v>19.316233092121539</v>
      </c>
      <c r="BY21" s="58">
        <f>AK21/(Basicinfo!G21*100)*1000000</f>
        <v>8.8831154335482339</v>
      </c>
      <c r="BZ21" s="58">
        <f>AL21/(Basicinfo!G21*100)*1000000</f>
        <v>176.49311332792294</v>
      </c>
      <c r="CA21" s="58">
        <f>AM21/(Basicinfo!G21*100)*1000000</f>
        <v>9.7470395202488369</v>
      </c>
      <c r="CB21" s="58">
        <f>AN21/(Basicinfo!G21*100)*1000000</f>
        <v>13.549767494922328</v>
      </c>
      <c r="CC21" s="58">
        <f>AO21/(Basicinfo!G21*100)*1000000</f>
        <v>21.807841200775727</v>
      </c>
      <c r="CD21" s="58">
        <f t="shared" si="126"/>
        <v>354.17792035913726</v>
      </c>
      <c r="CE21" s="58">
        <f>AQ21/(Basicinfo!G21*100)*1000000</f>
        <v>166.89277972067458</v>
      </c>
      <c r="CF21" s="43">
        <f t="shared" si="140"/>
        <v>521.07070007981179</v>
      </c>
      <c r="CG21" s="84"/>
      <c r="CH21" s="84">
        <f t="shared" si="8"/>
        <v>7.1078833333333336</v>
      </c>
      <c r="CI21" s="146">
        <f t="shared" si="9"/>
        <v>3.5854085405328546</v>
      </c>
      <c r="CJ21" s="200">
        <f>Intermediate!EW21+Intermediate!EY21+Intermediate!FD21</f>
        <v>14.693074989152088</v>
      </c>
      <c r="CK21" s="180">
        <f>Intermediate!FA21+Intermediate!FF21</f>
        <v>13.800010906206403</v>
      </c>
      <c r="CL21" s="180">
        <f t="shared" si="10"/>
        <v>7.3257885600591743</v>
      </c>
      <c r="CM21" s="180">
        <f t="shared" si="11"/>
        <v>57.074145608592907</v>
      </c>
      <c r="CN21" s="202">
        <f>Intermediate!EX21+Intermediate!EZ21+Intermediate!FE21</f>
        <v>8.5679537814081304</v>
      </c>
      <c r="CO21" s="180">
        <f>Intermediate!FB21+Intermediate!FG21</f>
        <v>7.9520615498794758</v>
      </c>
      <c r="CP21" s="213">
        <f>Intermediate!EP21+Intermediate!EQ21+Intermediate!ER21+Intermediate!ES21+Intermediate!ET21+Intermediate!EU21+Intermediate!EV21+W21</f>
        <v>17.610989461176963</v>
      </c>
      <c r="CQ21" s="212">
        <f t="shared" si="12"/>
        <v>16.520015331287606</v>
      </c>
      <c r="CR21" s="212">
        <f t="shared" si="13"/>
        <v>92.893020064010585</v>
      </c>
      <c r="CS21" s="211">
        <f t="shared" si="14"/>
        <v>7.6399772909443318</v>
      </c>
      <c r="CT21" s="212">
        <f t="shared" si="15"/>
        <v>134.6640021474195</v>
      </c>
      <c r="CU21" s="84"/>
      <c r="CV21" s="31">
        <f t="shared" si="16"/>
        <v>137.71731673034134</v>
      </c>
      <c r="CW21" s="31">
        <f>CH21/Basicinfo!$G21*1000/100</f>
        <v>0.48378636512460266</v>
      </c>
      <c r="CX21" s="31">
        <f>CI21/Basicinfo!$G21*1000/100</f>
        <v>0.24403492347385602</v>
      </c>
      <c r="CY21" s="31">
        <f>CS21/Basicinfo!$G21*1000/100</f>
        <v>0.52000246344605183</v>
      </c>
      <c r="CZ21" s="31">
        <f>CN21/Basicinfo!$G21*1000/100</f>
        <v>0.58316365394241143</v>
      </c>
      <c r="DA21" s="31">
        <f>CO21/Basicinfo!$G21*1000/100</f>
        <v>0.54124396420828136</v>
      </c>
      <c r="DB21" s="31">
        <f>CQ21/Basicinfo!$G21*1000/100</f>
        <v>1.1244076181506928</v>
      </c>
      <c r="DC21" s="31">
        <f>CJ21/Basicinfo!$G21*1000/100</f>
        <v>1.0000599346038459</v>
      </c>
      <c r="DD21" s="31">
        <f>CK21/Basicinfo!$G21*1000/100</f>
        <v>0.93927499958873883</v>
      </c>
      <c r="DE21" s="31">
        <f>CM21/Basicinfo!$G21*1000/100</f>
        <v>3.8846576613159756</v>
      </c>
      <c r="DF21" s="31">
        <f>CR21/Basicinfo!$G21*1000/100</f>
        <v>6.3226103207773257</v>
      </c>
      <c r="DG21" s="31">
        <f>CP21/Basicinfo!$G21*1000/100</f>
        <v>1.1986629743506136</v>
      </c>
      <c r="DH21" s="31">
        <f>CT21/Basicinfo!$G21*1000/100</f>
        <v>9.165683376724683</v>
      </c>
      <c r="DI21" s="31">
        <f>CV21/Basicinfo!$G21*1000/100</f>
        <v>9.3735022018770895</v>
      </c>
      <c r="DJ21" s="31"/>
      <c r="DK21" s="188">
        <f t="shared" si="17"/>
        <v>5.2782356234683903</v>
      </c>
      <c r="DL21" s="188">
        <f t="shared" si="18"/>
        <v>2.6624847645682124</v>
      </c>
      <c r="DM21" s="188">
        <f t="shared" si="19"/>
        <v>5.673362716920213</v>
      </c>
      <c r="DN21" s="188">
        <f t="shared" si="20"/>
        <v>6.3624678048916232</v>
      </c>
      <c r="DO21" s="188">
        <f t="shared" si="21"/>
        <v>5.9051130391729991</v>
      </c>
      <c r="DP21" s="188">
        <f t="shared" si="22"/>
        <v>12.267580844064623</v>
      </c>
      <c r="DQ21" s="188">
        <f t="shared" si="23"/>
        <v>10.910915133108306</v>
      </c>
      <c r="DR21" s="188">
        <f t="shared" si="24"/>
        <v>10.247735613188775</v>
      </c>
      <c r="DS21" s="188">
        <f t="shared" si="25"/>
        <v>42.382629877665934</v>
      </c>
      <c r="DT21" s="188">
        <f t="shared" si="26"/>
        <v>68.981330261014122</v>
      </c>
      <c r="DU21" s="188">
        <f t="shared" si="27"/>
        <v>13.077726178001042</v>
      </c>
      <c r="DV21" s="188">
        <f t="shared" si="28"/>
        <v>100</v>
      </c>
      <c r="DW21" s="188">
        <f t="shared" si="29"/>
        <v>102.26735767111639</v>
      </c>
      <c r="DY21" s="181">
        <f t="shared" si="30"/>
        <v>2.4520211666666665</v>
      </c>
      <c r="DZ21" s="181">
        <f t="shared" si="127"/>
        <v>0.66268626075771997</v>
      </c>
      <c r="EA21" s="185">
        <f t="shared" si="31"/>
        <v>0.13051245898989194</v>
      </c>
      <c r="EB21" s="185">
        <f>AG21+AH21+AL21-Intermediate!FJ21-Intermediate!FM21</f>
        <v>2.6481462496870822</v>
      </c>
      <c r="EC21" s="185">
        <f>AI21+AJ21-Intermediate!FK21</f>
        <v>0.95423869589451571</v>
      </c>
      <c r="ED21" s="240">
        <f t="shared" si="32"/>
        <v>4.9997771620662164E-2</v>
      </c>
      <c r="EE21" s="240">
        <f>Intermediate!FJ21+Intermediate!FK21+Intermediate!FM21</f>
        <v>0.75806942763574703</v>
      </c>
      <c r="EF21" s="240">
        <f t="shared" si="33"/>
        <v>3.7328974045714896</v>
      </c>
      <c r="EG21" s="240">
        <f t="shared" si="34"/>
        <v>3.1147074274243867</v>
      </c>
      <c r="EH21" s="240">
        <f t="shared" si="35"/>
        <v>7.6556720312522861</v>
      </c>
      <c r="EI21" s="181">
        <f t="shared" si="36"/>
        <v>7.6556720312522852</v>
      </c>
      <c r="EK21" s="31">
        <f>DY21/Basicinfo!$G21*1000/100</f>
        <v>0.16689277972067462</v>
      </c>
      <c r="EL21" s="31">
        <f>DZ21/Basicinfo!$G21*1000/100</f>
        <v>4.5104648215946896E-2</v>
      </c>
      <c r="EM21" s="220">
        <f>EG21/Basicinfo!$G21*1000/100</f>
        <v>0.21199742793662149</v>
      </c>
      <c r="EN21" s="220">
        <f>ED21/Basicinfo!$G21*1000/100</f>
        <v>3.4030159278580592E-3</v>
      </c>
      <c r="EO21" s="220">
        <f>EF21/Basicinfo!$G21*1000/100</f>
        <v>0.25407350993953254</v>
      </c>
      <c r="EP21" s="220">
        <f>EE21/Basicinfo!$G21*1000/100</f>
        <v>5.1596746275799799E-2</v>
      </c>
      <c r="EQ21" s="220">
        <f>EH21/Basicinfo!$G21*1000/100</f>
        <v>0.52107070007981204</v>
      </c>
      <c r="ER21" s="31">
        <f>EI21/Basicinfo!$G21*1000/100</f>
        <v>0.52107070007981193</v>
      </c>
      <c r="ET21" s="188">
        <f t="shared" si="37"/>
        <v>32.02881676039582</v>
      </c>
      <c r="EU21" s="188">
        <f t="shared" si="38"/>
        <v>8.6561474688632956</v>
      </c>
      <c r="EV21" s="223">
        <f t="shared" si="39"/>
        <v>40.684964229259108</v>
      </c>
      <c r="EW21" s="223">
        <f t="shared" si="40"/>
        <v>0.6530814201099433</v>
      </c>
      <c r="EX21" s="223">
        <f t="shared" si="41"/>
        <v>48.759891872756675</v>
      </c>
      <c r="EY21" s="223">
        <f t="shared" si="42"/>
        <v>9.9020624778742636</v>
      </c>
      <c r="EZ21" s="223">
        <f t="shared" si="43"/>
        <v>100.00000000000003</v>
      </c>
      <c r="FA21" s="188">
        <f t="shared" si="44"/>
        <v>100</v>
      </c>
      <c r="FC21" s="236">
        <f>Basicinfo!CT21</f>
        <v>2.1677419354838712</v>
      </c>
      <c r="FD21" s="181">
        <f>IF((Intermediate!CL21+Intermediate!CM21*3)/4&gt;11,(Intermediate!CL21+Intermediate!CM21*9)/10,(Intermediate!CL21+Intermediate!CM21*3)/4)</f>
        <v>2.346183782853668</v>
      </c>
      <c r="FF21" s="31">
        <f t="shared" si="45"/>
        <v>4.9997771620662164E-2</v>
      </c>
      <c r="FG21" s="31">
        <f t="shared" si="46"/>
        <v>0.45972034707078385</v>
      </c>
      <c r="FH21" s="31">
        <f t="shared" si="47"/>
        <v>0</v>
      </c>
      <c r="FI21" s="31">
        <f>(AI21-(P21*450/1000000))*Parameters!$C$153</f>
        <v>0.70382591993818067</v>
      </c>
      <c r="FJ21" s="31"/>
      <c r="FK21" s="31">
        <f t="shared" si="48"/>
        <v>0.13051245898989194</v>
      </c>
      <c r="FL21" s="31">
        <f t="shared" si="49"/>
        <v>2.5930711345048989</v>
      </c>
      <c r="FM21" s="31">
        <f>AM21*Parameters!$C$154</f>
        <v>0.12888485967091454</v>
      </c>
      <c r="FN21" s="31">
        <f>AN21*Parameters!$C$154</f>
        <v>0.17916823652234454</v>
      </c>
      <c r="FO21" s="31">
        <f>AO21*Parameters!$C$154</f>
        <v>0.28836453848868887</v>
      </c>
      <c r="FP21" s="31">
        <f>AQ21*Parameters!$C$155</f>
        <v>2.4520211666666665</v>
      </c>
      <c r="FQ21" s="31">
        <f t="shared" si="50"/>
        <v>6.9855664334730321</v>
      </c>
      <c r="FS21" s="147">
        <f>DY21*Parameters!$C$155</f>
        <v>2.4520211666666665</v>
      </c>
      <c r="FT21" s="147">
        <f>DZ21*Parameters!$C$154</f>
        <v>0.59641763468194797</v>
      </c>
      <c r="FU21" s="181">
        <f t="shared" si="51"/>
        <v>0.13051245898989194</v>
      </c>
      <c r="FV21" s="181">
        <f t="shared" si="52"/>
        <v>2.6481462496870822</v>
      </c>
      <c r="FW21" s="31">
        <f t="shared" si="53"/>
        <v>0.70382591993818044</v>
      </c>
      <c r="FX21" s="181">
        <f t="shared" si="54"/>
        <v>4.9997771620662164E-2</v>
      </c>
      <c r="FY21" s="147">
        <f>Intermediate!FJ21+Intermediate!FM21</f>
        <v>0.40464523188860085</v>
      </c>
      <c r="FZ21" s="181">
        <f t="shared" si="55"/>
        <v>3.4824846286151545</v>
      </c>
      <c r="GA21" s="147">
        <f t="shared" si="56"/>
        <v>3.0484388013486146</v>
      </c>
      <c r="GB21" s="181">
        <f t="shared" si="57"/>
        <v>6.9855664334730321</v>
      </c>
      <c r="GD21" s="147">
        <f>IF('River loads'!CH21&gt;0.99,1,0)</f>
        <v>0</v>
      </c>
      <c r="GE21" s="147">
        <f t="shared" si="58"/>
        <v>0</v>
      </c>
      <c r="GF21" s="147">
        <f t="shared" si="59"/>
        <v>0</v>
      </c>
      <c r="GG21" s="147">
        <f t="shared" si="60"/>
        <v>0</v>
      </c>
      <c r="GH21" s="147">
        <f t="shared" si="61"/>
        <v>0</v>
      </c>
      <c r="GI21" s="147">
        <f t="shared" si="62"/>
        <v>0</v>
      </c>
      <c r="GJ21" s="147">
        <f t="shared" si="63"/>
        <v>0</v>
      </c>
      <c r="GK21" s="147">
        <f t="shared" si="64"/>
        <v>0</v>
      </c>
      <c r="GL21" s="147">
        <f t="shared" si="65"/>
        <v>0</v>
      </c>
      <c r="GM21" s="270">
        <f t="shared" si="128"/>
        <v>0</v>
      </c>
      <c r="GN21" s="270">
        <f t="shared" si="129"/>
        <v>0</v>
      </c>
      <c r="GO21" s="147">
        <f t="shared" si="66"/>
        <v>0</v>
      </c>
      <c r="GP21" s="147">
        <f t="shared" si="67"/>
        <v>0</v>
      </c>
      <c r="GQ21" s="147"/>
      <c r="GR21" s="147">
        <f t="shared" si="68"/>
        <v>0</v>
      </c>
      <c r="GS21" s="147">
        <f t="shared" si="69"/>
        <v>0</v>
      </c>
      <c r="GT21" s="147">
        <f t="shared" si="70"/>
        <v>0</v>
      </c>
      <c r="GU21" s="147">
        <f t="shared" si="71"/>
        <v>0</v>
      </c>
      <c r="GV21" s="147">
        <f t="shared" si="72"/>
        <v>0</v>
      </c>
      <c r="GW21" s="147">
        <f t="shared" si="73"/>
        <v>0</v>
      </c>
      <c r="GX21" s="147">
        <f t="shared" si="74"/>
        <v>0</v>
      </c>
      <c r="GY21" s="147">
        <f t="shared" si="75"/>
        <v>0</v>
      </c>
      <c r="GZ21" s="147">
        <f t="shared" si="130"/>
        <v>0</v>
      </c>
      <c r="HA21" s="147">
        <f t="shared" si="131"/>
        <v>0</v>
      </c>
      <c r="HB21" s="147">
        <f t="shared" si="76"/>
        <v>0</v>
      </c>
      <c r="HC21" s="147">
        <f t="shared" si="77"/>
        <v>0</v>
      </c>
      <c r="HD21" s="147"/>
      <c r="HE21" s="147">
        <f t="shared" si="78"/>
        <v>0</v>
      </c>
      <c r="HF21" s="147">
        <f t="shared" si="79"/>
        <v>0</v>
      </c>
      <c r="HG21" s="147">
        <f t="shared" si="80"/>
        <v>0</v>
      </c>
      <c r="HH21" s="147">
        <f t="shared" si="81"/>
        <v>0</v>
      </c>
      <c r="HI21" s="147">
        <f t="shared" si="82"/>
        <v>0</v>
      </c>
      <c r="HJ21" s="147">
        <f t="shared" si="83"/>
        <v>0</v>
      </c>
      <c r="HK21" s="147">
        <f t="shared" si="84"/>
        <v>0</v>
      </c>
      <c r="HL21" s="147">
        <f t="shared" si="85"/>
        <v>0</v>
      </c>
      <c r="HM21" s="147">
        <f t="shared" si="86"/>
        <v>0</v>
      </c>
      <c r="HN21" s="147">
        <f t="shared" si="87"/>
        <v>0</v>
      </c>
      <c r="HO21" s="147">
        <f t="shared" si="88"/>
        <v>0</v>
      </c>
      <c r="HQ21" s="147">
        <f t="shared" si="89"/>
        <v>0</v>
      </c>
      <c r="HR21" s="147">
        <f t="shared" si="90"/>
        <v>0</v>
      </c>
      <c r="HS21" s="147">
        <f t="shared" si="91"/>
        <v>0</v>
      </c>
      <c r="HT21" s="147">
        <f t="shared" si="92"/>
        <v>0</v>
      </c>
      <c r="HU21" s="147">
        <f t="shared" si="93"/>
        <v>0</v>
      </c>
      <c r="HV21" s="147">
        <f t="shared" si="94"/>
        <v>0</v>
      </c>
      <c r="HW21" s="147">
        <f t="shared" si="95"/>
        <v>0</v>
      </c>
      <c r="HX21" s="147">
        <f t="shared" si="96"/>
        <v>0</v>
      </c>
      <c r="HY21" s="147">
        <f t="shared" si="97"/>
        <v>0</v>
      </c>
      <c r="HZ21" s="147">
        <f t="shared" si="98"/>
        <v>0</v>
      </c>
      <c r="IB21" s="147">
        <f>IF('River loads'!CI21&gt;0.99,1,0)</f>
        <v>0</v>
      </c>
      <c r="IC21">
        <f t="shared" si="99"/>
        <v>0</v>
      </c>
      <c r="ID21">
        <f t="shared" si="100"/>
        <v>0</v>
      </c>
      <c r="IE21">
        <f t="shared" si="101"/>
        <v>0</v>
      </c>
      <c r="IF21">
        <f t="shared" si="102"/>
        <v>0</v>
      </c>
      <c r="IG21">
        <f t="shared" si="103"/>
        <v>0</v>
      </c>
      <c r="IH21">
        <f t="shared" si="104"/>
        <v>0</v>
      </c>
      <c r="II21">
        <f t="shared" si="105"/>
        <v>0</v>
      </c>
      <c r="IJ21">
        <f t="shared" si="106"/>
        <v>0</v>
      </c>
      <c r="IK21">
        <f t="shared" si="132"/>
        <v>0</v>
      </c>
      <c r="IL21">
        <f t="shared" si="133"/>
        <v>0</v>
      </c>
      <c r="IM21">
        <f t="shared" si="107"/>
        <v>0</v>
      </c>
      <c r="IN21">
        <f t="shared" si="108"/>
        <v>0</v>
      </c>
      <c r="IP21">
        <f t="shared" si="109"/>
        <v>0</v>
      </c>
      <c r="IQ21">
        <f t="shared" si="110"/>
        <v>0</v>
      </c>
      <c r="IR21">
        <f t="shared" si="111"/>
        <v>0</v>
      </c>
      <c r="IS21">
        <f t="shared" si="112"/>
        <v>0</v>
      </c>
      <c r="IT21">
        <f t="shared" si="113"/>
        <v>0</v>
      </c>
      <c r="IU21">
        <f t="shared" si="114"/>
        <v>0</v>
      </c>
      <c r="IV21">
        <f t="shared" si="115"/>
        <v>0</v>
      </c>
      <c r="IW21">
        <f t="shared" si="116"/>
        <v>0</v>
      </c>
      <c r="IX21">
        <f t="shared" si="117"/>
        <v>0</v>
      </c>
    </row>
    <row r="22" spans="1:258">
      <c r="A22" s="39" t="str">
        <f>Basicinfo!A22</f>
        <v>Große Mühl</v>
      </c>
      <c r="B22" s="63">
        <f>Basicinfo!B22</f>
        <v>1140</v>
      </c>
      <c r="C22" s="63">
        <f>Basicinfo!C22</f>
        <v>1130</v>
      </c>
      <c r="D22" s="130">
        <f>Basicinfo!G22</f>
        <v>151.24129567</v>
      </c>
      <c r="E22" s="87">
        <f t="shared" si="118"/>
        <v>3.3566664236659189</v>
      </c>
      <c r="F22" s="19">
        <f>Intermediate!AR22</f>
        <v>1.2608912637151772E-2</v>
      </c>
      <c r="G22" s="19">
        <f>Intermediate!AU22</f>
        <v>0.6983457007664835</v>
      </c>
      <c r="H22" s="19">
        <f>Intermediate!AW22</f>
        <v>0</v>
      </c>
      <c r="I22" s="19">
        <f>Intermediate!AZ22</f>
        <v>2.446849964149838E-2</v>
      </c>
      <c r="J22" s="19">
        <f>Intermediate!BA22</f>
        <v>2.5627258692708619</v>
      </c>
      <c r="K22" s="19">
        <f>Intermediate!AC22</f>
        <v>4.2277846740046057E-3</v>
      </c>
      <c r="L22" s="19">
        <f>Intermediate!AO22</f>
        <v>3.0545100336324686E-3</v>
      </c>
      <c r="M22" s="19">
        <f>Intermediate!AP22</f>
        <v>7.9039945198446197E-3</v>
      </c>
      <c r="N22" s="19">
        <f t="shared" si="119"/>
        <v>3.313335271543477</v>
      </c>
      <c r="O22" s="19">
        <f>Basicinfo!CB22+Basicinfo!CG22</f>
        <v>4.3331152122442075E-2</v>
      </c>
      <c r="P22" s="56">
        <f>Intermediate!BK22-Intermediate!BI22</f>
        <v>77.798545613374245</v>
      </c>
      <c r="Q22" s="43">
        <f>Intermediate!BI22</f>
        <v>1014.4175205989293</v>
      </c>
      <c r="R22" s="88">
        <f t="shared" si="134"/>
        <v>1092.2160662123035</v>
      </c>
      <c r="S22" s="61">
        <f>Intermediate!F22*Intermediate!BO22/1000</f>
        <v>1.4309170155906887</v>
      </c>
      <c r="T22" s="19">
        <f>Intermediate!BU22*Intermediate!AU22*86.4*0.365</f>
        <v>32.756381148414185</v>
      </c>
      <c r="U22" s="19">
        <f>Intermediate!AW22*Intermediate!BS22*0.365*86.4</f>
        <v>0</v>
      </c>
      <c r="V22" s="19">
        <f>(Basicinfo!BL22/1000000)*(Intermediate!BK22-Intermediate!BF22-Intermediate!BG22-Intermediate!BH22)*Intermediate!CV22</f>
        <v>0.5076530326446923</v>
      </c>
      <c r="W22" s="19">
        <f>Intermediate!BI22*Parameters!$C$51/1000000</f>
        <v>2.536043801497323E-2</v>
      </c>
      <c r="X22" s="19">
        <f>Intermediate!AZ22*Intermediate!CG22*86.4*0.365</f>
        <v>6.1168732234880849</v>
      </c>
      <c r="Y22" s="19">
        <f>Intermediate!CM22*Intermediate!BA22*86.4*0.365+Parameters!$C$126*Intermediate!BB22*Basicinfo!P22/1000+Parameters!$C$127*Intermediate!BB22*Basicinfo!S22/1000</f>
        <v>77.619113609187593</v>
      </c>
      <c r="Z22" s="19">
        <f>Intermediate!DG22</f>
        <v>0.34754006631281181</v>
      </c>
      <c r="AA22" s="19">
        <f>Intermediate!DI22</f>
        <v>0.81899490328747493</v>
      </c>
      <c r="AB22" s="19">
        <f>Intermediate!DK22</f>
        <v>1.3226755075935004</v>
      </c>
      <c r="AC22" s="19">
        <f t="shared" si="120"/>
        <v>120.94550894453401</v>
      </c>
      <c r="AD22" s="19">
        <f>Basicinfo!CC22+Basicinfo!CE22+Basicinfo!CH22+Basicinfo!CJ22</f>
        <v>1.00709475</v>
      </c>
      <c r="AE22" s="87">
        <f t="shared" si="135"/>
        <v>121.95260369453401</v>
      </c>
      <c r="AF22" s="56">
        <f>Intermediate!F22*Basicinfo!BD22/1000</f>
        <v>3.1913897987049536E-2</v>
      </c>
      <c r="AG22" s="43">
        <f>Intermediate!CA22*Intermediate!AU22*86.4*0.365</f>
        <v>0.63061159116088139</v>
      </c>
      <c r="AH22" s="43">
        <f>Intermediate!AW22*Intermediate!BZ22*0.365*86.4</f>
        <v>0</v>
      </c>
      <c r="AI22" s="43">
        <f>(Intermediate!CU22/1000000)*(Intermediate!BK22-Intermediate!BF22-Intermediate!BG22-Intermediate!BH22)*Intermediate!CW22</f>
        <v>0.23037587533003986</v>
      </c>
      <c r="AJ22" s="43">
        <f>Intermediate!BF22*Parameters!$C$52/1000000+(Intermediate!BG22+Intermediate!BH22)*Intermediate!CX22/1000000</f>
        <v>0.4564878842695182</v>
      </c>
      <c r="AK22" s="43">
        <f>Intermediate!AZ22*Intermediate!CH22*86.4*0.365</f>
        <v>0.1446031269460582</v>
      </c>
      <c r="AL22" s="58">
        <f>Intermediate!CR22*Intermediate!BA22*86.4*0.365</f>
        <v>0.34724314733905609</v>
      </c>
      <c r="AM22" s="43">
        <f>Intermediate!DH22</f>
        <v>9.5399096660460647E-2</v>
      </c>
      <c r="AN22" s="42">
        <f>Intermediate!DJ22</f>
        <v>0.15945804648525894</v>
      </c>
      <c r="AO22" s="42">
        <f>Intermediate!DL22</f>
        <v>0.21497770192954635</v>
      </c>
      <c r="AP22" s="42">
        <f t="shared" si="122"/>
        <v>2.311070368107869</v>
      </c>
      <c r="AQ22" s="43">
        <f>Basicinfo!CD22+Basicinfo!CF22+Basicinfo!CI22+Basicinfo!CK22</f>
        <v>0.97649116666666669</v>
      </c>
      <c r="AR22" s="83">
        <f t="shared" si="136"/>
        <v>3.2875615347745359</v>
      </c>
      <c r="AS22" s="19">
        <f>F22*86400*365/(Basicinfo!G22*1000000)*1000</f>
        <v>2.6291408518003894</v>
      </c>
      <c r="AT22" s="19">
        <f>G22*86400*365/(Basicinfo!G22*1000000)*1000</f>
        <v>145.61519009612849</v>
      </c>
      <c r="AU22" s="19">
        <f>H22*86400*365/(Basicinfo!G22*1000000)*1000</f>
        <v>0</v>
      </c>
      <c r="AV22" s="19">
        <f>I22*86400*365/(Basicinfo!G22*1000000)*1000</f>
        <v>5.1020364595260084</v>
      </c>
      <c r="AW22" s="19">
        <f>J22*86400*365/(Basicinfo!G22*1000000)*1000</f>
        <v>534.36544996061468</v>
      </c>
      <c r="AX22" s="53">
        <f>K22*86400*365/(Basicinfo!G22*1000000)*1000</f>
        <v>0.88155431946524843</v>
      </c>
      <c r="AY22" s="53">
        <f>L22*86400*365/(Basicinfo!G22*1000000)*1000</f>
        <v>0.63690956887075145</v>
      </c>
      <c r="AZ22" s="53">
        <f>M22*86400*365/(Basicinfo!G22*1000000)*1000</f>
        <v>1.6480973008965227</v>
      </c>
      <c r="BA22" s="19">
        <f t="shared" si="123"/>
        <v>690.8783785573022</v>
      </c>
      <c r="BB22" s="19">
        <f>O22*86400*365/(Basicinfo!G22*1000000)*1000</f>
        <v>9.0351726179002103</v>
      </c>
      <c r="BC22" s="53">
        <f t="shared" si="137"/>
        <v>699.91355117520243</v>
      </c>
      <c r="BD22" s="56">
        <f>P22/(Basicinfo!G22*100)*1000</f>
        <v>5.1440015287310352</v>
      </c>
      <c r="BE22" s="43">
        <f>Q22/(Basicinfo!G22*100)*1000</f>
        <v>67.072786972966114</v>
      </c>
      <c r="BF22" s="58">
        <f t="shared" si="138"/>
        <v>72.216788501697152</v>
      </c>
      <c r="BG22" s="61">
        <f>S22/(Basicinfo!G22*100)*1000000</f>
        <v>94.611528501638148</v>
      </c>
      <c r="BH22" s="19">
        <f>T22/(Basicinfo!G22*100)*1000000</f>
        <v>2165.8357926188869</v>
      </c>
      <c r="BI22" s="19">
        <f>U22/(Basicinfo!G22*100)*1000000</f>
        <v>0</v>
      </c>
      <c r="BJ22" s="19">
        <f>V22/(Basicinfo!G22*100)*1000000</f>
        <v>33.565768555194254</v>
      </c>
      <c r="BK22" s="19">
        <f>W22/(Basicinfo!G22*100)*1000000</f>
        <v>1.6768196743241528</v>
      </c>
      <c r="BL22" s="19">
        <f>X22/(Basicinfo!G22*100)*1000000</f>
        <v>404.44464564987322</v>
      </c>
      <c r="BM22" s="19">
        <f>Y22/(Basicinfo!G22*100)*1000000</f>
        <v>5132.1375729647361</v>
      </c>
      <c r="BN22" s="53">
        <f>Z22/(Basicinfo!G22*100)*1000000</f>
        <v>22.979178059352567</v>
      </c>
      <c r="BO22" s="53">
        <f>AA22/(Basicinfo!G22*100)*1000000</f>
        <v>54.151539740473773</v>
      </c>
      <c r="BP22" s="53">
        <f>AB22/(Basicinfo!G22*100)*1000000</f>
        <v>87.454653289899341</v>
      </c>
      <c r="BQ22" s="19">
        <f t="shared" si="125"/>
        <v>7996.8574990543775</v>
      </c>
      <c r="BR22" s="19">
        <f>AD22/(Basicinfo!G22*100)*1000000</f>
        <v>66.588608986623868</v>
      </c>
      <c r="BS22" s="53">
        <f t="shared" si="139"/>
        <v>8063.446108041001</v>
      </c>
      <c r="BT22" s="56">
        <f>AF22/(Basicinfo!G22*100)*1000000</f>
        <v>2.1101312208197336</v>
      </c>
      <c r="BU22" s="43">
        <f>AG22/(Basicinfo!G22*100)*1000000</f>
        <v>41.69572790072101</v>
      </c>
      <c r="BV22" s="43">
        <f>AH22/(Basicinfo!G22*100)*1000000</f>
        <v>0</v>
      </c>
      <c r="BW22" s="43">
        <f>AI22/(Basicinfo!G22*100)*1000000</f>
        <v>15.23233944204677</v>
      </c>
      <c r="BX22" s="43">
        <f>AJ22/(Basicinfo!G22*100)*1000000</f>
        <v>30.182754137834753</v>
      </c>
      <c r="BY22" s="58">
        <f>AK22/(Basicinfo!G22*100)*1000000</f>
        <v>9.5610875525408154</v>
      </c>
      <c r="BZ22" s="58">
        <f>AL22/(Basicinfo!G22*100)*1000000</f>
        <v>22.95954592300777</v>
      </c>
      <c r="CA22" s="58">
        <f>AM22/(Basicinfo!G22*100)*1000000</f>
        <v>6.3077412976291951</v>
      </c>
      <c r="CB22" s="58">
        <f>AN22/(Basicinfo!G22*100)*1000000</f>
        <v>10.543287518059051</v>
      </c>
      <c r="CC22" s="58">
        <f>AO22/(Basicinfo!G22*100)*1000000</f>
        <v>14.214219798712621</v>
      </c>
      <c r="CD22" s="58">
        <f t="shared" si="126"/>
        <v>152.80683479137173</v>
      </c>
      <c r="CE22" s="58">
        <f>AQ22/(Basicinfo!G22*100)*1000000</f>
        <v>64.565115125522027</v>
      </c>
      <c r="CF22" s="43">
        <f t="shared" si="140"/>
        <v>217.37194991689375</v>
      </c>
      <c r="CG22" s="84"/>
      <c r="CH22" s="84">
        <f t="shared" si="8"/>
        <v>1.00709475</v>
      </c>
      <c r="CI22" s="146">
        <f t="shared" si="9"/>
        <v>2.4892104771937871</v>
      </c>
      <c r="CJ22" s="200">
        <f>Intermediate!EW22+Intermediate!EY22+Intermediate!FD22</f>
        <v>31.049234997848615</v>
      </c>
      <c r="CK22" s="180">
        <f>Intermediate!FA22+Intermediate!FF22</f>
        <v>10.243154552719135</v>
      </c>
      <c r="CL22" s="180">
        <f t="shared" si="10"/>
        <v>6.1168732234880849</v>
      </c>
      <c r="CM22" s="180">
        <f t="shared" si="11"/>
        <v>24.161362213389637</v>
      </c>
      <c r="CN22" s="202">
        <f>Intermediate!EX22+Intermediate!EZ22+Intermediate!FE22</f>
        <v>20.655975160053131</v>
      </c>
      <c r="CO22" s="180">
        <f>Intermediate!FB22+Intermediate!FG22</f>
        <v>6.8282338719244482</v>
      </c>
      <c r="CP22" s="213">
        <f>Intermediate!EP22+Intermediate!EQ22+Intermediate!ER22+Intermediate!ES22+Intermediate!ET22+Intermediate!EU22+Intermediate!EV22+W22</f>
        <v>19.401464447917149</v>
      </c>
      <c r="CQ22" s="212">
        <f t="shared" si="12"/>
        <v>27.484209031977578</v>
      </c>
      <c r="CR22" s="212">
        <f t="shared" si="13"/>
        <v>71.57062498744547</v>
      </c>
      <c r="CS22" s="211">
        <f t="shared" si="14"/>
        <v>1.3546348163128119</v>
      </c>
      <c r="CT22" s="212">
        <f t="shared" si="15"/>
        <v>119.810933283653</v>
      </c>
      <c r="CU22" s="84"/>
      <c r="CV22" s="31">
        <f t="shared" si="16"/>
        <v>121.95260369453401</v>
      </c>
      <c r="CW22" s="31">
        <f>CH22/Basicinfo!$G22*1000/100</f>
        <v>6.6588608986623873E-2</v>
      </c>
      <c r="CX22" s="31">
        <f>CI22/Basicinfo!$G22*1000/100</f>
        <v>0.16458537108972568</v>
      </c>
      <c r="CY22" s="31">
        <f>CS22/Basicinfo!$G22*1000/100</f>
        <v>8.9567787045976441E-2</v>
      </c>
      <c r="CZ22" s="31">
        <f>CN22/Basicinfo!$G22*1000/100</f>
        <v>1.3657629067872645</v>
      </c>
      <c r="DA22" s="31">
        <f>CO22/Basicinfo!$G22*1000/100</f>
        <v>0.45147946145762141</v>
      </c>
      <c r="DB22" s="31">
        <f>CQ22/Basicinfo!$G22*1000/100</f>
        <v>1.8172423682448857</v>
      </c>
      <c r="DC22" s="31">
        <f>CJ22/Basicinfo!$G22*1000/100</f>
        <v>2.0529601297251712</v>
      </c>
      <c r="DD22" s="31">
        <f>CK22/Basicinfo!$G22*1000/100</f>
        <v>0.67727233539899856</v>
      </c>
      <c r="DE22" s="31">
        <f>CM22/Basicinfo!$G22*1000/100</f>
        <v>1.5975373727363702</v>
      </c>
      <c r="DF22" s="31">
        <f>CR22/Basicinfo!$G22*1000/100</f>
        <v>4.732214483510413</v>
      </c>
      <c r="DG22" s="31">
        <f>CP22/Basicinfo!$G22*1000/100</f>
        <v>1.2828152762093532</v>
      </c>
      <c r="DH22" s="31">
        <f>CT22/Basicinfo!$G22*1000/100</f>
        <v>7.9218399150106276</v>
      </c>
      <c r="DI22" s="31">
        <f>CV22/Basicinfo!$G22*1000/100</f>
        <v>8.0634461080410027</v>
      </c>
      <c r="DJ22" s="31"/>
      <c r="DK22" s="188">
        <f t="shared" si="17"/>
        <v>0.84056999006567967</v>
      </c>
      <c r="DL22" s="188">
        <f t="shared" si="18"/>
        <v>2.0776154637745523</v>
      </c>
      <c r="DM22" s="188">
        <f t="shared" si="19"/>
        <v>1.1306437394204309</v>
      </c>
      <c r="DN22" s="188">
        <f t="shared" si="20"/>
        <v>17.240475968207345</v>
      </c>
      <c r="DO22" s="188">
        <f t="shared" si="21"/>
        <v>5.6991742612993166</v>
      </c>
      <c r="DP22" s="188">
        <f t="shared" si="22"/>
        <v>22.939650229506661</v>
      </c>
      <c r="DQ22" s="188">
        <f t="shared" si="23"/>
        <v>25.915193335769608</v>
      </c>
      <c r="DR22" s="188">
        <f t="shared" si="24"/>
        <v>8.549432236262124</v>
      </c>
      <c r="DS22" s="188">
        <f t="shared" si="25"/>
        <v>20.166241553421081</v>
      </c>
      <c r="DT22" s="188">
        <f t="shared" si="26"/>
        <v>59.736305382081987</v>
      </c>
      <c r="DU22" s="188">
        <f t="shared" si="27"/>
        <v>16.193400648990924</v>
      </c>
      <c r="DV22" s="188">
        <f t="shared" si="28"/>
        <v>100</v>
      </c>
      <c r="DW22" s="188">
        <f t="shared" si="29"/>
        <v>101.78754171441982</v>
      </c>
      <c r="DY22" s="181">
        <f t="shared" si="30"/>
        <v>0.97649116666666669</v>
      </c>
      <c r="DZ22" s="181">
        <f t="shared" si="127"/>
        <v>0.46983484507526596</v>
      </c>
      <c r="EA22" s="185">
        <f t="shared" si="31"/>
        <v>0.1446031269460582</v>
      </c>
      <c r="EB22" s="185">
        <f>AG22+AH22+AL22-Intermediate!FJ22-Intermediate!FM22</f>
        <v>0.37921478576302148</v>
      </c>
      <c r="EC22" s="185">
        <f>AI22+AJ22-Intermediate!FK22</f>
        <v>0.20028496423017345</v>
      </c>
      <c r="ED22" s="240">
        <f t="shared" si="32"/>
        <v>3.1913897987049536E-2</v>
      </c>
      <c r="EE22" s="240">
        <f>Intermediate!FJ22+Intermediate!FK22+Intermediate!FM22</f>
        <v>1.0852187481063007</v>
      </c>
      <c r="EF22" s="240">
        <f t="shared" si="33"/>
        <v>0.72410287693925302</v>
      </c>
      <c r="EG22" s="240">
        <f t="shared" si="34"/>
        <v>1.4463260117419328</v>
      </c>
      <c r="EH22" s="240">
        <f t="shared" si="35"/>
        <v>3.2875615347745359</v>
      </c>
      <c r="EI22" s="181">
        <f t="shared" si="36"/>
        <v>3.2875615347745359</v>
      </c>
      <c r="EK22" s="31">
        <f>DY22/Basicinfo!$G22*1000/100</f>
        <v>6.456511512552203E-2</v>
      </c>
      <c r="EL22" s="31">
        <f>DZ22/Basicinfo!$G22*1000/100</f>
        <v>3.1065248614400871E-2</v>
      </c>
      <c r="EM22" s="220">
        <f>EG22/Basicinfo!$G22*1000/100</f>
        <v>9.5630363739922897E-2</v>
      </c>
      <c r="EN22" s="220">
        <f>ED22/Basicinfo!$G22*1000/100</f>
        <v>2.1101312208197335E-3</v>
      </c>
      <c r="EO22" s="220">
        <f>EF22/Basicinfo!$G22*1000/100</f>
        <v>4.7877325682213465E-2</v>
      </c>
      <c r="EP22" s="220">
        <f>EE22/Basicinfo!$G22*1000/100</f>
        <v>7.175412927393765E-2</v>
      </c>
      <c r="EQ22" s="220">
        <f>EH22/Basicinfo!$G22*1000/100</f>
        <v>0.21737194991689374</v>
      </c>
      <c r="ER22" s="31">
        <f>EI22/Basicinfo!$G22*1000/100</f>
        <v>0.21737194991689374</v>
      </c>
      <c r="ET22" s="188">
        <f t="shared" si="37"/>
        <v>29.702597391340856</v>
      </c>
      <c r="EU22" s="188">
        <f t="shared" si="38"/>
        <v>14.291286721344601</v>
      </c>
      <c r="EV22" s="223">
        <f t="shared" si="39"/>
        <v>43.993884112685457</v>
      </c>
      <c r="EW22" s="223">
        <f t="shared" si="40"/>
        <v>0.97074678753467736</v>
      </c>
      <c r="EX22" s="223">
        <f t="shared" si="41"/>
        <v>22.025530755241444</v>
      </c>
      <c r="EY22" s="223">
        <f t="shared" si="42"/>
        <v>33.009838344538423</v>
      </c>
      <c r="EZ22" s="223">
        <f t="shared" si="43"/>
        <v>100</v>
      </c>
      <c r="FA22" s="188">
        <f t="shared" si="44"/>
        <v>100</v>
      </c>
      <c r="FC22" s="236">
        <f>Basicinfo!CT22</f>
        <v>1.4790322580645161</v>
      </c>
      <c r="FD22" s="181">
        <f>IF((Intermediate!CL22+Intermediate!CM22*3)/4&gt;11,(Intermediate!CL22+Intermediate!CM22*9)/10,(Intermediate!CL22+Intermediate!CM22*3)/4)</f>
        <v>1.4291015458647245</v>
      </c>
      <c r="FF22" s="31">
        <f t="shared" si="45"/>
        <v>3.1913897987049536E-2</v>
      </c>
      <c r="FG22" s="31">
        <f t="shared" si="46"/>
        <v>0.63061159116088139</v>
      </c>
      <c r="FH22" s="31">
        <f t="shared" si="47"/>
        <v>0</v>
      </c>
      <c r="FI22" s="31">
        <f>(AI22-(P22*450/1000000))*Parameters!$C$153</f>
        <v>0.15629322384321717</v>
      </c>
      <c r="FJ22" s="31"/>
      <c r="FK22" s="31">
        <f t="shared" si="48"/>
        <v>0.1446031269460582</v>
      </c>
      <c r="FL22" s="31">
        <f t="shared" si="49"/>
        <v>0.34724314733905609</v>
      </c>
      <c r="FM22" s="31">
        <f>AM22*Parameters!$C$154</f>
        <v>8.5859186994414582E-2</v>
      </c>
      <c r="FN22" s="31">
        <f>AN22*Parameters!$C$154</f>
        <v>0.14351224183673306</v>
      </c>
      <c r="FO22" s="31">
        <f>AO22*Parameters!$C$154</f>
        <v>0.19347993173659173</v>
      </c>
      <c r="FP22" s="31">
        <f>AQ22*Parameters!$C$155</f>
        <v>0.97649116666666669</v>
      </c>
      <c r="FQ22" s="31">
        <f t="shared" si="50"/>
        <v>2.7100075145106688</v>
      </c>
      <c r="FS22" s="147">
        <f>DY22*Parameters!$C$155</f>
        <v>0.97649116666666669</v>
      </c>
      <c r="FT22" s="147">
        <f>DZ22*Parameters!$C$154</f>
        <v>0.42285136056773936</v>
      </c>
      <c r="FU22" s="181">
        <f t="shared" si="51"/>
        <v>0.1446031269460582</v>
      </c>
      <c r="FV22" s="181">
        <f t="shared" si="52"/>
        <v>0.37921478576302148</v>
      </c>
      <c r="FW22" s="31">
        <f t="shared" si="53"/>
        <v>0.15629322384321764</v>
      </c>
      <c r="FX22" s="181">
        <f t="shared" si="54"/>
        <v>3.1913897987049536E-2</v>
      </c>
      <c r="FY22" s="147">
        <f>Intermediate!FJ22+Intermediate!FM22</f>
        <v>0.59863995273691595</v>
      </c>
      <c r="FZ22" s="181">
        <f t="shared" si="55"/>
        <v>0.68011113655229727</v>
      </c>
      <c r="GA22" s="147">
        <f t="shared" si="56"/>
        <v>1.399342527234406</v>
      </c>
      <c r="GB22" s="181">
        <f t="shared" si="57"/>
        <v>2.7100075145106688</v>
      </c>
      <c r="GD22" s="147">
        <f>IF('River loads'!CH22&gt;0.99,1,0)</f>
        <v>0</v>
      </c>
      <c r="GE22" s="147">
        <f t="shared" si="58"/>
        <v>0</v>
      </c>
      <c r="GF22" s="147">
        <f t="shared" si="59"/>
        <v>0</v>
      </c>
      <c r="GG22" s="147">
        <f t="shared" si="60"/>
        <v>0</v>
      </c>
      <c r="GH22" s="147">
        <f t="shared" si="61"/>
        <v>0</v>
      </c>
      <c r="GI22" s="147">
        <f t="shared" si="62"/>
        <v>0</v>
      </c>
      <c r="GJ22" s="147">
        <f t="shared" si="63"/>
        <v>0</v>
      </c>
      <c r="GK22" s="147">
        <f t="shared" si="64"/>
        <v>0</v>
      </c>
      <c r="GL22" s="147">
        <f t="shared" si="65"/>
        <v>0</v>
      </c>
      <c r="GM22" s="270">
        <f t="shared" si="128"/>
        <v>0</v>
      </c>
      <c r="GN22" s="270">
        <f t="shared" si="129"/>
        <v>0</v>
      </c>
      <c r="GO22" s="147">
        <f t="shared" si="66"/>
        <v>0</v>
      </c>
      <c r="GP22" s="147">
        <f t="shared" si="67"/>
        <v>0</v>
      </c>
      <c r="GQ22" s="147"/>
      <c r="GR22" s="147">
        <f t="shared" si="68"/>
        <v>0</v>
      </c>
      <c r="GS22" s="147">
        <f t="shared" si="69"/>
        <v>0</v>
      </c>
      <c r="GT22" s="147">
        <f t="shared" si="70"/>
        <v>0</v>
      </c>
      <c r="GU22" s="147">
        <f t="shared" si="71"/>
        <v>0</v>
      </c>
      <c r="GV22" s="147">
        <f t="shared" si="72"/>
        <v>0</v>
      </c>
      <c r="GW22" s="147">
        <f t="shared" si="73"/>
        <v>0</v>
      </c>
      <c r="GX22" s="147">
        <f t="shared" si="74"/>
        <v>0</v>
      </c>
      <c r="GY22" s="147">
        <f t="shared" si="75"/>
        <v>0</v>
      </c>
      <c r="GZ22" s="147">
        <f t="shared" si="130"/>
        <v>0</v>
      </c>
      <c r="HA22" s="147">
        <f t="shared" si="131"/>
        <v>0</v>
      </c>
      <c r="HB22" s="147">
        <f t="shared" si="76"/>
        <v>0</v>
      </c>
      <c r="HC22" s="147">
        <f t="shared" si="77"/>
        <v>0</v>
      </c>
      <c r="HD22" s="147"/>
      <c r="HE22" s="147">
        <f t="shared" si="78"/>
        <v>0</v>
      </c>
      <c r="HF22" s="147">
        <f t="shared" si="79"/>
        <v>0</v>
      </c>
      <c r="HG22" s="147">
        <f t="shared" si="80"/>
        <v>0</v>
      </c>
      <c r="HH22" s="147">
        <f t="shared" si="81"/>
        <v>0</v>
      </c>
      <c r="HI22" s="147">
        <f t="shared" si="82"/>
        <v>0</v>
      </c>
      <c r="HJ22" s="147">
        <f t="shared" si="83"/>
        <v>0</v>
      </c>
      <c r="HK22" s="147">
        <f t="shared" si="84"/>
        <v>0</v>
      </c>
      <c r="HL22" s="147">
        <f t="shared" si="85"/>
        <v>0</v>
      </c>
      <c r="HM22" s="147">
        <f t="shared" si="86"/>
        <v>0</v>
      </c>
      <c r="HN22" s="147">
        <f t="shared" si="87"/>
        <v>0</v>
      </c>
      <c r="HO22" s="147">
        <f t="shared" si="88"/>
        <v>0</v>
      </c>
      <c r="HQ22" s="147">
        <f t="shared" si="89"/>
        <v>0</v>
      </c>
      <c r="HR22" s="147">
        <f t="shared" si="90"/>
        <v>0</v>
      </c>
      <c r="HS22" s="147">
        <f t="shared" si="91"/>
        <v>0</v>
      </c>
      <c r="HT22" s="147">
        <f t="shared" si="92"/>
        <v>0</v>
      </c>
      <c r="HU22" s="147">
        <f t="shared" si="93"/>
        <v>0</v>
      </c>
      <c r="HV22" s="147">
        <f t="shared" si="94"/>
        <v>0</v>
      </c>
      <c r="HW22" s="147">
        <f t="shared" si="95"/>
        <v>0</v>
      </c>
      <c r="HX22" s="147">
        <f t="shared" si="96"/>
        <v>0</v>
      </c>
      <c r="HY22" s="147">
        <f t="shared" si="97"/>
        <v>0</v>
      </c>
      <c r="HZ22" s="147">
        <f t="shared" si="98"/>
        <v>0</v>
      </c>
      <c r="IB22" s="147">
        <f>IF('River loads'!CI22&gt;0.99,1,0)</f>
        <v>0</v>
      </c>
      <c r="IC22">
        <f t="shared" si="99"/>
        <v>0</v>
      </c>
      <c r="ID22">
        <f t="shared" si="100"/>
        <v>0</v>
      </c>
      <c r="IE22">
        <f t="shared" si="101"/>
        <v>0</v>
      </c>
      <c r="IF22">
        <f t="shared" si="102"/>
        <v>0</v>
      </c>
      <c r="IG22">
        <f t="shared" si="103"/>
        <v>0</v>
      </c>
      <c r="IH22">
        <f t="shared" si="104"/>
        <v>0</v>
      </c>
      <c r="II22">
        <f t="shared" si="105"/>
        <v>0</v>
      </c>
      <c r="IJ22">
        <f t="shared" si="106"/>
        <v>0</v>
      </c>
      <c r="IK22">
        <f t="shared" si="132"/>
        <v>0</v>
      </c>
      <c r="IL22">
        <f t="shared" si="133"/>
        <v>0</v>
      </c>
      <c r="IM22">
        <f t="shared" si="107"/>
        <v>0</v>
      </c>
      <c r="IN22">
        <f t="shared" si="108"/>
        <v>0</v>
      </c>
      <c r="IP22">
        <f t="shared" si="109"/>
        <v>0</v>
      </c>
      <c r="IQ22">
        <f t="shared" si="110"/>
        <v>0</v>
      </c>
      <c r="IR22">
        <f t="shared" si="111"/>
        <v>0</v>
      </c>
      <c r="IS22">
        <f t="shared" si="112"/>
        <v>0</v>
      </c>
      <c r="IT22">
        <f t="shared" si="113"/>
        <v>0</v>
      </c>
      <c r="IU22">
        <f t="shared" si="114"/>
        <v>0</v>
      </c>
      <c r="IV22">
        <f t="shared" si="115"/>
        <v>0</v>
      </c>
      <c r="IW22">
        <f t="shared" si="116"/>
        <v>0</v>
      </c>
      <c r="IX22">
        <f t="shared" si="117"/>
        <v>0</v>
      </c>
    </row>
    <row r="23" spans="1:258">
      <c r="A23" s="39" t="str">
        <f>Basicinfo!A23</f>
        <v>Dürre Aschach und Aschach</v>
      </c>
      <c r="B23" s="63">
        <f>Basicinfo!B23</f>
        <v>1150</v>
      </c>
      <c r="C23" s="63">
        <f>Basicinfo!C23</f>
        <v>1160</v>
      </c>
      <c r="D23" s="130">
        <f>Basicinfo!G23</f>
        <v>312.15736743899998</v>
      </c>
      <c r="E23" s="87">
        <f t="shared" si="118"/>
        <v>3.8875125366126397</v>
      </c>
      <c r="F23" s="19">
        <f>Intermediate!AR23</f>
        <v>9.2446287985417531E-3</v>
      </c>
      <c r="G23" s="19">
        <f>Intermediate!AU23</f>
        <v>0.67376195672031047</v>
      </c>
      <c r="H23" s="19">
        <f>Intermediate!AW23</f>
        <v>0</v>
      </c>
      <c r="I23" s="19">
        <f>Intermediate!AZ23</f>
        <v>0.17979855148733626</v>
      </c>
      <c r="J23" s="19">
        <f>Intermediate!BA23</f>
        <v>2.8715417017641793</v>
      </c>
      <c r="K23" s="19">
        <f>Intermediate!AC23</f>
        <v>1.6218111490075356E-2</v>
      </c>
      <c r="L23" s="19">
        <f>Intermediate!AO23</f>
        <v>5.4393501366354043E-3</v>
      </c>
      <c r="M23" s="19">
        <f>Intermediate!AP23</f>
        <v>2.2235611913176929E-2</v>
      </c>
      <c r="N23" s="19">
        <f t="shared" si="119"/>
        <v>3.778239912310255</v>
      </c>
      <c r="O23" s="19">
        <f>Basicinfo!CB23+Basicinfo!CG23</f>
        <v>0.10927262430238457</v>
      </c>
      <c r="P23" s="56">
        <f>Intermediate!BK23-Intermediate!BI23</f>
        <v>7505.6974896073789</v>
      </c>
      <c r="Q23" s="43">
        <f>Intermediate!BI23</f>
        <v>2753.7499408785134</v>
      </c>
      <c r="R23" s="88">
        <f t="shared" si="134"/>
        <v>10259.447430485892</v>
      </c>
      <c r="S23" s="61">
        <f>Intermediate!F23*Intermediate!BO23/1000</f>
        <v>2.3860195387793768</v>
      </c>
      <c r="T23" s="19">
        <f>Intermediate!BU23*Intermediate!AU23*86.4*0.365</f>
        <v>40.154316281562245</v>
      </c>
      <c r="U23" s="19">
        <f>Intermediate!AW23*Intermediate!BS23*0.365*86.4</f>
        <v>0</v>
      </c>
      <c r="V23" s="19">
        <f>(Basicinfo!BL23/1000000)*(Intermediate!BK23-Intermediate!BF23-Intermediate!BG23-Intermediate!BH23)*Intermediate!CV23</f>
        <v>31.953313099904069</v>
      </c>
      <c r="W23" s="19">
        <f>Intermediate!BI23*Parameters!$C$51/1000000</f>
        <v>6.884374852196283E-2</v>
      </c>
      <c r="X23" s="19">
        <f>Intermediate!AZ23*Intermediate!CG23*86.4*0.365</f>
        <v>76.491405676368004</v>
      </c>
      <c r="Y23" s="19">
        <f>Intermediate!CM23*Intermediate!BA23*86.4*0.365+Parameters!$C$126*Intermediate!BB23*Basicinfo!P23/1000+Parameters!$C$127*Intermediate!BB23*Basicinfo!S23/1000</f>
        <v>308.93768820740524</v>
      </c>
      <c r="Z23" s="19">
        <f>Intermediate!DG23</f>
        <v>1.5262877883556873</v>
      </c>
      <c r="AA23" s="19">
        <f>Intermediate!DI23</f>
        <v>1.3466301676073231</v>
      </c>
      <c r="AB23" s="19">
        <f>Intermediate!DK23</f>
        <v>1.7103002833220233</v>
      </c>
      <c r="AC23" s="19">
        <f t="shared" si="120"/>
        <v>464.57480479182584</v>
      </c>
      <c r="AD23" s="19">
        <f>Basicinfo!CC23+Basicinfo!CE23+Basicinfo!CH23+Basicinfo!CJ23</f>
        <v>25.34387361111111</v>
      </c>
      <c r="AE23" s="87">
        <f t="shared" si="135"/>
        <v>489.91867840293696</v>
      </c>
      <c r="AF23" s="56">
        <f>Intermediate!F23*Basicinfo!BD23/1000</f>
        <v>5.2402548685427826E-2</v>
      </c>
      <c r="AG23" s="43">
        <f>Intermediate!CA23*Intermediate!AU23*86.4*0.365</f>
        <v>0.73194819653446785</v>
      </c>
      <c r="AH23" s="43">
        <f>Intermediate!AW23*Intermediate!BZ23*0.365*86.4</f>
        <v>0</v>
      </c>
      <c r="AI23" s="43">
        <f>(Intermediate!CU23/1000000)*(Intermediate!BK23-Intermediate!BF23-Intermediate!BG23-Intermediate!BH23)*Intermediate!CW23</f>
        <v>17.360913494646759</v>
      </c>
      <c r="AJ23" s="43">
        <f>Intermediate!BF23*Parameters!$C$52/1000000+(Intermediate!BG23+Intermediate!BH23)*Intermediate!CX23/1000000</f>
        <v>1.239187473395331</v>
      </c>
      <c r="AK23" s="43">
        <f>Intermediate!AZ23*Intermediate!CH23*86.4*0.365</f>
        <v>0.52338303158814525</v>
      </c>
      <c r="AL23" s="58">
        <f>Intermediate!CR23*Intermediate!BA23*86.4*0.365</f>
        <v>4.2531765585672057</v>
      </c>
      <c r="AM23" s="43">
        <f>Intermediate!DH23</f>
        <v>0.39590272077963579</v>
      </c>
      <c r="AN23" s="42">
        <f>Intermediate!DJ23</f>
        <v>0.26586780482137301</v>
      </c>
      <c r="AO23" s="42">
        <f>Intermediate!DL23</f>
        <v>0.27880648942830044</v>
      </c>
      <c r="AP23" s="42">
        <f t="shared" si="122"/>
        <v>25.101588318446645</v>
      </c>
      <c r="AQ23" s="43">
        <f>Basicinfo!CD23+Basicinfo!CF23+Basicinfo!CI23+Basicinfo!CK23</f>
        <v>2.0540968333333334</v>
      </c>
      <c r="AR23" s="83">
        <f t="shared" si="136"/>
        <v>27.155685151779977</v>
      </c>
      <c r="AS23" s="19">
        <f>F23*86400*365/(Basicinfo!G23*1000000)*1000</f>
        <v>0.93394756683993219</v>
      </c>
      <c r="AT23" s="19">
        <f>G23*86400*365/(Basicinfo!G23*1000000)*1000</f>
        <v>68.067453417654235</v>
      </c>
      <c r="AU23" s="19">
        <f>H23*86400*365/(Basicinfo!G23*1000000)*1000</f>
        <v>0</v>
      </c>
      <c r="AV23" s="19">
        <f>I23*86400*365/(Basicinfo!G23*1000000)*1000</f>
        <v>18.164322585827353</v>
      </c>
      <c r="AW23" s="19">
        <f>J23*86400*365/(Basicinfo!G23*1000000)*1000</f>
        <v>290.10027810582193</v>
      </c>
      <c r="AX23" s="53">
        <f>K23*86400*365/(Basicinfo!G23*1000000)*1000</f>
        <v>1.6384504013058792</v>
      </c>
      <c r="AY23" s="53">
        <f>L23*86400*365/(Basicinfo!G23*1000000)*1000</f>
        <v>0.54951560911806618</v>
      </c>
      <c r="AZ23" s="53">
        <f>M23*86400*365/(Basicinfo!G23*1000000)*1000</f>
        <v>2.2463742023675812</v>
      </c>
      <c r="BA23" s="19">
        <f t="shared" si="123"/>
        <v>381.70034188893499</v>
      </c>
      <c r="BB23" s="19">
        <f>O23*86400*365/(Basicinfo!G23*1000000)*1000</f>
        <v>11.039372571186876</v>
      </c>
      <c r="BC23" s="53">
        <f t="shared" si="137"/>
        <v>392.73971446012189</v>
      </c>
      <c r="BD23" s="56">
        <f>P23/(Basicinfo!G23*100)*1000</f>
        <v>240.44595042512009</v>
      </c>
      <c r="BE23" s="43">
        <f>Q23/(Basicinfo!G23*100)*1000</f>
        <v>88.216721055498894</v>
      </c>
      <c r="BF23" s="58">
        <f t="shared" si="138"/>
        <v>328.662671480619</v>
      </c>
      <c r="BG23" s="61">
        <f>S23/(Basicinfo!G23*100)*1000000</f>
        <v>76.436431994373464</v>
      </c>
      <c r="BH23" s="19">
        <f>T23/(Basicinfo!G23*100)*1000000</f>
        <v>1286.348504633932</v>
      </c>
      <c r="BI23" s="19">
        <f>U23/(Basicinfo!G23*100)*1000000</f>
        <v>0</v>
      </c>
      <c r="BJ23" s="19">
        <f>V23/(Basicinfo!G23*100)*1000000</f>
        <v>1023.6283500868581</v>
      </c>
      <c r="BK23" s="19">
        <f>W23/(Basicinfo!G23*100)*1000000</f>
        <v>2.2054180263874721</v>
      </c>
      <c r="BL23" s="19">
        <f>X23/(Basicinfo!G23*100)*1000000</f>
        <v>2450.4116722894751</v>
      </c>
      <c r="BM23" s="19">
        <f>Y23/(Basicinfo!G23*100)*1000000</f>
        <v>9896.8571763015043</v>
      </c>
      <c r="BN23" s="53">
        <f>Z23/(Basicinfo!G23*100)*1000000</f>
        <v>48.89481868961321</v>
      </c>
      <c r="BO23" s="53">
        <f>AA23/(Basicinfo!G23*100)*1000000</f>
        <v>43.139464516097767</v>
      </c>
      <c r="BP23" s="53">
        <f>AB23/(Basicinfo!G23*100)*1000000</f>
        <v>54.789681799076568</v>
      </c>
      <c r="BQ23" s="19">
        <f t="shared" si="125"/>
        <v>14882.711518337319</v>
      </c>
      <c r="BR23" s="19">
        <f>AD23/(Basicinfo!G23*100)*1000000</f>
        <v>811.89413593013035</v>
      </c>
      <c r="BS23" s="53">
        <f t="shared" si="139"/>
        <v>15694.605654267449</v>
      </c>
      <c r="BT23" s="56">
        <f>AF23/(Basicinfo!G23*100)*1000000</f>
        <v>1.6787221495154374</v>
      </c>
      <c r="BU23" s="43">
        <f>AG23/(Basicinfo!G23*100)*1000000</f>
        <v>23.44805129987845</v>
      </c>
      <c r="BV23" s="43">
        <f>AH23/(Basicinfo!G23*100)*1000000</f>
        <v>0</v>
      </c>
      <c r="BW23" s="43">
        <f>AI23/(Basicinfo!G23*100)*1000000</f>
        <v>556.15901803244583</v>
      </c>
      <c r="BX23" s="43">
        <f>AJ23/(Basicinfo!G23*100)*1000000</f>
        <v>39.6975244749745</v>
      </c>
      <c r="BY23" s="58">
        <f>AK23/(Basicinfo!G23*100)*1000000</f>
        <v>16.766640360984653</v>
      </c>
      <c r="BZ23" s="58">
        <f>AL23/(Basicinfo!G23*100)*1000000</f>
        <v>136.2510388097227</v>
      </c>
      <c r="CA23" s="58">
        <f>AM23/(Basicinfo!G23*100)*1000000</f>
        <v>12.682792785821428</v>
      </c>
      <c r="CB23" s="58">
        <f>AN23/(Basicinfo!G23*100)*1000000</f>
        <v>8.5171081176973154</v>
      </c>
      <c r="CC23" s="58">
        <f>AO23/(Basicinfo!G23*100)*1000000</f>
        <v>8.931600484578766</v>
      </c>
      <c r="CD23" s="58">
        <f t="shared" si="126"/>
        <v>804.1324965156191</v>
      </c>
      <c r="CE23" s="58">
        <f>AQ23/(Basicinfo!G23*100)*1000000</f>
        <v>65.803246938733025</v>
      </c>
      <c r="CF23" s="43">
        <f t="shared" si="140"/>
        <v>869.93574345435218</v>
      </c>
      <c r="CG23" s="84"/>
      <c r="CH23" s="84">
        <f t="shared" si="8"/>
        <v>25.34387361111111</v>
      </c>
      <c r="CI23" s="146">
        <f t="shared" si="9"/>
        <v>4.5832182392850331</v>
      </c>
      <c r="CJ23" s="200">
        <f>Intermediate!EW23+Intermediate!EY23+Intermediate!FD23</f>
        <v>21.294305113123556</v>
      </c>
      <c r="CK23" s="180">
        <f>Intermediate!FA23+Intermediate!FF23</f>
        <v>35.407582199346677</v>
      </c>
      <c r="CL23" s="180">
        <f t="shared" si="10"/>
        <v>76.491405676368004</v>
      </c>
      <c r="CM23" s="180">
        <f t="shared" si="11"/>
        <v>240.44015014915533</v>
      </c>
      <c r="CN23" s="202">
        <f>Intermediate!EX23+Intermediate!EZ23+Intermediate!FE23</f>
        <v>11.54233269817105</v>
      </c>
      <c r="CO23" s="180">
        <f>Intermediate!FB23+Intermediate!FG23</f>
        <v>19.08994561888624</v>
      </c>
      <c r="CP23" s="213">
        <f>Intermediate!EP23+Intermediate!EQ23+Intermediate!ER23+Intermediate!ES23+Intermediate!ET23+Intermediate!EU23+Intermediate!EV23+W23</f>
        <v>55.725865097490036</v>
      </c>
      <c r="CQ23" s="212">
        <f t="shared" si="12"/>
        <v>30.632278317057292</v>
      </c>
      <c r="CR23" s="212">
        <f t="shared" si="13"/>
        <v>373.63344313799359</v>
      </c>
      <c r="CS23" s="211">
        <f t="shared" si="14"/>
        <v>26.870161399466799</v>
      </c>
      <c r="CT23" s="212">
        <f t="shared" si="15"/>
        <v>486.86174795200776</v>
      </c>
      <c r="CU23" s="84"/>
      <c r="CV23" s="31">
        <f t="shared" si="16"/>
        <v>489.91867840293696</v>
      </c>
      <c r="CW23" s="31">
        <f>CH23/Basicinfo!$G23*1000/100</f>
        <v>0.81189413593013038</v>
      </c>
      <c r="CX23" s="31">
        <f>CI23/Basicinfo!$G23*1000/100</f>
        <v>0.1468239650047875</v>
      </c>
      <c r="CY23" s="31">
        <f>CS23/Basicinfo!$G23*1000/100</f>
        <v>0.8607889546197437</v>
      </c>
      <c r="CZ23" s="31">
        <f>CN23/Basicinfo!$G23*1000/100</f>
        <v>0.36976006021791513</v>
      </c>
      <c r="DA23" s="31">
        <f>CO23/Basicinfo!$G23*1000/100</f>
        <v>0.61154877667965624</v>
      </c>
      <c r="DB23" s="31">
        <f>CQ23/Basicinfo!$G23*1000/100</f>
        <v>0.98130883689757142</v>
      </c>
      <c r="DC23" s="31">
        <f>CJ23/Basicinfo!$G23*1000/100</f>
        <v>0.68216570660581211</v>
      </c>
      <c r="DD23" s="31">
        <f>CK23/Basicinfo!$G23*1000/100</f>
        <v>1.134286289310978</v>
      </c>
      <c r="DE23" s="31">
        <f>CM23/Basicinfo!$G23*1000/100</f>
        <v>7.7025300450786505</v>
      </c>
      <c r="DF23" s="31">
        <f>CR23/Basicinfo!$G23*1000/100</f>
        <v>11.969393713284918</v>
      </c>
      <c r="DG23" s="31">
        <f>CP23/Basicinfo!$G23*1000/100</f>
        <v>1.7851850031500434</v>
      </c>
      <c r="DH23" s="31">
        <f>CT23/Basicinfo!$G23*1000/100</f>
        <v>15.596676507952276</v>
      </c>
      <c r="DI23" s="31">
        <f>CV23/Basicinfo!$G23*1000/100</f>
        <v>15.694605654267445</v>
      </c>
      <c r="DJ23" s="31"/>
      <c r="DK23" s="188">
        <f t="shared" si="17"/>
        <v>5.2055586042075701</v>
      </c>
      <c r="DL23" s="188">
        <f t="shared" si="18"/>
        <v>0.94137981851406871</v>
      </c>
      <c r="DM23" s="188">
        <f t="shared" si="19"/>
        <v>5.5190537175074015</v>
      </c>
      <c r="DN23" s="188">
        <f t="shared" si="20"/>
        <v>2.3707618737196072</v>
      </c>
      <c r="DO23" s="188">
        <f t="shared" si="21"/>
        <v>3.9210198170606794</v>
      </c>
      <c r="DP23" s="188">
        <f t="shared" si="22"/>
        <v>6.2917816907802866</v>
      </c>
      <c r="DQ23" s="188">
        <f t="shared" si="23"/>
        <v>4.3737889046938712</v>
      </c>
      <c r="DR23" s="188">
        <f t="shared" si="24"/>
        <v>7.2726153468185322</v>
      </c>
      <c r="DS23" s="188">
        <f t="shared" si="25"/>
        <v>49.38571394457891</v>
      </c>
      <c r="DT23" s="188">
        <f t="shared" si="26"/>
        <v>76.743232490473744</v>
      </c>
      <c r="DU23" s="188">
        <f t="shared" si="27"/>
        <v>11.445932101238562</v>
      </c>
      <c r="DV23" s="188">
        <f t="shared" si="28"/>
        <v>100</v>
      </c>
      <c r="DW23" s="188">
        <f t="shared" si="29"/>
        <v>100.6278847052142</v>
      </c>
      <c r="DY23" s="181">
        <f t="shared" si="30"/>
        <v>2.0540968333333334</v>
      </c>
      <c r="DZ23" s="181">
        <f t="shared" si="127"/>
        <v>0.94057701502930924</v>
      </c>
      <c r="EA23" s="185">
        <f t="shared" si="31"/>
        <v>0.52338303158814525</v>
      </c>
      <c r="EB23" s="185">
        <f>AG23+AH23+AL23-Intermediate!FJ23-Intermediate!FM23</f>
        <v>4.2606987186122645</v>
      </c>
      <c r="EC23" s="185">
        <f>AI23+AJ23-Intermediate!FK23</f>
        <v>16.892271562065673</v>
      </c>
      <c r="ED23" s="240">
        <f t="shared" si="32"/>
        <v>5.2402548685427826E-2</v>
      </c>
      <c r="EE23" s="240">
        <f>Intermediate!FJ23+Intermediate!FK23+Intermediate!FM23</f>
        <v>2.4322554424658258</v>
      </c>
      <c r="EF23" s="240">
        <f t="shared" si="33"/>
        <v>21.67635331226608</v>
      </c>
      <c r="EG23" s="240">
        <f t="shared" si="34"/>
        <v>2.9946738483626425</v>
      </c>
      <c r="EH23" s="240">
        <f t="shared" si="35"/>
        <v>27.155685151779977</v>
      </c>
      <c r="EI23" s="181">
        <f t="shared" si="36"/>
        <v>27.155685151779977</v>
      </c>
      <c r="EK23" s="31">
        <f>DY23/Basicinfo!$G23*1000/100</f>
        <v>6.5803246938733018E-2</v>
      </c>
      <c r="EL23" s="31">
        <f>DZ23/Basicinfo!$G23*1000/100</f>
        <v>3.0131501388097514E-2</v>
      </c>
      <c r="EM23" s="220">
        <f>EG23/Basicinfo!$G23*1000/100</f>
        <v>9.5934748326830521E-2</v>
      </c>
      <c r="EN23" s="220">
        <f>ED23/Basicinfo!$G23*1000/100</f>
        <v>1.6787221495154375E-3</v>
      </c>
      <c r="EO23" s="220">
        <f>EF23/Basicinfo!$G23*1000/100</f>
        <v>0.69440466807184831</v>
      </c>
      <c r="EP23" s="220">
        <f>EE23/Basicinfo!$G23*1000/100</f>
        <v>7.7917604906157567E-2</v>
      </c>
      <c r="EQ23" s="220">
        <f>EH23/Basicinfo!$G23*1000/100</f>
        <v>0.86993574345435187</v>
      </c>
      <c r="ER23" s="31">
        <f>EI23/Basicinfo!$G23*1000/100</f>
        <v>0.86993574345435187</v>
      </c>
      <c r="ET23" s="188">
        <f t="shared" si="37"/>
        <v>7.5641502759089594</v>
      </c>
      <c r="EU23" s="188">
        <f t="shared" si="38"/>
        <v>3.4636467825141848</v>
      </c>
      <c r="EV23" s="223">
        <f t="shared" si="39"/>
        <v>11.027797058423143</v>
      </c>
      <c r="EW23" s="223">
        <f t="shared" si="40"/>
        <v>0.19297082136774221</v>
      </c>
      <c r="EX23" s="223">
        <f t="shared" si="41"/>
        <v>79.822524053845328</v>
      </c>
      <c r="EY23" s="223">
        <f t="shared" si="42"/>
        <v>8.9567080663637704</v>
      </c>
      <c r="EZ23" s="223">
        <f t="shared" si="43"/>
        <v>100</v>
      </c>
      <c r="FA23" s="188">
        <f t="shared" si="44"/>
        <v>100</v>
      </c>
      <c r="FC23" s="236">
        <f>Basicinfo!CT23</f>
        <v>3.0862096774193541</v>
      </c>
      <c r="FD23" s="181">
        <f>IF((Intermediate!CL23+Intermediate!CM23*3)/4&gt;11,(Intermediate!CL23+Intermediate!CM23*9)/10,(Intermediate!CL23+Intermediate!CM23*3)/4)</f>
        <v>4.5896588170656312</v>
      </c>
      <c r="FF23" s="31">
        <f t="shared" si="45"/>
        <v>5.2402548685427826E-2</v>
      </c>
      <c r="FG23" s="31">
        <f t="shared" si="46"/>
        <v>0.73194819653446785</v>
      </c>
      <c r="FH23" s="31">
        <f t="shared" si="47"/>
        <v>0</v>
      </c>
      <c r="FI23" s="31">
        <f>(AI23-(P23*450/1000000))*Parameters!$C$153</f>
        <v>11.18667969945875</v>
      </c>
      <c r="FJ23" s="31"/>
      <c r="FK23" s="31">
        <f t="shared" si="48"/>
        <v>0.52338303158814525</v>
      </c>
      <c r="FL23" s="31">
        <f t="shared" si="49"/>
        <v>4.2531765585672057</v>
      </c>
      <c r="FM23" s="31">
        <f>AM23*Parameters!$C$154</f>
        <v>0.35631244870167222</v>
      </c>
      <c r="FN23" s="31">
        <f>AN23*Parameters!$C$154</f>
        <v>0.2392810243392357</v>
      </c>
      <c r="FO23" s="31">
        <f>AO23*Parameters!$C$154</f>
        <v>0.2509258404854704</v>
      </c>
      <c r="FP23" s="31">
        <f>AQ23*Parameters!$C$155</f>
        <v>2.0540968333333334</v>
      </c>
      <c r="FQ23" s="31">
        <f t="shared" si="50"/>
        <v>19.648206181693709</v>
      </c>
      <c r="FS23" s="147">
        <f>DY23*Parameters!$C$155</f>
        <v>2.0540968333333334</v>
      </c>
      <c r="FT23" s="147">
        <f>DZ23*Parameters!$C$154</f>
        <v>0.84651931352637833</v>
      </c>
      <c r="FU23" s="181">
        <f t="shared" si="51"/>
        <v>0.52338303158814525</v>
      </c>
      <c r="FV23" s="181">
        <f t="shared" si="52"/>
        <v>4.2606987186122645</v>
      </c>
      <c r="FW23" s="31">
        <f t="shared" si="53"/>
        <v>11.18667969945875</v>
      </c>
      <c r="FX23" s="181">
        <f t="shared" si="54"/>
        <v>5.2402548685427826E-2</v>
      </c>
      <c r="FY23" s="147">
        <f>Intermediate!FJ23+Intermediate!FM23</f>
        <v>0.72442603648940906</v>
      </c>
      <c r="FZ23" s="181">
        <f t="shared" si="55"/>
        <v>15.970761449659161</v>
      </c>
      <c r="GA23" s="147">
        <f t="shared" si="56"/>
        <v>2.9006161468597118</v>
      </c>
      <c r="GB23" s="181">
        <f t="shared" si="57"/>
        <v>19.648206181693709</v>
      </c>
      <c r="GD23" s="147">
        <f>IF('River loads'!CH23&gt;0.99,1,0)</f>
        <v>1</v>
      </c>
      <c r="GE23" s="147">
        <f t="shared" si="58"/>
        <v>5.2402548685427826E-2</v>
      </c>
      <c r="GF23" s="147">
        <f t="shared" si="59"/>
        <v>0.73194819653446785</v>
      </c>
      <c r="GG23" s="147">
        <f t="shared" si="60"/>
        <v>0</v>
      </c>
      <c r="GH23" s="147">
        <f t="shared" si="61"/>
        <v>17.360913494646759</v>
      </c>
      <c r="GI23" s="147">
        <f t="shared" si="62"/>
        <v>1.239187473395331</v>
      </c>
      <c r="GJ23" s="147">
        <f t="shared" si="63"/>
        <v>0.52338303158814525</v>
      </c>
      <c r="GK23" s="147">
        <f t="shared" si="64"/>
        <v>4.2531765585672057</v>
      </c>
      <c r="GL23" s="147">
        <f t="shared" si="65"/>
        <v>0.39590272077963579</v>
      </c>
      <c r="GM23" s="270">
        <f t="shared" si="128"/>
        <v>0.26586780482137301</v>
      </c>
      <c r="GN23" s="270">
        <f t="shared" si="129"/>
        <v>0.27880648942830044</v>
      </c>
      <c r="GO23" s="147">
        <f t="shared" si="66"/>
        <v>2.0540968333333334</v>
      </c>
      <c r="GP23" s="147">
        <f t="shared" si="67"/>
        <v>27.155685151779977</v>
      </c>
      <c r="GQ23" s="147"/>
      <c r="GR23" s="147">
        <f t="shared" si="68"/>
        <v>5.2402548685427826E-2</v>
      </c>
      <c r="GS23" s="147">
        <f t="shared" si="69"/>
        <v>0.73194819653446785</v>
      </c>
      <c r="GT23" s="147">
        <f t="shared" si="70"/>
        <v>0</v>
      </c>
      <c r="GU23" s="147">
        <f t="shared" si="71"/>
        <v>11.18667969945875</v>
      </c>
      <c r="GV23" s="147">
        <f t="shared" si="72"/>
        <v>0</v>
      </c>
      <c r="GW23" s="147">
        <f t="shared" si="73"/>
        <v>0.52338303158814525</v>
      </c>
      <c r="GX23" s="147">
        <f t="shared" si="74"/>
        <v>4.2531765585672057</v>
      </c>
      <c r="GY23" s="147">
        <f t="shared" si="75"/>
        <v>0.35631244870167222</v>
      </c>
      <c r="GZ23" s="147">
        <f t="shared" si="130"/>
        <v>0.2392810243392357</v>
      </c>
      <c r="HA23" s="147">
        <f t="shared" si="131"/>
        <v>0.2509258404854704</v>
      </c>
      <c r="HB23" s="147">
        <f t="shared" si="76"/>
        <v>2.0540968333333334</v>
      </c>
      <c r="HC23" s="147">
        <f t="shared" si="77"/>
        <v>19.648206181693709</v>
      </c>
      <c r="HD23" s="147"/>
      <c r="HE23" s="147">
        <f t="shared" si="78"/>
        <v>2.0540968333333334</v>
      </c>
      <c r="HF23" s="147">
        <f t="shared" si="79"/>
        <v>0.94057701502930924</v>
      </c>
      <c r="HG23" s="147">
        <f t="shared" si="80"/>
        <v>0.52338303158814525</v>
      </c>
      <c r="HH23" s="147">
        <f t="shared" si="81"/>
        <v>4.2606987186122645</v>
      </c>
      <c r="HI23" s="147">
        <f t="shared" si="82"/>
        <v>16.892271562065673</v>
      </c>
      <c r="HJ23" s="147">
        <f t="shared" si="83"/>
        <v>5.2402548685427826E-2</v>
      </c>
      <c r="HK23" s="147">
        <f t="shared" si="84"/>
        <v>2.4322554424658258</v>
      </c>
      <c r="HL23" s="147">
        <f t="shared" si="85"/>
        <v>21.67635331226608</v>
      </c>
      <c r="HM23" s="147">
        <f t="shared" si="86"/>
        <v>2.9946738483626425</v>
      </c>
      <c r="HN23" s="147">
        <f t="shared" si="87"/>
        <v>27.155685151779977</v>
      </c>
      <c r="HO23" s="147">
        <f t="shared" si="88"/>
        <v>27.155685151779977</v>
      </c>
      <c r="HQ23" s="147">
        <f t="shared" si="89"/>
        <v>2.0540968333333334</v>
      </c>
      <c r="HR23" s="147">
        <f t="shared" si="90"/>
        <v>0.84651931352637833</v>
      </c>
      <c r="HS23" s="147">
        <f t="shared" si="91"/>
        <v>0.52338303158814525</v>
      </c>
      <c r="HT23" s="147">
        <f t="shared" si="92"/>
        <v>4.2606987186122645</v>
      </c>
      <c r="HU23" s="147">
        <f t="shared" si="93"/>
        <v>11.18667969945875</v>
      </c>
      <c r="HV23" s="147">
        <f t="shared" si="94"/>
        <v>5.2402548685427826E-2</v>
      </c>
      <c r="HW23" s="147">
        <f t="shared" si="95"/>
        <v>0.72442603648940906</v>
      </c>
      <c r="HX23" s="147">
        <f t="shared" si="96"/>
        <v>15.970761449659161</v>
      </c>
      <c r="HY23" s="147">
        <f t="shared" si="97"/>
        <v>2.9006161468597118</v>
      </c>
      <c r="HZ23" s="147">
        <f t="shared" si="98"/>
        <v>19.648206181693709</v>
      </c>
      <c r="IB23" s="147">
        <f>IF('River loads'!CI23&gt;0.99,1,0)</f>
        <v>1</v>
      </c>
      <c r="IC23">
        <f t="shared" si="99"/>
        <v>2.3860195387793768</v>
      </c>
      <c r="ID23">
        <f t="shared" si="100"/>
        <v>40.154316281562245</v>
      </c>
      <c r="IE23">
        <f t="shared" si="101"/>
        <v>0</v>
      </c>
      <c r="IF23">
        <f t="shared" si="102"/>
        <v>31.953313099904069</v>
      </c>
      <c r="IG23">
        <f t="shared" si="103"/>
        <v>6.884374852196283E-2</v>
      </c>
      <c r="IH23">
        <f t="shared" si="104"/>
        <v>76.491405676368004</v>
      </c>
      <c r="II23">
        <f t="shared" si="105"/>
        <v>308.93768820740524</v>
      </c>
      <c r="IJ23">
        <f t="shared" si="106"/>
        <v>1.5262877883556873</v>
      </c>
      <c r="IK23">
        <f t="shared" si="132"/>
        <v>1.3466301676073231</v>
      </c>
      <c r="IL23">
        <f t="shared" si="133"/>
        <v>1.7103002833220233</v>
      </c>
      <c r="IM23">
        <f t="shared" si="107"/>
        <v>25.34387361111111</v>
      </c>
      <c r="IN23">
        <f t="shared" si="108"/>
        <v>489.91867840293696</v>
      </c>
      <c r="IP23">
        <f t="shared" si="109"/>
        <v>25.34387361111111</v>
      </c>
      <c r="IQ23">
        <f t="shared" si="110"/>
        <v>4.5832182392850331</v>
      </c>
      <c r="IR23">
        <f t="shared" si="111"/>
        <v>21.294305113123556</v>
      </c>
      <c r="IS23">
        <f t="shared" si="112"/>
        <v>35.407582199346677</v>
      </c>
      <c r="IT23">
        <f t="shared" si="113"/>
        <v>76.491405676368004</v>
      </c>
      <c r="IU23">
        <f t="shared" si="114"/>
        <v>240.44015014915533</v>
      </c>
      <c r="IV23">
        <f t="shared" si="115"/>
        <v>11.54233269817105</v>
      </c>
      <c r="IW23">
        <f t="shared" si="116"/>
        <v>19.08994561888624</v>
      </c>
      <c r="IX23">
        <f t="shared" si="117"/>
        <v>55.725865097490036</v>
      </c>
    </row>
    <row r="24" spans="1:258">
      <c r="A24" s="39" t="str">
        <f>Basicinfo!A24</f>
        <v>Aschach</v>
      </c>
      <c r="B24" s="63">
        <f>Basicinfo!B24</f>
        <v>1160</v>
      </c>
      <c r="C24" s="63">
        <f>Basicinfo!C24</f>
        <v>5000</v>
      </c>
      <c r="D24" s="130">
        <f>Basicinfo!G24</f>
        <v>47.697526963000001</v>
      </c>
      <c r="E24" s="87">
        <f t="shared" si="118"/>
        <v>0.83404531143298899</v>
      </c>
      <c r="F24" s="19">
        <f>Intermediate!AR24</f>
        <v>6.1728536775894297E-3</v>
      </c>
      <c r="G24" s="19">
        <f>Intermediate!AU24</f>
        <v>0.15026830158868931</v>
      </c>
      <c r="H24" s="19">
        <f>Intermediate!AW24</f>
        <v>0</v>
      </c>
      <c r="I24" s="19">
        <f>Intermediate!AZ24</f>
        <v>1.3044254402996377E-4</v>
      </c>
      <c r="J24" s="19">
        <f>Intermediate!BA24</f>
        <v>0.61316364478138563</v>
      </c>
      <c r="K24" s="19">
        <f>Intermediate!AC24</f>
        <v>2.6819874664231291E-3</v>
      </c>
      <c r="L24" s="19">
        <f>Intermediate!AO24</f>
        <v>8.5724519959083797E-4</v>
      </c>
      <c r="M24" s="19">
        <f>Intermediate!AP24</f>
        <v>3.6019673692599843E-3</v>
      </c>
      <c r="N24" s="19">
        <f t="shared" si="119"/>
        <v>0.77687644262696831</v>
      </c>
      <c r="O24" s="19">
        <f>Basicinfo!CB24+Basicinfo!CG24</f>
        <v>5.716886880602063E-2</v>
      </c>
      <c r="P24" s="56">
        <f>Intermediate!BK24-Intermediate!BI24</f>
        <v>388.31306690234317</v>
      </c>
      <c r="Q24" s="43">
        <f>Intermediate!BI24</f>
        <v>557.4639831629155</v>
      </c>
      <c r="R24" s="88">
        <f t="shared" si="134"/>
        <v>945.77705006525866</v>
      </c>
      <c r="S24" s="61">
        <f>Intermediate!F24*Intermediate!BO24/1000</f>
        <v>2.4484133899331586</v>
      </c>
      <c r="T24" s="19">
        <f>Intermediate!BU24*Intermediate!AU24*86.4*0.365</f>
        <v>9.2644877807743473</v>
      </c>
      <c r="U24" s="19">
        <f>Intermediate!AW24*Intermediate!BS24*0.365*86.4</f>
        <v>0</v>
      </c>
      <c r="V24" s="19">
        <f>(Basicinfo!BL24/1000000)*(Intermediate!BK24-Intermediate!BF24-Intermediate!BG24-Intermediate!BH24)*Intermediate!CV24</f>
        <v>1.5049643101918639</v>
      </c>
      <c r="W24" s="19">
        <f>Intermediate!BI24*Parameters!$C$51/1000000</f>
        <v>1.3936599579072886E-2</v>
      </c>
      <c r="X24" s="19">
        <f>Intermediate!AZ24*Intermediate!CG24*86.4*0.365</f>
        <v>5.8366445577626658E-2</v>
      </c>
      <c r="Y24" s="19">
        <f>Intermediate!CM24*Intermediate!BA24*86.4*0.365+Parameters!$C$126*Intermediate!BB24*Basicinfo!P24/1000+Parameters!$C$127*Intermediate!BB24*Basicinfo!S24/1000</f>
        <v>44.03128268932025</v>
      </c>
      <c r="Z24" s="19">
        <f>Intermediate!DG24</f>
        <v>0.26648315537607481</v>
      </c>
      <c r="AA24" s="19">
        <f>Intermediate!DI24</f>
        <v>0.20619307039591533</v>
      </c>
      <c r="AB24" s="19">
        <f>Intermediate!DK24</f>
        <v>0.43384055841548308</v>
      </c>
      <c r="AC24" s="19">
        <f t="shared" si="120"/>
        <v>58.227967999563788</v>
      </c>
      <c r="AD24" s="19">
        <f>Basicinfo!CC24+Basicinfo!CE24+Basicinfo!CH24+Basicinfo!CJ24</f>
        <v>19.306905</v>
      </c>
      <c r="AE24" s="87">
        <f t="shared" si="135"/>
        <v>77.534872999563788</v>
      </c>
      <c r="AF24" s="56">
        <f>Intermediate!F24*Basicinfo!BD24/1000</f>
        <v>5.3772864573342044E-2</v>
      </c>
      <c r="AG24" s="43">
        <f>Intermediate!CA24*Intermediate!AU24*86.4*0.365</f>
        <v>0.15478552341417437</v>
      </c>
      <c r="AH24" s="43">
        <f>Intermediate!AW24*Intermediate!BZ24*0.365*86.4</f>
        <v>0</v>
      </c>
      <c r="AI24" s="43">
        <f>(Intermediate!CU24/1000000)*(Intermediate!BK24-Intermediate!BF24-Intermediate!BG24-Intermediate!BH24)*Intermediate!CW24</f>
        <v>0.97076924676892162</v>
      </c>
      <c r="AJ24" s="43">
        <f>Intermediate!BF24*Parameters!$C$52/1000000+(Intermediate!BG24+Intermediate!BH24)*Intermediate!CX24/1000000</f>
        <v>0.25085879242331199</v>
      </c>
      <c r="AK24" s="43">
        <f>Intermediate!AZ24*Intermediate!CH24*86.4*0.365</f>
        <v>5.821086560914969E-4</v>
      </c>
      <c r="AL24" s="58">
        <f>Intermediate!CR24*Intermediate!BA24*86.4*0.365</f>
        <v>0.94865678909571194</v>
      </c>
      <c r="AM24" s="43">
        <f>Intermediate!DH24</f>
        <v>6.8148266253926559E-2</v>
      </c>
      <c r="AN24" s="42">
        <f>Intermediate!DJ24</f>
        <v>4.1069862464006748E-2</v>
      </c>
      <c r="AO24" s="42">
        <f>Intermediate!DL24</f>
        <v>6.9966244261165864E-2</v>
      </c>
      <c r="AP24" s="42">
        <f t="shared" si="122"/>
        <v>2.558609697910653</v>
      </c>
      <c r="AQ24" s="43">
        <f>Basicinfo!CD24+Basicinfo!CF24+Basicinfo!CI24+Basicinfo!CK24</f>
        <v>1.3438939999999999</v>
      </c>
      <c r="AR24" s="83">
        <f t="shared" si="136"/>
        <v>3.9025036979106531</v>
      </c>
      <c r="AS24" s="19">
        <f>F24*86400*365/(Basicinfo!G24*1000000)*1000</f>
        <v>4.0812831601828696</v>
      </c>
      <c r="AT24" s="19">
        <f>G24*86400*365/(Basicinfo!G24*1000000)*1000</f>
        <v>99.352345092795758</v>
      </c>
      <c r="AU24" s="19">
        <f>H24*86400*365/(Basicinfo!G24*1000000)*1000</f>
        <v>0</v>
      </c>
      <c r="AV24" s="19">
        <f>I24*86400*365/(Basicinfo!G24*1000000)*1000</f>
        <v>8.6244221251134748E-2</v>
      </c>
      <c r="AW24" s="19">
        <f>J24*86400*365/(Basicinfo!G24*1000000)*1000</f>
        <v>405.40317146475326</v>
      </c>
      <c r="AX24" s="53">
        <f>K24*86400*365/(Basicinfo!G24*1000000)*1000</f>
        <v>1.7732398748205473</v>
      </c>
      <c r="AY24" s="53">
        <f>L24*86400*365/(Basicinfo!G24*1000000)*1000</f>
        <v>0.5667816831524114</v>
      </c>
      <c r="AZ24" s="53">
        <f>M24*86400*365/(Basicinfo!G24*1000000)*1000</f>
        <v>2.38149963299142</v>
      </c>
      <c r="BA24" s="19">
        <f t="shared" si="123"/>
        <v>513.64456512994741</v>
      </c>
      <c r="BB24" s="19">
        <f>O24*86400*365/(Basicinfo!G24*1000000)*1000</f>
        <v>37.798132554444543</v>
      </c>
      <c r="BC24" s="53">
        <f t="shared" si="137"/>
        <v>551.44269768439199</v>
      </c>
      <c r="BD24" s="56">
        <f>P24/(Basicinfo!G24*100)*1000</f>
        <v>81.411572386879939</v>
      </c>
      <c r="BE24" s="43">
        <f>Q24/(Basicinfo!G24*100)*1000</f>
        <v>116.87481902266177</v>
      </c>
      <c r="BF24" s="58">
        <f t="shared" si="138"/>
        <v>198.28639140954169</v>
      </c>
      <c r="BG24" s="61">
        <f>S24/(Basicinfo!G24*100)*1000000</f>
        <v>513.32082517243407</v>
      </c>
      <c r="BH24" s="19">
        <f>T24/(Basicinfo!G24*100)*1000000</f>
        <v>1942.3413268283302</v>
      </c>
      <c r="BI24" s="19">
        <f>U24/(Basicinfo!G24*100)*1000000</f>
        <v>0</v>
      </c>
      <c r="BJ24" s="19">
        <f>V24/(Basicinfo!G24*100)*1000000</f>
        <v>315.52250316023662</v>
      </c>
      <c r="BK24" s="19">
        <f>W24/(Basicinfo!G24*100)*1000000</f>
        <v>2.9218704755665441</v>
      </c>
      <c r="BL24" s="19">
        <f>X24/(Basicinfo!G24*100)*1000000</f>
        <v>12.236786536732348</v>
      </c>
      <c r="BM24" s="19">
        <f>Y24/(Basicinfo!G24*100)*1000000</f>
        <v>9231.3554795988184</v>
      </c>
      <c r="BN24" s="53">
        <f>Z24/(Basicinfo!G24*100)*1000000</f>
        <v>55.869386180711537</v>
      </c>
      <c r="BO24" s="53">
        <f>AA24/(Basicinfo!G24*100)*1000000</f>
        <v>43.229300033912395</v>
      </c>
      <c r="BP24" s="53">
        <f>AB24/(Basicinfo!G24*100)*1000000</f>
        <v>90.956614742735525</v>
      </c>
      <c r="BQ24" s="19">
        <f t="shared" si="125"/>
        <v>12207.754092729478</v>
      </c>
      <c r="BR24" s="19">
        <f>AD24/(Basicinfo!G24*100)*1000000</f>
        <v>4047.7790420825768</v>
      </c>
      <c r="BS24" s="53">
        <f t="shared" si="139"/>
        <v>16255.533134812054</v>
      </c>
      <c r="BT24" s="56">
        <f>AF24/(Basicinfo!G24*100)*1000000</f>
        <v>11.273721720426893</v>
      </c>
      <c r="BU24" s="43">
        <f>AG24/(Basicinfo!G24*100)*1000000</f>
        <v>32.451477732639013</v>
      </c>
      <c r="BV24" s="43">
        <f>AH24/(Basicinfo!G24*100)*1000000</f>
        <v>0</v>
      </c>
      <c r="BW24" s="43">
        <f>AI24/(Basicinfo!G24*100)*1000000</f>
        <v>203.5261173020497</v>
      </c>
      <c r="BX24" s="43">
        <f>AJ24/(Basicinfo!G24*100)*1000000</f>
        <v>52.593668560197798</v>
      </c>
      <c r="BY24" s="58">
        <f>AK24/(Basicinfo!G24*100)*1000000</f>
        <v>0.12204168500036724</v>
      </c>
      <c r="BZ24" s="58">
        <f>AL24/(Basicinfo!G24*100)*1000000</f>
        <v>198.89014158566448</v>
      </c>
      <c r="CA24" s="58">
        <f>AM24/(Basicinfo!G24*100)*1000000</f>
        <v>14.287589020451865</v>
      </c>
      <c r="CB24" s="58">
        <f>AN24/(Basicinfo!G24*100)*1000000</f>
        <v>8.6104804754060993</v>
      </c>
      <c r="CC24" s="58">
        <f>AO24/(Basicinfo!G24*100)*1000000</f>
        <v>14.668736246103531</v>
      </c>
      <c r="CD24" s="58">
        <f t="shared" si="126"/>
        <v>536.42397432793973</v>
      </c>
      <c r="CE24" s="58">
        <f>AQ24/(Basicinfo!G24*100)*1000000</f>
        <v>281.75339175183808</v>
      </c>
      <c r="CF24" s="43">
        <f t="shared" si="140"/>
        <v>818.17736607977781</v>
      </c>
      <c r="CG24" s="84"/>
      <c r="CH24" s="84">
        <f t="shared" si="8"/>
        <v>19.306905</v>
      </c>
      <c r="CI24" s="146">
        <f t="shared" si="9"/>
        <v>0.90651678418747328</v>
      </c>
      <c r="CJ24" s="200">
        <f>Intermediate!EW24+Intermediate!EY24+Intermediate!FD24</f>
        <v>7.6740726469713261</v>
      </c>
      <c r="CK24" s="180">
        <f>Intermediate!FA24+Intermediate!FF24</f>
        <v>5.184733877139081</v>
      </c>
      <c r="CL24" s="180">
        <f t="shared" si="10"/>
        <v>5.8366445577626658E-2</v>
      </c>
      <c r="CM24" s="180">
        <f t="shared" si="11"/>
        <v>28.430274758048668</v>
      </c>
      <c r="CN24" s="202">
        <f>Intermediate!EX24+Intermediate!EZ24+Intermediate!FE24</f>
        <v>4.0342930923186469</v>
      </c>
      <c r="CO24" s="180">
        <f>Intermediate!FB24+Intermediate!FG24</f>
        <v>2.7393638670789002</v>
      </c>
      <c r="CP24" s="213">
        <f>Intermediate!EP24+Intermediate!EQ24+Intermediate!ER24+Intermediate!ES24+Intermediate!ET24+Intermediate!EU24+Intermediate!EV24+W24</f>
        <v>9.2003465282420738</v>
      </c>
      <c r="CQ24" s="212">
        <f t="shared" si="12"/>
        <v>6.7736569593975471</v>
      </c>
      <c r="CR24" s="212">
        <f t="shared" si="13"/>
        <v>41.3474477277367</v>
      </c>
      <c r="CS24" s="211">
        <f t="shared" si="14"/>
        <v>19.573388155376076</v>
      </c>
      <c r="CT24" s="212">
        <f t="shared" si="15"/>
        <v>76.894839370752408</v>
      </c>
      <c r="CU24" s="84"/>
      <c r="CV24" s="31">
        <f t="shared" si="16"/>
        <v>77.534872999563788</v>
      </c>
      <c r="CW24" s="31">
        <f>CH24/Basicinfo!$G24*1000/100</f>
        <v>4.0477790420825768</v>
      </c>
      <c r="CX24" s="31">
        <f>CI24/Basicinfo!$G24*1000/100</f>
        <v>0.19005530095735945</v>
      </c>
      <c r="CY24" s="31">
        <f>CS24/Basicinfo!$G24*1000/100</f>
        <v>4.1036484282632877</v>
      </c>
      <c r="CZ24" s="31">
        <f>CN24/Basicinfo!$G24*1000/100</f>
        <v>0.84580760244616771</v>
      </c>
      <c r="DA24" s="31">
        <f>CO24/Basicinfo!$G24*1000/100</f>
        <v>0.57431989486664248</v>
      </c>
      <c r="DB24" s="31">
        <f>CQ24/Basicinfo!$G24*1000/100</f>
        <v>1.42012749731281</v>
      </c>
      <c r="DC24" s="31">
        <f>CJ24/Basicinfo!$G24*1000/100</f>
        <v>1.6089036760594044</v>
      </c>
      <c r="DD24" s="31">
        <f>CK24/Basicinfo!$G24*1000/100</f>
        <v>1.0870026618279374</v>
      </c>
      <c r="DE24" s="31">
        <f>CM24/Basicinfo!$G24*1000/100</f>
        <v>5.9605343438670619</v>
      </c>
      <c r="DF24" s="31">
        <f>CR24/Basicinfo!$G24*1000/100</f>
        <v>8.6686774682911345</v>
      </c>
      <c r="DG24" s="31">
        <f>CP24/Basicinfo!$G24*1000/100</f>
        <v>1.9288938261681745</v>
      </c>
      <c r="DH24" s="31">
        <f>CT24/Basicinfo!$G24*1000/100</f>
        <v>16.12134722003541</v>
      </c>
      <c r="DI24" s="31">
        <f>CV24/Basicinfo!$G24*1000/100</f>
        <v>16.255533134812055</v>
      </c>
      <c r="DJ24" s="31"/>
      <c r="DK24" s="188">
        <f t="shared" si="17"/>
        <v>25.108193421031505</v>
      </c>
      <c r="DL24" s="188">
        <f t="shared" si="18"/>
        <v>1.1789045813811458</v>
      </c>
      <c r="DM24" s="188">
        <f t="shared" si="19"/>
        <v>25.454748739381561</v>
      </c>
      <c r="DN24" s="188">
        <f t="shared" si="20"/>
        <v>5.2465069507032798</v>
      </c>
      <c r="DO24" s="188">
        <f t="shared" si="21"/>
        <v>3.5624807717861495</v>
      </c>
      <c r="DP24" s="188">
        <f t="shared" si="22"/>
        <v>8.8089877224894284</v>
      </c>
      <c r="DQ24" s="188">
        <f t="shared" si="23"/>
        <v>9.9799579656709998</v>
      </c>
      <c r="DR24" s="188">
        <f t="shared" si="24"/>
        <v>6.7426291797562916</v>
      </c>
      <c r="DS24" s="188">
        <f t="shared" si="25"/>
        <v>36.972929510874771</v>
      </c>
      <c r="DT24" s="188">
        <f t="shared" si="26"/>
        <v>53.77142089910334</v>
      </c>
      <c r="DU24" s="188">
        <f t="shared" si="27"/>
        <v>11.96484263902566</v>
      </c>
      <c r="DV24" s="188">
        <f t="shared" si="28"/>
        <v>100</v>
      </c>
      <c r="DW24" s="188">
        <f t="shared" si="29"/>
        <v>100.83234926303106</v>
      </c>
      <c r="DY24" s="181">
        <f t="shared" si="30"/>
        <v>1.3438939999999999</v>
      </c>
      <c r="DZ24" s="181">
        <f t="shared" si="127"/>
        <v>0.17918437297909917</v>
      </c>
      <c r="EA24" s="185">
        <f t="shared" si="31"/>
        <v>5.821086560914969E-4</v>
      </c>
      <c r="EB24" s="185">
        <f>AG24+AH24+AL24-Intermediate!FJ24-Intermediate!FM24</f>
        <v>0.95425344215836916</v>
      </c>
      <c r="EC24" s="185">
        <f>AI24+AJ24-Intermediate!FK24</f>
        <v>0.93516091784722577</v>
      </c>
      <c r="ED24" s="240">
        <f t="shared" si="32"/>
        <v>5.3772864573342044E-2</v>
      </c>
      <c r="EE24" s="240">
        <f>Intermediate!FJ24+Intermediate!FK24+Intermediate!FM24</f>
        <v>0.43565599169652514</v>
      </c>
      <c r="EF24" s="240">
        <f t="shared" si="33"/>
        <v>1.8899964686616864</v>
      </c>
      <c r="EG24" s="240">
        <f t="shared" si="34"/>
        <v>1.5230783729790991</v>
      </c>
      <c r="EH24" s="240">
        <f t="shared" si="35"/>
        <v>3.9025036979106527</v>
      </c>
      <c r="EI24" s="181">
        <f t="shared" si="36"/>
        <v>3.9025036979106531</v>
      </c>
      <c r="EK24" s="31">
        <f>DY24/Basicinfo!$G24*1000/100</f>
        <v>0.28175339175183806</v>
      </c>
      <c r="EL24" s="31">
        <f>DZ24/Basicinfo!$G24*1000/100</f>
        <v>3.7566805741961494E-2</v>
      </c>
      <c r="EM24" s="220">
        <f>EG24/Basicinfo!$G24*1000/100</f>
        <v>0.31932019749379958</v>
      </c>
      <c r="EN24" s="220">
        <f>ED24/Basicinfo!$G24*1000/100</f>
        <v>1.127372172042689E-2</v>
      </c>
      <c r="EO24" s="220">
        <f>EF24/Basicinfo!$G24*1000/100</f>
        <v>0.39624621841040047</v>
      </c>
      <c r="EP24" s="220">
        <f>EE24/Basicinfo!$G24*1000/100</f>
        <v>9.1337228455150909E-2</v>
      </c>
      <c r="EQ24" s="220">
        <f>EH24/Basicinfo!$G24*1000/100</f>
        <v>0.81817736607977776</v>
      </c>
      <c r="ER24" s="31">
        <f>EI24/Basicinfo!$G24*1000/100</f>
        <v>0.81817736607977798</v>
      </c>
      <c r="ET24" s="188">
        <f t="shared" si="37"/>
        <v>34.436713044487362</v>
      </c>
      <c r="EU24" s="188">
        <f t="shared" si="38"/>
        <v>4.591523464155383</v>
      </c>
      <c r="EV24" s="223">
        <f t="shared" si="39"/>
        <v>39.028236508642756</v>
      </c>
      <c r="EW24" s="223">
        <f t="shared" si="40"/>
        <v>1.3779068192076611</v>
      </c>
      <c r="EX24" s="223">
        <f t="shared" si="41"/>
        <v>48.430356893026506</v>
      </c>
      <c r="EY24" s="223">
        <f t="shared" si="42"/>
        <v>11.163499779123063</v>
      </c>
      <c r="EZ24" s="223">
        <f t="shared" si="43"/>
        <v>99.999999999999972</v>
      </c>
      <c r="FA24" s="188">
        <f t="shared" si="44"/>
        <v>100</v>
      </c>
      <c r="FC24" s="236">
        <f>Basicinfo!CT24</f>
        <v>5.7476774193548383</v>
      </c>
      <c r="FD24" s="181">
        <f>IF((Intermediate!CL24+Intermediate!CM24*3)/4&gt;11,(Intermediate!CL24+Intermediate!CM24*9)/10,(Intermediate!CL24+Intermediate!CM24*3)/4)</f>
        <v>3.0133130208810872</v>
      </c>
      <c r="FF24" s="31">
        <f t="shared" si="45"/>
        <v>5.3772864573342044E-2</v>
      </c>
      <c r="FG24" s="31">
        <f t="shared" si="46"/>
        <v>0.15478552341417437</v>
      </c>
      <c r="FH24" s="31">
        <f t="shared" si="47"/>
        <v>0</v>
      </c>
      <c r="FI24" s="31">
        <f>(AI24-(P24*450/1000000))*Parameters!$C$153</f>
        <v>0.63682269333029373</v>
      </c>
      <c r="FJ24" s="31"/>
      <c r="FK24" s="31">
        <f t="shared" si="48"/>
        <v>5.821086560914969E-4</v>
      </c>
      <c r="FL24" s="31">
        <f t="shared" si="49"/>
        <v>0.94865678909571194</v>
      </c>
      <c r="FM24" s="31">
        <f>AM24*Parameters!$C$154</f>
        <v>6.1333439628533902E-2</v>
      </c>
      <c r="FN24" s="31">
        <f>AN24*Parameters!$C$154</f>
        <v>3.6962876217606078E-2</v>
      </c>
      <c r="FO24" s="31">
        <f>AO24*Parameters!$C$154</f>
        <v>6.2969619835049284E-2</v>
      </c>
      <c r="FP24" s="31">
        <f>AQ24*Parameters!$C$155</f>
        <v>1.3438939999999999</v>
      </c>
      <c r="FQ24" s="31">
        <f t="shared" si="50"/>
        <v>3.2997799147508031</v>
      </c>
      <c r="FS24" s="147">
        <f>DY24*Parameters!$C$155</f>
        <v>1.3438939999999999</v>
      </c>
      <c r="FT24" s="147">
        <f>DZ24*Parameters!$C$154</f>
        <v>0.16126593568118927</v>
      </c>
      <c r="FU24" s="181">
        <f t="shared" si="51"/>
        <v>5.821086560914969E-4</v>
      </c>
      <c r="FV24" s="181">
        <f t="shared" si="52"/>
        <v>0.95425344215836916</v>
      </c>
      <c r="FW24" s="31">
        <f t="shared" si="53"/>
        <v>0.63682269333029407</v>
      </c>
      <c r="FX24" s="181">
        <f t="shared" si="54"/>
        <v>5.3772864573342044E-2</v>
      </c>
      <c r="FY24" s="147">
        <f>Intermediate!FJ24+Intermediate!FM24</f>
        <v>0.14918887035151721</v>
      </c>
      <c r="FZ24" s="181">
        <f t="shared" si="55"/>
        <v>1.5916582441447549</v>
      </c>
      <c r="GA24" s="147">
        <f t="shared" si="56"/>
        <v>1.5051599356811891</v>
      </c>
      <c r="GB24" s="181">
        <f t="shared" si="57"/>
        <v>3.2997799147508031</v>
      </c>
      <c r="GD24" s="147">
        <f>IF('River loads'!CH24&gt;0.99,1,0)</f>
        <v>1</v>
      </c>
      <c r="GE24" s="147">
        <f t="shared" si="58"/>
        <v>5.3772864573342044E-2</v>
      </c>
      <c r="GF24" s="147">
        <f t="shared" si="59"/>
        <v>0.15478552341417437</v>
      </c>
      <c r="GG24" s="147">
        <f t="shared" si="60"/>
        <v>0</v>
      </c>
      <c r="GH24" s="147">
        <f t="shared" si="61"/>
        <v>0.97076924676892162</v>
      </c>
      <c r="GI24" s="147">
        <f t="shared" si="62"/>
        <v>0.25085879242331199</v>
      </c>
      <c r="GJ24" s="147">
        <f t="shared" si="63"/>
        <v>5.821086560914969E-4</v>
      </c>
      <c r="GK24" s="147">
        <f t="shared" si="64"/>
        <v>0.94865678909571194</v>
      </c>
      <c r="GL24" s="147">
        <f t="shared" si="65"/>
        <v>6.8148266253926559E-2</v>
      </c>
      <c r="GM24" s="270">
        <f t="shared" si="128"/>
        <v>4.1069862464006748E-2</v>
      </c>
      <c r="GN24" s="270">
        <f t="shared" si="129"/>
        <v>6.9966244261165864E-2</v>
      </c>
      <c r="GO24" s="147">
        <f t="shared" si="66"/>
        <v>1.3438939999999999</v>
      </c>
      <c r="GP24" s="147">
        <f t="shared" si="67"/>
        <v>3.9025036979106531</v>
      </c>
      <c r="GQ24" s="147"/>
      <c r="GR24" s="147">
        <f t="shared" si="68"/>
        <v>5.3772864573342044E-2</v>
      </c>
      <c r="GS24" s="147">
        <f t="shared" si="69"/>
        <v>0.15478552341417437</v>
      </c>
      <c r="GT24" s="147">
        <f t="shared" si="70"/>
        <v>0</v>
      </c>
      <c r="GU24" s="147">
        <f t="shared" si="71"/>
        <v>0.63682269333029373</v>
      </c>
      <c r="GV24" s="147">
        <f t="shared" si="72"/>
        <v>0</v>
      </c>
      <c r="GW24" s="147">
        <f t="shared" si="73"/>
        <v>5.821086560914969E-4</v>
      </c>
      <c r="GX24" s="147">
        <f t="shared" si="74"/>
        <v>0.94865678909571194</v>
      </c>
      <c r="GY24" s="147">
        <f t="shared" si="75"/>
        <v>6.1333439628533902E-2</v>
      </c>
      <c r="GZ24" s="147">
        <f t="shared" si="130"/>
        <v>3.6962876217606078E-2</v>
      </c>
      <c r="HA24" s="147">
        <f t="shared" si="131"/>
        <v>6.2969619835049284E-2</v>
      </c>
      <c r="HB24" s="147">
        <f t="shared" si="76"/>
        <v>1.3438939999999999</v>
      </c>
      <c r="HC24" s="147">
        <f t="shared" si="77"/>
        <v>3.2997799147508031</v>
      </c>
      <c r="HD24" s="147"/>
      <c r="HE24" s="147">
        <f t="shared" si="78"/>
        <v>1.3438939999999999</v>
      </c>
      <c r="HF24" s="147">
        <f t="shared" si="79"/>
        <v>0.17918437297909917</v>
      </c>
      <c r="HG24" s="147">
        <f t="shared" si="80"/>
        <v>5.821086560914969E-4</v>
      </c>
      <c r="HH24" s="147">
        <f t="shared" si="81"/>
        <v>0.95425344215836916</v>
      </c>
      <c r="HI24" s="147">
        <f t="shared" si="82"/>
        <v>0.93516091784722577</v>
      </c>
      <c r="HJ24" s="147">
        <f t="shared" si="83"/>
        <v>5.3772864573342044E-2</v>
      </c>
      <c r="HK24" s="147">
        <f t="shared" si="84"/>
        <v>0.43565599169652514</v>
      </c>
      <c r="HL24" s="147">
        <f t="shared" si="85"/>
        <v>1.8899964686616864</v>
      </c>
      <c r="HM24" s="147">
        <f t="shared" si="86"/>
        <v>1.5230783729790991</v>
      </c>
      <c r="HN24" s="147">
        <f t="shared" si="87"/>
        <v>3.9025036979106527</v>
      </c>
      <c r="HO24" s="147">
        <f t="shared" si="88"/>
        <v>3.9025036979106531</v>
      </c>
      <c r="HQ24" s="147">
        <f t="shared" si="89"/>
        <v>1.3438939999999999</v>
      </c>
      <c r="HR24" s="147">
        <f t="shared" si="90"/>
        <v>0.16126593568118927</v>
      </c>
      <c r="HS24" s="147">
        <f t="shared" si="91"/>
        <v>5.821086560914969E-4</v>
      </c>
      <c r="HT24" s="147">
        <f t="shared" si="92"/>
        <v>0.95425344215836916</v>
      </c>
      <c r="HU24" s="147">
        <f t="shared" si="93"/>
        <v>0.63682269333029407</v>
      </c>
      <c r="HV24" s="147">
        <f t="shared" si="94"/>
        <v>5.3772864573342044E-2</v>
      </c>
      <c r="HW24" s="147">
        <f t="shared" si="95"/>
        <v>0.14918887035151721</v>
      </c>
      <c r="HX24" s="147">
        <f t="shared" si="96"/>
        <v>1.5916582441447549</v>
      </c>
      <c r="HY24" s="147">
        <f t="shared" si="97"/>
        <v>1.5051599356811891</v>
      </c>
      <c r="HZ24" s="147">
        <f t="shared" si="98"/>
        <v>3.2997799147508031</v>
      </c>
      <c r="IB24" s="147">
        <f>IF('River loads'!CI24&gt;0.99,1,0)</f>
        <v>1</v>
      </c>
      <c r="IC24">
        <f t="shared" si="99"/>
        <v>2.4484133899331586</v>
      </c>
      <c r="ID24">
        <f t="shared" si="100"/>
        <v>9.2644877807743473</v>
      </c>
      <c r="IE24">
        <f t="shared" si="101"/>
        <v>0</v>
      </c>
      <c r="IF24">
        <f t="shared" si="102"/>
        <v>1.5049643101918639</v>
      </c>
      <c r="IG24">
        <f t="shared" si="103"/>
        <v>1.3936599579072886E-2</v>
      </c>
      <c r="IH24">
        <f t="shared" si="104"/>
        <v>5.8366445577626658E-2</v>
      </c>
      <c r="II24">
        <f t="shared" si="105"/>
        <v>44.03128268932025</v>
      </c>
      <c r="IJ24">
        <f t="shared" si="106"/>
        <v>0.26648315537607481</v>
      </c>
      <c r="IK24">
        <f t="shared" si="132"/>
        <v>0.20619307039591533</v>
      </c>
      <c r="IL24">
        <f t="shared" si="133"/>
        <v>0.43384055841548308</v>
      </c>
      <c r="IM24">
        <f t="shared" si="107"/>
        <v>19.306905</v>
      </c>
      <c r="IN24">
        <f t="shared" si="108"/>
        <v>77.534872999563788</v>
      </c>
      <c r="IP24">
        <f t="shared" si="109"/>
        <v>19.306905</v>
      </c>
      <c r="IQ24">
        <f t="shared" si="110"/>
        <v>0.90651678418747328</v>
      </c>
      <c r="IR24">
        <f t="shared" si="111"/>
        <v>7.6740726469713261</v>
      </c>
      <c r="IS24">
        <f t="shared" si="112"/>
        <v>5.184733877139081</v>
      </c>
      <c r="IT24">
        <f t="shared" si="113"/>
        <v>5.8366445577626658E-2</v>
      </c>
      <c r="IU24">
        <f t="shared" si="114"/>
        <v>28.430274758048668</v>
      </c>
      <c r="IV24">
        <f t="shared" si="115"/>
        <v>4.0342930923186469</v>
      </c>
      <c r="IW24">
        <f t="shared" si="116"/>
        <v>2.7393638670789002</v>
      </c>
      <c r="IX24">
        <f t="shared" si="117"/>
        <v>9.2003465282420738</v>
      </c>
    </row>
    <row r="25" spans="1:258">
      <c r="A25" s="39" t="str">
        <f>Basicinfo!A25</f>
        <v>Trattnach</v>
      </c>
      <c r="B25" s="63">
        <f>Basicinfo!B25</f>
        <v>1170</v>
      </c>
      <c r="C25" s="63">
        <f>Basicinfo!C25</f>
        <v>1180</v>
      </c>
      <c r="D25" s="130">
        <f>Basicinfo!G25</f>
        <v>196.22594226699999</v>
      </c>
      <c r="E25" s="87">
        <f t="shared" si="118"/>
        <v>2.2289413118129899</v>
      </c>
      <c r="F25" s="19">
        <f>Intermediate!AR25</f>
        <v>9.3546113800406124E-3</v>
      </c>
      <c r="G25" s="19">
        <f>Intermediate!AU25</f>
        <v>0.32857214020916442</v>
      </c>
      <c r="H25" s="19">
        <f>Intermediate!AW25</f>
        <v>0</v>
      </c>
      <c r="I25" s="19">
        <f>Intermediate!AZ25</f>
        <v>2.389868740722894E-2</v>
      </c>
      <c r="J25" s="19">
        <f>Intermediate!BA25</f>
        <v>1.5959802052213472</v>
      </c>
      <c r="K25" s="19">
        <f>Intermediate!AC25</f>
        <v>1.2677480704418523E-2</v>
      </c>
      <c r="L25" s="19">
        <f>Intermediate!AO25</f>
        <v>1.1830223559454973E-2</v>
      </c>
      <c r="M25" s="19">
        <f>Intermediate!AP25</f>
        <v>1.5997648981597529E-2</v>
      </c>
      <c r="N25" s="19">
        <f t="shared" si="119"/>
        <v>1.9983109974632522</v>
      </c>
      <c r="O25" s="19">
        <f>Basicinfo!CB25+Basicinfo!CG25</f>
        <v>0.23063031434973785</v>
      </c>
      <c r="P25" s="56">
        <f>Intermediate!BK25-Intermediate!BI25</f>
        <v>5212.9380897165502</v>
      </c>
      <c r="Q25" s="43">
        <f>Intermediate!BI25</f>
        <v>2500.454210947903</v>
      </c>
      <c r="R25" s="88">
        <f t="shared" si="134"/>
        <v>7713.3923006644527</v>
      </c>
      <c r="S25" s="61">
        <f>Intermediate!F25*Intermediate!BO25/1000</f>
        <v>1.9647485770301409</v>
      </c>
      <c r="T25" s="19">
        <f>Intermediate!BU25*Intermediate!AU25*86.4*0.365</f>
        <v>18.982235400332531</v>
      </c>
      <c r="U25" s="19">
        <f>Intermediate!AW25*Intermediate!BS25*0.365*86.4</f>
        <v>0</v>
      </c>
      <c r="V25" s="19">
        <f>(Basicinfo!BL25/1000000)*(Intermediate!BK25-Intermediate!BF25-Intermediate!BG25-Intermediate!BH25)*Intermediate!CV25</f>
        <v>16.01911699413618</v>
      </c>
      <c r="W25" s="19">
        <f>Intermediate!BI25*Parameters!$C$51/1000000</f>
        <v>6.2511355273697583E-2</v>
      </c>
      <c r="X25" s="19">
        <f>Intermediate!AZ25*Intermediate!CG25*86.4*0.365</f>
        <v>8.7689573788513062</v>
      </c>
      <c r="Y25" s="19">
        <f>Intermediate!CM25*Intermediate!BA25*86.4*0.365+Parameters!$C$126*Intermediate!BB25*Basicinfo!P25/1000+Parameters!$C$127*Intermediate!BB25*Basicinfo!S25/1000</f>
        <v>180.54659321388331</v>
      </c>
      <c r="Z25" s="19">
        <f>Intermediate!DG25</f>
        <v>1.1150308228834267</v>
      </c>
      <c r="AA25" s="19">
        <f>Intermediate!DI25</f>
        <v>3.0929751022168364</v>
      </c>
      <c r="AB25" s="19">
        <f>Intermediate!DK25</f>
        <v>0.54770085727166284</v>
      </c>
      <c r="AC25" s="19">
        <f t="shared" si="120"/>
        <v>231.09986970187907</v>
      </c>
      <c r="AD25" s="19">
        <f>Basicinfo!CC25+Basicinfo!CE25+Basicinfo!CH25+Basicinfo!CJ25</f>
        <v>52.729592388888889</v>
      </c>
      <c r="AE25" s="87">
        <f t="shared" si="135"/>
        <v>283.82946209076795</v>
      </c>
      <c r="AF25" s="56">
        <f>Intermediate!F25*Basicinfo!BD25/1000</f>
        <v>4.2316097524914081E-2</v>
      </c>
      <c r="AG25" s="43">
        <f>Intermediate!CA25*Intermediate!AU25*86.4*0.365</f>
        <v>0.36682879360432347</v>
      </c>
      <c r="AH25" s="43">
        <f>Intermediate!AW25*Intermediate!BZ25*0.365*86.4</f>
        <v>0</v>
      </c>
      <c r="AI25" s="43">
        <f>(Intermediate!CU25/1000000)*(Intermediate!BK25-Intermediate!BF25-Intermediate!BG25-Intermediate!BH25)*Intermediate!CW25</f>
        <v>11.885672121464316</v>
      </c>
      <c r="AJ25" s="43">
        <f>Intermediate!BF25*Parameters!$C$52/1000000+(Intermediate!BG25+Intermediate!BH25)*Intermediate!CX25/1000000</f>
        <v>1.1252043949265564</v>
      </c>
      <c r="AK25" s="43">
        <f>Intermediate!AZ25*Intermediate!CH25*86.4*0.365</f>
        <v>5.443750951377415E-2</v>
      </c>
      <c r="AL25" s="58">
        <f>Intermediate!CR25*Intermediate!BA25*86.4*0.365</f>
        <v>0.85585367486432684</v>
      </c>
      <c r="AM25" s="43">
        <f>Intermediate!DH25</f>
        <v>0.27677964210720002</v>
      </c>
      <c r="AN25" s="42">
        <f>Intermediate!DJ25</f>
        <v>0.58668594997017653</v>
      </c>
      <c r="AO25" s="42">
        <f>Intermediate!DL25</f>
        <v>8.7099657434212011E-2</v>
      </c>
      <c r="AP25" s="42">
        <f t="shared" si="122"/>
        <v>15.280877841409799</v>
      </c>
      <c r="AQ25" s="43">
        <f>Basicinfo!CD25+Basicinfo!CF25+Basicinfo!CI25+Basicinfo!CK25</f>
        <v>4.2908355</v>
      </c>
      <c r="AR25" s="83">
        <f t="shared" si="136"/>
        <v>19.571713341409797</v>
      </c>
      <c r="AS25" s="19">
        <f>F25*86400*365/(Basicinfo!G25*1000000)*1000</f>
        <v>1.5034048050565691</v>
      </c>
      <c r="AT25" s="19">
        <f>G25*86400*365/(Basicinfo!G25*1000000)*1000</f>
        <v>52.805714137109781</v>
      </c>
      <c r="AU25" s="19">
        <f>H25*86400*365/(Basicinfo!G25*1000000)*1000</f>
        <v>0</v>
      </c>
      <c r="AV25" s="19">
        <f>I25*86400*365/(Basicinfo!G25*1000000)*1000</f>
        <v>3.8408224588819775</v>
      </c>
      <c r="AW25" s="19">
        <f>J25*86400*365/(Basicinfo!G25*1000000)*1000</f>
        <v>256.49427986120429</v>
      </c>
      <c r="AX25" s="53">
        <f>K25*86400*365/(Basicinfo!G25*1000000)*1000</f>
        <v>2.0374320891299287</v>
      </c>
      <c r="AY25" s="53">
        <f>L25*86400*365/(Basicinfo!G25*1000000)*1000</f>
        <v>1.901267110050789</v>
      </c>
      <c r="AZ25" s="53">
        <f>M25*86400*365/(Basicinfo!G25*1000000)*1000</f>
        <v>2.5710252806287759</v>
      </c>
      <c r="BA25" s="19">
        <f t="shared" si="123"/>
        <v>321.15394574206215</v>
      </c>
      <c r="BB25" s="19">
        <f>O25*86400*365/(Basicinfo!G25*1000000)*1000</f>
        <v>37.065219355333348</v>
      </c>
      <c r="BC25" s="53">
        <f t="shared" si="137"/>
        <v>358.21916509739549</v>
      </c>
      <c r="BD25" s="56">
        <f>P25/(Basicinfo!G25*100)*1000</f>
        <v>265.65998509123881</v>
      </c>
      <c r="BE25" s="43">
        <f>Q25/(Basicinfo!G25*100)*1000</f>
        <v>127.42730049147092</v>
      </c>
      <c r="BF25" s="58">
        <f t="shared" si="138"/>
        <v>393.08728558270974</v>
      </c>
      <c r="BG25" s="61">
        <f>S25/(Basicinfo!G25*100)*1000000</f>
        <v>100.12685144132237</v>
      </c>
      <c r="BH25" s="19">
        <f>T25/(Basicinfo!G25*100)*1000000</f>
        <v>967.36625040657736</v>
      </c>
      <c r="BI25" s="19">
        <f>U25/(Basicinfo!G25*100)*1000000</f>
        <v>0</v>
      </c>
      <c r="BJ25" s="19">
        <f>V25/(Basicinfo!G25*100)*1000000</f>
        <v>816.36081392027904</v>
      </c>
      <c r="BK25" s="19">
        <f>W25/(Basicinfo!G25*100)*1000000</f>
        <v>3.1856825122867729</v>
      </c>
      <c r="BL25" s="19">
        <f>X25/(Basicinfo!G25*100)*1000000</f>
        <v>446.88063553388844</v>
      </c>
      <c r="BM25" s="19">
        <f>Y25/(Basicinfo!G25*100)*1000000</f>
        <v>9200.9543247965576</v>
      </c>
      <c r="BN25" s="53">
        <f>Z25/(Basicinfo!G25*100)*1000000</f>
        <v>56.823823088907922</v>
      </c>
      <c r="BO25" s="53">
        <f>AA25/(Basicinfo!G25*100)*1000000</f>
        <v>157.62314944108147</v>
      </c>
      <c r="BP25" s="53">
        <f>AB25/(Basicinfo!G25*100)*1000000</f>
        <v>27.91174555943369</v>
      </c>
      <c r="BQ25" s="19">
        <f t="shared" si="125"/>
        <v>11777.233276700334</v>
      </c>
      <c r="BR25" s="19">
        <f>AD25/(Basicinfo!G25*100)*1000000</f>
        <v>2687.1876256372352</v>
      </c>
      <c r="BS25" s="53">
        <f t="shared" si="139"/>
        <v>14464.42090233757</v>
      </c>
      <c r="BT25" s="56">
        <f>AF25/(Basicinfo!G25*100)*1000000</f>
        <v>2.1564986278590812</v>
      </c>
      <c r="BU25" s="43">
        <f>AG25/(Basicinfo!G25*100)*1000000</f>
        <v>18.694204719638353</v>
      </c>
      <c r="BV25" s="43">
        <f>AH25/(Basicinfo!G25*100)*1000000</f>
        <v>0</v>
      </c>
      <c r="BW25" s="43">
        <f>AI25/(Basicinfo!G25*100)*1000000</f>
        <v>605.71359648724547</v>
      </c>
      <c r="BX25" s="43">
        <f>AJ25/(Basicinfo!G25*100)*1000000</f>
        <v>57.342285221161916</v>
      </c>
      <c r="BY25" s="58">
        <f>AK25/(Basicinfo!G25*100)*1000000</f>
        <v>2.7742259196137442</v>
      </c>
      <c r="BZ25" s="58">
        <f>AL25/(Basicinfo!G25*100)*1000000</f>
        <v>43.615725065536296</v>
      </c>
      <c r="CA25" s="58">
        <f>AM25/(Basicinfo!G25*100)*1000000</f>
        <v>14.105150364399449</v>
      </c>
      <c r="CB25" s="58">
        <f>AN25/(Basicinfo!G25*100)*1000000</f>
        <v>29.898490647678319</v>
      </c>
      <c r="CC25" s="58">
        <f>AO25/(Basicinfo!G25*100)*1000000</f>
        <v>4.4387432379199669</v>
      </c>
      <c r="CD25" s="58">
        <f t="shared" si="126"/>
        <v>778.73892029105252</v>
      </c>
      <c r="CE25" s="58">
        <f>AQ25/(Basicinfo!G25*100)*1000000</f>
        <v>218.66810526824031</v>
      </c>
      <c r="CF25" s="43">
        <f t="shared" si="140"/>
        <v>997.40702555929283</v>
      </c>
      <c r="CG25" s="84"/>
      <c r="CH25" s="84">
        <f t="shared" si="8"/>
        <v>52.729592388888889</v>
      </c>
      <c r="CI25" s="146">
        <f t="shared" si="9"/>
        <v>4.7557067823719255</v>
      </c>
      <c r="CJ25" s="200">
        <f>Intermediate!EW25+Intermediate!EY25+Intermediate!FD25</f>
        <v>14.79779663190345</v>
      </c>
      <c r="CK25" s="180">
        <f>Intermediate!FA25+Intermediate!FF25</f>
        <v>19.015515057950537</v>
      </c>
      <c r="CL25" s="180">
        <f t="shared" si="10"/>
        <v>8.7689573788513062</v>
      </c>
      <c r="CM25" s="180">
        <f t="shared" si="11"/>
        <v>128.46806743729854</v>
      </c>
      <c r="CN25" s="202">
        <f>Intermediate!EX25+Intermediate!EZ25+Intermediate!FE25</f>
        <v>8.0745246336555532</v>
      </c>
      <c r="CO25" s="180">
        <f>Intermediate!FB25+Intermediate!FG25</f>
        <v>10.386817004729927</v>
      </c>
      <c r="CP25" s="213">
        <f>Intermediate!EP25+Intermediate!EQ25+Intermediate!ER25+Intermediate!ES25+Intermediate!ET25+Intermediate!EU25+Intermediate!EV25+W25</f>
        <v>36.832484775117841</v>
      </c>
      <c r="CQ25" s="212">
        <f t="shared" si="12"/>
        <v>18.46134163838548</v>
      </c>
      <c r="CR25" s="212">
        <f t="shared" si="13"/>
        <v>171.05033650600384</v>
      </c>
      <c r="CS25" s="211">
        <f t="shared" si="14"/>
        <v>53.844623211772316</v>
      </c>
      <c r="CT25" s="212">
        <f t="shared" si="15"/>
        <v>280.18878613127947</v>
      </c>
      <c r="CU25" s="84"/>
      <c r="CV25" s="31">
        <f t="shared" si="16"/>
        <v>283.82946209076795</v>
      </c>
      <c r="CW25" s="31">
        <f>CH25/Basicinfo!$G25*1000/100</f>
        <v>2.6871876256372347</v>
      </c>
      <c r="CX25" s="31">
        <f>CI25/Basicinfo!$G25*1000/100</f>
        <v>0.24235871808942303</v>
      </c>
      <c r="CY25" s="31">
        <f>CS25/Basicinfo!$G25*1000/100</f>
        <v>2.7440114487261429</v>
      </c>
      <c r="CZ25" s="31">
        <f>CN25/Basicinfo!$G25*1000/100</f>
        <v>0.41149118920620287</v>
      </c>
      <c r="DA25" s="31">
        <f>CO25/Basicinfo!$G25*1000/100</f>
        <v>0.52932944975220619</v>
      </c>
      <c r="DB25" s="31">
        <f>CQ25/Basicinfo!$G25*1000/100</f>
        <v>0.94082063895840884</v>
      </c>
      <c r="DC25" s="31">
        <f>CJ25/Basicinfo!$G25*1000/100</f>
        <v>0.75412029933169777</v>
      </c>
      <c r="DD25" s="31">
        <f>CK25/Basicinfo!$G25*1000/100</f>
        <v>0.96906223704491512</v>
      </c>
      <c r="DE25" s="31">
        <f>CM25/Basicinfo!$G25*1000/100</f>
        <v>6.5469461353124805</v>
      </c>
      <c r="DF25" s="31">
        <f>CR25/Basicinfo!$G25*1000/100</f>
        <v>8.7170093072229822</v>
      </c>
      <c r="DG25" s="31">
        <f>CP25/Basicinfo!$G25*1000/100</f>
        <v>1.8770446124295201</v>
      </c>
      <c r="DH25" s="31">
        <f>CT25/Basicinfo!$G25*1000/100</f>
        <v>14.278886007337054</v>
      </c>
      <c r="DI25" s="31">
        <f>CV25/Basicinfo!$G25*1000/100</f>
        <v>14.464420902337567</v>
      </c>
      <c r="DJ25" s="31"/>
      <c r="DK25" s="188">
        <f t="shared" si="17"/>
        <v>18.819308622930755</v>
      </c>
      <c r="DL25" s="188">
        <f t="shared" si="18"/>
        <v>1.697322311872856</v>
      </c>
      <c r="DM25" s="188">
        <f t="shared" si="19"/>
        <v>19.217265599824536</v>
      </c>
      <c r="DN25" s="188">
        <f t="shared" si="20"/>
        <v>2.8818157732666436</v>
      </c>
      <c r="DO25" s="188">
        <f t="shared" si="21"/>
        <v>3.7070780555304932</v>
      </c>
      <c r="DP25" s="188">
        <f t="shared" si="22"/>
        <v>6.5888938287971364</v>
      </c>
      <c r="DQ25" s="188">
        <f t="shared" si="23"/>
        <v>5.281366480159595</v>
      </c>
      <c r="DR25" s="188">
        <f t="shared" si="24"/>
        <v>6.7866795529215151</v>
      </c>
      <c r="DS25" s="188">
        <f t="shared" si="25"/>
        <v>45.850538564061658</v>
      </c>
      <c r="DT25" s="188">
        <f t="shared" si="26"/>
        <v>61.048244959332543</v>
      </c>
      <c r="DU25" s="188">
        <f t="shared" si="27"/>
        <v>13.14559561204579</v>
      </c>
      <c r="DV25" s="188">
        <f t="shared" si="28"/>
        <v>100</v>
      </c>
      <c r="DW25" s="188">
        <f t="shared" si="29"/>
        <v>101.29936533497907</v>
      </c>
      <c r="DY25" s="181">
        <f t="shared" si="30"/>
        <v>4.2908355</v>
      </c>
      <c r="DZ25" s="181">
        <f t="shared" si="127"/>
        <v>0.95056524951158861</v>
      </c>
      <c r="EA25" s="185">
        <f t="shared" si="31"/>
        <v>5.443750951377415E-2</v>
      </c>
      <c r="EB25" s="185">
        <f>AG25+AH25+AL25-Intermediate!FJ25-Intermediate!FM25</f>
        <v>0.8348522671154528</v>
      </c>
      <c r="EC25" s="185">
        <f>AI25+AJ25-Intermediate!FK25</f>
        <v>11.581601724941283</v>
      </c>
      <c r="ED25" s="240">
        <f t="shared" si="32"/>
        <v>4.2316097524914081E-2</v>
      </c>
      <c r="EE25" s="240">
        <f>Intermediate!FJ25+Intermediate!FK25+Intermediate!FM25</f>
        <v>1.8171049928027883</v>
      </c>
      <c r="EF25" s="240">
        <f t="shared" si="33"/>
        <v>12.470891501570508</v>
      </c>
      <c r="EG25" s="240">
        <f t="shared" si="34"/>
        <v>5.2414007495115884</v>
      </c>
      <c r="EH25" s="240">
        <f t="shared" si="35"/>
        <v>19.571713341409801</v>
      </c>
      <c r="EI25" s="181">
        <f t="shared" si="36"/>
        <v>19.571713341409797</v>
      </c>
      <c r="EK25" s="31">
        <f>DY25/Basicinfo!$G25*1000/100</f>
        <v>0.21866810526824032</v>
      </c>
      <c r="EL25" s="31">
        <f>DZ25/Basicinfo!$G25*1000/100</f>
        <v>4.8442384249997736E-2</v>
      </c>
      <c r="EM25" s="220">
        <f>EG25/Basicinfo!$G25*1000/100</f>
        <v>0.26711048951823807</v>
      </c>
      <c r="EN25" s="220">
        <f>ED25/Basicinfo!$G25*1000/100</f>
        <v>2.1564986278590813E-3</v>
      </c>
      <c r="EO25" s="220">
        <f>EF25/Basicinfo!$G25*1000/100</f>
        <v>0.635537348298303</v>
      </c>
      <c r="EP25" s="220">
        <f>EE25/Basicinfo!$G25*1000/100</f>
        <v>9.2602689114892694E-2</v>
      </c>
      <c r="EQ25" s="220">
        <f>EH25/Basicinfo!$G25*1000/100</f>
        <v>0.99740702555929306</v>
      </c>
      <c r="ER25" s="31">
        <f>EI25/Basicinfo!$G25*1000/100</f>
        <v>0.99740702555929273</v>
      </c>
      <c r="ET25" s="188">
        <f t="shared" si="37"/>
        <v>21.923658011695167</v>
      </c>
      <c r="EU25" s="188">
        <f t="shared" si="38"/>
        <v>4.8568320664107842</v>
      </c>
      <c r="EV25" s="223">
        <f t="shared" si="39"/>
        <v>26.780490078105952</v>
      </c>
      <c r="EW25" s="223">
        <f t="shared" si="40"/>
        <v>0.21621049106304741</v>
      </c>
      <c r="EX25" s="223">
        <f t="shared" si="41"/>
        <v>63.718956455307449</v>
      </c>
      <c r="EY25" s="223">
        <f t="shared" si="42"/>
        <v>9.2843429755235611</v>
      </c>
      <c r="EZ25" s="223">
        <f t="shared" si="43"/>
        <v>100.00000000000004</v>
      </c>
      <c r="FA25" s="188">
        <f t="shared" si="44"/>
        <v>100</v>
      </c>
      <c r="FC25" s="236">
        <f>Basicinfo!CT25</f>
        <v>2.526209677419355</v>
      </c>
      <c r="FD25" s="181">
        <f>IF((Intermediate!CL25+Intermediate!CM25*3)/4&gt;11,(Intermediate!CL25+Intermediate!CM25*9)/10,(Intermediate!CL25+Intermediate!CM25*3)/4)</f>
        <v>4.968443183846337</v>
      </c>
      <c r="FF25" s="31">
        <f t="shared" si="45"/>
        <v>4.2316097524914081E-2</v>
      </c>
      <c r="FG25" s="31">
        <f t="shared" si="46"/>
        <v>0.36682879360432347</v>
      </c>
      <c r="FH25" s="31">
        <f t="shared" si="47"/>
        <v>0</v>
      </c>
      <c r="FI25" s="31">
        <f>(AI25-(P25*450/1000000))*Parameters!$C$153</f>
        <v>7.6318799848734944</v>
      </c>
      <c r="FJ25" s="31"/>
      <c r="FK25" s="31">
        <f t="shared" si="48"/>
        <v>5.443750951377415E-2</v>
      </c>
      <c r="FL25" s="31">
        <f t="shared" si="49"/>
        <v>0.85585367486432684</v>
      </c>
      <c r="FM25" s="31">
        <f>AM25*Parameters!$C$154</f>
        <v>0.24910167789648002</v>
      </c>
      <c r="FN25" s="31">
        <f>AN25*Parameters!$C$154</f>
        <v>0.52801735497315894</v>
      </c>
      <c r="FO25" s="31">
        <f>AO25*Parameters!$C$154</f>
        <v>7.8389691690790811E-2</v>
      </c>
      <c r="FP25" s="31">
        <f>AQ25*Parameters!$C$155</f>
        <v>4.2908355</v>
      </c>
      <c r="FQ25" s="31">
        <f t="shared" si="50"/>
        <v>14.097660284941263</v>
      </c>
      <c r="FS25" s="147">
        <f>DY25*Parameters!$C$155</f>
        <v>4.2908355</v>
      </c>
      <c r="FT25" s="147">
        <f>DZ25*Parameters!$C$154</f>
        <v>0.85550872456042981</v>
      </c>
      <c r="FU25" s="181">
        <f t="shared" si="51"/>
        <v>5.443750951377415E-2</v>
      </c>
      <c r="FV25" s="181">
        <f t="shared" si="52"/>
        <v>0.8348522671154528</v>
      </c>
      <c r="FW25" s="31">
        <f t="shared" si="53"/>
        <v>7.6318799848734953</v>
      </c>
      <c r="FX25" s="181">
        <f t="shared" si="54"/>
        <v>4.2316097524914081E-2</v>
      </c>
      <c r="FY25" s="147">
        <f>Intermediate!FJ25+Intermediate!FM25</f>
        <v>0.38783020135319757</v>
      </c>
      <c r="FZ25" s="181">
        <f t="shared" si="55"/>
        <v>8.5211697615027227</v>
      </c>
      <c r="GA25" s="147">
        <f t="shared" si="56"/>
        <v>5.1463442245604298</v>
      </c>
      <c r="GB25" s="181">
        <f t="shared" si="57"/>
        <v>14.097660284941265</v>
      </c>
      <c r="GD25" s="147">
        <f>IF('River loads'!CH25&gt;0.99,1,0)</f>
        <v>1</v>
      </c>
      <c r="GE25" s="147">
        <f t="shared" si="58"/>
        <v>4.2316097524914081E-2</v>
      </c>
      <c r="GF25" s="147">
        <f t="shared" si="59"/>
        <v>0.36682879360432347</v>
      </c>
      <c r="GG25" s="147">
        <f t="shared" si="60"/>
        <v>0</v>
      </c>
      <c r="GH25" s="147">
        <f t="shared" si="61"/>
        <v>11.885672121464316</v>
      </c>
      <c r="GI25" s="147">
        <f t="shared" si="62"/>
        <v>1.1252043949265564</v>
      </c>
      <c r="GJ25" s="147">
        <f t="shared" si="63"/>
        <v>5.443750951377415E-2</v>
      </c>
      <c r="GK25" s="147">
        <f t="shared" si="64"/>
        <v>0.85585367486432684</v>
      </c>
      <c r="GL25" s="147">
        <f t="shared" si="65"/>
        <v>0.27677964210720002</v>
      </c>
      <c r="GM25" s="270">
        <f t="shared" si="128"/>
        <v>0.58668594997017653</v>
      </c>
      <c r="GN25" s="270">
        <f t="shared" si="129"/>
        <v>8.7099657434212011E-2</v>
      </c>
      <c r="GO25" s="147">
        <f t="shared" si="66"/>
        <v>4.2908355</v>
      </c>
      <c r="GP25" s="147">
        <f t="shared" si="67"/>
        <v>19.571713341409797</v>
      </c>
      <c r="GQ25" s="147"/>
      <c r="GR25" s="147">
        <f t="shared" si="68"/>
        <v>4.2316097524914081E-2</v>
      </c>
      <c r="GS25" s="147">
        <f t="shared" si="69"/>
        <v>0.36682879360432347</v>
      </c>
      <c r="GT25" s="147">
        <f t="shared" si="70"/>
        <v>0</v>
      </c>
      <c r="GU25" s="147">
        <f t="shared" si="71"/>
        <v>7.6318799848734944</v>
      </c>
      <c r="GV25" s="147">
        <f t="shared" si="72"/>
        <v>0</v>
      </c>
      <c r="GW25" s="147">
        <f t="shared" si="73"/>
        <v>5.443750951377415E-2</v>
      </c>
      <c r="GX25" s="147">
        <f t="shared" si="74"/>
        <v>0.85585367486432684</v>
      </c>
      <c r="GY25" s="147">
        <f t="shared" si="75"/>
        <v>0.24910167789648002</v>
      </c>
      <c r="GZ25" s="147">
        <f t="shared" si="130"/>
        <v>0.52801735497315894</v>
      </c>
      <c r="HA25" s="147">
        <f t="shared" si="131"/>
        <v>7.8389691690790811E-2</v>
      </c>
      <c r="HB25" s="147">
        <f t="shared" si="76"/>
        <v>4.2908355</v>
      </c>
      <c r="HC25" s="147">
        <f t="shared" si="77"/>
        <v>14.097660284941263</v>
      </c>
      <c r="HD25" s="147"/>
      <c r="HE25" s="147">
        <f t="shared" si="78"/>
        <v>4.2908355</v>
      </c>
      <c r="HF25" s="147">
        <f t="shared" si="79"/>
        <v>0.95056524951158861</v>
      </c>
      <c r="HG25" s="147">
        <f t="shared" si="80"/>
        <v>5.443750951377415E-2</v>
      </c>
      <c r="HH25" s="147">
        <f t="shared" si="81"/>
        <v>0.8348522671154528</v>
      </c>
      <c r="HI25" s="147">
        <f t="shared" si="82"/>
        <v>11.581601724941283</v>
      </c>
      <c r="HJ25" s="147">
        <f t="shared" si="83"/>
        <v>4.2316097524914081E-2</v>
      </c>
      <c r="HK25" s="147">
        <f t="shared" si="84"/>
        <v>1.8171049928027883</v>
      </c>
      <c r="HL25" s="147">
        <f t="shared" si="85"/>
        <v>12.470891501570508</v>
      </c>
      <c r="HM25" s="147">
        <f t="shared" si="86"/>
        <v>5.2414007495115884</v>
      </c>
      <c r="HN25" s="147">
        <f t="shared" si="87"/>
        <v>19.571713341409801</v>
      </c>
      <c r="HO25" s="147">
        <f t="shared" si="88"/>
        <v>19.571713341409797</v>
      </c>
      <c r="HQ25" s="147">
        <f t="shared" si="89"/>
        <v>4.2908355</v>
      </c>
      <c r="HR25" s="147">
        <f t="shared" si="90"/>
        <v>0.85550872456042981</v>
      </c>
      <c r="HS25" s="147">
        <f t="shared" si="91"/>
        <v>5.443750951377415E-2</v>
      </c>
      <c r="HT25" s="147">
        <f t="shared" si="92"/>
        <v>0.8348522671154528</v>
      </c>
      <c r="HU25" s="147">
        <f t="shared" si="93"/>
        <v>7.6318799848734953</v>
      </c>
      <c r="HV25" s="147">
        <f t="shared" si="94"/>
        <v>4.2316097524914081E-2</v>
      </c>
      <c r="HW25" s="147">
        <f t="shared" si="95"/>
        <v>0.38783020135319757</v>
      </c>
      <c r="HX25" s="147">
        <f t="shared" si="96"/>
        <v>8.5211697615027227</v>
      </c>
      <c r="HY25" s="147">
        <f t="shared" si="97"/>
        <v>5.1463442245604298</v>
      </c>
      <c r="HZ25" s="147">
        <f t="shared" si="98"/>
        <v>14.097660284941265</v>
      </c>
      <c r="IB25" s="147">
        <f>IF('River loads'!CI25&gt;0.99,1,0)</f>
        <v>1</v>
      </c>
      <c r="IC25">
        <f t="shared" si="99"/>
        <v>1.9647485770301409</v>
      </c>
      <c r="ID25">
        <f t="shared" si="100"/>
        <v>18.982235400332531</v>
      </c>
      <c r="IE25">
        <f t="shared" si="101"/>
        <v>0</v>
      </c>
      <c r="IF25">
        <f t="shared" si="102"/>
        <v>16.01911699413618</v>
      </c>
      <c r="IG25">
        <f t="shared" si="103"/>
        <v>6.2511355273697583E-2</v>
      </c>
      <c r="IH25">
        <f t="shared" si="104"/>
        <v>8.7689573788513062</v>
      </c>
      <c r="II25">
        <f t="shared" si="105"/>
        <v>180.54659321388331</v>
      </c>
      <c r="IJ25">
        <f t="shared" si="106"/>
        <v>1.1150308228834267</v>
      </c>
      <c r="IK25">
        <f t="shared" si="132"/>
        <v>3.0929751022168364</v>
      </c>
      <c r="IL25">
        <f t="shared" si="133"/>
        <v>0.54770085727166284</v>
      </c>
      <c r="IM25">
        <f t="shared" si="107"/>
        <v>52.729592388888889</v>
      </c>
      <c r="IN25">
        <f t="shared" si="108"/>
        <v>283.82946209076795</v>
      </c>
      <c r="IP25">
        <f t="shared" si="109"/>
        <v>52.729592388888889</v>
      </c>
      <c r="IQ25">
        <f t="shared" si="110"/>
        <v>4.7557067823719255</v>
      </c>
      <c r="IR25">
        <f t="shared" si="111"/>
        <v>14.79779663190345</v>
      </c>
      <c r="IS25">
        <f t="shared" si="112"/>
        <v>19.015515057950537</v>
      </c>
      <c r="IT25">
        <f t="shared" si="113"/>
        <v>8.7689573788513062</v>
      </c>
      <c r="IU25">
        <f t="shared" si="114"/>
        <v>128.46806743729854</v>
      </c>
      <c r="IV25">
        <f t="shared" si="115"/>
        <v>8.0745246336555532</v>
      </c>
      <c r="IW25">
        <f t="shared" si="116"/>
        <v>10.386817004729927</v>
      </c>
      <c r="IX25">
        <f t="shared" si="117"/>
        <v>36.832484775117841</v>
      </c>
    </row>
    <row r="26" spans="1:258">
      <c r="A26" s="39" t="str">
        <f>Basicinfo!A26</f>
        <v>Innbach</v>
      </c>
      <c r="B26" s="63">
        <f>Basicinfo!B26</f>
        <v>1180</v>
      </c>
      <c r="C26" s="63">
        <f>Basicinfo!C26</f>
        <v>5000</v>
      </c>
      <c r="D26" s="130">
        <f>Basicinfo!G26</f>
        <v>301.97582279800002</v>
      </c>
      <c r="E26" s="87">
        <f t="shared" si="118"/>
        <v>3.2932598651344502</v>
      </c>
      <c r="F26" s="19">
        <f>Intermediate!AR26</f>
        <v>1.0117071370521865E-2</v>
      </c>
      <c r="G26" s="19">
        <f>Intermediate!AU26</f>
        <v>0.55642043528109053</v>
      </c>
      <c r="H26" s="19">
        <f>Intermediate!AW26</f>
        <v>0</v>
      </c>
      <c r="I26" s="19">
        <f>Intermediate!AZ26</f>
        <v>6.2611594841791865E-2</v>
      </c>
      <c r="J26" s="19">
        <f>Intermediate!BA26</f>
        <v>2.5963735617795933</v>
      </c>
      <c r="K26" s="19">
        <f>Intermediate!AC26</f>
        <v>1.6963137059740126E-2</v>
      </c>
      <c r="L26" s="19">
        <f>Intermediate!AO26</f>
        <v>1.4428726152607273E-2</v>
      </c>
      <c r="M26" s="19">
        <f>Intermediate!AP26</f>
        <v>2.0716167014570838E-2</v>
      </c>
      <c r="N26" s="19">
        <f t="shared" si="119"/>
        <v>3.277630693499916</v>
      </c>
      <c r="O26" s="19">
        <f>Basicinfo!CB26+Basicinfo!CG26</f>
        <v>1.5629171634534079E-2</v>
      </c>
      <c r="P26" s="56">
        <f>Intermediate!BK26-Intermediate!BI26</f>
        <v>10797.994482322523</v>
      </c>
      <c r="Q26" s="43">
        <f>Intermediate!BI26</f>
        <v>5842.5461533279704</v>
      </c>
      <c r="R26" s="88">
        <f t="shared" si="134"/>
        <v>16640.540635650494</v>
      </c>
      <c r="S26" s="61">
        <f>Intermediate!F26*Intermediate!BO26/1000</f>
        <v>4.5695767480714569</v>
      </c>
      <c r="T26" s="19">
        <f>Intermediate!BU26*Intermediate!AU26*86.4*0.365</f>
        <v>36.191022920628811</v>
      </c>
      <c r="U26" s="19">
        <f>Intermediate!AW26*Intermediate!BS26*0.365*86.4</f>
        <v>0</v>
      </c>
      <c r="V26" s="19">
        <f>(Basicinfo!BL26/1000000)*(Intermediate!BK26-Intermediate!BF26-Intermediate!BG26-Intermediate!BH26)*Intermediate!CV26</f>
        <v>24.911459266072296</v>
      </c>
      <c r="W26" s="19">
        <f>Intermediate!BI26*Parameters!$C$51/1000000</f>
        <v>0.14606365383319928</v>
      </c>
      <c r="X26" s="19">
        <f>Intermediate!AZ26*Intermediate!CG26*86.4*0.365</f>
        <v>23.535182034159636</v>
      </c>
      <c r="Y26" s="19">
        <f>Intermediate!CM26*Intermediate!BA26*86.4*0.365+Parameters!$C$126*Intermediate!BB26*Basicinfo!P26/1000+Parameters!$C$127*Intermediate!BB26*Basicinfo!S26/1000</f>
        <v>267.57471323869567</v>
      </c>
      <c r="Z26" s="19">
        <f>Intermediate!DG26</f>
        <v>1.6561845425838559</v>
      </c>
      <c r="AA26" s="19">
        <f>Intermediate!DI26</f>
        <v>3.5127260598456758</v>
      </c>
      <c r="AB26" s="19">
        <f>Intermediate!DK26</f>
        <v>0.9946362902912661</v>
      </c>
      <c r="AC26" s="19">
        <f t="shared" si="120"/>
        <v>363.09156475418183</v>
      </c>
      <c r="AD26" s="19">
        <f>Basicinfo!CC26+Basicinfo!CE26+Basicinfo!CH26+Basicinfo!CJ26</f>
        <v>1.3114348333333337</v>
      </c>
      <c r="AE26" s="87">
        <f t="shared" si="135"/>
        <v>364.40299958751518</v>
      </c>
      <c r="AF26" s="56">
        <f>Intermediate!F26*Basicinfo!BD26/1000</f>
        <v>9.9947818830860166E-2</v>
      </c>
      <c r="AG26" s="43">
        <f>Intermediate!CA26*Intermediate!AU26*86.4*0.365</f>
        <v>0.62025093300536516</v>
      </c>
      <c r="AH26" s="43">
        <f>Intermediate!AW26*Intermediate!BZ26*0.365*86.4</f>
        <v>0</v>
      </c>
      <c r="AI26" s="43">
        <f>(Intermediate!CU26/1000000)*(Intermediate!BK26-Intermediate!BF26-Intermediate!BG26-Intermediate!BH26)*Intermediate!CW26</f>
        <v>21.072235071166212</v>
      </c>
      <c r="AJ26" s="43">
        <f>Intermediate!BF26*Parameters!$C$52/1000000+(Intermediate!BG26+Intermediate!BH26)*Intermediate!CX26/1000000</f>
        <v>2.6291457689975868</v>
      </c>
      <c r="AK26" s="43">
        <f>Intermediate!AZ26*Intermediate!CH26*86.4*0.365</f>
        <v>0.17287241405339182</v>
      </c>
      <c r="AL26" s="58">
        <f>Intermediate!CR26*Intermediate!BA26*86.4*0.365</f>
        <v>4.2005551828710406</v>
      </c>
      <c r="AM26" s="43">
        <f>Intermediate!DH26</f>
        <v>0.40432335829656502</v>
      </c>
      <c r="AN26" s="42">
        <f>Intermediate!DJ26</f>
        <v>0.68022229947369206</v>
      </c>
      <c r="AO26" s="42">
        <f>Intermediate!DL26</f>
        <v>0.15579703267899311</v>
      </c>
      <c r="AP26" s="42">
        <f t="shared" si="122"/>
        <v>30.035349879373701</v>
      </c>
      <c r="AQ26" s="43">
        <f>Basicinfo!CD26+Basicinfo!CF26+Basicinfo!CI26+Basicinfo!CK26</f>
        <v>0.31152733333333338</v>
      </c>
      <c r="AR26" s="83">
        <f t="shared" si="136"/>
        <v>30.346877212707035</v>
      </c>
      <c r="AS26" s="19">
        <f>F26*86400*365/(Basicinfo!G26*1000000)*1000</f>
        <v>1.0565480368082321</v>
      </c>
      <c r="AT26" s="19">
        <f>G26*86400*365/(Basicinfo!G26*1000000)*1000</f>
        <v>58.10821106285163</v>
      </c>
      <c r="AU26" s="19">
        <f>H26*86400*365/(Basicinfo!G26*1000000)*1000</f>
        <v>0</v>
      </c>
      <c r="AV26" s="19">
        <f>I26*86400*365/(Basicinfo!G26*1000000)*1000</f>
        <v>6.5386666940272189</v>
      </c>
      <c r="AW26" s="19">
        <f>J26*86400*365/(Basicinfo!G26*1000000)*1000</f>
        <v>271.14500719169337</v>
      </c>
      <c r="AX26" s="53">
        <f>K26*86400*365/(Basicinfo!G26*1000000)*1000</f>
        <v>1.7714977489234534</v>
      </c>
      <c r="AY26" s="53">
        <f>L26*86400*365/(Basicinfo!G26*1000000)*1000</f>
        <v>1.5068236381725211</v>
      </c>
      <c r="AZ26" s="53">
        <f>M26*86400*365/(Basicinfo!G26*1000000)*1000</f>
        <v>2.1634349297179321</v>
      </c>
      <c r="BA26" s="19">
        <f t="shared" si="123"/>
        <v>342.29018930219439</v>
      </c>
      <c r="BB26" s="19">
        <f>O26*86400*365/(Basicinfo!G26*1000000)*1000</f>
        <v>1.6321888027319618</v>
      </c>
      <c r="BC26" s="53">
        <f t="shared" si="137"/>
        <v>343.92237810492634</v>
      </c>
      <c r="BD26" s="56">
        <f>P26/(Basicinfo!G26*100)*1000</f>
        <v>357.5781127863869</v>
      </c>
      <c r="BE26" s="43">
        <f>Q26/(Basicinfo!G26*100)*1000</f>
        <v>193.47728235966133</v>
      </c>
      <c r="BF26" s="58">
        <f t="shared" si="138"/>
        <v>551.05539514604823</v>
      </c>
      <c r="BG26" s="61">
        <f>S26/(Basicinfo!G26*100)*1000000</f>
        <v>151.32260277433448</v>
      </c>
      <c r="BH26" s="19">
        <f>T26/(Basicinfo!G26*100)*1000000</f>
        <v>1198.474188605423</v>
      </c>
      <c r="BI26" s="19">
        <f>U26/(Basicinfo!G26*100)*1000000</f>
        <v>0</v>
      </c>
      <c r="BJ26" s="19">
        <f>V26/(Basicinfo!G26*100)*1000000</f>
        <v>824.9488000480178</v>
      </c>
      <c r="BK26" s="19">
        <f>W26/(Basicinfo!G26*100)*1000000</f>
        <v>4.8369320589915334</v>
      </c>
      <c r="BL26" s="19">
        <f>X26/(Basicinfo!G26*100)*1000000</f>
        <v>779.37305762067479</v>
      </c>
      <c r="BM26" s="19">
        <f>Y26/(Basicinfo!G26*100)*1000000</f>
        <v>8860.7992109912648</v>
      </c>
      <c r="BN26" s="53">
        <f>Z26/(Basicinfo!G26*100)*1000000</f>
        <v>54.844938486738506</v>
      </c>
      <c r="BO26" s="53">
        <f>AA26/(Basicinfo!G26*100)*1000000</f>
        <v>116.32474505071339</v>
      </c>
      <c r="BP26" s="53">
        <f>AB26/(Basicinfo!G26*100)*1000000</f>
        <v>32.937613384916773</v>
      </c>
      <c r="BQ26" s="19">
        <f t="shared" si="125"/>
        <v>12023.862089021073</v>
      </c>
      <c r="BR26" s="19">
        <f>AD26/(Basicinfo!G26*100)*1000000</f>
        <v>43.428471232632049</v>
      </c>
      <c r="BS26" s="53">
        <f t="shared" si="139"/>
        <v>12067.290560253705</v>
      </c>
      <c r="BT26" s="56">
        <f>AF26/(Basicinfo!G26*100)*1000000</f>
        <v>3.3097953970215039</v>
      </c>
      <c r="BU26" s="43">
        <f>AG26/(Basicinfo!G26*100)*1000000</f>
        <v>20.539754714743115</v>
      </c>
      <c r="BV26" s="43">
        <f>AH26/(Basicinfo!G26*100)*1000000</f>
        <v>0</v>
      </c>
      <c r="BW26" s="43">
        <f>AI26/(Basicinfo!G26*100)*1000000</f>
        <v>697.81199289129893</v>
      </c>
      <c r="BX26" s="43">
        <f>AJ26/(Basicinfo!G26*100)*1000000</f>
        <v>87.064777061847593</v>
      </c>
      <c r="BY26" s="58">
        <f>AK26/(Basicinfo!G26*100)*1000000</f>
        <v>5.7247104238881725</v>
      </c>
      <c r="BZ26" s="58">
        <f>AL26/(Basicinfo!G26*100)*1000000</f>
        <v>139.10236733358977</v>
      </c>
      <c r="CA26" s="58">
        <f>AM26/(Basicinfo!G26*100)*1000000</f>
        <v>13.38926257573369</v>
      </c>
      <c r="CB26" s="58">
        <f>AN26/(Basicinfo!G26*100)*1000000</f>
        <v>22.525720541829987</v>
      </c>
      <c r="CC26" s="58">
        <f>AO26/(Basicinfo!G26*100)*1000000</f>
        <v>5.1592551759751331</v>
      </c>
      <c r="CD26" s="58">
        <f t="shared" si="126"/>
        <v>994.62763611592788</v>
      </c>
      <c r="CE26" s="58">
        <f>AQ26/(Basicinfo!G26*100)*1000000</f>
        <v>10.316300505346174</v>
      </c>
      <c r="CF26" s="43">
        <f t="shared" si="140"/>
        <v>1004.943936621274</v>
      </c>
      <c r="CG26" s="84"/>
      <c r="CH26" s="84">
        <f t="shared" si="8"/>
        <v>1.3114348333333337</v>
      </c>
      <c r="CI26" s="146">
        <f t="shared" si="9"/>
        <v>6.1635468927207979</v>
      </c>
      <c r="CJ26" s="200">
        <f>Intermediate!EW26+Intermediate!EY26+Intermediate!FD26</f>
        <v>24.525166250372923</v>
      </c>
      <c r="CK26" s="180">
        <f>Intermediate!FA26+Intermediate!FF26</f>
        <v>32.560764047818395</v>
      </c>
      <c r="CL26" s="180">
        <f t="shared" si="10"/>
        <v>23.535182034159636</v>
      </c>
      <c r="CM26" s="180">
        <f t="shared" si="11"/>
        <v>186.84173586333682</v>
      </c>
      <c r="CN26" s="202">
        <f>Intermediate!EX26+Intermediate!EZ26+Intermediate!FE26</f>
        <v>13.233133466622142</v>
      </c>
      <c r="CO26" s="180">
        <f>Intermediate!FB26+Intermediate!FG26</f>
        <v>17.60421086919159</v>
      </c>
      <c r="CP26" s="213">
        <f>Intermediate!EP26+Intermediate!EQ26+Intermediate!ER26+Intermediate!ES26+Intermediate!ET26+Intermediate!EU26+Intermediate!EV26+W26</f>
        <v>58.62782532995957</v>
      </c>
      <c r="CQ26" s="212">
        <f t="shared" si="12"/>
        <v>30.837344335813732</v>
      </c>
      <c r="CR26" s="212">
        <f t="shared" si="13"/>
        <v>267.4628481956878</v>
      </c>
      <c r="CS26" s="211">
        <f t="shared" si="14"/>
        <v>2.9676193759171898</v>
      </c>
      <c r="CT26" s="212">
        <f t="shared" si="15"/>
        <v>359.89563723737831</v>
      </c>
      <c r="CU26" s="84"/>
      <c r="CV26" s="31">
        <f t="shared" si="16"/>
        <v>364.40299958751518</v>
      </c>
      <c r="CW26" s="31">
        <f>CH26/Basicinfo!$G26*1000/100</f>
        <v>4.3428471232632049E-2</v>
      </c>
      <c r="CX26" s="31">
        <f>CI26/Basicinfo!$G26*1000/100</f>
        <v>0.20410729692236868</v>
      </c>
      <c r="CY26" s="31">
        <f>CS26/Basicinfo!$G26*1000/100</f>
        <v>9.8273409719370541E-2</v>
      </c>
      <c r="CZ26" s="31">
        <f>CN26/Basicinfo!$G26*1000/100</f>
        <v>0.43821830979740894</v>
      </c>
      <c r="DA26" s="31">
        <f>CO26/Basicinfo!$G26*1000/100</f>
        <v>0.58296756031914299</v>
      </c>
      <c r="DB26" s="31">
        <f>CQ26/Basicinfo!$G26*1000/100</f>
        <v>1.0211858701165519</v>
      </c>
      <c r="DC26" s="31">
        <f>CJ26/Basicinfo!$G26*1000/100</f>
        <v>0.81215661648444237</v>
      </c>
      <c r="DD26" s="31">
        <f>CK26/Basicinfo!$G26*1000/100</f>
        <v>1.0782573169640535</v>
      </c>
      <c r="DE26" s="31">
        <f>CM26/Basicinfo!$G26*1000/100</f>
        <v>6.1873077828591736</v>
      </c>
      <c r="DF26" s="31">
        <f>CR26/Basicinfo!$G26*1000/100</f>
        <v>8.8570947739283437</v>
      </c>
      <c r="DG26" s="31">
        <f>CP26/Basicinfo!$G26*1000/100</f>
        <v>1.9414741480538111</v>
      </c>
      <c r="DH26" s="31">
        <f>CT26/Basicinfo!$G26*1000/100</f>
        <v>11.918028201818078</v>
      </c>
      <c r="DI26" s="31">
        <f>CV26/Basicinfo!$G26*1000/100</f>
        <v>12.067290560253706</v>
      </c>
      <c r="DJ26" s="31"/>
      <c r="DK26" s="188">
        <f t="shared" si="17"/>
        <v>0.36439309000801906</v>
      </c>
      <c r="DL26" s="188">
        <f t="shared" si="18"/>
        <v>1.712592833865189</v>
      </c>
      <c r="DM26" s="188">
        <f t="shared" si="19"/>
        <v>0.82457775779032882</v>
      </c>
      <c r="DN26" s="188">
        <f t="shared" si="20"/>
        <v>3.676936338601374</v>
      </c>
      <c r="DO26" s="188">
        <f t="shared" si="21"/>
        <v>4.8914765970281229</v>
      </c>
      <c r="DP26" s="188">
        <f t="shared" si="22"/>
        <v>8.5684129356294978</v>
      </c>
      <c r="DQ26" s="188">
        <f t="shared" si="23"/>
        <v>6.8145216870736132</v>
      </c>
      <c r="DR26" s="188">
        <f t="shared" si="24"/>
        <v>9.0472794551666418</v>
      </c>
      <c r="DS26" s="188">
        <f t="shared" si="25"/>
        <v>51.915532318637304</v>
      </c>
      <c r="DT26" s="188">
        <f t="shared" si="26"/>
        <v>74.316779788935278</v>
      </c>
      <c r="DU26" s="188">
        <f t="shared" si="27"/>
        <v>16.290229517644889</v>
      </c>
      <c r="DV26" s="188">
        <f t="shared" si="28"/>
        <v>100</v>
      </c>
      <c r="DW26" s="188">
        <f t="shared" si="29"/>
        <v>101.25240816608286</v>
      </c>
      <c r="DY26" s="181">
        <f t="shared" si="30"/>
        <v>0.31152733333333338</v>
      </c>
      <c r="DZ26" s="181">
        <f t="shared" si="127"/>
        <v>1.2403426904492501</v>
      </c>
      <c r="EA26" s="185">
        <f t="shared" si="31"/>
        <v>0.17287241405339182</v>
      </c>
      <c r="EB26" s="185">
        <f>AG26+AH26+AL26-Intermediate!FJ26-Intermediate!FM26</f>
        <v>4.1753450636899094</v>
      </c>
      <c r="EC26" s="185">
        <f>AI26+AJ26-Intermediate!FK26</f>
        <v>20.500944373583945</v>
      </c>
      <c r="ED26" s="240">
        <f t="shared" si="32"/>
        <v>9.9947818830860166E-2</v>
      </c>
      <c r="EE26" s="240">
        <f>Intermediate!FJ26+Intermediate!FK26+Intermediate!FM26</f>
        <v>3.8458975187663502</v>
      </c>
      <c r="EF26" s="240">
        <f t="shared" si="33"/>
        <v>24.849161851327246</v>
      </c>
      <c r="EG26" s="240">
        <f t="shared" si="34"/>
        <v>1.5518700237825835</v>
      </c>
      <c r="EH26" s="240">
        <f t="shared" si="35"/>
        <v>30.346877212707039</v>
      </c>
      <c r="EI26" s="181">
        <f t="shared" si="36"/>
        <v>30.346877212707035</v>
      </c>
      <c r="EK26" s="31">
        <f>DY26/Basicinfo!$G26*1000/100</f>
        <v>1.0316300505346172E-2</v>
      </c>
      <c r="EL26" s="31">
        <f>DZ26/Basicinfo!$G26*1000/100</f>
        <v>4.1074238293538803E-2</v>
      </c>
      <c r="EM26" s="220">
        <f>EG26/Basicinfo!$G26*1000/100</f>
        <v>5.1390538798884985E-2</v>
      </c>
      <c r="EN26" s="220">
        <f>ED26/Basicinfo!$G26*1000/100</f>
        <v>3.3097953970215033E-3</v>
      </c>
      <c r="EO26" s="220">
        <f>EF26/Basicinfo!$G26*1000/100</f>
        <v>0.8228858065882162</v>
      </c>
      <c r="EP26" s="220">
        <f>EE26/Basicinfo!$G26*1000/100</f>
        <v>0.1273577958371514</v>
      </c>
      <c r="EQ26" s="220">
        <f>EH26/Basicinfo!$G26*1000/100</f>
        <v>1.004943936621274</v>
      </c>
      <c r="ER26" s="31">
        <f>EI26/Basicinfo!$G26*1000/100</f>
        <v>1.0049439366212738</v>
      </c>
      <c r="ET26" s="188">
        <f t="shared" si="37"/>
        <v>1.0265548285241313</v>
      </c>
      <c r="EU26" s="188">
        <f t="shared" si="38"/>
        <v>4.0872168881017057</v>
      </c>
      <c r="EV26" s="223">
        <f t="shared" si="39"/>
        <v>5.1137717166258385</v>
      </c>
      <c r="EW26" s="223">
        <f t="shared" si="40"/>
        <v>0.32935124800587184</v>
      </c>
      <c r="EX26" s="223">
        <f t="shared" si="41"/>
        <v>81.883752575774921</v>
      </c>
      <c r="EY26" s="223">
        <f t="shared" si="42"/>
        <v>12.673124459593396</v>
      </c>
      <c r="EZ26" s="223">
        <f t="shared" si="43"/>
        <v>100.00000000000003</v>
      </c>
      <c r="FA26" s="188">
        <f t="shared" si="44"/>
        <v>100</v>
      </c>
      <c r="FC26" s="236">
        <f>Basicinfo!CT26</f>
        <v>7.6033402705515103</v>
      </c>
      <c r="FD26" s="181">
        <f>IF((Intermediate!CL26+Intermediate!CM26*3)/4&gt;11,(Intermediate!CL26+Intermediate!CM26*9)/10,(Intermediate!CL26+Intermediate!CM26*3)/4)</f>
        <v>4.3883620472223601</v>
      </c>
      <c r="FF26" s="31">
        <f t="shared" si="45"/>
        <v>9.9947818830860166E-2</v>
      </c>
      <c r="FG26" s="31">
        <f t="shared" si="46"/>
        <v>0.62025093300536516</v>
      </c>
      <c r="FH26" s="31">
        <f t="shared" si="47"/>
        <v>0</v>
      </c>
      <c r="FI26" s="31">
        <f>(AI26-(P26*450/1000000))*Parameters!$C$153</f>
        <v>12.970510043296862</v>
      </c>
      <c r="FJ26" s="31"/>
      <c r="FK26" s="31">
        <f t="shared" si="48"/>
        <v>0.17287241405339182</v>
      </c>
      <c r="FL26" s="31">
        <f t="shared" si="49"/>
        <v>4.2005551828710406</v>
      </c>
      <c r="FM26" s="31">
        <f>AM26*Parameters!$C$154</f>
        <v>0.36389102246690852</v>
      </c>
      <c r="FN26" s="31">
        <f>AN26*Parameters!$C$154</f>
        <v>0.61220006952632289</v>
      </c>
      <c r="FO26" s="31">
        <f>AO26*Parameters!$C$154</f>
        <v>0.1402173294110938</v>
      </c>
      <c r="FP26" s="31">
        <f>AQ26*Parameters!$C$155</f>
        <v>0.31152733333333338</v>
      </c>
      <c r="FQ26" s="31">
        <f t="shared" si="50"/>
        <v>19.491972146795181</v>
      </c>
      <c r="FS26" s="147">
        <f>DY26*Parameters!$C$155</f>
        <v>0.31152733333333338</v>
      </c>
      <c r="FT26" s="147">
        <f>DZ26*Parameters!$C$154</f>
        <v>1.1163084214043251</v>
      </c>
      <c r="FU26" s="181">
        <f t="shared" si="51"/>
        <v>0.17287241405339182</v>
      </c>
      <c r="FV26" s="181">
        <f t="shared" si="52"/>
        <v>4.1753450636899094</v>
      </c>
      <c r="FW26" s="31">
        <f t="shared" si="53"/>
        <v>12.970510043296864</v>
      </c>
      <c r="FX26" s="181">
        <f t="shared" si="54"/>
        <v>9.9947818830860166E-2</v>
      </c>
      <c r="FY26" s="147">
        <f>Intermediate!FJ26+Intermediate!FM26</f>
        <v>0.64546105218649574</v>
      </c>
      <c r="FZ26" s="181">
        <f t="shared" si="55"/>
        <v>17.318727521040167</v>
      </c>
      <c r="GA26" s="147">
        <f t="shared" si="56"/>
        <v>1.4278357547376586</v>
      </c>
      <c r="GB26" s="181">
        <f t="shared" si="57"/>
        <v>19.491972146795181</v>
      </c>
      <c r="GD26" s="147">
        <f>IF('River loads'!CH26&gt;0.99,1,0)</f>
        <v>1</v>
      </c>
      <c r="GE26" s="147">
        <f t="shared" si="58"/>
        <v>9.9947818830860166E-2</v>
      </c>
      <c r="GF26" s="147">
        <f t="shared" si="59"/>
        <v>0.62025093300536516</v>
      </c>
      <c r="GG26" s="147">
        <f t="shared" si="60"/>
        <v>0</v>
      </c>
      <c r="GH26" s="147">
        <f t="shared" si="61"/>
        <v>21.072235071166212</v>
      </c>
      <c r="GI26" s="147">
        <f t="shared" si="62"/>
        <v>2.6291457689975868</v>
      </c>
      <c r="GJ26" s="147">
        <f t="shared" si="63"/>
        <v>0.17287241405339182</v>
      </c>
      <c r="GK26" s="147">
        <f t="shared" si="64"/>
        <v>4.2005551828710406</v>
      </c>
      <c r="GL26" s="147">
        <f t="shared" si="65"/>
        <v>0.40432335829656502</v>
      </c>
      <c r="GM26" s="270">
        <f t="shared" si="128"/>
        <v>0.68022229947369206</v>
      </c>
      <c r="GN26" s="270">
        <f t="shared" si="129"/>
        <v>0.15579703267899311</v>
      </c>
      <c r="GO26" s="147">
        <f t="shared" si="66"/>
        <v>0.31152733333333338</v>
      </c>
      <c r="GP26" s="147">
        <f t="shared" si="67"/>
        <v>30.346877212707035</v>
      </c>
      <c r="GQ26" s="147"/>
      <c r="GR26" s="147">
        <f t="shared" si="68"/>
        <v>9.9947818830860166E-2</v>
      </c>
      <c r="GS26" s="147">
        <f t="shared" si="69"/>
        <v>0.62025093300536516</v>
      </c>
      <c r="GT26" s="147">
        <f t="shared" si="70"/>
        <v>0</v>
      </c>
      <c r="GU26" s="147">
        <f t="shared" si="71"/>
        <v>12.970510043296862</v>
      </c>
      <c r="GV26" s="147">
        <f t="shared" si="72"/>
        <v>0</v>
      </c>
      <c r="GW26" s="147">
        <f t="shared" si="73"/>
        <v>0.17287241405339182</v>
      </c>
      <c r="GX26" s="147">
        <f t="shared" si="74"/>
        <v>4.2005551828710406</v>
      </c>
      <c r="GY26" s="147">
        <f t="shared" si="75"/>
        <v>0.36389102246690852</v>
      </c>
      <c r="GZ26" s="147">
        <f t="shared" si="130"/>
        <v>0.61220006952632289</v>
      </c>
      <c r="HA26" s="147">
        <f t="shared" si="131"/>
        <v>0.1402173294110938</v>
      </c>
      <c r="HB26" s="147">
        <f t="shared" si="76"/>
        <v>0.31152733333333338</v>
      </c>
      <c r="HC26" s="147">
        <f t="shared" si="77"/>
        <v>19.491972146795181</v>
      </c>
      <c r="HD26" s="147"/>
      <c r="HE26" s="147">
        <f t="shared" si="78"/>
        <v>0.31152733333333338</v>
      </c>
      <c r="HF26" s="147">
        <f t="shared" si="79"/>
        <v>1.2403426904492501</v>
      </c>
      <c r="HG26" s="147">
        <f t="shared" si="80"/>
        <v>0.17287241405339182</v>
      </c>
      <c r="HH26" s="147">
        <f t="shared" si="81"/>
        <v>4.1753450636899094</v>
      </c>
      <c r="HI26" s="147">
        <f t="shared" si="82"/>
        <v>20.500944373583945</v>
      </c>
      <c r="HJ26" s="147">
        <f t="shared" si="83"/>
        <v>9.9947818830860166E-2</v>
      </c>
      <c r="HK26" s="147">
        <f t="shared" si="84"/>
        <v>3.8458975187663502</v>
      </c>
      <c r="HL26" s="147">
        <f t="shared" si="85"/>
        <v>24.849161851327246</v>
      </c>
      <c r="HM26" s="147">
        <f t="shared" si="86"/>
        <v>1.5518700237825835</v>
      </c>
      <c r="HN26" s="147">
        <f t="shared" si="87"/>
        <v>30.346877212707039</v>
      </c>
      <c r="HO26" s="147">
        <f t="shared" si="88"/>
        <v>30.346877212707035</v>
      </c>
      <c r="HQ26" s="147">
        <f t="shared" si="89"/>
        <v>0.31152733333333338</v>
      </c>
      <c r="HR26" s="147">
        <f t="shared" si="90"/>
        <v>1.1163084214043251</v>
      </c>
      <c r="HS26" s="147">
        <f t="shared" si="91"/>
        <v>0.17287241405339182</v>
      </c>
      <c r="HT26" s="147">
        <f t="shared" si="92"/>
        <v>4.1753450636899094</v>
      </c>
      <c r="HU26" s="147">
        <f t="shared" si="93"/>
        <v>12.970510043296864</v>
      </c>
      <c r="HV26" s="147">
        <f t="shared" si="94"/>
        <v>9.9947818830860166E-2</v>
      </c>
      <c r="HW26" s="147">
        <f t="shared" si="95"/>
        <v>0.64546105218649574</v>
      </c>
      <c r="HX26" s="147">
        <f t="shared" si="96"/>
        <v>17.318727521040167</v>
      </c>
      <c r="HY26" s="147">
        <f t="shared" si="97"/>
        <v>1.4278357547376586</v>
      </c>
      <c r="HZ26" s="147">
        <f t="shared" si="98"/>
        <v>19.491972146795181</v>
      </c>
      <c r="IB26" s="147">
        <f>IF('River loads'!CI26&gt;0.99,1,0)</f>
        <v>1</v>
      </c>
      <c r="IC26">
        <f t="shared" si="99"/>
        <v>4.5695767480714569</v>
      </c>
      <c r="ID26">
        <f t="shared" si="100"/>
        <v>36.191022920628811</v>
      </c>
      <c r="IE26">
        <f t="shared" si="101"/>
        <v>0</v>
      </c>
      <c r="IF26">
        <f t="shared" si="102"/>
        <v>24.911459266072296</v>
      </c>
      <c r="IG26">
        <f t="shared" si="103"/>
        <v>0.14606365383319928</v>
      </c>
      <c r="IH26">
        <f t="shared" si="104"/>
        <v>23.535182034159636</v>
      </c>
      <c r="II26">
        <f t="shared" si="105"/>
        <v>267.57471323869567</v>
      </c>
      <c r="IJ26">
        <f t="shared" si="106"/>
        <v>1.6561845425838559</v>
      </c>
      <c r="IK26">
        <f t="shared" si="132"/>
        <v>3.5127260598456758</v>
      </c>
      <c r="IL26">
        <f t="shared" si="133"/>
        <v>0.9946362902912661</v>
      </c>
      <c r="IM26">
        <f t="shared" si="107"/>
        <v>1.3114348333333337</v>
      </c>
      <c r="IN26">
        <f t="shared" si="108"/>
        <v>364.40299958751518</v>
      </c>
      <c r="IP26">
        <f t="shared" si="109"/>
        <v>1.3114348333333337</v>
      </c>
      <c r="IQ26">
        <f t="shared" si="110"/>
        <v>6.1635468927207979</v>
      </c>
      <c r="IR26">
        <f t="shared" si="111"/>
        <v>24.525166250372923</v>
      </c>
      <c r="IS26">
        <f t="shared" si="112"/>
        <v>32.560764047818395</v>
      </c>
      <c r="IT26">
        <f t="shared" si="113"/>
        <v>23.535182034159636</v>
      </c>
      <c r="IU26">
        <f t="shared" si="114"/>
        <v>186.84173586333682</v>
      </c>
      <c r="IV26">
        <f t="shared" si="115"/>
        <v>13.233133466622142</v>
      </c>
      <c r="IW26">
        <f t="shared" si="116"/>
        <v>17.60421086919159</v>
      </c>
      <c r="IX26">
        <f t="shared" si="117"/>
        <v>58.62782532995957</v>
      </c>
    </row>
    <row r="27" spans="1:258">
      <c r="A27" s="39" t="str">
        <f>Basicinfo!A27</f>
        <v>Pesenbach</v>
      </c>
      <c r="B27" s="63">
        <f>Basicinfo!B27</f>
        <v>1190</v>
      </c>
      <c r="C27" s="63">
        <f>Basicinfo!C27</f>
        <v>5000</v>
      </c>
      <c r="D27" s="130">
        <f>Basicinfo!G27</f>
        <v>108.689845175</v>
      </c>
      <c r="E27" s="87">
        <f t="shared" si="118"/>
        <v>1.4337208422552195</v>
      </c>
      <c r="F27" s="19">
        <f>Intermediate!AR27</f>
        <v>1.2018275664381767E-2</v>
      </c>
      <c r="G27" s="19">
        <f>Intermediate!AU27</f>
        <v>0.26093986661657159</v>
      </c>
      <c r="H27" s="19">
        <f>Intermediate!AW27</f>
        <v>0</v>
      </c>
      <c r="I27" s="19">
        <f>Intermediate!AZ27</f>
        <v>5.4463597351307935E-3</v>
      </c>
      <c r="J27" s="19">
        <f>Intermediate!BA27</f>
        <v>1.1358693514402882</v>
      </c>
      <c r="K27" s="19">
        <f>Intermediate!AC27</f>
        <v>4.3539640313532196E-3</v>
      </c>
      <c r="L27" s="19">
        <f>Intermediate!AO27</f>
        <v>3.4016053639225928E-3</v>
      </c>
      <c r="M27" s="19">
        <f>Intermediate!AP27</f>
        <v>7.8216953316113617E-3</v>
      </c>
      <c r="N27" s="19">
        <f t="shared" si="119"/>
        <v>1.4298511181832594</v>
      </c>
      <c r="O27" s="19">
        <f>Basicinfo!CB27+Basicinfo!CG27</f>
        <v>3.8697240719600882E-3</v>
      </c>
      <c r="P27" s="56">
        <f>Intermediate!BK27-Intermediate!BI27</f>
        <v>383.60296122804766</v>
      </c>
      <c r="Q27" s="43">
        <f>Intermediate!BI27</f>
        <v>1111.3019057463687</v>
      </c>
      <c r="R27" s="88">
        <f t="shared" si="134"/>
        <v>1494.9048669744163</v>
      </c>
      <c r="S27" s="61">
        <f>Intermediate!F27*Intermediate!BO27/1000</f>
        <v>3.3366819692535565</v>
      </c>
      <c r="T27" s="19">
        <f>Intermediate!BU27*Intermediate!AU27*86.4*0.365</f>
        <v>15.260413530976068</v>
      </c>
      <c r="U27" s="19">
        <f>Intermediate!AW27*Intermediate!BS27*0.365*86.4</f>
        <v>0</v>
      </c>
      <c r="V27" s="19">
        <f>(Basicinfo!BL27/1000000)*(Intermediate!BK27-Intermediate!BF27-Intermediate!BG27-Intermediate!BH27)*Intermediate!CV27</f>
        <v>2.0821194199872686</v>
      </c>
      <c r="W27" s="19">
        <f>Intermediate!BI27*Parameters!$C$51/1000000</f>
        <v>2.7782547643659217E-2</v>
      </c>
      <c r="X27" s="19">
        <f>Intermediate!AZ27*Intermediate!CG27*86.4*0.365</f>
        <v>1.9837927247623592</v>
      </c>
      <c r="Y27" s="19">
        <f>Intermediate!CM27*Intermediate!BA27*86.4*0.365+Parameters!$C$126*Intermediate!BB27*Basicinfo!P27/1000+Parameters!$C$127*Intermediate!BB27*Basicinfo!S27/1000</f>
        <v>80.855310282048521</v>
      </c>
      <c r="Z27" s="19">
        <f>Intermediate!DG27</f>
        <v>0.41156118737206737</v>
      </c>
      <c r="AA27" s="19">
        <f>Intermediate!DI27</f>
        <v>0.82946771643290707</v>
      </c>
      <c r="AB27" s="19">
        <f>Intermediate!DK27</f>
        <v>1.2310501645474978</v>
      </c>
      <c r="AC27" s="19">
        <f t="shared" si="120"/>
        <v>106.0181795430239</v>
      </c>
      <c r="AD27" s="19">
        <f>Basicinfo!CC27+Basicinfo!CE27+Basicinfo!CH27+Basicinfo!CJ27</f>
        <v>0.52250833333333346</v>
      </c>
      <c r="AE27" s="87">
        <f t="shared" si="135"/>
        <v>106.54068787635724</v>
      </c>
      <c r="AF27" s="56">
        <f>Intermediate!F27*Basicinfo!BD27/1000</f>
        <v>7.5031485516103419E-2</v>
      </c>
      <c r="AG27" s="43">
        <f>Intermediate!CA27*Intermediate!AU27*86.4*0.365</f>
        <v>0.26944205678930427</v>
      </c>
      <c r="AH27" s="43">
        <f>Intermediate!AW27*Intermediate!BZ27*0.365*86.4</f>
        <v>0</v>
      </c>
      <c r="AI27" s="43">
        <f>(Intermediate!CU27/1000000)*(Intermediate!BK27-Intermediate!BF27-Intermediate!BG27-Intermediate!BH27)*Intermediate!CW27</f>
        <v>1.0668076065985876</v>
      </c>
      <c r="AJ27" s="43">
        <f>Intermediate!BF27*Parameters!$C$52/1000000+(Intermediate!BG27+Intermediate!BH27)*Intermediate!CX27/1000000</f>
        <v>0.50008585758586588</v>
      </c>
      <c r="AK27" s="43">
        <f>Intermediate!AZ27*Intermediate!CH27*86.4*0.365</f>
        <v>2.793335947905607E-2</v>
      </c>
      <c r="AL27" s="58">
        <f>Intermediate!CR27*Intermediate!BA27*86.4*0.365</f>
        <v>0.9750037753143701</v>
      </c>
      <c r="AM27" s="43">
        <f>Intermediate!DH27</f>
        <v>0.1071188303009413</v>
      </c>
      <c r="AN27" s="42">
        <f>Intermediate!DJ27</f>
        <v>0.16464825999605334</v>
      </c>
      <c r="AO27" s="42">
        <f>Intermediate!DL27</f>
        <v>0.19144251952605421</v>
      </c>
      <c r="AP27" s="42">
        <f t="shared" si="122"/>
        <v>3.3775137511063362</v>
      </c>
      <c r="AQ27" s="43">
        <f>Basicinfo!CD27+Basicinfo!CF27+Basicinfo!CI27+Basicinfo!CK27</f>
        <v>8.5864166666666658E-2</v>
      </c>
      <c r="AR27" s="83">
        <f t="shared" si="136"/>
        <v>3.4633779177730029</v>
      </c>
      <c r="AS27" s="19">
        <f>F27*86400*365/(Basicinfo!G27*1000000)*1000</f>
        <v>3.4870630346533971</v>
      </c>
      <c r="AT27" s="19">
        <f>G27*86400*365/(Basicinfo!G27*1000000)*1000</f>
        <v>75.710841434825895</v>
      </c>
      <c r="AU27" s="19">
        <f>H27*86400*365/(Basicinfo!G27*1000000)*1000</f>
        <v>0</v>
      </c>
      <c r="AV27" s="19">
        <f>I27*86400*365/(Basicinfo!G27*1000000)*1000</f>
        <v>1.5802433091200208</v>
      </c>
      <c r="AW27" s="19">
        <f>J27*86400*365/(Basicinfo!G27*1000000)*1000</f>
        <v>329.56874498575644</v>
      </c>
      <c r="AX27" s="53">
        <f>K27*86400*365/(Basicinfo!G27*1000000)*1000</f>
        <v>1.2632882995801467</v>
      </c>
      <c r="AY27" s="53">
        <f>L27*86400*365/(Basicinfo!G27*1000000)*1000</f>
        <v>0.98696457414162364</v>
      </c>
      <c r="AZ27" s="53">
        <f>M27*86400*365/(Basicinfo!G27*1000000)*1000</f>
        <v>2.2694390959941479</v>
      </c>
      <c r="BA27" s="19">
        <f t="shared" si="123"/>
        <v>414.86658473407164</v>
      </c>
      <c r="BB27" s="19">
        <f>O27*86400*365/(Basicinfo!G27*1000000)*1000</f>
        <v>1.1227876729131916</v>
      </c>
      <c r="BC27" s="53">
        <f t="shared" si="137"/>
        <v>415.98937240698484</v>
      </c>
      <c r="BD27" s="56">
        <f>P27/(Basicinfo!G27*100)*1000</f>
        <v>35.293357959100398</v>
      </c>
      <c r="BE27" s="43">
        <f>Q27/(Basicinfo!G27*100)*1000</f>
        <v>102.2452377181214</v>
      </c>
      <c r="BF27" s="58">
        <f t="shared" si="138"/>
        <v>137.53859567722179</v>
      </c>
      <c r="BG27" s="61">
        <f>S27/(Basicinfo!G27*100)*1000000</f>
        <v>306.99114198582316</v>
      </c>
      <c r="BH27" s="19">
        <f>T27/(Basicinfo!G27*100)*1000000</f>
        <v>1404.0330544592725</v>
      </c>
      <c r="BI27" s="19">
        <f>U27/(Basicinfo!G27*100)*1000000</f>
        <v>0</v>
      </c>
      <c r="BJ27" s="19">
        <f>V27/(Basicinfo!G27*100)*1000000</f>
        <v>191.56522089390018</v>
      </c>
      <c r="BK27" s="19">
        <f>W27/(Basicinfo!G27*100)*1000000</f>
        <v>2.5561309429530352</v>
      </c>
      <c r="BL27" s="19">
        <f>X27/(Basicinfo!G27*100)*1000000</f>
        <v>182.51868162736659</v>
      </c>
      <c r="BM27" s="19">
        <f>Y27/(Basicinfo!G27*100)*1000000</f>
        <v>7439.0859745788121</v>
      </c>
      <c r="BN27" s="53">
        <f>Z27/(Basicinfo!G27*100)*1000000</f>
        <v>37.865652187600269</v>
      </c>
      <c r="BO27" s="53">
        <f>AA27/(Basicinfo!G27*100)*1000000</f>
        <v>76.3151069998667</v>
      </c>
      <c r="BP27" s="53">
        <f>AB27/(Basicinfo!G27*100)*1000000</f>
        <v>113.2626661272174</v>
      </c>
      <c r="BQ27" s="19">
        <f t="shared" si="125"/>
        <v>9754.1936298028122</v>
      </c>
      <c r="BR27" s="19">
        <f>AD27/(Basicinfo!G27*100)*1000000</f>
        <v>48.07333495526192</v>
      </c>
      <c r="BS27" s="53">
        <f t="shared" si="139"/>
        <v>9802.2669647580733</v>
      </c>
      <c r="BT27" s="56">
        <f>AF27/(Basicinfo!G27*100)*1000000</f>
        <v>6.903265470228269</v>
      </c>
      <c r="BU27" s="43">
        <f>AG27/(Basicinfo!G27*100)*1000000</f>
        <v>24.789993614902972</v>
      </c>
      <c r="BV27" s="43">
        <f>AH27/(Basicinfo!G27*100)*1000000</f>
        <v>0</v>
      </c>
      <c r="BW27" s="43">
        <f>AI27/(Basicinfo!G27*100)*1000000</f>
        <v>98.151543493408752</v>
      </c>
      <c r="BX27" s="43">
        <f>AJ27/(Basicinfo!G27*100)*1000000</f>
        <v>46.010356973154629</v>
      </c>
      <c r="BY27" s="58">
        <f>AK27/(Basicinfo!G27*100)*1000000</f>
        <v>2.570006373095937</v>
      </c>
      <c r="BZ27" s="58">
        <f>AL27/(Basicinfo!G27*100)*1000000</f>
        <v>89.705139771294185</v>
      </c>
      <c r="CA27" s="58">
        <f>AM27/(Basicinfo!G27*100)*1000000</f>
        <v>9.8554589095670124</v>
      </c>
      <c r="CB27" s="58">
        <f>AN27/(Basicinfo!G27*100)*1000000</f>
        <v>15.148449216295733</v>
      </c>
      <c r="CC27" s="58">
        <f>AO27/(Basicinfo!G27*100)*1000000</f>
        <v>17.61365279505323</v>
      </c>
      <c r="CD27" s="58">
        <f t="shared" si="126"/>
        <v>310.74786661700068</v>
      </c>
      <c r="CE27" s="58">
        <f>AQ27/(Basicinfo!G27*100)*1000000</f>
        <v>7.8999253820279129</v>
      </c>
      <c r="CF27" s="43">
        <f t="shared" si="140"/>
        <v>318.64779199902858</v>
      </c>
      <c r="CG27" s="84"/>
      <c r="CH27" s="84">
        <f t="shared" si="8"/>
        <v>0.52250833333333346</v>
      </c>
      <c r="CI27" s="146">
        <f t="shared" si="9"/>
        <v>2.472079068352472</v>
      </c>
      <c r="CJ27" s="200">
        <f>Intermediate!EW27+Intermediate!EY27+Intermediate!FD27</f>
        <v>12.182122296141818</v>
      </c>
      <c r="CK27" s="180">
        <f>Intermediate!FA27+Intermediate!FF27</f>
        <v>10.705510285990385</v>
      </c>
      <c r="CL27" s="180">
        <f t="shared" si="10"/>
        <v>1.9837927247623592</v>
      </c>
      <c r="CM27" s="180">
        <f t="shared" si="11"/>
        <v>49.226092816043838</v>
      </c>
      <c r="CN27" s="202">
        <f>Intermediate!EX27+Intermediate!EZ27+Intermediate!FE27</f>
        <v>6.6537925385727172</v>
      </c>
      <c r="CO27" s="180">
        <f>Intermediate!FB27+Intermediate!FG27</f>
        <v>5.863535939191963</v>
      </c>
      <c r="CP27" s="213">
        <f>Intermediate!EP27+Intermediate!EQ27+Intermediate!ER27+Intermediate!ES27+Intermediate!ET27+Intermediate!EU27+Intermediate!EV27+W27</f>
        <v>16.931253873968352</v>
      </c>
      <c r="CQ27" s="212">
        <f t="shared" si="12"/>
        <v>12.51732847776468</v>
      </c>
      <c r="CR27" s="212">
        <f t="shared" si="13"/>
        <v>74.097518122938396</v>
      </c>
      <c r="CS27" s="211">
        <f t="shared" si="14"/>
        <v>0.93406952070540084</v>
      </c>
      <c r="CT27" s="212">
        <f t="shared" si="15"/>
        <v>104.48016999537683</v>
      </c>
      <c r="CU27" s="84"/>
      <c r="CV27" s="31">
        <f t="shared" si="16"/>
        <v>106.54068787635724</v>
      </c>
      <c r="CW27" s="31">
        <f>CH27/Basicinfo!$G27*1000/100</f>
        <v>4.807333495526192E-2</v>
      </c>
      <c r="CX27" s="31">
        <f>CI27/Basicinfo!$G27*1000/100</f>
        <v>0.22744342531468437</v>
      </c>
      <c r="CY27" s="31">
        <f>CS27/Basicinfo!$G27*1000/100</f>
        <v>8.5938987142862189E-2</v>
      </c>
      <c r="CZ27" s="31">
        <f>CN27/Basicinfo!$G27*1000/100</f>
        <v>0.61218161897825307</v>
      </c>
      <c r="DA27" s="31">
        <f>CO27/Basicinfo!$G27*1000/100</f>
        <v>0.53947412748184209</v>
      </c>
      <c r="DB27" s="31">
        <f>CQ27/Basicinfo!$G27*1000/100</f>
        <v>1.1516557464600952</v>
      </c>
      <c r="DC27" s="31">
        <f>CJ27/Basicinfo!$G27*1000/100</f>
        <v>1.120815130109676</v>
      </c>
      <c r="DD27" s="31">
        <f>CK27/Basicinfo!$G27*1000/100</f>
        <v>0.98495956717516631</v>
      </c>
      <c r="DE27" s="31">
        <f>CM27/Basicinfo!$G27*1000/100</f>
        <v>4.5290425004089014</v>
      </c>
      <c r="DF27" s="31">
        <f>CR27/Basicinfo!$G27*1000/100</f>
        <v>6.8173358793211101</v>
      </c>
      <c r="DG27" s="31">
        <f>CP27/Basicinfo!$G27*1000/100</f>
        <v>1.557758578706923</v>
      </c>
      <c r="DH27" s="31">
        <f>CT27/Basicinfo!$G27*1000/100</f>
        <v>9.6126891916309898</v>
      </c>
      <c r="DI27" s="31">
        <f>CV27/Basicinfo!$G27*1000/100</f>
        <v>9.8022669647580756</v>
      </c>
      <c r="DJ27" s="31"/>
      <c r="DK27" s="188">
        <f t="shared" si="17"/>
        <v>0.50010287440808532</v>
      </c>
      <c r="DL27" s="188">
        <f t="shared" si="18"/>
        <v>2.366074891016984</v>
      </c>
      <c r="DM27" s="188">
        <f t="shared" si="19"/>
        <v>0.89401608051243864</v>
      </c>
      <c r="DN27" s="188">
        <f t="shared" si="20"/>
        <v>6.3684740739483328</v>
      </c>
      <c r="DO27" s="188">
        <f t="shared" si="21"/>
        <v>5.6121041336852917</v>
      </c>
      <c r="DP27" s="188">
        <f t="shared" si="22"/>
        <v>11.980578207633624</v>
      </c>
      <c r="DQ27" s="188">
        <f t="shared" si="23"/>
        <v>11.659745860559825</v>
      </c>
      <c r="DR27" s="188">
        <f t="shared" si="24"/>
        <v>10.246451825704435</v>
      </c>
      <c r="DS27" s="188">
        <f t="shared" si="25"/>
        <v>47.115249542781235</v>
      </c>
      <c r="DT27" s="188">
        <f t="shared" si="26"/>
        <v>70.920173776724482</v>
      </c>
      <c r="DU27" s="188">
        <f t="shared" si="27"/>
        <v>16.205231935129458</v>
      </c>
      <c r="DV27" s="188">
        <f t="shared" si="28"/>
        <v>100</v>
      </c>
      <c r="DW27" s="188">
        <f t="shared" si="29"/>
        <v>101.97216168491263</v>
      </c>
      <c r="DY27" s="181">
        <f t="shared" si="30"/>
        <v>8.5864166666666658E-2</v>
      </c>
      <c r="DZ27" s="181">
        <f t="shared" si="127"/>
        <v>0.46320960982304882</v>
      </c>
      <c r="EA27" s="185">
        <f t="shared" si="31"/>
        <v>2.793335947905607E-2</v>
      </c>
      <c r="EB27" s="185">
        <f>AG27+AH27+AL27-Intermediate!FJ27-Intermediate!FM27</f>
        <v>0.99090483661267603</v>
      </c>
      <c r="EC27" s="185">
        <f>AI27+AJ27-Intermediate!FK27</f>
        <v>0.98928648788256357</v>
      </c>
      <c r="ED27" s="240">
        <f t="shared" si="32"/>
        <v>7.5031485516103419E-2</v>
      </c>
      <c r="EE27" s="240">
        <f>Intermediate!FJ27+Intermediate!FK27+Intermediate!FM27</f>
        <v>0.83114797179288824</v>
      </c>
      <c r="EF27" s="240">
        <f t="shared" si="33"/>
        <v>2.0081246839742954</v>
      </c>
      <c r="EG27" s="240">
        <f t="shared" si="34"/>
        <v>0.54907377648971545</v>
      </c>
      <c r="EH27" s="240">
        <f t="shared" si="35"/>
        <v>3.4633779177730029</v>
      </c>
      <c r="EI27" s="181">
        <f t="shared" si="36"/>
        <v>3.4633779177730029</v>
      </c>
      <c r="EK27" s="31">
        <f>DY27/Basicinfo!$G27*1000/100</f>
        <v>7.8999253820279131E-3</v>
      </c>
      <c r="EL27" s="31">
        <f>DZ27/Basicinfo!$G27*1000/100</f>
        <v>4.2617560920915974E-2</v>
      </c>
      <c r="EM27" s="220">
        <f>EG27/Basicinfo!$G27*1000/100</f>
        <v>5.0517486302943893E-2</v>
      </c>
      <c r="EN27" s="220">
        <f>ED27/Basicinfo!$G27*1000/100</f>
        <v>6.9032654702282691E-3</v>
      </c>
      <c r="EO27" s="220">
        <f>EF27/Basicinfo!$G27*1000/100</f>
        <v>0.18475734147390147</v>
      </c>
      <c r="EP27" s="220">
        <f>EE27/Basicinfo!$G27*1000/100</f>
        <v>7.6469698751955029E-2</v>
      </c>
      <c r="EQ27" s="220">
        <f>EH27/Basicinfo!$G27*1000/100</f>
        <v>0.31864779199902865</v>
      </c>
      <c r="ER27" s="31">
        <f>EI27/Basicinfo!$G27*1000/100</f>
        <v>0.31864779199902865</v>
      </c>
      <c r="ET27" s="188">
        <f t="shared" si="37"/>
        <v>2.4792029257343779</v>
      </c>
      <c r="EU27" s="188">
        <f t="shared" si="38"/>
        <v>13.374503759638756</v>
      </c>
      <c r="EV27" s="223">
        <f t="shared" si="39"/>
        <v>15.853706685373137</v>
      </c>
      <c r="EW27" s="223">
        <f t="shared" si="40"/>
        <v>2.166425013310405</v>
      </c>
      <c r="EX27" s="223">
        <f t="shared" si="41"/>
        <v>57.981679494727103</v>
      </c>
      <c r="EY27" s="223">
        <f t="shared" si="42"/>
        <v>23.998188806589358</v>
      </c>
      <c r="EZ27" s="223">
        <f t="shared" si="43"/>
        <v>100</v>
      </c>
      <c r="FA27" s="188">
        <f t="shared" si="44"/>
        <v>100</v>
      </c>
      <c r="FC27" s="236">
        <f>Basicinfo!CT27</f>
        <v>5.3242903225806453</v>
      </c>
      <c r="FD27" s="181">
        <f>IF((Intermediate!CL27+Intermediate!CM27*3)/4&gt;11,(Intermediate!CL27+Intermediate!CM27*9)/10,(Intermediate!CL27+Intermediate!CM27*3)/4)</f>
        <v>3.1636283550620425</v>
      </c>
      <c r="FF27" s="31">
        <f t="shared" si="45"/>
        <v>7.5031485516103419E-2</v>
      </c>
      <c r="FG27" s="31">
        <f t="shared" si="46"/>
        <v>0.26944205678930427</v>
      </c>
      <c r="FH27" s="31">
        <f t="shared" si="47"/>
        <v>0</v>
      </c>
      <c r="FI27" s="31">
        <f>(AI27-(P27*450/1000000))*Parameters!$C$153</f>
        <v>0.71534901923677296</v>
      </c>
      <c r="FJ27" s="31"/>
      <c r="FK27" s="31">
        <f t="shared" si="48"/>
        <v>2.793335947905607E-2</v>
      </c>
      <c r="FL27" s="31">
        <f t="shared" si="49"/>
        <v>0.9750037753143701</v>
      </c>
      <c r="FM27" s="31">
        <f>AM27*Parameters!$C$154</f>
        <v>9.6406947270847171E-2</v>
      </c>
      <c r="FN27" s="31">
        <f>AN27*Parameters!$C$154</f>
        <v>0.14818343399644801</v>
      </c>
      <c r="FO27" s="31">
        <f>AO27*Parameters!$C$154</f>
        <v>0.17229826757344879</v>
      </c>
      <c r="FP27" s="31">
        <f>AQ27*Parameters!$C$155</f>
        <v>8.5864166666666658E-2</v>
      </c>
      <c r="FQ27" s="31">
        <f t="shared" si="50"/>
        <v>2.5655125118430173</v>
      </c>
      <c r="FS27" s="147">
        <f>DY27*Parameters!$C$155</f>
        <v>8.5864166666666658E-2</v>
      </c>
      <c r="FT27" s="147">
        <f>DZ27*Parameters!$C$154</f>
        <v>0.41688864884074395</v>
      </c>
      <c r="FU27" s="181">
        <f t="shared" si="51"/>
        <v>2.793335947905607E-2</v>
      </c>
      <c r="FV27" s="181">
        <f t="shared" si="52"/>
        <v>0.99090483661267603</v>
      </c>
      <c r="FW27" s="31">
        <f t="shared" si="53"/>
        <v>0.71534901923677263</v>
      </c>
      <c r="FX27" s="181">
        <f t="shared" si="54"/>
        <v>7.5031485516103419E-2</v>
      </c>
      <c r="FY27" s="147">
        <f>Intermediate!FJ27+Intermediate!FM27</f>
        <v>0.2535409954909984</v>
      </c>
      <c r="FZ27" s="181">
        <f t="shared" si="55"/>
        <v>1.7341872153285047</v>
      </c>
      <c r="GA27" s="147">
        <f t="shared" si="56"/>
        <v>0.50275281550741058</v>
      </c>
      <c r="GB27" s="181">
        <f t="shared" si="57"/>
        <v>2.5655125118430173</v>
      </c>
      <c r="GD27" s="147">
        <f>IF('River loads'!CH27&gt;0.99,1,0)</f>
        <v>0</v>
      </c>
      <c r="GE27" s="147">
        <f t="shared" si="58"/>
        <v>0</v>
      </c>
      <c r="GF27" s="147">
        <f t="shared" si="59"/>
        <v>0</v>
      </c>
      <c r="GG27" s="147">
        <f t="shared" si="60"/>
        <v>0</v>
      </c>
      <c r="GH27" s="147">
        <f t="shared" si="61"/>
        <v>0</v>
      </c>
      <c r="GI27" s="147">
        <f t="shared" si="62"/>
        <v>0</v>
      </c>
      <c r="GJ27" s="147">
        <f t="shared" si="63"/>
        <v>0</v>
      </c>
      <c r="GK27" s="147">
        <f t="shared" si="64"/>
        <v>0</v>
      </c>
      <c r="GL27" s="147">
        <f t="shared" si="65"/>
        <v>0</v>
      </c>
      <c r="GM27" s="270">
        <f t="shared" si="128"/>
        <v>0</v>
      </c>
      <c r="GN27" s="270">
        <f t="shared" si="129"/>
        <v>0</v>
      </c>
      <c r="GO27" s="147">
        <f t="shared" si="66"/>
        <v>0</v>
      </c>
      <c r="GP27" s="147">
        <f t="shared" si="67"/>
        <v>0</v>
      </c>
      <c r="GQ27" s="147"/>
      <c r="GR27" s="147">
        <f t="shared" si="68"/>
        <v>0</v>
      </c>
      <c r="GS27" s="147">
        <f t="shared" si="69"/>
        <v>0</v>
      </c>
      <c r="GT27" s="147">
        <f t="shared" si="70"/>
        <v>0</v>
      </c>
      <c r="GU27" s="147">
        <f t="shared" si="71"/>
        <v>0</v>
      </c>
      <c r="GV27" s="147">
        <f t="shared" si="72"/>
        <v>0</v>
      </c>
      <c r="GW27" s="147">
        <f t="shared" si="73"/>
        <v>0</v>
      </c>
      <c r="GX27" s="147">
        <f t="shared" si="74"/>
        <v>0</v>
      </c>
      <c r="GY27" s="147">
        <f t="shared" si="75"/>
        <v>0</v>
      </c>
      <c r="GZ27" s="147">
        <f t="shared" si="130"/>
        <v>0</v>
      </c>
      <c r="HA27" s="147">
        <f t="shared" si="131"/>
        <v>0</v>
      </c>
      <c r="HB27" s="147">
        <f t="shared" si="76"/>
        <v>0</v>
      </c>
      <c r="HC27" s="147">
        <f t="shared" si="77"/>
        <v>0</v>
      </c>
      <c r="HD27" s="147"/>
      <c r="HE27" s="147">
        <f t="shared" si="78"/>
        <v>0</v>
      </c>
      <c r="HF27" s="147">
        <f t="shared" si="79"/>
        <v>0</v>
      </c>
      <c r="HG27" s="147">
        <f t="shared" si="80"/>
        <v>0</v>
      </c>
      <c r="HH27" s="147">
        <f t="shared" si="81"/>
        <v>0</v>
      </c>
      <c r="HI27" s="147">
        <f t="shared" si="82"/>
        <v>0</v>
      </c>
      <c r="HJ27" s="147">
        <f t="shared" si="83"/>
        <v>0</v>
      </c>
      <c r="HK27" s="147">
        <f t="shared" si="84"/>
        <v>0</v>
      </c>
      <c r="HL27" s="147">
        <f t="shared" si="85"/>
        <v>0</v>
      </c>
      <c r="HM27" s="147">
        <f t="shared" si="86"/>
        <v>0</v>
      </c>
      <c r="HN27" s="147">
        <f t="shared" si="87"/>
        <v>0</v>
      </c>
      <c r="HO27" s="147">
        <f t="shared" si="88"/>
        <v>0</v>
      </c>
      <c r="HQ27" s="147">
        <f t="shared" si="89"/>
        <v>0</v>
      </c>
      <c r="HR27" s="147">
        <f t="shared" si="90"/>
        <v>0</v>
      </c>
      <c r="HS27" s="147">
        <f t="shared" si="91"/>
        <v>0</v>
      </c>
      <c r="HT27" s="147">
        <f t="shared" si="92"/>
        <v>0</v>
      </c>
      <c r="HU27" s="147">
        <f t="shared" si="93"/>
        <v>0</v>
      </c>
      <c r="HV27" s="147">
        <f t="shared" si="94"/>
        <v>0</v>
      </c>
      <c r="HW27" s="147">
        <f t="shared" si="95"/>
        <v>0</v>
      </c>
      <c r="HX27" s="147">
        <f t="shared" si="96"/>
        <v>0</v>
      </c>
      <c r="HY27" s="147">
        <f t="shared" si="97"/>
        <v>0</v>
      </c>
      <c r="HZ27" s="147">
        <f t="shared" si="98"/>
        <v>0</v>
      </c>
      <c r="IB27" s="147">
        <f>IF('River loads'!CI27&gt;0.99,1,0)</f>
        <v>0</v>
      </c>
      <c r="IC27">
        <f t="shared" si="99"/>
        <v>0</v>
      </c>
      <c r="ID27">
        <f t="shared" si="100"/>
        <v>0</v>
      </c>
      <c r="IE27">
        <f t="shared" si="101"/>
        <v>0</v>
      </c>
      <c r="IF27">
        <f t="shared" si="102"/>
        <v>0</v>
      </c>
      <c r="IG27">
        <f t="shared" si="103"/>
        <v>0</v>
      </c>
      <c r="IH27">
        <f t="shared" si="104"/>
        <v>0</v>
      </c>
      <c r="II27">
        <f t="shared" si="105"/>
        <v>0</v>
      </c>
      <c r="IJ27">
        <f t="shared" si="106"/>
        <v>0</v>
      </c>
      <c r="IK27">
        <f t="shared" si="132"/>
        <v>0</v>
      </c>
      <c r="IL27">
        <f t="shared" si="133"/>
        <v>0</v>
      </c>
      <c r="IM27">
        <f t="shared" si="107"/>
        <v>0</v>
      </c>
      <c r="IN27">
        <f t="shared" si="108"/>
        <v>0</v>
      </c>
      <c r="IP27">
        <f t="shared" si="109"/>
        <v>0</v>
      </c>
      <c r="IQ27">
        <f t="shared" si="110"/>
        <v>0</v>
      </c>
      <c r="IR27">
        <f t="shared" si="111"/>
        <v>0</v>
      </c>
      <c r="IS27">
        <f t="shared" si="112"/>
        <v>0</v>
      </c>
      <c r="IT27">
        <f t="shared" si="113"/>
        <v>0</v>
      </c>
      <c r="IU27">
        <f t="shared" si="114"/>
        <v>0</v>
      </c>
      <c r="IV27">
        <f t="shared" si="115"/>
        <v>0</v>
      </c>
      <c r="IW27">
        <f t="shared" si="116"/>
        <v>0</v>
      </c>
      <c r="IX27">
        <f t="shared" si="117"/>
        <v>0</v>
      </c>
    </row>
    <row r="28" spans="1:258">
      <c r="A28" s="39" t="str">
        <f>Basicinfo!A28</f>
        <v>Große Rodl</v>
      </c>
      <c r="B28" s="63">
        <f>Basicinfo!B28</f>
        <v>1200</v>
      </c>
      <c r="C28" s="63">
        <f>Basicinfo!C28</f>
        <v>5000</v>
      </c>
      <c r="D28" s="130">
        <f>Basicinfo!G28</f>
        <v>268.010200478</v>
      </c>
      <c r="E28" s="87">
        <f t="shared" si="118"/>
        <v>3.5832774849934106</v>
      </c>
      <c r="F28" s="19">
        <f>Intermediate!AR28</f>
        <v>1.0675230098786886E-2</v>
      </c>
      <c r="G28" s="19">
        <f>Intermediate!AU28</f>
        <v>0.64294157417458841</v>
      </c>
      <c r="H28" s="19">
        <f>Intermediate!AW28</f>
        <v>0</v>
      </c>
      <c r="I28" s="19">
        <f>Intermediate!AZ28</f>
        <v>4.3334232162681507E-2</v>
      </c>
      <c r="J28" s="19">
        <f>Intermediate!BA28</f>
        <v>2.7930575376239979</v>
      </c>
      <c r="K28" s="19">
        <f>Intermediate!AC28</f>
        <v>1.1677178997835512E-2</v>
      </c>
      <c r="L28" s="19">
        <f>Intermediate!AO28</f>
        <v>9.0262073962591605E-3</v>
      </c>
      <c r="M28" s="19">
        <f>Intermediate!AP28</f>
        <v>1.9238094300803622E-2</v>
      </c>
      <c r="N28" s="19">
        <f t="shared" si="119"/>
        <v>3.5299500547549529</v>
      </c>
      <c r="O28" s="19">
        <f>Basicinfo!CB28+Basicinfo!CG28</f>
        <v>5.3327430238457638E-2</v>
      </c>
      <c r="P28" s="56">
        <f>Intermediate!BK28-Intermediate!BI28</f>
        <v>637.13369649363267</v>
      </c>
      <c r="Q28" s="43">
        <f>Intermediate!BI28</f>
        <v>1776.7769903751896</v>
      </c>
      <c r="R28" s="88">
        <f t="shared" si="134"/>
        <v>2413.9106868688223</v>
      </c>
      <c r="S28" s="61">
        <f>Intermediate!F28*Intermediate!BO28/1000</f>
        <v>1.6854831990462469</v>
      </c>
      <c r="T28" s="19">
        <f>Intermediate!BU28*Intermediate!AU28*86.4*0.365</f>
        <v>31.376351102699779</v>
      </c>
      <c r="U28" s="19">
        <f>Intermediate!AW28*Intermediate!BS28*0.365*86.4</f>
        <v>0</v>
      </c>
      <c r="V28" s="19">
        <f>(Basicinfo!BL28/1000000)*(Intermediate!BK28-Intermediate!BF28-Intermediate!BG28-Intermediate!BH28)*Intermediate!CV28</f>
        <v>5.3382270663918803</v>
      </c>
      <c r="W28" s="19">
        <f>Intermediate!BI28*Parameters!$C$51/1000000</f>
        <v>4.4419424759379739E-2</v>
      </c>
      <c r="X28" s="19">
        <f>Intermediate!AZ28*Intermediate!CG28*86.4*0.365</f>
        <v>17.189307286269059</v>
      </c>
      <c r="Y28" s="19">
        <f>Intermediate!CM28*Intermediate!BA28*86.4*0.365+Parameters!$C$126*Intermediate!BB28*Basicinfo!P28/1000+Parameters!$C$127*Intermediate!BB28*Basicinfo!S28/1000</f>
        <v>173.05458549098788</v>
      </c>
      <c r="Z28" s="19">
        <f>Intermediate!DG28</f>
        <v>0.94935616858415395</v>
      </c>
      <c r="AA28" s="19">
        <f>Intermediate!DI28</f>
        <v>2.3002621897037936</v>
      </c>
      <c r="AB28" s="19">
        <f>Intermediate!DK28</f>
        <v>3.8555810790038878</v>
      </c>
      <c r="AC28" s="19">
        <f t="shared" si="120"/>
        <v>235.79357300744607</v>
      </c>
      <c r="AD28" s="19">
        <f>Basicinfo!CC28+Basicinfo!CE28+Basicinfo!CH28+Basicinfo!CJ28</f>
        <v>3.2985981666666664</v>
      </c>
      <c r="AE28" s="87">
        <f t="shared" si="135"/>
        <v>239.09217117411274</v>
      </c>
      <c r="AF28" s="56">
        <f>Intermediate!F28*Basicinfo!BD28/1000</f>
        <v>4.1577700476022265E-2</v>
      </c>
      <c r="AG28" s="43">
        <f>Intermediate!CA28*Intermediate!AU28*86.4*0.365</f>
        <v>0.62872423492568097</v>
      </c>
      <c r="AH28" s="43">
        <f>Intermediate!AW28*Intermediate!BZ28*0.365*86.4</f>
        <v>0</v>
      </c>
      <c r="AI28" s="43">
        <f>(Intermediate!CU28/1000000)*(Intermediate!BK28-Intermediate!BF28-Intermediate!BG28-Intermediate!BH28)*Intermediate!CW28</f>
        <v>1.8887134717974403</v>
      </c>
      <c r="AJ28" s="43">
        <f>Intermediate!BF28*Parameters!$C$52/1000000+(Intermediate!BG28+Intermediate!BH28)*Intermediate!CX28/1000000</f>
        <v>0.79954964566883524</v>
      </c>
      <c r="AK28" s="43">
        <f>Intermediate!AZ28*Intermediate!CH28*86.4*0.365</f>
        <v>0.25491525461705333</v>
      </c>
      <c r="AL28" s="58">
        <f>Intermediate!CR28*Intermediate!BA28*86.4*0.365</f>
        <v>3.0327249120081574</v>
      </c>
      <c r="AM28" s="43">
        <f>Intermediate!DH28</f>
        <v>0.25086299404467888</v>
      </c>
      <c r="AN28" s="42">
        <f>Intermediate!DJ28</f>
        <v>0.44415092657917277</v>
      </c>
      <c r="AO28" s="42">
        <f>Intermediate!DL28</f>
        <v>0.59168363129168711</v>
      </c>
      <c r="AP28" s="42">
        <f t="shared" si="122"/>
        <v>7.9329027714087283</v>
      </c>
      <c r="AQ28" s="43">
        <f>Basicinfo!CD28+Basicinfo!CF28+Basicinfo!CI28+Basicinfo!CK28</f>
        <v>1.1204946666666666</v>
      </c>
      <c r="AR28" s="83">
        <f t="shared" si="136"/>
        <v>9.053397438075395</v>
      </c>
      <c r="AS28" s="19">
        <f>F28*86400*365/(Basicinfo!G28*1000000)*1000</f>
        <v>1.2561240422749429</v>
      </c>
      <c r="AT28" s="19">
        <f>G28*86400*365/(Basicinfo!G28*1000000)*1000</f>
        <v>75.653111139082142</v>
      </c>
      <c r="AU28" s="19">
        <f>H28*86400*365/(Basicinfo!G28*1000000)*1000</f>
        <v>0</v>
      </c>
      <c r="AV28" s="19">
        <f>I28*86400*365/(Basicinfo!G28*1000000)*1000</f>
        <v>5.0990161682092481</v>
      </c>
      <c r="AW28" s="19">
        <f>J28*86400*365/(Basicinfo!G28*1000000)*1000</f>
        <v>328.65115711795721</v>
      </c>
      <c r="AX28" s="53">
        <f>K28*86400*365/(Basicinfo!G28*1000000)*1000</f>
        <v>1.3740205269014347</v>
      </c>
      <c r="AY28" s="53">
        <f>L28*86400*365/(Basicinfo!G28*1000000)*1000</f>
        <v>1.0620882188093987</v>
      </c>
      <c r="AZ28" s="53">
        <f>M28*86400*365/(Basicinfo!G28*1000000)*1000</f>
        <v>2.2636919818279235</v>
      </c>
      <c r="BA28" s="19">
        <f t="shared" si="123"/>
        <v>415.35920919506236</v>
      </c>
      <c r="BB28" s="19">
        <f>O28*86400*365/(Basicinfo!G28*1000000)*1000</f>
        <v>6.2748874371221834</v>
      </c>
      <c r="BC28" s="53">
        <f t="shared" si="137"/>
        <v>421.63409663218454</v>
      </c>
      <c r="BD28" s="56">
        <f>P28/(Basicinfo!G28*100)*1000</f>
        <v>23.772740565743231</v>
      </c>
      <c r="BE28" s="43">
        <f>Q28/(Basicinfo!G28*100)*1000</f>
        <v>66.295125603662939</v>
      </c>
      <c r="BF28" s="58">
        <f t="shared" si="138"/>
        <v>90.067866169406173</v>
      </c>
      <c r="BG28" s="61">
        <f>S28/(Basicinfo!G28*100)*1000000</f>
        <v>62.888770503516795</v>
      </c>
      <c r="BH28" s="19">
        <f>T28/(Basicinfo!G28*100)*1000000</f>
        <v>1170.7148103594418</v>
      </c>
      <c r="BI28" s="19">
        <f>U28/(Basicinfo!G28*100)*1000000</f>
        <v>0</v>
      </c>
      <c r="BJ28" s="19">
        <f>V28/(Basicinfo!G28*100)*1000000</f>
        <v>199.17999601772902</v>
      </c>
      <c r="BK28" s="19">
        <f>W28/(Basicinfo!G28*100)*1000000</f>
        <v>1.6573781400915735</v>
      </c>
      <c r="BL28" s="19">
        <f>X28/(Basicinfo!G28*100)*1000000</f>
        <v>641.36765151519171</v>
      </c>
      <c r="BM28" s="19">
        <f>Y28/(Basicinfo!G28*100)*1000000</f>
        <v>6457.0148890729733</v>
      </c>
      <c r="BN28" s="53">
        <f>Z28/(Basicinfo!G28*100)*1000000</f>
        <v>35.422389404991442</v>
      </c>
      <c r="BO28" s="53">
        <f>AA28/(Basicinfo!G28*100)*1000000</f>
        <v>85.827412001529922</v>
      </c>
      <c r="BP28" s="53">
        <f>AB28/(Basicinfo!G28*100)*1000000</f>
        <v>143.85949012863705</v>
      </c>
      <c r="BQ28" s="19">
        <f t="shared" si="125"/>
        <v>8797.9327871441037</v>
      </c>
      <c r="BR28" s="19">
        <f>AD28/(Basicinfo!G28*100)*1000000</f>
        <v>123.07733663806711</v>
      </c>
      <c r="BS28" s="53">
        <f t="shared" si="139"/>
        <v>8921.0101237821709</v>
      </c>
      <c r="BT28" s="56">
        <f>AF28/(Basicinfo!G28*100)*1000000</f>
        <v>1.5513476875830787</v>
      </c>
      <c r="BU28" s="43">
        <f>AG28/(Basicinfo!G28*100)*1000000</f>
        <v>23.45896662904406</v>
      </c>
      <c r="BV28" s="43">
        <f>AH28/(Basicinfo!G28*100)*1000000</f>
        <v>0</v>
      </c>
      <c r="BW28" s="43">
        <f>AI28/(Basicinfo!G28*100)*1000000</f>
        <v>70.471701018427396</v>
      </c>
      <c r="BX28" s="43">
        <f>AJ28/(Basicinfo!G28*100)*1000000</f>
        <v>29.832806521648319</v>
      </c>
      <c r="BY28" s="58">
        <f>AK28/(Basicinfo!G28*100)*1000000</f>
        <v>9.511401213924259</v>
      </c>
      <c r="BZ28" s="58">
        <f>AL28/(Basicinfo!G28*100)*1000000</f>
        <v>113.15707038759156</v>
      </c>
      <c r="CA28" s="58">
        <f>AM28/(Basicinfo!G28*100)*1000000</f>
        <v>9.3602032160440594</v>
      </c>
      <c r="CB28" s="58">
        <f>AN28/(Basicinfo!G28*100)*1000000</f>
        <v>16.572165006668527</v>
      </c>
      <c r="CC28" s="58">
        <f>AO28/(Basicinfo!G28*100)*1000000</f>
        <v>22.076907156384753</v>
      </c>
      <c r="CD28" s="58">
        <f t="shared" si="126"/>
        <v>295.99256883731601</v>
      </c>
      <c r="CE28" s="58">
        <f>AQ28/(Basicinfo!G28*100)*1000000</f>
        <v>41.807911216373419</v>
      </c>
      <c r="CF28" s="43">
        <f t="shared" si="140"/>
        <v>337.80048005368945</v>
      </c>
      <c r="CG28" s="84"/>
      <c r="CH28" s="84">
        <f t="shared" si="8"/>
        <v>3.2985981666666664</v>
      </c>
      <c r="CI28" s="146">
        <f t="shared" si="9"/>
        <v>7.1051994372918355</v>
      </c>
      <c r="CJ28" s="200">
        <f>Intermediate!EW28+Intermediate!EY28+Intermediate!FD28</f>
        <v>26.650080293393948</v>
      </c>
      <c r="CK28" s="180">
        <f>Intermediate!FA28+Intermediate!FF28</f>
        <v>19.908604284239171</v>
      </c>
      <c r="CL28" s="180">
        <f t="shared" si="10"/>
        <v>17.189307286269059</v>
      </c>
      <c r="CM28" s="180">
        <f t="shared" si="11"/>
        <v>106.08921964086083</v>
      </c>
      <c r="CN28" s="202">
        <f>Intermediate!EX28+Intermediate!EZ28+Intermediate!FE28</f>
        <v>16.510922110097045</v>
      </c>
      <c r="CO28" s="180">
        <f>Intermediate!FB28+Intermediate!FG28</f>
        <v>12.278683477865634</v>
      </c>
      <c r="CP28" s="213">
        <f>Intermediate!EP28+Intermediate!EQ28+Intermediate!ER28+Intermediate!ES28+Intermediate!ET28+Intermediate!EU28+Intermediate!EV28+W28</f>
        <v>30.061556477428507</v>
      </c>
      <c r="CQ28" s="212">
        <f t="shared" si="12"/>
        <v>28.789605587962679</v>
      </c>
      <c r="CR28" s="212">
        <f t="shared" si="13"/>
        <v>169.83721150476302</v>
      </c>
      <c r="CS28" s="211">
        <f t="shared" si="14"/>
        <v>4.24795433525082</v>
      </c>
      <c r="CT28" s="212">
        <f t="shared" si="15"/>
        <v>232.93632790540502</v>
      </c>
      <c r="CU28" s="84"/>
      <c r="CV28" s="31">
        <f t="shared" si="16"/>
        <v>239.09217117411274</v>
      </c>
      <c r="CW28" s="31">
        <f>CH28/Basicinfo!$G28*1000/100</f>
        <v>0.12307733663806712</v>
      </c>
      <c r="CX28" s="31">
        <f>CI28/Basicinfo!$G28*1000/100</f>
        <v>0.26510929153515844</v>
      </c>
      <c r="CY28" s="31">
        <f>CS28/Basicinfo!$G28*1000/100</f>
        <v>0.15849972604305856</v>
      </c>
      <c r="CZ28" s="31">
        <f>CN28/Basicinfo!$G28*1000/100</f>
        <v>0.61605573521640533</v>
      </c>
      <c r="DA28" s="31">
        <f>CO28/Basicinfo!$G28*1000/100</f>
        <v>0.45814239368376386</v>
      </c>
      <c r="DB28" s="31">
        <f>CQ28/Basicinfo!$G28*1000/100</f>
        <v>1.0741981289001692</v>
      </c>
      <c r="DC28" s="31">
        <f>CJ28/Basicinfo!$G28*1000/100</f>
        <v>0.99436813396889934</v>
      </c>
      <c r="DD28" s="31">
        <f>CK28/Basicinfo!$G28*1000/100</f>
        <v>0.74283009559829793</v>
      </c>
      <c r="DE28" s="31">
        <f>CM28/Basicinfo!$G28*1000/100</f>
        <v>3.9584023090035085</v>
      </c>
      <c r="DF28" s="31">
        <f>CR28/Basicinfo!$G28*1000/100</f>
        <v>6.336968190085897</v>
      </c>
      <c r="DG28" s="31">
        <f>CP28/Basicinfo!$G28*1000/100</f>
        <v>1.1216571766228782</v>
      </c>
      <c r="DH28" s="31">
        <f>CT28/Basicinfo!$G28*1000/100</f>
        <v>8.691323221652004</v>
      </c>
      <c r="DI28" s="31">
        <f>CV28/Basicinfo!$G28*1000/100</f>
        <v>8.9210101237821728</v>
      </c>
      <c r="DJ28" s="31"/>
      <c r="DK28" s="188">
        <f t="shared" si="17"/>
        <v>1.416094344891631</v>
      </c>
      <c r="DL28" s="188">
        <f t="shared" si="18"/>
        <v>3.0502753697470677</v>
      </c>
      <c r="DM28" s="188">
        <f t="shared" si="19"/>
        <v>1.8236547186301941</v>
      </c>
      <c r="DN28" s="188">
        <f t="shared" si="20"/>
        <v>7.0881696550149513</v>
      </c>
      <c r="DO28" s="188">
        <f t="shared" si="21"/>
        <v>5.2712617170010443</v>
      </c>
      <c r="DP28" s="188">
        <f t="shared" si="22"/>
        <v>12.359431372015996</v>
      </c>
      <c r="DQ28" s="188">
        <f t="shared" si="23"/>
        <v>11.44092917280661</v>
      </c>
      <c r="DR28" s="188">
        <f t="shared" si="24"/>
        <v>8.546800949109155</v>
      </c>
      <c r="DS28" s="188">
        <f t="shared" si="25"/>
        <v>45.544299850018866</v>
      </c>
      <c r="DT28" s="188">
        <f t="shared" si="26"/>
        <v>72.911431648280114</v>
      </c>
      <c r="DU28" s="188">
        <f t="shared" si="27"/>
        <v>12.905482261073697</v>
      </c>
      <c r="DV28" s="188">
        <f t="shared" si="28"/>
        <v>100</v>
      </c>
      <c r="DW28" s="188">
        <f t="shared" si="29"/>
        <v>102.64271499600852</v>
      </c>
      <c r="DY28" s="181">
        <f t="shared" si="30"/>
        <v>1.1204946666666666</v>
      </c>
      <c r="DZ28" s="181">
        <f t="shared" si="127"/>
        <v>1.2866975519155388</v>
      </c>
      <c r="EA28" s="185">
        <f t="shared" si="31"/>
        <v>0.25491525461705333</v>
      </c>
      <c r="EB28" s="185">
        <f>AG28+AH28+AL28-Intermediate!FJ28-Intermediate!FM28</f>
        <v>3.0911559001144595</v>
      </c>
      <c r="EC28" s="185">
        <f>AI28+AJ28-Intermediate!FK28</f>
        <v>1.7686185407788244</v>
      </c>
      <c r="ED28" s="240">
        <f t="shared" si="32"/>
        <v>4.1577700476022265E-2</v>
      </c>
      <c r="EE28" s="240">
        <f>Intermediate!FJ28+Intermediate!FK28+Intermediate!FM28</f>
        <v>1.4899378235068297</v>
      </c>
      <c r="EF28" s="240">
        <f t="shared" si="33"/>
        <v>5.1146896955103376</v>
      </c>
      <c r="EG28" s="240">
        <f t="shared" si="34"/>
        <v>2.4071922185822054</v>
      </c>
      <c r="EH28" s="240">
        <f t="shared" si="35"/>
        <v>9.053397438075395</v>
      </c>
      <c r="EI28" s="181">
        <f t="shared" si="36"/>
        <v>9.053397438075395</v>
      </c>
      <c r="EK28" s="31">
        <f>DY28/Basicinfo!$G28*1000/100</f>
        <v>4.1807911216373422E-2</v>
      </c>
      <c r="EL28" s="31">
        <f>DZ28/Basicinfo!$G28*1000/100</f>
        <v>4.8009275379097341E-2</v>
      </c>
      <c r="EM28" s="220">
        <f>EG28/Basicinfo!$G28*1000/100</f>
        <v>8.9817186595470749E-2</v>
      </c>
      <c r="EN28" s="220">
        <f>ED28/Basicinfo!$G28*1000/100</f>
        <v>1.5513476875830786E-3</v>
      </c>
      <c r="EO28" s="220">
        <f>EF28/Basicinfo!$G28*1000/100</f>
        <v>0.19083936679977909</v>
      </c>
      <c r="EP28" s="220">
        <f>EE28/Basicinfo!$G28*1000/100</f>
        <v>5.5592578970856489E-2</v>
      </c>
      <c r="EQ28" s="220">
        <f>EH28/Basicinfo!$G28*1000/100</f>
        <v>0.3378004800536894</v>
      </c>
      <c r="ER28" s="31">
        <f>EI28/Basicinfo!$G28*1000/100</f>
        <v>0.3378004800536894</v>
      </c>
      <c r="ET28" s="188">
        <f t="shared" si="37"/>
        <v>12.376510302687713</v>
      </c>
      <c r="EU28" s="188">
        <f t="shared" si="38"/>
        <v>14.212317096608873</v>
      </c>
      <c r="EV28" s="223">
        <f t="shared" si="39"/>
        <v>26.588827399296584</v>
      </c>
      <c r="EW28" s="223">
        <f t="shared" si="40"/>
        <v>0.45924969891591338</v>
      </c>
      <c r="EX28" s="223">
        <f t="shared" si="41"/>
        <v>56.494699702453779</v>
      </c>
      <c r="EY28" s="223">
        <f t="shared" si="42"/>
        <v>16.457223199333733</v>
      </c>
      <c r="EZ28" s="223">
        <f t="shared" si="43"/>
        <v>100</v>
      </c>
      <c r="FA28" s="188">
        <f t="shared" si="44"/>
        <v>100</v>
      </c>
      <c r="FC28" s="236">
        <f>Basicinfo!CT28</f>
        <v>2.9070322580645165</v>
      </c>
      <c r="FD28" s="181">
        <f>IF((Intermediate!CL28+Intermediate!CM28*3)/4&gt;11,(Intermediate!CL28+Intermediate!CM28*9)/10,(Intermediate!CL28+Intermediate!CM28*3)/4)</f>
        <v>2.9854208001365263</v>
      </c>
      <c r="FF28" s="31">
        <f t="shared" si="45"/>
        <v>4.1577700476022265E-2</v>
      </c>
      <c r="FG28" s="31">
        <f t="shared" si="46"/>
        <v>0.62872423492568097</v>
      </c>
      <c r="FH28" s="31">
        <f t="shared" si="47"/>
        <v>0</v>
      </c>
      <c r="FI28" s="31">
        <f>(AI28-(P28*450/1000000))*Parameters!$C$153</f>
        <v>1.2816026467002446</v>
      </c>
      <c r="FJ28" s="31"/>
      <c r="FK28" s="31">
        <f t="shared" si="48"/>
        <v>0.25491525461705333</v>
      </c>
      <c r="FL28" s="31">
        <f t="shared" si="49"/>
        <v>3.0327249120081574</v>
      </c>
      <c r="FM28" s="31">
        <f>AM28*Parameters!$C$154</f>
        <v>0.225776694640211</v>
      </c>
      <c r="FN28" s="31">
        <f>AN28*Parameters!$C$154</f>
        <v>0.3997358339212555</v>
      </c>
      <c r="FO28" s="31">
        <f>AO28*Parameters!$C$154</f>
        <v>0.53251526816251837</v>
      </c>
      <c r="FP28" s="31">
        <f>AQ28*Parameters!$C$155</f>
        <v>1.1204946666666666</v>
      </c>
      <c r="FQ28" s="31">
        <f t="shared" si="50"/>
        <v>7.5180672121178098</v>
      </c>
      <c r="FS28" s="147">
        <f>DY28*Parameters!$C$155</f>
        <v>1.1204946666666666</v>
      </c>
      <c r="FT28" s="147">
        <f>DZ28*Parameters!$C$154</f>
        <v>1.1580277967239849</v>
      </c>
      <c r="FU28" s="181">
        <f t="shared" si="51"/>
        <v>0.25491525461705333</v>
      </c>
      <c r="FV28" s="181">
        <f t="shared" si="52"/>
        <v>3.0911559001144595</v>
      </c>
      <c r="FW28" s="31">
        <f t="shared" si="53"/>
        <v>1.2816026467002442</v>
      </c>
      <c r="FX28" s="181">
        <f t="shared" si="54"/>
        <v>4.1577700476022265E-2</v>
      </c>
      <c r="FY28" s="147">
        <f>Intermediate!FJ28+Intermediate!FM28</f>
        <v>0.57029324681937887</v>
      </c>
      <c r="FZ28" s="181">
        <f t="shared" si="55"/>
        <v>4.6276738014317571</v>
      </c>
      <c r="GA28" s="147">
        <f t="shared" si="56"/>
        <v>2.2785224633906518</v>
      </c>
      <c r="GB28" s="181">
        <f t="shared" si="57"/>
        <v>7.5180672121178098</v>
      </c>
      <c r="GD28" s="147">
        <f>IF('River loads'!CH28&gt;0.99,1,0)</f>
        <v>1</v>
      </c>
      <c r="GE28" s="147">
        <f t="shared" si="58"/>
        <v>4.1577700476022265E-2</v>
      </c>
      <c r="GF28" s="147">
        <f t="shared" si="59"/>
        <v>0.62872423492568097</v>
      </c>
      <c r="GG28" s="147">
        <f t="shared" si="60"/>
        <v>0</v>
      </c>
      <c r="GH28" s="147">
        <f t="shared" si="61"/>
        <v>1.8887134717974403</v>
      </c>
      <c r="GI28" s="147">
        <f t="shared" si="62"/>
        <v>0.79954964566883524</v>
      </c>
      <c r="GJ28" s="147">
        <f t="shared" si="63"/>
        <v>0.25491525461705333</v>
      </c>
      <c r="GK28" s="147">
        <f t="shared" si="64"/>
        <v>3.0327249120081574</v>
      </c>
      <c r="GL28" s="147">
        <f t="shared" si="65"/>
        <v>0.25086299404467888</v>
      </c>
      <c r="GM28" s="270">
        <f t="shared" si="128"/>
        <v>0.44415092657917277</v>
      </c>
      <c r="GN28" s="270">
        <f t="shared" si="129"/>
        <v>0.59168363129168711</v>
      </c>
      <c r="GO28" s="147">
        <f t="shared" si="66"/>
        <v>1.1204946666666666</v>
      </c>
      <c r="GP28" s="147">
        <f t="shared" si="67"/>
        <v>9.053397438075395</v>
      </c>
      <c r="GQ28" s="147"/>
      <c r="GR28" s="147">
        <f t="shared" si="68"/>
        <v>4.1577700476022265E-2</v>
      </c>
      <c r="GS28" s="147">
        <f t="shared" si="69"/>
        <v>0.62872423492568097</v>
      </c>
      <c r="GT28" s="147">
        <f t="shared" si="70"/>
        <v>0</v>
      </c>
      <c r="GU28" s="147">
        <f t="shared" si="71"/>
        <v>1.2816026467002446</v>
      </c>
      <c r="GV28" s="147">
        <f t="shared" si="72"/>
        <v>0</v>
      </c>
      <c r="GW28" s="147">
        <f t="shared" si="73"/>
        <v>0.25491525461705333</v>
      </c>
      <c r="GX28" s="147">
        <f t="shared" si="74"/>
        <v>3.0327249120081574</v>
      </c>
      <c r="GY28" s="147">
        <f t="shared" si="75"/>
        <v>0.225776694640211</v>
      </c>
      <c r="GZ28" s="147">
        <f t="shared" si="130"/>
        <v>0.3997358339212555</v>
      </c>
      <c r="HA28" s="147">
        <f t="shared" si="131"/>
        <v>0.53251526816251837</v>
      </c>
      <c r="HB28" s="147">
        <f t="shared" si="76"/>
        <v>1.1204946666666666</v>
      </c>
      <c r="HC28" s="147">
        <f t="shared" si="77"/>
        <v>7.5180672121178098</v>
      </c>
      <c r="HD28" s="147"/>
      <c r="HE28" s="147">
        <f t="shared" si="78"/>
        <v>1.1204946666666666</v>
      </c>
      <c r="HF28" s="147">
        <f t="shared" si="79"/>
        <v>1.2866975519155388</v>
      </c>
      <c r="HG28" s="147">
        <f t="shared" si="80"/>
        <v>0.25491525461705333</v>
      </c>
      <c r="HH28" s="147">
        <f t="shared" si="81"/>
        <v>3.0911559001144595</v>
      </c>
      <c r="HI28" s="147">
        <f t="shared" si="82"/>
        <v>1.7686185407788244</v>
      </c>
      <c r="HJ28" s="147">
        <f t="shared" si="83"/>
        <v>4.1577700476022265E-2</v>
      </c>
      <c r="HK28" s="147">
        <f t="shared" si="84"/>
        <v>1.4899378235068297</v>
      </c>
      <c r="HL28" s="147">
        <f t="shared" si="85"/>
        <v>5.1146896955103376</v>
      </c>
      <c r="HM28" s="147">
        <f t="shared" si="86"/>
        <v>2.4071922185822054</v>
      </c>
      <c r="HN28" s="147">
        <f t="shared" si="87"/>
        <v>9.053397438075395</v>
      </c>
      <c r="HO28" s="147">
        <f t="shared" si="88"/>
        <v>9.053397438075395</v>
      </c>
      <c r="HQ28" s="147">
        <f t="shared" si="89"/>
        <v>1.1204946666666666</v>
      </c>
      <c r="HR28" s="147">
        <f t="shared" si="90"/>
        <v>1.1580277967239849</v>
      </c>
      <c r="HS28" s="147">
        <f t="shared" si="91"/>
        <v>0.25491525461705333</v>
      </c>
      <c r="HT28" s="147">
        <f t="shared" si="92"/>
        <v>3.0911559001144595</v>
      </c>
      <c r="HU28" s="147">
        <f t="shared" si="93"/>
        <v>1.2816026467002442</v>
      </c>
      <c r="HV28" s="147">
        <f t="shared" si="94"/>
        <v>4.1577700476022265E-2</v>
      </c>
      <c r="HW28" s="147">
        <f t="shared" si="95"/>
        <v>0.57029324681937887</v>
      </c>
      <c r="HX28" s="147">
        <f t="shared" si="96"/>
        <v>4.6276738014317571</v>
      </c>
      <c r="HY28" s="147">
        <f t="shared" si="97"/>
        <v>2.2785224633906518</v>
      </c>
      <c r="HZ28" s="147">
        <f t="shared" si="98"/>
        <v>7.5180672121178098</v>
      </c>
      <c r="IB28" s="147">
        <f>IF('River loads'!CI28&gt;0.99,1,0)</f>
        <v>0</v>
      </c>
      <c r="IC28">
        <f t="shared" si="99"/>
        <v>0</v>
      </c>
      <c r="ID28">
        <f t="shared" si="100"/>
        <v>0</v>
      </c>
      <c r="IE28">
        <f t="shared" si="101"/>
        <v>0</v>
      </c>
      <c r="IF28">
        <f t="shared" si="102"/>
        <v>0</v>
      </c>
      <c r="IG28">
        <f t="shared" si="103"/>
        <v>0</v>
      </c>
      <c r="IH28">
        <f t="shared" si="104"/>
        <v>0</v>
      </c>
      <c r="II28">
        <f t="shared" si="105"/>
        <v>0</v>
      </c>
      <c r="IJ28">
        <f t="shared" si="106"/>
        <v>0</v>
      </c>
      <c r="IK28">
        <f t="shared" si="132"/>
        <v>0</v>
      </c>
      <c r="IL28">
        <f t="shared" si="133"/>
        <v>0</v>
      </c>
      <c r="IM28">
        <f t="shared" si="107"/>
        <v>0</v>
      </c>
      <c r="IN28">
        <f t="shared" si="108"/>
        <v>0</v>
      </c>
      <c r="IP28">
        <f t="shared" si="109"/>
        <v>0</v>
      </c>
      <c r="IQ28">
        <f t="shared" si="110"/>
        <v>0</v>
      </c>
      <c r="IR28">
        <f t="shared" si="111"/>
        <v>0</v>
      </c>
      <c r="IS28">
        <f t="shared" si="112"/>
        <v>0</v>
      </c>
      <c r="IT28">
        <f t="shared" si="113"/>
        <v>0</v>
      </c>
      <c r="IU28">
        <f t="shared" si="114"/>
        <v>0</v>
      </c>
      <c r="IV28">
        <f t="shared" si="115"/>
        <v>0</v>
      </c>
      <c r="IW28">
        <f t="shared" si="116"/>
        <v>0</v>
      </c>
      <c r="IX28">
        <f t="shared" si="117"/>
        <v>0</v>
      </c>
    </row>
    <row r="29" spans="1:258">
      <c r="A29" s="39" t="str">
        <f>Basicinfo!A29</f>
        <v>Diesenleitenbach</v>
      </c>
      <c r="B29" s="63">
        <f>Basicinfo!B29</f>
        <v>1210</v>
      </c>
      <c r="C29" s="63">
        <f>Basicinfo!C29</f>
        <v>5010</v>
      </c>
      <c r="D29" s="130">
        <f>Basicinfo!G29</f>
        <v>54.5678802758</v>
      </c>
      <c r="E29" s="87">
        <f t="shared" si="118"/>
        <v>0.73650440279874496</v>
      </c>
      <c r="F29" s="19">
        <f>Intermediate!AR29</f>
        <v>2.5298675267772072E-3</v>
      </c>
      <c r="G29" s="19">
        <f>Intermediate!AU29</f>
        <v>8.4799913287520262E-2</v>
      </c>
      <c r="H29" s="19">
        <f>Intermediate!AW29</f>
        <v>0</v>
      </c>
      <c r="I29" s="19">
        <f>Intermediate!AZ29</f>
        <v>1.2302600388081614E-2</v>
      </c>
      <c r="J29" s="19">
        <f>Intermediate!BA29</f>
        <v>0.56238338563949131</v>
      </c>
      <c r="K29" s="19">
        <f>Intermediate!AC29</f>
        <v>4.6349634687317759E-2</v>
      </c>
      <c r="L29" s="19">
        <f>Intermediate!AO29</f>
        <v>8.8552247408799929E-3</v>
      </c>
      <c r="M29" s="19">
        <f>Intermediate!AP29</f>
        <v>1.9283776528676851E-2</v>
      </c>
      <c r="N29" s="19">
        <f t="shared" si="119"/>
        <v>0.73650440279874496</v>
      </c>
      <c r="O29" s="19">
        <f>Basicinfo!CB29+Basicinfo!CG29</f>
        <v>0</v>
      </c>
      <c r="P29" s="56">
        <f>Intermediate!BK29-Intermediate!BI29</f>
        <v>137.99210665484901</v>
      </c>
      <c r="Q29" s="43">
        <f>Intermediate!BI29</f>
        <v>369.6334428476859</v>
      </c>
      <c r="R29" s="88">
        <f t="shared" si="134"/>
        <v>507.62554950253491</v>
      </c>
      <c r="S29" s="61">
        <f>Intermediate!F29*Intermediate!BO29/1000</f>
        <v>0.37174836854331739</v>
      </c>
      <c r="T29" s="19">
        <f>Intermediate!BU29*Intermediate!AU29*86.4*0.365</f>
        <v>4.0089394002973906</v>
      </c>
      <c r="U29" s="19">
        <f>Intermediate!AW29*Intermediate!BS29*0.365*86.4</f>
        <v>0</v>
      </c>
      <c r="V29" s="19">
        <f>(Basicinfo!BL29/1000000)*(Intermediate!BK29-Intermediate!BF29-Intermediate!BG29-Intermediate!BH29)*Intermediate!CV29</f>
        <v>0.95100621539983721</v>
      </c>
      <c r="W29" s="19">
        <f>Intermediate!BI29*Parameters!$C$51/1000000</f>
        <v>9.2408360711921465E-3</v>
      </c>
      <c r="X29" s="19">
        <f>Intermediate!AZ29*Intermediate!CG29*86.4*0.365</f>
        <v>5.4171838050004428</v>
      </c>
      <c r="Y29" s="19">
        <f>Intermediate!CM29*Intermediate!BA29*86.4*0.365+Parameters!$C$126*Intermediate!BB29*Basicinfo!P29/1000+Parameters!$C$127*Intermediate!BB29*Basicinfo!S29/1000</f>
        <v>35.038284950004794</v>
      </c>
      <c r="Z29" s="19">
        <f>Intermediate!DG29</f>
        <v>2.9486333109250902</v>
      </c>
      <c r="AA29" s="19">
        <f>Intermediate!DI29</f>
        <v>2.8945813951709995</v>
      </c>
      <c r="AB29" s="19">
        <f>Intermediate!DK29</f>
        <v>3.9934897978202644</v>
      </c>
      <c r="AC29" s="19">
        <f t="shared" si="120"/>
        <v>55.633108079233331</v>
      </c>
      <c r="AD29" s="19">
        <f>Basicinfo!CC29+Basicinfo!CE29+Basicinfo!CH29+Basicinfo!CJ29</f>
        <v>0</v>
      </c>
      <c r="AE29" s="87">
        <f t="shared" si="135"/>
        <v>55.633108079233331</v>
      </c>
      <c r="AF29" s="56">
        <f>Intermediate!F29*Basicinfo!BD29/1000</f>
        <v>9.1576339860277509E-3</v>
      </c>
      <c r="AG29" s="43">
        <f>Intermediate!CA29*Intermediate!AU29*86.4*0.365</f>
        <v>8.1717114501093688E-2</v>
      </c>
      <c r="AH29" s="43">
        <f>Intermediate!AW29*Intermediate!BZ29*0.365*86.4</f>
        <v>0</v>
      </c>
      <c r="AI29" s="43">
        <f>(Intermediate!CU29/1000000)*(Intermediate!BK29-Intermediate!BF29-Intermediate!BG29-Intermediate!BH29)*Intermediate!CW29</f>
        <v>0.44563206890359308</v>
      </c>
      <c r="AJ29" s="43">
        <f>Intermediate!BF29*Parameters!$C$52/1000000+(Intermediate!BG29+Intermediate!BH29)*Intermediate!CX29/1000000</f>
        <v>0.16633504928145867</v>
      </c>
      <c r="AK29" s="43">
        <f>Intermediate!AZ29*Intermediate!CH29*86.4*0.365</f>
        <v>7.3644891372865326E-2</v>
      </c>
      <c r="AL29" s="58">
        <f>Intermediate!CR29*Intermediate!BA29*86.4*0.365</f>
        <v>1.0682661453917266</v>
      </c>
      <c r="AM29" s="43">
        <f>Intermediate!DH29</f>
        <v>0.5211451629923971</v>
      </c>
      <c r="AN29" s="42">
        <f>Intermediate!DJ29</f>
        <v>0.47806597654944744</v>
      </c>
      <c r="AO29" s="42">
        <f>Intermediate!DL29</f>
        <v>0.55168950603000777</v>
      </c>
      <c r="AP29" s="42">
        <f t="shared" si="122"/>
        <v>3.3956535490086175</v>
      </c>
      <c r="AQ29" s="43">
        <f>Basicinfo!CD29+Basicinfo!CF29+Basicinfo!CI29+Basicinfo!CK29</f>
        <v>0</v>
      </c>
      <c r="AR29" s="83">
        <f t="shared" si="136"/>
        <v>3.3956535490086175</v>
      </c>
      <c r="AS29" s="19">
        <f>F29*86400*365/(Basicinfo!G29*1000000)*1000</f>
        <v>1.4620670973695129</v>
      </c>
      <c r="AT29" s="19">
        <f>G29*86400*365/(Basicinfo!G29*1000000)*1000</f>
        <v>49.007768891129665</v>
      </c>
      <c r="AU29" s="19">
        <f>H29*86400*365/(Basicinfo!G29*1000000)*1000</f>
        <v>0</v>
      </c>
      <c r="AV29" s="19">
        <f>I29*86400*365/(Basicinfo!G29*1000000)*1000</f>
        <v>7.109948267691875</v>
      </c>
      <c r="AW29" s="19">
        <f>J29*86400*365/(Basicinfo!G29*1000000)*1000</f>
        <v>325.0139525282666</v>
      </c>
      <c r="AX29" s="53">
        <f>K29*86400*365/(Basicinfo!G29*1000000)*1000</f>
        <v>26.786491835701487</v>
      </c>
      <c r="AY29" s="53">
        <f>L29*86400*365/(Basicinfo!G29*1000000)*1000</f>
        <v>5.1176326809278354</v>
      </c>
      <c r="AZ29" s="53">
        <f>M29*86400*365/(Basicinfo!G29*1000000)*1000</f>
        <v>11.144526295225193</v>
      </c>
      <c r="BA29" s="19">
        <f t="shared" si="123"/>
        <v>425.64238759631218</v>
      </c>
      <c r="BB29" s="19">
        <f>O29*86400*365/(Basicinfo!G29*1000000)*1000</f>
        <v>0</v>
      </c>
      <c r="BC29" s="53">
        <f t="shared" si="137"/>
        <v>425.64238759631218</v>
      </c>
      <c r="BD29" s="56">
        <f>P29/(Basicinfo!G29*100)*1000</f>
        <v>25.288155955005337</v>
      </c>
      <c r="BE29" s="43">
        <f>Q29/(Basicinfo!G29*100)*1000</f>
        <v>67.738281380816716</v>
      </c>
      <c r="BF29" s="58">
        <f t="shared" si="138"/>
        <v>93.026437335822052</v>
      </c>
      <c r="BG29" s="61">
        <f>S29/(Basicinfo!G29*100)*1000000</f>
        <v>68.125858410553278</v>
      </c>
      <c r="BH29" s="19">
        <f>T29/(Basicinfo!G29*100)*1000000</f>
        <v>734.67017227628912</v>
      </c>
      <c r="BI29" s="19">
        <f>U29/(Basicinfo!G29*100)*1000000</f>
        <v>0</v>
      </c>
      <c r="BJ29" s="19">
        <f>V29/(Basicinfo!G29*100)*1000000</f>
        <v>174.27948650253759</v>
      </c>
      <c r="BK29" s="19">
        <f>W29/(Basicinfo!G29*100)*1000000</f>
        <v>1.6934570345204178</v>
      </c>
      <c r="BL29" s="19">
        <f>X29/(Basicinfo!G29*100)*1000000</f>
        <v>992.74220981658323</v>
      </c>
      <c r="BM29" s="19">
        <f>Y29/(Basicinfo!G29*100)*1000000</f>
        <v>6421.045635804865</v>
      </c>
      <c r="BN29" s="53">
        <f>Z29/(Basicinfo!G29*100)*1000000</f>
        <v>540.36061067828632</v>
      </c>
      <c r="BO29" s="53">
        <f>AA29/(Basicinfo!G29*100)*1000000</f>
        <v>530.45516529889858</v>
      </c>
      <c r="BP29" s="53">
        <f>AB29/(Basicinfo!G29*100)*1000000</f>
        <v>731.83890919642613</v>
      </c>
      <c r="BQ29" s="19">
        <f t="shared" si="125"/>
        <v>10195.21150501896</v>
      </c>
      <c r="BR29" s="19">
        <f>AD29/(Basicinfo!G29*100)*1000000</f>
        <v>0</v>
      </c>
      <c r="BS29" s="53">
        <f t="shared" si="139"/>
        <v>10195.21150501896</v>
      </c>
      <c r="BT29" s="56">
        <f>AF29/(Basicinfo!G29*100)*1000000</f>
        <v>1.6782095877176704</v>
      </c>
      <c r="BU29" s="43">
        <f>AG29/(Basicinfo!G29*100)*1000000</f>
        <v>14.975314065357592</v>
      </c>
      <c r="BV29" s="43">
        <f>AH29/(Basicinfo!G29*100)*1000000</f>
        <v>0</v>
      </c>
      <c r="BW29" s="43">
        <f>AI29/(Basicinfo!G29*100)*1000000</f>
        <v>81.665636753939282</v>
      </c>
      <c r="BX29" s="43">
        <f>AJ29/(Basicinfo!G29*100)*1000000</f>
        <v>30.482226621367531</v>
      </c>
      <c r="BY29" s="58">
        <f>AK29/(Basicinfo!G29*100)*1000000</f>
        <v>13.49601468861265</v>
      </c>
      <c r="BZ29" s="58">
        <f>AL29/(Basicinfo!G29*100)*1000000</f>
        <v>195.7683054559636</v>
      </c>
      <c r="CA29" s="58">
        <f>AM29/(Basicinfo!G29*100)*1000000</f>
        <v>95.504014515204986</v>
      </c>
      <c r="CB29" s="58">
        <f>AN29/(Basicinfo!G29*100)*1000000</f>
        <v>87.609409442547516</v>
      </c>
      <c r="CC29" s="58">
        <f>AO29/(Basicinfo!G29*100)*1000000</f>
        <v>101.10150939373641</v>
      </c>
      <c r="CD29" s="58">
        <f t="shared" si="126"/>
        <v>622.28064052444722</v>
      </c>
      <c r="CE29" s="58">
        <f>AQ29/(Basicinfo!G29*100)*1000000</f>
        <v>0</v>
      </c>
      <c r="CF29" s="43">
        <f t="shared" si="140"/>
        <v>622.28064052444722</v>
      </c>
      <c r="CG29" s="84"/>
      <c r="CH29" s="84">
        <f t="shared" si="8"/>
        <v>0</v>
      </c>
      <c r="CI29" s="146">
        <f t="shared" si="9"/>
        <v>9.836704503916355</v>
      </c>
      <c r="CJ29" s="200">
        <f>Intermediate!EW29+Intermediate!EY29+Intermediate!FD29</f>
        <v>6.4583259902503718</v>
      </c>
      <c r="CK29" s="180">
        <f>Intermediate!FA29+Intermediate!FF29</f>
        <v>3.2030018557401023</v>
      </c>
      <c r="CL29" s="180">
        <f t="shared" si="10"/>
        <v>5.4171838050004428</v>
      </c>
      <c r="CM29" s="180">
        <f t="shared" si="11"/>
        <v>18.462703400681875</v>
      </c>
      <c r="CN29" s="202">
        <f>Intermediate!EX29+Intermediate!EZ29+Intermediate!FE29</f>
        <v>4.0354809102844253</v>
      </c>
      <c r="CO29" s="180">
        <f>Intermediate!FB29+Intermediate!FG29</f>
        <v>1.9924470295104266</v>
      </c>
      <c r="CP29" s="213">
        <f>Intermediate!EP29+Intermediate!EQ29+Intermediate!ER29+Intermediate!ES29+Intermediate!ET29+Intermediate!EU29+Intermediate!EV29+W29</f>
        <v>6.2272605838493256</v>
      </c>
      <c r="CQ29" s="212">
        <f t="shared" si="12"/>
        <v>6.0279279397948518</v>
      </c>
      <c r="CR29" s="212">
        <f t="shared" si="13"/>
        <v>33.541215051672793</v>
      </c>
      <c r="CS29" s="211">
        <f t="shared" si="14"/>
        <v>2.9486333109250902</v>
      </c>
      <c r="CT29" s="212">
        <f t="shared" si="15"/>
        <v>48.745036886242062</v>
      </c>
      <c r="CU29" s="84"/>
      <c r="CV29" s="31">
        <f t="shared" si="16"/>
        <v>55.633108079233331</v>
      </c>
      <c r="CW29" s="31">
        <f>CH29/Basicinfo!$G29*1000/100</f>
        <v>0</v>
      </c>
      <c r="CX29" s="31">
        <f>CI29/Basicinfo!$G29*1000/100</f>
        <v>1.8026546851736112</v>
      </c>
      <c r="CY29" s="31">
        <f>CS29/Basicinfo!$G29*1000/100</f>
        <v>0.54036061067828622</v>
      </c>
      <c r="CZ29" s="31">
        <f>CN29/Basicinfo!$G29*1000/100</f>
        <v>0.73953411601991392</v>
      </c>
      <c r="DA29" s="31">
        <f>CO29/Basicinfo!$G29*1000/100</f>
        <v>0.36513183569530105</v>
      </c>
      <c r="DB29" s="31">
        <f>CQ29/Basicinfo!$G29*1000/100</f>
        <v>1.1046659517152151</v>
      </c>
      <c r="DC29" s="31">
        <f>CJ29/Basicinfo!$G29*1000/100</f>
        <v>1.1835398328849029</v>
      </c>
      <c r="DD29" s="31">
        <f>CK29/Basicinfo!$G29*1000/100</f>
        <v>0.58697567865039157</v>
      </c>
      <c r="DE29" s="31">
        <f>CM29/Basicinfo!$G29*1000/100</f>
        <v>3.3834378955837496</v>
      </c>
      <c r="DF29" s="31">
        <f>CR29/Basicinfo!$G29*1000/100</f>
        <v>6.1466956169356264</v>
      </c>
      <c r="DG29" s="31">
        <f>CP29/Basicinfo!$G29*1000/100</f>
        <v>1.1411952511945049</v>
      </c>
      <c r="DH29" s="31">
        <f>CT29/Basicinfo!$G29*1000/100</f>
        <v>8.9329174305236343</v>
      </c>
      <c r="DI29" s="31">
        <f>CV29/Basicinfo!$G29*1000/100</f>
        <v>10.195211505018959</v>
      </c>
      <c r="DJ29" s="31"/>
      <c r="DK29" s="188">
        <f t="shared" si="17"/>
        <v>0</v>
      </c>
      <c r="DL29" s="188">
        <f t="shared" si="18"/>
        <v>20.179909858048941</v>
      </c>
      <c r="DM29" s="188">
        <f t="shared" si="19"/>
        <v>6.0490944294624605</v>
      </c>
      <c r="DN29" s="188">
        <f t="shared" si="20"/>
        <v>8.2787523983255227</v>
      </c>
      <c r="DO29" s="188">
        <f t="shared" si="21"/>
        <v>4.0874869664377682</v>
      </c>
      <c r="DP29" s="188">
        <f t="shared" si="22"/>
        <v>12.36623936476329</v>
      </c>
      <c r="DQ29" s="188">
        <f t="shared" si="23"/>
        <v>13.249197052250439</v>
      </c>
      <c r="DR29" s="188">
        <f t="shared" si="24"/>
        <v>6.5709291865242729</v>
      </c>
      <c r="DS29" s="188">
        <f t="shared" si="25"/>
        <v>37.876068170322462</v>
      </c>
      <c r="DT29" s="188">
        <f t="shared" si="26"/>
        <v>68.809497733993013</v>
      </c>
      <c r="DU29" s="188">
        <f t="shared" si="27"/>
        <v>12.775168471781228</v>
      </c>
      <c r="DV29" s="188">
        <f t="shared" si="28"/>
        <v>100</v>
      </c>
      <c r="DW29" s="188">
        <f t="shared" si="29"/>
        <v>114.1308154285865</v>
      </c>
      <c r="DY29" s="181">
        <f t="shared" si="30"/>
        <v>0</v>
      </c>
      <c r="DZ29" s="181">
        <f t="shared" si="127"/>
        <v>1.5509006455718524</v>
      </c>
      <c r="EA29" s="185">
        <f t="shared" si="31"/>
        <v>7.3644891372865326E-2</v>
      </c>
      <c r="EB29" s="185">
        <f>AG29+AH29+AL29-Intermediate!FJ29-Intermediate!FM29</f>
        <v>1.0702334610012627</v>
      </c>
      <c r="EC29" s="185">
        <f>AI29+AJ29-Intermediate!FK29</f>
        <v>0.42599963192770385</v>
      </c>
      <c r="ED29" s="240">
        <f t="shared" si="32"/>
        <v>9.1576339860277509E-3</v>
      </c>
      <c r="EE29" s="240">
        <f>Intermediate!FJ29+Intermediate!FK29+Intermediate!FM29</f>
        <v>0.26571728514890547</v>
      </c>
      <c r="EF29" s="240">
        <f t="shared" si="33"/>
        <v>1.569877984301832</v>
      </c>
      <c r="EG29" s="240">
        <f t="shared" si="34"/>
        <v>1.5509006455718524</v>
      </c>
      <c r="EH29" s="240">
        <f t="shared" si="35"/>
        <v>3.3956535490086175</v>
      </c>
      <c r="EI29" s="181">
        <f t="shared" si="36"/>
        <v>3.3956535490086175</v>
      </c>
      <c r="EK29" s="31">
        <f>DY29/Basicinfo!$G29*1000/100</f>
        <v>0</v>
      </c>
      <c r="EL29" s="31">
        <f>DZ29/Basicinfo!$G29*1000/100</f>
        <v>0.2842149333514889</v>
      </c>
      <c r="EM29" s="220">
        <f>EG29/Basicinfo!$G29*1000/100</f>
        <v>0.2842149333514889</v>
      </c>
      <c r="EN29" s="220">
        <f>ED29/Basicinfo!$G29*1000/100</f>
        <v>1.6782095877176703E-3</v>
      </c>
      <c r="EO29" s="220">
        <f>EF29/Basicinfo!$G29*1000/100</f>
        <v>0.28769268228255668</v>
      </c>
      <c r="EP29" s="220">
        <f>EE29/Basicinfo!$G29*1000/100</f>
        <v>4.8694815302684005E-2</v>
      </c>
      <c r="EQ29" s="220">
        <f>EH29/Basicinfo!$G29*1000/100</f>
        <v>0.6222806405244472</v>
      </c>
      <c r="ER29" s="31">
        <f>EI29/Basicinfo!$G29*1000/100</f>
        <v>0.6222806405244472</v>
      </c>
      <c r="ET29" s="188">
        <f t="shared" si="37"/>
        <v>0</v>
      </c>
      <c r="EU29" s="188">
        <f t="shared" si="38"/>
        <v>45.673111911686263</v>
      </c>
      <c r="EV29" s="223">
        <f t="shared" si="39"/>
        <v>45.673111911686263</v>
      </c>
      <c r="EW29" s="223">
        <f t="shared" si="40"/>
        <v>0.26968693519105857</v>
      </c>
      <c r="EX29" s="223">
        <f t="shared" si="41"/>
        <v>46.231983376518727</v>
      </c>
      <c r="EY29" s="223">
        <f t="shared" si="42"/>
        <v>7.8252177766039557</v>
      </c>
      <c r="EZ29" s="223">
        <f t="shared" si="43"/>
        <v>100</v>
      </c>
      <c r="FA29" s="188">
        <f t="shared" si="44"/>
        <v>100</v>
      </c>
      <c r="FC29" s="236">
        <f>Basicinfo!CT29</f>
        <v>5.7129032258064507</v>
      </c>
      <c r="FD29" s="181">
        <f>IF((Intermediate!CL29+Intermediate!CM29*3)/4&gt;11,(Intermediate!CL29+Intermediate!CM29*9)/10,(Intermediate!CL29+Intermediate!CM29*3)/4)</f>
        <v>2.942767172643352</v>
      </c>
      <c r="FF29" s="31">
        <f t="shared" si="45"/>
        <v>9.1576339860277509E-3</v>
      </c>
      <c r="FG29" s="31">
        <f t="shared" si="46"/>
        <v>8.1717114501093688E-2</v>
      </c>
      <c r="FH29" s="31">
        <f t="shared" si="47"/>
        <v>0</v>
      </c>
      <c r="FI29" s="31">
        <f>(AI29-(P29*450/1000000))*Parameters!$C$153</f>
        <v>0.30682849672712886</v>
      </c>
      <c r="FJ29" s="31"/>
      <c r="FK29" s="31">
        <f t="shared" si="48"/>
        <v>7.3644891372865326E-2</v>
      </c>
      <c r="FL29" s="31">
        <f t="shared" si="49"/>
        <v>1.0682661453917266</v>
      </c>
      <c r="FM29" s="31">
        <f>AM29*Parameters!$C$154</f>
        <v>0.46903064669315742</v>
      </c>
      <c r="FN29" s="31">
        <f>AN29*Parameters!$C$154</f>
        <v>0.43025937889450272</v>
      </c>
      <c r="FO29" s="31">
        <f>AO29*Parameters!$C$154</f>
        <v>0.49652055542700702</v>
      </c>
      <c r="FP29" s="31">
        <f>AQ29*Parameters!$C$155</f>
        <v>0</v>
      </c>
      <c r="FQ29" s="31">
        <f t="shared" si="50"/>
        <v>2.9354248629935094</v>
      </c>
      <c r="FS29" s="147">
        <f>DY29*Parameters!$C$155</f>
        <v>0</v>
      </c>
      <c r="FT29" s="147">
        <f>DZ29*Parameters!$C$154</f>
        <v>1.3958105810146673</v>
      </c>
      <c r="FU29" s="181">
        <f t="shared" si="51"/>
        <v>7.3644891372865326E-2</v>
      </c>
      <c r="FV29" s="181">
        <f t="shared" si="52"/>
        <v>1.0702334610012627</v>
      </c>
      <c r="FW29" s="31">
        <f t="shared" si="53"/>
        <v>0.30682849672712875</v>
      </c>
      <c r="FX29" s="181">
        <f t="shared" si="54"/>
        <v>9.1576339860277509E-3</v>
      </c>
      <c r="FY29" s="147">
        <f>Intermediate!FJ29+Intermediate!FM29</f>
        <v>7.9749798891557533E-2</v>
      </c>
      <c r="FZ29" s="181">
        <f t="shared" si="55"/>
        <v>1.4507068491012567</v>
      </c>
      <c r="GA29" s="147">
        <f t="shared" si="56"/>
        <v>1.3958105810146673</v>
      </c>
      <c r="GB29" s="181">
        <f t="shared" si="57"/>
        <v>2.9354248629935089</v>
      </c>
      <c r="GD29" s="147">
        <f>IF('River loads'!CH29&gt;0.99,1,0)</f>
        <v>1</v>
      </c>
      <c r="GE29" s="147">
        <f t="shared" si="58"/>
        <v>9.1576339860277509E-3</v>
      </c>
      <c r="GF29" s="147">
        <f t="shared" si="59"/>
        <v>8.1717114501093688E-2</v>
      </c>
      <c r="GG29" s="147">
        <f t="shared" si="60"/>
        <v>0</v>
      </c>
      <c r="GH29" s="147">
        <f t="shared" si="61"/>
        <v>0.44563206890359308</v>
      </c>
      <c r="GI29" s="147">
        <f t="shared" si="62"/>
        <v>0.16633504928145867</v>
      </c>
      <c r="GJ29" s="147">
        <f t="shared" si="63"/>
        <v>7.3644891372865326E-2</v>
      </c>
      <c r="GK29" s="147">
        <f t="shared" si="64"/>
        <v>1.0682661453917266</v>
      </c>
      <c r="GL29" s="147">
        <f t="shared" si="65"/>
        <v>0.5211451629923971</v>
      </c>
      <c r="GM29" s="270">
        <f t="shared" si="128"/>
        <v>0.47806597654944744</v>
      </c>
      <c r="GN29" s="270">
        <f t="shared" si="129"/>
        <v>0.55168950603000777</v>
      </c>
      <c r="GO29" s="147">
        <f t="shared" si="66"/>
        <v>0</v>
      </c>
      <c r="GP29" s="147">
        <f t="shared" si="67"/>
        <v>3.3956535490086175</v>
      </c>
      <c r="GQ29" s="147"/>
      <c r="GR29" s="147">
        <f t="shared" si="68"/>
        <v>9.1576339860277509E-3</v>
      </c>
      <c r="GS29" s="147">
        <f t="shared" si="69"/>
        <v>8.1717114501093688E-2</v>
      </c>
      <c r="GT29" s="147">
        <f t="shared" si="70"/>
        <v>0</v>
      </c>
      <c r="GU29" s="147">
        <f t="shared" si="71"/>
        <v>0.30682849672712886</v>
      </c>
      <c r="GV29" s="147">
        <f t="shared" si="72"/>
        <v>0</v>
      </c>
      <c r="GW29" s="147">
        <f t="shared" si="73"/>
        <v>7.3644891372865326E-2</v>
      </c>
      <c r="GX29" s="147">
        <f t="shared" si="74"/>
        <v>1.0682661453917266</v>
      </c>
      <c r="GY29" s="147">
        <f t="shared" si="75"/>
        <v>0.46903064669315742</v>
      </c>
      <c r="GZ29" s="147">
        <f t="shared" si="130"/>
        <v>0.43025937889450272</v>
      </c>
      <c r="HA29" s="147">
        <f t="shared" si="131"/>
        <v>0.49652055542700702</v>
      </c>
      <c r="HB29" s="147">
        <f t="shared" si="76"/>
        <v>0</v>
      </c>
      <c r="HC29" s="147">
        <f t="shared" si="77"/>
        <v>2.9354248629935094</v>
      </c>
      <c r="HD29" s="147"/>
      <c r="HE29" s="147">
        <f t="shared" si="78"/>
        <v>0</v>
      </c>
      <c r="HF29" s="147">
        <f t="shared" si="79"/>
        <v>1.5509006455718524</v>
      </c>
      <c r="HG29" s="147">
        <f t="shared" si="80"/>
        <v>7.3644891372865326E-2</v>
      </c>
      <c r="HH29" s="147">
        <f t="shared" si="81"/>
        <v>1.0702334610012627</v>
      </c>
      <c r="HI29" s="147">
        <f t="shared" si="82"/>
        <v>0.42599963192770385</v>
      </c>
      <c r="HJ29" s="147">
        <f t="shared" si="83"/>
        <v>9.1576339860277509E-3</v>
      </c>
      <c r="HK29" s="147">
        <f t="shared" si="84"/>
        <v>0.26571728514890547</v>
      </c>
      <c r="HL29" s="147">
        <f t="shared" si="85"/>
        <v>1.569877984301832</v>
      </c>
      <c r="HM29" s="147">
        <f t="shared" si="86"/>
        <v>1.5509006455718524</v>
      </c>
      <c r="HN29" s="147">
        <f t="shared" si="87"/>
        <v>3.3956535490086175</v>
      </c>
      <c r="HO29" s="147">
        <f t="shared" si="88"/>
        <v>3.3956535490086175</v>
      </c>
      <c r="HQ29" s="147">
        <f t="shared" si="89"/>
        <v>0</v>
      </c>
      <c r="HR29" s="147">
        <f t="shared" si="90"/>
        <v>1.3958105810146673</v>
      </c>
      <c r="HS29" s="147">
        <f t="shared" si="91"/>
        <v>7.3644891372865326E-2</v>
      </c>
      <c r="HT29" s="147">
        <f t="shared" si="92"/>
        <v>1.0702334610012627</v>
      </c>
      <c r="HU29" s="147">
        <f t="shared" si="93"/>
        <v>0.30682849672712875</v>
      </c>
      <c r="HV29" s="147">
        <f t="shared" si="94"/>
        <v>9.1576339860277509E-3</v>
      </c>
      <c r="HW29" s="147">
        <f t="shared" si="95"/>
        <v>7.9749798891557533E-2</v>
      </c>
      <c r="HX29" s="147">
        <f t="shared" si="96"/>
        <v>1.4507068491012567</v>
      </c>
      <c r="HY29" s="147">
        <f t="shared" si="97"/>
        <v>1.3958105810146673</v>
      </c>
      <c r="HZ29" s="147">
        <f t="shared" si="98"/>
        <v>2.9354248629935089</v>
      </c>
      <c r="IB29" s="147">
        <f>IF('River loads'!CI29&gt;0.99,1,0)</f>
        <v>0</v>
      </c>
      <c r="IC29">
        <f t="shared" si="99"/>
        <v>0</v>
      </c>
      <c r="ID29">
        <f t="shared" si="100"/>
        <v>0</v>
      </c>
      <c r="IE29">
        <f t="shared" si="101"/>
        <v>0</v>
      </c>
      <c r="IF29">
        <f t="shared" si="102"/>
        <v>0</v>
      </c>
      <c r="IG29">
        <f t="shared" si="103"/>
        <v>0</v>
      </c>
      <c r="IH29">
        <f t="shared" si="104"/>
        <v>0</v>
      </c>
      <c r="II29">
        <f t="shared" si="105"/>
        <v>0</v>
      </c>
      <c r="IJ29">
        <f t="shared" si="106"/>
        <v>0</v>
      </c>
      <c r="IK29">
        <f t="shared" si="132"/>
        <v>0</v>
      </c>
      <c r="IL29">
        <f t="shared" si="133"/>
        <v>0</v>
      </c>
      <c r="IM29">
        <f t="shared" si="107"/>
        <v>0</v>
      </c>
      <c r="IN29">
        <f t="shared" si="108"/>
        <v>0</v>
      </c>
      <c r="IP29">
        <f t="shared" si="109"/>
        <v>0</v>
      </c>
      <c r="IQ29">
        <f t="shared" si="110"/>
        <v>0</v>
      </c>
      <c r="IR29">
        <f t="shared" si="111"/>
        <v>0</v>
      </c>
      <c r="IS29">
        <f t="shared" si="112"/>
        <v>0</v>
      </c>
      <c r="IT29">
        <f t="shared" si="113"/>
        <v>0</v>
      </c>
      <c r="IU29">
        <f t="shared" si="114"/>
        <v>0</v>
      </c>
      <c r="IV29">
        <f t="shared" si="115"/>
        <v>0</v>
      </c>
      <c r="IW29">
        <f t="shared" si="116"/>
        <v>0</v>
      </c>
      <c r="IX29">
        <f t="shared" si="117"/>
        <v>0</v>
      </c>
    </row>
    <row r="30" spans="1:258">
      <c r="A30" s="39" t="str">
        <f>Basicinfo!A30</f>
        <v>Gosaubach</v>
      </c>
      <c r="B30" s="63">
        <f>Basicinfo!B30</f>
        <v>1220</v>
      </c>
      <c r="C30" s="63">
        <f>Basicinfo!C30</f>
        <v>4010</v>
      </c>
      <c r="D30" s="130">
        <f>Basicinfo!G30</f>
        <v>110.88603643899999</v>
      </c>
      <c r="E30" s="87">
        <f t="shared" si="118"/>
        <v>6.7734858766506187</v>
      </c>
      <c r="F30" s="19">
        <f>Intermediate!AR30</f>
        <v>9.3844212998585974E-2</v>
      </c>
      <c r="G30" s="19">
        <f>Intermediate!AU30</f>
        <v>1.8520983875317565</v>
      </c>
      <c r="H30" s="19">
        <f>Intermediate!AW30</f>
        <v>0.1184841479697276</v>
      </c>
      <c r="I30" s="19">
        <f>Intermediate!AZ30</f>
        <v>1.8104716051487516E-2</v>
      </c>
      <c r="J30" s="19">
        <f>Intermediate!BA30</f>
        <v>4.6845286505994483</v>
      </c>
      <c r="K30" s="19">
        <f>Intermediate!AC30</f>
        <v>1.5839445743969049E-3</v>
      </c>
      <c r="L30" s="19">
        <f>Intermediate!AO30</f>
        <v>2.8349694884867915E-3</v>
      </c>
      <c r="M30" s="19">
        <f>Intermediate!AP30</f>
        <v>2.0068474367296038E-3</v>
      </c>
      <c r="N30" s="19">
        <f t="shared" si="119"/>
        <v>6.7734858766506187</v>
      </c>
      <c r="O30" s="19">
        <f>Basicinfo!CB30+Basicinfo!CG30</f>
        <v>0</v>
      </c>
      <c r="P30" s="56">
        <f>Intermediate!BK30-Intermediate!BI30</f>
        <v>7.2529678013579542</v>
      </c>
      <c r="Q30" s="43">
        <f>Intermediate!BI30</f>
        <v>7631.0524542391004</v>
      </c>
      <c r="R30" s="88">
        <f t="shared" si="134"/>
        <v>7638.3054220404583</v>
      </c>
      <c r="S30" s="61">
        <f>Intermediate!F30*Intermediate!BO30/1000</f>
        <v>2.3483853336009295</v>
      </c>
      <c r="T30" s="19">
        <f>Intermediate!BU30*Intermediate!AU30*86.4*0.365</f>
        <v>31.631396650279068</v>
      </c>
      <c r="U30" s="19">
        <f>Intermediate!AW30*Intermediate!BS30*0.365*86.4</f>
        <v>2.0235528090446353</v>
      </c>
      <c r="V30" s="19">
        <f>(Basicinfo!BL30/1000000)*(Intermediate!BK30-Intermediate!BF30-Intermediate!BG30-Intermediate!BH30)*Intermediate!CV30</f>
        <v>5.4680781825931495E-2</v>
      </c>
      <c r="W30" s="19">
        <f>Intermediate!BI30*Parameters!$C$51/1000000</f>
        <v>0.19077631135597753</v>
      </c>
      <c r="X30" s="19">
        <f>Intermediate!AZ30*Intermediate!CG30*86.4*0.365</f>
        <v>0.57976874017689928</v>
      </c>
      <c r="Y30" s="19">
        <f>Intermediate!CM30*Intermediate!BA30*86.4*0.365+Parameters!$C$126*Intermediate!BB30*Basicinfo!P30/1000+Parameters!$C$127*Intermediate!BB30*Basicinfo!S30/1000</f>
        <v>76.779984679220021</v>
      </c>
      <c r="Z30" s="19">
        <f>Intermediate!DG30</f>
        <v>6.4319758802805702E-2</v>
      </c>
      <c r="AA30" s="19">
        <f>Intermediate!DI30</f>
        <v>1.3638271203971652</v>
      </c>
      <c r="AB30" s="19">
        <f>Intermediate!DK30</f>
        <v>0.12830682030224466</v>
      </c>
      <c r="AC30" s="19">
        <f t="shared" si="120"/>
        <v>115.16499900500568</v>
      </c>
      <c r="AD30" s="19">
        <f>Basicinfo!CC30+Basicinfo!CE30+Basicinfo!CH30+Basicinfo!CJ30</f>
        <v>0</v>
      </c>
      <c r="AE30" s="87">
        <f t="shared" si="135"/>
        <v>115.16499900500568</v>
      </c>
      <c r="AF30" s="56">
        <f>Intermediate!F30*Basicinfo!BD30/1000</f>
        <v>7.8045125407110616E-2</v>
      </c>
      <c r="AG30" s="43">
        <f>Intermediate!CA30*Intermediate!AU30*86.4*0.365</f>
        <v>0.87374104352562887</v>
      </c>
      <c r="AH30" s="43">
        <f>Intermediate!AW30*Intermediate!BZ30*0.365*86.4</f>
        <v>2.8816132574867617E-2</v>
      </c>
      <c r="AI30" s="43">
        <f>(Intermediate!CU30/1000000)*(Intermediate!BK30-Intermediate!BF30-Intermediate!BG30-Intermediate!BH30)*Intermediate!CW30</f>
        <v>1.04675942540342E-2</v>
      </c>
      <c r="AJ30" s="43">
        <f>Intermediate!BF30*Parameters!$C$52/1000000+(Intermediate!BG30+Intermediate!BH30)*Intermediate!CX30/1000000</f>
        <v>4.4441592570137889</v>
      </c>
      <c r="AK30" s="43">
        <f>Intermediate!AZ30*Intermediate!CH30*86.4*0.365</f>
        <v>0.10317277311259448</v>
      </c>
      <c r="AL30" s="58">
        <f>Intermediate!CR30*Intermediate!BA30*86.4*0.365</f>
        <v>0.5962248479449036</v>
      </c>
      <c r="AM30" s="43">
        <f>Intermediate!DH30</f>
        <v>1.9522618195001309E-2</v>
      </c>
      <c r="AN30" s="42">
        <f>Intermediate!DJ30</f>
        <v>0.23558376949801074</v>
      </c>
      <c r="AO30" s="42">
        <f>Intermediate!DL30</f>
        <v>2.2791001471679766E-2</v>
      </c>
      <c r="AP30" s="42">
        <f t="shared" si="122"/>
        <v>6.4125241629976202</v>
      </c>
      <c r="AQ30" s="43">
        <f>Basicinfo!CD30+Basicinfo!CF30+Basicinfo!CI30+Basicinfo!CK30</f>
        <v>0</v>
      </c>
      <c r="AR30" s="83">
        <f t="shared" si="136"/>
        <v>6.4125241629976202</v>
      </c>
      <c r="AS30" s="19">
        <f>F30*86400*365/(Basicinfo!G30*1000000)*1000</f>
        <v>26.689303686595874</v>
      </c>
      <c r="AT30" s="19">
        <f>G30*86400*365/(Basicinfo!G30*1000000)*1000</f>
        <v>526.73696909829061</v>
      </c>
      <c r="AU30" s="19">
        <f>H30*86400*365/(Basicinfo!G30*1000000)*1000</f>
        <v>33.696903689301237</v>
      </c>
      <c r="AV30" s="19">
        <f>I30*86400*365/(Basicinfo!G30*1000000)*1000</f>
        <v>5.1489830797027212</v>
      </c>
      <c r="AW30" s="19">
        <f>J30*86400*365/(Basicinfo!G30*1000000)*1000</f>
        <v>1332.2804229419212</v>
      </c>
      <c r="AX30" s="53">
        <f>K30*86400*365/(Basicinfo!G30*1000000)*1000</f>
        <v>0.45047399746910155</v>
      </c>
      <c r="AY30" s="53">
        <f>L30*86400*365/(Basicinfo!G30*1000000)*1000</f>
        <v>0.80626560981013751</v>
      </c>
      <c r="AZ30" s="53">
        <f>M30*86400*365/(Basicinfo!G30*1000000)*1000</f>
        <v>0.57074761437180954</v>
      </c>
      <c r="BA30" s="19">
        <f t="shared" si="123"/>
        <v>1926.3800697174629</v>
      </c>
      <c r="BB30" s="19">
        <f>O30*86400*365/(Basicinfo!G30*1000000)*1000</f>
        <v>0</v>
      </c>
      <c r="BC30" s="53">
        <f t="shared" si="137"/>
        <v>1926.3800697174629</v>
      </c>
      <c r="BD30" s="56">
        <f>P30/(Basicinfo!G30*100)*1000</f>
        <v>0.65409207816242187</v>
      </c>
      <c r="BE30" s="43">
        <f>Q30/(Basicinfo!G30*100)*1000</f>
        <v>688.18876562848857</v>
      </c>
      <c r="BF30" s="58">
        <f t="shared" si="138"/>
        <v>688.84285770665099</v>
      </c>
      <c r="BG30" s="61">
        <f>S30/(Basicinfo!G30*100)*1000000</f>
        <v>211.78368431383242</v>
      </c>
      <c r="BH30" s="19">
        <f>T30/(Basicinfo!G30*100)*1000000</f>
        <v>2852.604138996343</v>
      </c>
      <c r="BI30" s="19">
        <f>U30/(Basicinfo!G30*100)*1000000</f>
        <v>182.48941652430878</v>
      </c>
      <c r="BJ30" s="19">
        <f>V30/(Basicinfo!G30*100)*1000000</f>
        <v>4.9312594788264601</v>
      </c>
      <c r="BK30" s="19">
        <f>W30/(Basicinfo!G30*100)*1000000</f>
        <v>17.204719140712214</v>
      </c>
      <c r="BL30" s="19">
        <f>X30/(Basicinfo!G30*100)*1000000</f>
        <v>52.285099079705894</v>
      </c>
      <c r="BM30" s="19">
        <f>Y30/(Basicinfo!G30*100)*1000000</f>
        <v>6924.2248298285776</v>
      </c>
      <c r="BN30" s="53">
        <f>Z30/(Basicinfo!G30*100)*1000000</f>
        <v>5.8005282602186732</v>
      </c>
      <c r="BO30" s="53">
        <f>AA30/(Basicinfo!G30*100)*1000000</f>
        <v>122.99358550410682</v>
      </c>
      <c r="BP30" s="53">
        <f>AB30/(Basicinfo!G30*100)*1000000</f>
        <v>11.571052985812878</v>
      </c>
      <c r="BQ30" s="19">
        <f t="shared" si="125"/>
        <v>10385.888314112446</v>
      </c>
      <c r="BR30" s="19">
        <f>AD30/(Basicinfo!G30*100)*1000000</f>
        <v>0</v>
      </c>
      <c r="BS30" s="53">
        <f t="shared" si="139"/>
        <v>10385.888314112446</v>
      </c>
      <c r="BT30" s="56">
        <f>AF30/(Basicinfo!G30*100)*1000000</f>
        <v>7.0383186119240868</v>
      </c>
      <c r="BU30" s="43">
        <f>AG30/(Basicinfo!G30*100)*1000000</f>
        <v>78.796309398820142</v>
      </c>
      <c r="BV30" s="43">
        <f>AH30/(Basicinfo!G30*100)*1000000</f>
        <v>2.5987160782611056</v>
      </c>
      <c r="BW30" s="43">
        <f>AI30/(Basicinfo!G30*100)*1000000</f>
        <v>0.94399570858433324</v>
      </c>
      <c r="BX30" s="43">
        <f>AJ30/(Basicinfo!G30*100)*1000000</f>
        <v>400.78619452311153</v>
      </c>
      <c r="BY30" s="58">
        <f>AK30/(Basicinfo!G30*100)*1000000</f>
        <v>9.3043972375504023</v>
      </c>
      <c r="BZ30" s="58">
        <f>AL30/(Basicinfo!G30*100)*1000000</f>
        <v>53.769154989401706</v>
      </c>
      <c r="CA30" s="58">
        <f>AM30/(Basicinfo!G30*100)*1000000</f>
        <v>1.760602039891739</v>
      </c>
      <c r="CB30" s="58">
        <f>AN30/(Basicinfo!G30*100)*1000000</f>
        <v>21.245575823932416</v>
      </c>
      <c r="CC30" s="58">
        <f>AO30/(Basicinfo!G30*100)*1000000</f>
        <v>2.0553536047992318</v>
      </c>
      <c r="CD30" s="58">
        <f t="shared" si="126"/>
        <v>578.29861801627681</v>
      </c>
      <c r="CE30" s="58">
        <f>AQ30/(Basicinfo!G30*100)*1000000</f>
        <v>0</v>
      </c>
      <c r="CF30" s="43">
        <f t="shared" si="140"/>
        <v>578.29861801627681</v>
      </c>
      <c r="CG30" s="84"/>
      <c r="CH30" s="84">
        <f t="shared" si="8"/>
        <v>0</v>
      </c>
      <c r="CI30" s="146">
        <f t="shared" si="9"/>
        <v>1.5564536995022156</v>
      </c>
      <c r="CJ30" s="200">
        <f>Intermediate!EW30+Intermediate!EY30+Intermediate!FD30</f>
        <v>45.319899099749705</v>
      </c>
      <c r="CK30" s="180">
        <f>Intermediate!FA30+Intermediate!FF30</f>
        <v>2.9980396678466463</v>
      </c>
      <c r="CL30" s="180">
        <f t="shared" si="10"/>
        <v>0.57976874017689928</v>
      </c>
      <c r="CM30" s="180">
        <f t="shared" si="11"/>
        <v>6.3638036269815181</v>
      </c>
      <c r="CN30" s="202">
        <f>Intermediate!EX30+Intermediate!EZ30+Intermediate!FE30</f>
        <v>34.095346369627535</v>
      </c>
      <c r="CO30" s="180">
        <f>Intermediate!FB30+Intermediate!FG30</f>
        <v>2.19334565226711</v>
      </c>
      <c r="CP30" s="213">
        <f>Intermediate!EP30+Intermediate!EQ30+Intermediate!ER30+Intermediate!ES30+Intermediate!ET30+Intermediate!EU30+Intermediate!EV30+W30</f>
        <v>22.058342148854049</v>
      </c>
      <c r="CQ30" s="212">
        <f t="shared" si="12"/>
        <v>36.288692021894647</v>
      </c>
      <c r="CR30" s="212">
        <f t="shared" si="13"/>
        <v>55.26151113475477</v>
      </c>
      <c r="CS30" s="211">
        <f t="shared" si="14"/>
        <v>6.4319758802805702E-2</v>
      </c>
      <c r="CT30" s="212">
        <f t="shared" si="15"/>
        <v>113.67286506430628</v>
      </c>
      <c r="CU30" s="84"/>
      <c r="CV30" s="31">
        <f t="shared" si="16"/>
        <v>115.16499900500568</v>
      </c>
      <c r="CW30" s="31">
        <f>CH30/Basicinfo!$G30*1000/100</f>
        <v>0</v>
      </c>
      <c r="CX30" s="31">
        <f>CI30/Basicinfo!$G30*1000/100</f>
        <v>0.14036516675013838</v>
      </c>
      <c r="CY30" s="31">
        <f>CS30/Basicinfo!$G30*1000/100</f>
        <v>5.8005282602186722E-3</v>
      </c>
      <c r="CZ30" s="31">
        <f>CN30/Basicinfo!$G30*1000/100</f>
        <v>3.0748097293912995</v>
      </c>
      <c r="DA30" s="31">
        <f>CO30/Basicinfo!$G30*1000/100</f>
        <v>0.19780179026181544</v>
      </c>
      <c r="DB30" s="31">
        <f>CQ30/Basicinfo!$G30*1000/100</f>
        <v>3.2726115196531151</v>
      </c>
      <c r="DC30" s="31">
        <f>CJ30/Basicinfo!$G30*1000/100</f>
        <v>4.0870699824031345</v>
      </c>
      <c r="DD30" s="31">
        <f>CK30/Basicinfo!$G30*1000/100</f>
        <v>0.27037125359746367</v>
      </c>
      <c r="DE30" s="31">
        <f>CM30/Basicinfo!$G30*1000/100</f>
        <v>0.57390486948122987</v>
      </c>
      <c r="DF30" s="31">
        <f>CR30/Basicinfo!$G30*1000/100</f>
        <v>4.9836312045615339</v>
      </c>
      <c r="DG30" s="31">
        <f>CP30/Basicinfo!$G30*1000/100</f>
        <v>1.9892804231476577</v>
      </c>
      <c r="DH30" s="31">
        <f>CT30/Basicinfo!$G30*1000/100</f>
        <v>10.251323675622524</v>
      </c>
      <c r="DI30" s="31">
        <f>CV30/Basicinfo!$G30*1000/100</f>
        <v>10.385888314112446</v>
      </c>
      <c r="DJ30" s="31"/>
      <c r="DK30" s="188">
        <f t="shared" si="17"/>
        <v>0</v>
      </c>
      <c r="DL30" s="188">
        <f t="shared" si="18"/>
        <v>1.3692394386485365</v>
      </c>
      <c r="DM30" s="188">
        <f t="shared" si="19"/>
        <v>5.6583212507592864E-2</v>
      </c>
      <c r="DN30" s="188">
        <f t="shared" si="20"/>
        <v>29.994270268757045</v>
      </c>
      <c r="DO30" s="188">
        <f t="shared" si="21"/>
        <v>1.9295243865159066</v>
      </c>
      <c r="DP30" s="188">
        <f t="shared" si="22"/>
        <v>31.923794655272957</v>
      </c>
      <c r="DQ30" s="188">
        <f t="shared" si="23"/>
        <v>39.868704878786701</v>
      </c>
      <c r="DR30" s="188">
        <f t="shared" si="24"/>
        <v>2.6374277327756408</v>
      </c>
      <c r="DS30" s="188">
        <f t="shared" si="25"/>
        <v>5.5983489317186015</v>
      </c>
      <c r="DT30" s="188">
        <f t="shared" si="26"/>
        <v>48.61451420573642</v>
      </c>
      <c r="DU30" s="188">
        <f t="shared" si="27"/>
        <v>19.405107926483023</v>
      </c>
      <c r="DV30" s="188">
        <f t="shared" si="28"/>
        <v>100</v>
      </c>
      <c r="DW30" s="188">
        <f t="shared" si="29"/>
        <v>101.31265622614094</v>
      </c>
      <c r="DY30" s="181">
        <f t="shared" si="30"/>
        <v>0</v>
      </c>
      <c r="DZ30" s="181">
        <f t="shared" si="127"/>
        <v>0.27789738916469181</v>
      </c>
      <c r="EA30" s="185">
        <f t="shared" si="31"/>
        <v>0.10317277311259448</v>
      </c>
      <c r="EB30" s="185">
        <f>AG30+AH30+AL30-Intermediate!FJ30-Intermediate!FM30</f>
        <v>0.65868000199074184</v>
      </c>
      <c r="EC30" s="185">
        <f>AI30+AJ30-Intermediate!FK30</f>
        <v>1.9727990970492826E-3</v>
      </c>
      <c r="ED30" s="240">
        <f t="shared" si="32"/>
        <v>7.8045125407110616E-2</v>
      </c>
      <c r="EE30" s="240">
        <f>Intermediate!FJ30+Intermediate!FK30+Intermediate!FM30</f>
        <v>5.2927560742254318</v>
      </c>
      <c r="EF30" s="240">
        <f t="shared" si="33"/>
        <v>0.76382557420038566</v>
      </c>
      <c r="EG30" s="240">
        <f t="shared" si="34"/>
        <v>0.27789738916469181</v>
      </c>
      <c r="EH30" s="240">
        <f t="shared" si="35"/>
        <v>6.4125241629976202</v>
      </c>
      <c r="EI30" s="181">
        <f t="shared" si="36"/>
        <v>6.4125241629976202</v>
      </c>
      <c r="EK30" s="31">
        <f>DY30/Basicinfo!$G30*1000/100</f>
        <v>0</v>
      </c>
      <c r="EL30" s="31">
        <f>DZ30/Basicinfo!$G30*1000/100</f>
        <v>2.5061531468623385E-2</v>
      </c>
      <c r="EM30" s="220">
        <f>EG30/Basicinfo!$G30*1000/100</f>
        <v>2.5061531468623385E-2</v>
      </c>
      <c r="EN30" s="220">
        <f>ED30/Basicinfo!$G30*1000/100</f>
        <v>7.0383186119240869E-3</v>
      </c>
      <c r="EO30" s="220">
        <f>EF30/Basicinfo!$G30*1000/100</f>
        <v>6.8883837742778106E-2</v>
      </c>
      <c r="EP30" s="220">
        <f>EE30/Basicinfo!$G30*1000/100</f>
        <v>0.47731493019295113</v>
      </c>
      <c r="EQ30" s="220">
        <f>EH30/Basicinfo!$G30*1000/100</f>
        <v>0.5782986180162768</v>
      </c>
      <c r="ER30" s="31">
        <f>EI30/Basicinfo!$G30*1000/100</f>
        <v>0.5782986180162768</v>
      </c>
      <c r="ET30" s="188">
        <f t="shared" si="37"/>
        <v>0</v>
      </c>
      <c r="EU30" s="188">
        <f t="shared" si="38"/>
        <v>4.3336661523749314</v>
      </c>
      <c r="EV30" s="223">
        <f t="shared" si="39"/>
        <v>4.3336661523749314</v>
      </c>
      <c r="EW30" s="223">
        <f t="shared" si="40"/>
        <v>1.2170733929933042</v>
      </c>
      <c r="EX30" s="223">
        <f t="shared" si="41"/>
        <v>11.911465045354699</v>
      </c>
      <c r="EY30" s="223">
        <f t="shared" si="42"/>
        <v>82.537795409277052</v>
      </c>
      <c r="EZ30" s="223">
        <f t="shared" si="43"/>
        <v>100</v>
      </c>
      <c r="FA30" s="188">
        <f t="shared" si="44"/>
        <v>100</v>
      </c>
      <c r="FC30" s="236">
        <f>Basicinfo!CT30</f>
        <v>0.53516129032258064</v>
      </c>
      <c r="FD30" s="181">
        <f>IF((Intermediate!CL30+Intermediate!CM30*3)/4&gt;11,(Intermediate!CL30+Intermediate!CM30*9)/10,(Intermediate!CL30+Intermediate!CM30*3)/4)</f>
        <v>0.51784358059297608</v>
      </c>
      <c r="FF30" s="31">
        <f t="shared" si="45"/>
        <v>7.8045125407110616E-2</v>
      </c>
      <c r="FG30" s="31">
        <f t="shared" si="46"/>
        <v>0.87374104352562887</v>
      </c>
      <c r="FH30" s="31">
        <f t="shared" si="47"/>
        <v>2.8816132574867617E-2</v>
      </c>
      <c r="FI30" s="31">
        <f>(AI30-(P30*450/1000000))*Parameters!$C$153</f>
        <v>5.7630069947384975E-3</v>
      </c>
      <c r="FJ30" s="31"/>
      <c r="FK30" s="31">
        <f t="shared" si="48"/>
        <v>0.10317277311259448</v>
      </c>
      <c r="FL30" s="31">
        <f t="shared" si="49"/>
        <v>0.5962248479449036</v>
      </c>
      <c r="FM30" s="31">
        <f>AM30*Parameters!$C$154</f>
        <v>1.7570356375501178E-2</v>
      </c>
      <c r="FN30" s="31">
        <f>AN30*Parameters!$C$154</f>
        <v>0.21202539254820968</v>
      </c>
      <c r="FO30" s="31">
        <f>AO30*Parameters!$C$154</f>
        <v>2.0511901324511791E-2</v>
      </c>
      <c r="FP30" s="31">
        <f>AQ30*Parameters!$C$155</f>
        <v>0</v>
      </c>
      <c r="FQ30" s="31">
        <f t="shared" si="50"/>
        <v>1.9358705798080664</v>
      </c>
      <c r="FS30" s="147">
        <f>DY30*Parameters!$C$155</f>
        <v>0</v>
      </c>
      <c r="FT30" s="147">
        <f>DZ30*Parameters!$C$154</f>
        <v>0.25010765024822262</v>
      </c>
      <c r="FU30" s="181">
        <f t="shared" si="51"/>
        <v>0.10317277311259448</v>
      </c>
      <c r="FV30" s="181">
        <f t="shared" si="52"/>
        <v>0.65868000199074184</v>
      </c>
      <c r="FW30" s="31">
        <f t="shared" si="53"/>
        <v>5.7630069947384177E-3</v>
      </c>
      <c r="FX30" s="181">
        <f t="shared" si="54"/>
        <v>7.8045125407110616E-2</v>
      </c>
      <c r="FY30" s="147">
        <f>Intermediate!FJ30+Intermediate!FM30</f>
        <v>0.84010202205465845</v>
      </c>
      <c r="FZ30" s="181">
        <f t="shared" si="55"/>
        <v>0.76761578209807479</v>
      </c>
      <c r="GA30" s="147">
        <f t="shared" si="56"/>
        <v>0.25010765024822262</v>
      </c>
      <c r="GB30" s="181">
        <f t="shared" si="57"/>
        <v>1.9358705798080664</v>
      </c>
      <c r="GD30" s="147">
        <f>IF('River loads'!CH30&gt;0.99,1,0)</f>
        <v>0</v>
      </c>
      <c r="GE30" s="147">
        <f t="shared" si="58"/>
        <v>0</v>
      </c>
      <c r="GF30" s="147">
        <f t="shared" si="59"/>
        <v>0</v>
      </c>
      <c r="GG30" s="147">
        <f t="shared" si="60"/>
        <v>0</v>
      </c>
      <c r="GH30" s="147">
        <f t="shared" si="61"/>
        <v>0</v>
      </c>
      <c r="GI30" s="147">
        <f t="shared" si="62"/>
        <v>0</v>
      </c>
      <c r="GJ30" s="147">
        <f t="shared" si="63"/>
        <v>0</v>
      </c>
      <c r="GK30" s="147">
        <f t="shared" si="64"/>
        <v>0</v>
      </c>
      <c r="GL30" s="147">
        <f t="shared" si="65"/>
        <v>0</v>
      </c>
      <c r="GM30" s="270">
        <f t="shared" si="128"/>
        <v>0</v>
      </c>
      <c r="GN30" s="270">
        <f t="shared" si="129"/>
        <v>0</v>
      </c>
      <c r="GO30" s="147">
        <f t="shared" si="66"/>
        <v>0</v>
      </c>
      <c r="GP30" s="147">
        <f t="shared" si="67"/>
        <v>0</v>
      </c>
      <c r="GQ30" s="147"/>
      <c r="GR30" s="147">
        <f t="shared" si="68"/>
        <v>0</v>
      </c>
      <c r="GS30" s="147">
        <f t="shared" si="69"/>
        <v>0</v>
      </c>
      <c r="GT30" s="147">
        <f t="shared" si="70"/>
        <v>0</v>
      </c>
      <c r="GU30" s="147">
        <f t="shared" si="71"/>
        <v>0</v>
      </c>
      <c r="GV30" s="147">
        <f t="shared" si="72"/>
        <v>0</v>
      </c>
      <c r="GW30" s="147">
        <f t="shared" si="73"/>
        <v>0</v>
      </c>
      <c r="GX30" s="147">
        <f t="shared" si="74"/>
        <v>0</v>
      </c>
      <c r="GY30" s="147">
        <f t="shared" si="75"/>
        <v>0</v>
      </c>
      <c r="GZ30" s="147">
        <f t="shared" si="130"/>
        <v>0</v>
      </c>
      <c r="HA30" s="147">
        <f t="shared" si="131"/>
        <v>0</v>
      </c>
      <c r="HB30" s="147">
        <f t="shared" si="76"/>
        <v>0</v>
      </c>
      <c r="HC30" s="147">
        <f t="shared" si="77"/>
        <v>0</v>
      </c>
      <c r="HD30" s="147"/>
      <c r="HE30" s="147">
        <f t="shared" si="78"/>
        <v>0</v>
      </c>
      <c r="HF30" s="147">
        <f t="shared" si="79"/>
        <v>0</v>
      </c>
      <c r="HG30" s="147">
        <f t="shared" si="80"/>
        <v>0</v>
      </c>
      <c r="HH30" s="147">
        <f t="shared" si="81"/>
        <v>0</v>
      </c>
      <c r="HI30" s="147">
        <f t="shared" si="82"/>
        <v>0</v>
      </c>
      <c r="HJ30" s="147">
        <f t="shared" si="83"/>
        <v>0</v>
      </c>
      <c r="HK30" s="147">
        <f t="shared" si="84"/>
        <v>0</v>
      </c>
      <c r="HL30" s="147">
        <f t="shared" si="85"/>
        <v>0</v>
      </c>
      <c r="HM30" s="147">
        <f t="shared" si="86"/>
        <v>0</v>
      </c>
      <c r="HN30" s="147">
        <f t="shared" si="87"/>
        <v>0</v>
      </c>
      <c r="HO30" s="147">
        <f t="shared" si="88"/>
        <v>0</v>
      </c>
      <c r="HQ30" s="147">
        <f t="shared" si="89"/>
        <v>0</v>
      </c>
      <c r="HR30" s="147">
        <f t="shared" si="90"/>
        <v>0</v>
      </c>
      <c r="HS30" s="147">
        <f t="shared" si="91"/>
        <v>0</v>
      </c>
      <c r="HT30" s="147">
        <f t="shared" si="92"/>
        <v>0</v>
      </c>
      <c r="HU30" s="147">
        <f t="shared" si="93"/>
        <v>0</v>
      </c>
      <c r="HV30" s="147">
        <f t="shared" si="94"/>
        <v>0</v>
      </c>
      <c r="HW30" s="147">
        <f t="shared" si="95"/>
        <v>0</v>
      </c>
      <c r="HX30" s="147">
        <f t="shared" si="96"/>
        <v>0</v>
      </c>
      <c r="HY30" s="147">
        <f t="shared" si="97"/>
        <v>0</v>
      </c>
      <c r="HZ30" s="147">
        <f t="shared" si="98"/>
        <v>0</v>
      </c>
      <c r="IB30" s="147">
        <f>IF('River loads'!CI30&gt;0.99,1,0)</f>
        <v>0</v>
      </c>
      <c r="IC30">
        <f t="shared" si="99"/>
        <v>0</v>
      </c>
      <c r="ID30">
        <f t="shared" si="100"/>
        <v>0</v>
      </c>
      <c r="IE30">
        <f t="shared" si="101"/>
        <v>0</v>
      </c>
      <c r="IF30">
        <f t="shared" si="102"/>
        <v>0</v>
      </c>
      <c r="IG30">
        <f t="shared" si="103"/>
        <v>0</v>
      </c>
      <c r="IH30">
        <f t="shared" si="104"/>
        <v>0</v>
      </c>
      <c r="II30">
        <f t="shared" si="105"/>
        <v>0</v>
      </c>
      <c r="IJ30">
        <f t="shared" si="106"/>
        <v>0</v>
      </c>
      <c r="IK30">
        <f t="shared" si="132"/>
        <v>0</v>
      </c>
      <c r="IL30">
        <f t="shared" si="133"/>
        <v>0</v>
      </c>
      <c r="IM30">
        <f t="shared" si="107"/>
        <v>0</v>
      </c>
      <c r="IN30">
        <f t="shared" si="108"/>
        <v>0</v>
      </c>
      <c r="IP30">
        <f t="shared" si="109"/>
        <v>0</v>
      </c>
      <c r="IQ30">
        <f t="shared" si="110"/>
        <v>0</v>
      </c>
      <c r="IR30">
        <f t="shared" si="111"/>
        <v>0</v>
      </c>
      <c r="IS30">
        <f t="shared" si="112"/>
        <v>0</v>
      </c>
      <c r="IT30">
        <f t="shared" si="113"/>
        <v>0</v>
      </c>
      <c r="IU30">
        <f t="shared" si="114"/>
        <v>0</v>
      </c>
      <c r="IV30">
        <f t="shared" si="115"/>
        <v>0</v>
      </c>
      <c r="IW30">
        <f t="shared" si="116"/>
        <v>0</v>
      </c>
      <c r="IX30">
        <f t="shared" si="117"/>
        <v>0</v>
      </c>
    </row>
    <row r="31" spans="1:258">
      <c r="A31" s="39" t="str">
        <f>Basicinfo!A31</f>
        <v>Ischler Ache</v>
      </c>
      <c r="B31" s="63">
        <f>Basicinfo!B31</f>
        <v>1230</v>
      </c>
      <c r="C31" s="63">
        <f>Basicinfo!C31</f>
        <v>4010</v>
      </c>
      <c r="D31" s="130">
        <f>Basicinfo!G31</f>
        <v>253.62590142799999</v>
      </c>
      <c r="E31" s="87">
        <f t="shared" si="118"/>
        <v>11.489465211834601</v>
      </c>
      <c r="F31" s="19">
        <f>Intermediate!AR31</f>
        <v>0.52943352385054721</v>
      </c>
      <c r="G31" s="19">
        <f>Intermediate!AU31</f>
        <v>2.9027471660200033</v>
      </c>
      <c r="H31" s="19">
        <f>Intermediate!AW31</f>
        <v>1.5300673167880566E-2</v>
      </c>
      <c r="I31" s="19">
        <f>Intermediate!AZ31</f>
        <v>3.2399054796206188E-2</v>
      </c>
      <c r="J31" s="19">
        <f>Intermediate!BA31</f>
        <v>7.97415745925192</v>
      </c>
      <c r="K31" s="19">
        <f>Intermediate!AC31</f>
        <v>9.3887829123465733E-3</v>
      </c>
      <c r="L31" s="19">
        <f>Intermediate!AO31</f>
        <v>1.4986773162044527E-2</v>
      </c>
      <c r="M31" s="19">
        <f>Intermediate!AP31</f>
        <v>1.1051778673652314E-2</v>
      </c>
      <c r="N31" s="19">
        <f t="shared" si="119"/>
        <v>11.489465211834601</v>
      </c>
      <c r="O31" s="19">
        <f>Basicinfo!CB31+Basicinfo!CG31</f>
        <v>0</v>
      </c>
      <c r="P31" s="56">
        <f>Intermediate!BK31-Intermediate!BI31</f>
        <v>16.584375802747445</v>
      </c>
      <c r="Q31" s="43">
        <f>Intermediate!BI31</f>
        <v>1817.4037136428053</v>
      </c>
      <c r="R31" s="88">
        <f t="shared" si="134"/>
        <v>1833.9880894455528</v>
      </c>
      <c r="S31" s="61">
        <f>Intermediate!F31*Intermediate!BO31/1000</f>
        <v>22.420481661115069</v>
      </c>
      <c r="T31" s="19">
        <f>Intermediate!BU31*Intermediate!AU31*86.4*0.365</f>
        <v>76.370916250741317</v>
      </c>
      <c r="U31" s="19">
        <f>Intermediate!AW31*Intermediate!BS31*0.365*86.4</f>
        <v>0.40254926133784003</v>
      </c>
      <c r="V31" s="19">
        <f>(Basicinfo!BL31/1000000)*(Intermediate!BK31-Intermediate!BF31-Intermediate!BG31-Intermediate!BH31)*Intermediate!CV31</f>
        <v>0.28447510906783258</v>
      </c>
      <c r="W31" s="19">
        <f>Intermediate!BI31*Parameters!$C$51/1000000</f>
        <v>4.5435092841070134E-2</v>
      </c>
      <c r="X31" s="19">
        <f>Intermediate!AZ31*Intermediate!CG31*86.4*0.365</f>
        <v>2.3786953106991793</v>
      </c>
      <c r="Y31" s="19">
        <f>Intermediate!CM31*Intermediate!BA31*86.4*0.365+Parameters!$C$126*Intermediate!BB31*Basicinfo!P31/1000+Parameters!$C$127*Intermediate!BB31*Basicinfo!S31/1000</f>
        <v>198.26066900715705</v>
      </c>
      <c r="Z31" s="19">
        <f>Intermediate!DG31</f>
        <v>0.46713467331020825</v>
      </c>
      <c r="AA31" s="19">
        <f>Intermediate!DI31</f>
        <v>6.6519759300239301</v>
      </c>
      <c r="AB31" s="19">
        <f>Intermediate!DK31</f>
        <v>0.7888764795938582</v>
      </c>
      <c r="AC31" s="19">
        <f t="shared" si="120"/>
        <v>308.07120877588738</v>
      </c>
      <c r="AD31" s="19">
        <f>Basicinfo!CC31+Basicinfo!CE31+Basicinfo!CH31+Basicinfo!CJ31</f>
        <v>0</v>
      </c>
      <c r="AE31" s="87">
        <f t="shared" si="135"/>
        <v>308.07120877588738</v>
      </c>
      <c r="AF31" s="56">
        <f>Intermediate!F31*Basicinfo!BD31/1000</f>
        <v>0.53452295108844272</v>
      </c>
      <c r="AG31" s="43">
        <f>Intermediate!CA31*Intermediate!AU31*86.4*0.365</f>
        <v>1.5057313339849754</v>
      </c>
      <c r="AH31" s="43">
        <f>Intermediate!AW31*Intermediate!BZ31*0.365*86.4</f>
        <v>2.956247135095744E-3</v>
      </c>
      <c r="AI31" s="43">
        <f>(Intermediate!CU31/1000000)*(Intermediate!BK31-Intermediate!BF31-Intermediate!BG31-Intermediate!BH31)*Intermediate!CW31</f>
        <v>7.1248613897052671E-2</v>
      </c>
      <c r="AJ31" s="43">
        <f>Intermediate!BF31*Parameters!$C$52/1000000+(Intermediate!BG31+Intermediate!BH31)*Intermediate!CX31/1000000</f>
        <v>0.82307961551585207</v>
      </c>
      <c r="AK31" s="43">
        <f>Intermediate!AZ31*Intermediate!CH31*86.4*0.365</f>
        <v>0.54195871074959867</v>
      </c>
      <c r="AL31" s="58">
        <f>Intermediate!CR31*Intermediate!BA31*86.4*0.365</f>
        <v>1.25702208602073</v>
      </c>
      <c r="AM31" s="43">
        <f>Intermediate!DH31</f>
        <v>0.12182778929529926</v>
      </c>
      <c r="AN31" s="42">
        <f>Intermediate!DJ31</f>
        <v>1.1451892592151165</v>
      </c>
      <c r="AO31" s="42">
        <f>Intermediate!DL31</f>
        <v>0.13259002144667503</v>
      </c>
      <c r="AP31" s="42">
        <f t="shared" si="122"/>
        <v>6.1361266283488378</v>
      </c>
      <c r="AQ31" s="43">
        <f>Basicinfo!CD31+Basicinfo!CF31+Basicinfo!CI31+Basicinfo!CK31</f>
        <v>0</v>
      </c>
      <c r="AR31" s="83">
        <f t="shared" si="136"/>
        <v>6.1361266283488378</v>
      </c>
      <c r="AS31" s="19">
        <f>F31*86400*365/(Basicinfo!G31*1000000)*1000</f>
        <v>65.830088780938738</v>
      </c>
      <c r="AT31" s="19">
        <f>G31*86400*365/(Basicinfo!G31*1000000)*1000</f>
        <v>360.92936136332958</v>
      </c>
      <c r="AU31" s="19">
        <f>H31*86400*365/(Basicinfo!G31*1000000)*1000</f>
        <v>1.9024950776143863</v>
      </c>
      <c r="AV31" s="19">
        <f>I31*86400*365/(Basicinfo!G31*1000000)*1000</f>
        <v>4.0285183267972</v>
      </c>
      <c r="AW31" s="19">
        <f>J31*86400*365/(Basicinfo!G31*1000000)*1000</f>
        <v>991.51162487383954</v>
      </c>
      <c r="AX31" s="53">
        <f>K31*86400*365/(Basicinfo!G31*1000000)*1000</f>
        <v>1.1674070205633742</v>
      </c>
      <c r="AY31" s="53">
        <f>L31*86400*365/(Basicinfo!G31*1000000)*1000</f>
        <v>1.8634645585376288</v>
      </c>
      <c r="AZ31" s="53">
        <f>M31*86400*365/(Basicinfo!G31*1000000)*1000</f>
        <v>1.3741849325718047</v>
      </c>
      <c r="BA31" s="19">
        <f t="shared" si="123"/>
        <v>1428.6071449341921</v>
      </c>
      <c r="BB31" s="19">
        <f>O31*86400*365/(Basicinfo!G31*1000000)*1000</f>
        <v>0</v>
      </c>
      <c r="BC31" s="53">
        <f t="shared" si="137"/>
        <v>1428.6071449341921</v>
      </c>
      <c r="BD31" s="56">
        <f>P31/(Basicinfo!G31*100)*1000</f>
        <v>0.65389125122362401</v>
      </c>
      <c r="BE31" s="43">
        <f>Q31/(Basicinfo!G31*100)*1000</f>
        <v>71.656865620199071</v>
      </c>
      <c r="BF31" s="58">
        <f t="shared" si="138"/>
        <v>72.310756871422697</v>
      </c>
      <c r="BG31" s="61">
        <f>S31/(Basicinfo!G31*100)*1000000</f>
        <v>883.9981064583759</v>
      </c>
      <c r="BH31" s="19">
        <f>T31/(Basicinfo!G31*100)*1000000</f>
        <v>3011.16391585982</v>
      </c>
      <c r="BI31" s="19">
        <f>U31/(Basicinfo!G31*100)*1000000</f>
        <v>15.871772522891035</v>
      </c>
      <c r="BJ31" s="19">
        <f>V31/(Basicinfo!G31*100)*1000000</f>
        <v>11.216327175818442</v>
      </c>
      <c r="BK31" s="19">
        <f>W31/(Basicinfo!G31*100)*1000000</f>
        <v>1.791421640504977</v>
      </c>
      <c r="BL31" s="19">
        <f>X31/(Basicinfo!G31*100)*1000000</f>
        <v>93.787554713706939</v>
      </c>
      <c r="BM31" s="19">
        <f>Y31/(Basicinfo!G31*100)*1000000</f>
        <v>7817.0513299659906</v>
      </c>
      <c r="BN31" s="53">
        <f>Z31/(Basicinfo!G31*100)*1000000</f>
        <v>18.418255812205352</v>
      </c>
      <c r="BO31" s="53">
        <f>AA31/(Basicinfo!G31*100)*1000000</f>
        <v>262.2751025258479</v>
      </c>
      <c r="BP31" s="53">
        <f>AB31/(Basicinfo!G31*100)*1000000</f>
        <v>31.103939903307023</v>
      </c>
      <c r="BQ31" s="19">
        <f t="shared" si="125"/>
        <v>12146.677726578468</v>
      </c>
      <c r="BR31" s="19">
        <f>AD31/(Basicinfo!G31*100)*1000000</f>
        <v>0</v>
      </c>
      <c r="BS31" s="53">
        <f t="shared" si="139"/>
        <v>12146.677726578468</v>
      </c>
      <c r="BT31" s="56">
        <f>AF31/(Basicinfo!G31*100)*1000000</f>
        <v>21.075250913999589</v>
      </c>
      <c r="BU31" s="43">
        <f>AG31/(Basicinfo!G31*100)*1000000</f>
        <v>59.368200389124155</v>
      </c>
      <c r="BV31" s="43">
        <f>AH31/(Basicinfo!G31*100)*1000000</f>
        <v>0.11655935448434361</v>
      </c>
      <c r="BW31" s="43">
        <f>AI31/(Basicinfo!G31*100)*1000000</f>
        <v>2.80920101203776</v>
      </c>
      <c r="BX31" s="43">
        <f>AJ31/(Basicinfo!G31*100)*1000000</f>
        <v>32.452506265394589</v>
      </c>
      <c r="BY31" s="58">
        <f>AK31/(Basicinfo!G31*100)*1000000</f>
        <v>21.368429158780195</v>
      </c>
      <c r="BZ31" s="58">
        <f>AL31/(Basicinfo!G31*100)*1000000</f>
        <v>49.562054937735795</v>
      </c>
      <c r="CA31" s="58">
        <f>AM31/(Basicinfo!G31*100)*1000000</f>
        <v>4.8034443094876123</v>
      </c>
      <c r="CB31" s="58">
        <f>AN31/(Basicinfo!G31*100)*1000000</f>
        <v>45.152693505170873</v>
      </c>
      <c r="CC31" s="58">
        <f>AO31/(Basicinfo!G31*100)*1000000</f>
        <v>5.2277792094635513</v>
      </c>
      <c r="CD31" s="58">
        <f t="shared" si="126"/>
        <v>241.93611905567846</v>
      </c>
      <c r="CE31" s="58">
        <f>AQ31/(Basicinfo!G31*100)*1000000</f>
        <v>0</v>
      </c>
      <c r="CF31" s="43">
        <f t="shared" si="140"/>
        <v>241.93611905567846</v>
      </c>
      <c r="CG31" s="84"/>
      <c r="CH31" s="84">
        <f t="shared" si="8"/>
        <v>0</v>
      </c>
      <c r="CI31" s="146">
        <f t="shared" si="9"/>
        <v>7.9079870829279963</v>
      </c>
      <c r="CJ31" s="200">
        <f>Intermediate!EW31+Intermediate!EY31+Intermediate!FD31</f>
        <v>114.05874323742189</v>
      </c>
      <c r="CK31" s="180">
        <f>Intermediate!FA31+Intermediate!FF31</f>
        <v>14.5750710225915</v>
      </c>
      <c r="CL31" s="180">
        <f t="shared" si="10"/>
        <v>2.3786953106991793</v>
      </c>
      <c r="CM31" s="180">
        <f t="shared" si="11"/>
        <v>33.749303979613231</v>
      </c>
      <c r="CN31" s="202">
        <f>Intermediate!EX31+Intermediate!EZ31+Intermediate!FE31</f>
        <v>74.558520362480536</v>
      </c>
      <c r="CO31" s="180">
        <f>Intermediate!FB31+Intermediate!FG31</f>
        <v>9.5684779402723308</v>
      </c>
      <c r="CP31" s="213">
        <f>Intermediate!EP31+Intermediate!EQ31+Intermediate!ER31+Intermediate!ES31+Intermediate!ET31+Intermediate!EU31+Intermediate!EV31+W31</f>
        <v>51.274409839880676</v>
      </c>
      <c r="CQ31" s="212">
        <f t="shared" si="12"/>
        <v>84.126998302752867</v>
      </c>
      <c r="CR31" s="212">
        <f t="shared" si="13"/>
        <v>164.76181355032583</v>
      </c>
      <c r="CS31" s="211">
        <f t="shared" si="14"/>
        <v>0.46713467331020825</v>
      </c>
      <c r="CT31" s="212">
        <f t="shared" si="15"/>
        <v>300.63035636626955</v>
      </c>
      <c r="CU31" s="84"/>
      <c r="CV31" s="31">
        <f t="shared" si="16"/>
        <v>308.07120877588738</v>
      </c>
      <c r="CW31" s="31">
        <f>CH31/Basicinfo!$G31*1000/100</f>
        <v>0</v>
      </c>
      <c r="CX31" s="31">
        <f>CI31/Basicinfo!$G31*1000/100</f>
        <v>0.31179729824136027</v>
      </c>
      <c r="CY31" s="31">
        <f>CS31/Basicinfo!$G31*1000/100</f>
        <v>1.841825581220535E-2</v>
      </c>
      <c r="CZ31" s="31">
        <f>CN31/Basicinfo!$G31*1000/100</f>
        <v>2.9397044995282711</v>
      </c>
      <c r="DA31" s="31">
        <f>CO31/Basicinfo!$G31*1000/100</f>
        <v>0.37726738027932277</v>
      </c>
      <c r="DB31" s="31">
        <f>CQ31/Basicinfo!$G31*1000/100</f>
        <v>3.316971879807594</v>
      </c>
      <c r="DC31" s="31">
        <f>CJ31/Basicinfo!$G31*1000/100</f>
        <v>4.4971251987763239</v>
      </c>
      <c r="DD31" s="31">
        <f>CK31/Basicinfo!$G31*1000/100</f>
        <v>0.57466808163239236</v>
      </c>
      <c r="DE31" s="31">
        <f>CM31/Basicinfo!$G31*1000/100</f>
        <v>1.3306726083413871</v>
      </c>
      <c r="DF31" s="31">
        <f>CR31/Basicinfo!$G31*1000/100</f>
        <v>6.4962534434638117</v>
      </c>
      <c r="DG31" s="31">
        <f>CP31/Basicinfo!$G31*1000/100</f>
        <v>2.0216551050657023</v>
      </c>
      <c r="DH31" s="31">
        <f>CT31/Basicinfo!$G31*1000/100</f>
        <v>11.85329868414931</v>
      </c>
      <c r="DI31" s="31">
        <f>CV31/Basicinfo!$G31*1000/100</f>
        <v>12.146677726578471</v>
      </c>
      <c r="DJ31" s="31"/>
      <c r="DK31" s="188">
        <f t="shared" si="17"/>
        <v>0</v>
      </c>
      <c r="DL31" s="188">
        <f t="shared" si="18"/>
        <v>2.6304685855786936</v>
      </c>
      <c r="DM31" s="188">
        <f t="shared" si="19"/>
        <v>0.15538506455451892</v>
      </c>
      <c r="DN31" s="188">
        <f t="shared" si="20"/>
        <v>24.800729129177832</v>
      </c>
      <c r="DO31" s="188">
        <f t="shared" si="21"/>
        <v>3.1828049754944527</v>
      </c>
      <c r="DP31" s="188">
        <f t="shared" si="22"/>
        <v>27.983534104672287</v>
      </c>
      <c r="DQ31" s="188">
        <f t="shared" si="23"/>
        <v>37.939862300019939</v>
      </c>
      <c r="DR31" s="188">
        <f t="shared" si="24"/>
        <v>4.8481700912578933</v>
      </c>
      <c r="DS31" s="188">
        <f t="shared" si="25"/>
        <v>11.226179680436248</v>
      </c>
      <c r="DT31" s="188">
        <f t="shared" si="26"/>
        <v>54.805447973321151</v>
      </c>
      <c r="DU31" s="188">
        <f t="shared" si="27"/>
        <v>17.055632857452053</v>
      </c>
      <c r="DV31" s="188">
        <f t="shared" si="28"/>
        <v>100</v>
      </c>
      <c r="DW31" s="188">
        <f t="shared" si="29"/>
        <v>102.47508352102419</v>
      </c>
      <c r="DY31" s="181">
        <f t="shared" si="30"/>
        <v>0</v>
      </c>
      <c r="DZ31" s="181">
        <f t="shared" si="127"/>
        <v>1.3996070699570908</v>
      </c>
      <c r="EA31" s="185">
        <f t="shared" si="31"/>
        <v>0.54195871074959867</v>
      </c>
      <c r="EB31" s="185">
        <f>AG31+AH31+AL31-Intermediate!FJ31-Intermediate!FM31</f>
        <v>1.51558112309896</v>
      </c>
      <c r="EC31" s="185">
        <f>AI31+AJ31-Intermediate!FK31</f>
        <v>4.0770549792858435E-2</v>
      </c>
      <c r="ED31" s="240">
        <f t="shared" si="32"/>
        <v>0.53452295108844272</v>
      </c>
      <c r="EE31" s="240">
        <f>Intermediate!FJ31+Intermediate!FK31+Intermediate!FM31</f>
        <v>2.1036862236618874</v>
      </c>
      <c r="EF31" s="240">
        <f t="shared" si="33"/>
        <v>2.0983103836414174</v>
      </c>
      <c r="EG31" s="240">
        <f t="shared" si="34"/>
        <v>1.3996070699570908</v>
      </c>
      <c r="EH31" s="240">
        <f t="shared" si="35"/>
        <v>6.1361266283488387</v>
      </c>
      <c r="EI31" s="181">
        <f t="shared" si="36"/>
        <v>6.1361266283488378</v>
      </c>
      <c r="EK31" s="31">
        <f>DY31/Basicinfo!$G31*1000/100</f>
        <v>0</v>
      </c>
      <c r="EL31" s="31">
        <f>DZ31/Basicinfo!$G31*1000/100</f>
        <v>5.5183917024122051E-2</v>
      </c>
      <c r="EM31" s="220">
        <f>EG31/Basicinfo!$G31*1000/100</f>
        <v>5.5183917024122051E-2</v>
      </c>
      <c r="EN31" s="220">
        <f>ED31/Basicinfo!$G31*1000/100</f>
        <v>2.1075250913999592E-2</v>
      </c>
      <c r="EO31" s="220">
        <f>EF31/Basicinfo!$G31*1000/100</f>
        <v>8.2732495846331827E-2</v>
      </c>
      <c r="EP31" s="220">
        <f>EE31/Basicinfo!$G31*1000/100</f>
        <v>8.2944455271225029E-2</v>
      </c>
      <c r="EQ31" s="220">
        <f>EH31/Basicinfo!$G31*1000/100</f>
        <v>0.24193611905567849</v>
      </c>
      <c r="ER31" s="31">
        <f>EI31/Basicinfo!$G31*1000/100</f>
        <v>0.24193611905567847</v>
      </c>
      <c r="ET31" s="188">
        <f t="shared" si="37"/>
        <v>0</v>
      </c>
      <c r="EU31" s="188">
        <f t="shared" si="38"/>
        <v>22.809292485766537</v>
      </c>
      <c r="EV31" s="223">
        <f t="shared" si="39"/>
        <v>22.809292485766537</v>
      </c>
      <c r="EW31" s="223">
        <f t="shared" si="40"/>
        <v>8.7110808407856606</v>
      </c>
      <c r="EX31" s="223">
        <f t="shared" si="41"/>
        <v>34.196008503919174</v>
      </c>
      <c r="EY31" s="223">
        <f t="shared" si="42"/>
        <v>34.283618169528637</v>
      </c>
      <c r="EZ31" s="223">
        <f t="shared" si="43"/>
        <v>100.00000000000003</v>
      </c>
      <c r="FA31" s="188">
        <f t="shared" si="44"/>
        <v>100</v>
      </c>
      <c r="FC31" s="236">
        <f>Basicinfo!CT31</f>
        <v>0.9199354838709678</v>
      </c>
      <c r="FD31" s="181">
        <f>IF((Intermediate!CL31+Intermediate!CM31*3)/4&gt;11,(Intermediate!CL31+Intermediate!CM31*9)/10,(Intermediate!CL31+Intermediate!CM31*3)/4)</f>
        <v>0.8242942997353403</v>
      </c>
      <c r="FF31" s="31">
        <f t="shared" si="45"/>
        <v>0.53452295108844272</v>
      </c>
      <c r="FG31" s="31">
        <f t="shared" si="46"/>
        <v>1.5057313339849754</v>
      </c>
      <c r="FH31" s="31">
        <f t="shared" si="47"/>
        <v>2.956247135095744E-3</v>
      </c>
      <c r="FI31" s="31">
        <f>(AI31-(P31*450/1000000))*Parameters!$C$153</f>
        <v>5.1028515828653059E-2</v>
      </c>
      <c r="FJ31" s="31"/>
      <c r="FK31" s="31">
        <f t="shared" si="48"/>
        <v>0.54195871074959867</v>
      </c>
      <c r="FL31" s="31">
        <f t="shared" si="49"/>
        <v>1.25702208602073</v>
      </c>
      <c r="FM31" s="31">
        <f>AM31*Parameters!$C$154</f>
        <v>0.10964501036576933</v>
      </c>
      <c r="FN31" s="31">
        <f>AN31*Parameters!$C$154</f>
        <v>1.0306703332936049</v>
      </c>
      <c r="FO31" s="31">
        <f>AO31*Parameters!$C$154</f>
        <v>0.11933101930200753</v>
      </c>
      <c r="FP31" s="31">
        <f>AQ31*Parameters!$C$155</f>
        <v>0</v>
      </c>
      <c r="FQ31" s="31">
        <f t="shared" si="50"/>
        <v>5.152866207768878</v>
      </c>
      <c r="FS31" s="147">
        <f>DY31*Parameters!$C$155</f>
        <v>0</v>
      </c>
      <c r="FT31" s="147">
        <f>DZ31*Parameters!$C$154</f>
        <v>1.2596463629613819</v>
      </c>
      <c r="FU31" s="181">
        <f t="shared" si="51"/>
        <v>0.54195871074959867</v>
      </c>
      <c r="FV31" s="181">
        <f t="shared" si="52"/>
        <v>1.51558112309896</v>
      </c>
      <c r="FW31" s="31">
        <f t="shared" si="53"/>
        <v>5.102851582865342E-2</v>
      </c>
      <c r="FX31" s="181">
        <f t="shared" si="54"/>
        <v>0.53452295108844272</v>
      </c>
      <c r="FY31" s="147">
        <f>Intermediate!FJ31+Intermediate!FM31</f>
        <v>1.2501285440418413</v>
      </c>
      <c r="FZ31" s="181">
        <f t="shared" si="55"/>
        <v>2.1085683496772116</v>
      </c>
      <c r="GA31" s="147">
        <f t="shared" si="56"/>
        <v>1.2596463629613819</v>
      </c>
      <c r="GB31" s="181">
        <f t="shared" si="57"/>
        <v>5.1528662077688772</v>
      </c>
      <c r="GD31" s="147">
        <f>IF('River loads'!CH31&gt;0.99,1,0)</f>
        <v>0</v>
      </c>
      <c r="GE31" s="147">
        <f t="shared" si="58"/>
        <v>0</v>
      </c>
      <c r="GF31" s="147">
        <f t="shared" si="59"/>
        <v>0</v>
      </c>
      <c r="GG31" s="147">
        <f t="shared" si="60"/>
        <v>0</v>
      </c>
      <c r="GH31" s="147">
        <f t="shared" si="61"/>
        <v>0</v>
      </c>
      <c r="GI31" s="147">
        <f t="shared" si="62"/>
        <v>0</v>
      </c>
      <c r="GJ31" s="147">
        <f t="shared" si="63"/>
        <v>0</v>
      </c>
      <c r="GK31" s="147">
        <f t="shared" si="64"/>
        <v>0</v>
      </c>
      <c r="GL31" s="147">
        <f t="shared" si="65"/>
        <v>0</v>
      </c>
      <c r="GM31" s="270">
        <f t="shared" si="128"/>
        <v>0</v>
      </c>
      <c r="GN31" s="270">
        <f t="shared" si="129"/>
        <v>0</v>
      </c>
      <c r="GO31" s="147">
        <f t="shared" si="66"/>
        <v>0</v>
      </c>
      <c r="GP31" s="147">
        <f t="shared" si="67"/>
        <v>0</v>
      </c>
      <c r="GQ31" s="147"/>
      <c r="GR31" s="147">
        <f t="shared" si="68"/>
        <v>0</v>
      </c>
      <c r="GS31" s="147">
        <f t="shared" si="69"/>
        <v>0</v>
      </c>
      <c r="GT31" s="147">
        <f t="shared" si="70"/>
        <v>0</v>
      </c>
      <c r="GU31" s="147">
        <f t="shared" si="71"/>
        <v>0</v>
      </c>
      <c r="GV31" s="147">
        <f t="shared" si="72"/>
        <v>0</v>
      </c>
      <c r="GW31" s="147">
        <f t="shared" si="73"/>
        <v>0</v>
      </c>
      <c r="GX31" s="147">
        <f t="shared" si="74"/>
        <v>0</v>
      </c>
      <c r="GY31" s="147">
        <f t="shared" si="75"/>
        <v>0</v>
      </c>
      <c r="GZ31" s="147">
        <f t="shared" si="130"/>
        <v>0</v>
      </c>
      <c r="HA31" s="147">
        <f t="shared" si="131"/>
        <v>0</v>
      </c>
      <c r="HB31" s="147">
        <f t="shared" si="76"/>
        <v>0</v>
      </c>
      <c r="HC31" s="147">
        <f t="shared" si="77"/>
        <v>0</v>
      </c>
      <c r="HD31" s="147"/>
      <c r="HE31" s="147">
        <f t="shared" si="78"/>
        <v>0</v>
      </c>
      <c r="HF31" s="147">
        <f t="shared" si="79"/>
        <v>0</v>
      </c>
      <c r="HG31" s="147">
        <f t="shared" si="80"/>
        <v>0</v>
      </c>
      <c r="HH31" s="147">
        <f t="shared" si="81"/>
        <v>0</v>
      </c>
      <c r="HI31" s="147">
        <f t="shared" si="82"/>
        <v>0</v>
      </c>
      <c r="HJ31" s="147">
        <f t="shared" si="83"/>
        <v>0</v>
      </c>
      <c r="HK31" s="147">
        <f t="shared" si="84"/>
        <v>0</v>
      </c>
      <c r="HL31" s="147">
        <f t="shared" si="85"/>
        <v>0</v>
      </c>
      <c r="HM31" s="147">
        <f t="shared" si="86"/>
        <v>0</v>
      </c>
      <c r="HN31" s="147">
        <f t="shared" si="87"/>
        <v>0</v>
      </c>
      <c r="HO31" s="147">
        <f t="shared" si="88"/>
        <v>0</v>
      </c>
      <c r="HQ31" s="147">
        <f t="shared" si="89"/>
        <v>0</v>
      </c>
      <c r="HR31" s="147">
        <f t="shared" si="90"/>
        <v>0</v>
      </c>
      <c r="HS31" s="147">
        <f t="shared" si="91"/>
        <v>0</v>
      </c>
      <c r="HT31" s="147">
        <f t="shared" si="92"/>
        <v>0</v>
      </c>
      <c r="HU31" s="147">
        <f t="shared" si="93"/>
        <v>0</v>
      </c>
      <c r="HV31" s="147">
        <f t="shared" si="94"/>
        <v>0</v>
      </c>
      <c r="HW31" s="147">
        <f t="shared" si="95"/>
        <v>0</v>
      </c>
      <c r="HX31" s="147">
        <f t="shared" si="96"/>
        <v>0</v>
      </c>
      <c r="HY31" s="147">
        <f t="shared" si="97"/>
        <v>0</v>
      </c>
      <c r="HZ31" s="147">
        <f t="shared" si="98"/>
        <v>0</v>
      </c>
      <c r="IB31" s="147">
        <f>IF('River loads'!CI31&gt;0.99,1,0)</f>
        <v>0</v>
      </c>
      <c r="IC31">
        <f t="shared" si="99"/>
        <v>0</v>
      </c>
      <c r="ID31">
        <f t="shared" si="100"/>
        <v>0</v>
      </c>
      <c r="IE31">
        <f t="shared" si="101"/>
        <v>0</v>
      </c>
      <c r="IF31">
        <f t="shared" si="102"/>
        <v>0</v>
      </c>
      <c r="IG31">
        <f t="shared" si="103"/>
        <v>0</v>
      </c>
      <c r="IH31">
        <f t="shared" si="104"/>
        <v>0</v>
      </c>
      <c r="II31">
        <f t="shared" si="105"/>
        <v>0</v>
      </c>
      <c r="IJ31">
        <f t="shared" si="106"/>
        <v>0</v>
      </c>
      <c r="IK31">
        <f t="shared" si="132"/>
        <v>0</v>
      </c>
      <c r="IL31">
        <f t="shared" si="133"/>
        <v>0</v>
      </c>
      <c r="IM31">
        <f t="shared" si="107"/>
        <v>0</v>
      </c>
      <c r="IN31">
        <f t="shared" si="108"/>
        <v>0</v>
      </c>
      <c r="IP31">
        <f t="shared" si="109"/>
        <v>0</v>
      </c>
      <c r="IQ31">
        <f t="shared" si="110"/>
        <v>0</v>
      </c>
      <c r="IR31">
        <f t="shared" si="111"/>
        <v>0</v>
      </c>
      <c r="IS31">
        <f t="shared" si="112"/>
        <v>0</v>
      </c>
      <c r="IT31">
        <f t="shared" si="113"/>
        <v>0</v>
      </c>
      <c r="IU31">
        <f t="shared" si="114"/>
        <v>0</v>
      </c>
      <c r="IV31">
        <f t="shared" si="115"/>
        <v>0</v>
      </c>
      <c r="IW31">
        <f t="shared" si="116"/>
        <v>0</v>
      </c>
      <c r="IX31">
        <f t="shared" si="117"/>
        <v>0</v>
      </c>
    </row>
    <row r="32" spans="1:258">
      <c r="A32" s="39" t="str">
        <f>Basicinfo!A32</f>
        <v>Fuschler Ache</v>
      </c>
      <c r="B32" s="63">
        <f>Basicinfo!B32</f>
        <v>1240</v>
      </c>
      <c r="C32" s="63">
        <f>Basicinfo!C32</f>
        <v>1280</v>
      </c>
      <c r="D32" s="130">
        <f>Basicinfo!G32</f>
        <v>114.419810004</v>
      </c>
      <c r="E32" s="87">
        <f t="shared" si="118"/>
        <v>3.8671791810521805</v>
      </c>
      <c r="F32" s="19">
        <f>Intermediate!AR32</f>
        <v>0.1088279543953567</v>
      </c>
      <c r="G32" s="19">
        <f>Intermediate!AU32</f>
        <v>0.89140402434742683</v>
      </c>
      <c r="H32" s="19">
        <f>Intermediate!AW32</f>
        <v>0</v>
      </c>
      <c r="I32" s="19">
        <f>Intermediate!AZ32</f>
        <v>9.8316351158970142E-3</v>
      </c>
      <c r="J32" s="19">
        <f>Intermediate!BA32</f>
        <v>2.8184230175439744</v>
      </c>
      <c r="K32" s="19">
        <f>Intermediate!AC32</f>
        <v>1.0659347330864872E-2</v>
      </c>
      <c r="L32" s="19">
        <f>Intermediate!AO32</f>
        <v>1.6147682910904345E-2</v>
      </c>
      <c r="M32" s="19">
        <f>Intermediate!AP32</f>
        <v>1.1885519407756088E-2</v>
      </c>
      <c r="N32" s="19">
        <f t="shared" si="119"/>
        <v>3.8671791810521805</v>
      </c>
      <c r="O32" s="19">
        <f>Basicinfo!CB32+Basicinfo!CG32</f>
        <v>0</v>
      </c>
      <c r="P32" s="56">
        <f>Intermediate!BK32-Intermediate!BI32</f>
        <v>23.6334426191803</v>
      </c>
      <c r="Q32" s="43">
        <f>Intermediate!BI32</f>
        <v>752.07471667292486</v>
      </c>
      <c r="R32" s="88">
        <f t="shared" si="134"/>
        <v>775.70815929210517</v>
      </c>
      <c r="S32" s="61">
        <f>Intermediate!F32*Intermediate!BO32/1000</f>
        <v>6.438122214186615</v>
      </c>
      <c r="T32" s="19">
        <f>Intermediate!BU32*Intermediate!AU32*86.4*0.365</f>
        <v>31.252732171519526</v>
      </c>
      <c r="U32" s="19">
        <f>Intermediate!AW32*Intermediate!BS32*0.365*86.4</f>
        <v>0</v>
      </c>
      <c r="V32" s="19">
        <f>(Basicinfo!BL32/1000000)*(Intermediate!BK32-Intermediate!BF32-Intermediate!BG32-Intermediate!BH32)*Intermediate!CV32</f>
        <v>0.10823963317711112</v>
      </c>
      <c r="W32" s="19">
        <f>Intermediate!BI32*Parameters!$C$51/1000000</f>
        <v>1.8801867916823121E-2</v>
      </c>
      <c r="X32" s="19">
        <f>Intermediate!AZ32*Intermediate!CG32*86.4*0.365</f>
        <v>1.6059638894422932</v>
      </c>
      <c r="Y32" s="19">
        <f>Intermediate!CM32*Intermediate!BA32*86.4*0.365+Parameters!$C$126*Intermediate!BB32*Basicinfo!P32/1000+Parameters!$C$127*Intermediate!BB32*Basicinfo!S32/1000</f>
        <v>131.14278478925132</v>
      </c>
      <c r="Z32" s="19">
        <f>Intermediate!DG32</f>
        <v>0.61494192479664</v>
      </c>
      <c r="AA32" s="19">
        <f>Intermediate!DI32</f>
        <v>7.0672983730171826</v>
      </c>
      <c r="AB32" s="19">
        <f>Intermediate!DK32</f>
        <v>0.60212281804061774</v>
      </c>
      <c r="AC32" s="19">
        <f t="shared" si="120"/>
        <v>178.85100768134814</v>
      </c>
      <c r="AD32" s="19">
        <f>Basicinfo!CC32+Basicinfo!CE32+Basicinfo!CH32+Basicinfo!CJ32</f>
        <v>0</v>
      </c>
      <c r="AE32" s="87">
        <f t="shared" si="135"/>
        <v>178.85100768134814</v>
      </c>
      <c r="AF32" s="56">
        <f>Intermediate!F32*Basicinfo!BD32/1000</f>
        <v>0.12036475770680928</v>
      </c>
      <c r="AG32" s="43">
        <f>Intermediate!CA32*Intermediate!AU32*86.4*0.365</f>
        <v>0.83758943059506974</v>
      </c>
      <c r="AH32" s="43">
        <f>Intermediate!AW32*Intermediate!BZ32*0.365*86.4</f>
        <v>0</v>
      </c>
      <c r="AI32" s="43">
        <f>(Intermediate!CU32/1000000)*(Intermediate!BK32-Intermediate!BF32-Intermediate!BG32-Intermediate!BH32)*Intermediate!CW32</f>
        <v>0.10201417531788004</v>
      </c>
      <c r="AJ32" s="43">
        <f>Intermediate!BF32*Parameters!$C$52/1000000+(Intermediate!BG32+Intermediate!BH32)*Intermediate!CX32/1000000</f>
        <v>0.33862778770419583</v>
      </c>
      <c r="AK32" s="43">
        <f>Intermediate!AZ32*Intermediate!CH32*86.4*0.365</f>
        <v>3.7880477525211183E-2</v>
      </c>
      <c r="AL32" s="58">
        <f>Intermediate!CR32*Intermediate!BA32*86.4*0.365</f>
        <v>0.44488516067196709</v>
      </c>
      <c r="AM32" s="43">
        <f>Intermediate!DH32</f>
        <v>0.13898242505224534</v>
      </c>
      <c r="AN32" s="42">
        <f>Intermediate!DJ32</f>
        <v>1.2008141842404838</v>
      </c>
      <c r="AO32" s="42">
        <f>Intermediate!DL32</f>
        <v>9.6481262472391277E-2</v>
      </c>
      <c r="AP32" s="42">
        <f t="shared" si="122"/>
        <v>3.317639661286254</v>
      </c>
      <c r="AQ32" s="43">
        <f>Basicinfo!CD32+Basicinfo!CF32+Basicinfo!CI32+Basicinfo!CK32</f>
        <v>0</v>
      </c>
      <c r="AR32" s="83">
        <f t="shared" si="136"/>
        <v>3.317639661286254</v>
      </c>
      <c r="AS32" s="19">
        <f>F32*86400*365/(Basicinfo!G32*1000000)*1000</f>
        <v>29.994791720874119</v>
      </c>
      <c r="AT32" s="19">
        <f>G32*86400*365/(Basicinfo!G32*1000000)*1000</f>
        <v>245.68575416125682</v>
      </c>
      <c r="AU32" s="19">
        <f>H32*86400*365/(Basicinfo!G32*1000000)*1000</f>
        <v>0</v>
      </c>
      <c r="AV32" s="19">
        <f>I32*86400*365/(Basicinfo!G32*1000000)*1000</f>
        <v>2.7097619284990007</v>
      </c>
      <c r="AW32" s="19">
        <f>J32*86400*365/(Basicinfo!G32*1000000)*1000</f>
        <v>776.80419394298565</v>
      </c>
      <c r="AX32" s="53">
        <f>K32*86400*365/(Basicinfo!G32*1000000)*1000</f>
        <v>2.9378931621578737</v>
      </c>
      <c r="AY32" s="53">
        <f>L32*86400*365/(Basicinfo!G32*1000000)*1000</f>
        <v>4.4505696020687076</v>
      </c>
      <c r="AZ32" s="53">
        <f>M32*86400*365/(Basicinfo!G32*1000000)*1000</f>
        <v>3.2758465516582547</v>
      </c>
      <c r="BA32" s="19">
        <f t="shared" si="123"/>
        <v>1065.8588110695007</v>
      </c>
      <c r="BB32" s="19">
        <f>O32*86400*365/(Basicinfo!G32*1000000)*1000</f>
        <v>0</v>
      </c>
      <c r="BC32" s="53">
        <f t="shared" si="137"/>
        <v>1065.8588110695007</v>
      </c>
      <c r="BD32" s="56">
        <f>P32/(Basicinfo!G32*100)*1000</f>
        <v>2.0655026973348498</v>
      </c>
      <c r="BE32" s="43">
        <f>Q32/(Basicinfo!G32*100)*1000</f>
        <v>65.72941491920264</v>
      </c>
      <c r="BF32" s="58">
        <f t="shared" si="138"/>
        <v>67.794917616537489</v>
      </c>
      <c r="BG32" s="61">
        <f>S32/(Basicinfo!G32*100)*1000000</f>
        <v>562.67548547419767</v>
      </c>
      <c r="BH32" s="19">
        <f>T32/(Basicinfo!G32*100)*1000000</f>
        <v>2731.4092000700721</v>
      </c>
      <c r="BI32" s="19">
        <f>U32/(Basicinfo!G32*100)*1000000</f>
        <v>0</v>
      </c>
      <c r="BJ32" s="19">
        <f>V32/(Basicinfo!G32*100)*1000000</f>
        <v>9.4598682844629067</v>
      </c>
      <c r="BK32" s="19">
        <f>W32/(Basicinfo!G32*100)*1000000</f>
        <v>1.6432353729800659</v>
      </c>
      <c r="BL32" s="19">
        <f>X32/(Basicinfo!G32*100)*1000000</f>
        <v>140.35715400909604</v>
      </c>
      <c r="BM32" s="19">
        <f>Y32/(Basicinfo!G32*100)*1000000</f>
        <v>11461.54540762362</v>
      </c>
      <c r="BN32" s="53">
        <f>Z32/(Basicinfo!G32*100)*1000000</f>
        <v>53.744358146997648</v>
      </c>
      <c r="BO32" s="53">
        <f>AA32/(Basicinfo!G32*100)*1000000</f>
        <v>617.66387942526012</v>
      </c>
      <c r="BP32" s="53">
        <f>AB32/(Basicinfo!G32*100)*1000000</f>
        <v>52.624000863099511</v>
      </c>
      <c r="BQ32" s="19">
        <f t="shared" si="125"/>
        <v>15631.122589269786</v>
      </c>
      <c r="BR32" s="19">
        <f>AD32/(Basicinfo!G32*100)*1000000</f>
        <v>0</v>
      </c>
      <c r="BS32" s="53">
        <f t="shared" si="139"/>
        <v>15631.122589269786</v>
      </c>
      <c r="BT32" s="56">
        <f>AF32/(Basicinfo!G32*100)*1000000</f>
        <v>10.519573289153467</v>
      </c>
      <c r="BU32" s="43">
        <f>AG32/(Basicinfo!G32*100)*1000000</f>
        <v>73.203183134615287</v>
      </c>
      <c r="BV32" s="43">
        <f>AH32/(Basicinfo!G32*100)*1000000</f>
        <v>0</v>
      </c>
      <c r="BW32" s="43">
        <f>AI32/(Basicinfo!G32*100)*1000000</f>
        <v>8.9157791220168718</v>
      </c>
      <c r="BX32" s="43">
        <f>AJ32/(Basicinfo!G32*100)*1000000</f>
        <v>29.595206257758843</v>
      </c>
      <c r="BY32" s="58">
        <f>AK32/(Basicinfo!G32*100)*1000000</f>
        <v>3.3106572650214083</v>
      </c>
      <c r="BZ32" s="58">
        <f>AL32/(Basicinfo!G32*100)*1000000</f>
        <v>38.881830048172112</v>
      </c>
      <c r="CA32" s="58">
        <f>AM32/(Basicinfo!G32*100)*1000000</f>
        <v>12.146710001300184</v>
      </c>
      <c r="CB32" s="58">
        <f>AN32/(Basicinfo!G32*100)*1000000</f>
        <v>104.94810157423829</v>
      </c>
      <c r="CC32" s="58">
        <f>AO32/(Basicinfo!G32*100)*1000000</f>
        <v>8.4322166300589387</v>
      </c>
      <c r="CD32" s="58">
        <f t="shared" si="126"/>
        <v>289.95325732233539</v>
      </c>
      <c r="CE32" s="58">
        <f>AQ32/(Basicinfo!G32*100)*1000000</f>
        <v>0</v>
      </c>
      <c r="CF32" s="43">
        <f t="shared" si="140"/>
        <v>289.95325732233539</v>
      </c>
      <c r="CG32" s="84"/>
      <c r="CH32" s="84">
        <f t="shared" si="8"/>
        <v>0</v>
      </c>
      <c r="CI32" s="146">
        <f t="shared" si="9"/>
        <v>8.2843631158544397</v>
      </c>
      <c r="CJ32" s="200">
        <f>Intermediate!EW32+Intermediate!EY32+Intermediate!FD32</f>
        <v>41.939525013079461</v>
      </c>
      <c r="CK32" s="180">
        <f>Intermediate!FA32+Intermediate!FF32</f>
        <v>16.152013163977799</v>
      </c>
      <c r="CL32" s="180">
        <f t="shared" si="10"/>
        <v>1.6059638894422932</v>
      </c>
      <c r="CM32" s="180">
        <f t="shared" si="11"/>
        <v>45.598710552095575</v>
      </c>
      <c r="CN32" s="202">
        <f>Intermediate!EX32+Intermediate!EZ32+Intermediate!FE32</f>
        <v>23.44435316833308</v>
      </c>
      <c r="CO32" s="180">
        <f>Intermediate!FB32+Intermediate!FG32</f>
        <v>9.0999043524899221</v>
      </c>
      <c r="CP32" s="213">
        <f>Intermediate!EP32+Intermediate!EQ32+Intermediate!ER32+Intermediate!ES32+Intermediate!ET32+Intermediate!EU32+Intermediate!EV32+W32</f>
        <v>32.726174426075552</v>
      </c>
      <c r="CQ32" s="212">
        <f t="shared" si="12"/>
        <v>32.544257520823002</v>
      </c>
      <c r="CR32" s="212">
        <f t="shared" si="13"/>
        <v>105.29621261859513</v>
      </c>
      <c r="CS32" s="211">
        <f t="shared" si="14"/>
        <v>0.61494192479664</v>
      </c>
      <c r="CT32" s="212">
        <f t="shared" si="15"/>
        <v>171.18158649029033</v>
      </c>
      <c r="CU32" s="84"/>
      <c r="CV32" s="31">
        <f t="shared" si="16"/>
        <v>178.85100768134814</v>
      </c>
      <c r="CW32" s="31">
        <f>CH32/Basicinfo!$G32*1000/100</f>
        <v>0</v>
      </c>
      <c r="CX32" s="31">
        <f>CI32/Basicinfo!$G32*1000/100</f>
        <v>0.72403223843535713</v>
      </c>
      <c r="CY32" s="31">
        <f>CS32/Basicinfo!$G32*1000/100</f>
        <v>5.3744358146997649E-2</v>
      </c>
      <c r="CZ32" s="31">
        <f>CN32/Basicinfo!$G32*1000/100</f>
        <v>2.0489767608872529</v>
      </c>
      <c r="DA32" s="31">
        <f>CO32/Basicinfo!$G32*1000/100</f>
        <v>0.79530846556831358</v>
      </c>
      <c r="DB32" s="31">
        <f>CQ32/Basicinfo!$G32*1000/100</f>
        <v>2.844285226455566</v>
      </c>
      <c r="DC32" s="31">
        <f>CJ32/Basicinfo!$G32*1000/100</f>
        <v>3.6654076782345033</v>
      </c>
      <c r="DD32" s="31">
        <f>CK32/Basicinfo!$G32*1000/100</f>
        <v>1.4116448159993573</v>
      </c>
      <c r="DE32" s="31">
        <f>CM32/Basicinfo!$G32*1000/100</f>
        <v>3.9852111754513042</v>
      </c>
      <c r="DF32" s="31">
        <f>CR32/Basicinfo!$G32*1000/100</f>
        <v>9.2026208236942608</v>
      </c>
      <c r="DG32" s="31">
        <f>CP32/Basicinfo!$G32*1000/100</f>
        <v>2.8601843006846002</v>
      </c>
      <c r="DH32" s="31">
        <f>CT32/Basicinfo!$G32*1000/100</f>
        <v>14.960834708981425</v>
      </c>
      <c r="DI32" s="31">
        <f>CV32/Basicinfo!$G32*1000/100</f>
        <v>15.631122589269784</v>
      </c>
      <c r="DJ32" s="31"/>
      <c r="DK32" s="188">
        <f t="shared" si="17"/>
        <v>0</v>
      </c>
      <c r="DL32" s="188">
        <f t="shared" si="18"/>
        <v>4.8395176640826039</v>
      </c>
      <c r="DM32" s="188">
        <f t="shared" si="19"/>
        <v>0.35923368710659798</v>
      </c>
      <c r="DN32" s="188">
        <f t="shared" si="20"/>
        <v>13.695604561804245</v>
      </c>
      <c r="DO32" s="188">
        <f t="shared" si="21"/>
        <v>5.3159364503296516</v>
      </c>
      <c r="DP32" s="188">
        <f t="shared" si="22"/>
        <v>19.011541012133897</v>
      </c>
      <c r="DQ32" s="188">
        <f t="shared" si="23"/>
        <v>24.500021218963486</v>
      </c>
      <c r="DR32" s="188">
        <f t="shared" si="24"/>
        <v>9.4356019798274069</v>
      </c>
      <c r="DS32" s="188">
        <f t="shared" si="25"/>
        <v>26.63762586093452</v>
      </c>
      <c r="DT32" s="188">
        <f t="shared" si="26"/>
        <v>61.511412983993864</v>
      </c>
      <c r="DU32" s="188">
        <f t="shared" si="27"/>
        <v>19.11781231676564</v>
      </c>
      <c r="DV32" s="188">
        <f t="shared" si="28"/>
        <v>100</v>
      </c>
      <c r="DW32" s="188">
        <f t="shared" si="29"/>
        <v>104.48028397697601</v>
      </c>
      <c r="DY32" s="181">
        <f t="shared" si="30"/>
        <v>0</v>
      </c>
      <c r="DZ32" s="181">
        <f t="shared" si="127"/>
        <v>1.4362778717651203</v>
      </c>
      <c r="EA32" s="185">
        <f t="shared" si="31"/>
        <v>3.7880477525211183E-2</v>
      </c>
      <c r="EB32" s="185">
        <f>AG32+AH32+AL32-Intermediate!FJ32-Intermediate!FM32</f>
        <v>0.50081173137975443</v>
      </c>
      <c r="EC32" s="185">
        <f>AI32+AJ32-Intermediate!FK32</f>
        <v>7.7135113379263487E-2</v>
      </c>
      <c r="ED32" s="240">
        <f t="shared" si="32"/>
        <v>0.12036475770680928</v>
      </c>
      <c r="EE32" s="240">
        <f>Intermediate!FJ32+Intermediate!FK32+Intermediate!FM32</f>
        <v>1.1451697095300948</v>
      </c>
      <c r="EF32" s="240">
        <f t="shared" si="33"/>
        <v>0.61582732228422921</v>
      </c>
      <c r="EG32" s="240">
        <f t="shared" si="34"/>
        <v>1.4362778717651203</v>
      </c>
      <c r="EH32" s="240">
        <f t="shared" si="35"/>
        <v>3.3176396612862535</v>
      </c>
      <c r="EI32" s="181">
        <f t="shared" si="36"/>
        <v>3.317639661286254</v>
      </c>
      <c r="EK32" s="31">
        <f>DY32/Basicinfo!$G32*1000/100</f>
        <v>0</v>
      </c>
      <c r="EL32" s="31">
        <f>DZ32/Basicinfo!$G32*1000/100</f>
        <v>0.12552702820559741</v>
      </c>
      <c r="EM32" s="220">
        <f>EG32/Basicinfo!$G32*1000/100</f>
        <v>0.12552702820559741</v>
      </c>
      <c r="EN32" s="220">
        <f>ED32/Basicinfo!$G32*1000/100</f>
        <v>1.0519573289153462E-2</v>
      </c>
      <c r="EO32" s="220">
        <f>EF32/Basicinfo!$G32*1000/100</f>
        <v>5.3821739632560178E-2</v>
      </c>
      <c r="EP32" s="220">
        <f>EE32/Basicinfo!$G32*1000/100</f>
        <v>0.10008491619502434</v>
      </c>
      <c r="EQ32" s="220">
        <f>EH32/Basicinfo!$G32*1000/100</f>
        <v>0.28995325732233534</v>
      </c>
      <c r="ER32" s="31">
        <f>EI32/Basicinfo!$G32*1000/100</f>
        <v>0.2899532573223354</v>
      </c>
      <c r="ET32" s="188">
        <f t="shared" si="37"/>
        <v>0</v>
      </c>
      <c r="EU32" s="188">
        <f t="shared" si="38"/>
        <v>43.292160041524028</v>
      </c>
      <c r="EV32" s="223">
        <f t="shared" si="39"/>
        <v>43.292160041524028</v>
      </c>
      <c r="EW32" s="223">
        <f t="shared" si="40"/>
        <v>3.6280238360830199</v>
      </c>
      <c r="EX32" s="223">
        <f t="shared" si="41"/>
        <v>18.562212450928804</v>
      </c>
      <c r="EY32" s="223">
        <f t="shared" si="42"/>
        <v>34.517603671464151</v>
      </c>
      <c r="EZ32" s="223">
        <f t="shared" si="43"/>
        <v>99.999999999999972</v>
      </c>
      <c r="FA32" s="188">
        <f t="shared" si="44"/>
        <v>100</v>
      </c>
      <c r="FC32" s="236">
        <f>Basicinfo!CT32</f>
        <v>1.6156451612903227</v>
      </c>
      <c r="FD32" s="181">
        <f>IF((Intermediate!CL32+Intermediate!CM32*3)/4&gt;11,(Intermediate!CL32+Intermediate!CM32*9)/10,(Intermediate!CL32+Intermediate!CM32*3)/4)</f>
        <v>1.5706910707501014</v>
      </c>
      <c r="FF32" s="31">
        <f t="shared" si="45"/>
        <v>0.12036475770680928</v>
      </c>
      <c r="FG32" s="31">
        <f t="shared" si="46"/>
        <v>0.83758943059506974</v>
      </c>
      <c r="FH32" s="31">
        <f t="shared" si="47"/>
        <v>0</v>
      </c>
      <c r="FI32" s="31">
        <f>(AI32-(P32*450/1000000))*Parameters!$C$153</f>
        <v>7.3103300911399133E-2</v>
      </c>
      <c r="FJ32" s="31"/>
      <c r="FK32" s="31">
        <f t="shared" si="48"/>
        <v>3.7880477525211183E-2</v>
      </c>
      <c r="FL32" s="31">
        <f t="shared" si="49"/>
        <v>0.44488516067196709</v>
      </c>
      <c r="FM32" s="31">
        <f>AM32*Parameters!$C$154</f>
        <v>0.12508418254702081</v>
      </c>
      <c r="FN32" s="31">
        <f>AN32*Parameters!$C$154</f>
        <v>1.0807327658164354</v>
      </c>
      <c r="FO32" s="31">
        <f>AO32*Parameters!$C$154</f>
        <v>8.6833136225152152E-2</v>
      </c>
      <c r="FP32" s="31">
        <f>AQ32*Parameters!$C$155</f>
        <v>0</v>
      </c>
      <c r="FQ32" s="31">
        <f t="shared" si="50"/>
        <v>2.8064732119990645</v>
      </c>
      <c r="FS32" s="147">
        <f>DY32*Parameters!$C$155</f>
        <v>0</v>
      </c>
      <c r="FT32" s="147">
        <f>DZ32*Parameters!$C$154</f>
        <v>1.2926500845886084</v>
      </c>
      <c r="FU32" s="181">
        <f t="shared" si="51"/>
        <v>3.7880477525211183E-2</v>
      </c>
      <c r="FV32" s="181">
        <f t="shared" si="52"/>
        <v>0.50081173137975443</v>
      </c>
      <c r="FW32" s="31">
        <f t="shared" si="53"/>
        <v>7.3103300911398716E-2</v>
      </c>
      <c r="FX32" s="181">
        <f t="shared" si="54"/>
        <v>0.12036475770680928</v>
      </c>
      <c r="FY32" s="147">
        <f>Intermediate!FJ32+Intermediate!FM32</f>
        <v>0.78166285988728235</v>
      </c>
      <c r="FZ32" s="181">
        <f t="shared" si="55"/>
        <v>0.61179550981636432</v>
      </c>
      <c r="GA32" s="147">
        <f t="shared" si="56"/>
        <v>1.2926500845886084</v>
      </c>
      <c r="GB32" s="181">
        <f t="shared" si="57"/>
        <v>2.8064732119990641</v>
      </c>
      <c r="GD32" s="147">
        <f>IF('River loads'!CH32&gt;0.99,1,0)</f>
        <v>0</v>
      </c>
      <c r="GE32" s="147">
        <f t="shared" si="58"/>
        <v>0</v>
      </c>
      <c r="GF32" s="147">
        <f t="shared" si="59"/>
        <v>0</v>
      </c>
      <c r="GG32" s="147">
        <f t="shared" si="60"/>
        <v>0</v>
      </c>
      <c r="GH32" s="147">
        <f t="shared" si="61"/>
        <v>0</v>
      </c>
      <c r="GI32" s="147">
        <f t="shared" si="62"/>
        <v>0</v>
      </c>
      <c r="GJ32" s="147">
        <f t="shared" si="63"/>
        <v>0</v>
      </c>
      <c r="GK32" s="147">
        <f t="shared" si="64"/>
        <v>0</v>
      </c>
      <c r="GL32" s="147">
        <f t="shared" si="65"/>
        <v>0</v>
      </c>
      <c r="GM32" s="270">
        <f t="shared" si="128"/>
        <v>0</v>
      </c>
      <c r="GN32" s="270">
        <f t="shared" si="129"/>
        <v>0</v>
      </c>
      <c r="GO32" s="147">
        <f t="shared" si="66"/>
        <v>0</v>
      </c>
      <c r="GP32" s="147">
        <f t="shared" si="67"/>
        <v>0</v>
      </c>
      <c r="GQ32" s="147"/>
      <c r="GR32" s="147">
        <f t="shared" si="68"/>
        <v>0</v>
      </c>
      <c r="GS32" s="147">
        <f t="shared" si="69"/>
        <v>0</v>
      </c>
      <c r="GT32" s="147">
        <f t="shared" si="70"/>
        <v>0</v>
      </c>
      <c r="GU32" s="147">
        <f t="shared" si="71"/>
        <v>0</v>
      </c>
      <c r="GV32" s="147">
        <f t="shared" si="72"/>
        <v>0</v>
      </c>
      <c r="GW32" s="147">
        <f t="shared" si="73"/>
        <v>0</v>
      </c>
      <c r="GX32" s="147">
        <f t="shared" si="74"/>
        <v>0</v>
      </c>
      <c r="GY32" s="147">
        <f t="shared" si="75"/>
        <v>0</v>
      </c>
      <c r="GZ32" s="147">
        <f t="shared" si="130"/>
        <v>0</v>
      </c>
      <c r="HA32" s="147">
        <f t="shared" si="131"/>
        <v>0</v>
      </c>
      <c r="HB32" s="147">
        <f t="shared" si="76"/>
        <v>0</v>
      </c>
      <c r="HC32" s="147">
        <f t="shared" si="77"/>
        <v>0</v>
      </c>
      <c r="HD32" s="147"/>
      <c r="HE32" s="147">
        <f t="shared" si="78"/>
        <v>0</v>
      </c>
      <c r="HF32" s="147">
        <f t="shared" si="79"/>
        <v>0</v>
      </c>
      <c r="HG32" s="147">
        <f t="shared" si="80"/>
        <v>0</v>
      </c>
      <c r="HH32" s="147">
        <f t="shared" si="81"/>
        <v>0</v>
      </c>
      <c r="HI32" s="147">
        <f t="shared" si="82"/>
        <v>0</v>
      </c>
      <c r="HJ32" s="147">
        <f t="shared" si="83"/>
        <v>0</v>
      </c>
      <c r="HK32" s="147">
        <f t="shared" si="84"/>
        <v>0</v>
      </c>
      <c r="HL32" s="147">
        <f t="shared" si="85"/>
        <v>0</v>
      </c>
      <c r="HM32" s="147">
        <f t="shared" si="86"/>
        <v>0</v>
      </c>
      <c r="HN32" s="147">
        <f t="shared" si="87"/>
        <v>0</v>
      </c>
      <c r="HO32" s="147">
        <f t="shared" si="88"/>
        <v>0</v>
      </c>
      <c r="HQ32" s="147">
        <f t="shared" si="89"/>
        <v>0</v>
      </c>
      <c r="HR32" s="147">
        <f t="shared" si="90"/>
        <v>0</v>
      </c>
      <c r="HS32" s="147">
        <f t="shared" si="91"/>
        <v>0</v>
      </c>
      <c r="HT32" s="147">
        <f t="shared" si="92"/>
        <v>0</v>
      </c>
      <c r="HU32" s="147">
        <f t="shared" si="93"/>
        <v>0</v>
      </c>
      <c r="HV32" s="147">
        <f t="shared" si="94"/>
        <v>0</v>
      </c>
      <c r="HW32" s="147">
        <f t="shared" si="95"/>
        <v>0</v>
      </c>
      <c r="HX32" s="147">
        <f t="shared" si="96"/>
        <v>0</v>
      </c>
      <c r="HY32" s="147">
        <f t="shared" si="97"/>
        <v>0</v>
      </c>
      <c r="HZ32" s="147">
        <f t="shared" si="98"/>
        <v>0</v>
      </c>
      <c r="IB32" s="147">
        <f>IF('River loads'!CI32&gt;0.99,1,0)</f>
        <v>0</v>
      </c>
      <c r="IC32">
        <f t="shared" si="99"/>
        <v>0</v>
      </c>
      <c r="ID32">
        <f t="shared" si="100"/>
        <v>0</v>
      </c>
      <c r="IE32">
        <f t="shared" si="101"/>
        <v>0</v>
      </c>
      <c r="IF32">
        <f t="shared" si="102"/>
        <v>0</v>
      </c>
      <c r="IG32">
        <f t="shared" si="103"/>
        <v>0</v>
      </c>
      <c r="IH32">
        <f t="shared" si="104"/>
        <v>0</v>
      </c>
      <c r="II32">
        <f t="shared" si="105"/>
        <v>0</v>
      </c>
      <c r="IJ32">
        <f t="shared" si="106"/>
        <v>0</v>
      </c>
      <c r="IK32">
        <f t="shared" si="132"/>
        <v>0</v>
      </c>
      <c r="IL32">
        <f t="shared" si="133"/>
        <v>0</v>
      </c>
      <c r="IM32">
        <f t="shared" si="107"/>
        <v>0</v>
      </c>
      <c r="IN32">
        <f t="shared" si="108"/>
        <v>0</v>
      </c>
      <c r="IP32">
        <f t="shared" si="109"/>
        <v>0</v>
      </c>
      <c r="IQ32">
        <f t="shared" si="110"/>
        <v>0</v>
      </c>
      <c r="IR32">
        <f t="shared" si="111"/>
        <v>0</v>
      </c>
      <c r="IS32">
        <f t="shared" si="112"/>
        <v>0</v>
      </c>
      <c r="IT32">
        <f t="shared" si="113"/>
        <v>0</v>
      </c>
      <c r="IU32">
        <f t="shared" si="114"/>
        <v>0</v>
      </c>
      <c r="IV32">
        <f t="shared" si="115"/>
        <v>0</v>
      </c>
      <c r="IW32">
        <f t="shared" si="116"/>
        <v>0</v>
      </c>
      <c r="IX32">
        <f t="shared" si="117"/>
        <v>0</v>
      </c>
    </row>
    <row r="33" spans="1:258">
      <c r="A33" s="39" t="str">
        <f>Basicinfo!A33</f>
        <v>Dürre Ager</v>
      </c>
      <c r="B33" s="63">
        <f>Basicinfo!B33</f>
        <v>1250</v>
      </c>
      <c r="C33" s="63">
        <f>Basicinfo!C33</f>
        <v>1270</v>
      </c>
      <c r="D33" s="130">
        <f>Basicinfo!G33</f>
        <v>94.667536053000006</v>
      </c>
      <c r="E33" s="87">
        <f t="shared" si="118"/>
        <v>1.7191601544494097</v>
      </c>
      <c r="F33" s="19">
        <f>Intermediate!AR33</f>
        <v>1.1407851327659339E-2</v>
      </c>
      <c r="G33" s="19">
        <f>Intermediate!AU33</f>
        <v>0.33635961223041233</v>
      </c>
      <c r="H33" s="19">
        <f>Intermediate!AW33</f>
        <v>0</v>
      </c>
      <c r="I33" s="19">
        <f>Intermediate!AZ33</f>
        <v>1.3391994433935466E-2</v>
      </c>
      <c r="J33" s="19">
        <f>Intermediate!BA33</f>
        <v>1.3364694740662042</v>
      </c>
      <c r="K33" s="19">
        <f>Intermediate!AC33</f>
        <v>8.9357790240541749E-3</v>
      </c>
      <c r="L33" s="19">
        <f>Intermediate!AO33</f>
        <v>4.6915655553833955E-3</v>
      </c>
      <c r="M33" s="19">
        <f>Intermediate!AP33</f>
        <v>7.9038778117608791E-3</v>
      </c>
      <c r="N33" s="19">
        <f t="shared" si="119"/>
        <v>1.7191601544494097</v>
      </c>
      <c r="O33" s="19">
        <f>Basicinfo!CB33+Basicinfo!CG33</f>
        <v>0</v>
      </c>
      <c r="P33" s="56">
        <f>Intermediate!BK33-Intermediate!BI33</f>
        <v>302.12167124965936</v>
      </c>
      <c r="Q33" s="43">
        <f>Intermediate!BI33</f>
        <v>571.78098978029311</v>
      </c>
      <c r="R33" s="88">
        <f t="shared" si="134"/>
        <v>873.90266102995247</v>
      </c>
      <c r="S33" s="61">
        <f>Intermediate!F33*Intermediate!BO33/1000</f>
        <v>0.99593544582256388</v>
      </c>
      <c r="T33" s="19">
        <f>Intermediate!BU33*Intermediate!AU33*86.4*0.365</f>
        <v>14.907209878053303</v>
      </c>
      <c r="U33" s="19">
        <f>Intermediate!AW33*Intermediate!BS33*0.365*86.4</f>
        <v>0</v>
      </c>
      <c r="V33" s="19">
        <f>(Basicinfo!BL33/1000000)*(Intermediate!BK33-Intermediate!BF33-Intermediate!BG33-Intermediate!BH33)*Intermediate!CV33</f>
        <v>2.6867504280957362</v>
      </c>
      <c r="W33" s="19">
        <f>Intermediate!BI33*Parameters!$C$51/1000000</f>
        <v>1.4294524744507327E-2</v>
      </c>
      <c r="X33" s="19">
        <f>Intermediate!AZ33*Intermediate!CG33*86.4*0.365</f>
        <v>3.5693992445782996</v>
      </c>
      <c r="Y33" s="19">
        <f>Intermediate!CM33*Intermediate!BA33*86.4*0.365+Parameters!$C$126*Intermediate!BB33*Basicinfo!P33/1000+Parameters!$C$127*Intermediate!BB33*Basicinfo!S33/1000</f>
        <v>96.481578314120114</v>
      </c>
      <c r="Z33" s="19">
        <f>Intermediate!DG33</f>
        <v>0.6015621592871534</v>
      </c>
      <c r="AA33" s="19">
        <f>Intermediate!DI33</f>
        <v>1.6889558719848645</v>
      </c>
      <c r="AB33" s="19">
        <f>Intermediate!DK33</f>
        <v>0.34828428192306859</v>
      </c>
      <c r="AC33" s="19">
        <f t="shared" si="120"/>
        <v>121.2939701486096</v>
      </c>
      <c r="AD33" s="19">
        <f>Basicinfo!CC33+Basicinfo!CE33+Basicinfo!CH33+Basicinfo!CJ33</f>
        <v>0</v>
      </c>
      <c r="AE33" s="87">
        <f t="shared" si="135"/>
        <v>121.2939701486096</v>
      </c>
      <c r="AF33" s="56">
        <f>Intermediate!F33*Basicinfo!BD33/1000</f>
        <v>1.9155718488192624E-2</v>
      </c>
      <c r="AG33" s="43">
        <f>Intermediate!CA33*Intermediate!AU33*86.4*0.365</f>
        <v>0.35550648745668195</v>
      </c>
      <c r="AH33" s="43">
        <f>Intermediate!AW33*Intermediate!BZ33*0.365*86.4</f>
        <v>0</v>
      </c>
      <c r="AI33" s="43">
        <f>(Intermediate!CU33/1000000)*(Intermediate!BK33-Intermediate!BF33-Intermediate!BG33-Intermediate!BH33)*Intermediate!CW33</f>
        <v>1.1651910019544676</v>
      </c>
      <c r="AJ33" s="43">
        <f>Intermediate!BF33*Parameters!$C$52/1000000+(Intermediate!BG33+Intermediate!BH33)*Intermediate!CX33/1000000</f>
        <v>0.25730210922711805</v>
      </c>
      <c r="AK33" s="43">
        <f>Intermediate!AZ33*Intermediate!CH33*86.4*0.365</f>
        <v>2.7742276893092863E-2</v>
      </c>
      <c r="AL33" s="58">
        <f>Intermediate!CR33*Intermediate!BA33*86.4*0.365</f>
        <v>0.25970624834375683</v>
      </c>
      <c r="AM33" s="43">
        <f>Intermediate!DH33</f>
        <v>0.13253403995175048</v>
      </c>
      <c r="AN33" s="42">
        <f>Intermediate!DJ33</f>
        <v>0.29108150656277015</v>
      </c>
      <c r="AO33" s="42">
        <f>Intermediate!DL33</f>
        <v>5.5970296338200692E-2</v>
      </c>
      <c r="AP33" s="42">
        <f t="shared" si="122"/>
        <v>2.5641896852160309</v>
      </c>
      <c r="AQ33" s="43">
        <f>Basicinfo!CD33+Basicinfo!CF33+Basicinfo!CI33+Basicinfo!CK33</f>
        <v>0</v>
      </c>
      <c r="AR33" s="83">
        <f t="shared" si="136"/>
        <v>2.5641896852160309</v>
      </c>
      <c r="AS33" s="19">
        <f>F33*86400*365/(Basicinfo!G33*1000000)*1000</f>
        <v>3.8002256577973355</v>
      </c>
      <c r="AT33" s="19">
        <f>G33*86400*365/(Basicinfo!G33*1000000)*1000</f>
        <v>112.04935898362947</v>
      </c>
      <c r="AU33" s="19">
        <f>H33*86400*365/(Basicinfo!G33*1000000)*1000</f>
        <v>0</v>
      </c>
      <c r="AV33" s="19">
        <f>I33*86400*365/(Basicinfo!G33*1000000)*1000</f>
        <v>4.4611907532075801</v>
      </c>
      <c r="AW33" s="19">
        <f>J33*86400*365/(Basicinfo!G33*1000000)*1000</f>
        <v>445.20965783408275</v>
      </c>
      <c r="AX33" s="53">
        <f>K33*86400*365/(Basicinfo!G33*1000000)*1000</f>
        <v>2.9767197822155875</v>
      </c>
      <c r="AY33" s="53">
        <f>L33*86400*365/(Basicinfo!G33*1000000)*1000</f>
        <v>1.5628716825558715</v>
      </c>
      <c r="AZ33" s="53">
        <f>M33*86400*365/(Basicinfo!G33*1000000)*1000</f>
        <v>2.6329690310323883</v>
      </c>
      <c r="BA33" s="19">
        <f t="shared" si="123"/>
        <v>572.69299372452099</v>
      </c>
      <c r="BB33" s="19">
        <f>O33*86400*365/(Basicinfo!G33*1000000)*1000</f>
        <v>0</v>
      </c>
      <c r="BC33" s="53">
        <f t="shared" si="137"/>
        <v>572.69299372452099</v>
      </c>
      <c r="BD33" s="56">
        <f>P33/(Basicinfo!G33*100)*1000</f>
        <v>31.913967960517674</v>
      </c>
      <c r="BE33" s="43">
        <f>Q33/(Basicinfo!G33*100)*1000</f>
        <v>60.398845646534966</v>
      </c>
      <c r="BF33" s="58">
        <f t="shared" si="138"/>
        <v>92.312813607052647</v>
      </c>
      <c r="BG33" s="61">
        <f>S33/(Basicinfo!G33*100)*1000000</f>
        <v>105.20348234953379</v>
      </c>
      <c r="BH33" s="19">
        <f>T33/(Basicinfo!G33*100)*1000000</f>
        <v>1574.690807385907</v>
      </c>
      <c r="BI33" s="19">
        <f>U33/(Basicinfo!G33*100)*1000000</f>
        <v>0</v>
      </c>
      <c r="BJ33" s="19">
        <f>V33/(Basicinfo!G33*100)*1000000</f>
        <v>283.80905853423167</v>
      </c>
      <c r="BK33" s="19">
        <f>W33/(Basicinfo!G33*100)*1000000</f>
        <v>1.5099711411633741</v>
      </c>
      <c r="BL33" s="19">
        <f>X33/(Basicinfo!G33*100)*1000000</f>
        <v>377.04575331716217</v>
      </c>
      <c r="BM33" s="19">
        <f>Y33/(Basicinfo!G33*100)*1000000</f>
        <v>10191.622422717806</v>
      </c>
      <c r="BN33" s="53">
        <f>Z33/(Basicinfo!G33*100)*1000000</f>
        <v>63.544714943290209</v>
      </c>
      <c r="BO33" s="53">
        <f>AA33/(Basicinfo!G33*100)*1000000</f>
        <v>178.40919309860305</v>
      </c>
      <c r="BP33" s="53">
        <f>AB33/(Basicinfo!G33*100)*1000000</f>
        <v>36.790255291748615</v>
      </c>
      <c r="BQ33" s="19">
        <f t="shared" si="125"/>
        <v>12812.625658779447</v>
      </c>
      <c r="BR33" s="19">
        <f>AD33/(Basicinfo!G33*100)*1000000</f>
        <v>0</v>
      </c>
      <c r="BS33" s="53">
        <f t="shared" si="139"/>
        <v>12812.625658779447</v>
      </c>
      <c r="BT33" s="56">
        <f>AF33/(Basicinfo!G33*100)*1000000</f>
        <v>2.0234728067146714</v>
      </c>
      <c r="BU33" s="43">
        <f>AG33/(Basicinfo!G33*100)*1000000</f>
        <v>37.553157320757791</v>
      </c>
      <c r="BV33" s="43">
        <f>AH33/(Basicinfo!G33*100)*1000000</f>
        <v>0</v>
      </c>
      <c r="BW33" s="43">
        <f>AI33/(Basicinfo!G33*100)*1000000</f>
        <v>123.08242619752254</v>
      </c>
      <c r="BX33" s="43">
        <f>AJ33/(Basicinfo!G33*100)*1000000</f>
        <v>27.179550662760086</v>
      </c>
      <c r="BY33" s="58">
        <f>AK33/(Basicinfo!G33*100)*1000000</f>
        <v>2.9304952943489768</v>
      </c>
      <c r="BZ33" s="58">
        <f>AL33/(Basicinfo!G33*100)*1000000</f>
        <v>27.43350668790611</v>
      </c>
      <c r="CA33" s="58">
        <f>AM33/(Basicinfo!G33*100)*1000000</f>
        <v>13.999946072067488</v>
      </c>
      <c r="CB33" s="58">
        <f>AN33/(Basicinfo!G33*100)*1000000</f>
        <v>30.747764090934719</v>
      </c>
      <c r="CC33" s="58">
        <f>AO33/(Basicinfo!G33*100)*1000000</f>
        <v>5.9123009504404438</v>
      </c>
      <c r="CD33" s="58">
        <f t="shared" si="126"/>
        <v>270.86262008345284</v>
      </c>
      <c r="CE33" s="58">
        <f>AQ33/(Basicinfo!G33*100)*1000000</f>
        <v>0</v>
      </c>
      <c r="CF33" s="43">
        <f t="shared" si="140"/>
        <v>270.86262008345284</v>
      </c>
      <c r="CG33" s="84"/>
      <c r="CH33" s="84">
        <f t="shared" si="8"/>
        <v>0</v>
      </c>
      <c r="CI33" s="146">
        <f t="shared" si="9"/>
        <v>2.6388023131950864</v>
      </c>
      <c r="CJ33" s="200">
        <f>Intermediate!EW33+Intermediate!EY33+Intermediate!FD33</f>
        <v>17.563824709014831</v>
      </c>
      <c r="CK33" s="180">
        <f>Intermediate!FA33+Intermediate!FF33</f>
        <v>10.343487417726303</v>
      </c>
      <c r="CL33" s="180">
        <f t="shared" si="10"/>
        <v>3.5693992445782996</v>
      </c>
      <c r="CM33" s="180">
        <f t="shared" si="11"/>
        <v>50.210642479571703</v>
      </c>
      <c r="CN33" s="202">
        <f>Intermediate!EX33+Intermediate!EZ33+Intermediate!FE33</f>
        <v>9.7387442486846272</v>
      </c>
      <c r="CO33" s="180">
        <f>Intermediate!FB33+Intermediate!FG33</f>
        <v>5.7467223178718321</v>
      </c>
      <c r="CP33" s="213">
        <f>Intermediate!EP33+Intermediate!EQ33+Intermediate!ER33+Intermediate!ES33+Intermediate!ET33+Intermediate!EU33+Intermediate!EV33+W33</f>
        <v>21.482347417966949</v>
      </c>
      <c r="CQ33" s="212">
        <f t="shared" si="12"/>
        <v>15.485466566556459</v>
      </c>
      <c r="CR33" s="212">
        <f t="shared" si="13"/>
        <v>81.687353850891128</v>
      </c>
      <c r="CS33" s="211">
        <f t="shared" si="14"/>
        <v>0.6015621592871534</v>
      </c>
      <c r="CT33" s="212">
        <f t="shared" si="15"/>
        <v>119.25672999470169</v>
      </c>
      <c r="CU33" s="84"/>
      <c r="CV33" s="31">
        <f t="shared" si="16"/>
        <v>121.2939701486096</v>
      </c>
      <c r="CW33" s="31">
        <f>CH33/Basicinfo!$G33*1000/100</f>
        <v>0</v>
      </c>
      <c r="CX33" s="31">
        <f>CI33/Basicinfo!$G33*1000/100</f>
        <v>0.27874416333364183</v>
      </c>
      <c r="CY33" s="31">
        <f>CS33/Basicinfo!$G33*1000/100</f>
        <v>6.3544714943290212E-2</v>
      </c>
      <c r="CZ33" s="31">
        <f>CN33/Basicinfo!$G33*1000/100</f>
        <v>1.0287311421343375</v>
      </c>
      <c r="DA33" s="31">
        <f>CO33/Basicinfo!$G33*1000/100</f>
        <v>0.60704255729804846</v>
      </c>
      <c r="DB33" s="31">
        <f>CQ33/Basicinfo!$G33*1000/100</f>
        <v>1.6357736994323862</v>
      </c>
      <c r="DC33" s="31">
        <f>CJ33/Basicinfo!$G33*1000/100</f>
        <v>1.8553165574291119</v>
      </c>
      <c r="DD33" s="31">
        <f>CK33/Basicinfo!$G33*1000/100</f>
        <v>1.0926118761489112</v>
      </c>
      <c r="DE33" s="31">
        <f>CM33/Basicinfo!$G33*1000/100</f>
        <v>5.3038923978607695</v>
      </c>
      <c r="DF33" s="31">
        <f>CR33/Basicinfo!$G33*1000/100</f>
        <v>8.6288665847559542</v>
      </c>
      <c r="DG33" s="31">
        <f>CP33/Basicinfo!$G33*1000/100</f>
        <v>2.2692412112574654</v>
      </c>
      <c r="DH33" s="31">
        <f>CT33/Basicinfo!$G33*1000/100</f>
        <v>12.597426210389097</v>
      </c>
      <c r="DI33" s="31">
        <f>CV33/Basicinfo!$G33*1000/100</f>
        <v>12.812625658779444</v>
      </c>
      <c r="DJ33" s="31"/>
      <c r="DK33" s="188">
        <f t="shared" si="17"/>
        <v>0</v>
      </c>
      <c r="DL33" s="188">
        <f t="shared" si="18"/>
        <v>2.2127072520874274</v>
      </c>
      <c r="DM33" s="188">
        <f t="shared" si="19"/>
        <v>0.50442617310895532</v>
      </c>
      <c r="DN33" s="188">
        <f t="shared" si="20"/>
        <v>8.1662009759258858</v>
      </c>
      <c r="DO33" s="188">
        <f t="shared" si="21"/>
        <v>4.8187824017371153</v>
      </c>
      <c r="DP33" s="188">
        <f t="shared" si="22"/>
        <v>12.984983377663001</v>
      </c>
      <c r="DQ33" s="188">
        <f t="shared" si="23"/>
        <v>14.727743004353005</v>
      </c>
      <c r="DR33" s="188">
        <f t="shared" si="24"/>
        <v>8.6732945119204938</v>
      </c>
      <c r="DS33" s="188">
        <f t="shared" si="25"/>
        <v>42.102984445240494</v>
      </c>
      <c r="DT33" s="188">
        <f t="shared" si="26"/>
        <v>68.497059960071283</v>
      </c>
      <c r="DU33" s="188">
        <f t="shared" si="27"/>
        <v>18.013530489156764</v>
      </c>
      <c r="DV33" s="188">
        <f t="shared" si="28"/>
        <v>100</v>
      </c>
      <c r="DW33" s="188">
        <f t="shared" si="29"/>
        <v>101.70828107897847</v>
      </c>
      <c r="DY33" s="181">
        <f t="shared" si="30"/>
        <v>0</v>
      </c>
      <c r="DZ33" s="181">
        <f t="shared" si="127"/>
        <v>0.47958584285272132</v>
      </c>
      <c r="EA33" s="185">
        <f t="shared" si="31"/>
        <v>2.7742276893092863E-2</v>
      </c>
      <c r="EB33" s="185">
        <f>AG33+AH33+AL33-Intermediate!FJ33-Intermediate!FM33</f>
        <v>0.25474853341783865</v>
      </c>
      <c r="EC33" s="185">
        <f>AI33+AJ33-Intermediate!FK33</f>
        <v>1.1100258466140169</v>
      </c>
      <c r="ED33" s="240">
        <f t="shared" si="32"/>
        <v>1.9155718488192624E-2</v>
      </c>
      <c r="EE33" s="240">
        <f>Intermediate!FJ33+Intermediate!FK33+Intermediate!FM33</f>
        <v>0.67293146695016859</v>
      </c>
      <c r="EF33" s="240">
        <f t="shared" si="33"/>
        <v>1.3925166569249487</v>
      </c>
      <c r="EG33" s="240">
        <f t="shared" si="34"/>
        <v>0.47958584285272132</v>
      </c>
      <c r="EH33" s="240">
        <f t="shared" si="35"/>
        <v>2.5641896852160313</v>
      </c>
      <c r="EI33" s="181">
        <f t="shared" si="36"/>
        <v>2.5641896852160309</v>
      </c>
      <c r="EK33" s="31">
        <f>DY33/Basicinfo!$G33*1000/100</f>
        <v>0</v>
      </c>
      <c r="EL33" s="31">
        <f>DZ33/Basicinfo!$G33*1000/100</f>
        <v>5.0660011113442656E-2</v>
      </c>
      <c r="EM33" s="220">
        <f>EG33/Basicinfo!$G33*1000/100</f>
        <v>5.0660011113442656E-2</v>
      </c>
      <c r="EN33" s="220">
        <f>ED33/Basicinfo!$G33*1000/100</f>
        <v>2.0234728067146709E-3</v>
      </c>
      <c r="EO33" s="220">
        <f>EF33/Basicinfo!$G33*1000/100</f>
        <v>0.14709547908222123</v>
      </c>
      <c r="EP33" s="220">
        <f>EE33/Basicinfo!$G33*1000/100</f>
        <v>7.1083657081074253E-2</v>
      </c>
      <c r="EQ33" s="220">
        <f>EH33/Basicinfo!$G33*1000/100</f>
        <v>0.27086262008345285</v>
      </c>
      <c r="ER33" s="31">
        <f>EI33/Basicinfo!$G33*1000/100</f>
        <v>0.27086262008345274</v>
      </c>
      <c r="ET33" s="188">
        <f t="shared" si="37"/>
        <v>0</v>
      </c>
      <c r="EU33" s="188">
        <f t="shared" si="38"/>
        <v>18.703212387827566</v>
      </c>
      <c r="EV33" s="223">
        <f t="shared" si="39"/>
        <v>18.703212387827566</v>
      </c>
      <c r="EW33" s="223">
        <f t="shared" si="40"/>
        <v>0.74704763842690403</v>
      </c>
      <c r="EX33" s="223">
        <f t="shared" si="41"/>
        <v>54.306304442045615</v>
      </c>
      <c r="EY33" s="223">
        <f t="shared" si="42"/>
        <v>26.243435531699937</v>
      </c>
      <c r="EZ33" s="223">
        <f t="shared" si="43"/>
        <v>100.00000000000004</v>
      </c>
      <c r="FA33" s="188">
        <f t="shared" si="44"/>
        <v>100</v>
      </c>
      <c r="FC33" s="236">
        <f>Basicinfo!CT33</f>
        <v>3.122150537634409</v>
      </c>
      <c r="FD33" s="181">
        <f>IF((Intermediate!CL33+Intermediate!CM33*3)/4&gt;11,(Intermediate!CL33+Intermediate!CM33*9)/10,(Intermediate!CL33+Intermediate!CM33*3)/4)</f>
        <v>2.8045205837067808</v>
      </c>
      <c r="FF33" s="31">
        <f t="shared" si="45"/>
        <v>1.9155718488192624E-2</v>
      </c>
      <c r="FG33" s="31">
        <f t="shared" si="46"/>
        <v>0.35550648745668195</v>
      </c>
      <c r="FH33" s="31">
        <f t="shared" si="47"/>
        <v>0</v>
      </c>
      <c r="FI33" s="31">
        <f>(AI33-(P33*450/1000000))*Parameters!$C$153</f>
        <v>0.82338899991369674</v>
      </c>
      <c r="FJ33" s="31"/>
      <c r="FK33" s="31">
        <f t="shared" si="48"/>
        <v>2.7742276893092863E-2</v>
      </c>
      <c r="FL33" s="31">
        <f t="shared" si="49"/>
        <v>0.25970624834375683</v>
      </c>
      <c r="FM33" s="31">
        <f>AM33*Parameters!$C$154</f>
        <v>0.11928063595657543</v>
      </c>
      <c r="FN33" s="31">
        <f>AN33*Parameters!$C$154</f>
        <v>0.26197335590649312</v>
      </c>
      <c r="FO33" s="31">
        <f>AO33*Parameters!$C$154</f>
        <v>5.0373266704380623E-2</v>
      </c>
      <c r="FP33" s="31">
        <f>AQ33*Parameters!$C$155</f>
        <v>0</v>
      </c>
      <c r="FQ33" s="31">
        <f t="shared" si="50"/>
        <v>1.9171269896628702</v>
      </c>
      <c r="FS33" s="147">
        <f>DY33*Parameters!$C$155</f>
        <v>0</v>
      </c>
      <c r="FT33" s="147">
        <f>DZ33*Parameters!$C$154</f>
        <v>0.43162725856744921</v>
      </c>
      <c r="FU33" s="181">
        <f t="shared" si="51"/>
        <v>2.7742276893092863E-2</v>
      </c>
      <c r="FV33" s="181">
        <f t="shared" si="52"/>
        <v>0.25474853341783865</v>
      </c>
      <c r="FW33" s="31">
        <f t="shared" si="53"/>
        <v>0.82338899991369696</v>
      </c>
      <c r="FX33" s="181">
        <f t="shared" si="54"/>
        <v>1.9155718488192624E-2</v>
      </c>
      <c r="FY33" s="147">
        <f>Intermediate!FJ33+Intermediate!FM33</f>
        <v>0.36046420238260013</v>
      </c>
      <c r="FZ33" s="181">
        <f t="shared" si="55"/>
        <v>1.1058798102246286</v>
      </c>
      <c r="GA33" s="147">
        <f t="shared" si="56"/>
        <v>0.43162725856744921</v>
      </c>
      <c r="GB33" s="181">
        <f t="shared" si="57"/>
        <v>1.9171269896628707</v>
      </c>
      <c r="GD33" s="147">
        <f>IF('River loads'!CH33&gt;0.99,1,0)</f>
        <v>0</v>
      </c>
      <c r="GE33" s="147">
        <f t="shared" si="58"/>
        <v>0</v>
      </c>
      <c r="GF33" s="147">
        <f t="shared" si="59"/>
        <v>0</v>
      </c>
      <c r="GG33" s="147">
        <f t="shared" si="60"/>
        <v>0</v>
      </c>
      <c r="GH33" s="147">
        <f t="shared" si="61"/>
        <v>0</v>
      </c>
      <c r="GI33" s="147">
        <f t="shared" si="62"/>
        <v>0</v>
      </c>
      <c r="GJ33" s="147">
        <f t="shared" si="63"/>
        <v>0</v>
      </c>
      <c r="GK33" s="147">
        <f t="shared" si="64"/>
        <v>0</v>
      </c>
      <c r="GL33" s="147">
        <f t="shared" si="65"/>
        <v>0</v>
      </c>
      <c r="GM33" s="270">
        <f t="shared" si="128"/>
        <v>0</v>
      </c>
      <c r="GN33" s="270">
        <f t="shared" si="129"/>
        <v>0</v>
      </c>
      <c r="GO33" s="147">
        <f t="shared" si="66"/>
        <v>0</v>
      </c>
      <c r="GP33" s="147">
        <f t="shared" si="67"/>
        <v>0</v>
      </c>
      <c r="GQ33" s="147"/>
      <c r="GR33" s="147">
        <f t="shared" si="68"/>
        <v>0</v>
      </c>
      <c r="GS33" s="147">
        <f t="shared" si="69"/>
        <v>0</v>
      </c>
      <c r="GT33" s="147">
        <f t="shared" si="70"/>
        <v>0</v>
      </c>
      <c r="GU33" s="147">
        <f t="shared" si="71"/>
        <v>0</v>
      </c>
      <c r="GV33" s="147">
        <f t="shared" si="72"/>
        <v>0</v>
      </c>
      <c r="GW33" s="147">
        <f t="shared" si="73"/>
        <v>0</v>
      </c>
      <c r="GX33" s="147">
        <f t="shared" si="74"/>
        <v>0</v>
      </c>
      <c r="GY33" s="147">
        <f t="shared" si="75"/>
        <v>0</v>
      </c>
      <c r="GZ33" s="147">
        <f t="shared" si="130"/>
        <v>0</v>
      </c>
      <c r="HA33" s="147">
        <f t="shared" si="131"/>
        <v>0</v>
      </c>
      <c r="HB33" s="147">
        <f t="shared" si="76"/>
        <v>0</v>
      </c>
      <c r="HC33" s="147">
        <f t="shared" si="77"/>
        <v>0</v>
      </c>
      <c r="HD33" s="147"/>
      <c r="HE33" s="147">
        <f t="shared" si="78"/>
        <v>0</v>
      </c>
      <c r="HF33" s="147">
        <f t="shared" si="79"/>
        <v>0</v>
      </c>
      <c r="HG33" s="147">
        <f t="shared" si="80"/>
        <v>0</v>
      </c>
      <c r="HH33" s="147">
        <f t="shared" si="81"/>
        <v>0</v>
      </c>
      <c r="HI33" s="147">
        <f t="shared" si="82"/>
        <v>0</v>
      </c>
      <c r="HJ33" s="147">
        <f t="shared" si="83"/>
        <v>0</v>
      </c>
      <c r="HK33" s="147">
        <f t="shared" si="84"/>
        <v>0</v>
      </c>
      <c r="HL33" s="147">
        <f t="shared" si="85"/>
        <v>0</v>
      </c>
      <c r="HM33" s="147">
        <f t="shared" si="86"/>
        <v>0</v>
      </c>
      <c r="HN33" s="147">
        <f t="shared" si="87"/>
        <v>0</v>
      </c>
      <c r="HO33" s="147">
        <f t="shared" si="88"/>
        <v>0</v>
      </c>
      <c r="HQ33" s="147">
        <f t="shared" si="89"/>
        <v>0</v>
      </c>
      <c r="HR33" s="147">
        <f t="shared" si="90"/>
        <v>0</v>
      </c>
      <c r="HS33" s="147">
        <f t="shared" si="91"/>
        <v>0</v>
      </c>
      <c r="HT33" s="147">
        <f t="shared" si="92"/>
        <v>0</v>
      </c>
      <c r="HU33" s="147">
        <f t="shared" si="93"/>
        <v>0</v>
      </c>
      <c r="HV33" s="147">
        <f t="shared" si="94"/>
        <v>0</v>
      </c>
      <c r="HW33" s="147">
        <f t="shared" si="95"/>
        <v>0</v>
      </c>
      <c r="HX33" s="147">
        <f t="shared" si="96"/>
        <v>0</v>
      </c>
      <c r="HY33" s="147">
        <f t="shared" si="97"/>
        <v>0</v>
      </c>
      <c r="HZ33" s="147">
        <f t="shared" si="98"/>
        <v>0</v>
      </c>
      <c r="IB33" s="147">
        <f>IF('River loads'!CI33&gt;0.99,1,0)</f>
        <v>0</v>
      </c>
      <c r="IC33">
        <f t="shared" si="99"/>
        <v>0</v>
      </c>
      <c r="ID33">
        <f t="shared" si="100"/>
        <v>0</v>
      </c>
      <c r="IE33">
        <f t="shared" si="101"/>
        <v>0</v>
      </c>
      <c r="IF33">
        <f t="shared" si="102"/>
        <v>0</v>
      </c>
      <c r="IG33">
        <f t="shared" si="103"/>
        <v>0</v>
      </c>
      <c r="IH33">
        <f t="shared" si="104"/>
        <v>0</v>
      </c>
      <c r="II33">
        <f t="shared" si="105"/>
        <v>0</v>
      </c>
      <c r="IJ33">
        <f t="shared" si="106"/>
        <v>0</v>
      </c>
      <c r="IK33">
        <f t="shared" si="132"/>
        <v>0</v>
      </c>
      <c r="IL33">
        <f t="shared" si="133"/>
        <v>0</v>
      </c>
      <c r="IM33">
        <f t="shared" si="107"/>
        <v>0</v>
      </c>
      <c r="IN33">
        <f t="shared" si="108"/>
        <v>0</v>
      </c>
      <c r="IP33">
        <f t="shared" si="109"/>
        <v>0</v>
      </c>
      <c r="IQ33">
        <f t="shared" si="110"/>
        <v>0</v>
      </c>
      <c r="IR33">
        <f t="shared" si="111"/>
        <v>0</v>
      </c>
      <c r="IS33">
        <f t="shared" si="112"/>
        <v>0</v>
      </c>
      <c r="IT33">
        <f t="shared" si="113"/>
        <v>0</v>
      </c>
      <c r="IU33">
        <f t="shared" si="114"/>
        <v>0</v>
      </c>
      <c r="IV33">
        <f t="shared" si="115"/>
        <v>0</v>
      </c>
      <c r="IW33">
        <f t="shared" si="116"/>
        <v>0</v>
      </c>
      <c r="IX33">
        <f t="shared" si="117"/>
        <v>0</v>
      </c>
    </row>
    <row r="34" spans="1:258">
      <c r="A34" s="39" t="str">
        <f>Basicinfo!A34</f>
        <v>Vökla</v>
      </c>
      <c r="B34" s="63">
        <f>Basicinfo!B34</f>
        <v>1260</v>
      </c>
      <c r="C34" s="63">
        <f>Basicinfo!C34</f>
        <v>1270</v>
      </c>
      <c r="D34" s="130">
        <f>Basicinfo!G34</f>
        <v>246.416951705</v>
      </c>
      <c r="E34" s="87">
        <f t="shared" si="118"/>
        <v>4.9386485686677402</v>
      </c>
      <c r="F34" s="19">
        <f>Intermediate!AR34</f>
        <v>3.0343981202311479E-2</v>
      </c>
      <c r="G34" s="19">
        <f>Intermediate!AU34</f>
        <v>0.99482962076690817</v>
      </c>
      <c r="H34" s="19">
        <f>Intermediate!AW34</f>
        <v>0</v>
      </c>
      <c r="I34" s="19">
        <f>Intermediate!AZ34</f>
        <v>4.7911896610499854E-2</v>
      </c>
      <c r="J34" s="19">
        <f>Intermediate!BA34</f>
        <v>3.7895946918794481</v>
      </c>
      <c r="K34" s="19">
        <f>Intermediate!AC34</f>
        <v>1.845524967694491E-2</v>
      </c>
      <c r="L34" s="19">
        <f>Intermediate!AO34</f>
        <v>9.9547245212019391E-3</v>
      </c>
      <c r="M34" s="19">
        <f>Intermediate!AP34</f>
        <v>2.2661507024969576E-2</v>
      </c>
      <c r="N34" s="19">
        <f t="shared" si="119"/>
        <v>4.9137516716822844</v>
      </c>
      <c r="O34" s="19">
        <f>Basicinfo!CB34+Basicinfo!CG34</f>
        <v>2.4896896985455774E-2</v>
      </c>
      <c r="P34" s="56">
        <f>Intermediate!BK34-Intermediate!BI34</f>
        <v>351.64264738661973</v>
      </c>
      <c r="Q34" s="43">
        <f>Intermediate!BI34</f>
        <v>1409.9388933095381</v>
      </c>
      <c r="R34" s="88">
        <f t="shared" si="134"/>
        <v>1761.5815406961578</v>
      </c>
      <c r="S34" s="61">
        <f>Intermediate!F34*Intermediate!BO34/1000</f>
        <v>2.6328649468961225</v>
      </c>
      <c r="T34" s="19">
        <f>Intermediate!BU34*Intermediate!AU34*86.4*0.365</f>
        <v>42.939851311365246</v>
      </c>
      <c r="U34" s="19">
        <f>Intermediate!AW34*Intermediate!BS34*0.365*86.4</f>
        <v>0</v>
      </c>
      <c r="V34" s="19">
        <f>(Basicinfo!BL34/1000000)*(Intermediate!BK34-Intermediate!BF34-Intermediate!BG34-Intermediate!BH34)*Intermediate!CV34</f>
        <v>4.1218456439200484</v>
      </c>
      <c r="W34" s="19">
        <f>Intermediate!BI34*Parameters!$C$51/1000000</f>
        <v>3.5248472332738458E-2</v>
      </c>
      <c r="X34" s="19">
        <f>Intermediate!AZ34*Intermediate!CG34*86.4*0.365</f>
        <v>11.958532692391248</v>
      </c>
      <c r="Y34" s="19">
        <f>Intermediate!CM34*Intermediate!BA34*86.4*0.365+Parameters!$C$126*Intermediate!BB34*Basicinfo!P34/1000+Parameters!$C$127*Intermediate!BB34*Basicinfo!S34/1000</f>
        <v>275.87799125278536</v>
      </c>
      <c r="Z34" s="19">
        <f>Intermediate!DG34</f>
        <v>1.2499576825339171</v>
      </c>
      <c r="AA34" s="19">
        <f>Intermediate!DI34</f>
        <v>3.5549198345585262</v>
      </c>
      <c r="AB34" s="19">
        <f>Intermediate!DK34</f>
        <v>0.92271076141456898</v>
      </c>
      <c r="AC34" s="19">
        <f t="shared" si="120"/>
        <v>343.29392259819781</v>
      </c>
      <c r="AD34" s="19">
        <f>Basicinfo!CC34+Basicinfo!CE34+Basicinfo!CH34+Basicinfo!CJ34</f>
        <v>1.5143126666666669</v>
      </c>
      <c r="AE34" s="87">
        <f t="shared" si="135"/>
        <v>344.80823526486449</v>
      </c>
      <c r="AF34" s="56">
        <f>Intermediate!F34*Basicinfo!BD34/1000</f>
        <v>5.0463149055714605E-2</v>
      </c>
      <c r="AG34" s="43">
        <f>Intermediate!CA34*Intermediate!AU34*86.4*0.365</f>
        <v>1.078572761027258</v>
      </c>
      <c r="AH34" s="43">
        <f>Intermediate!AW34*Intermediate!BZ34*0.365*86.4</f>
        <v>0</v>
      </c>
      <c r="AI34" s="43">
        <f>(Intermediate!CU34/1000000)*(Intermediate!BK34-Intermediate!BF34-Intermediate!BG34-Intermediate!BH34)*Intermediate!CW34</f>
        <v>1.4306309318760744</v>
      </c>
      <c r="AJ34" s="43">
        <f>Intermediate!BF34*Parameters!$C$52/1000000+(Intermediate!BG34+Intermediate!BH34)*Intermediate!CX34/1000000</f>
        <v>0.63447250198929206</v>
      </c>
      <c r="AK34" s="43">
        <f>Intermediate!AZ34*Intermediate!CH34*86.4*0.365</f>
        <v>0.11823586811011337</v>
      </c>
      <c r="AL34" s="58">
        <f>Intermediate!CR34*Intermediate!BA34*86.4*0.365</f>
        <v>1.5049237228997863</v>
      </c>
      <c r="AM34" s="43">
        <f>Intermediate!DH34</f>
        <v>0.28192828627174982</v>
      </c>
      <c r="AN34" s="42">
        <f>Intermediate!DJ34</f>
        <v>0.61637095900689687</v>
      </c>
      <c r="AO34" s="42">
        <f>Intermediate!DL34</f>
        <v>0.14174358579385432</v>
      </c>
      <c r="AP34" s="42">
        <f t="shared" si="122"/>
        <v>5.8573417660307401</v>
      </c>
      <c r="AQ34" s="43">
        <f>Basicinfo!CD34+Basicinfo!CF34+Basicinfo!CI34+Basicinfo!CK34</f>
        <v>0.57811433333333329</v>
      </c>
      <c r="AR34" s="83">
        <f t="shared" si="136"/>
        <v>6.4354560993640737</v>
      </c>
      <c r="AS34" s="19">
        <f>F34*86400*365/(Basicinfo!G34*1000000)*1000</f>
        <v>3.883368350168086</v>
      </c>
      <c r="AT34" s="19">
        <f>G34*86400*365/(Basicinfo!G34*1000000)*1000</f>
        <v>127.31651253467166</v>
      </c>
      <c r="AU34" s="19">
        <f>H34*86400*365/(Basicinfo!G34*1000000)*1000</f>
        <v>0</v>
      </c>
      <c r="AV34" s="19">
        <f>I34*86400*365/(Basicinfo!G34*1000000)*1000</f>
        <v>6.1316786895309399</v>
      </c>
      <c r="AW34" s="19">
        <f>J34*86400*365/(Basicinfo!G34*1000000)*1000</f>
        <v>484.98553925048554</v>
      </c>
      <c r="AX34" s="53">
        <f>K34*86400*365/(Basicinfo!G34*1000000)*1000</f>
        <v>2.361869789335298</v>
      </c>
      <c r="AY34" s="53">
        <f>L34*86400*365/(Basicinfo!G34*1000000)*1000</f>
        <v>1.2739878093957218</v>
      </c>
      <c r="AZ34" s="53">
        <f>M34*86400*365/(Basicinfo!G34*1000000)*1000</f>
        <v>2.9001790688288089</v>
      </c>
      <c r="BA34" s="19">
        <f t="shared" si="123"/>
        <v>628.85313549241607</v>
      </c>
      <c r="BB34" s="19">
        <f>O34*86400*365/(Basicinfo!G34*1000000)*1000</f>
        <v>3.1862602710599228</v>
      </c>
      <c r="BC34" s="53">
        <f t="shared" si="137"/>
        <v>632.03939576347602</v>
      </c>
      <c r="BD34" s="56">
        <f>P34/(Basicinfo!G34*100)*1000</f>
        <v>14.270229582565063</v>
      </c>
      <c r="BE34" s="43">
        <f>Q34/(Basicinfo!G34*100)*1000</f>
        <v>57.217609565978954</v>
      </c>
      <c r="BF34" s="58">
        <f t="shared" si="138"/>
        <v>71.487839148544012</v>
      </c>
      <c r="BG34" s="61">
        <f>S34/(Basicinfo!G34*100)*1000000</f>
        <v>106.84593444886363</v>
      </c>
      <c r="BH34" s="19">
        <f>T34/(Basicinfo!G34*100)*1000000</f>
        <v>1742.5688863634282</v>
      </c>
      <c r="BI34" s="19">
        <f>U34/(Basicinfo!G34*100)*1000000</f>
        <v>0</v>
      </c>
      <c r="BJ34" s="19">
        <f>V34/(Basicinfo!G34*100)*1000000</f>
        <v>167.27118874737761</v>
      </c>
      <c r="BK34" s="19">
        <f>W34/(Basicinfo!G34*100)*1000000</f>
        <v>1.4304402391494742</v>
      </c>
      <c r="BL34" s="19">
        <f>X34/(Basicinfo!G34*100)*1000000</f>
        <v>485.29667336797104</v>
      </c>
      <c r="BM34" s="19">
        <f>Y34/(Basicinfo!G34*100)*1000000</f>
        <v>11195.576819855109</v>
      </c>
      <c r="BN34" s="53">
        <f>Z34/(Basicinfo!G34*100)*1000000</f>
        <v>50.725312276012318</v>
      </c>
      <c r="BO34" s="53">
        <f>AA34/(Basicinfo!G34*100)*1000000</f>
        <v>144.26441890306015</v>
      </c>
      <c r="BP34" s="53">
        <f>AB34/(Basicinfo!G34*100)*1000000</f>
        <v>37.445100875981922</v>
      </c>
      <c r="BQ34" s="19">
        <f t="shared" si="125"/>
        <v>13931.424775076952</v>
      </c>
      <c r="BR34" s="19">
        <f>AD34/(Basicinfo!G34*100)*1000000</f>
        <v>61.453266757375445</v>
      </c>
      <c r="BS34" s="53">
        <f t="shared" si="139"/>
        <v>13992.878041834327</v>
      </c>
      <c r="BT34" s="56">
        <f>AF34/(Basicinfo!G34*100)*1000000</f>
        <v>2.0478765241819468</v>
      </c>
      <c r="BU34" s="43">
        <f>AG34/(Basicinfo!G34*100)*1000000</f>
        <v>43.7702338887172</v>
      </c>
      <c r="BV34" s="43">
        <f>AH34/(Basicinfo!G34*100)*1000000</f>
        <v>0</v>
      </c>
      <c r="BW34" s="43">
        <f>AI34/(Basicinfo!G34*100)*1000000</f>
        <v>58.057326088051177</v>
      </c>
      <c r="BX34" s="43">
        <f>AJ34/(Basicinfo!G34*100)*1000000</f>
        <v>25.747924304690525</v>
      </c>
      <c r="BY34" s="58">
        <f>AK34/(Basicinfo!G34*100)*1000000</f>
        <v>4.7982035039399555</v>
      </c>
      <c r="BZ34" s="58">
        <f>AL34/(Basicinfo!G34*100)*1000000</f>
        <v>61.07224817476915</v>
      </c>
      <c r="CA34" s="58">
        <f>AM34/(Basicinfo!G34*100)*1000000</f>
        <v>11.441107615407178</v>
      </c>
      <c r="CB34" s="58">
        <f>AN34/(Basicinfo!G34*100)*1000000</f>
        <v>25.013334299532701</v>
      </c>
      <c r="CC34" s="58">
        <f>AO34/(Basicinfo!G34*100)*1000000</f>
        <v>5.7521848563220512</v>
      </c>
      <c r="CD34" s="58">
        <f t="shared" si="126"/>
        <v>237.70043925561191</v>
      </c>
      <c r="CE34" s="58">
        <f>AQ34/(Basicinfo!G34*100)*1000000</f>
        <v>23.460818313564218</v>
      </c>
      <c r="CF34" s="43">
        <f t="shared" si="140"/>
        <v>261.16125756917614</v>
      </c>
      <c r="CG34" s="84"/>
      <c r="CH34" s="84">
        <f t="shared" si="8"/>
        <v>1.5143126666666669</v>
      </c>
      <c r="CI34" s="146">
        <f t="shared" si="9"/>
        <v>5.727588278507012</v>
      </c>
      <c r="CJ34" s="200">
        <f>Intermediate!EW34+Intermediate!EY34+Intermediate!FD34</f>
        <v>54.02230356221164</v>
      </c>
      <c r="CK34" s="180">
        <f>Intermediate!FA34+Intermediate!FF34</f>
        <v>28.838561694912038</v>
      </c>
      <c r="CL34" s="180">
        <f t="shared" si="10"/>
        <v>11.958532692391248</v>
      </c>
      <c r="CM34" s="180">
        <f t="shared" si="11"/>
        <v>129.92575858589589</v>
      </c>
      <c r="CN34" s="202">
        <f>Intermediate!EX34+Intermediate!EZ34+Intermediate!FE34</f>
        <v>29.908827881202754</v>
      </c>
      <c r="CO34" s="180">
        <f>Intermediate!FB34+Intermediate!FG34</f>
        <v>15.965207496421346</v>
      </c>
      <c r="CP34" s="213">
        <f>Intermediate!EP34+Intermediate!EQ34+Intermediate!ER34+Intermediate!ES34+Intermediate!ET34+Intermediate!EU34+Intermediate!EV34+W34</f>
        <v>66.947142406655857</v>
      </c>
      <c r="CQ34" s="212">
        <f t="shared" si="12"/>
        <v>45.874035377624097</v>
      </c>
      <c r="CR34" s="212">
        <f t="shared" si="13"/>
        <v>224.74515653541084</v>
      </c>
      <c r="CS34" s="211">
        <f t="shared" si="14"/>
        <v>2.7642703492005838</v>
      </c>
      <c r="CT34" s="212">
        <f t="shared" si="15"/>
        <v>340.3306046688914</v>
      </c>
      <c r="CU34" s="84"/>
      <c r="CV34" s="31">
        <f t="shared" si="16"/>
        <v>344.80823526486449</v>
      </c>
      <c r="CW34" s="31">
        <f>CH34/Basicinfo!$G34*1000/100</f>
        <v>6.145326675737546E-2</v>
      </c>
      <c r="CX34" s="31">
        <f>CI34/Basicinfo!$G34*1000/100</f>
        <v>0.23243483205505439</v>
      </c>
      <c r="CY34" s="31">
        <f>CS34/Basicinfo!$G34*1000/100</f>
        <v>0.11217857903338777</v>
      </c>
      <c r="CZ34" s="31">
        <f>CN34/Basicinfo!$G34*1000/100</f>
        <v>1.2137487974856673</v>
      </c>
      <c r="DA34" s="31">
        <f>CO34/Basicinfo!$G34*1000/100</f>
        <v>0.64789404243317716</v>
      </c>
      <c r="DB34" s="31">
        <f>CQ34/Basicinfo!$G34*1000/100</f>
        <v>1.8616428399188445</v>
      </c>
      <c r="DC34" s="31">
        <f>CJ34/Basicinfo!$G34*1000/100</f>
        <v>2.1923127929479813</v>
      </c>
      <c r="DD34" s="31">
        <f>CK34/Basicinfo!$G34*1000/100</f>
        <v>1.1703156578868952</v>
      </c>
      <c r="DE34" s="31">
        <f>CM34/Basicinfo!$G34*1000/100</f>
        <v>5.2725982399716376</v>
      </c>
      <c r="DF34" s="31">
        <f>CR34/Basicinfo!$G34*1000/100</f>
        <v>9.1205233641744847</v>
      </c>
      <c r="DG34" s="31">
        <f>CP34/Basicinfo!$G34*1000/100</f>
        <v>2.7168237389285683</v>
      </c>
      <c r="DH34" s="31">
        <f>CT34/Basicinfo!$G34*1000/100</f>
        <v>13.811168522055288</v>
      </c>
      <c r="DI34" s="31">
        <f>CV34/Basicinfo!$G34*1000/100</f>
        <v>13.992878041834329</v>
      </c>
      <c r="DJ34" s="31"/>
      <c r="DK34" s="188">
        <f t="shared" si="17"/>
        <v>0.44495342055409504</v>
      </c>
      <c r="DL34" s="188">
        <f t="shared" si="18"/>
        <v>1.6829483449128528</v>
      </c>
      <c r="DM34" s="188">
        <f t="shared" si="19"/>
        <v>0.81223090467868742</v>
      </c>
      <c r="DN34" s="188">
        <f t="shared" si="20"/>
        <v>8.7881687602856466</v>
      </c>
      <c r="DO34" s="188">
        <f t="shared" si="21"/>
        <v>4.6910878062094774</v>
      </c>
      <c r="DP34" s="188">
        <f t="shared" si="22"/>
        <v>13.47925656649512</v>
      </c>
      <c r="DQ34" s="188">
        <f t="shared" si="23"/>
        <v>15.873477971447819</v>
      </c>
      <c r="DR34" s="188">
        <f t="shared" si="24"/>
        <v>8.4736903761473812</v>
      </c>
      <c r="DS34" s="188">
        <f t="shared" si="25"/>
        <v>38.176337009802872</v>
      </c>
      <c r="DT34" s="188">
        <f t="shared" si="26"/>
        <v>66.03730415431373</v>
      </c>
      <c r="DU34" s="188">
        <f t="shared" si="27"/>
        <v>19.67120837451246</v>
      </c>
      <c r="DV34" s="188">
        <f t="shared" si="28"/>
        <v>100</v>
      </c>
      <c r="DW34" s="188">
        <f t="shared" si="29"/>
        <v>101.31567086078826</v>
      </c>
      <c r="DY34" s="181">
        <f t="shared" si="30"/>
        <v>0.57811433333333329</v>
      </c>
      <c r="DZ34" s="181">
        <f t="shared" si="127"/>
        <v>1.040042831072501</v>
      </c>
      <c r="EA34" s="185">
        <f t="shared" si="31"/>
        <v>0.11823586811011337</v>
      </c>
      <c r="EB34" s="185">
        <f>AG34+AH34+AL34-Intermediate!FJ34-Intermediate!FM34</f>
        <v>1.4631183914955106</v>
      </c>
      <c r="EC34" s="185">
        <f>AI34+AJ34-Intermediate!FK34</f>
        <v>1.349341111819081</v>
      </c>
      <c r="ED34" s="240">
        <f t="shared" si="32"/>
        <v>5.0463149055714605E-2</v>
      </c>
      <c r="EE34" s="240">
        <f>Intermediate!FJ34+Intermediate!FK34+Intermediate!FM34</f>
        <v>1.8361404144778191</v>
      </c>
      <c r="EF34" s="240">
        <f t="shared" si="33"/>
        <v>2.9306953714247048</v>
      </c>
      <c r="EG34" s="240">
        <f t="shared" si="34"/>
        <v>1.6181571644058343</v>
      </c>
      <c r="EH34" s="240">
        <f t="shared" si="35"/>
        <v>6.4354560993640728</v>
      </c>
      <c r="EI34" s="181">
        <f t="shared" si="36"/>
        <v>6.4354560993640737</v>
      </c>
      <c r="EK34" s="31">
        <f>DY34/Basicinfo!$G34*1000/100</f>
        <v>2.3460818313564214E-2</v>
      </c>
      <c r="EL34" s="31">
        <f>DZ34/Basicinfo!$G34*1000/100</f>
        <v>4.2206626771261926E-2</v>
      </c>
      <c r="EM34" s="220">
        <f>EG34/Basicinfo!$G34*1000/100</f>
        <v>6.5667445084826137E-2</v>
      </c>
      <c r="EN34" s="220">
        <f>ED34/Basicinfo!$G34*1000/100</f>
        <v>2.0478765241819467E-3</v>
      </c>
      <c r="EO34" s="220">
        <f>EF34/Basicinfo!$G34*1000/100</f>
        <v>0.11893237665455784</v>
      </c>
      <c r="EP34" s="220">
        <f>EE34/Basicinfo!$G34*1000/100</f>
        <v>7.4513559305610155E-2</v>
      </c>
      <c r="EQ34" s="220">
        <f>EH34/Basicinfo!$G34*1000/100</f>
        <v>0.26116125756917608</v>
      </c>
      <c r="ER34" s="31">
        <f>EI34/Basicinfo!$G34*1000/100</f>
        <v>0.26116125756917613</v>
      </c>
      <c r="ET34" s="188">
        <f t="shared" si="37"/>
        <v>8.9832690085549665</v>
      </c>
      <c r="EU34" s="188">
        <f t="shared" si="38"/>
        <v>16.161136289551784</v>
      </c>
      <c r="EV34" s="223">
        <f t="shared" si="39"/>
        <v>25.144405298106747</v>
      </c>
      <c r="EW34" s="223">
        <f t="shared" si="40"/>
        <v>0.78414254213778523</v>
      </c>
      <c r="EX34" s="223">
        <f t="shared" si="41"/>
        <v>45.539823847361873</v>
      </c>
      <c r="EY34" s="223">
        <f t="shared" si="42"/>
        <v>28.531628312393568</v>
      </c>
      <c r="EZ34" s="223">
        <f t="shared" si="43"/>
        <v>99.999999999999972</v>
      </c>
      <c r="FA34" s="188">
        <f t="shared" si="44"/>
        <v>100</v>
      </c>
      <c r="FC34" s="236">
        <f>Basicinfo!CT34</f>
        <v>1.6361935483870966</v>
      </c>
      <c r="FD34" s="181">
        <f>IF((Intermediate!CL34+Intermediate!CM34*3)/4&gt;11,(Intermediate!CL34+Intermediate!CM34*9)/10,(Intermediate!CL34+Intermediate!CM34*3)/4)</f>
        <v>2.6743045048701957</v>
      </c>
      <c r="FF34" s="31">
        <f t="shared" si="45"/>
        <v>5.0463149055714605E-2</v>
      </c>
      <c r="FG34" s="31">
        <f t="shared" si="46"/>
        <v>1.078572761027258</v>
      </c>
      <c r="FH34" s="31">
        <f t="shared" si="47"/>
        <v>0</v>
      </c>
      <c r="FI34" s="31">
        <f>(AI34-(P34*450/1000000))*Parameters!$C$153</f>
        <v>1.0179133924416763</v>
      </c>
      <c r="FJ34" s="31"/>
      <c r="FK34" s="31">
        <f t="shared" si="48"/>
        <v>0.11823586811011337</v>
      </c>
      <c r="FL34" s="31">
        <f t="shared" si="49"/>
        <v>1.5049237228997863</v>
      </c>
      <c r="FM34" s="31">
        <f>AM34*Parameters!$C$154</f>
        <v>0.25373545764457484</v>
      </c>
      <c r="FN34" s="31">
        <f>AN34*Parameters!$C$154</f>
        <v>0.5547338631062072</v>
      </c>
      <c r="FO34" s="31">
        <f>AO34*Parameters!$C$154</f>
        <v>0.12756922721446889</v>
      </c>
      <c r="FP34" s="31">
        <f>AQ34*Parameters!$C$155</f>
        <v>0.57811433333333329</v>
      </c>
      <c r="FQ34" s="31">
        <f t="shared" si="50"/>
        <v>5.2842617748331335</v>
      </c>
      <c r="FS34" s="147">
        <f>DY34*Parameters!$C$155</f>
        <v>0.57811433333333329</v>
      </c>
      <c r="FT34" s="147">
        <f>DZ34*Parameters!$C$154</f>
        <v>0.93603854796525088</v>
      </c>
      <c r="FU34" s="181">
        <f t="shared" si="51"/>
        <v>0.11823586811011337</v>
      </c>
      <c r="FV34" s="181">
        <f t="shared" si="52"/>
        <v>1.4631183914955106</v>
      </c>
      <c r="FW34" s="31">
        <f t="shared" si="53"/>
        <v>1.0179133924416763</v>
      </c>
      <c r="FX34" s="181">
        <f t="shared" si="54"/>
        <v>5.0463149055714605E-2</v>
      </c>
      <c r="FY34" s="147">
        <f>Intermediate!FJ34+Intermediate!FM34</f>
        <v>1.1203780924315339</v>
      </c>
      <c r="FZ34" s="181">
        <f t="shared" si="55"/>
        <v>2.5992676520473004</v>
      </c>
      <c r="GA34" s="147">
        <f t="shared" si="56"/>
        <v>1.5141528812985841</v>
      </c>
      <c r="GB34" s="181">
        <f t="shared" si="57"/>
        <v>5.2842617748331335</v>
      </c>
      <c r="GD34" s="147">
        <f>IF('River loads'!CH34&gt;0.99,1,0)</f>
        <v>0</v>
      </c>
      <c r="GE34" s="147">
        <f t="shared" si="58"/>
        <v>0</v>
      </c>
      <c r="GF34" s="147">
        <f t="shared" si="59"/>
        <v>0</v>
      </c>
      <c r="GG34" s="147">
        <f t="shared" si="60"/>
        <v>0</v>
      </c>
      <c r="GH34" s="147">
        <f t="shared" si="61"/>
        <v>0</v>
      </c>
      <c r="GI34" s="147">
        <f t="shared" si="62"/>
        <v>0</v>
      </c>
      <c r="GJ34" s="147">
        <f t="shared" si="63"/>
        <v>0</v>
      </c>
      <c r="GK34" s="147">
        <f t="shared" si="64"/>
        <v>0</v>
      </c>
      <c r="GL34" s="147">
        <f t="shared" si="65"/>
        <v>0</v>
      </c>
      <c r="GM34" s="270">
        <f t="shared" si="128"/>
        <v>0</v>
      </c>
      <c r="GN34" s="270">
        <f t="shared" si="129"/>
        <v>0</v>
      </c>
      <c r="GO34" s="147">
        <f t="shared" si="66"/>
        <v>0</v>
      </c>
      <c r="GP34" s="147">
        <f t="shared" si="67"/>
        <v>0</v>
      </c>
      <c r="GQ34" s="147"/>
      <c r="GR34" s="147">
        <f t="shared" si="68"/>
        <v>0</v>
      </c>
      <c r="GS34" s="147">
        <f t="shared" si="69"/>
        <v>0</v>
      </c>
      <c r="GT34" s="147">
        <f t="shared" si="70"/>
        <v>0</v>
      </c>
      <c r="GU34" s="147">
        <f t="shared" si="71"/>
        <v>0</v>
      </c>
      <c r="GV34" s="147">
        <f t="shared" si="72"/>
        <v>0</v>
      </c>
      <c r="GW34" s="147">
        <f t="shared" si="73"/>
        <v>0</v>
      </c>
      <c r="GX34" s="147">
        <f t="shared" si="74"/>
        <v>0</v>
      </c>
      <c r="GY34" s="147">
        <f t="shared" si="75"/>
        <v>0</v>
      </c>
      <c r="GZ34" s="147">
        <f t="shared" si="130"/>
        <v>0</v>
      </c>
      <c r="HA34" s="147">
        <f t="shared" si="131"/>
        <v>0</v>
      </c>
      <c r="HB34" s="147">
        <f t="shared" si="76"/>
        <v>0</v>
      </c>
      <c r="HC34" s="147">
        <f t="shared" si="77"/>
        <v>0</v>
      </c>
      <c r="HD34" s="147"/>
      <c r="HE34" s="147">
        <f t="shared" si="78"/>
        <v>0</v>
      </c>
      <c r="HF34" s="147">
        <f t="shared" si="79"/>
        <v>0</v>
      </c>
      <c r="HG34" s="147">
        <f t="shared" si="80"/>
        <v>0</v>
      </c>
      <c r="HH34" s="147">
        <f t="shared" si="81"/>
        <v>0</v>
      </c>
      <c r="HI34" s="147">
        <f t="shared" si="82"/>
        <v>0</v>
      </c>
      <c r="HJ34" s="147">
        <f t="shared" si="83"/>
        <v>0</v>
      </c>
      <c r="HK34" s="147">
        <f t="shared" si="84"/>
        <v>0</v>
      </c>
      <c r="HL34" s="147">
        <f t="shared" si="85"/>
        <v>0</v>
      </c>
      <c r="HM34" s="147">
        <f t="shared" si="86"/>
        <v>0</v>
      </c>
      <c r="HN34" s="147">
        <f t="shared" si="87"/>
        <v>0</v>
      </c>
      <c r="HO34" s="147">
        <f t="shared" si="88"/>
        <v>0</v>
      </c>
      <c r="HQ34" s="147">
        <f t="shared" si="89"/>
        <v>0</v>
      </c>
      <c r="HR34" s="147">
        <f t="shared" si="90"/>
        <v>0</v>
      </c>
      <c r="HS34" s="147">
        <f t="shared" si="91"/>
        <v>0</v>
      </c>
      <c r="HT34" s="147">
        <f t="shared" si="92"/>
        <v>0</v>
      </c>
      <c r="HU34" s="147">
        <f t="shared" si="93"/>
        <v>0</v>
      </c>
      <c r="HV34" s="147">
        <f t="shared" si="94"/>
        <v>0</v>
      </c>
      <c r="HW34" s="147">
        <f t="shared" si="95"/>
        <v>0</v>
      </c>
      <c r="HX34" s="147">
        <f t="shared" si="96"/>
        <v>0</v>
      </c>
      <c r="HY34" s="147">
        <f t="shared" si="97"/>
        <v>0</v>
      </c>
      <c r="HZ34" s="147">
        <f t="shared" si="98"/>
        <v>0</v>
      </c>
      <c r="IB34" s="147">
        <f>IF('River loads'!CI34&gt;0.99,1,0)</f>
        <v>0</v>
      </c>
      <c r="IC34">
        <f t="shared" si="99"/>
        <v>0</v>
      </c>
      <c r="ID34">
        <f t="shared" si="100"/>
        <v>0</v>
      </c>
      <c r="IE34">
        <f t="shared" si="101"/>
        <v>0</v>
      </c>
      <c r="IF34">
        <f t="shared" si="102"/>
        <v>0</v>
      </c>
      <c r="IG34">
        <f t="shared" si="103"/>
        <v>0</v>
      </c>
      <c r="IH34">
        <f t="shared" si="104"/>
        <v>0</v>
      </c>
      <c r="II34">
        <f t="shared" si="105"/>
        <v>0</v>
      </c>
      <c r="IJ34">
        <f t="shared" si="106"/>
        <v>0</v>
      </c>
      <c r="IK34">
        <f t="shared" si="132"/>
        <v>0</v>
      </c>
      <c r="IL34">
        <f t="shared" si="133"/>
        <v>0</v>
      </c>
      <c r="IM34">
        <f t="shared" si="107"/>
        <v>0</v>
      </c>
      <c r="IN34">
        <f t="shared" si="108"/>
        <v>0</v>
      </c>
      <c r="IP34">
        <f t="shared" si="109"/>
        <v>0</v>
      </c>
      <c r="IQ34">
        <f t="shared" si="110"/>
        <v>0</v>
      </c>
      <c r="IR34">
        <f t="shared" si="111"/>
        <v>0</v>
      </c>
      <c r="IS34">
        <f t="shared" si="112"/>
        <v>0</v>
      </c>
      <c r="IT34">
        <f t="shared" si="113"/>
        <v>0</v>
      </c>
      <c r="IU34">
        <f t="shared" si="114"/>
        <v>0</v>
      </c>
      <c r="IV34">
        <f t="shared" si="115"/>
        <v>0</v>
      </c>
      <c r="IW34">
        <f t="shared" si="116"/>
        <v>0</v>
      </c>
      <c r="IX34">
        <f t="shared" si="117"/>
        <v>0</v>
      </c>
    </row>
    <row r="35" spans="1:258">
      <c r="A35" s="39" t="str">
        <f>Basicinfo!A35</f>
        <v>Vökla</v>
      </c>
      <c r="B35" s="63">
        <f>Basicinfo!B35</f>
        <v>1270</v>
      </c>
      <c r="C35" s="63">
        <f>Basicinfo!C35</f>
        <v>1290</v>
      </c>
      <c r="D35" s="130">
        <f>Basicinfo!G35</f>
        <v>98.631832488100002</v>
      </c>
      <c r="E35" s="87">
        <f t="shared" si="118"/>
        <v>1.9074490055154001</v>
      </c>
      <c r="F35" s="19">
        <f>Intermediate!AR35</f>
        <v>1.1363914756966142E-2</v>
      </c>
      <c r="G35" s="19">
        <f>Intermediate!AU35</f>
        <v>0.3397907331339749</v>
      </c>
      <c r="H35" s="19">
        <f>Intermediate!AW35</f>
        <v>0</v>
      </c>
      <c r="I35" s="19">
        <f>Intermediate!AZ35</f>
        <v>9.2757997929216861E-3</v>
      </c>
      <c r="J35" s="19">
        <f>Intermediate!BA35</f>
        <v>1.3751662855687437</v>
      </c>
      <c r="K35" s="19">
        <f>Intermediate!AC35</f>
        <v>1.3517431153949768E-2</v>
      </c>
      <c r="L35" s="19">
        <f>Intermediate!AO35</f>
        <v>6.0765117100205612E-3</v>
      </c>
      <c r="M35" s="19">
        <f>Intermediate!AP35</f>
        <v>1.5221768854260471E-2</v>
      </c>
      <c r="N35" s="19">
        <f t="shared" si="119"/>
        <v>1.7704124449708372</v>
      </c>
      <c r="O35" s="19">
        <f>Basicinfo!CB35+Basicinfo!CG35</f>
        <v>0.13703656054456284</v>
      </c>
      <c r="P35" s="56">
        <f>Intermediate!BK35-Intermediate!BI35</f>
        <v>269.46908069532986</v>
      </c>
      <c r="Q35" s="43">
        <f>Intermediate!BI35</f>
        <v>444.138527261089</v>
      </c>
      <c r="R35" s="88">
        <f t="shared" si="134"/>
        <v>713.60760795641886</v>
      </c>
      <c r="S35" s="61">
        <f>Intermediate!F35*Intermediate!BO35/1000</f>
        <v>1.6339444221303578</v>
      </c>
      <c r="T35" s="19">
        <f>Intermediate!BU35*Intermediate!AU35*86.4*0.365</f>
        <v>18.438452945394374</v>
      </c>
      <c r="U35" s="19">
        <f>Intermediate!AW35*Intermediate!BS35*0.365*86.4</f>
        <v>0</v>
      </c>
      <c r="V35" s="19">
        <f>(Basicinfo!BL35/1000000)*(Intermediate!BK35-Intermediate!BF35-Intermediate!BG35-Intermediate!BH35)*Intermediate!CV35</f>
        <v>2.0221375223379416</v>
      </c>
      <c r="W35" s="19">
        <f>Intermediate!BI35*Parameters!$C$51/1000000</f>
        <v>1.1103463181527225E-2</v>
      </c>
      <c r="X35" s="19">
        <f>Intermediate!AZ35*Intermediate!CG35*86.4*0.365</f>
        <v>3.0084901731825777</v>
      </c>
      <c r="Y35" s="19">
        <f>Intermediate!CM35*Intermediate!BA35*86.4*0.365+Parameters!$C$126*Intermediate!BB35*Basicinfo!P35/1000+Parameters!$C$127*Intermediate!BB35*Basicinfo!S35/1000</f>
        <v>110.25203287045061</v>
      </c>
      <c r="Z35" s="19">
        <f>Intermediate!DG35</f>
        <v>1.0774488201029553</v>
      </c>
      <c r="AA35" s="19">
        <f>Intermediate!DI35</f>
        <v>1.8753451121204388</v>
      </c>
      <c r="AB35" s="19">
        <f>Intermediate!DK35</f>
        <v>0.57922104886437198</v>
      </c>
      <c r="AC35" s="19">
        <f t="shared" si="120"/>
        <v>138.89817637776517</v>
      </c>
      <c r="AD35" s="19">
        <f>Basicinfo!CC35+Basicinfo!CE35+Basicinfo!CH35+Basicinfo!CJ35</f>
        <v>25.671532166666665</v>
      </c>
      <c r="AE35" s="87">
        <f t="shared" si="135"/>
        <v>164.56970854443182</v>
      </c>
      <c r="AF35" s="56">
        <f>Intermediate!F35*Basicinfo!BD35/1000</f>
        <v>3.0806674803577329E-2</v>
      </c>
      <c r="AG35" s="43">
        <f>Intermediate!CA35*Intermediate!AU35*86.4*0.365</f>
        <v>0.37429411344539676</v>
      </c>
      <c r="AH35" s="43">
        <f>Intermediate!AW35*Intermediate!BZ35*0.365*86.4</f>
        <v>0</v>
      </c>
      <c r="AI35" s="43">
        <f>(Intermediate!CU35/1000000)*(Intermediate!BK35-Intermediate!BF35-Intermediate!BG35-Intermediate!BH35)*Intermediate!CW35</f>
        <v>1.0805810545924379</v>
      </c>
      <c r="AJ35" s="43">
        <f>Intermediate!BF35*Parameters!$C$52/1000000+(Intermediate!BG35+Intermediate!BH35)*Intermediate!CX35/1000000</f>
        <v>0.19986233726749006</v>
      </c>
      <c r="AK35" s="43">
        <f>Intermediate!AZ35*Intermediate!CH35*86.4*0.365</f>
        <v>2.8498128565264638E-2</v>
      </c>
      <c r="AL35" s="58">
        <f>Intermediate!CR35*Intermediate!BA35*86.4*0.365</f>
        <v>1.5055550454634523</v>
      </c>
      <c r="AM35" s="43">
        <f>Intermediate!DH35</f>
        <v>0.22785571862520654</v>
      </c>
      <c r="AN35" s="42">
        <f>Intermediate!DJ35</f>
        <v>0.32679646641139221</v>
      </c>
      <c r="AO35" s="42">
        <f>Intermediate!DL35</f>
        <v>8.6008182418609261E-2</v>
      </c>
      <c r="AP35" s="42">
        <f t="shared" si="122"/>
        <v>3.8602577215928267</v>
      </c>
      <c r="AQ35" s="43">
        <f>Basicinfo!CD35+Basicinfo!CF35+Basicinfo!CI35+Basicinfo!CK35</f>
        <v>2.4742743333333328</v>
      </c>
      <c r="AR35" s="83">
        <f t="shared" si="136"/>
        <v>6.334532054926159</v>
      </c>
      <c r="AS35" s="19">
        <f>F35*86400*365/(Basicinfo!G35*1000000)*1000</f>
        <v>3.6334356438011235</v>
      </c>
      <c r="AT35" s="19">
        <f>G35*86400*365/(Basicinfo!G35*1000000)*1000</f>
        <v>108.64282138736378</v>
      </c>
      <c r="AU35" s="19">
        <f>H35*86400*365/(Basicinfo!G35*1000000)*1000</f>
        <v>0</v>
      </c>
      <c r="AV35" s="19">
        <f>I35*86400*365/(Basicinfo!G35*1000000)*1000</f>
        <v>2.9657932423071549</v>
      </c>
      <c r="AW35" s="19">
        <f>J35*86400*365/(Basicinfo!G35*1000000)*1000</f>
        <v>439.68810968738904</v>
      </c>
      <c r="AX35" s="53">
        <f>K35*86400*365/(Basicinfo!G35*1000000)*1000</f>
        <v>4.3219891399907988</v>
      </c>
      <c r="AY35" s="53">
        <f>L35*86400*365/(Basicinfo!G35*1000000)*1000</f>
        <v>1.9428704552389671</v>
      </c>
      <c r="AZ35" s="53">
        <f>M35*86400*365/(Basicinfo!G35*1000000)*1000</f>
        <v>4.866924708570882</v>
      </c>
      <c r="BA35" s="19">
        <f t="shared" si="123"/>
        <v>566.06194426466186</v>
      </c>
      <c r="BB35" s="19">
        <f>O35*86400*365/(Basicinfo!G35*1000000)*1000</f>
        <v>43.815316661126978</v>
      </c>
      <c r="BC35" s="53">
        <f t="shared" si="137"/>
        <v>609.87726092578885</v>
      </c>
      <c r="BD35" s="56">
        <f>P35/(Basicinfo!G35*100)*1000</f>
        <v>27.320701024980092</v>
      </c>
      <c r="BE35" s="43">
        <f>Q35/(Basicinfo!G35*100)*1000</f>
        <v>45.029937704409434</v>
      </c>
      <c r="BF35" s="58">
        <f t="shared" si="138"/>
        <v>72.35063872938953</v>
      </c>
      <c r="BG35" s="61">
        <f>S35/(Basicinfo!G35*100)*1000000</f>
        <v>165.66096167051285</v>
      </c>
      <c r="BH35" s="19">
        <f>T35/(Basicinfo!G35*100)*1000000</f>
        <v>1869.4221206545042</v>
      </c>
      <c r="BI35" s="19">
        <f>U35/(Basicinfo!G35*100)*1000000</f>
        <v>0</v>
      </c>
      <c r="BJ35" s="19">
        <f>V35/(Basicinfo!G35*100)*1000000</f>
        <v>205.01875219462377</v>
      </c>
      <c r="BK35" s="19">
        <f>W35/(Basicinfo!G35*100)*1000000</f>
        <v>1.1257484426102358</v>
      </c>
      <c r="BL35" s="19">
        <f>X35/(Basicinfo!G35*100)*1000000</f>
        <v>305.02223240611028</v>
      </c>
      <c r="BM35" s="19">
        <f>Y35/(Basicinfo!G35*100)*1000000</f>
        <v>11178.138952629983</v>
      </c>
      <c r="BN35" s="53">
        <f>Z35/(Basicinfo!G35*100)*1000000</f>
        <v>109.2394608234568</v>
      </c>
      <c r="BO35" s="53">
        <f>AA35/(Basicinfo!G35*100)*1000000</f>
        <v>190.1358886692793</v>
      </c>
      <c r="BP35" s="53">
        <f>AB35/(Basicinfo!G35*100)*1000000</f>
        <v>58.725569043265558</v>
      </c>
      <c r="BQ35" s="19">
        <f t="shared" si="125"/>
        <v>14082.489686534345</v>
      </c>
      <c r="BR35" s="19">
        <f>AD35/(Basicinfo!G35*100)*1000000</f>
        <v>2602.7633796385107</v>
      </c>
      <c r="BS35" s="53">
        <f t="shared" si="139"/>
        <v>16685.253066172856</v>
      </c>
      <c r="BT35" s="56">
        <f>AF35/(Basicinfo!G35*100)*1000000</f>
        <v>3.1234008358603873</v>
      </c>
      <c r="BU35" s="43">
        <f>AG35/(Basicinfo!G35*100)*1000000</f>
        <v>37.948611924102245</v>
      </c>
      <c r="BV35" s="43">
        <f>AH35/(Basicinfo!G35*100)*1000000</f>
        <v>0</v>
      </c>
      <c r="BW35" s="43">
        <f>AI35/(Basicinfo!G35*100)*1000000</f>
        <v>109.55702913892537</v>
      </c>
      <c r="BX35" s="43">
        <f>AJ35/(Basicinfo!G35*100)*1000000</f>
        <v>20.263471966984248</v>
      </c>
      <c r="BY35" s="58">
        <f>AK35/(Basicinfo!G35*100)*1000000</f>
        <v>2.8893439213656458</v>
      </c>
      <c r="BZ35" s="58">
        <f>AL35/(Basicinfo!G35*100)*1000000</f>
        <v>152.64392919447161</v>
      </c>
      <c r="CA35" s="58">
        <f>AM35/(Basicinfo!G35*100)*1000000</f>
        <v>23.101641009528795</v>
      </c>
      <c r="CB35" s="58">
        <f>AN35/(Basicinfo!G35*100)*1000000</f>
        <v>33.132961049955185</v>
      </c>
      <c r="CC35" s="58">
        <f>AO35/(Basicinfo!G35*100)*1000000</f>
        <v>8.7201241474435953</v>
      </c>
      <c r="CD35" s="58">
        <f t="shared" si="126"/>
        <v>391.38051318863711</v>
      </c>
      <c r="CE35" s="58">
        <f>AQ35/(Basicinfo!G35*100)*1000000</f>
        <v>250.85961305969403</v>
      </c>
      <c r="CF35" s="43">
        <f t="shared" si="140"/>
        <v>642.24012624833108</v>
      </c>
      <c r="CG35" s="84"/>
      <c r="CH35" s="84">
        <f t="shared" si="8"/>
        <v>25.671532166666665</v>
      </c>
      <c r="CI35" s="146">
        <f t="shared" si="9"/>
        <v>3.5320149810877663</v>
      </c>
      <c r="CJ35" s="200">
        <f>Intermediate!EW35+Intermediate!EY35+Intermediate!FD35</f>
        <v>19.00559959415865</v>
      </c>
      <c r="CK35" s="180">
        <f>Intermediate!FA35+Intermediate!FF35</f>
        <v>12.647971241547115</v>
      </c>
      <c r="CL35" s="180">
        <f t="shared" si="10"/>
        <v>3.0084901731825777</v>
      </c>
      <c r="CM35" s="180">
        <f t="shared" si="11"/>
        <v>57.091150145676885</v>
      </c>
      <c r="CN35" s="202">
        <f>Intermediate!EX35+Intermediate!EZ35+Intermediate!FE35</f>
        <v>10.490769901213712</v>
      </c>
      <c r="CO35" s="180">
        <f>Intermediate!FB35+Intermediate!FG35</f>
        <v>6.9949658710401845</v>
      </c>
      <c r="CP35" s="213">
        <f>Intermediate!EP35+Intermediate!EQ35+Intermediate!ER35+Intermediate!ES35+Intermediate!ET35+Intermediate!EU35+Intermediate!EV35+W35</f>
        <v>26.127214469858295</v>
      </c>
      <c r="CQ35" s="212">
        <f t="shared" si="12"/>
        <v>17.485735772253896</v>
      </c>
      <c r="CR35" s="212">
        <f t="shared" si="13"/>
        <v>91.753211154565236</v>
      </c>
      <c r="CS35" s="211">
        <f t="shared" si="14"/>
        <v>26.74898098676962</v>
      </c>
      <c r="CT35" s="212">
        <f t="shared" si="15"/>
        <v>162.11514238344705</v>
      </c>
      <c r="CU35" s="84"/>
      <c r="CV35" s="31">
        <f t="shared" si="16"/>
        <v>164.56970854443182</v>
      </c>
      <c r="CW35" s="31">
        <f>CH35/Basicinfo!$G35*1000/100</f>
        <v>2.6027633796385108</v>
      </c>
      <c r="CX35" s="31">
        <f>CI35/Basicinfo!$G35*1000/100</f>
        <v>0.35810091853600168</v>
      </c>
      <c r="CY35" s="31">
        <f>CS35/Basicinfo!$G35*1000/100</f>
        <v>2.7120028404619676</v>
      </c>
      <c r="CZ35" s="31">
        <f>CN35/Basicinfo!$G35*1000/100</f>
        <v>1.0636292195503345</v>
      </c>
      <c r="DA35" s="31">
        <f>CO35/Basicinfo!$G35*1000/100</f>
        <v>0.70919962598120978</v>
      </c>
      <c r="DB35" s="31">
        <f>CQ35/Basicinfo!$G35*1000/100</f>
        <v>1.7728288455315442</v>
      </c>
      <c r="DC35" s="31">
        <f>CJ35/Basicinfo!$G35*1000/100</f>
        <v>1.9269235007320469</v>
      </c>
      <c r="DD35" s="31">
        <f>CK35/Basicinfo!$G35*1000/100</f>
        <v>1.2823417067783973</v>
      </c>
      <c r="DE35" s="31">
        <f>CM35/Basicinfo!$G35*1000/100</f>
        <v>5.7883087747117505</v>
      </c>
      <c r="DF35" s="31">
        <f>CR35/Basicinfo!$G35*1000/100</f>
        <v>9.3025962146283074</v>
      </c>
      <c r="DG35" s="31">
        <f>CP35/Basicinfo!$G35*1000/100</f>
        <v>2.6489637078384978</v>
      </c>
      <c r="DH35" s="31">
        <f>CT35/Basicinfo!$G35*1000/100</f>
        <v>16.436391608460315</v>
      </c>
      <c r="DI35" s="31">
        <f>CV35/Basicinfo!$G35*1000/100</f>
        <v>16.685253066172859</v>
      </c>
      <c r="DJ35" s="31"/>
      <c r="DK35" s="188">
        <f t="shared" si="17"/>
        <v>15.835369718854766</v>
      </c>
      <c r="DL35" s="188">
        <f t="shared" si="18"/>
        <v>2.1787076328339374</v>
      </c>
      <c r="DM35" s="188">
        <f t="shared" si="19"/>
        <v>16.499989201194357</v>
      </c>
      <c r="DN35" s="188">
        <f t="shared" si="20"/>
        <v>6.4711844599933457</v>
      </c>
      <c r="DO35" s="188">
        <f t="shared" si="21"/>
        <v>4.3148133901613956</v>
      </c>
      <c r="DP35" s="188">
        <f t="shared" si="22"/>
        <v>10.785997850154741</v>
      </c>
      <c r="DQ35" s="188">
        <f t="shared" si="23"/>
        <v>11.723519046237618</v>
      </c>
      <c r="DR35" s="188">
        <f t="shared" si="24"/>
        <v>7.8018444517854917</v>
      </c>
      <c r="DS35" s="188">
        <f t="shared" si="25"/>
        <v>35.216420444328733</v>
      </c>
      <c r="DT35" s="188">
        <f t="shared" si="26"/>
        <v>56.597557640571026</v>
      </c>
      <c r="DU35" s="188">
        <f t="shared" si="27"/>
        <v>16.116455308079871</v>
      </c>
      <c r="DV35" s="188">
        <f t="shared" si="28"/>
        <v>100</v>
      </c>
      <c r="DW35" s="188">
        <f t="shared" si="29"/>
        <v>101.51408815049432</v>
      </c>
      <c r="DY35" s="181">
        <f t="shared" si="30"/>
        <v>2.4742743333333328</v>
      </c>
      <c r="DZ35" s="181">
        <f t="shared" si="127"/>
        <v>0.64066036745520805</v>
      </c>
      <c r="EA35" s="185">
        <f t="shared" si="31"/>
        <v>2.8498128565264638E-2</v>
      </c>
      <c r="EB35" s="185">
        <f>AG35+AH35+AL35-Intermediate!FJ35-Intermediate!FM35</f>
        <v>1.4850228634570499</v>
      </c>
      <c r="EC35" s="185">
        <f>AI35+AJ35-Intermediate!FK35</f>
        <v>1.0313213538648127</v>
      </c>
      <c r="ED35" s="240">
        <f t="shared" si="32"/>
        <v>3.0806674803577329E-2</v>
      </c>
      <c r="EE35" s="240">
        <f>Intermediate!FJ35+Intermediate!FK35+Intermediate!FM35</f>
        <v>0.64394833344691449</v>
      </c>
      <c r="EF35" s="240">
        <f t="shared" si="33"/>
        <v>2.544842345887127</v>
      </c>
      <c r="EG35" s="240">
        <f t="shared" si="34"/>
        <v>3.1149347007885408</v>
      </c>
      <c r="EH35" s="240">
        <f t="shared" si="35"/>
        <v>6.334532054926159</v>
      </c>
      <c r="EI35" s="181">
        <f t="shared" si="36"/>
        <v>6.334532054926159</v>
      </c>
      <c r="EK35" s="31">
        <f>DY35/Basicinfo!$G35*1000/100</f>
        <v>0.25085961305969406</v>
      </c>
      <c r="EL35" s="31">
        <f>DZ35/Basicinfo!$G35*1000/100</f>
        <v>6.4954726206927577E-2</v>
      </c>
      <c r="EM35" s="220">
        <f>EG35/Basicinfo!$G35*1000/100</f>
        <v>0.31581433926662167</v>
      </c>
      <c r="EN35" s="220">
        <f>ED35/Basicinfo!$G35*1000/100</f>
        <v>3.1234008358603875E-3</v>
      </c>
      <c r="EO35" s="220">
        <f>EF35/Basicinfo!$G35*1000/100</f>
        <v>0.25801430245090129</v>
      </c>
      <c r="EP35" s="220">
        <f>EE35/Basicinfo!$G35*1000/100</f>
        <v>6.5288083694947818E-2</v>
      </c>
      <c r="EQ35" s="220">
        <f>EH35/Basicinfo!$G35*1000/100</f>
        <v>0.64224012624833104</v>
      </c>
      <c r="ER35" s="31">
        <f>EI35/Basicinfo!$G35*1000/100</f>
        <v>0.64224012624833104</v>
      </c>
      <c r="ET35" s="188">
        <f t="shared" si="37"/>
        <v>39.060096497722682</v>
      </c>
      <c r="EU35" s="188">
        <f t="shared" si="38"/>
        <v>10.113775759599912</v>
      </c>
      <c r="EV35" s="223">
        <f t="shared" si="39"/>
        <v>49.173872257322593</v>
      </c>
      <c r="EW35" s="223">
        <f t="shared" si="40"/>
        <v>0.48632913270396955</v>
      </c>
      <c r="EX35" s="223">
        <f t="shared" si="41"/>
        <v>40.174117422108331</v>
      </c>
      <c r="EY35" s="223">
        <f t="shared" si="42"/>
        <v>10.165681187865125</v>
      </c>
      <c r="EZ35" s="223">
        <f t="shared" si="43"/>
        <v>100</v>
      </c>
      <c r="FA35" s="188">
        <f t="shared" si="44"/>
        <v>100</v>
      </c>
      <c r="FC35" s="236">
        <f>Basicinfo!CT35</f>
        <v>2.282451612903226</v>
      </c>
      <c r="FD35" s="181">
        <f>IF((Intermediate!CL35+Intermediate!CM35*3)/4&gt;11,(Intermediate!CL35+Intermediate!CM35*9)/10,(Intermediate!CL35+Intermediate!CM35*3)/4)</f>
        <v>3.0158613561352272</v>
      </c>
      <c r="FF35" s="31">
        <f t="shared" si="45"/>
        <v>3.0806674803577329E-2</v>
      </c>
      <c r="FG35" s="31">
        <f t="shared" si="46"/>
        <v>0.37429411344539676</v>
      </c>
      <c r="FH35" s="31">
        <f t="shared" si="47"/>
        <v>0</v>
      </c>
      <c r="FI35" s="31">
        <f>(AI35-(P35*450/1000000))*Parameters!$C$153</f>
        <v>0.76745597462363158</v>
      </c>
      <c r="FJ35" s="31"/>
      <c r="FK35" s="31">
        <f t="shared" si="48"/>
        <v>2.8498128565264638E-2</v>
      </c>
      <c r="FL35" s="31">
        <f t="shared" si="49"/>
        <v>1.5055550454634523</v>
      </c>
      <c r="FM35" s="31">
        <f>AM35*Parameters!$C$154</f>
        <v>0.2050701467626859</v>
      </c>
      <c r="FN35" s="31">
        <f>AN35*Parameters!$C$154</f>
        <v>0.294116819770253</v>
      </c>
      <c r="FO35" s="31">
        <f>AO35*Parameters!$C$154</f>
        <v>7.7407364176748331E-2</v>
      </c>
      <c r="FP35" s="31">
        <f>AQ35*Parameters!$C$155</f>
        <v>2.4742743333333328</v>
      </c>
      <c r="FQ35" s="31">
        <f t="shared" si="50"/>
        <v>5.7574786009443422</v>
      </c>
      <c r="FS35" s="147">
        <f>DY35*Parameters!$C$155</f>
        <v>2.4742743333333328</v>
      </c>
      <c r="FT35" s="147">
        <f>DZ35*Parameters!$C$154</f>
        <v>0.57659433070968724</v>
      </c>
      <c r="FU35" s="181">
        <f t="shared" si="51"/>
        <v>2.8498128565264638E-2</v>
      </c>
      <c r="FV35" s="181">
        <f t="shared" si="52"/>
        <v>1.4850228634570499</v>
      </c>
      <c r="FW35" s="31">
        <f t="shared" si="53"/>
        <v>0.76745597462363113</v>
      </c>
      <c r="FX35" s="181">
        <f t="shared" si="54"/>
        <v>3.0806674803577329E-2</v>
      </c>
      <c r="FY35" s="147">
        <f>Intermediate!FJ35+Intermediate!FM35</f>
        <v>0.39482629545179909</v>
      </c>
      <c r="FZ35" s="181">
        <f t="shared" si="55"/>
        <v>2.2809769666459454</v>
      </c>
      <c r="GA35" s="147">
        <f t="shared" si="56"/>
        <v>3.05086866404302</v>
      </c>
      <c r="GB35" s="181">
        <f t="shared" si="57"/>
        <v>5.7574786009443422</v>
      </c>
      <c r="GD35" s="147">
        <f>IF('River loads'!CH35&gt;0.99,1,0)</f>
        <v>1</v>
      </c>
      <c r="GE35" s="147">
        <f t="shared" si="58"/>
        <v>3.0806674803577329E-2</v>
      </c>
      <c r="GF35" s="147">
        <f t="shared" si="59"/>
        <v>0.37429411344539676</v>
      </c>
      <c r="GG35" s="147">
        <f t="shared" si="60"/>
        <v>0</v>
      </c>
      <c r="GH35" s="147">
        <f t="shared" si="61"/>
        <v>1.0805810545924379</v>
      </c>
      <c r="GI35" s="147">
        <f t="shared" si="62"/>
        <v>0.19986233726749006</v>
      </c>
      <c r="GJ35" s="147">
        <f t="shared" si="63"/>
        <v>2.8498128565264638E-2</v>
      </c>
      <c r="GK35" s="147">
        <f t="shared" si="64"/>
        <v>1.5055550454634523</v>
      </c>
      <c r="GL35" s="147">
        <f t="shared" si="65"/>
        <v>0.22785571862520654</v>
      </c>
      <c r="GM35" s="270">
        <f t="shared" si="128"/>
        <v>0.32679646641139221</v>
      </c>
      <c r="GN35" s="270">
        <f t="shared" si="129"/>
        <v>8.6008182418609261E-2</v>
      </c>
      <c r="GO35" s="147">
        <f t="shared" si="66"/>
        <v>2.4742743333333328</v>
      </c>
      <c r="GP35" s="147">
        <f t="shared" si="67"/>
        <v>6.334532054926159</v>
      </c>
      <c r="GQ35" s="147"/>
      <c r="GR35" s="147">
        <f t="shared" si="68"/>
        <v>3.0806674803577329E-2</v>
      </c>
      <c r="GS35" s="147">
        <f t="shared" si="69"/>
        <v>0.37429411344539676</v>
      </c>
      <c r="GT35" s="147">
        <f t="shared" si="70"/>
        <v>0</v>
      </c>
      <c r="GU35" s="147">
        <f t="shared" si="71"/>
        <v>0.76745597462363158</v>
      </c>
      <c r="GV35" s="147">
        <f t="shared" si="72"/>
        <v>0</v>
      </c>
      <c r="GW35" s="147">
        <f t="shared" si="73"/>
        <v>2.8498128565264638E-2</v>
      </c>
      <c r="GX35" s="147">
        <f t="shared" si="74"/>
        <v>1.5055550454634523</v>
      </c>
      <c r="GY35" s="147">
        <f t="shared" si="75"/>
        <v>0.2050701467626859</v>
      </c>
      <c r="GZ35" s="147">
        <f t="shared" si="130"/>
        <v>0.294116819770253</v>
      </c>
      <c r="HA35" s="147">
        <f t="shared" si="131"/>
        <v>7.7407364176748331E-2</v>
      </c>
      <c r="HB35" s="147">
        <f t="shared" si="76"/>
        <v>2.4742743333333328</v>
      </c>
      <c r="HC35" s="147">
        <f t="shared" si="77"/>
        <v>5.7574786009443422</v>
      </c>
      <c r="HD35" s="147"/>
      <c r="HE35" s="147">
        <f t="shared" si="78"/>
        <v>2.4742743333333328</v>
      </c>
      <c r="HF35" s="147">
        <f t="shared" si="79"/>
        <v>0.64066036745520805</v>
      </c>
      <c r="HG35" s="147">
        <f t="shared" si="80"/>
        <v>2.8498128565264638E-2</v>
      </c>
      <c r="HH35" s="147">
        <f t="shared" si="81"/>
        <v>1.4850228634570499</v>
      </c>
      <c r="HI35" s="147">
        <f t="shared" si="82"/>
        <v>1.0313213538648127</v>
      </c>
      <c r="HJ35" s="147">
        <f t="shared" si="83"/>
        <v>3.0806674803577329E-2</v>
      </c>
      <c r="HK35" s="147">
        <f t="shared" si="84"/>
        <v>0.64394833344691449</v>
      </c>
      <c r="HL35" s="147">
        <f t="shared" si="85"/>
        <v>2.544842345887127</v>
      </c>
      <c r="HM35" s="147">
        <f t="shared" si="86"/>
        <v>3.1149347007885408</v>
      </c>
      <c r="HN35" s="147">
        <f t="shared" si="87"/>
        <v>6.334532054926159</v>
      </c>
      <c r="HO35" s="147">
        <f t="shared" si="88"/>
        <v>6.334532054926159</v>
      </c>
      <c r="HQ35" s="147">
        <f t="shared" si="89"/>
        <v>2.4742743333333328</v>
      </c>
      <c r="HR35" s="147">
        <f t="shared" si="90"/>
        <v>0.57659433070968724</v>
      </c>
      <c r="HS35" s="147">
        <f t="shared" si="91"/>
        <v>2.8498128565264638E-2</v>
      </c>
      <c r="HT35" s="147">
        <f t="shared" si="92"/>
        <v>1.4850228634570499</v>
      </c>
      <c r="HU35" s="147">
        <f t="shared" si="93"/>
        <v>0.76745597462363113</v>
      </c>
      <c r="HV35" s="147">
        <f t="shared" si="94"/>
        <v>3.0806674803577329E-2</v>
      </c>
      <c r="HW35" s="147">
        <f t="shared" si="95"/>
        <v>0.39482629545179909</v>
      </c>
      <c r="HX35" s="147">
        <f t="shared" si="96"/>
        <v>2.2809769666459454</v>
      </c>
      <c r="HY35" s="147">
        <f t="shared" si="97"/>
        <v>3.05086866404302</v>
      </c>
      <c r="HZ35" s="147">
        <f t="shared" si="98"/>
        <v>5.7574786009443422</v>
      </c>
      <c r="IB35" s="147">
        <f>IF('River loads'!CI35&gt;0.99,1,0)</f>
        <v>0</v>
      </c>
      <c r="IC35">
        <f t="shared" si="99"/>
        <v>0</v>
      </c>
      <c r="ID35">
        <f t="shared" si="100"/>
        <v>0</v>
      </c>
      <c r="IE35">
        <f t="shared" si="101"/>
        <v>0</v>
      </c>
      <c r="IF35">
        <f t="shared" si="102"/>
        <v>0</v>
      </c>
      <c r="IG35">
        <f t="shared" si="103"/>
        <v>0</v>
      </c>
      <c r="IH35">
        <f t="shared" si="104"/>
        <v>0</v>
      </c>
      <c r="II35">
        <f t="shared" si="105"/>
        <v>0</v>
      </c>
      <c r="IJ35">
        <f t="shared" si="106"/>
        <v>0</v>
      </c>
      <c r="IK35">
        <f t="shared" si="132"/>
        <v>0</v>
      </c>
      <c r="IL35">
        <f t="shared" si="133"/>
        <v>0</v>
      </c>
      <c r="IM35">
        <f t="shared" si="107"/>
        <v>0</v>
      </c>
      <c r="IN35">
        <f t="shared" si="108"/>
        <v>0</v>
      </c>
      <c r="IP35">
        <f t="shared" si="109"/>
        <v>0</v>
      </c>
      <c r="IQ35">
        <f t="shared" si="110"/>
        <v>0</v>
      </c>
      <c r="IR35">
        <f t="shared" si="111"/>
        <v>0</v>
      </c>
      <c r="IS35">
        <f t="shared" si="112"/>
        <v>0</v>
      </c>
      <c r="IT35">
        <f t="shared" si="113"/>
        <v>0</v>
      </c>
      <c r="IU35">
        <f t="shared" si="114"/>
        <v>0</v>
      </c>
      <c r="IV35">
        <f t="shared" si="115"/>
        <v>0</v>
      </c>
      <c r="IW35">
        <f t="shared" si="116"/>
        <v>0</v>
      </c>
      <c r="IX35">
        <f t="shared" si="117"/>
        <v>0</v>
      </c>
    </row>
    <row r="36" spans="1:258">
      <c r="A36" s="39" t="str">
        <f>Basicinfo!A36</f>
        <v>Ager</v>
      </c>
      <c r="B36" s="63">
        <f>Basicinfo!B36</f>
        <v>1280</v>
      </c>
      <c r="C36" s="63">
        <f>Basicinfo!C36</f>
        <v>1290</v>
      </c>
      <c r="D36" s="130">
        <f>Basicinfo!G36</f>
        <v>376.40512780199998</v>
      </c>
      <c r="E36" s="87">
        <f t="shared" si="118"/>
        <v>12.3508200598573</v>
      </c>
      <c r="F36" s="19">
        <f>Intermediate!AR36</f>
        <v>1.0115730752188743</v>
      </c>
      <c r="G36" s="19">
        <f>Intermediate!AU36</f>
        <v>2.845455336912817</v>
      </c>
      <c r="H36" s="19">
        <f>Intermediate!AW36</f>
        <v>0</v>
      </c>
      <c r="I36" s="19">
        <f>Intermediate!AZ36</f>
        <v>6.3101431639847522E-2</v>
      </c>
      <c r="J36" s="19">
        <f>Intermediate!BA36</f>
        <v>8.3001784469734776</v>
      </c>
      <c r="K36" s="19">
        <f>Intermediate!AC36</f>
        <v>2.6947926555979863E-2</v>
      </c>
      <c r="L36" s="19">
        <f>Intermediate!AO36</f>
        <v>1.6599245359138433E-2</v>
      </c>
      <c r="M36" s="19">
        <f>Intermediate!AP36</f>
        <v>2.7789288713738227E-2</v>
      </c>
      <c r="N36" s="19">
        <f t="shared" si="119"/>
        <v>12.291644751373873</v>
      </c>
      <c r="O36" s="19">
        <f>Basicinfo!CB36+Basicinfo!CG36</f>
        <v>5.9175308483426343E-2</v>
      </c>
      <c r="P36" s="56">
        <f>Intermediate!BK36-Intermediate!BI36</f>
        <v>205.65570646420338</v>
      </c>
      <c r="Q36" s="43">
        <f>Intermediate!BI36</f>
        <v>2617.8836797728013</v>
      </c>
      <c r="R36" s="88">
        <f t="shared" si="134"/>
        <v>2823.5393862370047</v>
      </c>
      <c r="S36" s="61">
        <f>Intermediate!F36*Intermediate!BO36/1000</f>
        <v>67.652861372317631</v>
      </c>
      <c r="T36" s="19">
        <f>Intermediate!BU36*Intermediate!AU36*86.4*0.365</f>
        <v>103.73858822627901</v>
      </c>
      <c r="U36" s="19">
        <f>Intermediate!AW36*Intermediate!BS36*0.365*86.4</f>
        <v>0</v>
      </c>
      <c r="V36" s="19">
        <f>(Basicinfo!BL36/1000000)*(Intermediate!BK36-Intermediate!BF36-Intermediate!BG36-Intermediate!BH36)*Intermediate!CV36</f>
        <v>3.5306589140480513</v>
      </c>
      <c r="W36" s="19">
        <f>Intermediate!BI36*Parameters!$C$51/1000000</f>
        <v>6.5447091994320042E-2</v>
      </c>
      <c r="X36" s="19">
        <f>Intermediate!AZ36*Intermediate!CG36*86.4*0.365</f>
        <v>11.618980243918783</v>
      </c>
      <c r="Y36" s="19">
        <f>Intermediate!CM36*Intermediate!BA36*86.4*0.365+Parameters!$C$126*Intermediate!BB36*Basicinfo!P36/1000+Parameters!$C$127*Intermediate!BB36*Basicinfo!S36/1000</f>
        <v>307.60990716997634</v>
      </c>
      <c r="Z36" s="19">
        <f>Intermediate!DG36</f>
        <v>1.6511719675120644</v>
      </c>
      <c r="AA36" s="19">
        <f>Intermediate!DI36</f>
        <v>6.4522025832981322</v>
      </c>
      <c r="AB36" s="19">
        <f>Intermediate!DK36</f>
        <v>1.4537202685793003</v>
      </c>
      <c r="AC36" s="19">
        <f t="shared" si="120"/>
        <v>503.77353783792358</v>
      </c>
      <c r="AD36" s="19">
        <f>Basicinfo!CC36+Basicinfo!CE36+Basicinfo!CH36+Basicinfo!CJ36</f>
        <v>11.892025</v>
      </c>
      <c r="AE36" s="87">
        <f t="shared" si="135"/>
        <v>515.66556283792363</v>
      </c>
      <c r="AF36" s="56">
        <f>Intermediate!F36*Basicinfo!BD36/1000</f>
        <v>1.3502149671896091</v>
      </c>
      <c r="AG36" s="43">
        <f>Intermediate!CA36*Intermediate!AU36*86.4*0.365</f>
        <v>2.4826418502574232</v>
      </c>
      <c r="AH36" s="43">
        <f>Intermediate!AW36*Intermediate!BZ36*0.365*86.4</f>
        <v>0</v>
      </c>
      <c r="AI36" s="43">
        <f>(Intermediate!CU36/1000000)*(Intermediate!BK36-Intermediate!BF36-Intermediate!BG36-Intermediate!BH36)*Intermediate!CW36</f>
        <v>0.83400006151640349</v>
      </c>
      <c r="AJ36" s="43">
        <f>Intermediate!BF36*Parameters!$C$52/1000000+(Intermediate!BG36+Intermediate!BH36)*Intermediate!CX36/1000000</f>
        <v>1.2249831130184681</v>
      </c>
      <c r="AK36" s="43">
        <f>Intermediate!AZ36*Intermediate!CH36*86.4*0.365</f>
        <v>0.16909213816189339</v>
      </c>
      <c r="AL36" s="58">
        <f>Intermediate!CR36*Intermediate!BA36*86.4*0.365</f>
        <v>2.2594297768403782</v>
      </c>
      <c r="AM36" s="43">
        <f>Intermediate!DH36</f>
        <v>0.39607988691272938</v>
      </c>
      <c r="AN36" s="42">
        <f>Intermediate!DJ36</f>
        <v>1.1191036626236746</v>
      </c>
      <c r="AO36" s="42">
        <f>Intermediate!DL36</f>
        <v>0.24959016380295973</v>
      </c>
      <c r="AP36" s="42">
        <f t="shared" si="122"/>
        <v>10.085135620323539</v>
      </c>
      <c r="AQ36" s="43">
        <f>Basicinfo!CD36+Basicinfo!CF36+Basicinfo!CI36+Basicinfo!CK36</f>
        <v>0.84938599999999997</v>
      </c>
      <c r="AR36" s="83">
        <f t="shared" si="136"/>
        <v>10.93452162032354</v>
      </c>
      <c r="AS36" s="19">
        <f>F36*86400*365/(Basicinfo!G36*1000000)*1000</f>
        <v>84.751684139869781</v>
      </c>
      <c r="AT36" s="19">
        <f>G36*86400*365/(Basicinfo!G36*1000000)*1000</f>
        <v>238.39813242949612</v>
      </c>
      <c r="AU36" s="19">
        <f>H36*86400*365/(Basicinfo!G36*1000000)*1000</f>
        <v>0</v>
      </c>
      <c r="AV36" s="19">
        <f>I36*86400*365/(Basicinfo!G36*1000000)*1000</f>
        <v>5.2867684343583425</v>
      </c>
      <c r="AW36" s="19">
        <f>J36*86400*365/(Basicinfo!G36*1000000)*1000</f>
        <v>695.4061147685693</v>
      </c>
      <c r="AX36" s="53">
        <f>K36*86400*365/(Basicinfo!G36*1000000)*1000</f>
        <v>2.2577530142374047</v>
      </c>
      <c r="AY36" s="53">
        <f>L36*86400*365/(Basicinfo!G36*1000000)*1000</f>
        <v>1.390719102852265</v>
      </c>
      <c r="AZ36" s="53">
        <f>M36*86400*365/(Basicinfo!G36*1000000)*1000</f>
        <v>2.328244075722159</v>
      </c>
      <c r="BA36" s="19">
        <f t="shared" si="123"/>
        <v>1029.8194159651052</v>
      </c>
      <c r="BB36" s="19">
        <f>O36*86400*365/(Basicinfo!G36*1000000)*1000</f>
        <v>4.9578297172268693</v>
      </c>
      <c r="BC36" s="53">
        <f t="shared" si="137"/>
        <v>1034.777245682332</v>
      </c>
      <c r="BD36" s="56">
        <f>P36/(Basicinfo!G36*100)*1000</f>
        <v>5.463679723629701</v>
      </c>
      <c r="BE36" s="43">
        <f>Q36/(Basicinfo!G36*100)*1000</f>
        <v>69.549628483007382</v>
      </c>
      <c r="BF36" s="58">
        <f t="shared" si="138"/>
        <v>75.013308206637078</v>
      </c>
      <c r="BG36" s="61">
        <f>S36/(Basicinfo!G36*100)*1000000</f>
        <v>1797.3416506670176</v>
      </c>
      <c r="BH36" s="19">
        <f>T36/(Basicinfo!G36*100)*1000000</f>
        <v>2756.0354672120329</v>
      </c>
      <c r="BI36" s="19">
        <f>U36/(Basicinfo!G36*100)*1000000</f>
        <v>0</v>
      </c>
      <c r="BJ36" s="19">
        <f>V36/(Basicinfo!G36*100)*1000000</f>
        <v>93.799437182622029</v>
      </c>
      <c r="BK36" s="19">
        <f>W36/(Basicinfo!G36*100)*1000000</f>
        <v>1.7387407120751848</v>
      </c>
      <c r="BL36" s="19">
        <f>X36/(Basicinfo!G36*100)*1000000</f>
        <v>308.68283627715886</v>
      </c>
      <c r="BM36" s="19">
        <f>Y36/(Basicinfo!G36*100)*1000000</f>
        <v>8172.3091544010013</v>
      </c>
      <c r="BN36" s="53">
        <f>Z36/(Basicinfo!G36*100)*1000000</f>
        <v>43.866882928880521</v>
      </c>
      <c r="BO36" s="53">
        <f>AA36/(Basicinfo!G36*100)*1000000</f>
        <v>171.41643688478595</v>
      </c>
      <c r="BP36" s="53">
        <f>AB36/(Basicinfo!G36*100)*1000000</f>
        <v>38.621160053483635</v>
      </c>
      <c r="BQ36" s="19">
        <f t="shared" si="125"/>
        <v>13383.811766319057</v>
      </c>
      <c r="BR36" s="19">
        <f>AD36/(Basicinfo!G36*100)*1000000</f>
        <v>315.93684893303447</v>
      </c>
      <c r="BS36" s="53">
        <f t="shared" si="139"/>
        <v>13699.748615252091</v>
      </c>
      <c r="BT36" s="56">
        <f>AF36/(Basicinfo!G36*100)*1000000</f>
        <v>35.871322345530359</v>
      </c>
      <c r="BU36" s="43">
        <f>AG36/(Basicinfo!G36*100)*1000000</f>
        <v>65.956642640728447</v>
      </c>
      <c r="BV36" s="43">
        <f>AH36/(Basicinfo!G36*100)*1000000</f>
        <v>0</v>
      </c>
      <c r="BW36" s="43">
        <f>AI36/(Basicinfo!G36*100)*1000000</f>
        <v>22.156979273542515</v>
      </c>
      <c r="BX36" s="43">
        <f>AJ36/(Basicinfo!G36*100)*1000000</f>
        <v>32.54427271412851</v>
      </c>
      <c r="BY36" s="58">
        <f>AK36/(Basicinfo!G36*100)*1000000</f>
        <v>4.4922910362379751</v>
      </c>
      <c r="BZ36" s="58">
        <f>AL36/(Basicinfo!G36*100)*1000000</f>
        <v>60.02654081877715</v>
      </c>
      <c r="CA36" s="58">
        <f>AM36/(Basicinfo!G36*100)*1000000</f>
        <v>10.522701675867681</v>
      </c>
      <c r="CB36" s="58">
        <f>AN36/(Basicinfo!G36*100)*1000000</f>
        <v>29.731360705913538</v>
      </c>
      <c r="CC36" s="58">
        <f>AO36/(Basicinfo!G36*100)*1000000</f>
        <v>6.6308917006638497</v>
      </c>
      <c r="CD36" s="58">
        <f t="shared" si="126"/>
        <v>267.93300291139002</v>
      </c>
      <c r="CE36" s="58">
        <f>AQ36/(Basicinfo!G36*100)*1000000</f>
        <v>22.565739339417334</v>
      </c>
      <c r="CF36" s="43">
        <f t="shared" si="140"/>
        <v>290.49874225080737</v>
      </c>
      <c r="CG36" s="84"/>
      <c r="CH36" s="84">
        <f t="shared" si="8"/>
        <v>11.892025</v>
      </c>
      <c r="CI36" s="146">
        <f t="shared" si="9"/>
        <v>9.557094819389496</v>
      </c>
      <c r="CJ36" s="200">
        <f>Intermediate!EW36+Intermediate!EY36+Intermediate!FD36</f>
        <v>151.33875094646726</v>
      </c>
      <c r="CK36" s="180">
        <f>Intermediate!FA36+Intermediate!FF36</f>
        <v>27.512041531658042</v>
      </c>
      <c r="CL36" s="180">
        <f t="shared" ref="CL36:CL67" si="141">X36</f>
        <v>11.618980243918783</v>
      </c>
      <c r="CM36" s="180">
        <f t="shared" ref="CM36:CM67" si="142">S36+T36+U36+V36+Y36+W36-CN36-CO36-CJ36-CK36-CP36</f>
        <v>108.81571062733597</v>
      </c>
      <c r="CN36" s="202">
        <f>Intermediate!EX36+Intermediate!EZ36+Intermediate!FE36</f>
        <v>82.960364642959888</v>
      </c>
      <c r="CO36" s="180">
        <f>Intermediate!FB36+Intermediate!FG36</f>
        <v>15.361276863092865</v>
      </c>
      <c r="CP36" s="213">
        <f>Intermediate!EP36+Intermediate!EQ36+Intermediate!ER36+Intermediate!ES36+Intermediate!ET36+Intermediate!EU36+Intermediate!EV36+W36</f>
        <v>96.609318163101264</v>
      </c>
      <c r="CQ36" s="212">
        <f t="shared" si="12"/>
        <v>98.321641506052757</v>
      </c>
      <c r="CR36" s="212">
        <f t="shared" si="13"/>
        <v>299.28548334938006</v>
      </c>
      <c r="CS36" s="211">
        <f t="shared" ref="CS36:CS67" si="143">Z36+AD36</f>
        <v>13.543196967512065</v>
      </c>
      <c r="CT36" s="212">
        <f t="shared" si="15"/>
        <v>507.75963998604612</v>
      </c>
      <c r="CU36" s="84"/>
      <c r="CV36" s="31">
        <f t="shared" si="16"/>
        <v>515.66556283792363</v>
      </c>
      <c r="CW36" s="31">
        <f>CH36/Basicinfo!$G36*1000/100</f>
        <v>0.31593684893303453</v>
      </c>
      <c r="CX36" s="31">
        <f>CI36/Basicinfo!$G36*1000/100</f>
        <v>0.25390447986715009</v>
      </c>
      <c r="CY36" s="31">
        <f>CS36/Basicinfo!$G36*1000/100</f>
        <v>0.359803731861915</v>
      </c>
      <c r="CZ36" s="31">
        <f>CN36/Basicinfo!$G36*1000/100</f>
        <v>2.2040179188685083</v>
      </c>
      <c r="DA36" s="31">
        <f>CO36/Basicinfo!$G36*1000/100</f>
        <v>0.40810487765653769</v>
      </c>
      <c r="DB36" s="31">
        <f>CQ36/Basicinfo!$G36*1000/100</f>
        <v>2.6121227965250462</v>
      </c>
      <c r="DC36" s="31">
        <f>CJ36/Basicinfo!$G36*1000/100</f>
        <v>4.0206346770619934</v>
      </c>
      <c r="DD36" s="31">
        <f>CK36/Basicinfo!$G36*1000/100</f>
        <v>0.73091569427635894</v>
      </c>
      <c r="DE36" s="31">
        <f>CM36/Basicinfo!$G36*1000/100</f>
        <v>2.8909199846123297</v>
      </c>
      <c r="DF36" s="31">
        <f>CR36/Basicinfo!$G36*1000/100</f>
        <v>7.9511531922278413</v>
      </c>
      <c r="DG36" s="31">
        <f>CP36/Basicinfo!$G36*1000/100</f>
        <v>2.5666312976990198</v>
      </c>
      <c r="DH36" s="31">
        <f>CT36/Basicinfo!$G36*1000/100</f>
        <v>13.489711018313821</v>
      </c>
      <c r="DI36" s="31">
        <f>CV36/Basicinfo!$G36*1000/100</f>
        <v>13.699748615252092</v>
      </c>
      <c r="DJ36" s="31"/>
      <c r="DK36" s="188">
        <f t="shared" si="17"/>
        <v>2.3420579470094962</v>
      </c>
      <c r="DL36" s="188">
        <f t="shared" si="18"/>
        <v>1.8822084440685629</v>
      </c>
      <c r="DM36" s="188">
        <f t="shared" si="19"/>
        <v>2.6672456613298858</v>
      </c>
      <c r="DN36" s="188">
        <f t="shared" si="20"/>
        <v>16.33851100202445</v>
      </c>
      <c r="DO36" s="188">
        <f t="shared" si="21"/>
        <v>3.0253048201142989</v>
      </c>
      <c r="DP36" s="188">
        <f t="shared" si="22"/>
        <v>19.363815822138751</v>
      </c>
      <c r="DQ36" s="188">
        <f t="shared" si="23"/>
        <v>29.805195023107046</v>
      </c>
      <c r="DR36" s="188">
        <f t="shared" si="24"/>
        <v>5.4183198830876176</v>
      </c>
      <c r="DS36" s="188">
        <f t="shared" si="25"/>
        <v>21.430555337231286</v>
      </c>
      <c r="DT36" s="188">
        <f t="shared" si="26"/>
        <v>58.942353779360012</v>
      </c>
      <c r="DU36" s="188">
        <f t="shared" si="27"/>
        <v>19.026584737171355</v>
      </c>
      <c r="DV36" s="188">
        <f t="shared" si="28"/>
        <v>100</v>
      </c>
      <c r="DW36" s="188">
        <f t="shared" si="29"/>
        <v>101.55702072974819</v>
      </c>
      <c r="DY36" s="181">
        <f t="shared" si="30"/>
        <v>0.84938599999999997</v>
      </c>
      <c r="DZ36" s="181">
        <f t="shared" si="127"/>
        <v>1.7647737133393635</v>
      </c>
      <c r="EA36" s="185">
        <f t="shared" si="31"/>
        <v>0.16909213816189339</v>
      </c>
      <c r="EB36" s="185">
        <f>AG36+AH36+AL36-Intermediate!FJ36-Intermediate!FM36</f>
        <v>2.3474551389510885</v>
      </c>
      <c r="EC36" s="185">
        <f>AI36+AJ36-Intermediate!FK36</f>
        <v>0.76905354063811115</v>
      </c>
      <c r="ED36" s="240">
        <f t="shared" si="32"/>
        <v>1.3502149671896091</v>
      </c>
      <c r="EE36" s="240">
        <f>Intermediate!FJ36+Intermediate!FK36+Intermediate!FM36</f>
        <v>3.6845461220434736</v>
      </c>
      <c r="EF36" s="240">
        <f t="shared" si="33"/>
        <v>3.2856008177510936</v>
      </c>
      <c r="EG36" s="240">
        <f t="shared" si="34"/>
        <v>2.6141597133393635</v>
      </c>
      <c r="EH36" s="240">
        <f t="shared" si="35"/>
        <v>10.93452162032354</v>
      </c>
      <c r="EI36" s="181">
        <f t="shared" si="36"/>
        <v>10.93452162032354</v>
      </c>
      <c r="EK36" s="31">
        <f>DY36/Basicinfo!$G36*1000/100</f>
        <v>2.2565739339417332E-2</v>
      </c>
      <c r="EL36" s="31">
        <f>DZ36/Basicinfo!$G36*1000/100</f>
        <v>4.6884954082445071E-2</v>
      </c>
      <c r="EM36" s="220">
        <f>EG36/Basicinfo!$G36*1000/100</f>
        <v>6.94506934218624E-2</v>
      </c>
      <c r="EN36" s="220">
        <f>ED36/Basicinfo!$G36*1000/100</f>
        <v>3.5871322345530358E-2</v>
      </c>
      <c r="EO36" s="220">
        <f>EF36/Basicinfo!$G36*1000/100</f>
        <v>8.7288949460843035E-2</v>
      </c>
      <c r="EP36" s="220">
        <f>EE36/Basicinfo!$G36*1000/100</f>
        <v>9.7887777022571593E-2</v>
      </c>
      <c r="EQ36" s="220">
        <f>EH36/Basicinfo!$G36*1000/100</f>
        <v>0.29049874225080741</v>
      </c>
      <c r="ER36" s="31">
        <f>EI36/Basicinfo!$G36*1000/100</f>
        <v>0.29049874225080741</v>
      </c>
      <c r="ET36" s="188">
        <f t="shared" si="37"/>
        <v>7.7679301344219898</v>
      </c>
      <c r="EU36" s="188">
        <f t="shared" si="38"/>
        <v>16.139468873144409</v>
      </c>
      <c r="EV36" s="223">
        <f t="shared" si="39"/>
        <v>23.907399007566397</v>
      </c>
      <c r="EW36" s="223">
        <f t="shared" si="40"/>
        <v>12.348185079080377</v>
      </c>
      <c r="EX36" s="223">
        <f t="shared" si="41"/>
        <v>30.047961235398574</v>
      </c>
      <c r="EY36" s="223">
        <f t="shared" si="42"/>
        <v>33.696454677954641</v>
      </c>
      <c r="EZ36" s="223">
        <f t="shared" si="43"/>
        <v>100</v>
      </c>
      <c r="FA36" s="188">
        <f t="shared" si="44"/>
        <v>100</v>
      </c>
      <c r="FC36" s="236">
        <f>Basicinfo!CT36</f>
        <v>2.1587096774193544</v>
      </c>
      <c r="FD36" s="181">
        <f>IF((Intermediate!CL36+Intermediate!CM36*3)/4&gt;11,(Intermediate!CL36+Intermediate!CM36*9)/10,(Intermediate!CL36+Intermediate!CM36*3)/4)</f>
        <v>1.2986530237028162</v>
      </c>
      <c r="FF36" s="31">
        <f t="shared" si="45"/>
        <v>1.3502149671896091</v>
      </c>
      <c r="FG36" s="31">
        <f t="shared" si="46"/>
        <v>2.4826418502574232</v>
      </c>
      <c r="FH36" s="31">
        <f t="shared" si="47"/>
        <v>0</v>
      </c>
      <c r="FI36" s="31">
        <f>(AI36-(P36*450/1000000))*Parameters!$C$153</f>
        <v>0.59316399488600957</v>
      </c>
      <c r="FJ36" s="31"/>
      <c r="FK36" s="31">
        <f t="shared" si="48"/>
        <v>0.16909213816189339</v>
      </c>
      <c r="FL36" s="31">
        <f t="shared" si="49"/>
        <v>2.2594297768403782</v>
      </c>
      <c r="FM36" s="31">
        <f>AM36*Parameters!$C$154</f>
        <v>0.35647189822145647</v>
      </c>
      <c r="FN36" s="31">
        <f>AN36*Parameters!$C$154</f>
        <v>1.0071932963613071</v>
      </c>
      <c r="FO36" s="31">
        <f>AO36*Parameters!$C$154</f>
        <v>0.22463114742266377</v>
      </c>
      <c r="FP36" s="31">
        <f>AQ36*Parameters!$C$155</f>
        <v>0.84938599999999997</v>
      </c>
      <c r="FQ36" s="31">
        <f t="shared" si="50"/>
        <v>9.2922250693407413</v>
      </c>
      <c r="FS36" s="147">
        <f>DY36*Parameters!$C$155</f>
        <v>0.84938599999999997</v>
      </c>
      <c r="FT36" s="147">
        <f>DZ36*Parameters!$C$154</f>
        <v>1.5882963420054272</v>
      </c>
      <c r="FU36" s="181">
        <f t="shared" si="51"/>
        <v>0.16909213816189339</v>
      </c>
      <c r="FV36" s="181">
        <f t="shared" si="52"/>
        <v>2.3474551389510885</v>
      </c>
      <c r="FW36" s="31">
        <f t="shared" si="53"/>
        <v>0.59316399488601101</v>
      </c>
      <c r="FX36" s="181">
        <f t="shared" si="54"/>
        <v>1.3502149671896091</v>
      </c>
      <c r="FY36" s="147">
        <f>Intermediate!FJ36+Intermediate!FM36</f>
        <v>2.3946164881467134</v>
      </c>
      <c r="FZ36" s="181">
        <f t="shared" si="55"/>
        <v>3.109711271998993</v>
      </c>
      <c r="GA36" s="147">
        <f t="shared" si="56"/>
        <v>2.4376823420054272</v>
      </c>
      <c r="GB36" s="181">
        <f t="shared" si="57"/>
        <v>9.2922250693407431</v>
      </c>
      <c r="GD36" s="147">
        <f>IF('River loads'!CH36&gt;0.99,1,0)</f>
        <v>0</v>
      </c>
      <c r="GE36" s="147">
        <f t="shared" si="58"/>
        <v>0</v>
      </c>
      <c r="GF36" s="147">
        <f t="shared" si="59"/>
        <v>0</v>
      </c>
      <c r="GG36" s="147">
        <f t="shared" si="60"/>
        <v>0</v>
      </c>
      <c r="GH36" s="147">
        <f t="shared" si="61"/>
        <v>0</v>
      </c>
      <c r="GI36" s="147">
        <f t="shared" si="62"/>
        <v>0</v>
      </c>
      <c r="GJ36" s="147">
        <f t="shared" si="63"/>
        <v>0</v>
      </c>
      <c r="GK36" s="147">
        <f t="shared" si="64"/>
        <v>0</v>
      </c>
      <c r="GL36" s="147">
        <f t="shared" si="65"/>
        <v>0</v>
      </c>
      <c r="GM36" s="270">
        <f t="shared" si="128"/>
        <v>0</v>
      </c>
      <c r="GN36" s="270">
        <f t="shared" si="129"/>
        <v>0</v>
      </c>
      <c r="GO36" s="147">
        <f t="shared" si="66"/>
        <v>0</v>
      </c>
      <c r="GP36" s="147">
        <f t="shared" si="67"/>
        <v>0</v>
      </c>
      <c r="GQ36" s="147"/>
      <c r="GR36" s="147">
        <f t="shared" si="68"/>
        <v>0</v>
      </c>
      <c r="GS36" s="147">
        <f t="shared" si="69"/>
        <v>0</v>
      </c>
      <c r="GT36" s="147">
        <f t="shared" si="70"/>
        <v>0</v>
      </c>
      <c r="GU36" s="147">
        <f t="shared" si="71"/>
        <v>0</v>
      </c>
      <c r="GV36" s="147">
        <f t="shared" si="72"/>
        <v>0</v>
      </c>
      <c r="GW36" s="147">
        <f t="shared" si="73"/>
        <v>0</v>
      </c>
      <c r="GX36" s="147">
        <f t="shared" si="74"/>
        <v>0</v>
      </c>
      <c r="GY36" s="147">
        <f t="shared" si="75"/>
        <v>0</v>
      </c>
      <c r="GZ36" s="147">
        <f t="shared" si="130"/>
        <v>0</v>
      </c>
      <c r="HA36" s="147">
        <f t="shared" si="131"/>
        <v>0</v>
      </c>
      <c r="HB36" s="147">
        <f t="shared" si="76"/>
        <v>0</v>
      </c>
      <c r="HC36" s="147">
        <f t="shared" si="77"/>
        <v>0</v>
      </c>
      <c r="HD36" s="147"/>
      <c r="HE36" s="147">
        <f t="shared" si="78"/>
        <v>0</v>
      </c>
      <c r="HF36" s="147">
        <f t="shared" si="79"/>
        <v>0</v>
      </c>
      <c r="HG36" s="147">
        <f t="shared" si="80"/>
        <v>0</v>
      </c>
      <c r="HH36" s="147">
        <f t="shared" si="81"/>
        <v>0</v>
      </c>
      <c r="HI36" s="147">
        <f t="shared" si="82"/>
        <v>0</v>
      </c>
      <c r="HJ36" s="147">
        <f t="shared" si="83"/>
        <v>0</v>
      </c>
      <c r="HK36" s="147">
        <f t="shared" si="84"/>
        <v>0</v>
      </c>
      <c r="HL36" s="147">
        <f t="shared" si="85"/>
        <v>0</v>
      </c>
      <c r="HM36" s="147">
        <f t="shared" si="86"/>
        <v>0</v>
      </c>
      <c r="HN36" s="147">
        <f t="shared" si="87"/>
        <v>0</v>
      </c>
      <c r="HO36" s="147">
        <f t="shared" si="88"/>
        <v>0</v>
      </c>
      <c r="HQ36" s="147">
        <f t="shared" si="89"/>
        <v>0</v>
      </c>
      <c r="HR36" s="147">
        <f t="shared" si="90"/>
        <v>0</v>
      </c>
      <c r="HS36" s="147">
        <f t="shared" si="91"/>
        <v>0</v>
      </c>
      <c r="HT36" s="147">
        <f t="shared" si="92"/>
        <v>0</v>
      </c>
      <c r="HU36" s="147">
        <f t="shared" si="93"/>
        <v>0</v>
      </c>
      <c r="HV36" s="147">
        <f t="shared" si="94"/>
        <v>0</v>
      </c>
      <c r="HW36" s="147">
        <f t="shared" si="95"/>
        <v>0</v>
      </c>
      <c r="HX36" s="147">
        <f t="shared" si="96"/>
        <v>0</v>
      </c>
      <c r="HY36" s="147">
        <f t="shared" si="97"/>
        <v>0</v>
      </c>
      <c r="HZ36" s="147">
        <f t="shared" si="98"/>
        <v>0</v>
      </c>
      <c r="IB36" s="147">
        <f>IF('River loads'!CI36&gt;0.99,1,0)</f>
        <v>0</v>
      </c>
      <c r="IC36">
        <f t="shared" ref="IC36:IC67" si="144">$IB36*S36</f>
        <v>0</v>
      </c>
      <c r="ID36">
        <f t="shared" ref="ID36:ID67" si="145">$IB36*T36</f>
        <v>0</v>
      </c>
      <c r="IE36">
        <f t="shared" ref="IE36:IE67" si="146">$IB36*U36</f>
        <v>0</v>
      </c>
      <c r="IF36">
        <f t="shared" ref="IF36:IF67" si="147">$IB36*V36</f>
        <v>0</v>
      </c>
      <c r="IG36">
        <f t="shared" ref="IG36:IG67" si="148">$IB36*W36</f>
        <v>0</v>
      </c>
      <c r="IH36">
        <f t="shared" ref="IH36:IH67" si="149">$IB36*X36</f>
        <v>0</v>
      </c>
      <c r="II36">
        <f t="shared" ref="II36:II67" si="150">$IB36*Y36</f>
        <v>0</v>
      </c>
      <c r="IJ36">
        <f t="shared" ref="IJ36:IJ67" si="151">$IB36*Z36</f>
        <v>0</v>
      </c>
      <c r="IK36">
        <f t="shared" si="132"/>
        <v>0</v>
      </c>
      <c r="IL36">
        <f t="shared" si="133"/>
        <v>0</v>
      </c>
      <c r="IM36">
        <f t="shared" si="107"/>
        <v>0</v>
      </c>
      <c r="IN36">
        <f t="shared" si="108"/>
        <v>0</v>
      </c>
      <c r="IP36">
        <f t="shared" si="109"/>
        <v>0</v>
      </c>
      <c r="IQ36">
        <f t="shared" si="110"/>
        <v>0</v>
      </c>
      <c r="IR36">
        <f t="shared" si="111"/>
        <v>0</v>
      </c>
      <c r="IS36">
        <f t="shared" si="112"/>
        <v>0</v>
      </c>
      <c r="IT36">
        <f t="shared" si="113"/>
        <v>0</v>
      </c>
      <c r="IU36">
        <f t="shared" si="114"/>
        <v>0</v>
      </c>
      <c r="IV36">
        <f t="shared" si="115"/>
        <v>0</v>
      </c>
      <c r="IW36">
        <f t="shared" si="116"/>
        <v>0</v>
      </c>
      <c r="IX36">
        <f t="shared" si="117"/>
        <v>0</v>
      </c>
    </row>
    <row r="37" spans="1:258">
      <c r="A37" s="39" t="str">
        <f>Basicinfo!A37</f>
        <v>Ager</v>
      </c>
      <c r="B37" s="63">
        <f>Basicinfo!B37</f>
        <v>1290</v>
      </c>
      <c r="C37" s="63">
        <f>Basicinfo!C37</f>
        <v>4020</v>
      </c>
      <c r="D37" s="130">
        <f>Basicinfo!G37</f>
        <v>324.76136307399997</v>
      </c>
      <c r="E37" s="87">
        <f t="shared" si="118"/>
        <v>8.2184898850020502</v>
      </c>
      <c r="F37" s="19">
        <f>Intermediate!AR37</f>
        <v>4.8654487812697191E-2</v>
      </c>
      <c r="G37" s="19">
        <f>Intermediate!AU37</f>
        <v>1.689417171209382</v>
      </c>
      <c r="H37" s="19">
        <f>Intermediate!AW37</f>
        <v>0</v>
      </c>
      <c r="I37" s="19">
        <f>Intermediate!AZ37</f>
        <v>1.9803375613472448E-2</v>
      </c>
      <c r="J37" s="19">
        <f>Intermediate!BA37</f>
        <v>6.1458694005284089</v>
      </c>
      <c r="K37" s="19">
        <f>Intermediate!AC37</f>
        <v>4.6985311722579699E-2</v>
      </c>
      <c r="L37" s="19">
        <f>Intermediate!AO37</f>
        <v>2.2188606998038363E-2</v>
      </c>
      <c r="M37" s="19">
        <f>Intermediate!AP37</f>
        <v>4.009120440091514E-2</v>
      </c>
      <c r="N37" s="19">
        <f t="shared" si="119"/>
        <v>8.0130095582854928</v>
      </c>
      <c r="O37" s="19">
        <f>Basicinfo!CB37+Basicinfo!CG37</f>
        <v>0.20548032671655675</v>
      </c>
      <c r="P37" s="56">
        <f>Intermediate!BK37-Intermediate!BI37</f>
        <v>2357.2483853564786</v>
      </c>
      <c r="Q37" s="43">
        <f>Intermediate!BI37</f>
        <v>2296.2563957442048</v>
      </c>
      <c r="R37" s="88">
        <f t="shared" si="134"/>
        <v>4653.5047811006834</v>
      </c>
      <c r="S37" s="61">
        <f>Intermediate!F37*Intermediate!BO37/1000</f>
        <v>5.8831409169254831</v>
      </c>
      <c r="T37" s="19">
        <f>Intermediate!BU37*Intermediate!AU37*86.4*0.365</f>
        <v>85.609692599242734</v>
      </c>
      <c r="U37" s="19">
        <f>Intermediate!AW37*Intermediate!BS37*0.365*86.4</f>
        <v>0</v>
      </c>
      <c r="V37" s="19">
        <f>(Basicinfo!BL37/1000000)*(Intermediate!BK37-Intermediate!BF37-Intermediate!BG37-Intermediate!BH37)*Intermediate!CV37</f>
        <v>11.572750173666892</v>
      </c>
      <c r="W37" s="19">
        <f>Intermediate!BI37*Parameters!$C$51/1000000</f>
        <v>5.7406409893605126E-2</v>
      </c>
      <c r="X37" s="19">
        <f>Intermediate!AZ37*Intermediate!CG37*86.4*0.365</f>
        <v>5.8414624948342819</v>
      </c>
      <c r="Y37" s="19">
        <f>Intermediate!CM37*Intermediate!BA37*86.4*0.365+Parameters!$C$126*Intermediate!BB37*Basicinfo!P37/1000+Parameters!$C$127*Intermediate!BB37*Basicinfo!S37/1000</f>
        <v>386.98770091981748</v>
      </c>
      <c r="Z37" s="19">
        <f>Intermediate!DG37</f>
        <v>3.5115597700420973</v>
      </c>
      <c r="AA37" s="19">
        <f>Intermediate!DI37</f>
        <v>7.0976495662089167</v>
      </c>
      <c r="AB37" s="19">
        <f>Intermediate!DK37</f>
        <v>1.8491925429682263</v>
      </c>
      <c r="AC37" s="19">
        <f t="shared" si="120"/>
        <v>508.41055539359974</v>
      </c>
      <c r="AD37" s="19">
        <f>Basicinfo!CC37+Basicinfo!CE37+Basicinfo!CH37+Basicinfo!CJ37</f>
        <v>75.348570888888901</v>
      </c>
      <c r="AE37" s="87">
        <f t="shared" si="135"/>
        <v>583.75912628248864</v>
      </c>
      <c r="AF37" s="56">
        <f>Intermediate!F37*Basicinfo!BD37/1000</f>
        <v>0.11439852856658224</v>
      </c>
      <c r="AG37" s="43">
        <f>Intermediate!CA37*Intermediate!AU37*86.4*0.365</f>
        <v>1.7883687920194353</v>
      </c>
      <c r="AH37" s="43">
        <f>Intermediate!AW37*Intermediate!BZ37*0.365*86.4</f>
        <v>0</v>
      </c>
      <c r="AI37" s="43">
        <f>(Intermediate!CU37/1000000)*(Intermediate!BK37-Intermediate!BF37-Intermediate!BG37-Intermediate!BH37)*Intermediate!CW37</f>
        <v>7.3466948890356436</v>
      </c>
      <c r="AJ37" s="43">
        <f>Intermediate!BF37*Parameters!$C$52/1000000+(Intermediate!BG37+Intermediate!BH37)*Intermediate!CX37/1000000</f>
        <v>1.0338044786832525</v>
      </c>
      <c r="AK37" s="43">
        <f>Intermediate!AZ37*Intermediate!CH37*86.4*0.365</f>
        <v>5.9719893480281276E-2</v>
      </c>
      <c r="AL37" s="58">
        <f>Intermediate!CR37*Intermediate!BA37*86.4*0.365</f>
        <v>7.0385805225084672</v>
      </c>
      <c r="AM37" s="43">
        <f>Intermediate!DH37</f>
        <v>0.76950190137020635</v>
      </c>
      <c r="AN37" s="42">
        <f>Intermediate!DJ37</f>
        <v>1.2401381716137574</v>
      </c>
      <c r="AO37" s="42">
        <f>Intermediate!DL37</f>
        <v>0.29365412149620346</v>
      </c>
      <c r="AP37" s="42">
        <f t="shared" si="122"/>
        <v>19.684861298773829</v>
      </c>
      <c r="AQ37" s="43">
        <f>Basicinfo!CD37+Basicinfo!CF37+Basicinfo!CI37+Basicinfo!CK37</f>
        <v>5.0897451666666669</v>
      </c>
      <c r="AR37" s="83">
        <f t="shared" si="136"/>
        <v>24.774606465440495</v>
      </c>
      <c r="AS37" s="19">
        <f>F37*86400*365/(Basicinfo!G37*1000000)*1000</f>
        <v>4.724601206060334</v>
      </c>
      <c r="AT37" s="19">
        <f>G37*86400*365/(Basicinfo!G37*1000000)*1000</f>
        <v>164.05110326846142</v>
      </c>
      <c r="AU37" s="19">
        <f>H37*86400*365/(Basicinfo!G37*1000000)*1000</f>
        <v>0</v>
      </c>
      <c r="AV37" s="19">
        <f>I37*86400*365/(Basicinfo!G37*1000000)*1000</f>
        <v>1.923009706065818</v>
      </c>
      <c r="AW37" s="19">
        <f>J37*86400*365/(Basicinfo!G37*1000000)*1000</f>
        <v>596.79555345043013</v>
      </c>
      <c r="AX37" s="53">
        <f>K37*86400*365/(Basicinfo!G37*1000000)*1000</f>
        <v>4.5625156159528961</v>
      </c>
      <c r="AY37" s="53">
        <f>L37*86400*365/(Basicinfo!G37*1000000)*1000</f>
        <v>2.1546279510185924</v>
      </c>
      <c r="AZ37" s="53">
        <f>M37*86400*365/(Basicinfo!G37*1000000)*1000</f>
        <v>3.8930623089519836</v>
      </c>
      <c r="BA37" s="19">
        <f t="shared" si="123"/>
        <v>778.10447350694119</v>
      </c>
      <c r="BB37" s="19">
        <f>O37*86400*365/(Basicinfo!G37*1000000)*1000</f>
        <v>19.953197393917812</v>
      </c>
      <c r="BC37" s="53">
        <f t="shared" si="137"/>
        <v>798.05767090085897</v>
      </c>
      <c r="BD37" s="56">
        <f>P37/(Basicinfo!G37*100)*1000</f>
        <v>72.584015630558767</v>
      </c>
      <c r="BE37" s="43">
        <f>Q37/(Basicinfo!G37*100)*1000</f>
        <v>70.705960031981419</v>
      </c>
      <c r="BF37" s="58">
        <f t="shared" si="138"/>
        <v>143.2899756625402</v>
      </c>
      <c r="BG37" s="61">
        <f>S37/(Basicinfo!G37*100)*1000000</f>
        <v>181.15273508027965</v>
      </c>
      <c r="BH37" s="19">
        <f>T37/(Basicinfo!G37*100)*1000000</f>
        <v>2636.0799754290888</v>
      </c>
      <c r="BI37" s="19">
        <f>U37/(Basicinfo!G37*100)*1000000</f>
        <v>0</v>
      </c>
      <c r="BJ37" s="19">
        <f>V37/(Basicinfo!G37*100)*1000000</f>
        <v>356.34627420349659</v>
      </c>
      <c r="BK37" s="19">
        <f>W37/(Basicinfo!G37*100)*1000000</f>
        <v>1.7676490007995356</v>
      </c>
      <c r="BL37" s="19">
        <f>X37/(Basicinfo!G37*100)*1000000</f>
        <v>179.86937976680585</v>
      </c>
      <c r="BM37" s="19">
        <f>Y37/(Basicinfo!G37*100)*1000000</f>
        <v>11916.063452155135</v>
      </c>
      <c r="BN37" s="53">
        <f>Z37/(Basicinfo!G37*100)*1000000</f>
        <v>108.12738734693495</v>
      </c>
      <c r="BO37" s="53">
        <f>AA37/(Basicinfo!G37*100)*1000000</f>
        <v>218.54969134957258</v>
      </c>
      <c r="BP37" s="53">
        <f>AB37/(Basicinfo!G37*100)*1000000</f>
        <v>56.940041311098639</v>
      </c>
      <c r="BQ37" s="19">
        <f t="shared" si="125"/>
        <v>15654.89658564321</v>
      </c>
      <c r="BR37" s="19">
        <f>AD37/(Basicinfo!G37*100)*1000000</f>
        <v>2320.1211552902619</v>
      </c>
      <c r="BS37" s="53">
        <f t="shared" si="139"/>
        <v>17975.017740933472</v>
      </c>
      <c r="BT37" s="56">
        <f>AF37/(Basicinfo!G37*100)*1000000</f>
        <v>3.5225412125307356</v>
      </c>
      <c r="BU37" s="43">
        <f>AG37/(Basicinfo!G37*100)*1000000</f>
        <v>55.067166090565351</v>
      </c>
      <c r="BV37" s="43">
        <f>AH37/(Basicinfo!G37*100)*1000000</f>
        <v>0</v>
      </c>
      <c r="BW37" s="43">
        <f>AI37/(Basicinfo!G37*100)*1000000</f>
        <v>226.21825513651478</v>
      </c>
      <c r="BX37" s="43">
        <f>AJ37/(Basicinfo!G37*100)*1000000</f>
        <v>31.832742321865744</v>
      </c>
      <c r="BY37" s="58">
        <f>AK37/(Basicinfo!G37*100)*1000000</f>
        <v>1.8388854177420584</v>
      </c>
      <c r="BZ37" s="58">
        <f>AL37/(Basicinfo!G37*100)*1000000</f>
        <v>216.73084679425551</v>
      </c>
      <c r="CA37" s="58">
        <f>AM37/(Basicinfo!G37*100)*1000000</f>
        <v>23.694379592650868</v>
      </c>
      <c r="CB37" s="58">
        <f>AN37/(Basicinfo!G37*100)*1000000</f>
        <v>38.186136425692368</v>
      </c>
      <c r="CC37" s="58">
        <f>AO37/(Basicinfo!G37*100)*1000000</f>
        <v>9.0421507877860332</v>
      </c>
      <c r="CD37" s="58">
        <f t="shared" si="126"/>
        <v>606.1331037796034</v>
      </c>
      <c r="CE37" s="58">
        <f>AQ37/(Basicinfo!G37*100)*1000000</f>
        <v>156.72261991051317</v>
      </c>
      <c r="CF37" s="43">
        <f t="shared" si="140"/>
        <v>762.85572369011652</v>
      </c>
      <c r="CG37" s="84"/>
      <c r="CH37" s="84">
        <f t="shared" si="8"/>
        <v>75.348570888888901</v>
      </c>
      <c r="CI37" s="146">
        <f t="shared" si="9"/>
        <v>12.458401879219242</v>
      </c>
      <c r="CJ37" s="200">
        <f>Intermediate!EW37+Intermediate!EY37+Intermediate!FD37</f>
        <v>79.372285851038839</v>
      </c>
      <c r="CK37" s="180">
        <f>Intermediate!FA37+Intermediate!FF37</f>
        <v>45.799472118460983</v>
      </c>
      <c r="CL37" s="180">
        <f t="shared" si="141"/>
        <v>5.8414624948342819</v>
      </c>
      <c r="CM37" s="180">
        <f t="shared" si="142"/>
        <v>198.91928123136989</v>
      </c>
      <c r="CN37" s="202">
        <f>Intermediate!EX37+Intermediate!EZ37+Intermediate!FE37</f>
        <v>44.855110223951137</v>
      </c>
      <c r="CO37" s="180">
        <f>Intermediate!FB37+Intermediate!FG37</f>
        <v>25.810620550586993</v>
      </c>
      <c r="CP37" s="213">
        <f>Intermediate!EP37+Intermediate!EQ37+Intermediate!ER37+Intermediate!ES37+Intermediate!ET37+Intermediate!EU37+Intermediate!EV37+W37</f>
        <v>95.353921044138289</v>
      </c>
      <c r="CQ37" s="212">
        <f t="shared" si="12"/>
        <v>70.665730774538133</v>
      </c>
      <c r="CR37" s="212">
        <f t="shared" si="13"/>
        <v>329.93250169570399</v>
      </c>
      <c r="CS37" s="211">
        <f t="shared" si="143"/>
        <v>78.860130658930998</v>
      </c>
      <c r="CT37" s="212">
        <f t="shared" si="15"/>
        <v>574.81228417331135</v>
      </c>
      <c r="CU37" s="84"/>
      <c r="CV37" s="31">
        <f t="shared" si="16"/>
        <v>583.75912628248864</v>
      </c>
      <c r="CW37" s="31">
        <f>CH37/Basicinfo!$G37*1000/100</f>
        <v>2.3201211552902619</v>
      </c>
      <c r="CX37" s="31">
        <f>CI37/Basicinfo!$G37*1000/100</f>
        <v>0.38361712000760617</v>
      </c>
      <c r="CY37" s="31">
        <f>CS37/Basicinfo!$G37*1000/100</f>
        <v>2.4282485426371969</v>
      </c>
      <c r="CZ37" s="31">
        <f>CN37/Basicinfo!$G37*1000/100</f>
        <v>1.3811713868724731</v>
      </c>
      <c r="DA37" s="31">
        <f>CO37/Basicinfo!$G37*1000/100</f>
        <v>0.79475650386113794</v>
      </c>
      <c r="DB37" s="31">
        <f>CQ37/Basicinfo!$G37*1000/100</f>
        <v>2.1759278907336115</v>
      </c>
      <c r="DC37" s="31">
        <f>CJ37/Basicinfo!$G37*1000/100</f>
        <v>2.4440187434782108</v>
      </c>
      <c r="DD37" s="31">
        <f>CK37/Basicinfo!$G37*1000/100</f>
        <v>1.4102500274339942</v>
      </c>
      <c r="DE37" s="31">
        <f>CM37/Basicinfo!$G37*1000/100</f>
        <v>6.1250907234936145</v>
      </c>
      <c r="DF37" s="31">
        <f>CR37/Basicinfo!$G37*1000/100</f>
        <v>10.159228874172626</v>
      </c>
      <c r="DG37" s="31">
        <f>CP37/Basicinfo!$G37*1000/100</f>
        <v>2.9361227007293653</v>
      </c>
      <c r="DH37" s="31">
        <f>CT37/Basicinfo!$G37*1000/100</f>
        <v>17.699528008272797</v>
      </c>
      <c r="DI37" s="31">
        <f>CV37/Basicinfo!$G37*1000/100</f>
        <v>17.97501774093347</v>
      </c>
      <c r="DJ37" s="31"/>
      <c r="DK37" s="188">
        <f t="shared" si="17"/>
        <v>13.10837867657167</v>
      </c>
      <c r="DL37" s="188">
        <f t="shared" si="18"/>
        <v>2.167386157576082</v>
      </c>
      <c r="DM37" s="188">
        <f t="shared" si="19"/>
        <v>13.719284161149542</v>
      </c>
      <c r="DN37" s="188">
        <f t="shared" si="20"/>
        <v>7.803436262407172</v>
      </c>
      <c r="DO37" s="188">
        <f t="shared" si="21"/>
        <v>4.4902694777491643</v>
      </c>
      <c r="DP37" s="188">
        <f t="shared" si="22"/>
        <v>12.293705740156337</v>
      </c>
      <c r="DQ37" s="188">
        <f t="shared" si="23"/>
        <v>13.808383716988788</v>
      </c>
      <c r="DR37" s="188">
        <f t="shared" si="24"/>
        <v>7.9677267482773564</v>
      </c>
      <c r="DS37" s="188">
        <f t="shared" si="25"/>
        <v>34.605955145418193</v>
      </c>
      <c r="DT37" s="188">
        <f t="shared" si="26"/>
        <v>57.398303895020142</v>
      </c>
      <c r="DU37" s="188">
        <f t="shared" si="27"/>
        <v>16.588706203673993</v>
      </c>
      <c r="DV37" s="188">
        <f t="shared" si="28"/>
        <v>100</v>
      </c>
      <c r="DW37" s="188">
        <f t="shared" si="29"/>
        <v>101.55648067299823</v>
      </c>
      <c r="DY37" s="181">
        <f t="shared" si="30"/>
        <v>5.0897451666666669</v>
      </c>
      <c r="DZ37" s="181">
        <f t="shared" si="127"/>
        <v>2.3032941944801673</v>
      </c>
      <c r="EA37" s="185">
        <f t="shared" si="31"/>
        <v>5.9719893480281276E-2</v>
      </c>
      <c r="EB37" s="185">
        <f>AG37+AH37+AL37-Intermediate!FJ37-Intermediate!FM37</f>
        <v>7.0186419640864077</v>
      </c>
      <c r="EC37" s="185">
        <f>AI37+AJ37-Intermediate!FK37</f>
        <v>7.130731772959555</v>
      </c>
      <c r="ED37" s="240">
        <f t="shared" si="32"/>
        <v>0.11439852856658224</v>
      </c>
      <c r="EE37" s="240">
        <f>Intermediate!FJ37+Intermediate!FK37+Intermediate!FM37</f>
        <v>3.0580749452008371</v>
      </c>
      <c r="EF37" s="240">
        <f t="shared" si="33"/>
        <v>14.209093630526244</v>
      </c>
      <c r="EG37" s="240">
        <f t="shared" si="34"/>
        <v>7.3930393611468341</v>
      </c>
      <c r="EH37" s="240">
        <f t="shared" si="35"/>
        <v>24.774606465440495</v>
      </c>
      <c r="EI37" s="181">
        <f t="shared" si="36"/>
        <v>24.774606465440495</v>
      </c>
      <c r="EK37" s="31">
        <f>DY37/Basicinfo!$G37*1000/100</f>
        <v>0.15672261991051317</v>
      </c>
      <c r="EL37" s="31">
        <f>DZ37/Basicinfo!$G37*1000/100</f>
        <v>7.092266680612927E-2</v>
      </c>
      <c r="EM37" s="220">
        <f>EG37/Basicinfo!$G37*1000/100</f>
        <v>0.22764528671664244</v>
      </c>
      <c r="EN37" s="220">
        <f>ED37/Basicinfo!$G37*1000/100</f>
        <v>3.5225412125307358E-3</v>
      </c>
      <c r="EO37" s="220">
        <f>EF37/Basicinfo!$G37*1000/100</f>
        <v>0.43752414068075479</v>
      </c>
      <c r="EP37" s="220">
        <f>EE37/Basicinfo!$G37*1000/100</f>
        <v>9.4163755080188705E-2</v>
      </c>
      <c r="EQ37" s="220">
        <f>EH37/Basicinfo!$G37*1000/100</f>
        <v>0.76285572369011656</v>
      </c>
      <c r="ER37" s="31">
        <f>EI37/Basicinfo!$G37*1000/100</f>
        <v>0.76285572369011656</v>
      </c>
      <c r="ET37" s="188">
        <f t="shared" si="37"/>
        <v>20.544201877703451</v>
      </c>
      <c r="EU37" s="188">
        <f t="shared" si="38"/>
        <v>9.2969960903038498</v>
      </c>
      <c r="EV37" s="223">
        <f t="shared" si="39"/>
        <v>29.8411979680073</v>
      </c>
      <c r="EW37" s="223">
        <f t="shared" si="40"/>
        <v>0.46175719774262908</v>
      </c>
      <c r="EX37" s="223">
        <f t="shared" si="41"/>
        <v>57.353458471065188</v>
      </c>
      <c r="EY37" s="223">
        <f t="shared" si="42"/>
        <v>12.343586363184899</v>
      </c>
      <c r="EZ37" s="223">
        <f t="shared" si="43"/>
        <v>100</v>
      </c>
      <c r="FA37" s="188">
        <f t="shared" si="44"/>
        <v>100</v>
      </c>
      <c r="FC37" s="236">
        <f>Basicinfo!CT37</f>
        <v>4.3022770398481969</v>
      </c>
      <c r="FD37" s="181">
        <f>IF((Intermediate!CL37+Intermediate!CM37*3)/4&gt;11,(Intermediate!CL37+Intermediate!CM37*9)/10,(Intermediate!CL37+Intermediate!CM37*3)/4)</f>
        <v>2.2525354591063467</v>
      </c>
      <c r="FF37" s="31">
        <f t="shared" si="45"/>
        <v>0.11439852856658224</v>
      </c>
      <c r="FG37" s="31">
        <f t="shared" si="46"/>
        <v>1.7883687920194353</v>
      </c>
      <c r="FH37" s="31">
        <f t="shared" si="47"/>
        <v>0</v>
      </c>
      <c r="FI37" s="31">
        <f>(AI37-(P37*450/1000000))*Parameters!$C$153</f>
        <v>5.0287464925001828</v>
      </c>
      <c r="FJ37" s="31"/>
      <c r="FK37" s="31">
        <f t="shared" si="48"/>
        <v>5.9719893480281276E-2</v>
      </c>
      <c r="FL37" s="31">
        <f t="shared" si="49"/>
        <v>7.0385805225084672</v>
      </c>
      <c r="FM37" s="31">
        <f>AM37*Parameters!$C$154</f>
        <v>0.69255171123318571</v>
      </c>
      <c r="FN37" s="31">
        <f>AN37*Parameters!$C$154</f>
        <v>1.1161243544523818</v>
      </c>
      <c r="FO37" s="31">
        <f>AO37*Parameters!$C$154</f>
        <v>0.26428870934658311</v>
      </c>
      <c r="FP37" s="31">
        <f>AQ37*Parameters!$C$155</f>
        <v>5.0897451666666669</v>
      </c>
      <c r="FQ37" s="31">
        <f t="shared" si="50"/>
        <v>21.192524170773765</v>
      </c>
      <c r="FS37" s="147">
        <f>DY37*Parameters!$C$155</f>
        <v>5.0897451666666669</v>
      </c>
      <c r="FT37" s="147">
        <f>DZ37*Parameters!$C$154</f>
        <v>2.0729647750321507</v>
      </c>
      <c r="FU37" s="181">
        <f t="shared" si="51"/>
        <v>5.9719893480281276E-2</v>
      </c>
      <c r="FV37" s="181">
        <f t="shared" si="52"/>
        <v>7.0186419640864077</v>
      </c>
      <c r="FW37" s="31">
        <f t="shared" si="53"/>
        <v>5.028746492500181</v>
      </c>
      <c r="FX37" s="181">
        <f t="shared" si="54"/>
        <v>0.11439852856658224</v>
      </c>
      <c r="FY37" s="147">
        <f>Intermediate!FJ37+Intermediate!FM37</f>
        <v>1.8083073504414959</v>
      </c>
      <c r="FZ37" s="181">
        <f t="shared" si="55"/>
        <v>12.10710835006687</v>
      </c>
      <c r="GA37" s="147">
        <f t="shared" si="56"/>
        <v>7.162709941698818</v>
      </c>
      <c r="GB37" s="181">
        <f t="shared" si="57"/>
        <v>21.192524170773765</v>
      </c>
      <c r="GD37" s="147">
        <f>IF('River loads'!CH37&gt;0.99,1,0)</f>
        <v>0</v>
      </c>
      <c r="GE37" s="147">
        <f t="shared" si="58"/>
        <v>0</v>
      </c>
      <c r="GF37" s="147">
        <f t="shared" si="59"/>
        <v>0</v>
      </c>
      <c r="GG37" s="147">
        <f t="shared" si="60"/>
        <v>0</v>
      </c>
      <c r="GH37" s="147">
        <f t="shared" si="61"/>
        <v>0</v>
      </c>
      <c r="GI37" s="147">
        <f t="shared" si="62"/>
        <v>0</v>
      </c>
      <c r="GJ37" s="147">
        <f t="shared" si="63"/>
        <v>0</v>
      </c>
      <c r="GK37" s="147">
        <f t="shared" si="64"/>
        <v>0</v>
      </c>
      <c r="GL37" s="147">
        <f t="shared" si="65"/>
        <v>0</v>
      </c>
      <c r="GM37" s="270">
        <f t="shared" si="128"/>
        <v>0</v>
      </c>
      <c r="GN37" s="270">
        <f t="shared" si="129"/>
        <v>0</v>
      </c>
      <c r="GO37" s="147">
        <f t="shared" si="66"/>
        <v>0</v>
      </c>
      <c r="GP37" s="147">
        <f t="shared" si="67"/>
        <v>0</v>
      </c>
      <c r="GQ37" s="147"/>
      <c r="GR37" s="147">
        <f t="shared" si="68"/>
        <v>0</v>
      </c>
      <c r="GS37" s="147">
        <f t="shared" si="69"/>
        <v>0</v>
      </c>
      <c r="GT37" s="147">
        <f t="shared" si="70"/>
        <v>0</v>
      </c>
      <c r="GU37" s="147">
        <f t="shared" si="71"/>
        <v>0</v>
      </c>
      <c r="GV37" s="147">
        <f t="shared" si="72"/>
        <v>0</v>
      </c>
      <c r="GW37" s="147">
        <f t="shared" si="73"/>
        <v>0</v>
      </c>
      <c r="GX37" s="147">
        <f t="shared" si="74"/>
        <v>0</v>
      </c>
      <c r="GY37" s="147">
        <f t="shared" si="75"/>
        <v>0</v>
      </c>
      <c r="GZ37" s="147">
        <f t="shared" si="130"/>
        <v>0</v>
      </c>
      <c r="HA37" s="147">
        <f t="shared" si="131"/>
        <v>0</v>
      </c>
      <c r="HB37" s="147">
        <f t="shared" si="76"/>
        <v>0</v>
      </c>
      <c r="HC37" s="147">
        <f t="shared" si="77"/>
        <v>0</v>
      </c>
      <c r="HD37" s="147"/>
      <c r="HE37" s="147">
        <f t="shared" si="78"/>
        <v>0</v>
      </c>
      <c r="HF37" s="147">
        <f t="shared" si="79"/>
        <v>0</v>
      </c>
      <c r="HG37" s="147">
        <f t="shared" si="80"/>
        <v>0</v>
      </c>
      <c r="HH37" s="147">
        <f t="shared" si="81"/>
        <v>0</v>
      </c>
      <c r="HI37" s="147">
        <f t="shared" si="82"/>
        <v>0</v>
      </c>
      <c r="HJ37" s="147">
        <f t="shared" si="83"/>
        <v>0</v>
      </c>
      <c r="HK37" s="147">
        <f t="shared" si="84"/>
        <v>0</v>
      </c>
      <c r="HL37" s="147">
        <f t="shared" si="85"/>
        <v>0</v>
      </c>
      <c r="HM37" s="147">
        <f t="shared" si="86"/>
        <v>0</v>
      </c>
      <c r="HN37" s="147">
        <f t="shared" si="87"/>
        <v>0</v>
      </c>
      <c r="HO37" s="147">
        <f t="shared" si="88"/>
        <v>0</v>
      </c>
      <c r="HQ37" s="147">
        <f t="shared" si="89"/>
        <v>0</v>
      </c>
      <c r="HR37" s="147">
        <f t="shared" si="90"/>
        <v>0</v>
      </c>
      <c r="HS37" s="147">
        <f t="shared" si="91"/>
        <v>0</v>
      </c>
      <c r="HT37" s="147">
        <f t="shared" si="92"/>
        <v>0</v>
      </c>
      <c r="HU37" s="147">
        <f t="shared" si="93"/>
        <v>0</v>
      </c>
      <c r="HV37" s="147">
        <f t="shared" si="94"/>
        <v>0</v>
      </c>
      <c r="HW37" s="147">
        <f t="shared" si="95"/>
        <v>0</v>
      </c>
      <c r="HX37" s="147">
        <f t="shared" si="96"/>
        <v>0</v>
      </c>
      <c r="HY37" s="147">
        <f t="shared" si="97"/>
        <v>0</v>
      </c>
      <c r="HZ37" s="147">
        <f t="shared" si="98"/>
        <v>0</v>
      </c>
      <c r="IB37" s="147">
        <f>IF('River loads'!CI37&gt;0.99,1,0)</f>
        <v>0</v>
      </c>
      <c r="IC37">
        <f t="shared" si="144"/>
        <v>0</v>
      </c>
      <c r="ID37">
        <f t="shared" si="145"/>
        <v>0</v>
      </c>
      <c r="IE37">
        <f t="shared" si="146"/>
        <v>0</v>
      </c>
      <c r="IF37">
        <f t="shared" si="147"/>
        <v>0</v>
      </c>
      <c r="IG37">
        <f t="shared" si="148"/>
        <v>0</v>
      </c>
      <c r="IH37">
        <f t="shared" si="149"/>
        <v>0</v>
      </c>
      <c r="II37">
        <f t="shared" si="150"/>
        <v>0</v>
      </c>
      <c r="IJ37">
        <f t="shared" si="151"/>
        <v>0</v>
      </c>
      <c r="IK37">
        <f t="shared" si="132"/>
        <v>0</v>
      </c>
      <c r="IL37">
        <f t="shared" si="133"/>
        <v>0</v>
      </c>
      <c r="IM37">
        <f t="shared" si="107"/>
        <v>0</v>
      </c>
      <c r="IN37">
        <f t="shared" si="108"/>
        <v>0</v>
      </c>
      <c r="IP37">
        <f t="shared" si="109"/>
        <v>0</v>
      </c>
      <c r="IQ37">
        <f t="shared" si="110"/>
        <v>0</v>
      </c>
      <c r="IR37">
        <f t="shared" si="111"/>
        <v>0</v>
      </c>
      <c r="IS37">
        <f t="shared" si="112"/>
        <v>0</v>
      </c>
      <c r="IT37">
        <f t="shared" si="113"/>
        <v>0</v>
      </c>
      <c r="IU37">
        <f t="shared" si="114"/>
        <v>0</v>
      </c>
      <c r="IV37">
        <f t="shared" si="115"/>
        <v>0</v>
      </c>
      <c r="IW37">
        <f t="shared" si="116"/>
        <v>0</v>
      </c>
      <c r="IX37">
        <f t="shared" si="117"/>
        <v>0</v>
      </c>
    </row>
    <row r="38" spans="1:258">
      <c r="A38" s="39" t="str">
        <f>Basicinfo!A38</f>
        <v>Alm</v>
      </c>
      <c r="B38" s="63">
        <f>Basicinfo!B38</f>
        <v>1300</v>
      </c>
      <c r="C38" s="63">
        <f>Basicinfo!C38</f>
        <v>1310</v>
      </c>
      <c r="D38" s="130">
        <f>Basicinfo!G38</f>
        <v>243.148242549</v>
      </c>
      <c r="E38" s="87">
        <f t="shared" si="118"/>
        <v>11.038809232340302</v>
      </c>
      <c r="F38" s="19">
        <f>Intermediate!AR38</f>
        <v>0.16982946362104109</v>
      </c>
      <c r="G38" s="19">
        <f>Intermediate!AU38</f>
        <v>2.8068300052156885</v>
      </c>
      <c r="H38" s="19">
        <f>Intermediate!AW38</f>
        <v>8.3099168451694946E-2</v>
      </c>
      <c r="I38" s="19">
        <f>Intermediate!AZ38</f>
        <v>0</v>
      </c>
      <c r="J38" s="19">
        <f>Intermediate!BA38</f>
        <v>7.9697246644065798</v>
      </c>
      <c r="K38" s="19">
        <f>Intermediate!AC38</f>
        <v>1.8475624531827234E-3</v>
      </c>
      <c r="L38" s="19">
        <f>Intermediate!AO38</f>
        <v>3.6836269351952899E-3</v>
      </c>
      <c r="M38" s="19">
        <f>Intermediate!AP38</f>
        <v>3.7947412569192744E-3</v>
      </c>
      <c r="N38" s="19">
        <f t="shared" si="119"/>
        <v>11.038809232340302</v>
      </c>
      <c r="O38" s="19">
        <f>Basicinfo!CB38+Basicinfo!CG38</f>
        <v>0</v>
      </c>
      <c r="P38" s="56">
        <f>Intermediate!BK38-Intermediate!BI38</f>
        <v>3.3090864888345095</v>
      </c>
      <c r="Q38" s="43">
        <f>Intermediate!BI38</f>
        <v>2523.1021806582889</v>
      </c>
      <c r="R38" s="88">
        <f t="shared" si="134"/>
        <v>2526.4112671471235</v>
      </c>
      <c r="S38" s="61">
        <f>Intermediate!F38*Intermediate!BO38/1000</f>
        <v>5.2689550090891109</v>
      </c>
      <c r="T38" s="19">
        <f>Intermediate!BU38*Intermediate!AU38*86.4*0.365</f>
        <v>57.25383817779575</v>
      </c>
      <c r="U38" s="19">
        <f>Intermediate!AW38*Intermediate!BS38*0.365*86.4</f>
        <v>1.6950123335942273</v>
      </c>
      <c r="V38" s="19">
        <f>(Basicinfo!BL38/1000000)*(Intermediate!BK38-Intermediate!BF38-Intermediate!BG38-Intermediate!BH38)*Intermediate!CV38</f>
        <v>2.787833003501115E-2</v>
      </c>
      <c r="W38" s="19">
        <f>Intermediate!BI38*Parameters!$C$51/1000000</f>
        <v>6.3077554516457218E-2</v>
      </c>
      <c r="X38" s="19">
        <f>Intermediate!AZ38*Intermediate!CG38*86.4*0.365</f>
        <v>0</v>
      </c>
      <c r="Y38" s="19">
        <f>Intermediate!CM38*Intermediate!BA38*86.4*0.365+Parameters!$C$126*Intermediate!BB38*Basicinfo!P38/1000+Parameters!$C$127*Intermediate!BB38*Basicinfo!S38/1000</f>
        <v>185.99972639859922</v>
      </c>
      <c r="Z38" s="19">
        <f>Intermediate!DG38</f>
        <v>8.265868196219113E-2</v>
      </c>
      <c r="AA38" s="19">
        <f>Intermediate!DI38</f>
        <v>1.692542321021288</v>
      </c>
      <c r="AB38" s="19">
        <f>Intermediate!DK38</f>
        <v>0.32813353472124773</v>
      </c>
      <c r="AC38" s="19">
        <f t="shared" si="120"/>
        <v>252.41182234133447</v>
      </c>
      <c r="AD38" s="19">
        <f>Basicinfo!CC38+Basicinfo!CE38+Basicinfo!CH38+Basicinfo!CJ38</f>
        <v>0</v>
      </c>
      <c r="AE38" s="87">
        <f t="shared" si="135"/>
        <v>252.41182234133447</v>
      </c>
      <c r="AF38" s="56">
        <f>Intermediate!F38*Basicinfo!BD38/1000</f>
        <v>0.14763939316056271</v>
      </c>
      <c r="AG38" s="43">
        <f>Intermediate!CA38*Intermediate!AU38*86.4*0.365</f>
        <v>0.84467998665163446</v>
      </c>
      <c r="AH38" s="43">
        <f>Intermediate!AW38*Intermediate!BZ38*0.365*86.4</f>
        <v>6.7182327110039408E-3</v>
      </c>
      <c r="AI38" s="43">
        <f>(Intermediate!CU38/1000000)*(Intermediate!BK38-Intermediate!BF38-Intermediate!BG38-Intermediate!BH38)*Intermediate!CW38</f>
        <v>1.2042597820734045E-2</v>
      </c>
      <c r="AJ38" s="43">
        <f>Intermediate!BF38*Parameters!$C$52/1000000+(Intermediate!BG38+Intermediate!BH38)*Intermediate!CX38/1000000</f>
        <v>1.1548221339711999</v>
      </c>
      <c r="AK38" s="43">
        <f>Intermediate!AZ38*Intermediate!CH38*86.4*0.365</f>
        <v>0</v>
      </c>
      <c r="AL38" s="58">
        <f>Intermediate!CR38*Intermediate!BA38*86.4*0.365</f>
        <v>0.76830718626898253</v>
      </c>
      <c r="AM38" s="43">
        <f>Intermediate!DH38</f>
        <v>2.4951469532470943E-2</v>
      </c>
      <c r="AN38" s="42">
        <f>Intermediate!DJ38</f>
        <v>0.29494820596142085</v>
      </c>
      <c r="AO38" s="42">
        <f>Intermediate!DL38</f>
        <v>5.487589294115381E-2</v>
      </c>
      <c r="AP38" s="42">
        <f t="shared" si="122"/>
        <v>3.3089850990191634</v>
      </c>
      <c r="AQ38" s="43">
        <f>Basicinfo!CD38+Basicinfo!CF38+Basicinfo!CI38+Basicinfo!CK38</f>
        <v>0</v>
      </c>
      <c r="AR38" s="83">
        <f t="shared" si="136"/>
        <v>3.3089850990191634</v>
      </c>
      <c r="AS38" s="19">
        <f>F38*86400*365/(Basicinfo!G38*1000000)*1000</f>
        <v>22.026652994104392</v>
      </c>
      <c r="AT38" s="19">
        <f>G38*86400*365/(Basicinfo!G38*1000000)*1000</f>
        <v>364.04207621054019</v>
      </c>
      <c r="AU38" s="19">
        <f>H38*86400*365/(Basicinfo!G38*1000000)*1000</f>
        <v>10.777850371526077</v>
      </c>
      <c r="AV38" s="19">
        <f>I38*86400*365/(Basicinfo!G38*1000000)*1000</f>
        <v>0</v>
      </c>
      <c r="AW38" s="19">
        <f>J38*86400*365/(Basicinfo!G38*1000000)*1000</f>
        <v>1033.6625689000259</v>
      </c>
      <c r="AX38" s="53">
        <f>K38*86400*365/(Basicinfo!G38*1000000)*1000</f>
        <v>0.23962636502227103</v>
      </c>
      <c r="AY38" s="53">
        <f>L38*86400*365/(Basicinfo!G38*1000000)*1000</f>
        <v>0.47776145864968927</v>
      </c>
      <c r="AZ38" s="53">
        <f>M38*86400*365/(Basicinfo!G38*1000000)*1000</f>
        <v>0.49217283671745954</v>
      </c>
      <c r="BA38" s="19">
        <f t="shared" si="123"/>
        <v>1431.7187091365859</v>
      </c>
      <c r="BB38" s="19">
        <f>O38*86400*365/(Basicinfo!G38*1000000)*1000</f>
        <v>0</v>
      </c>
      <c r="BC38" s="53">
        <f t="shared" si="137"/>
        <v>1431.7187091365859</v>
      </c>
      <c r="BD38" s="56">
        <f>P38/(Basicinfo!G38*100)*1000</f>
        <v>0.13609337473075309</v>
      </c>
      <c r="BE38" s="43">
        <f>Q38/(Basicinfo!G38*100)*1000</f>
        <v>103.76806158283566</v>
      </c>
      <c r="BF38" s="58">
        <f t="shared" si="138"/>
        <v>103.9041549575664</v>
      </c>
      <c r="BG38" s="61">
        <f>S38/(Basicinfo!G38*100)*1000000</f>
        <v>216.69722774275428</v>
      </c>
      <c r="BH38" s="19">
        <f>T38/(Basicinfo!G38*100)*1000000</f>
        <v>2354.6885462788314</v>
      </c>
      <c r="BI38" s="19">
        <f>U38/(Basicinfo!G38*100)*1000000</f>
        <v>69.711066624413021</v>
      </c>
      <c r="BJ38" s="19">
        <f>V38/(Basicinfo!G38*100)*1000000</f>
        <v>1.1465569211092703</v>
      </c>
      <c r="BK38" s="19">
        <f>W38/(Basicinfo!G38*100)*1000000</f>
        <v>2.5942015395708911</v>
      </c>
      <c r="BL38" s="19">
        <f>X38/(Basicinfo!G38*100)*1000000</f>
        <v>0</v>
      </c>
      <c r="BM38" s="19">
        <f>Y38/(Basicinfo!G38*100)*1000000</f>
        <v>7649.6430510336086</v>
      </c>
      <c r="BN38" s="53">
        <f>Z38/(Basicinfo!G38*100)*1000000</f>
        <v>3.3995179687771544</v>
      </c>
      <c r="BO38" s="53">
        <f>AA38/(Basicinfo!G38*100)*1000000</f>
        <v>69.609481988347156</v>
      </c>
      <c r="BP38" s="53">
        <f>AB38/(Basicinfo!G38*100)*1000000</f>
        <v>13.49520487095938</v>
      </c>
      <c r="BQ38" s="19">
        <f t="shared" si="125"/>
        <v>10380.984854968372</v>
      </c>
      <c r="BR38" s="19">
        <f>AD38/(Basicinfo!G38*100)*1000000</f>
        <v>0</v>
      </c>
      <c r="BS38" s="53">
        <f t="shared" si="139"/>
        <v>10380.984854968372</v>
      </c>
      <c r="BT38" s="56">
        <f>AF38/(Basicinfo!G38*100)*1000000</f>
        <v>6.0719909637352183</v>
      </c>
      <c r="BU38" s="43">
        <f>AG38/(Basicinfo!G38*100)*1000000</f>
        <v>34.739300510527521</v>
      </c>
      <c r="BV38" s="43">
        <f>AH38/(Basicinfo!G38*100)*1000000</f>
        <v>0.27630192349221122</v>
      </c>
      <c r="BW38" s="43">
        <f>AI38/(Basicinfo!G38*100)*1000000</f>
        <v>0.49527801206735778</v>
      </c>
      <c r="BX38" s="43">
        <f>AJ38/(Basicinfo!G38*100)*1000000</f>
        <v>47.494570467169908</v>
      </c>
      <c r="BY38" s="58">
        <f>AK38/(Basicinfo!G38*100)*1000000</f>
        <v>0</v>
      </c>
      <c r="BZ38" s="58">
        <f>AL38/(Basicinfo!G38*100)*1000000</f>
        <v>31.598303085170397</v>
      </c>
      <c r="CA38" s="58">
        <f>AM38/(Basicinfo!G38*100)*1000000</f>
        <v>1.0261834208998095</v>
      </c>
      <c r="CB38" s="58">
        <f>AN38/(Basicinfo!G38*100)*1000000</f>
        <v>12.130386091603437</v>
      </c>
      <c r="CC38" s="58">
        <f>AO38/(Basicinfo!G38*100)*1000000</f>
        <v>2.2568903795426385</v>
      </c>
      <c r="CD38" s="58">
        <f t="shared" si="126"/>
        <v>136.0892048542085</v>
      </c>
      <c r="CE38" s="58">
        <f>AQ38/(Basicinfo!G38*100)*1000000</f>
        <v>0</v>
      </c>
      <c r="CF38" s="43">
        <f t="shared" si="140"/>
        <v>136.0892048542085</v>
      </c>
      <c r="CG38" s="84"/>
      <c r="CH38" s="84">
        <f t="shared" si="8"/>
        <v>0</v>
      </c>
      <c r="CI38" s="146">
        <f t="shared" si="9"/>
        <v>2.1033345377047268</v>
      </c>
      <c r="CJ38" s="200">
        <f>Intermediate!EW38+Intermediate!EY38+Intermediate!FD38</f>
        <v>110.3790557923415</v>
      </c>
      <c r="CK38" s="180">
        <f>Intermediate!FA38+Intermediate!FF38</f>
        <v>1.5568961881464736</v>
      </c>
      <c r="CL38" s="180">
        <f t="shared" si="141"/>
        <v>0</v>
      </c>
      <c r="CM38" s="180">
        <f t="shared" si="142"/>
        <v>5.9338679394168992</v>
      </c>
      <c r="CN38" s="202">
        <f>Intermediate!EX38+Intermediate!EZ38+Intermediate!FE38</f>
        <v>86.228642696779076</v>
      </c>
      <c r="CO38" s="180">
        <f>Intermediate!FB38+Intermediate!FG38</f>
        <v>1.2163239884593815</v>
      </c>
      <c r="CP38" s="213">
        <f>Intermediate!EP38+Intermediate!EQ38+Intermediate!ER38+Intermediate!ES38+Intermediate!ET38+Intermediate!EU38+Intermediate!EV38+W38</f>
        <v>44.993701198486455</v>
      </c>
      <c r="CQ38" s="212">
        <f t="shared" si="12"/>
        <v>87.444966685238455</v>
      </c>
      <c r="CR38" s="212">
        <f t="shared" si="13"/>
        <v>117.86981991990487</v>
      </c>
      <c r="CS38" s="211">
        <f t="shared" si="143"/>
        <v>8.265868196219113E-2</v>
      </c>
      <c r="CT38" s="212">
        <f t="shared" si="15"/>
        <v>250.39114648559197</v>
      </c>
      <c r="CU38" s="84"/>
      <c r="CV38" s="31">
        <f t="shared" si="16"/>
        <v>252.41182234133447</v>
      </c>
      <c r="CW38" s="31">
        <f>CH38/Basicinfo!$G38*1000/100</f>
        <v>0</v>
      </c>
      <c r="CX38" s="31">
        <f>CI38/Basicinfo!$G38*1000/100</f>
        <v>8.6504204828083686E-2</v>
      </c>
      <c r="CY38" s="31">
        <f>CS38/Basicinfo!$G38*1000/100</f>
        <v>3.3995179687771543E-3</v>
      </c>
      <c r="CZ38" s="31">
        <f>CN38/Basicinfo!$G38*1000/100</f>
        <v>3.5463403639202533</v>
      </c>
      <c r="DA38" s="31">
        <f>CO38/Basicinfo!$G38*1000/100</f>
        <v>5.002396791801874E-2</v>
      </c>
      <c r="DB38" s="31">
        <f>CQ38/Basicinfo!$G38*1000/100</f>
        <v>3.5963643318382719</v>
      </c>
      <c r="DC38" s="31">
        <f>CJ38/Basicinfo!$G38*1000/100</f>
        <v>4.5395785976161251</v>
      </c>
      <c r="DD38" s="31">
        <f>CK38/Basicinfo!$G38*1000/100</f>
        <v>6.4030739923309252E-2</v>
      </c>
      <c r="DE38" s="31">
        <f>CM38/Basicinfo!$G38*1000/100</f>
        <v>0.24404321730686937</v>
      </c>
      <c r="DF38" s="31">
        <f>CR38/Basicinfo!$G38*1000/100</f>
        <v>4.8476525548463041</v>
      </c>
      <c r="DG38" s="31">
        <f>CP38/Basicinfo!$G38*1000/100</f>
        <v>1.8504637634557108</v>
      </c>
      <c r="DH38" s="31">
        <f>CT38/Basicinfo!$G38*1000/100</f>
        <v>10.297880168109064</v>
      </c>
      <c r="DI38" s="31">
        <f>CV38/Basicinfo!$G38*1000/100</f>
        <v>10.38098485496837</v>
      </c>
      <c r="DJ38" s="31"/>
      <c r="DK38" s="188">
        <f t="shared" si="17"/>
        <v>0</v>
      </c>
      <c r="DL38" s="188">
        <f t="shared" si="18"/>
        <v>0.84001953233029236</v>
      </c>
      <c r="DM38" s="188">
        <f t="shared" si="19"/>
        <v>3.3011822950755762E-2</v>
      </c>
      <c r="DN38" s="188">
        <f t="shared" si="20"/>
        <v>34.437576530582668</v>
      </c>
      <c r="DO38" s="188">
        <f t="shared" si="21"/>
        <v>0.48576956714776309</v>
      </c>
      <c r="DP38" s="188">
        <f t="shared" si="22"/>
        <v>34.923346097730423</v>
      </c>
      <c r="DQ38" s="188">
        <f t="shared" si="23"/>
        <v>44.082651220534643</v>
      </c>
      <c r="DR38" s="188">
        <f t="shared" si="24"/>
        <v>0.62178563818991117</v>
      </c>
      <c r="DS38" s="188">
        <f t="shared" si="25"/>
        <v>2.3698393584209039</v>
      </c>
      <c r="DT38" s="188">
        <f t="shared" si="26"/>
        <v>47.07427621714546</v>
      </c>
      <c r="DU38" s="188">
        <f t="shared" si="27"/>
        <v>17.969365862173358</v>
      </c>
      <c r="DV38" s="188">
        <f t="shared" si="28"/>
        <v>100</v>
      </c>
      <c r="DW38" s="188">
        <f t="shared" si="29"/>
        <v>100.80700770937952</v>
      </c>
      <c r="DY38" s="181">
        <f t="shared" si="30"/>
        <v>0</v>
      </c>
      <c r="DZ38" s="181">
        <f t="shared" si="127"/>
        <v>0.37477556843504561</v>
      </c>
      <c r="EA38" s="185">
        <f t="shared" si="31"/>
        <v>0</v>
      </c>
      <c r="EB38" s="185">
        <f>AG38+AH38+AL38-Intermediate!FJ38-Intermediate!FM38</f>
        <v>0.68327750546416899</v>
      </c>
      <c r="EC38" s="185">
        <f>AI38+AJ38-Intermediate!FK38</f>
        <v>7.8462166323474136E-3</v>
      </c>
      <c r="ED38" s="240">
        <f t="shared" si="32"/>
        <v>0.14763939316056271</v>
      </c>
      <c r="EE38" s="240">
        <f>Intermediate!FJ38+Intermediate!FK38+Intermediate!FM38</f>
        <v>2.0954464153270385</v>
      </c>
      <c r="EF38" s="240">
        <f t="shared" si="33"/>
        <v>0.69112372209651651</v>
      </c>
      <c r="EG38" s="240">
        <f t="shared" si="34"/>
        <v>0.37477556843504561</v>
      </c>
      <c r="EH38" s="240">
        <f t="shared" si="35"/>
        <v>3.3089850990191634</v>
      </c>
      <c r="EI38" s="181">
        <f t="shared" si="36"/>
        <v>3.3089850990191634</v>
      </c>
      <c r="EK38" s="31">
        <f>DY38/Basicinfo!$G38*1000/100</f>
        <v>0</v>
      </c>
      <c r="EL38" s="31">
        <f>DZ38/Basicinfo!$G38*1000/100</f>
        <v>1.5413459892045884E-2</v>
      </c>
      <c r="EM38" s="220">
        <f>EG38/Basicinfo!$G38*1000/100</f>
        <v>1.5413459892045884E-2</v>
      </c>
      <c r="EN38" s="220">
        <f>ED38/Basicinfo!$G38*1000/100</f>
        <v>6.0719909637352177E-3</v>
      </c>
      <c r="EO38" s="220">
        <f>EF38/Basicinfo!$G38*1000/100</f>
        <v>2.8423965349337825E-2</v>
      </c>
      <c r="EP38" s="220">
        <f>EE38/Basicinfo!$G38*1000/100</f>
        <v>8.6179788649089553E-2</v>
      </c>
      <c r="EQ38" s="220">
        <f>EH38/Basicinfo!$G38*1000/100</f>
        <v>0.1360892048542085</v>
      </c>
      <c r="ER38" s="31">
        <f>EI38/Basicinfo!$G38*1000/100</f>
        <v>0.1360892048542085</v>
      </c>
      <c r="ET38" s="188">
        <f t="shared" si="37"/>
        <v>0</v>
      </c>
      <c r="EU38" s="188">
        <f t="shared" si="38"/>
        <v>11.325997465087863</v>
      </c>
      <c r="EV38" s="223">
        <f t="shared" si="39"/>
        <v>11.325997465087863</v>
      </c>
      <c r="EW38" s="223">
        <f t="shared" si="40"/>
        <v>4.4617726808236577</v>
      </c>
      <c r="EX38" s="223">
        <f t="shared" si="41"/>
        <v>20.88627483699992</v>
      </c>
      <c r="EY38" s="223">
        <f t="shared" si="42"/>
        <v>63.325955017088539</v>
      </c>
      <c r="EZ38" s="223">
        <f t="shared" si="43"/>
        <v>100</v>
      </c>
      <c r="FA38" s="188">
        <f t="shared" si="44"/>
        <v>100</v>
      </c>
      <c r="FC38" s="236">
        <f>Basicinfo!CT38</f>
        <v>0.99580645161290327</v>
      </c>
      <c r="FD38" s="181">
        <f>IF((Intermediate!CL38+Intermediate!CM38*3)/4&gt;11,(Intermediate!CL38+Intermediate!CM38*9)/10,(Intermediate!CL38+Intermediate!CM38*3)/4)</f>
        <v>0.75947708018906757</v>
      </c>
      <c r="FF38" s="31">
        <f t="shared" si="45"/>
        <v>0.14763939316056271</v>
      </c>
      <c r="FG38" s="31">
        <f t="shared" si="46"/>
        <v>0.84467998665163446</v>
      </c>
      <c r="FH38" s="31">
        <f t="shared" si="47"/>
        <v>6.7182327110039408E-3</v>
      </c>
      <c r="FI38" s="31">
        <f>(AI38-(P38*450/1000000))*Parameters!$C$153</f>
        <v>8.4428071206068128E-3</v>
      </c>
      <c r="FJ38" s="31"/>
      <c r="FK38" s="31">
        <f t="shared" si="48"/>
        <v>0</v>
      </c>
      <c r="FL38" s="31">
        <f t="shared" si="49"/>
        <v>0.76830718626898253</v>
      </c>
      <c r="FM38" s="31">
        <f>AM38*Parameters!$C$154</f>
        <v>2.245632257922385E-2</v>
      </c>
      <c r="FN38" s="31">
        <f>AN38*Parameters!$C$154</f>
        <v>0.26545338536527879</v>
      </c>
      <c r="FO38" s="31">
        <f>AO38*Parameters!$C$154</f>
        <v>4.9388303647038431E-2</v>
      </c>
      <c r="FP38" s="31">
        <f>AQ38*Parameters!$C$155</f>
        <v>0</v>
      </c>
      <c r="FQ38" s="31">
        <f t="shared" si="50"/>
        <v>2.1130856175043315</v>
      </c>
      <c r="FS38" s="147">
        <f>DY38*Parameters!$C$155</f>
        <v>0</v>
      </c>
      <c r="FT38" s="147">
        <f>DZ38*Parameters!$C$154</f>
        <v>0.33729801159154105</v>
      </c>
      <c r="FU38" s="181">
        <f t="shared" si="51"/>
        <v>0</v>
      </c>
      <c r="FV38" s="181">
        <f t="shared" si="52"/>
        <v>0.68327750546416899</v>
      </c>
      <c r="FW38" s="31">
        <f t="shared" si="53"/>
        <v>8.4428071206067434E-3</v>
      </c>
      <c r="FX38" s="181">
        <f t="shared" si="54"/>
        <v>0.14763939316056271</v>
      </c>
      <c r="FY38" s="147">
        <f>Intermediate!FJ38+Intermediate!FM38</f>
        <v>0.93642790016745181</v>
      </c>
      <c r="FZ38" s="181">
        <f t="shared" si="55"/>
        <v>0.69172031258477573</v>
      </c>
      <c r="GA38" s="147">
        <f t="shared" si="56"/>
        <v>0.33729801159154105</v>
      </c>
      <c r="GB38" s="181">
        <f t="shared" si="57"/>
        <v>2.1130856175043311</v>
      </c>
      <c r="GD38" s="147">
        <f>IF('River loads'!CH38&gt;0.99,1,0)</f>
        <v>0</v>
      </c>
      <c r="GE38" s="147">
        <f t="shared" si="58"/>
        <v>0</v>
      </c>
      <c r="GF38" s="147">
        <f t="shared" si="59"/>
        <v>0</v>
      </c>
      <c r="GG38" s="147">
        <f t="shared" si="60"/>
        <v>0</v>
      </c>
      <c r="GH38" s="147">
        <f t="shared" si="61"/>
        <v>0</v>
      </c>
      <c r="GI38" s="147">
        <f t="shared" si="62"/>
        <v>0</v>
      </c>
      <c r="GJ38" s="147">
        <f t="shared" si="63"/>
        <v>0</v>
      </c>
      <c r="GK38" s="147">
        <f t="shared" si="64"/>
        <v>0</v>
      </c>
      <c r="GL38" s="147">
        <f t="shared" si="65"/>
        <v>0</v>
      </c>
      <c r="GM38" s="270">
        <f t="shared" si="128"/>
        <v>0</v>
      </c>
      <c r="GN38" s="270">
        <f t="shared" si="129"/>
        <v>0</v>
      </c>
      <c r="GO38" s="147">
        <f t="shared" si="66"/>
        <v>0</v>
      </c>
      <c r="GP38" s="147">
        <f t="shared" si="67"/>
        <v>0</v>
      </c>
      <c r="GQ38" s="147"/>
      <c r="GR38" s="147">
        <f t="shared" si="68"/>
        <v>0</v>
      </c>
      <c r="GS38" s="147">
        <f t="shared" si="69"/>
        <v>0</v>
      </c>
      <c r="GT38" s="147">
        <f t="shared" si="70"/>
        <v>0</v>
      </c>
      <c r="GU38" s="147">
        <f t="shared" si="71"/>
        <v>0</v>
      </c>
      <c r="GV38" s="147">
        <f t="shared" si="72"/>
        <v>0</v>
      </c>
      <c r="GW38" s="147">
        <f t="shared" si="73"/>
        <v>0</v>
      </c>
      <c r="GX38" s="147">
        <f t="shared" si="74"/>
        <v>0</v>
      </c>
      <c r="GY38" s="147">
        <f t="shared" si="75"/>
        <v>0</v>
      </c>
      <c r="GZ38" s="147">
        <f t="shared" si="130"/>
        <v>0</v>
      </c>
      <c r="HA38" s="147">
        <f t="shared" si="131"/>
        <v>0</v>
      </c>
      <c r="HB38" s="147">
        <f t="shared" si="76"/>
        <v>0</v>
      </c>
      <c r="HC38" s="147">
        <f t="shared" si="77"/>
        <v>0</v>
      </c>
      <c r="HD38" s="147"/>
      <c r="HE38" s="147">
        <f t="shared" si="78"/>
        <v>0</v>
      </c>
      <c r="HF38" s="147">
        <f t="shared" si="79"/>
        <v>0</v>
      </c>
      <c r="HG38" s="147">
        <f t="shared" si="80"/>
        <v>0</v>
      </c>
      <c r="HH38" s="147">
        <f t="shared" si="81"/>
        <v>0</v>
      </c>
      <c r="HI38" s="147">
        <f t="shared" si="82"/>
        <v>0</v>
      </c>
      <c r="HJ38" s="147">
        <f t="shared" si="83"/>
        <v>0</v>
      </c>
      <c r="HK38" s="147">
        <f t="shared" si="84"/>
        <v>0</v>
      </c>
      <c r="HL38" s="147">
        <f t="shared" si="85"/>
        <v>0</v>
      </c>
      <c r="HM38" s="147">
        <f t="shared" si="86"/>
        <v>0</v>
      </c>
      <c r="HN38" s="147">
        <f t="shared" si="87"/>
        <v>0</v>
      </c>
      <c r="HO38" s="147">
        <f t="shared" si="88"/>
        <v>0</v>
      </c>
      <c r="HQ38" s="147">
        <f t="shared" si="89"/>
        <v>0</v>
      </c>
      <c r="HR38" s="147">
        <f t="shared" si="90"/>
        <v>0</v>
      </c>
      <c r="HS38" s="147">
        <f t="shared" si="91"/>
        <v>0</v>
      </c>
      <c r="HT38" s="147">
        <f t="shared" si="92"/>
        <v>0</v>
      </c>
      <c r="HU38" s="147">
        <f t="shared" si="93"/>
        <v>0</v>
      </c>
      <c r="HV38" s="147">
        <f t="shared" si="94"/>
        <v>0</v>
      </c>
      <c r="HW38" s="147">
        <f t="shared" si="95"/>
        <v>0</v>
      </c>
      <c r="HX38" s="147">
        <f t="shared" si="96"/>
        <v>0</v>
      </c>
      <c r="HY38" s="147">
        <f t="shared" si="97"/>
        <v>0</v>
      </c>
      <c r="HZ38" s="147">
        <f t="shared" si="98"/>
        <v>0</v>
      </c>
      <c r="IB38" s="147">
        <f>IF('River loads'!CI38&gt;0.99,1,0)</f>
        <v>0</v>
      </c>
      <c r="IC38">
        <f t="shared" si="144"/>
        <v>0</v>
      </c>
      <c r="ID38">
        <f t="shared" si="145"/>
        <v>0</v>
      </c>
      <c r="IE38">
        <f t="shared" si="146"/>
        <v>0</v>
      </c>
      <c r="IF38">
        <f t="shared" si="147"/>
        <v>0</v>
      </c>
      <c r="IG38">
        <f t="shared" si="148"/>
        <v>0</v>
      </c>
      <c r="IH38">
        <f t="shared" si="149"/>
        <v>0</v>
      </c>
      <c r="II38">
        <f t="shared" si="150"/>
        <v>0</v>
      </c>
      <c r="IJ38">
        <f t="shared" si="151"/>
        <v>0</v>
      </c>
      <c r="IK38">
        <f t="shared" si="132"/>
        <v>0</v>
      </c>
      <c r="IL38">
        <f t="shared" si="133"/>
        <v>0</v>
      </c>
      <c r="IM38">
        <f t="shared" si="107"/>
        <v>0</v>
      </c>
      <c r="IN38">
        <f t="shared" si="108"/>
        <v>0</v>
      </c>
      <c r="IP38">
        <f t="shared" si="109"/>
        <v>0</v>
      </c>
      <c r="IQ38">
        <f t="shared" si="110"/>
        <v>0</v>
      </c>
      <c r="IR38">
        <f t="shared" si="111"/>
        <v>0</v>
      </c>
      <c r="IS38">
        <f t="shared" si="112"/>
        <v>0</v>
      </c>
      <c r="IT38">
        <f t="shared" si="113"/>
        <v>0</v>
      </c>
      <c r="IU38">
        <f t="shared" si="114"/>
        <v>0</v>
      </c>
      <c r="IV38">
        <f t="shared" si="115"/>
        <v>0</v>
      </c>
      <c r="IW38">
        <f t="shared" si="116"/>
        <v>0</v>
      </c>
      <c r="IX38">
        <f t="shared" si="117"/>
        <v>0</v>
      </c>
    </row>
    <row r="39" spans="1:258">
      <c r="A39" s="39" t="str">
        <f>Basicinfo!A39</f>
        <v>Alm</v>
      </c>
      <c r="B39" s="63">
        <f>Basicinfo!B39</f>
        <v>1310</v>
      </c>
      <c r="C39" s="63">
        <f>Basicinfo!C39</f>
        <v>4020</v>
      </c>
      <c r="D39" s="130">
        <f>Basicinfo!G39</f>
        <v>258.66038418900001</v>
      </c>
      <c r="E39" s="87">
        <f t="shared" si="118"/>
        <v>4.9374313373663989</v>
      </c>
      <c r="F39" s="19">
        <f>Intermediate!AR39</f>
        <v>5.6211839061200419E-2</v>
      </c>
      <c r="G39" s="19">
        <f>Intermediate!AU39</f>
        <v>0.975323070195526</v>
      </c>
      <c r="H39" s="19">
        <f>Intermediate!AW39</f>
        <v>0</v>
      </c>
      <c r="I39" s="19">
        <f>Intermediate!AZ39</f>
        <v>1.3361144901874563E-2</v>
      </c>
      <c r="J39" s="19">
        <f>Intermediate!BA39</f>
        <v>3.7970241813433279</v>
      </c>
      <c r="K39" s="19">
        <f>Intermediate!AC39</f>
        <v>1.4205786273282532E-2</v>
      </c>
      <c r="L39" s="19">
        <f>Intermediate!AO39</f>
        <v>1.8505102759833251E-2</v>
      </c>
      <c r="M39" s="19">
        <f>Intermediate!AP39</f>
        <v>2.4442022562032827E-2</v>
      </c>
      <c r="N39" s="19">
        <f t="shared" si="119"/>
        <v>4.8990731470970772</v>
      </c>
      <c r="O39" s="19">
        <f>Basicinfo!CB39+Basicinfo!CG39</f>
        <v>3.8358190269321829E-2</v>
      </c>
      <c r="P39" s="56">
        <f>Intermediate!BK39-Intermediate!BI39</f>
        <v>2577.5233949309404</v>
      </c>
      <c r="Q39" s="43">
        <f>Intermediate!BI39</f>
        <v>3200.4058012381965</v>
      </c>
      <c r="R39" s="88">
        <f t="shared" si="134"/>
        <v>5777.929196169137</v>
      </c>
      <c r="S39" s="61">
        <f>Intermediate!F39*Intermediate!BO39/1000</f>
        <v>4.5564346809365226</v>
      </c>
      <c r="T39" s="19">
        <f>Intermediate!BU39*Intermediate!AU39*86.4*0.365</f>
        <v>37.838016114802024</v>
      </c>
      <c r="U39" s="19">
        <f>Intermediate!AW39*Intermediate!BS39*0.365*86.4</f>
        <v>0</v>
      </c>
      <c r="V39" s="19">
        <f>(Basicinfo!BL39/1000000)*(Intermediate!BK39-Intermediate!BF39-Intermediate!BG39-Intermediate!BH39)*Intermediate!CV39</f>
        <v>17.217390130019563</v>
      </c>
      <c r="W39" s="19">
        <f>Intermediate!BI39*Parameters!$C$51/1000000</f>
        <v>8.001014503095491E-2</v>
      </c>
      <c r="X39" s="19">
        <f>Intermediate!AZ39*Intermediate!CG39*86.4*0.365</f>
        <v>4.1214743790921489</v>
      </c>
      <c r="Y39" s="19">
        <f>Intermediate!CM39*Intermediate!BA39*86.4*0.365+Parameters!$C$126*Intermediate!BB39*Basicinfo!P39/1000+Parameters!$C$127*Intermediate!BB39*Basicinfo!S39/1000</f>
        <v>239.90895375941909</v>
      </c>
      <c r="Z39" s="19">
        <f>Intermediate!DG39</f>
        <v>0.90949343475546784</v>
      </c>
      <c r="AA39" s="19">
        <f>Intermediate!DI39</f>
        <v>5.9959065084323075</v>
      </c>
      <c r="AB39" s="19">
        <f>Intermediate!DK39</f>
        <v>2.4908409931737134</v>
      </c>
      <c r="AC39" s="19">
        <f t="shared" si="120"/>
        <v>313.11852014566182</v>
      </c>
      <c r="AD39" s="19">
        <f>Basicinfo!CC39+Basicinfo!CE39+Basicinfo!CH39+Basicinfo!CJ39</f>
        <v>13.584467966666665</v>
      </c>
      <c r="AE39" s="87">
        <f t="shared" si="135"/>
        <v>326.70298811232851</v>
      </c>
      <c r="AF39" s="56">
        <f>Intermediate!F39*Basicinfo!BD39/1000</f>
        <v>0.10779149109931668</v>
      </c>
      <c r="AG39" s="43">
        <f>Intermediate!CA39*Intermediate!AU39*86.4*0.365</f>
        <v>0.96247010370493091</v>
      </c>
      <c r="AH39" s="43">
        <f>Intermediate!AW39*Intermediate!BZ39*0.365*86.4</f>
        <v>0</v>
      </c>
      <c r="AI39" s="43">
        <f>(Intermediate!CU39/1000000)*(Intermediate!BK39-Intermediate!BF39-Intermediate!BG39-Intermediate!BH39)*Intermediate!CW39</f>
        <v>7.161059501347065</v>
      </c>
      <c r="AJ39" s="43">
        <f>Intermediate!BF39*Parameters!$C$52/1000000+(Intermediate!BG39+Intermediate!BH39)*Intermediate!CX39/1000000</f>
        <v>1.4401826105571884</v>
      </c>
      <c r="AK39" s="43">
        <f>Intermediate!AZ39*Intermediate!CH39*86.4*0.365</f>
        <v>2.6945514079959165E-2</v>
      </c>
      <c r="AL39" s="58">
        <f>Intermediate!CR39*Intermediate!BA39*86.4*0.365</f>
        <v>1.9757516080547093</v>
      </c>
      <c r="AM39" s="43">
        <f>Intermediate!DH39</f>
        <v>0.24040205794461042</v>
      </c>
      <c r="AN39" s="42">
        <f>Intermediate!DJ39</f>
        <v>1.0847986447156051</v>
      </c>
      <c r="AO39" s="42">
        <f>Intermediate!DL39</f>
        <v>0.38566063460506572</v>
      </c>
      <c r="AP39" s="42">
        <f t="shared" si="122"/>
        <v>13.385062166108449</v>
      </c>
      <c r="AQ39" s="43">
        <f>Basicinfo!CD39+Basicinfo!CF39+Basicinfo!CI39+Basicinfo!CK39</f>
        <v>1.1829415000000001</v>
      </c>
      <c r="AR39" s="83">
        <f t="shared" si="136"/>
        <v>14.568003666108449</v>
      </c>
      <c r="AS39" s="19">
        <f>F39*86400*365/(Basicinfo!G39*1000000)*1000</f>
        <v>6.8533747917838417</v>
      </c>
      <c r="AT39" s="19">
        <f>G39*86400*365/(Basicinfo!G39*1000000)*1000</f>
        <v>118.91186367067237</v>
      </c>
      <c r="AU39" s="19">
        <f>H39*86400*365/(Basicinfo!G39*1000000)*1000</f>
        <v>0</v>
      </c>
      <c r="AV39" s="19">
        <f>I39*86400*365/(Basicinfo!G39*1000000)*1000</f>
        <v>1.6289972929044896</v>
      </c>
      <c r="AW39" s="19">
        <f>J39*86400*365/(Basicinfo!G39*1000000)*1000</f>
        <v>462.93503722374606</v>
      </c>
      <c r="AX39" s="53">
        <f>K39*86400*365/(Basicinfo!G39*1000000)*1000</f>
        <v>1.731976380221002</v>
      </c>
      <c r="AY39" s="53">
        <f>L39*86400*365/(Basicinfo!G39*1000000)*1000</f>
        <v>2.2561511398965868</v>
      </c>
      <c r="AZ39" s="53">
        <f>M39*86400*365/(Basicinfo!G39*1000000)*1000</f>
        <v>2.9799832932786892</v>
      </c>
      <c r="BA39" s="19">
        <f t="shared" si="123"/>
        <v>597.29738379250307</v>
      </c>
      <c r="BB39" s="19">
        <f>O39*86400*365/(Basicinfo!G39*1000000)*1000</f>
        <v>4.6766492368983972</v>
      </c>
      <c r="BC39" s="53">
        <f t="shared" si="137"/>
        <v>601.97403302940143</v>
      </c>
      <c r="BD39" s="56">
        <f>P39/(Basicinfo!G39*100)*1000</f>
        <v>99.648943266378794</v>
      </c>
      <c r="BE39" s="43">
        <f>Q39/(Basicinfo!G39*100)*1000</f>
        <v>123.73003354466908</v>
      </c>
      <c r="BF39" s="58">
        <f t="shared" si="138"/>
        <v>223.37897681104789</v>
      </c>
      <c r="BG39" s="61">
        <f>S39/(Basicinfo!G39*100)*1000000</f>
        <v>176.15510373661206</v>
      </c>
      <c r="BH39" s="19">
        <f>T39/(Basicinfo!G39*100)*1000000</f>
        <v>1462.8454308315822</v>
      </c>
      <c r="BI39" s="19">
        <f>U39/(Basicinfo!G39*100)*1000000</f>
        <v>0</v>
      </c>
      <c r="BJ39" s="19">
        <f>V39/(Basicinfo!G39*100)*1000000</f>
        <v>665.63691939153023</v>
      </c>
      <c r="BK39" s="19">
        <f>W39/(Basicinfo!G39*100)*1000000</f>
        <v>3.093250838616727</v>
      </c>
      <c r="BL39" s="19">
        <f>X39/(Basicinfo!G39*100)*1000000</f>
        <v>159.33921972684604</v>
      </c>
      <c r="BM39" s="19">
        <f>Y39/(Basicinfo!G39*100)*1000000</f>
        <v>9275.0559584772182</v>
      </c>
      <c r="BN39" s="53">
        <f>Z39/(Basicinfo!G39*100)*1000000</f>
        <v>35.161682667683351</v>
      </c>
      <c r="BO39" s="53">
        <f>AA39/(Basicinfo!G39*100)*1000000</f>
        <v>231.80613943769492</v>
      </c>
      <c r="BP39" s="53">
        <f>AB39/(Basicinfo!G39*100)*1000000</f>
        <v>96.297738093270837</v>
      </c>
      <c r="BQ39" s="19">
        <f t="shared" si="125"/>
        <v>12105.391443201055</v>
      </c>
      <c r="BR39" s="19">
        <f>AD39/(Basicinfo!G39*100)*1000000</f>
        <v>525.18548633797207</v>
      </c>
      <c r="BS39" s="53">
        <f t="shared" si="139"/>
        <v>12630.576929539027</v>
      </c>
      <c r="BT39" s="56">
        <f>AF39/(Basicinfo!G39*100)*1000000</f>
        <v>4.1672980358892051</v>
      </c>
      <c r="BU39" s="43">
        <f>AG39/(Basicinfo!G39*100)*1000000</f>
        <v>37.20979951076179</v>
      </c>
      <c r="BV39" s="43">
        <f>AH39/(Basicinfo!G39*100)*1000000</f>
        <v>0</v>
      </c>
      <c r="BW39" s="43">
        <f>AI39/(Basicinfo!G39*100)*1000000</f>
        <v>276.85180797205368</v>
      </c>
      <c r="BX39" s="43">
        <f>AJ39/(Basicinfo!G39*100)*1000000</f>
        <v>55.678515095101091</v>
      </c>
      <c r="BY39" s="58">
        <f>AK39/(Basicinfo!G39*100)*1000000</f>
        <v>1.0417333201001668</v>
      </c>
      <c r="BZ39" s="58">
        <f>AL39/(Basicinfo!G39*100)*1000000</f>
        <v>76.384005005229241</v>
      </c>
      <c r="CA39" s="58">
        <f>AM39/(Basicinfo!G39*100)*1000000</f>
        <v>9.2941197276252243</v>
      </c>
      <c r="CB39" s="58">
        <f>AN39/(Basicinfo!G39*100)*1000000</f>
        <v>41.939110549026161</v>
      </c>
      <c r="CC39" s="58">
        <f>AO39/(Basicinfo!G39*100)*1000000</f>
        <v>14.909922747322147</v>
      </c>
      <c r="CD39" s="58">
        <f t="shared" si="126"/>
        <v>517.47631196310874</v>
      </c>
      <c r="CE39" s="58">
        <f>AQ39/(Basicinfo!G39*100)*1000000</f>
        <v>45.733385253755721</v>
      </c>
      <c r="CF39" s="43">
        <f t="shared" si="140"/>
        <v>563.20969721686447</v>
      </c>
      <c r="CG39" s="84"/>
      <c r="CH39" s="84">
        <f t="shared" si="8"/>
        <v>13.584467966666665</v>
      </c>
      <c r="CI39" s="146">
        <f t="shared" si="9"/>
        <v>9.3962409363614885</v>
      </c>
      <c r="CJ39" s="200">
        <f>Intermediate!EW39+Intermediate!EY39+Intermediate!FD39</f>
        <v>40.239134668474428</v>
      </c>
      <c r="CK39" s="180">
        <f>Intermediate!FA39+Intermediate!FF39</f>
        <v>20.581586920735617</v>
      </c>
      <c r="CL39" s="180">
        <f t="shared" si="141"/>
        <v>4.1214743790921489</v>
      </c>
      <c r="CM39" s="180">
        <f t="shared" si="142"/>
        <v>146.0660036224001</v>
      </c>
      <c r="CN39" s="202">
        <f>Intermediate!EX39+Intermediate!EZ39+Intermediate!FE39</f>
        <v>28.075630764246853</v>
      </c>
      <c r="CO39" s="180">
        <f>Intermediate!FB39+Intermediate!FG39</f>
        <v>14.376523376957596</v>
      </c>
      <c r="CP39" s="213">
        <f>Intermediate!EP39+Intermediate!EQ39+Intermediate!ER39+Intermediate!ES39+Intermediate!ET39+Intermediate!EU39+Intermediate!EV39+W39</f>
        <v>50.26192547739349</v>
      </c>
      <c r="CQ39" s="212">
        <f t="shared" si="12"/>
        <v>42.452154141204446</v>
      </c>
      <c r="CR39" s="212">
        <f t="shared" si="13"/>
        <v>211.0081995907023</v>
      </c>
      <c r="CS39" s="211">
        <f t="shared" si="143"/>
        <v>14.493961401422133</v>
      </c>
      <c r="CT39" s="212">
        <f t="shared" si="15"/>
        <v>318.21624061072237</v>
      </c>
      <c r="CU39" s="84"/>
      <c r="CV39" s="31">
        <f t="shared" si="16"/>
        <v>326.70298811232851</v>
      </c>
      <c r="CW39" s="31">
        <f>CH39/Basicinfo!$G39*1000/100</f>
        <v>0.52518548633797202</v>
      </c>
      <c r="CX39" s="31">
        <f>CI39/Basicinfo!$G39*1000/100</f>
        <v>0.36326556019864908</v>
      </c>
      <c r="CY39" s="31">
        <f>CS39/Basicinfo!$G39*1000/100</f>
        <v>0.5603471690056554</v>
      </c>
      <c r="CZ39" s="31">
        <f>CN39/Basicinfo!$G39*1000/100</f>
        <v>1.0854244592682709</v>
      </c>
      <c r="DA39" s="31">
        <f>CO39/Basicinfo!$G39*1000/100</f>
        <v>0.55580692892085259</v>
      </c>
      <c r="DB39" s="31">
        <f>CQ39/Basicinfo!$G39*1000/100</f>
        <v>1.6412313881891234</v>
      </c>
      <c r="DC39" s="31">
        <f>CJ39/Basicinfo!$G39*1000/100</f>
        <v>1.5556744336648083</v>
      </c>
      <c r="DD39" s="31">
        <f>CK39/Basicinfo!$G39*1000/100</f>
        <v>0.79569923261603537</v>
      </c>
      <c r="DE39" s="31">
        <f>CM39/Basicinfo!$G39*1000/100</f>
        <v>5.6470187377310719</v>
      </c>
      <c r="DF39" s="31">
        <f>CR39/Basicinfo!$G39*1000/100</f>
        <v>8.157731623738762</v>
      </c>
      <c r="DG39" s="31">
        <f>CP39/Basicinfo!$G39*1000/100</f>
        <v>1.9431628710745172</v>
      </c>
      <c r="DH39" s="31">
        <f>CT39/Basicinfo!$G39*1000/100</f>
        <v>12.302473052008059</v>
      </c>
      <c r="DI39" s="31">
        <f>CV39/Basicinfo!$G39*1000/100</f>
        <v>12.630576929539027</v>
      </c>
      <c r="DJ39" s="31"/>
      <c r="DK39" s="188">
        <f t="shared" si="17"/>
        <v>4.2689423835173459</v>
      </c>
      <c r="DL39" s="188">
        <f t="shared" si="18"/>
        <v>2.9527848479160497</v>
      </c>
      <c r="DM39" s="188">
        <f t="shared" si="19"/>
        <v>4.5547522570203336</v>
      </c>
      <c r="DN39" s="188">
        <f t="shared" si="20"/>
        <v>8.8228151744750516</v>
      </c>
      <c r="DO39" s="188">
        <f t="shared" si="21"/>
        <v>4.5178471561872806</v>
      </c>
      <c r="DP39" s="188">
        <f t="shared" si="22"/>
        <v>13.340662330662331</v>
      </c>
      <c r="DQ39" s="188">
        <f t="shared" si="23"/>
        <v>12.645217161527411</v>
      </c>
      <c r="DR39" s="188">
        <f t="shared" si="24"/>
        <v>6.4677990291241327</v>
      </c>
      <c r="DS39" s="188">
        <f t="shared" si="25"/>
        <v>45.901492438622689</v>
      </c>
      <c r="DT39" s="188">
        <f t="shared" si="26"/>
        <v>66.309689029615271</v>
      </c>
      <c r="DU39" s="188">
        <f t="shared" si="27"/>
        <v>15.794896382702067</v>
      </c>
      <c r="DV39" s="188">
        <f t="shared" si="28"/>
        <v>100</v>
      </c>
      <c r="DW39" s="188">
        <f t="shared" si="29"/>
        <v>102.66697497441311</v>
      </c>
      <c r="DY39" s="181">
        <f t="shared" si="30"/>
        <v>1.1829415000000001</v>
      </c>
      <c r="DZ39" s="181">
        <f t="shared" si="127"/>
        <v>1.7108613372652812</v>
      </c>
      <c r="EA39" s="185">
        <f t="shared" si="31"/>
        <v>2.6945514079959165E-2</v>
      </c>
      <c r="EB39" s="185">
        <f>AG39+AH39+AL39-Intermediate!FJ39-Intermediate!FM39</f>
        <v>2.0224906138726491</v>
      </c>
      <c r="EC39" s="185">
        <f>AI39+AJ39-Intermediate!FK39</f>
        <v>6.9534722147605805</v>
      </c>
      <c r="ED39" s="240">
        <f t="shared" si="32"/>
        <v>0.10779149109931668</v>
      </c>
      <c r="EE39" s="240">
        <f>Intermediate!FJ39+Intermediate!FK39+Intermediate!FM39</f>
        <v>2.5635009950306644</v>
      </c>
      <c r="EF39" s="240">
        <f t="shared" si="33"/>
        <v>9.0029083427131873</v>
      </c>
      <c r="EG39" s="240">
        <f t="shared" si="34"/>
        <v>2.8938028372652811</v>
      </c>
      <c r="EH39" s="240">
        <f t="shared" si="35"/>
        <v>14.568003666108449</v>
      </c>
      <c r="EI39" s="181">
        <f t="shared" si="36"/>
        <v>14.568003666108449</v>
      </c>
      <c r="EK39" s="31">
        <f>DY39/Basicinfo!$G39*1000/100</f>
        <v>4.5733385253755719E-2</v>
      </c>
      <c r="EL39" s="31">
        <f>DZ39/Basicinfo!$G39*1000/100</f>
        <v>6.6143153023973542E-2</v>
      </c>
      <c r="EM39" s="220">
        <f>EG39/Basicinfo!$G39*1000/100</f>
        <v>0.11187653827772923</v>
      </c>
      <c r="EN39" s="220">
        <f>ED39/Basicinfo!$G39*1000/100</f>
        <v>4.1672980358892046E-3</v>
      </c>
      <c r="EO39" s="220">
        <f>EF39/Basicinfo!$G39*1000/100</f>
        <v>0.34805903389267651</v>
      </c>
      <c r="EP39" s="220">
        <f>EE39/Basicinfo!$G39*1000/100</f>
        <v>9.9106827010569401E-2</v>
      </c>
      <c r="EQ39" s="220">
        <f>EH39/Basicinfo!$G39*1000/100</f>
        <v>0.56320969721686431</v>
      </c>
      <c r="ER39" s="31">
        <f>EI39/Basicinfo!$G39*1000/100</f>
        <v>0.56320969721686431</v>
      </c>
      <c r="ET39" s="188">
        <f t="shared" si="37"/>
        <v>8.1201345572972343</v>
      </c>
      <c r="EU39" s="188">
        <f t="shared" si="38"/>
        <v>11.743965587031623</v>
      </c>
      <c r="EV39" s="223">
        <f t="shared" si="39"/>
        <v>19.864100144328852</v>
      </c>
      <c r="EW39" s="223">
        <f t="shared" si="40"/>
        <v>0.7399194396833304</v>
      </c>
      <c r="EX39" s="223">
        <f t="shared" si="41"/>
        <v>61.799190534650208</v>
      </c>
      <c r="EY39" s="223">
        <f t="shared" si="42"/>
        <v>17.596789881337614</v>
      </c>
      <c r="EZ39" s="223">
        <f t="shared" si="43"/>
        <v>100</v>
      </c>
      <c r="FA39" s="188">
        <f t="shared" si="44"/>
        <v>100</v>
      </c>
      <c r="FC39" s="236">
        <f>Basicinfo!CT39</f>
        <v>3.4062150537634412</v>
      </c>
      <c r="FD39" s="181">
        <f>IF((Intermediate!CL39+Intermediate!CM39*3)/4&gt;11,(Intermediate!CL39+Intermediate!CM39*9)/10,(Intermediate!CL39+Intermediate!CM39*3)/4)</f>
        <v>2.5198200348113238</v>
      </c>
      <c r="FF39" s="31">
        <f t="shared" si="45"/>
        <v>0.10779149109931668</v>
      </c>
      <c r="FG39" s="31">
        <f t="shared" si="46"/>
        <v>0.96247010370493091</v>
      </c>
      <c r="FH39" s="31">
        <f t="shared" si="47"/>
        <v>0</v>
      </c>
      <c r="FI39" s="31">
        <f>(AI39-(P39*450/1000000))*Parameters!$C$153</f>
        <v>4.8009391789025138</v>
      </c>
      <c r="FJ39" s="31"/>
      <c r="FK39" s="31">
        <f t="shared" si="48"/>
        <v>2.6945514079959165E-2</v>
      </c>
      <c r="FL39" s="31">
        <f t="shared" si="49"/>
        <v>1.9757516080547093</v>
      </c>
      <c r="FM39" s="31">
        <f>AM39*Parameters!$C$154</f>
        <v>0.21636185215014939</v>
      </c>
      <c r="FN39" s="31">
        <f>AN39*Parameters!$C$154</f>
        <v>0.97631878024404462</v>
      </c>
      <c r="FO39" s="31">
        <f>AO39*Parameters!$C$154</f>
        <v>0.34709457114455916</v>
      </c>
      <c r="FP39" s="31">
        <f>AQ39*Parameters!$C$155</f>
        <v>1.1829415000000001</v>
      </c>
      <c r="FQ39" s="31">
        <f t="shared" si="50"/>
        <v>10.596614599380183</v>
      </c>
      <c r="FS39" s="147">
        <f>DY39*Parameters!$C$155</f>
        <v>1.1829415000000001</v>
      </c>
      <c r="FT39" s="147">
        <f>DZ39*Parameters!$C$154</f>
        <v>1.5397752035387531</v>
      </c>
      <c r="FU39" s="181">
        <f t="shared" si="51"/>
        <v>2.6945514079959165E-2</v>
      </c>
      <c r="FV39" s="181">
        <f t="shared" si="52"/>
        <v>2.0224906138726491</v>
      </c>
      <c r="FW39" s="31">
        <f t="shared" si="53"/>
        <v>4.8009391789025146</v>
      </c>
      <c r="FX39" s="181">
        <f t="shared" si="54"/>
        <v>0.10779149109931668</v>
      </c>
      <c r="FY39" s="147">
        <f>Intermediate!FJ39+Intermediate!FM39</f>
        <v>0.91573109788699081</v>
      </c>
      <c r="FZ39" s="181">
        <f t="shared" si="55"/>
        <v>6.8503753068551223</v>
      </c>
      <c r="GA39" s="147">
        <f t="shared" si="56"/>
        <v>2.7227167035387532</v>
      </c>
      <c r="GB39" s="181">
        <f t="shared" si="57"/>
        <v>10.596614599380183</v>
      </c>
      <c r="GD39" s="147">
        <f>IF('River loads'!CH39&gt;0.99,1,0)</f>
        <v>0</v>
      </c>
      <c r="GE39" s="147">
        <f t="shared" si="58"/>
        <v>0</v>
      </c>
      <c r="GF39" s="147">
        <f t="shared" si="59"/>
        <v>0</v>
      </c>
      <c r="GG39" s="147">
        <f t="shared" si="60"/>
        <v>0</v>
      </c>
      <c r="GH39" s="147">
        <f t="shared" si="61"/>
        <v>0</v>
      </c>
      <c r="GI39" s="147">
        <f t="shared" si="62"/>
        <v>0</v>
      </c>
      <c r="GJ39" s="147">
        <f t="shared" si="63"/>
        <v>0</v>
      </c>
      <c r="GK39" s="147">
        <f t="shared" si="64"/>
        <v>0</v>
      </c>
      <c r="GL39" s="147">
        <f t="shared" si="65"/>
        <v>0</v>
      </c>
      <c r="GM39" s="270">
        <f t="shared" si="128"/>
        <v>0</v>
      </c>
      <c r="GN39" s="270">
        <f t="shared" si="129"/>
        <v>0</v>
      </c>
      <c r="GO39" s="147">
        <f t="shared" si="66"/>
        <v>0</v>
      </c>
      <c r="GP39" s="147">
        <f t="shared" si="67"/>
        <v>0</v>
      </c>
      <c r="GQ39" s="147"/>
      <c r="GR39" s="147">
        <f t="shared" si="68"/>
        <v>0</v>
      </c>
      <c r="GS39" s="147">
        <f t="shared" si="69"/>
        <v>0</v>
      </c>
      <c r="GT39" s="147">
        <f t="shared" si="70"/>
        <v>0</v>
      </c>
      <c r="GU39" s="147">
        <f t="shared" si="71"/>
        <v>0</v>
      </c>
      <c r="GV39" s="147">
        <f t="shared" si="72"/>
        <v>0</v>
      </c>
      <c r="GW39" s="147">
        <f t="shared" si="73"/>
        <v>0</v>
      </c>
      <c r="GX39" s="147">
        <f t="shared" si="74"/>
        <v>0</v>
      </c>
      <c r="GY39" s="147">
        <f t="shared" si="75"/>
        <v>0</v>
      </c>
      <c r="GZ39" s="147">
        <f t="shared" si="130"/>
        <v>0</v>
      </c>
      <c r="HA39" s="147">
        <f t="shared" si="131"/>
        <v>0</v>
      </c>
      <c r="HB39" s="147">
        <f t="shared" si="76"/>
        <v>0</v>
      </c>
      <c r="HC39" s="147">
        <f t="shared" si="77"/>
        <v>0</v>
      </c>
      <c r="HD39" s="147"/>
      <c r="HE39" s="147">
        <f t="shared" si="78"/>
        <v>0</v>
      </c>
      <c r="HF39" s="147">
        <f t="shared" si="79"/>
        <v>0</v>
      </c>
      <c r="HG39" s="147">
        <f t="shared" si="80"/>
        <v>0</v>
      </c>
      <c r="HH39" s="147">
        <f t="shared" si="81"/>
        <v>0</v>
      </c>
      <c r="HI39" s="147">
        <f t="shared" si="82"/>
        <v>0</v>
      </c>
      <c r="HJ39" s="147">
        <f t="shared" si="83"/>
        <v>0</v>
      </c>
      <c r="HK39" s="147">
        <f t="shared" si="84"/>
        <v>0</v>
      </c>
      <c r="HL39" s="147">
        <f t="shared" si="85"/>
        <v>0</v>
      </c>
      <c r="HM39" s="147">
        <f t="shared" si="86"/>
        <v>0</v>
      </c>
      <c r="HN39" s="147">
        <f t="shared" si="87"/>
        <v>0</v>
      </c>
      <c r="HO39" s="147">
        <f t="shared" si="88"/>
        <v>0</v>
      </c>
      <c r="HQ39" s="147">
        <f t="shared" si="89"/>
        <v>0</v>
      </c>
      <c r="HR39" s="147">
        <f t="shared" si="90"/>
        <v>0</v>
      </c>
      <c r="HS39" s="147">
        <f t="shared" si="91"/>
        <v>0</v>
      </c>
      <c r="HT39" s="147">
        <f t="shared" si="92"/>
        <v>0</v>
      </c>
      <c r="HU39" s="147">
        <f t="shared" si="93"/>
        <v>0</v>
      </c>
      <c r="HV39" s="147">
        <f t="shared" si="94"/>
        <v>0</v>
      </c>
      <c r="HW39" s="147">
        <f t="shared" si="95"/>
        <v>0</v>
      </c>
      <c r="HX39" s="147">
        <f t="shared" si="96"/>
        <v>0</v>
      </c>
      <c r="HY39" s="147">
        <f t="shared" si="97"/>
        <v>0</v>
      </c>
      <c r="HZ39" s="147">
        <f t="shared" si="98"/>
        <v>0</v>
      </c>
      <c r="IB39" s="147">
        <f>IF('River loads'!CI39&gt;0.99,1,0)</f>
        <v>0</v>
      </c>
      <c r="IC39">
        <f t="shared" si="144"/>
        <v>0</v>
      </c>
      <c r="ID39">
        <f t="shared" si="145"/>
        <v>0</v>
      </c>
      <c r="IE39">
        <f t="shared" si="146"/>
        <v>0</v>
      </c>
      <c r="IF39">
        <f t="shared" si="147"/>
        <v>0</v>
      </c>
      <c r="IG39">
        <f t="shared" si="148"/>
        <v>0</v>
      </c>
      <c r="IH39">
        <f t="shared" si="149"/>
        <v>0</v>
      </c>
      <c r="II39">
        <f t="shared" si="150"/>
        <v>0</v>
      </c>
      <c r="IJ39">
        <f t="shared" si="151"/>
        <v>0</v>
      </c>
      <c r="IK39">
        <f t="shared" si="132"/>
        <v>0</v>
      </c>
      <c r="IL39">
        <f t="shared" si="133"/>
        <v>0</v>
      </c>
      <c r="IM39">
        <f t="shared" si="107"/>
        <v>0</v>
      </c>
      <c r="IN39">
        <f t="shared" si="108"/>
        <v>0</v>
      </c>
      <c r="IP39">
        <f t="shared" si="109"/>
        <v>0</v>
      </c>
      <c r="IQ39">
        <f t="shared" si="110"/>
        <v>0</v>
      </c>
      <c r="IR39">
        <f t="shared" si="111"/>
        <v>0</v>
      </c>
      <c r="IS39">
        <f t="shared" si="112"/>
        <v>0</v>
      </c>
      <c r="IT39">
        <f t="shared" si="113"/>
        <v>0</v>
      </c>
      <c r="IU39">
        <f t="shared" si="114"/>
        <v>0</v>
      </c>
      <c r="IV39">
        <f t="shared" si="115"/>
        <v>0</v>
      </c>
      <c r="IW39">
        <f t="shared" si="116"/>
        <v>0</v>
      </c>
      <c r="IX39">
        <f t="shared" si="117"/>
        <v>0</v>
      </c>
    </row>
    <row r="40" spans="1:258">
      <c r="A40" s="39" t="str">
        <f>Basicinfo!A40</f>
        <v>Krems</v>
      </c>
      <c r="B40" s="63">
        <f>Basicinfo!B40</f>
        <v>1320</v>
      </c>
      <c r="C40" s="63">
        <f>Basicinfo!C40</f>
        <v>1330</v>
      </c>
      <c r="D40" s="130">
        <f>Basicinfo!G40</f>
        <v>140.39721736000001</v>
      </c>
      <c r="E40" s="87">
        <f t="shared" si="118"/>
        <v>2.7933615807068795</v>
      </c>
      <c r="F40" s="19">
        <f>Intermediate!AR40</f>
        <v>2.1392762375321648E-2</v>
      </c>
      <c r="G40" s="19">
        <f>Intermediate!AU40</f>
        <v>0.53996795183191404</v>
      </c>
      <c r="H40" s="19">
        <f>Intermediate!AW40</f>
        <v>0</v>
      </c>
      <c r="I40" s="19">
        <f>Intermediate!AZ40</f>
        <v>2.964910489271479E-2</v>
      </c>
      <c r="J40" s="19">
        <f>Intermediate!BA40</f>
        <v>2.0840476210908747</v>
      </c>
      <c r="K40" s="19">
        <f>Intermediate!AC40</f>
        <v>9.0515082648022927E-3</v>
      </c>
      <c r="L40" s="19">
        <f>Intermediate!AO40</f>
        <v>1.1646029181135664E-2</v>
      </c>
      <c r="M40" s="19">
        <f>Intermediate!AP40</f>
        <v>1.5579723789294848E-2</v>
      </c>
      <c r="N40" s="19">
        <f t="shared" si="119"/>
        <v>2.7113347014260576</v>
      </c>
      <c r="O40" s="19">
        <f>Basicinfo!CB40+Basicinfo!CG40</f>
        <v>8.2026879280821932E-2</v>
      </c>
      <c r="P40" s="56">
        <f>Intermediate!BK40-Intermediate!BI40</f>
        <v>4294.1997181083161</v>
      </c>
      <c r="Q40" s="43">
        <f>Intermediate!BI40</f>
        <v>1044.9155496734058</v>
      </c>
      <c r="R40" s="88">
        <f t="shared" si="134"/>
        <v>5339.1152677817217</v>
      </c>
      <c r="S40" s="61">
        <f>Intermediate!F40*Intermediate!BO40/1000</f>
        <v>1.9432538283479919</v>
      </c>
      <c r="T40" s="19">
        <f>Intermediate!BU40*Intermediate!AU40*86.4*0.365</f>
        <v>22.915455247602768</v>
      </c>
      <c r="U40" s="19">
        <f>Intermediate!AW40*Intermediate!BS40*0.365*86.4</f>
        <v>0</v>
      </c>
      <c r="V40" s="19">
        <f>(Basicinfo!BL40/1000000)*(Intermediate!BK40-Intermediate!BF40-Intermediate!BG40-Intermediate!BH40)*Intermediate!CV40</f>
        <v>9.597517536821238</v>
      </c>
      <c r="W40" s="19">
        <f>Intermediate!BI40*Parameters!$C$51/1000000</f>
        <v>2.6122888741835149E-2</v>
      </c>
      <c r="X40" s="19">
        <f>Intermediate!AZ40*Intermediate!CG40*86.4*0.365</f>
        <v>11.068593292581538</v>
      </c>
      <c r="Y40" s="19">
        <f>Intermediate!CM40*Intermediate!BA40*86.4*0.365+Parameters!$C$126*Intermediate!BB40*Basicinfo!P40/1000+Parameters!$C$127*Intermediate!BB40*Basicinfo!S40/1000</f>
        <v>193.61631789664602</v>
      </c>
      <c r="Z40" s="19">
        <f>Intermediate!DG40</f>
        <v>0.60727852659353587</v>
      </c>
      <c r="AA40" s="19">
        <f>Intermediate!DI40</f>
        <v>3.7547966234173722</v>
      </c>
      <c r="AB40" s="19">
        <f>Intermediate!DK40</f>
        <v>1.7122644696657097</v>
      </c>
      <c r="AC40" s="19">
        <f t="shared" si="120"/>
        <v>245.24160031041802</v>
      </c>
      <c r="AD40" s="19">
        <f>Basicinfo!CC40+Basicinfo!CE40+Basicinfo!CH40+Basicinfo!CJ40</f>
        <v>27.541234166666669</v>
      </c>
      <c r="AE40" s="87">
        <f t="shared" si="135"/>
        <v>272.78283447708469</v>
      </c>
      <c r="AF40" s="56">
        <f>Intermediate!F40*Basicinfo!BD40/1000</f>
        <v>4.3071119925212065E-2</v>
      </c>
      <c r="AG40" s="43">
        <f>Intermediate!CA40*Intermediate!AU40*86.4*0.365</f>
        <v>0.53863879159957717</v>
      </c>
      <c r="AH40" s="43">
        <f>Intermediate!AW40*Intermediate!BZ40*0.365*86.4</f>
        <v>0</v>
      </c>
      <c r="AI40" s="43">
        <f>(Intermediate!CU40/1000000)*(Intermediate!BK40-Intermediate!BF40-Intermediate!BG40-Intermediate!BH40)*Intermediate!CW40</f>
        <v>9.9190036637577652</v>
      </c>
      <c r="AJ40" s="43">
        <f>Intermediate!BF40*Parameters!$C$52/1000000+(Intermediate!BG40+Intermediate!BH40)*Intermediate!CX40/1000000</f>
        <v>0.47151889051372509</v>
      </c>
      <c r="AK40" s="43">
        <f>Intermediate!AZ40*Intermediate!CH40*86.4*0.365</f>
        <v>5.6173030259960399E-2</v>
      </c>
      <c r="AL40" s="58">
        <f>Intermediate!CR40*Intermediate!BA40*86.4*0.365</f>
        <v>1.244584426680988</v>
      </c>
      <c r="AM40" s="43">
        <f>Intermediate!DH40</f>
        <v>0.15449595076422615</v>
      </c>
      <c r="AN40" s="42">
        <f>Intermediate!DJ40</f>
        <v>0.67604195096724529</v>
      </c>
      <c r="AO40" s="42">
        <f>Intermediate!DL40</f>
        <v>0.26300818009915194</v>
      </c>
      <c r="AP40" s="42">
        <f t="shared" si="122"/>
        <v>13.366536004567852</v>
      </c>
      <c r="AQ40" s="43">
        <f>Basicinfo!CD40+Basicinfo!CF40+Basicinfo!CI40+Basicinfo!CK40</f>
        <v>2.024393166666667</v>
      </c>
      <c r="AR40" s="83">
        <f t="shared" si="136"/>
        <v>15.390929171234518</v>
      </c>
      <c r="AS40" s="19">
        <f>F40*86400*365/(Basicinfo!G40*1000000)*1000</f>
        <v>4.8052387857393031</v>
      </c>
      <c r="AT40" s="19">
        <f>G40*86400*365/(Basicinfo!G40*1000000)*1000</f>
        <v>121.28751302319428</v>
      </c>
      <c r="AU40" s="19">
        <f>H40*86400*365/(Basicinfo!G40*1000000)*1000</f>
        <v>0</v>
      </c>
      <c r="AV40" s="19">
        <f>I40*86400*365/(Basicinfo!G40*1000000)*1000</f>
        <v>6.6597770915867498</v>
      </c>
      <c r="AW40" s="19">
        <f>J40*86400*365/(Basicinfo!G40*1000000)*1000</f>
        <v>468.11843578209374</v>
      </c>
      <c r="AX40" s="53">
        <f>K40*86400*365/(Basicinfo!G40*1000000)*1000</f>
        <v>2.0331483059729858</v>
      </c>
      <c r="AY40" s="53">
        <f>L40*86400*365/(Basicinfo!G40*1000000)*1000</f>
        <v>2.6159291698393123</v>
      </c>
      <c r="AZ40" s="53">
        <f>M40*86400*365/(Basicinfo!G40*1000000)*1000</f>
        <v>3.4995150093279763</v>
      </c>
      <c r="BA40" s="19">
        <f t="shared" si="123"/>
        <v>609.01955716775433</v>
      </c>
      <c r="BB40" s="19">
        <f>O40*86400*365/(Basicinfo!G40*1000000)*1000</f>
        <v>18.424864207721789</v>
      </c>
      <c r="BC40" s="53">
        <f t="shared" si="137"/>
        <v>627.44442137547617</v>
      </c>
      <c r="BD40" s="56">
        <f>P40/(Basicinfo!G40*100)*1000</f>
        <v>305.8607427451592</v>
      </c>
      <c r="BE40" s="43">
        <f>Q40/(Basicinfo!G40*100)*1000</f>
        <v>74.425659519595882</v>
      </c>
      <c r="BF40" s="58">
        <f t="shared" si="138"/>
        <v>380.28640226475511</v>
      </c>
      <c r="BG40" s="61">
        <f>S40/(Basicinfo!G40*100)*1000000</f>
        <v>138.4111355544313</v>
      </c>
      <c r="BH40" s="19">
        <f>T40/(Basicinfo!G40*100)*1000000</f>
        <v>1632.1872810943271</v>
      </c>
      <c r="BI40" s="19">
        <f>U40/(Basicinfo!G40*100)*1000000</f>
        <v>0</v>
      </c>
      <c r="BJ40" s="19">
        <f>V40/(Basicinfo!G40*100)*1000000</f>
        <v>683.59741861633404</v>
      </c>
      <c r="BK40" s="19">
        <f>W40/(Basicinfo!G40*100)*1000000</f>
        <v>1.8606414879898974</v>
      </c>
      <c r="BL40" s="19">
        <f>X40/(Basicinfo!G40*100)*1000000</f>
        <v>788.37697076288669</v>
      </c>
      <c r="BM40" s="19">
        <f>Y40/(Basicinfo!G40*100)*1000000</f>
        <v>13790.609353758349</v>
      </c>
      <c r="BN40" s="53">
        <f>Z40/(Basicinfo!G40*100)*1000000</f>
        <v>43.254313583465162</v>
      </c>
      <c r="BO40" s="53">
        <f>AA40/(Basicinfo!G40*100)*1000000</f>
        <v>267.44095745070911</v>
      </c>
      <c r="BP40" s="53">
        <f>AB40/(Basicinfo!G40*100)*1000000</f>
        <v>121.95857595063303</v>
      </c>
      <c r="BQ40" s="19">
        <f t="shared" si="125"/>
        <v>17467.696648259123</v>
      </c>
      <c r="BR40" s="19">
        <f>AD40/(Basicinfo!G40*100)*1000000</f>
        <v>1961.6652441228032</v>
      </c>
      <c r="BS40" s="53">
        <f t="shared" si="139"/>
        <v>19429.361892381927</v>
      </c>
      <c r="BT40" s="56">
        <f>AF40/(Basicinfo!G40*100)*1000000</f>
        <v>3.0678043863769111</v>
      </c>
      <c r="BU40" s="43">
        <f>AG40/(Basicinfo!G40*100)*1000000</f>
        <v>38.365346673390583</v>
      </c>
      <c r="BV40" s="43">
        <f>AH40/(Basicinfo!G40*100)*1000000</f>
        <v>0</v>
      </c>
      <c r="BW40" s="43">
        <f>AI40/(Basicinfo!G40*100)*1000000</f>
        <v>706.49574473573193</v>
      </c>
      <c r="BX40" s="43">
        <f>AJ40/(Basicinfo!G40*100)*1000000</f>
        <v>33.584632187166385</v>
      </c>
      <c r="BY40" s="58">
        <f>AK40/(Basicinfo!G40*100)*1000000</f>
        <v>4.0010073786522513</v>
      </c>
      <c r="BZ40" s="58">
        <f>AL40/(Basicinfo!G40*100)*1000000</f>
        <v>88.647371371305923</v>
      </c>
      <c r="CA40" s="58">
        <f>AM40/(Basicinfo!G40*100)*1000000</f>
        <v>11.004203193577178</v>
      </c>
      <c r="CB40" s="58">
        <f>AN40/(Basicinfo!G40*100)*1000000</f>
        <v>48.152090453030134</v>
      </c>
      <c r="CC40" s="58">
        <f>AO40/(Basicinfo!G40*100)*1000000</f>
        <v>18.733147639583098</v>
      </c>
      <c r="CD40" s="58">
        <f t="shared" si="126"/>
        <v>952.05134801881434</v>
      </c>
      <c r="CE40" s="58">
        <f>AQ40/(Basicinfo!G40*100)*1000000</f>
        <v>144.19040524683709</v>
      </c>
      <c r="CF40" s="43">
        <f t="shared" si="140"/>
        <v>1096.2417532656514</v>
      </c>
      <c r="CG40" s="84"/>
      <c r="CH40" s="84">
        <f t="shared" si="8"/>
        <v>27.541234166666669</v>
      </c>
      <c r="CI40" s="146">
        <f t="shared" si="9"/>
        <v>6.0743396196766177</v>
      </c>
      <c r="CJ40" s="200">
        <f>Intermediate!EW40+Intermediate!EY40+Intermediate!FD40</f>
        <v>20.172878902529462</v>
      </c>
      <c r="CK40" s="180">
        <f>Intermediate!FA40+Intermediate!FF40</f>
        <v>15.938624112776711</v>
      </c>
      <c r="CL40" s="180">
        <f t="shared" si="141"/>
        <v>11.068593292581538</v>
      </c>
      <c r="CM40" s="180">
        <f t="shared" si="142"/>
        <v>141.36818276866973</v>
      </c>
      <c r="CN40" s="202">
        <f>Intermediate!EX40+Intermediate!EZ40+Intermediate!FE40</f>
        <v>12.984267954363997</v>
      </c>
      <c r="CO40" s="180">
        <f>Intermediate!FB40+Intermediate!FG40</f>
        <v>10.174049803631945</v>
      </c>
      <c r="CP40" s="213">
        <f>Intermediate!EP40+Intermediate!EQ40+Intermediate!ER40+Intermediate!ES40+Intermediate!ET40+Intermediate!EU40+Intermediate!EV40+W40</f>
        <v>27.460663856188049</v>
      </c>
      <c r="CQ40" s="212">
        <f t="shared" si="12"/>
        <v>23.158317757995942</v>
      </c>
      <c r="CR40" s="212">
        <f t="shared" si="13"/>
        <v>188.54827907655746</v>
      </c>
      <c r="CS40" s="211">
        <f t="shared" si="143"/>
        <v>28.148512693260205</v>
      </c>
      <c r="CT40" s="212">
        <f t="shared" si="15"/>
        <v>267.31577338400166</v>
      </c>
      <c r="CU40" s="84"/>
      <c r="CV40" s="31">
        <f t="shared" si="16"/>
        <v>272.78283447708469</v>
      </c>
      <c r="CW40" s="31">
        <f>CH40/Basicinfo!$G40*1000/100</f>
        <v>1.9616652441228033</v>
      </c>
      <c r="CX40" s="31">
        <f>CI40/Basicinfo!$G40*1000/100</f>
        <v>0.4326538469848073</v>
      </c>
      <c r="CY40" s="31">
        <f>CS40/Basicinfo!$G40*1000/100</f>
        <v>2.0049195577062684</v>
      </c>
      <c r="CZ40" s="31">
        <f>CN40/Basicinfo!$G40*1000/100</f>
        <v>0.92482373928183637</v>
      </c>
      <c r="DA40" s="31">
        <f>CO40/Basicinfo!$G40*1000/100</f>
        <v>0.72466178425346717</v>
      </c>
      <c r="DB40" s="31">
        <f>CQ40/Basicinfo!$G40*1000/100</f>
        <v>1.6494855235353034</v>
      </c>
      <c r="DC40" s="31">
        <f>CJ40/Basicinfo!$G40*1000/100</f>
        <v>1.436843213979313</v>
      </c>
      <c r="DD40" s="31">
        <f>CK40/Basicinfo!$G40*1000/100</f>
        <v>1.1352521376479729</v>
      </c>
      <c r="DE40" s="31">
        <f>CM40/Basicinfo!$G40*1000/100</f>
        <v>10.069158451066732</v>
      </c>
      <c r="DF40" s="31">
        <f>CR40/Basicinfo!$G40*1000/100</f>
        <v>13.429630773456909</v>
      </c>
      <c r="DG40" s="31">
        <f>CP40/Basicinfo!$G40*1000/100</f>
        <v>1.9559265042821103</v>
      </c>
      <c r="DH40" s="31">
        <f>CT40/Basicinfo!$G40*1000/100</f>
        <v>19.039962358980588</v>
      </c>
      <c r="DI40" s="31">
        <f>CV40/Basicinfo!$G40*1000/100</f>
        <v>19.429361892381927</v>
      </c>
      <c r="DJ40" s="31"/>
      <c r="DK40" s="188">
        <f t="shared" si="17"/>
        <v>10.302884045343417</v>
      </c>
      <c r="DL40" s="188">
        <f t="shared" si="18"/>
        <v>2.272346125625281</v>
      </c>
      <c r="DM40" s="188">
        <f t="shared" si="19"/>
        <v>10.530060511178513</v>
      </c>
      <c r="DN40" s="188">
        <f t="shared" si="20"/>
        <v>4.8572771408112798</v>
      </c>
      <c r="DO40" s="188">
        <f t="shared" si="21"/>
        <v>3.8060042902955922</v>
      </c>
      <c r="DP40" s="188">
        <f t="shared" si="22"/>
        <v>8.6632814311068707</v>
      </c>
      <c r="DQ40" s="188">
        <f t="shared" si="23"/>
        <v>7.5464603705038114</v>
      </c>
      <c r="DR40" s="188">
        <f t="shared" si="24"/>
        <v>5.9624704936063484</v>
      </c>
      <c r="DS40" s="188">
        <f t="shared" si="25"/>
        <v>52.884340111719851</v>
      </c>
      <c r="DT40" s="188">
        <f t="shared" si="26"/>
        <v>70.533914512297059</v>
      </c>
      <c r="DU40" s="188">
        <f t="shared" si="27"/>
        <v>10.272743545417555</v>
      </c>
      <c r="DV40" s="188">
        <f t="shared" si="28"/>
        <v>100</v>
      </c>
      <c r="DW40" s="188">
        <f t="shared" si="29"/>
        <v>102.04516965979016</v>
      </c>
      <c r="DY40" s="181">
        <f t="shared" si="30"/>
        <v>2.024393166666667</v>
      </c>
      <c r="DZ40" s="181">
        <f t="shared" si="127"/>
        <v>1.0935460818306235</v>
      </c>
      <c r="EA40" s="185">
        <f t="shared" si="31"/>
        <v>5.6173030259960399E-2</v>
      </c>
      <c r="EB40" s="185">
        <f>AG40+AH40+AL40-Intermediate!FJ40-Intermediate!FM40</f>
        <v>1.3051469524876431</v>
      </c>
      <c r="EC40" s="185">
        <f>AI40+AJ40-Intermediate!FK40</f>
        <v>9.7375545807410155</v>
      </c>
      <c r="ED40" s="240">
        <f t="shared" si="32"/>
        <v>4.3071119925212065E-2</v>
      </c>
      <c r="EE40" s="240">
        <f>Intermediate!FJ40+Intermediate!FK40+Intermediate!FM40</f>
        <v>1.1310442393233955</v>
      </c>
      <c r="EF40" s="240">
        <f t="shared" si="33"/>
        <v>11.09887456348862</v>
      </c>
      <c r="EG40" s="240">
        <f t="shared" si="34"/>
        <v>3.1179392484972905</v>
      </c>
      <c r="EH40" s="240">
        <f t="shared" si="35"/>
        <v>15.390929171234518</v>
      </c>
      <c r="EI40" s="181">
        <f t="shared" si="36"/>
        <v>15.390929171234518</v>
      </c>
      <c r="EK40" s="31">
        <f>DY40/Basicinfo!$G40*1000/100</f>
        <v>0.14419040524683707</v>
      </c>
      <c r="EL40" s="31">
        <f>DZ40/Basicinfo!$G40*1000/100</f>
        <v>7.7889441286190408E-2</v>
      </c>
      <c r="EM40" s="220">
        <f>EG40/Basicinfo!$G40*1000/100</f>
        <v>0.22207984653302748</v>
      </c>
      <c r="EN40" s="220">
        <f>ED40/Basicinfo!$G40*1000/100</f>
        <v>3.0678043863769113E-3</v>
      </c>
      <c r="EO40" s="220">
        <f>EF40/Basicinfo!$G40*1000/100</f>
        <v>0.79053379918701683</v>
      </c>
      <c r="EP40" s="220">
        <f>EE40/Basicinfo!$G40*1000/100</f>
        <v>8.0560303159230309E-2</v>
      </c>
      <c r="EQ40" s="220">
        <f>EH40/Basicinfo!$G40*1000/100</f>
        <v>1.0962417532656514</v>
      </c>
      <c r="ER40" s="31">
        <f>EI40/Basicinfo!$G40*1000/100</f>
        <v>1.0962417532656514</v>
      </c>
      <c r="ET40" s="188">
        <f t="shared" si="37"/>
        <v>13.153157578362693</v>
      </c>
      <c r="EU40" s="188">
        <f t="shared" si="38"/>
        <v>7.1051336125595945</v>
      </c>
      <c r="EV40" s="223">
        <f t="shared" si="39"/>
        <v>20.258291190922286</v>
      </c>
      <c r="EW40" s="223">
        <f t="shared" si="40"/>
        <v>0.27984743121105082</v>
      </c>
      <c r="EX40" s="223">
        <f t="shared" si="41"/>
        <v>72.113089729711049</v>
      </c>
      <c r="EY40" s="223">
        <f t="shared" si="42"/>
        <v>7.3487716481556236</v>
      </c>
      <c r="EZ40" s="223">
        <f t="shared" si="43"/>
        <v>100</v>
      </c>
      <c r="FA40" s="188">
        <f t="shared" si="44"/>
        <v>100</v>
      </c>
      <c r="FC40" s="236">
        <f>Basicinfo!CT40</f>
        <v>3.1662580645161289</v>
      </c>
      <c r="FD40" s="181">
        <f>IF((Intermediate!CL40+Intermediate!CM40*3)/4&gt;11,(Intermediate!CL40+Intermediate!CM40*9)/10,(Intermediate!CL40+Intermediate!CM40*3)/4)</f>
        <v>3.5077912367670869</v>
      </c>
      <c r="FF40" s="31">
        <f t="shared" si="45"/>
        <v>4.3071119925212065E-2</v>
      </c>
      <c r="FG40" s="31">
        <f t="shared" si="46"/>
        <v>0.53863879159957717</v>
      </c>
      <c r="FH40" s="31">
        <f t="shared" si="47"/>
        <v>0</v>
      </c>
      <c r="FI40" s="31">
        <f>(AI40-(P40*450/1000000))*Parameters!$C$153</f>
        <v>6.3892910324872183</v>
      </c>
      <c r="FJ40" s="31"/>
      <c r="FK40" s="31">
        <f t="shared" si="48"/>
        <v>5.6173030259960399E-2</v>
      </c>
      <c r="FL40" s="31">
        <f t="shared" si="49"/>
        <v>1.244584426680988</v>
      </c>
      <c r="FM40" s="31">
        <f>AM40*Parameters!$C$154</f>
        <v>0.13904635568780355</v>
      </c>
      <c r="FN40" s="31">
        <f>AN40*Parameters!$C$154</f>
        <v>0.60843775587052074</v>
      </c>
      <c r="FO40" s="31">
        <f>AO40*Parameters!$C$154</f>
        <v>0.23670736208923676</v>
      </c>
      <c r="FP40" s="31">
        <f>AQ40*Parameters!$C$155</f>
        <v>2.024393166666667</v>
      </c>
      <c r="FQ40" s="31">
        <f t="shared" si="50"/>
        <v>11.28034304126718</v>
      </c>
      <c r="FS40" s="147">
        <f>DY40*Parameters!$C$155</f>
        <v>2.024393166666667</v>
      </c>
      <c r="FT40" s="147">
        <f>DZ40*Parameters!$C$154</f>
        <v>0.98419147364756121</v>
      </c>
      <c r="FU40" s="181">
        <f t="shared" si="51"/>
        <v>5.6173030259960399E-2</v>
      </c>
      <c r="FV40" s="181">
        <f t="shared" si="52"/>
        <v>1.3051469524876431</v>
      </c>
      <c r="FW40" s="31">
        <f t="shared" si="53"/>
        <v>6.3892910324872147</v>
      </c>
      <c r="FX40" s="181">
        <f t="shared" si="54"/>
        <v>4.3071119925212065E-2</v>
      </c>
      <c r="FY40" s="147">
        <f>Intermediate!FJ40+Intermediate!FM40</f>
        <v>0.47807626579292201</v>
      </c>
      <c r="FZ40" s="181">
        <f t="shared" si="55"/>
        <v>7.750611015234818</v>
      </c>
      <c r="GA40" s="147">
        <f t="shared" si="56"/>
        <v>3.0085846403142282</v>
      </c>
      <c r="GB40" s="181">
        <f t="shared" si="57"/>
        <v>11.28034304126718</v>
      </c>
      <c r="GD40" s="147">
        <f>IF('River loads'!CH40&gt;0.99,1,0)</f>
        <v>1</v>
      </c>
      <c r="GE40" s="147">
        <f t="shared" si="58"/>
        <v>4.3071119925212065E-2</v>
      </c>
      <c r="GF40" s="147">
        <f t="shared" si="59"/>
        <v>0.53863879159957717</v>
      </c>
      <c r="GG40" s="147">
        <f t="shared" si="60"/>
        <v>0</v>
      </c>
      <c r="GH40" s="147">
        <f t="shared" si="61"/>
        <v>9.9190036637577652</v>
      </c>
      <c r="GI40" s="147">
        <f t="shared" si="62"/>
        <v>0.47151889051372509</v>
      </c>
      <c r="GJ40" s="147">
        <f t="shared" si="63"/>
        <v>5.6173030259960399E-2</v>
      </c>
      <c r="GK40" s="147">
        <f t="shared" si="64"/>
        <v>1.244584426680988</v>
      </c>
      <c r="GL40" s="147">
        <f t="shared" si="65"/>
        <v>0.15449595076422615</v>
      </c>
      <c r="GM40" s="270">
        <f t="shared" si="128"/>
        <v>0.67604195096724529</v>
      </c>
      <c r="GN40" s="270">
        <f t="shared" si="129"/>
        <v>0.26300818009915194</v>
      </c>
      <c r="GO40" s="147">
        <f t="shared" si="66"/>
        <v>2.024393166666667</v>
      </c>
      <c r="GP40" s="147">
        <f t="shared" si="67"/>
        <v>15.390929171234518</v>
      </c>
      <c r="GQ40" s="147"/>
      <c r="GR40" s="147">
        <f t="shared" si="68"/>
        <v>4.3071119925212065E-2</v>
      </c>
      <c r="GS40" s="147">
        <f t="shared" si="69"/>
        <v>0.53863879159957717</v>
      </c>
      <c r="GT40" s="147">
        <f t="shared" si="70"/>
        <v>0</v>
      </c>
      <c r="GU40" s="147">
        <f t="shared" si="71"/>
        <v>6.3892910324872183</v>
      </c>
      <c r="GV40" s="147">
        <f t="shared" si="72"/>
        <v>0</v>
      </c>
      <c r="GW40" s="147">
        <f t="shared" si="73"/>
        <v>5.6173030259960399E-2</v>
      </c>
      <c r="GX40" s="147">
        <f t="shared" si="74"/>
        <v>1.244584426680988</v>
      </c>
      <c r="GY40" s="147">
        <f t="shared" si="75"/>
        <v>0.13904635568780355</v>
      </c>
      <c r="GZ40" s="147">
        <f t="shared" si="130"/>
        <v>0.60843775587052074</v>
      </c>
      <c r="HA40" s="147">
        <f t="shared" si="131"/>
        <v>0.23670736208923676</v>
      </c>
      <c r="HB40" s="147">
        <f t="shared" si="76"/>
        <v>2.024393166666667</v>
      </c>
      <c r="HC40" s="147">
        <f t="shared" si="77"/>
        <v>11.28034304126718</v>
      </c>
      <c r="HD40" s="147"/>
      <c r="HE40" s="147">
        <f t="shared" si="78"/>
        <v>2.024393166666667</v>
      </c>
      <c r="HF40" s="147">
        <f t="shared" si="79"/>
        <v>1.0935460818306235</v>
      </c>
      <c r="HG40" s="147">
        <f t="shared" si="80"/>
        <v>5.6173030259960399E-2</v>
      </c>
      <c r="HH40" s="147">
        <f t="shared" si="81"/>
        <v>1.3051469524876431</v>
      </c>
      <c r="HI40" s="147">
        <f t="shared" si="82"/>
        <v>9.7375545807410155</v>
      </c>
      <c r="HJ40" s="147">
        <f t="shared" si="83"/>
        <v>4.3071119925212065E-2</v>
      </c>
      <c r="HK40" s="147">
        <f t="shared" si="84"/>
        <v>1.1310442393233955</v>
      </c>
      <c r="HL40" s="147">
        <f t="shared" si="85"/>
        <v>11.09887456348862</v>
      </c>
      <c r="HM40" s="147">
        <f t="shared" si="86"/>
        <v>3.1179392484972905</v>
      </c>
      <c r="HN40" s="147">
        <f t="shared" si="87"/>
        <v>15.390929171234518</v>
      </c>
      <c r="HO40" s="147">
        <f t="shared" si="88"/>
        <v>15.390929171234518</v>
      </c>
      <c r="HQ40" s="147">
        <f t="shared" si="89"/>
        <v>2.024393166666667</v>
      </c>
      <c r="HR40" s="147">
        <f t="shared" si="90"/>
        <v>0.98419147364756121</v>
      </c>
      <c r="HS40" s="147">
        <f t="shared" si="91"/>
        <v>5.6173030259960399E-2</v>
      </c>
      <c r="HT40" s="147">
        <f t="shared" si="92"/>
        <v>1.3051469524876431</v>
      </c>
      <c r="HU40" s="147">
        <f t="shared" si="93"/>
        <v>6.3892910324872147</v>
      </c>
      <c r="HV40" s="147">
        <f t="shared" si="94"/>
        <v>4.3071119925212065E-2</v>
      </c>
      <c r="HW40" s="147">
        <f t="shared" si="95"/>
        <v>0.47807626579292201</v>
      </c>
      <c r="HX40" s="147">
        <f t="shared" si="96"/>
        <v>7.750611015234818</v>
      </c>
      <c r="HY40" s="147">
        <f t="shared" si="97"/>
        <v>3.0085846403142282</v>
      </c>
      <c r="HZ40" s="147">
        <f t="shared" si="98"/>
        <v>11.28034304126718</v>
      </c>
      <c r="IB40" s="147">
        <f>IF('River loads'!CI40&gt;0.99,1,0)</f>
        <v>1</v>
      </c>
      <c r="IC40">
        <f t="shared" si="144"/>
        <v>1.9432538283479919</v>
      </c>
      <c r="ID40">
        <f t="shared" si="145"/>
        <v>22.915455247602768</v>
      </c>
      <c r="IE40">
        <f t="shared" si="146"/>
        <v>0</v>
      </c>
      <c r="IF40">
        <f t="shared" si="147"/>
        <v>9.597517536821238</v>
      </c>
      <c r="IG40">
        <f t="shared" si="148"/>
        <v>2.6122888741835149E-2</v>
      </c>
      <c r="IH40">
        <f t="shared" si="149"/>
        <v>11.068593292581538</v>
      </c>
      <c r="II40">
        <f t="shared" si="150"/>
        <v>193.61631789664602</v>
      </c>
      <c r="IJ40">
        <f t="shared" si="151"/>
        <v>0.60727852659353587</v>
      </c>
      <c r="IK40">
        <f t="shared" si="132"/>
        <v>3.7547966234173722</v>
      </c>
      <c r="IL40">
        <f t="shared" si="133"/>
        <v>1.7122644696657097</v>
      </c>
      <c r="IM40">
        <f t="shared" si="107"/>
        <v>27.541234166666669</v>
      </c>
      <c r="IN40">
        <f t="shared" si="108"/>
        <v>272.78283447708469</v>
      </c>
      <c r="IP40">
        <f t="shared" si="109"/>
        <v>27.541234166666669</v>
      </c>
      <c r="IQ40">
        <f t="shared" si="110"/>
        <v>6.0743396196766177</v>
      </c>
      <c r="IR40">
        <f t="shared" si="111"/>
        <v>20.172878902529462</v>
      </c>
      <c r="IS40">
        <f t="shared" si="112"/>
        <v>15.938624112776711</v>
      </c>
      <c r="IT40">
        <f t="shared" si="113"/>
        <v>11.068593292581538</v>
      </c>
      <c r="IU40">
        <f t="shared" si="114"/>
        <v>141.36818276866973</v>
      </c>
      <c r="IV40">
        <f t="shared" si="115"/>
        <v>12.984267954363997</v>
      </c>
      <c r="IW40">
        <f t="shared" si="116"/>
        <v>10.174049803631945</v>
      </c>
      <c r="IX40">
        <f t="shared" si="117"/>
        <v>27.460663856188049</v>
      </c>
    </row>
    <row r="41" spans="1:258">
      <c r="A41" s="39" t="str">
        <f>Basicinfo!A41</f>
        <v>Krems</v>
      </c>
      <c r="B41" s="63">
        <f>Basicinfo!B41</f>
        <v>1330</v>
      </c>
      <c r="C41" s="63">
        <f>Basicinfo!C41</f>
        <v>4020</v>
      </c>
      <c r="D41" s="130">
        <f>Basicinfo!G41</f>
        <v>239.82784833599999</v>
      </c>
      <c r="E41" s="87">
        <f t="shared" si="118"/>
        <v>3.2627820068984299</v>
      </c>
      <c r="F41" s="19">
        <f>Intermediate!AR41</f>
        <v>1.8673666845942648E-2</v>
      </c>
      <c r="G41" s="19">
        <f>Intermediate!AU41</f>
        <v>0.55478238063352059</v>
      </c>
      <c r="H41" s="19">
        <f>Intermediate!AW41</f>
        <v>0</v>
      </c>
      <c r="I41" s="19">
        <f>Intermediate!AZ41</f>
        <v>0.13495699671594535</v>
      </c>
      <c r="J41" s="19">
        <f>Intermediate!BA41</f>
        <v>2.3765149906679803</v>
      </c>
      <c r="K41" s="19">
        <f>Intermediate!AC41</f>
        <v>1.908786450328007E-2</v>
      </c>
      <c r="L41" s="19">
        <f>Intermediate!AO41</f>
        <v>1.9297527813517856E-2</v>
      </c>
      <c r="M41" s="19">
        <f>Intermediate!AP41</f>
        <v>2.8993959495851925E-2</v>
      </c>
      <c r="N41" s="19">
        <f t="shared" si="119"/>
        <v>3.1523073866760387</v>
      </c>
      <c r="O41" s="19">
        <f>Basicinfo!CB41+Basicinfo!CG41</f>
        <v>0.11047462022239135</v>
      </c>
      <c r="P41" s="56">
        <f>Intermediate!BK41-Intermediate!BI41</f>
        <v>10573.268435535338</v>
      </c>
      <c r="Q41" s="43">
        <f>Intermediate!BI41</f>
        <v>4221.1692076194176</v>
      </c>
      <c r="R41" s="88">
        <f t="shared" si="134"/>
        <v>14794.437643154755</v>
      </c>
      <c r="S41" s="61">
        <f>Intermediate!F41*Intermediate!BO41/1000</f>
        <v>3.880782926921988</v>
      </c>
      <c r="T41" s="19">
        <f>Intermediate!BU41*Intermediate!AU41*86.4*0.365</f>
        <v>32.066364450066857</v>
      </c>
      <c r="U41" s="19">
        <f>Intermediate!AW41*Intermediate!BS41*0.365*86.4</f>
        <v>0</v>
      </c>
      <c r="V41" s="19">
        <f>(Basicinfo!BL41/1000000)*(Intermediate!BK41-Intermediate!BF41-Intermediate!BG41-Intermediate!BH41)*Intermediate!CV41</f>
        <v>24.229108649541278</v>
      </c>
      <c r="W41" s="19">
        <f>Intermediate!BI41*Parameters!$C$51/1000000</f>
        <v>0.10552923019048543</v>
      </c>
      <c r="X41" s="19">
        <f>Intermediate!AZ41*Intermediate!CG41*86.4*0.365</f>
        <v>53.533360898702931</v>
      </c>
      <c r="Y41" s="19">
        <f>Intermediate!CM41*Intermediate!BA41*86.4*0.365+Parameters!$C$126*Intermediate!BB41*Basicinfo!P41/1000+Parameters!$C$127*Intermediate!BB41*Basicinfo!S41/1000</f>
        <v>410.02861528873501</v>
      </c>
      <c r="Z41" s="19">
        <f>Intermediate!DG41</f>
        <v>1.5548702675881085</v>
      </c>
      <c r="AA41" s="19">
        <f>Intermediate!DI41</f>
        <v>5.2832916216181696</v>
      </c>
      <c r="AB41" s="19">
        <f>Intermediate!DK41</f>
        <v>1.6649784872068949</v>
      </c>
      <c r="AC41" s="19">
        <f t="shared" si="120"/>
        <v>532.3469018205717</v>
      </c>
      <c r="AD41" s="19">
        <f>Basicinfo!CC41+Basicinfo!CE41+Basicinfo!CH41+Basicinfo!CJ41</f>
        <v>16.986740000000001</v>
      </c>
      <c r="AE41" s="87">
        <f t="shared" si="135"/>
        <v>549.33364182057176</v>
      </c>
      <c r="AF41" s="56">
        <f>Intermediate!F41*Basicinfo!BD41/1000</f>
        <v>8.42600321797283E-2</v>
      </c>
      <c r="AG41" s="43">
        <f>Intermediate!CA41*Intermediate!AU41*86.4*0.365</f>
        <v>0.65397368553087543</v>
      </c>
      <c r="AH41" s="43">
        <f>Intermediate!AW41*Intermediate!BZ41*0.365*86.4</f>
        <v>0</v>
      </c>
      <c r="AI41" s="43">
        <f>(Intermediate!CU41/1000000)*(Intermediate!BK41-Intermediate!BF41-Intermediate!BG41-Intermediate!BH41)*Intermediate!CW41</f>
        <v>20.484842254987907</v>
      </c>
      <c r="AJ41" s="43">
        <f>Intermediate!BF41*Parameters!$C$52/1000000+(Intermediate!BG41+Intermediate!BH41)*Intermediate!CX41/1000000</f>
        <v>1.899526143428738</v>
      </c>
      <c r="AK41" s="43">
        <f>Intermediate!AZ41*Intermediate!CH41*86.4*0.365</f>
        <v>0.26917893954959049</v>
      </c>
      <c r="AL41" s="58">
        <f>Intermediate!CR41*Intermediate!BA41*86.4*0.365</f>
        <v>2.1129428961497521</v>
      </c>
      <c r="AM41" s="43">
        <f>Intermediate!DH41</f>
        <v>0.35849679421289149</v>
      </c>
      <c r="AN41" s="42">
        <f>Intermediate!DJ41</f>
        <v>0.95891434634292505</v>
      </c>
      <c r="AO41" s="42">
        <f>Intermediate!DL41</f>
        <v>0.24459205327596817</v>
      </c>
      <c r="AP41" s="42">
        <f t="shared" si="122"/>
        <v>27.066727145658376</v>
      </c>
      <c r="AQ41" s="43">
        <f>Basicinfo!CD41+Basicinfo!CF41+Basicinfo!CI41+Basicinfo!CK41</f>
        <v>2.3649849999999999</v>
      </c>
      <c r="AR41" s="83">
        <f t="shared" si="136"/>
        <v>29.431712145658377</v>
      </c>
      <c r="AS41" s="19">
        <f>F41*86400*365/(Basicinfo!G41*1000000)*1000</f>
        <v>2.4554811367385732</v>
      </c>
      <c r="AT41" s="19">
        <f>G41*86400*365/(Basicinfo!G41*1000000)*1000</f>
        <v>72.950732273373276</v>
      </c>
      <c r="AU41" s="19">
        <f>H41*86400*365/(Basicinfo!G41*1000000)*1000</f>
        <v>0</v>
      </c>
      <c r="AV41" s="19">
        <f>I41*86400*365/(Basicinfo!G41*1000000)*1000</f>
        <v>17.74607860581466</v>
      </c>
      <c r="AW41" s="19">
        <f>J41*86400*365/(Basicinfo!G41*1000000)*1000</f>
        <v>312.49822431257451</v>
      </c>
      <c r="AX41" s="53">
        <f>K41*86400*365/(Basicinfo!G41*1000000)*1000</f>
        <v>2.5099457763224331</v>
      </c>
      <c r="AY41" s="53">
        <f>L41*86400*365/(Basicinfo!G41*1000000)*1000</f>
        <v>2.5375153108762158</v>
      </c>
      <c r="AZ41" s="53">
        <f>M41*86400*365/(Basicinfo!G41*1000000)*1000</f>
        <v>3.8125410080824831</v>
      </c>
      <c r="BA41" s="19">
        <f t="shared" si="123"/>
        <v>414.51051842378206</v>
      </c>
      <c r="BB41" s="19">
        <f>O41*86400*365/(Basicinfo!G41*1000000)*1000</f>
        <v>14.526785139865551</v>
      </c>
      <c r="BC41" s="53">
        <f t="shared" si="137"/>
        <v>429.03730356364758</v>
      </c>
      <c r="BD41" s="56">
        <f>P41/(Basicinfo!G41*100)*1000</f>
        <v>440.86908625899594</v>
      </c>
      <c r="BE41" s="43">
        <f>Q41/(Basicinfo!G41*100)*1000</f>
        <v>176.00830082524607</v>
      </c>
      <c r="BF41" s="58">
        <f t="shared" si="138"/>
        <v>616.87738708424195</v>
      </c>
      <c r="BG41" s="61">
        <f>S41/(Basicinfo!G41*100)*1000000</f>
        <v>161.81535855189728</v>
      </c>
      <c r="BH41" s="19">
        <f>T41/(Basicinfo!G41*100)*1000000</f>
        <v>1337.0575882889848</v>
      </c>
      <c r="BI41" s="19">
        <f>U41/(Basicinfo!G41*100)*1000000</f>
        <v>0</v>
      </c>
      <c r="BJ41" s="19">
        <f>V41/(Basicinfo!G41*100)*1000000</f>
        <v>1010.2708596041014</v>
      </c>
      <c r="BK41" s="19">
        <f>W41/(Basicinfo!G41*100)*1000000</f>
        <v>4.4002075206311515</v>
      </c>
      <c r="BL41" s="19">
        <f>X41/(Basicinfo!G41*100)*1000000</f>
        <v>2232.1578277974804</v>
      </c>
      <c r="BM41" s="19">
        <f>Y41/(Basicinfo!G41*100)*1000000</f>
        <v>17096.789139945206</v>
      </c>
      <c r="BN41" s="53">
        <f>Z41/(Basicinfo!G41*100)*1000000</f>
        <v>64.832765601504619</v>
      </c>
      <c r="BO41" s="53">
        <f>AA41/(Basicinfo!G41*100)*1000000</f>
        <v>220.29516831657733</v>
      </c>
      <c r="BP41" s="53">
        <f>AB41/(Basicinfo!G41*100)*1000000</f>
        <v>69.423901300830252</v>
      </c>
      <c r="BQ41" s="19">
        <f t="shared" si="125"/>
        <v>22197.042816927216</v>
      </c>
      <c r="BR41" s="19">
        <f>AD41/(Basicinfo!G41*100)*1000000</f>
        <v>708.28888796106344</v>
      </c>
      <c r="BS41" s="53">
        <f t="shared" si="139"/>
        <v>22905.331704888278</v>
      </c>
      <c r="BT41" s="56">
        <f>AF41/(Basicinfo!G41*100)*1000000</f>
        <v>3.513354798633709</v>
      </c>
      <c r="BU41" s="43">
        <f>AG41/(Basicinfo!G41*100)*1000000</f>
        <v>27.268463194259873</v>
      </c>
      <c r="BV41" s="43">
        <f>AH41/(Basicinfo!G41*100)*1000000</f>
        <v>0</v>
      </c>
      <c r="BW41" s="43">
        <f>AI41/(Basicinfo!G41*100)*1000000</f>
        <v>854.14777295956651</v>
      </c>
      <c r="BX41" s="43">
        <f>AJ41/(Basicinfo!G41*100)*1000000</f>
        <v>79.203735371360736</v>
      </c>
      <c r="BY41" s="58">
        <f>AK41/(Basicinfo!G41*100)*1000000</f>
        <v>11.223839992612929</v>
      </c>
      <c r="BZ41" s="58">
        <f>AL41/(Basicinfo!G41*100)*1000000</f>
        <v>88.1024831273768</v>
      </c>
      <c r="CA41" s="58">
        <f>AM41/(Basicinfo!G41*100)*1000000</f>
        <v>14.948088668611817</v>
      </c>
      <c r="CB41" s="58">
        <f>AN41/(Basicinfo!G41*100)*1000000</f>
        <v>39.98344449971804</v>
      </c>
      <c r="CC41" s="58">
        <f>AO41/(Basicinfo!G41*100)*1000000</f>
        <v>10.198651031271961</v>
      </c>
      <c r="CD41" s="58">
        <f t="shared" si="126"/>
        <v>1128.5898336434122</v>
      </c>
      <c r="CE41" s="58">
        <f>AQ41/(Basicinfo!G41*100)*1000000</f>
        <v>98.611775755359488</v>
      </c>
      <c r="CF41" s="43">
        <f t="shared" si="140"/>
        <v>1227.2016093987718</v>
      </c>
      <c r="CG41" s="84"/>
      <c r="CH41" s="84">
        <f t="shared" si="8"/>
        <v>16.986740000000001</v>
      </c>
      <c r="CI41" s="146">
        <f t="shared" si="9"/>
        <v>8.5031403764131728</v>
      </c>
      <c r="CJ41" s="200">
        <f>Intermediate!EW41+Intermediate!EY41+Intermediate!FD41</f>
        <v>21.282326705014558</v>
      </c>
      <c r="CK41" s="180">
        <f>Intermediate!FA41+Intermediate!FF41</f>
        <v>33.881686629199898</v>
      </c>
      <c r="CL41" s="180">
        <f t="shared" si="141"/>
        <v>53.533360898702931</v>
      </c>
      <c r="CM41" s="180">
        <f t="shared" si="142"/>
        <v>324.40716729422854</v>
      </c>
      <c r="CN41" s="202">
        <f>Intermediate!EX41+Intermediate!EZ41+Intermediate!FE41</f>
        <v>13.626491537506951</v>
      </c>
      <c r="CO41" s="180">
        <f>Intermediate!FB41+Intermediate!FG41</f>
        <v>21.775124328655309</v>
      </c>
      <c r="CP41" s="213">
        <f>Intermediate!EP41+Intermediate!EQ41+Intermediate!ER41+Intermediate!ES41+Intermediate!ET41+Intermediate!EU41+Intermediate!EV41+W41</f>
        <v>55.337604050850302</v>
      </c>
      <c r="CQ41" s="212">
        <f t="shared" si="12"/>
        <v>35.40161586616226</v>
      </c>
      <c r="CR41" s="212">
        <f t="shared" si="13"/>
        <v>433.10454152714595</v>
      </c>
      <c r="CS41" s="211">
        <f t="shared" si="143"/>
        <v>18.541610267588108</v>
      </c>
      <c r="CT41" s="212">
        <f t="shared" si="15"/>
        <v>542.38537171174664</v>
      </c>
      <c r="CU41" s="84"/>
      <c r="CV41" s="31">
        <f t="shared" si="16"/>
        <v>549.33364182057176</v>
      </c>
      <c r="CW41" s="31">
        <f>CH41/Basicinfo!$G41*1000/100</f>
        <v>0.70828888796106337</v>
      </c>
      <c r="CX41" s="31">
        <f>CI41/Basicinfo!$G41*1000/100</f>
        <v>0.3545518352189122</v>
      </c>
      <c r="CY41" s="31">
        <f>CS41/Basicinfo!$G41*1000/100</f>
        <v>0.77312165356256801</v>
      </c>
      <c r="CZ41" s="31">
        <f>CN41/Basicinfo!$G41*1000/100</f>
        <v>0.56817803403782241</v>
      </c>
      <c r="DA41" s="31">
        <f>CO41/Basicinfo!$G41*1000/100</f>
        <v>0.90794811694045863</v>
      </c>
      <c r="DB41" s="31">
        <f>CQ41/Basicinfo!$G41*1000/100</f>
        <v>1.476126150978281</v>
      </c>
      <c r="DC41" s="31">
        <f>CJ41/Basicinfo!$G41*1000/100</f>
        <v>0.88740014358957664</v>
      </c>
      <c r="DD41" s="31">
        <f>CK41/Basicinfo!$G41*1000/100</f>
        <v>1.412750306700475</v>
      </c>
      <c r="DE41" s="31">
        <f>CM41/Basicinfo!$G41*1000/100</f>
        <v>13.526667963919374</v>
      </c>
      <c r="DF41" s="31">
        <f>CR41/Basicinfo!$G41*1000/100</f>
        <v>18.05897624200691</v>
      </c>
      <c r="DG41" s="31">
        <f>CP41/Basicinfo!$G41*1000/100</f>
        <v>2.3073885887231098</v>
      </c>
      <c r="DH41" s="31">
        <f>CT41/Basicinfo!$G41*1000/100</f>
        <v>22.615612635270868</v>
      </c>
      <c r="DI41" s="31">
        <f>CV41/Basicinfo!$G41*1000/100</f>
        <v>22.905331704888276</v>
      </c>
      <c r="DJ41" s="31"/>
      <c r="DK41" s="188">
        <f t="shared" si="17"/>
        <v>3.1318580636477211</v>
      </c>
      <c r="DL41" s="188">
        <f t="shared" si="18"/>
        <v>1.5677304034910824</v>
      </c>
      <c r="DM41" s="188">
        <f t="shared" si="19"/>
        <v>3.4185306674240725</v>
      </c>
      <c r="DN41" s="188">
        <f t="shared" si="20"/>
        <v>2.5123265206254155</v>
      </c>
      <c r="DO41" s="188">
        <f t="shared" si="21"/>
        <v>4.0146960932839839</v>
      </c>
      <c r="DP41" s="188">
        <f t="shared" si="22"/>
        <v>6.5270226139094003</v>
      </c>
      <c r="DQ41" s="188">
        <f t="shared" si="23"/>
        <v>3.9238386237903842</v>
      </c>
      <c r="DR41" s="188">
        <f t="shared" si="24"/>
        <v>6.2467921142988505</v>
      </c>
      <c r="DS41" s="188">
        <f t="shared" si="25"/>
        <v>59.811194072290789</v>
      </c>
      <c r="DT41" s="188">
        <f t="shared" si="26"/>
        <v>79.851810929244877</v>
      </c>
      <c r="DU41" s="188">
        <f t="shared" si="27"/>
        <v>10.202635789421647</v>
      </c>
      <c r="DV41" s="188">
        <f t="shared" si="28"/>
        <v>100</v>
      </c>
      <c r="DW41" s="188">
        <f t="shared" si="29"/>
        <v>101.28105779971474</v>
      </c>
      <c r="DY41" s="181">
        <f t="shared" si="30"/>
        <v>2.3649849999999999</v>
      </c>
      <c r="DZ41" s="181">
        <f t="shared" si="127"/>
        <v>1.5620031938317849</v>
      </c>
      <c r="EA41" s="185">
        <f t="shared" si="31"/>
        <v>0.26917893954959049</v>
      </c>
      <c r="EB41" s="185">
        <f>AG41+AH41+AL41-Intermediate!FJ41-Intermediate!FM41</f>
        <v>2.1267894246204926</v>
      </c>
      <c r="EC41" s="185">
        <f>AI41+AJ41-Intermediate!FK41</f>
        <v>19.970670237887031</v>
      </c>
      <c r="ED41" s="240">
        <f t="shared" si="32"/>
        <v>8.42600321797283E-2</v>
      </c>
      <c r="EE41" s="240">
        <f>Intermediate!FJ41+Intermediate!FK41+Intermediate!FM41</f>
        <v>3.0538253175897481</v>
      </c>
      <c r="EF41" s="240">
        <f t="shared" si="33"/>
        <v>22.366638602057115</v>
      </c>
      <c r="EG41" s="240">
        <f t="shared" si="34"/>
        <v>3.926988193831785</v>
      </c>
      <c r="EH41" s="240">
        <f t="shared" si="35"/>
        <v>29.431712145658377</v>
      </c>
      <c r="EI41" s="181">
        <f t="shared" si="36"/>
        <v>29.431712145658377</v>
      </c>
      <c r="EK41" s="31">
        <f>DY41/Basicinfo!$G41*1000/100</f>
        <v>9.8611775755359496E-2</v>
      </c>
      <c r="EL41" s="31">
        <f>DZ41/Basicinfo!$G41*1000/100</f>
        <v>6.5130184199601829E-2</v>
      </c>
      <c r="EM41" s="220">
        <f>EG41/Basicinfo!$G41*1000/100</f>
        <v>0.16374195995496132</v>
      </c>
      <c r="EN41" s="220">
        <f>ED41/Basicinfo!$G41*1000/100</f>
        <v>3.5133547986337093E-3</v>
      </c>
      <c r="EO41" s="220">
        <f>EF41/Basicinfo!$G41*1000/100</f>
        <v>0.93261223653732428</v>
      </c>
      <c r="EP41" s="220">
        <f>EE41/Basicinfo!$G41*1000/100</f>
        <v>0.12733405810785262</v>
      </c>
      <c r="EQ41" s="220">
        <f>EH41/Basicinfo!$G41*1000/100</f>
        <v>1.2272016093987721</v>
      </c>
      <c r="ER41" s="31">
        <f>EI41/Basicinfo!$G41*1000/100</f>
        <v>1.2272016093987721</v>
      </c>
      <c r="ET41" s="188">
        <f t="shared" si="37"/>
        <v>8.0354992203498785</v>
      </c>
      <c r="EU41" s="188">
        <f t="shared" si="38"/>
        <v>5.3072114394887615</v>
      </c>
      <c r="EV41" s="223">
        <f t="shared" si="39"/>
        <v>13.342710659838641</v>
      </c>
      <c r="EW41" s="223">
        <f t="shared" si="40"/>
        <v>0.28628994386301077</v>
      </c>
      <c r="EX41" s="223">
        <f t="shared" si="41"/>
        <v>75.995030433037613</v>
      </c>
      <c r="EY41" s="223">
        <f t="shared" si="42"/>
        <v>10.375968963260718</v>
      </c>
      <c r="EZ41" s="223">
        <f t="shared" si="43"/>
        <v>100</v>
      </c>
      <c r="FA41" s="188">
        <f t="shared" si="44"/>
        <v>100</v>
      </c>
      <c r="FC41" s="236">
        <f>Basicinfo!CT41</f>
        <v>9.762542694497153</v>
      </c>
      <c r="FD41" s="181">
        <f>IF((Intermediate!CL41+Intermediate!CM41*3)/4&gt;11,(Intermediate!CL41+Intermediate!CM41*9)/10,(Intermediate!CL41+Intermediate!CM41*3)/4)</f>
        <v>6.2474690939362372</v>
      </c>
      <c r="FF41" s="31">
        <f t="shared" si="45"/>
        <v>8.42600321797283E-2</v>
      </c>
      <c r="FG41" s="31">
        <f t="shared" si="46"/>
        <v>0.65397368553087543</v>
      </c>
      <c r="FH41" s="31">
        <f t="shared" si="47"/>
        <v>0</v>
      </c>
      <c r="FI41" s="31">
        <f>(AI41-(P41*450/1000000))*Parameters!$C$153</f>
        <v>12.581497167197604</v>
      </c>
      <c r="FJ41" s="31"/>
      <c r="FK41" s="31">
        <f t="shared" si="48"/>
        <v>0.26917893954959049</v>
      </c>
      <c r="FL41" s="31">
        <f t="shared" si="49"/>
        <v>2.1129428961497521</v>
      </c>
      <c r="FM41" s="31">
        <f>AM41*Parameters!$C$154</f>
        <v>0.32264711479160235</v>
      </c>
      <c r="FN41" s="31">
        <f>AN41*Parameters!$C$154</f>
        <v>0.86302291170863255</v>
      </c>
      <c r="FO41" s="31">
        <f>AO41*Parameters!$C$154</f>
        <v>0.22013284794837135</v>
      </c>
      <c r="FP41" s="31">
        <f>AQ41*Parameters!$C$155</f>
        <v>2.3649849999999999</v>
      </c>
      <c r="FQ41" s="31">
        <f t="shared" si="50"/>
        <v>19.472640595056156</v>
      </c>
      <c r="FS41" s="147">
        <f>DY41*Parameters!$C$155</f>
        <v>2.3649849999999999</v>
      </c>
      <c r="FT41" s="147">
        <f>DZ41*Parameters!$C$154</f>
        <v>1.4058028744486064</v>
      </c>
      <c r="FU41" s="181">
        <f t="shared" si="51"/>
        <v>0.26917893954959049</v>
      </c>
      <c r="FV41" s="181">
        <f t="shared" si="52"/>
        <v>2.1267894246204926</v>
      </c>
      <c r="FW41" s="31">
        <f t="shared" si="53"/>
        <v>12.581497167197602</v>
      </c>
      <c r="FX41" s="181">
        <f t="shared" si="54"/>
        <v>8.42600321797283E-2</v>
      </c>
      <c r="FY41" s="147">
        <f>Intermediate!FJ41+Intermediate!FM41</f>
        <v>0.64012715706013468</v>
      </c>
      <c r="FZ41" s="181">
        <f t="shared" si="55"/>
        <v>14.977465531367685</v>
      </c>
      <c r="GA41" s="147">
        <f t="shared" si="56"/>
        <v>3.7707878744486063</v>
      </c>
      <c r="GB41" s="181">
        <f t="shared" si="57"/>
        <v>19.472640595056156</v>
      </c>
      <c r="GD41" s="147">
        <f>IF('River loads'!CH41&gt;0.99,1,0)</f>
        <v>1</v>
      </c>
      <c r="GE41" s="147">
        <f t="shared" si="58"/>
        <v>8.42600321797283E-2</v>
      </c>
      <c r="GF41" s="147">
        <f t="shared" si="59"/>
        <v>0.65397368553087543</v>
      </c>
      <c r="GG41" s="147">
        <f t="shared" si="60"/>
        <v>0</v>
      </c>
      <c r="GH41" s="147">
        <f t="shared" si="61"/>
        <v>20.484842254987907</v>
      </c>
      <c r="GI41" s="147">
        <f t="shared" si="62"/>
        <v>1.899526143428738</v>
      </c>
      <c r="GJ41" s="147">
        <f t="shared" si="63"/>
        <v>0.26917893954959049</v>
      </c>
      <c r="GK41" s="147">
        <f t="shared" si="64"/>
        <v>2.1129428961497521</v>
      </c>
      <c r="GL41" s="147">
        <f t="shared" si="65"/>
        <v>0.35849679421289149</v>
      </c>
      <c r="GM41" s="270">
        <f t="shared" si="128"/>
        <v>0.95891434634292505</v>
      </c>
      <c r="GN41" s="270">
        <f t="shared" si="129"/>
        <v>0.24459205327596817</v>
      </c>
      <c r="GO41" s="147">
        <f t="shared" si="66"/>
        <v>2.3649849999999999</v>
      </c>
      <c r="GP41" s="147">
        <f t="shared" si="67"/>
        <v>29.431712145658377</v>
      </c>
      <c r="GQ41" s="147"/>
      <c r="GR41" s="147">
        <f t="shared" si="68"/>
        <v>8.42600321797283E-2</v>
      </c>
      <c r="GS41" s="147">
        <f t="shared" si="69"/>
        <v>0.65397368553087543</v>
      </c>
      <c r="GT41" s="147">
        <f t="shared" si="70"/>
        <v>0</v>
      </c>
      <c r="GU41" s="147">
        <f t="shared" si="71"/>
        <v>12.581497167197604</v>
      </c>
      <c r="GV41" s="147">
        <f t="shared" si="72"/>
        <v>0</v>
      </c>
      <c r="GW41" s="147">
        <f t="shared" si="73"/>
        <v>0.26917893954959049</v>
      </c>
      <c r="GX41" s="147">
        <f t="shared" si="74"/>
        <v>2.1129428961497521</v>
      </c>
      <c r="GY41" s="147">
        <f t="shared" si="75"/>
        <v>0.32264711479160235</v>
      </c>
      <c r="GZ41" s="147">
        <f t="shared" si="130"/>
        <v>0.86302291170863255</v>
      </c>
      <c r="HA41" s="147">
        <f t="shared" si="131"/>
        <v>0.22013284794837135</v>
      </c>
      <c r="HB41" s="147">
        <f t="shared" si="76"/>
        <v>2.3649849999999999</v>
      </c>
      <c r="HC41" s="147">
        <f t="shared" si="77"/>
        <v>19.472640595056156</v>
      </c>
      <c r="HD41" s="147"/>
      <c r="HE41" s="147">
        <f t="shared" si="78"/>
        <v>2.3649849999999999</v>
      </c>
      <c r="HF41" s="147">
        <f t="shared" si="79"/>
        <v>1.5620031938317849</v>
      </c>
      <c r="HG41" s="147">
        <f t="shared" si="80"/>
        <v>0.26917893954959049</v>
      </c>
      <c r="HH41" s="147">
        <f t="shared" si="81"/>
        <v>2.1267894246204926</v>
      </c>
      <c r="HI41" s="147">
        <f t="shared" si="82"/>
        <v>19.970670237887031</v>
      </c>
      <c r="HJ41" s="147">
        <f t="shared" si="83"/>
        <v>8.42600321797283E-2</v>
      </c>
      <c r="HK41" s="147">
        <f t="shared" si="84"/>
        <v>3.0538253175897481</v>
      </c>
      <c r="HL41" s="147">
        <f t="shared" si="85"/>
        <v>22.366638602057115</v>
      </c>
      <c r="HM41" s="147">
        <f t="shared" si="86"/>
        <v>3.926988193831785</v>
      </c>
      <c r="HN41" s="147">
        <f t="shared" si="87"/>
        <v>29.431712145658377</v>
      </c>
      <c r="HO41" s="147">
        <f t="shared" si="88"/>
        <v>29.431712145658377</v>
      </c>
      <c r="HQ41" s="147">
        <f t="shared" si="89"/>
        <v>2.3649849999999999</v>
      </c>
      <c r="HR41" s="147">
        <f t="shared" si="90"/>
        <v>1.4058028744486064</v>
      </c>
      <c r="HS41" s="147">
        <f t="shared" si="91"/>
        <v>0.26917893954959049</v>
      </c>
      <c r="HT41" s="147">
        <f t="shared" si="92"/>
        <v>2.1267894246204926</v>
      </c>
      <c r="HU41" s="147">
        <f t="shared" si="93"/>
        <v>12.581497167197602</v>
      </c>
      <c r="HV41" s="147">
        <f t="shared" si="94"/>
        <v>8.42600321797283E-2</v>
      </c>
      <c r="HW41" s="147">
        <f t="shared" si="95"/>
        <v>0.64012715706013468</v>
      </c>
      <c r="HX41" s="147">
        <f t="shared" si="96"/>
        <v>14.977465531367685</v>
      </c>
      <c r="HY41" s="147">
        <f t="shared" si="97"/>
        <v>3.7707878744486063</v>
      </c>
      <c r="HZ41" s="147">
        <f t="shared" si="98"/>
        <v>19.472640595056156</v>
      </c>
      <c r="IB41" s="147">
        <f>IF('River loads'!CI41&gt;0.99,1,0)</f>
        <v>1</v>
      </c>
      <c r="IC41">
        <f t="shared" si="144"/>
        <v>3.880782926921988</v>
      </c>
      <c r="ID41">
        <f t="shared" si="145"/>
        <v>32.066364450066857</v>
      </c>
      <c r="IE41">
        <f t="shared" si="146"/>
        <v>0</v>
      </c>
      <c r="IF41">
        <f t="shared" si="147"/>
        <v>24.229108649541278</v>
      </c>
      <c r="IG41">
        <f t="shared" si="148"/>
        <v>0.10552923019048543</v>
      </c>
      <c r="IH41">
        <f t="shared" si="149"/>
        <v>53.533360898702931</v>
      </c>
      <c r="II41">
        <f t="shared" si="150"/>
        <v>410.02861528873501</v>
      </c>
      <c r="IJ41">
        <f t="shared" si="151"/>
        <v>1.5548702675881085</v>
      </c>
      <c r="IK41">
        <f t="shared" si="132"/>
        <v>5.2832916216181696</v>
      </c>
      <c r="IL41">
        <f t="shared" si="133"/>
        <v>1.6649784872068949</v>
      </c>
      <c r="IM41">
        <f t="shared" si="107"/>
        <v>16.986740000000001</v>
      </c>
      <c r="IN41">
        <f t="shared" si="108"/>
        <v>549.33364182057176</v>
      </c>
      <c r="IP41">
        <f t="shared" si="109"/>
        <v>16.986740000000001</v>
      </c>
      <c r="IQ41">
        <f t="shared" si="110"/>
        <v>8.5031403764131728</v>
      </c>
      <c r="IR41">
        <f t="shared" si="111"/>
        <v>21.282326705014558</v>
      </c>
      <c r="IS41">
        <f t="shared" si="112"/>
        <v>33.881686629199898</v>
      </c>
      <c r="IT41">
        <f t="shared" si="113"/>
        <v>53.533360898702931</v>
      </c>
      <c r="IU41">
        <f t="shared" si="114"/>
        <v>324.40716729422854</v>
      </c>
      <c r="IV41">
        <f t="shared" si="115"/>
        <v>13.626491537506951</v>
      </c>
      <c r="IW41">
        <f t="shared" si="116"/>
        <v>21.775124328655309</v>
      </c>
      <c r="IX41">
        <f t="shared" si="117"/>
        <v>55.337604050850302</v>
      </c>
    </row>
    <row r="42" spans="1:258">
      <c r="A42" s="39" t="str">
        <f>Basicinfo!A42</f>
        <v>Ipfbach</v>
      </c>
      <c r="B42" s="63">
        <f>Basicinfo!B42</f>
        <v>1340</v>
      </c>
      <c r="C42" s="63">
        <f>Basicinfo!C42</f>
        <v>5010</v>
      </c>
      <c r="D42" s="130">
        <f>Basicinfo!G42</f>
        <v>129.80039827499999</v>
      </c>
      <c r="E42" s="87">
        <f t="shared" si="118"/>
        <v>1.3652264612889702</v>
      </c>
      <c r="F42" s="19">
        <f>Intermediate!AR42</f>
        <v>1.4934023293621144E-3</v>
      </c>
      <c r="G42" s="19">
        <f>Intermediate!AU42</f>
        <v>0.20024697237455835</v>
      </c>
      <c r="H42" s="19">
        <f>Intermediate!AW42</f>
        <v>0</v>
      </c>
      <c r="I42" s="19">
        <f>Intermediate!AZ42</f>
        <v>4.2390564998632731E-2</v>
      </c>
      <c r="J42" s="19">
        <f>Intermediate!BA42</f>
        <v>1.0489474123623952</v>
      </c>
      <c r="K42" s="19">
        <f>Intermediate!AC42</f>
        <v>3.5527416399357886E-2</v>
      </c>
      <c r="L42" s="19">
        <f>Intermediate!AO42</f>
        <v>7.3532325075703594E-3</v>
      </c>
      <c r="M42" s="19">
        <f>Intermediate!AP42</f>
        <v>2.926746031709342E-2</v>
      </c>
      <c r="N42" s="19">
        <f t="shared" si="119"/>
        <v>1.3652264612889702</v>
      </c>
      <c r="O42" s="19">
        <f>Basicinfo!CB42+Basicinfo!CG42</f>
        <v>0</v>
      </c>
      <c r="P42" s="56">
        <f>Intermediate!BK42-Intermediate!BI42</f>
        <v>3654.2920140968404</v>
      </c>
      <c r="Q42" s="43">
        <f>Intermediate!BI42</f>
        <v>1317.4155131861057</v>
      </c>
      <c r="R42" s="88">
        <f t="shared" si="134"/>
        <v>4971.7075272829461</v>
      </c>
      <c r="S42" s="61">
        <f>Intermediate!F42*Intermediate!BO42/1000</f>
        <v>0.55386982357321735</v>
      </c>
      <c r="T42" s="19">
        <f>Intermediate!BU42*Intermediate!AU42*86.4*0.365</f>
        <v>12.691353743340528</v>
      </c>
      <c r="U42" s="19">
        <f>Intermediate!AW42*Intermediate!BS42*0.365*86.4</f>
        <v>0</v>
      </c>
      <c r="V42" s="19">
        <f>(Basicinfo!BL42/1000000)*(Intermediate!BK42-Intermediate!BF42-Intermediate!BG42-Intermediate!BH42)*Intermediate!CV42</f>
        <v>7.7414358308869868</v>
      </c>
      <c r="W42" s="19">
        <f>Intermediate!BI42*Parameters!$C$51/1000000</f>
        <v>3.2935387829652649E-2</v>
      </c>
      <c r="X42" s="19">
        <f>Intermediate!AZ42*Intermediate!CG42*86.4*0.365</f>
        <v>14.145050845859615</v>
      </c>
      <c r="Y42" s="19">
        <f>Intermediate!CM42*Intermediate!BA42*86.4*0.365+Parameters!$C$126*Intermediate!BB42*Basicinfo!P42/1000+Parameters!$C$127*Intermediate!BB42*Basicinfo!S42/1000</f>
        <v>184.51591206235591</v>
      </c>
      <c r="Z42" s="19">
        <f>Intermediate!DG42</f>
        <v>2.9777543754641846</v>
      </c>
      <c r="AA42" s="19">
        <f>Intermediate!DI42</f>
        <v>1.9847052768392224</v>
      </c>
      <c r="AB42" s="19">
        <f>Intermediate!DK42</f>
        <v>1.3458046794244607</v>
      </c>
      <c r="AC42" s="19">
        <f t="shared" si="120"/>
        <v>225.98882202557377</v>
      </c>
      <c r="AD42" s="19">
        <f>Basicinfo!CC42+Basicinfo!CE42+Basicinfo!CH42+Basicinfo!CJ42</f>
        <v>0</v>
      </c>
      <c r="AE42" s="87">
        <f t="shared" si="135"/>
        <v>225.98882202557377</v>
      </c>
      <c r="AF42" s="56">
        <f>Intermediate!F42*Basicinfo!BD42/1000</f>
        <v>1.2111845793263094E-2</v>
      </c>
      <c r="AG42" s="43">
        <f>Intermediate!CA42*Intermediate!AU42*86.4*0.365</f>
        <v>0.24983582058867024</v>
      </c>
      <c r="AH42" s="43">
        <f>Intermediate!AW42*Intermediate!BZ42*0.365*86.4</f>
        <v>0</v>
      </c>
      <c r="AI42" s="43">
        <f>(Intermediate!CU42/1000000)*(Intermediate!BK42-Intermediate!BF42-Intermediate!BG42-Intermediate!BH42)*Intermediate!CW42</f>
        <v>9.5189795015156982</v>
      </c>
      <c r="AJ42" s="43">
        <f>Intermediate!BF42*Parameters!$C$52/1000000+(Intermediate!BG42+Intermediate!BH42)*Intermediate!CX42/1000000</f>
        <v>0.59283698093374759</v>
      </c>
      <c r="AK42" s="43">
        <f>Intermediate!AZ42*Intermediate!CH42*86.4*0.365</f>
        <v>8.548034599347254E-2</v>
      </c>
      <c r="AL42" s="58">
        <f>Intermediate!CR42*Intermediate!BA42*86.4*0.365</f>
        <v>1.120477182790748</v>
      </c>
      <c r="AM42" s="43">
        <f>Intermediate!DH42</f>
        <v>0.60082220952047216</v>
      </c>
      <c r="AN42" s="42">
        <f>Intermediate!DJ42</f>
        <v>0.34536955720672818</v>
      </c>
      <c r="AO42" s="42">
        <f>Intermediate!DL42</f>
        <v>0.1931374966843061</v>
      </c>
      <c r="AP42" s="42">
        <f t="shared" si="122"/>
        <v>12.719050941027106</v>
      </c>
      <c r="AQ42" s="43">
        <f>Basicinfo!CD42+Basicinfo!CF42+Basicinfo!CI42+Basicinfo!CK42</f>
        <v>0</v>
      </c>
      <c r="AR42" s="83">
        <f t="shared" si="136"/>
        <v>12.719050941027106</v>
      </c>
      <c r="AS42" s="19">
        <f>F42*86400*365/(Basicinfo!G42*1000000)*1000</f>
        <v>0.36283352350725784</v>
      </c>
      <c r="AT42" s="19">
        <f>G42*86400*365/(Basicinfo!G42*1000000)*1000</f>
        <v>48.651534238168516</v>
      </c>
      <c r="AU42" s="19">
        <f>H42*86400*365/(Basicinfo!G42*1000000)*1000</f>
        <v>0</v>
      </c>
      <c r="AV42" s="19">
        <f>I42*86400*365/(Basicinfo!G42*1000000)*1000</f>
        <v>10.299112141124761</v>
      </c>
      <c r="AW42" s="19">
        <f>J42*86400*365/(Basicinfo!G42*1000000)*1000</f>
        <v>254.84980043109573</v>
      </c>
      <c r="AX42" s="53">
        <f>K42*86400*365/(Basicinfo!G42*1000000)*1000</f>
        <v>8.6316576717772797</v>
      </c>
      <c r="AY42" s="53">
        <f>L42*86400*365/(Basicinfo!G42*1000000)*1000</f>
        <v>1.78652410501426</v>
      </c>
      <c r="AZ42" s="53">
        <f>M42*86400*365/(Basicinfo!G42*1000000)*1000</f>
        <v>7.1107534400965466</v>
      </c>
      <c r="BA42" s="19">
        <f t="shared" si="123"/>
        <v>331.6922155507844</v>
      </c>
      <c r="BB42" s="19">
        <f>O42*86400*365/(Basicinfo!G42*1000000)*1000</f>
        <v>0</v>
      </c>
      <c r="BC42" s="53">
        <f t="shared" si="137"/>
        <v>331.6922155507844</v>
      </c>
      <c r="BD42" s="56">
        <f>P42/(Basicinfo!G42*100)*1000</f>
        <v>281.53164879777336</v>
      </c>
      <c r="BE42" s="43">
        <f>Q42/(Basicinfo!G42*100)*1000</f>
        <v>101.49549082237635</v>
      </c>
      <c r="BF42" s="58">
        <f t="shared" si="138"/>
        <v>383.02713962014968</v>
      </c>
      <c r="BG42" s="61">
        <f>S42/(Basicinfo!G42*100)*1000000</f>
        <v>42.670887835010177</v>
      </c>
      <c r="BH42" s="19">
        <f>T42/(Basicinfo!G42*100)*1000000</f>
        <v>977.75922970992349</v>
      </c>
      <c r="BI42" s="19">
        <f>U42/(Basicinfo!G42*100)*1000000</f>
        <v>0</v>
      </c>
      <c r="BJ42" s="19">
        <f>V42/(Basicinfo!G42*100)*1000000</f>
        <v>596.4107917824482</v>
      </c>
      <c r="BK42" s="19">
        <f>W42/(Basicinfo!G42*100)*1000000</f>
        <v>2.5373872705594094</v>
      </c>
      <c r="BL42" s="19">
        <f>X42/(Basicinfo!G42*100)*1000000</f>
        <v>1089.7540403451906</v>
      </c>
      <c r="BM42" s="19">
        <f>Y42/(Basicinfo!G42*100)*1000000</f>
        <v>14215.357927595382</v>
      </c>
      <c r="BN42" s="53">
        <f>Z42/(Basicinfo!G42*100)*1000000</f>
        <v>229.4102649173235</v>
      </c>
      <c r="BO42" s="53">
        <f>AA42/(Basicinfo!G42*100)*1000000</f>
        <v>152.90440578112492</v>
      </c>
      <c r="BP42" s="53">
        <f>AB42/(Basicinfo!G42*100)*1000000</f>
        <v>103.68263097106902</v>
      </c>
      <c r="BQ42" s="19">
        <f t="shared" si="125"/>
        <v>17410.487566208034</v>
      </c>
      <c r="BR42" s="19">
        <f>AD42/(Basicinfo!G42*100)*1000000</f>
        <v>0</v>
      </c>
      <c r="BS42" s="53">
        <f t="shared" si="139"/>
        <v>17410.487566208034</v>
      </c>
      <c r="BT42" s="56">
        <f>AF42/(Basicinfo!G42*100)*1000000</f>
        <v>0.93311314558546143</v>
      </c>
      <c r="BU42" s="43">
        <f>AG42/(Basicinfo!G42*100)*1000000</f>
        <v>19.247692912263545</v>
      </c>
      <c r="BV42" s="43">
        <f>AH42/(Basicinfo!G42*100)*1000000</f>
        <v>0</v>
      </c>
      <c r="BW42" s="43">
        <f>AI42/(Basicinfo!G42*100)*1000000</f>
        <v>733.35518442311957</v>
      </c>
      <c r="BX42" s="43">
        <f>AJ42/(Basicinfo!G42*100)*1000000</f>
        <v>45.672970870069364</v>
      </c>
      <c r="BY42" s="58">
        <f>AK42/(Basicinfo!G42*100)*1000000</f>
        <v>6.5855226277788974</v>
      </c>
      <c r="BZ42" s="58">
        <f>AL42/(Basicinfo!G42*100)*1000000</f>
        <v>86.323092816469099</v>
      </c>
      <c r="CA42" s="58">
        <f>AM42/(Basicinfo!G42*100)*1000000</f>
        <v>46.288163788800382</v>
      </c>
      <c r="CB42" s="58">
        <f>AN42/(Basicinfo!G42*100)*1000000</f>
        <v>26.607742487431764</v>
      </c>
      <c r="CC42" s="58">
        <f>AO42/(Basicinfo!G42*100)*1000000</f>
        <v>14.879576584589344</v>
      </c>
      <c r="CD42" s="58">
        <f t="shared" si="126"/>
        <v>979.89305965610743</v>
      </c>
      <c r="CE42" s="58">
        <f>AQ42/(Basicinfo!G42*100)*1000000</f>
        <v>0</v>
      </c>
      <c r="CF42" s="43">
        <f t="shared" si="140"/>
        <v>979.89305965610743</v>
      </c>
      <c r="CG42" s="84"/>
      <c r="CH42" s="84">
        <f t="shared" si="8"/>
        <v>0</v>
      </c>
      <c r="CI42" s="146">
        <f t="shared" si="9"/>
        <v>6.3082643317278677</v>
      </c>
      <c r="CJ42" s="200">
        <f>Intermediate!EW42+Intermediate!EY42+Intermediate!FD42</f>
        <v>11.342643294365637</v>
      </c>
      <c r="CK42" s="180">
        <f>Intermediate!FA42+Intermediate!FF42</f>
        <v>17.040030388884983</v>
      </c>
      <c r="CL42" s="180">
        <f t="shared" si="141"/>
        <v>14.145050845859615</v>
      </c>
      <c r="CM42" s="180">
        <f t="shared" si="142"/>
        <v>132.66979743406756</v>
      </c>
      <c r="CN42" s="202">
        <f>Intermediate!EX42+Intermediate!EZ42+Intermediate!FE42</f>
        <v>7.3945845014196578</v>
      </c>
      <c r="CO42" s="180">
        <f>Intermediate!FB42+Intermediate!FG42</f>
        <v>11.08628040126483</v>
      </c>
      <c r="CP42" s="213">
        <f>Intermediate!EP42+Intermediate!EQ42+Intermediate!ER42+Intermediate!ES42+Intermediate!ET42+Intermediate!EU42+Intermediate!EV42+W42</f>
        <v>26.002170827983619</v>
      </c>
      <c r="CQ42" s="212">
        <f t="shared" si="12"/>
        <v>18.480864902684488</v>
      </c>
      <c r="CR42" s="212">
        <f t="shared" si="13"/>
        <v>175.19752196317779</v>
      </c>
      <c r="CS42" s="211">
        <f t="shared" si="143"/>
        <v>2.9777543754641846</v>
      </c>
      <c r="CT42" s="212">
        <f t="shared" si="15"/>
        <v>222.65831206931006</v>
      </c>
      <c r="CU42" s="84"/>
      <c r="CV42" s="31">
        <f t="shared" si="16"/>
        <v>225.98882202557377</v>
      </c>
      <c r="CW42" s="31">
        <f>CH42/Basicinfo!$G42*1000/100</f>
        <v>0</v>
      </c>
      <c r="CX42" s="31">
        <f>CI42/Basicinfo!$G42*1000/100</f>
        <v>0.48599730166951738</v>
      </c>
      <c r="CY42" s="31">
        <f>CS42/Basicinfo!$G42*1000/100</f>
        <v>0.22941026491732347</v>
      </c>
      <c r="CZ42" s="31">
        <f>CN42/Basicinfo!$G42*1000/100</f>
        <v>0.56968889153584978</v>
      </c>
      <c r="DA42" s="31">
        <f>CO42/Basicinfo!$G42*1000/100</f>
        <v>0.85410218678813454</v>
      </c>
      <c r="DB42" s="31">
        <f>CQ42/Basicinfo!$G42*1000/100</f>
        <v>1.4237910783239842</v>
      </c>
      <c r="DC42" s="31">
        <f>CJ42/Basicinfo!$G42*1000/100</f>
        <v>0.87385273428319432</v>
      </c>
      <c r="DD42" s="31">
        <f>CK42/Basicinfo!$G42*1000/100</f>
        <v>1.3127872190949161</v>
      </c>
      <c r="DE42" s="31">
        <f>CM42/Basicinfo!$G42*1000/100</f>
        <v>10.221062431024929</v>
      </c>
      <c r="DF42" s="31">
        <f>CR42/Basicinfo!$G42*1000/100</f>
        <v>13.497456424748231</v>
      </c>
      <c r="DG42" s="31">
        <f>CP42/Basicinfo!$G42*1000/100</f>
        <v>2.0032427614662973</v>
      </c>
      <c r="DH42" s="31">
        <f>CT42/Basicinfo!$G42*1000/100</f>
        <v>17.153900529455836</v>
      </c>
      <c r="DI42" s="31">
        <f>CV42/Basicinfo!$G42*1000/100</f>
        <v>17.41048756620803</v>
      </c>
      <c r="DJ42" s="31"/>
      <c r="DK42" s="188">
        <f t="shared" si="17"/>
        <v>0</v>
      </c>
      <c r="DL42" s="188">
        <f t="shared" si="18"/>
        <v>2.8331591455540197</v>
      </c>
      <c r="DM42" s="188">
        <f t="shared" si="19"/>
        <v>1.3373650180808234</v>
      </c>
      <c r="DN42" s="188">
        <f t="shared" si="20"/>
        <v>3.321045791058471</v>
      </c>
      <c r="DO42" s="188">
        <f t="shared" si="21"/>
        <v>4.9790552610557128</v>
      </c>
      <c r="DP42" s="188">
        <f t="shared" si="22"/>
        <v>8.3001010521141829</v>
      </c>
      <c r="DQ42" s="188">
        <f t="shared" si="23"/>
        <v>5.0941926169074918</v>
      </c>
      <c r="DR42" s="188">
        <f t="shared" si="24"/>
        <v>7.6529954038188741</v>
      </c>
      <c r="DS42" s="188">
        <f t="shared" si="25"/>
        <v>59.584480004846853</v>
      </c>
      <c r="DT42" s="188">
        <f t="shared" si="26"/>
        <v>78.684474132113934</v>
      </c>
      <c r="DU42" s="188">
        <f t="shared" si="27"/>
        <v>11.67805979769107</v>
      </c>
      <c r="DV42" s="188">
        <f t="shared" si="28"/>
        <v>100</v>
      </c>
      <c r="DW42" s="188">
        <f t="shared" si="29"/>
        <v>101.4957941274732</v>
      </c>
      <c r="DY42" s="181">
        <f t="shared" si="30"/>
        <v>0</v>
      </c>
      <c r="DZ42" s="181">
        <f t="shared" si="127"/>
        <v>1.1393292634115064</v>
      </c>
      <c r="EA42" s="185">
        <f t="shared" si="31"/>
        <v>8.548034599347254E-2</v>
      </c>
      <c r="EB42" s="185">
        <f>AG42+AH42+AL42-Intermediate!FJ42-Intermediate!FM42</f>
        <v>1.1327486023536391</v>
      </c>
      <c r="EC42" s="185">
        <f>AI42+AJ42-Intermediate!FK42</f>
        <v>9.2836535721569682</v>
      </c>
      <c r="ED42" s="240">
        <f t="shared" si="32"/>
        <v>1.2111845793263094E-2</v>
      </c>
      <c r="EE42" s="240">
        <f>Intermediate!FJ42+Intermediate!FK42+Intermediate!FM42</f>
        <v>1.0657273113182555</v>
      </c>
      <c r="EF42" s="240">
        <f t="shared" si="33"/>
        <v>10.501882520504079</v>
      </c>
      <c r="EG42" s="240">
        <f t="shared" si="34"/>
        <v>1.1393292634115064</v>
      </c>
      <c r="EH42" s="240">
        <f t="shared" si="35"/>
        <v>12.719050941027104</v>
      </c>
      <c r="EI42" s="181">
        <f t="shared" si="36"/>
        <v>12.719050941027106</v>
      </c>
      <c r="EK42" s="31">
        <f>DY42/Basicinfo!$G42*1000/100</f>
        <v>0</v>
      </c>
      <c r="EL42" s="31">
        <f>DZ42/Basicinfo!$G42*1000/100</f>
        <v>8.7775482860821499E-2</v>
      </c>
      <c r="EM42" s="220">
        <f>EG42/Basicinfo!$G42*1000/100</f>
        <v>8.7775482860821499E-2</v>
      </c>
      <c r="EN42" s="220">
        <f>ED42/Basicinfo!$G42*1000/100</f>
        <v>9.3311314558546128E-4</v>
      </c>
      <c r="EO42" s="220">
        <f>EF42/Basicinfo!$G42*1000/100</f>
        <v>0.8090793757238246</v>
      </c>
      <c r="EP42" s="220">
        <f>EE42/Basicinfo!$G42*1000/100</f>
        <v>8.2105087925875661E-2</v>
      </c>
      <c r="EQ42" s="220">
        <f>EH42/Basicinfo!$G42*1000/100</f>
        <v>0.97989305965610729</v>
      </c>
      <c r="ER42" s="31">
        <f>EI42/Basicinfo!$G42*1000/100</f>
        <v>0.9798930596561074</v>
      </c>
      <c r="ET42" s="188">
        <f t="shared" si="37"/>
        <v>0</v>
      </c>
      <c r="EU42" s="188">
        <f t="shared" si="38"/>
        <v>8.957659409448846</v>
      </c>
      <c r="EV42" s="223">
        <f t="shared" si="39"/>
        <v>8.957659409448846</v>
      </c>
      <c r="EW42" s="223">
        <f t="shared" si="40"/>
        <v>9.522601843031081E-2</v>
      </c>
      <c r="EX42" s="223">
        <f t="shared" si="41"/>
        <v>82.56813003735023</v>
      </c>
      <c r="EY42" s="223">
        <f t="shared" si="42"/>
        <v>8.3789845347705985</v>
      </c>
      <c r="EZ42" s="223">
        <f t="shared" si="43"/>
        <v>99.999999999999986</v>
      </c>
      <c r="FA42" s="188">
        <f t="shared" si="44"/>
        <v>100</v>
      </c>
      <c r="FC42" s="236">
        <f>Basicinfo!CT42</f>
        <v>8.9607526881720414</v>
      </c>
      <c r="FD42" s="181">
        <f>IF((Intermediate!CL42+Intermediate!CM42*3)/4&gt;11,(Intermediate!CL42+Intermediate!CM42*9)/10,(Intermediate!CL42+Intermediate!CM42*3)/4)</f>
        <v>6.4017611757209441</v>
      </c>
      <c r="FF42" s="31">
        <f t="shared" si="45"/>
        <v>1.2111845793263094E-2</v>
      </c>
      <c r="FG42" s="31">
        <f t="shared" si="46"/>
        <v>0.24983582058867024</v>
      </c>
      <c r="FH42" s="31">
        <f t="shared" si="47"/>
        <v>0</v>
      </c>
      <c r="FI42" s="31">
        <f>(AI42-(P42*450/1000000))*Parameters!$C$153</f>
        <v>6.2996384761376962</v>
      </c>
      <c r="FJ42" s="31"/>
      <c r="FK42" s="31">
        <f t="shared" si="48"/>
        <v>8.548034599347254E-2</v>
      </c>
      <c r="FL42" s="31">
        <f t="shared" si="49"/>
        <v>1.120477182790748</v>
      </c>
      <c r="FM42" s="31">
        <f>AM42*Parameters!$C$154</f>
        <v>0.54073998856842498</v>
      </c>
      <c r="FN42" s="31">
        <f>AN42*Parameters!$C$154</f>
        <v>0.31083260148605535</v>
      </c>
      <c r="FO42" s="31">
        <f>AO42*Parameters!$C$154</f>
        <v>0.1738237470158755</v>
      </c>
      <c r="FP42" s="31">
        <f>AQ42*Parameters!$C$155</f>
        <v>0</v>
      </c>
      <c r="FQ42" s="31">
        <f t="shared" si="50"/>
        <v>8.792940008374206</v>
      </c>
      <c r="FS42" s="147">
        <f>DY42*Parameters!$C$155</f>
        <v>0</v>
      </c>
      <c r="FT42" s="147">
        <f>DZ42*Parameters!$C$154</f>
        <v>1.0253963370703558</v>
      </c>
      <c r="FU42" s="181">
        <f t="shared" si="51"/>
        <v>8.548034599347254E-2</v>
      </c>
      <c r="FV42" s="181">
        <f t="shared" si="52"/>
        <v>1.1327486023536391</v>
      </c>
      <c r="FW42" s="31">
        <f t="shared" si="53"/>
        <v>6.2996384761376962</v>
      </c>
      <c r="FX42" s="181">
        <f t="shared" si="54"/>
        <v>1.2111845793263094E-2</v>
      </c>
      <c r="FY42" s="147">
        <f>Intermediate!FJ42+Intermediate!FM42</f>
        <v>0.23756440102577905</v>
      </c>
      <c r="FZ42" s="181">
        <f t="shared" si="55"/>
        <v>7.517867424484808</v>
      </c>
      <c r="GA42" s="147">
        <f t="shared" si="56"/>
        <v>1.0253963370703558</v>
      </c>
      <c r="GB42" s="181">
        <f t="shared" si="57"/>
        <v>8.792940008374206</v>
      </c>
      <c r="GD42" s="147">
        <f>IF('River loads'!CH42&gt;0.99,1,0)</f>
        <v>1</v>
      </c>
      <c r="GE42" s="147">
        <f t="shared" si="58"/>
        <v>1.2111845793263094E-2</v>
      </c>
      <c r="GF42" s="147">
        <f t="shared" si="59"/>
        <v>0.24983582058867024</v>
      </c>
      <c r="GG42" s="147">
        <f t="shared" si="60"/>
        <v>0</v>
      </c>
      <c r="GH42" s="147">
        <f t="shared" si="61"/>
        <v>9.5189795015156982</v>
      </c>
      <c r="GI42" s="147">
        <f t="shared" si="62"/>
        <v>0.59283698093374759</v>
      </c>
      <c r="GJ42" s="147">
        <f t="shared" si="63"/>
        <v>8.548034599347254E-2</v>
      </c>
      <c r="GK42" s="147">
        <f t="shared" si="64"/>
        <v>1.120477182790748</v>
      </c>
      <c r="GL42" s="147">
        <f t="shared" si="65"/>
        <v>0.60082220952047216</v>
      </c>
      <c r="GM42" s="270">
        <f t="shared" si="128"/>
        <v>0.34536955720672818</v>
      </c>
      <c r="GN42" s="270">
        <f t="shared" si="129"/>
        <v>0.1931374966843061</v>
      </c>
      <c r="GO42" s="147">
        <f t="shared" si="66"/>
        <v>0</v>
      </c>
      <c r="GP42" s="147">
        <f t="shared" si="67"/>
        <v>12.719050941027106</v>
      </c>
      <c r="GQ42" s="147"/>
      <c r="GR42" s="147">
        <f t="shared" si="68"/>
        <v>1.2111845793263094E-2</v>
      </c>
      <c r="GS42" s="147">
        <f t="shared" si="69"/>
        <v>0.24983582058867024</v>
      </c>
      <c r="GT42" s="147">
        <f t="shared" si="70"/>
        <v>0</v>
      </c>
      <c r="GU42" s="147">
        <f t="shared" si="71"/>
        <v>6.2996384761376962</v>
      </c>
      <c r="GV42" s="147">
        <f t="shared" si="72"/>
        <v>0</v>
      </c>
      <c r="GW42" s="147">
        <f t="shared" si="73"/>
        <v>8.548034599347254E-2</v>
      </c>
      <c r="GX42" s="147">
        <f t="shared" si="74"/>
        <v>1.120477182790748</v>
      </c>
      <c r="GY42" s="147">
        <f t="shared" si="75"/>
        <v>0.54073998856842498</v>
      </c>
      <c r="GZ42" s="147">
        <f t="shared" si="130"/>
        <v>0.31083260148605535</v>
      </c>
      <c r="HA42" s="147">
        <f t="shared" si="131"/>
        <v>0.1738237470158755</v>
      </c>
      <c r="HB42" s="147">
        <f t="shared" si="76"/>
        <v>0</v>
      </c>
      <c r="HC42" s="147">
        <f t="shared" si="77"/>
        <v>8.792940008374206</v>
      </c>
      <c r="HD42" s="147"/>
      <c r="HE42" s="147">
        <f t="shared" si="78"/>
        <v>0</v>
      </c>
      <c r="HF42" s="147">
        <f t="shared" si="79"/>
        <v>1.1393292634115064</v>
      </c>
      <c r="HG42" s="147">
        <f t="shared" si="80"/>
        <v>8.548034599347254E-2</v>
      </c>
      <c r="HH42" s="147">
        <f t="shared" si="81"/>
        <v>1.1327486023536391</v>
      </c>
      <c r="HI42" s="147">
        <f t="shared" si="82"/>
        <v>9.2836535721569682</v>
      </c>
      <c r="HJ42" s="147">
        <f t="shared" si="83"/>
        <v>1.2111845793263094E-2</v>
      </c>
      <c r="HK42" s="147">
        <f t="shared" si="84"/>
        <v>1.0657273113182555</v>
      </c>
      <c r="HL42" s="147">
        <f t="shared" si="85"/>
        <v>10.501882520504079</v>
      </c>
      <c r="HM42" s="147">
        <f t="shared" si="86"/>
        <v>1.1393292634115064</v>
      </c>
      <c r="HN42" s="147">
        <f t="shared" si="87"/>
        <v>12.719050941027104</v>
      </c>
      <c r="HO42" s="147">
        <f t="shared" si="88"/>
        <v>12.719050941027106</v>
      </c>
      <c r="HQ42" s="147">
        <f t="shared" si="89"/>
        <v>0</v>
      </c>
      <c r="HR42" s="147">
        <f t="shared" si="90"/>
        <v>1.0253963370703558</v>
      </c>
      <c r="HS42" s="147">
        <f t="shared" si="91"/>
        <v>8.548034599347254E-2</v>
      </c>
      <c r="HT42" s="147">
        <f t="shared" si="92"/>
        <v>1.1327486023536391</v>
      </c>
      <c r="HU42" s="147">
        <f t="shared" si="93"/>
        <v>6.2996384761376962</v>
      </c>
      <c r="HV42" s="147">
        <f t="shared" si="94"/>
        <v>1.2111845793263094E-2</v>
      </c>
      <c r="HW42" s="147">
        <f t="shared" si="95"/>
        <v>0.23756440102577905</v>
      </c>
      <c r="HX42" s="147">
        <f t="shared" si="96"/>
        <v>7.517867424484808</v>
      </c>
      <c r="HY42" s="147">
        <f t="shared" si="97"/>
        <v>1.0253963370703558</v>
      </c>
      <c r="HZ42" s="147">
        <f t="shared" si="98"/>
        <v>8.792940008374206</v>
      </c>
      <c r="IB42" s="147">
        <f>IF('River loads'!CI42&gt;0.99,1,0)</f>
        <v>1</v>
      </c>
      <c r="IC42">
        <f t="shared" si="144"/>
        <v>0.55386982357321735</v>
      </c>
      <c r="ID42">
        <f t="shared" si="145"/>
        <v>12.691353743340528</v>
      </c>
      <c r="IE42">
        <f t="shared" si="146"/>
        <v>0</v>
      </c>
      <c r="IF42">
        <f t="shared" si="147"/>
        <v>7.7414358308869868</v>
      </c>
      <c r="IG42">
        <f t="shared" si="148"/>
        <v>3.2935387829652649E-2</v>
      </c>
      <c r="IH42">
        <f t="shared" si="149"/>
        <v>14.145050845859615</v>
      </c>
      <c r="II42">
        <f t="shared" si="150"/>
        <v>184.51591206235591</v>
      </c>
      <c r="IJ42">
        <f t="shared" si="151"/>
        <v>2.9777543754641846</v>
      </c>
      <c r="IK42">
        <f t="shared" si="132"/>
        <v>1.9847052768392224</v>
      </c>
      <c r="IL42">
        <f t="shared" si="133"/>
        <v>1.3458046794244607</v>
      </c>
      <c r="IM42">
        <f t="shared" si="107"/>
        <v>0</v>
      </c>
      <c r="IN42">
        <f t="shared" si="108"/>
        <v>225.98882202557377</v>
      </c>
      <c r="IP42">
        <f t="shared" si="109"/>
        <v>0</v>
      </c>
      <c r="IQ42">
        <f t="shared" si="110"/>
        <v>6.3082643317278677</v>
      </c>
      <c r="IR42">
        <f t="shared" si="111"/>
        <v>11.342643294365637</v>
      </c>
      <c r="IS42">
        <f t="shared" si="112"/>
        <v>17.040030388884983</v>
      </c>
      <c r="IT42">
        <f t="shared" si="113"/>
        <v>14.145050845859615</v>
      </c>
      <c r="IU42">
        <f t="shared" si="114"/>
        <v>132.66979743406756</v>
      </c>
      <c r="IV42">
        <f t="shared" si="115"/>
        <v>7.3945845014196578</v>
      </c>
      <c r="IW42">
        <f t="shared" si="116"/>
        <v>11.08628040126483</v>
      </c>
      <c r="IX42">
        <f t="shared" si="117"/>
        <v>26.002170827983619</v>
      </c>
    </row>
    <row r="43" spans="1:258">
      <c r="A43" s="39" t="str">
        <f>Basicinfo!A43</f>
        <v>Kristeinerbach</v>
      </c>
      <c r="B43" s="63">
        <f>Basicinfo!B43</f>
        <v>1350</v>
      </c>
      <c r="C43" s="63">
        <f>Basicinfo!C43</f>
        <v>5010</v>
      </c>
      <c r="D43" s="130">
        <f>Basicinfo!G43</f>
        <v>135.30305997900001</v>
      </c>
      <c r="E43" s="87">
        <f t="shared" si="118"/>
        <v>1.4776424272465598</v>
      </c>
      <c r="F43" s="19">
        <f>Intermediate!AR43</f>
        <v>4.2922006992707771E-3</v>
      </c>
      <c r="G43" s="19">
        <f>Intermediate!AU43</f>
        <v>0.24700294891525576</v>
      </c>
      <c r="H43" s="19">
        <f>Intermediate!AW43</f>
        <v>0</v>
      </c>
      <c r="I43" s="19">
        <f>Intermediate!AZ43</f>
        <v>3.9657827650105525E-2</v>
      </c>
      <c r="J43" s="19">
        <f>Intermediate!BA43</f>
        <v>1.1551173887227069</v>
      </c>
      <c r="K43" s="19">
        <f>Intermediate!AC43</f>
        <v>1.2272291534090166E-2</v>
      </c>
      <c r="L43" s="19">
        <f>Intermediate!AO43</f>
        <v>6.1347255059237974E-3</v>
      </c>
      <c r="M43" s="19">
        <f>Intermediate!AP43</f>
        <v>1.3165044219206909E-2</v>
      </c>
      <c r="N43" s="19">
        <f t="shared" si="119"/>
        <v>1.4776424272465598</v>
      </c>
      <c r="O43" s="19">
        <f>Basicinfo!CB43+Basicinfo!CG43</f>
        <v>0</v>
      </c>
      <c r="P43" s="56">
        <f>Intermediate!BK43-Intermediate!BI43</f>
        <v>3606.1381443798832</v>
      </c>
      <c r="Q43" s="43">
        <f>Intermediate!BI43</f>
        <v>1844.3650506067047</v>
      </c>
      <c r="R43" s="88">
        <f t="shared" si="134"/>
        <v>5450.5031949865879</v>
      </c>
      <c r="S43" s="61">
        <f>Intermediate!F43*Intermediate!BO43/1000</f>
        <v>1.518020226033715</v>
      </c>
      <c r="T43" s="19">
        <f>Intermediate!BU43*Intermediate!AU43*86.4*0.365</f>
        <v>15.598455308981789</v>
      </c>
      <c r="U43" s="19">
        <f>Intermediate!AW43*Intermediate!BS43*0.365*86.4</f>
        <v>0</v>
      </c>
      <c r="V43" s="19">
        <f>(Basicinfo!BL43/1000000)*(Intermediate!BK43-Intermediate!BF43-Intermediate!BG43-Intermediate!BH43)*Intermediate!CV43</f>
        <v>11.344213443143619</v>
      </c>
      <c r="W43" s="19">
        <f>Intermediate!BI43*Parameters!$C$51/1000000</f>
        <v>4.6109126265167617E-2</v>
      </c>
      <c r="X43" s="19">
        <f>Intermediate!AZ43*Intermediate!CG43*86.4*0.365</f>
        <v>12.204358410389824</v>
      </c>
      <c r="Y43" s="19">
        <f>Intermediate!CM43*Intermediate!BA43*86.4*0.365+Parameters!$C$126*Intermediate!BB43*Basicinfo!P43/1000+Parameters!$C$127*Intermediate!BB43*Basicinfo!S43/1000</f>
        <v>180.69570623861975</v>
      </c>
      <c r="Z43" s="19">
        <f>Intermediate!DG43</f>
        <v>1.1296010607720623</v>
      </c>
      <c r="AA43" s="19">
        <f>Intermediate!DI43</f>
        <v>1.5358142036878462</v>
      </c>
      <c r="AB43" s="19">
        <f>Intermediate!DK43</f>
        <v>0.45559701840477784</v>
      </c>
      <c r="AC43" s="19">
        <f t="shared" si="120"/>
        <v>224.52787503629855</v>
      </c>
      <c r="AD43" s="19">
        <f>Basicinfo!CC43+Basicinfo!CE43+Basicinfo!CH43+Basicinfo!CJ43</f>
        <v>0</v>
      </c>
      <c r="AE43" s="87">
        <f t="shared" si="135"/>
        <v>224.52787503629855</v>
      </c>
      <c r="AF43" s="56">
        <f>Intermediate!F43*Basicinfo!BD43/1000</f>
        <v>3.3334817557177925E-2</v>
      </c>
      <c r="AG43" s="43">
        <f>Intermediate!CA43*Intermediate!AU43*86.4*0.365</f>
        <v>0.29496486020256629</v>
      </c>
      <c r="AH43" s="43">
        <f>Intermediate!AW43*Intermediate!BZ43*0.365*86.4</f>
        <v>0</v>
      </c>
      <c r="AI43" s="43">
        <f>(Intermediate!CU43/1000000)*(Intermediate!BK43-Intermediate!BF43-Intermediate!BG43-Intermediate!BH43)*Intermediate!CW43</f>
        <v>9.0834265838924253</v>
      </c>
      <c r="AJ43" s="43">
        <f>Intermediate!BF43*Parameters!$C$52/1000000+(Intermediate!BG43+Intermediate!BH43)*Intermediate!CX43/1000000</f>
        <v>0.8299642727730171</v>
      </c>
      <c r="AK43" s="43">
        <f>Intermediate!AZ43*Intermediate!CH43*86.4*0.365</f>
        <v>7.7739503679540162E-2</v>
      </c>
      <c r="AL43" s="58">
        <f>Intermediate!CR43*Intermediate!BA43*86.4*0.365</f>
        <v>1.474535524483247</v>
      </c>
      <c r="AM43" s="43">
        <f>Intermediate!DH43</f>
        <v>0.27465284957184161</v>
      </c>
      <c r="AN43" s="42">
        <f>Intermediate!DJ43</f>
        <v>0.29271958128208414</v>
      </c>
      <c r="AO43" s="42">
        <f>Intermediate!DL43</f>
        <v>7.2342380019590216E-2</v>
      </c>
      <c r="AP43" s="42">
        <f t="shared" si="122"/>
        <v>12.43368037346149</v>
      </c>
      <c r="AQ43" s="43">
        <f>Basicinfo!CD43+Basicinfo!CF43+Basicinfo!CI43+Basicinfo!CK43</f>
        <v>0.61204100000000006</v>
      </c>
      <c r="AR43" s="83">
        <f t="shared" si="136"/>
        <v>13.04572137346149</v>
      </c>
      <c r="AS43" s="19">
        <f>F43*86400*365/(Basicinfo!G43*1000000)*1000</f>
        <v>1.0004122691180219</v>
      </c>
      <c r="AT43" s="19">
        <f>G43*86400*365/(Basicinfo!G43*1000000)*1000</f>
        <v>57.57064916492272</v>
      </c>
      <c r="AU43" s="19">
        <f>H43*86400*365/(Basicinfo!G43*1000000)*1000</f>
        <v>0</v>
      </c>
      <c r="AV43" s="19">
        <f>I43*86400*365/(Basicinfo!G43*1000000)*1000</f>
        <v>9.2433183179141505</v>
      </c>
      <c r="AW43" s="19">
        <f>J43*86400*365/(Basicinfo!G43*1000000)*1000</f>
        <v>269.23102830352195</v>
      </c>
      <c r="AX43" s="53">
        <f>K43*86400*365/(Basicinfo!G43*1000000)*1000</f>
        <v>2.8603860539379937</v>
      </c>
      <c r="AY43" s="53">
        <f>L43*86400*365/(Basicinfo!G43*1000000)*1000</f>
        <v>1.429861997096296</v>
      </c>
      <c r="AZ43" s="53">
        <f>M43*86400*365/(Basicinfo!G43*1000000)*1000</f>
        <v>3.0684659649334378</v>
      </c>
      <c r="BA43" s="19">
        <f t="shared" si="123"/>
        <v>344.40412207144459</v>
      </c>
      <c r="BB43" s="19">
        <f>O43*86400*365/(Basicinfo!G43*1000000)*1000</f>
        <v>0</v>
      </c>
      <c r="BC43" s="53">
        <f t="shared" si="137"/>
        <v>344.40412207144459</v>
      </c>
      <c r="BD43" s="56">
        <f>P43/(Basicinfo!G43*100)*1000</f>
        <v>266.52302948208131</v>
      </c>
      <c r="BE43" s="43">
        <f>Q43/(Basicinfo!G43*100)*1000</f>
        <v>136.31362445852761</v>
      </c>
      <c r="BF43" s="58">
        <f t="shared" si="138"/>
        <v>402.83665394060893</v>
      </c>
      <c r="BG43" s="61">
        <f>S43/(Basicinfo!G43*100)*1000000</f>
        <v>112.19407944427292</v>
      </c>
      <c r="BH43" s="19">
        <f>T43/(Basicinfo!G43*100)*1000000</f>
        <v>1152.8531070474517</v>
      </c>
      <c r="BI43" s="19">
        <f>U43/(Basicinfo!G43*100)*1000000</f>
        <v>0</v>
      </c>
      <c r="BJ43" s="19">
        <f>V43/(Basicinfo!G43*100)*1000000</f>
        <v>838.42992500718913</v>
      </c>
      <c r="BK43" s="19">
        <f>W43/(Basicinfo!G43*100)*1000000</f>
        <v>3.4078406114631909</v>
      </c>
      <c r="BL43" s="19">
        <f>X43/(Basicinfo!G43*100)*1000000</f>
        <v>902.00165556374168</v>
      </c>
      <c r="BM43" s="19">
        <f>Y43/(Basicinfo!G43*100)*1000000</f>
        <v>13354.886893664119</v>
      </c>
      <c r="BN43" s="53">
        <f>Z43/(Basicinfo!G43*100)*1000000</f>
        <v>83.486734220747437</v>
      </c>
      <c r="BO43" s="53">
        <f>AA43/(Basicinfo!G43*100)*1000000</f>
        <v>113.509199564756</v>
      </c>
      <c r="BP43" s="53">
        <f>AB43/(Basicinfo!G43*100)*1000000</f>
        <v>33.67233664009445</v>
      </c>
      <c r="BQ43" s="19">
        <f t="shared" si="125"/>
        <v>16594.441771763835</v>
      </c>
      <c r="BR43" s="19">
        <f>AD43/(Basicinfo!G43*100)*1000000</f>
        <v>0</v>
      </c>
      <c r="BS43" s="53">
        <f t="shared" si="139"/>
        <v>16594.441771763835</v>
      </c>
      <c r="BT43" s="56">
        <f>AF43/(Basicinfo!G43*100)*1000000</f>
        <v>2.4637149789776909</v>
      </c>
      <c r="BU43" s="43">
        <f>AG43/(Basicinfo!G43*100)*1000000</f>
        <v>21.800309634412329</v>
      </c>
      <c r="BV43" s="43">
        <f>AH43/(Basicinfo!G43*100)*1000000</f>
        <v>0</v>
      </c>
      <c r="BW43" s="43">
        <f>AI43/(Basicinfo!G43*100)*1000000</f>
        <v>671.33933152008819</v>
      </c>
      <c r="BX43" s="43">
        <f>AJ43/(Basicinfo!G43*100)*1000000</f>
        <v>61.341131006337434</v>
      </c>
      <c r="BY43" s="58">
        <f>AK43/(Basicinfo!G43*100)*1000000</f>
        <v>5.7455835582436849</v>
      </c>
      <c r="BZ43" s="58">
        <f>AL43/(Basicinfo!G43*100)*1000000</f>
        <v>108.98020523054728</v>
      </c>
      <c r="CA43" s="58">
        <f>AM43/(Basicinfo!G43*100)*1000000</f>
        <v>20.299086333632786</v>
      </c>
      <c r="CB43" s="58">
        <f>AN43/(Basicinfo!G43*100)*1000000</f>
        <v>21.634365204121494</v>
      </c>
      <c r="CC43" s="58">
        <f>AO43/(Basicinfo!G43*100)*1000000</f>
        <v>5.3466920874382486</v>
      </c>
      <c r="CD43" s="58">
        <f t="shared" si="126"/>
        <v>918.95041955379918</v>
      </c>
      <c r="CE43" s="58">
        <f>AQ43/(Basicinfo!G43*100)*1000000</f>
        <v>45.234823225357445</v>
      </c>
      <c r="CF43" s="43">
        <f t="shared" si="140"/>
        <v>964.18524277915662</v>
      </c>
      <c r="CG43" s="84"/>
      <c r="CH43" s="84">
        <f t="shared" si="8"/>
        <v>0</v>
      </c>
      <c r="CI43" s="146">
        <f t="shared" si="9"/>
        <v>3.1210122828646862</v>
      </c>
      <c r="CJ43" s="200">
        <f>Intermediate!EW43+Intermediate!EY43+Intermediate!FD43</f>
        <v>10.648967874028408</v>
      </c>
      <c r="CK43" s="180">
        <f>Intermediate!FA43+Intermediate!FF43</f>
        <v>18.291968476232654</v>
      </c>
      <c r="CL43" s="180">
        <f t="shared" si="141"/>
        <v>12.204358410389824</v>
      </c>
      <c r="CM43" s="180">
        <f t="shared" si="142"/>
        <v>133.90589903921975</v>
      </c>
      <c r="CN43" s="202">
        <f>Intermediate!EX43+Intermediate!EZ43+Intermediate!FE43</f>
        <v>6.8929797347359818</v>
      </c>
      <c r="CO43" s="180">
        <f>Intermediate!FB43+Intermediate!FG43</f>
        <v>11.885517943076426</v>
      </c>
      <c r="CP43" s="213">
        <f>Intermediate!EP43+Intermediate!EQ43+Intermediate!ER43+Intermediate!ES43+Intermediate!ET43+Intermediate!EU43+Intermediate!EV43+W43</f>
        <v>27.577171275750825</v>
      </c>
      <c r="CQ43" s="212">
        <f t="shared" si="12"/>
        <v>18.778497677812407</v>
      </c>
      <c r="CR43" s="212">
        <f t="shared" si="13"/>
        <v>175.05119379987065</v>
      </c>
      <c r="CS43" s="211">
        <f t="shared" si="143"/>
        <v>1.1296010607720623</v>
      </c>
      <c r="CT43" s="212">
        <f t="shared" si="15"/>
        <v>222.53646381420594</v>
      </c>
      <c r="CU43" s="84"/>
      <c r="CV43" s="31">
        <f t="shared" si="16"/>
        <v>224.52787503629855</v>
      </c>
      <c r="CW43" s="31">
        <f>CH43/Basicinfo!$G43*1000/100</f>
        <v>0</v>
      </c>
      <c r="CX43" s="31">
        <f>CI43/Basicinfo!$G43*1000/100</f>
        <v>0.23066827042559787</v>
      </c>
      <c r="CY43" s="31">
        <f>CS43/Basicinfo!$G43*1000/100</f>
        <v>8.3486734220747441E-2</v>
      </c>
      <c r="CZ43" s="31">
        <f>CN43/Basicinfo!$G43*1000/100</f>
        <v>0.50944743864668107</v>
      </c>
      <c r="DA43" s="31">
        <f>CO43/Basicinfo!$G43*1000/100</f>
        <v>0.87843674377513281</v>
      </c>
      <c r="DB43" s="31">
        <f>CQ43/Basicinfo!$G43*1000/100</f>
        <v>1.387884182421814</v>
      </c>
      <c r="DC43" s="31">
        <f>CJ43/Basicinfo!$G43*1000/100</f>
        <v>0.787045605301255</v>
      </c>
      <c r="DD43" s="31">
        <f>CK43/Basicinfo!$G43*1000/100</f>
        <v>1.3519257050854352</v>
      </c>
      <c r="DE43" s="31">
        <f>CM43/Basicinfo!$G43*1000/100</f>
        <v>9.8967384078381446</v>
      </c>
      <c r="DF43" s="31">
        <f>CR43/Basicinfo!$G43*1000/100</f>
        <v>12.937711373788577</v>
      </c>
      <c r="DG43" s="31">
        <f>CP43/Basicinfo!$G43*1000/100</f>
        <v>2.0381779451278486</v>
      </c>
      <c r="DH43" s="31">
        <f>CT43/Basicinfo!$G43*1000/100</f>
        <v>16.447260235558989</v>
      </c>
      <c r="DI43" s="31">
        <f>CV43/Basicinfo!$G43*1000/100</f>
        <v>16.594441771763837</v>
      </c>
      <c r="DJ43" s="31"/>
      <c r="DK43" s="188">
        <f t="shared" si="17"/>
        <v>0</v>
      </c>
      <c r="DL43" s="188">
        <f t="shared" si="18"/>
        <v>1.402472309198908</v>
      </c>
      <c r="DM43" s="188">
        <f t="shared" si="19"/>
        <v>0.50760268290915145</v>
      </c>
      <c r="DN43" s="188">
        <f t="shared" si="20"/>
        <v>3.0974608010716298</v>
      </c>
      <c r="DO43" s="188">
        <f t="shared" si="21"/>
        <v>5.3409305330741477</v>
      </c>
      <c r="DP43" s="188">
        <f t="shared" si="22"/>
        <v>8.438391334145777</v>
      </c>
      <c r="DQ43" s="188">
        <f t="shared" si="23"/>
        <v>4.7852687561887173</v>
      </c>
      <c r="DR43" s="188">
        <f t="shared" si="24"/>
        <v>8.2197623538695588</v>
      </c>
      <c r="DS43" s="188">
        <f t="shared" si="25"/>
        <v>60.172565315415817</v>
      </c>
      <c r="DT43" s="188">
        <f t="shared" si="26"/>
        <v>78.661802564643793</v>
      </c>
      <c r="DU43" s="188">
        <f t="shared" si="27"/>
        <v>12.392203418301282</v>
      </c>
      <c r="DV43" s="188">
        <f t="shared" si="28"/>
        <v>100</v>
      </c>
      <c r="DW43" s="188">
        <f t="shared" si="29"/>
        <v>100.89486962628975</v>
      </c>
      <c r="DY43" s="181">
        <f t="shared" si="30"/>
        <v>0.61204100000000006</v>
      </c>
      <c r="DZ43" s="181">
        <f t="shared" si="127"/>
        <v>0.639714810873516</v>
      </c>
      <c r="EA43" s="185">
        <f t="shared" si="31"/>
        <v>7.7739503679540162E-2</v>
      </c>
      <c r="EB43" s="185">
        <f>AG43+AH43+AL43-Intermediate!FJ43-Intermediate!FM43</f>
        <v>1.4786738573230818</v>
      </c>
      <c r="EC43" s="185">
        <f>AI43+AJ43-Intermediate!FK43</f>
        <v>8.783059225679807</v>
      </c>
      <c r="ED43" s="240">
        <f t="shared" si="32"/>
        <v>3.3334817557177925E-2</v>
      </c>
      <c r="EE43" s="240">
        <f>Intermediate!FJ43+Intermediate!FK43+Intermediate!FM43</f>
        <v>1.4211581583483675</v>
      </c>
      <c r="EF43" s="240">
        <f t="shared" si="33"/>
        <v>10.339472586682428</v>
      </c>
      <c r="EG43" s="240">
        <f t="shared" si="34"/>
        <v>1.2517558108735161</v>
      </c>
      <c r="EH43" s="240">
        <f t="shared" si="35"/>
        <v>13.04572137346149</v>
      </c>
      <c r="EI43" s="181">
        <f t="shared" si="36"/>
        <v>13.04572137346149</v>
      </c>
      <c r="EK43" s="31">
        <f>DY43/Basicinfo!$G43*1000/100</f>
        <v>4.5234823225357441E-2</v>
      </c>
      <c r="EL43" s="31">
        <f>DZ43/Basicinfo!$G43*1000/100</f>
        <v>4.7280143625192533E-2</v>
      </c>
      <c r="EM43" s="220">
        <f>EG43/Basicinfo!$G43*1000/100</f>
        <v>9.2514966850549968E-2</v>
      </c>
      <c r="EN43" s="220">
        <f>ED43/Basicinfo!$G43*1000/100</f>
        <v>2.4637149789776907E-3</v>
      </c>
      <c r="EO43" s="220">
        <f>EF43/Basicinfo!$G43*1000/100</f>
        <v>0.76417137855471906</v>
      </c>
      <c r="EP43" s="220">
        <f>EE43/Basicinfo!$G43*1000/100</f>
        <v>0.10503518239490971</v>
      </c>
      <c r="EQ43" s="220">
        <f>EH43/Basicinfo!$G43*1000/100</f>
        <v>0.96418524277915651</v>
      </c>
      <c r="ER43" s="31">
        <f>EI43/Basicinfo!$G43*1000/100</f>
        <v>0.96418524277915651</v>
      </c>
      <c r="ET43" s="188">
        <f t="shared" si="37"/>
        <v>4.691507525563563</v>
      </c>
      <c r="EU43" s="188">
        <f t="shared" si="38"/>
        <v>4.9036369286168275</v>
      </c>
      <c r="EV43" s="223">
        <f t="shared" si="39"/>
        <v>9.5951444541803905</v>
      </c>
      <c r="EW43" s="223">
        <f t="shared" si="40"/>
        <v>0.25552299181392851</v>
      </c>
      <c r="EX43" s="223">
        <f t="shared" si="41"/>
        <v>79.255660079600503</v>
      </c>
      <c r="EY43" s="223">
        <f t="shared" si="42"/>
        <v>10.893672474405177</v>
      </c>
      <c r="EZ43" s="223">
        <f t="shared" si="43"/>
        <v>100</v>
      </c>
      <c r="FA43" s="188">
        <f t="shared" si="44"/>
        <v>100</v>
      </c>
      <c r="FC43" s="236">
        <f>Basicinfo!CT43</f>
        <v>7.9209337860780984</v>
      </c>
      <c r="FD43" s="181">
        <f>IF((Intermediate!CL43+Intermediate!CM43*3)/4&gt;11,(Intermediate!CL43+Intermediate!CM43*9)/10,(Intermediate!CL43+Intermediate!CM43*3)/4)</f>
        <v>5.799746208102234</v>
      </c>
      <c r="FF43" s="31">
        <f t="shared" si="45"/>
        <v>3.3334817557177925E-2</v>
      </c>
      <c r="FG43" s="31">
        <f t="shared" si="46"/>
        <v>0.29496486020256629</v>
      </c>
      <c r="FH43" s="31">
        <f t="shared" si="47"/>
        <v>0</v>
      </c>
      <c r="FI43" s="31">
        <f>(AI43-(P43*450/1000000))*Parameters!$C$153</f>
        <v>5.968531535137183</v>
      </c>
      <c r="FJ43" s="31"/>
      <c r="FK43" s="31">
        <f t="shared" si="48"/>
        <v>7.7739503679540162E-2</v>
      </c>
      <c r="FL43" s="31">
        <f t="shared" si="49"/>
        <v>1.474535524483247</v>
      </c>
      <c r="FM43" s="31">
        <f>AM43*Parameters!$C$154</f>
        <v>0.24718756461465746</v>
      </c>
      <c r="FN43" s="31">
        <f>AN43*Parameters!$C$154</f>
        <v>0.26344762315387571</v>
      </c>
      <c r="FO43" s="31">
        <f>AO43*Parameters!$C$154</f>
        <v>6.5108142017631196E-2</v>
      </c>
      <c r="FP43" s="31">
        <f>AQ43*Parameters!$C$155</f>
        <v>0.61204100000000006</v>
      </c>
      <c r="FQ43" s="31">
        <f t="shared" si="50"/>
        <v>9.0368905708458804</v>
      </c>
      <c r="FS43" s="147">
        <f>DY43*Parameters!$C$155</f>
        <v>0.61204100000000006</v>
      </c>
      <c r="FT43" s="147">
        <f>DZ43*Parameters!$C$154</f>
        <v>0.57574332978616438</v>
      </c>
      <c r="FU43" s="181">
        <f t="shared" si="51"/>
        <v>7.7739503679540162E-2</v>
      </c>
      <c r="FV43" s="181">
        <f t="shared" si="52"/>
        <v>1.4786738573230818</v>
      </c>
      <c r="FW43" s="31">
        <f t="shared" si="53"/>
        <v>5.9685315351371857</v>
      </c>
      <c r="FX43" s="181">
        <f t="shared" si="54"/>
        <v>3.3334817557177925E-2</v>
      </c>
      <c r="FY43" s="147">
        <f>Intermediate!FJ43+Intermediate!FM43</f>
        <v>0.2908265273627314</v>
      </c>
      <c r="FZ43" s="181">
        <f t="shared" si="55"/>
        <v>7.5249448961398073</v>
      </c>
      <c r="GA43" s="147">
        <f t="shared" si="56"/>
        <v>1.1877843297861643</v>
      </c>
      <c r="GB43" s="181">
        <f t="shared" si="57"/>
        <v>9.0368905708458804</v>
      </c>
      <c r="GD43" s="147">
        <f>IF('River loads'!CH43&gt;0.99,1,0)</f>
        <v>1</v>
      </c>
      <c r="GE43" s="147">
        <f t="shared" si="58"/>
        <v>3.3334817557177925E-2</v>
      </c>
      <c r="GF43" s="147">
        <f t="shared" si="59"/>
        <v>0.29496486020256629</v>
      </c>
      <c r="GG43" s="147">
        <f t="shared" si="60"/>
        <v>0</v>
      </c>
      <c r="GH43" s="147">
        <f t="shared" si="61"/>
        <v>9.0834265838924253</v>
      </c>
      <c r="GI43" s="147">
        <f t="shared" si="62"/>
        <v>0.8299642727730171</v>
      </c>
      <c r="GJ43" s="147">
        <f t="shared" si="63"/>
        <v>7.7739503679540162E-2</v>
      </c>
      <c r="GK43" s="147">
        <f t="shared" si="64"/>
        <v>1.474535524483247</v>
      </c>
      <c r="GL43" s="147">
        <f t="shared" si="65"/>
        <v>0.27465284957184161</v>
      </c>
      <c r="GM43" s="270">
        <f t="shared" si="128"/>
        <v>0.29271958128208414</v>
      </c>
      <c r="GN43" s="270">
        <f t="shared" si="129"/>
        <v>7.2342380019590216E-2</v>
      </c>
      <c r="GO43" s="147">
        <f t="shared" si="66"/>
        <v>0.61204100000000006</v>
      </c>
      <c r="GP43" s="147">
        <f t="shared" si="67"/>
        <v>13.04572137346149</v>
      </c>
      <c r="GQ43" s="147"/>
      <c r="GR43" s="147">
        <f t="shared" si="68"/>
        <v>3.3334817557177925E-2</v>
      </c>
      <c r="GS43" s="147">
        <f t="shared" si="69"/>
        <v>0.29496486020256629</v>
      </c>
      <c r="GT43" s="147">
        <f t="shared" si="70"/>
        <v>0</v>
      </c>
      <c r="GU43" s="147">
        <f t="shared" si="71"/>
        <v>5.968531535137183</v>
      </c>
      <c r="GV43" s="147">
        <f t="shared" si="72"/>
        <v>0</v>
      </c>
      <c r="GW43" s="147">
        <f t="shared" si="73"/>
        <v>7.7739503679540162E-2</v>
      </c>
      <c r="GX43" s="147">
        <f t="shared" si="74"/>
        <v>1.474535524483247</v>
      </c>
      <c r="GY43" s="147">
        <f t="shared" si="75"/>
        <v>0.24718756461465746</v>
      </c>
      <c r="GZ43" s="147">
        <f t="shared" si="130"/>
        <v>0.26344762315387571</v>
      </c>
      <c r="HA43" s="147">
        <f t="shared" si="131"/>
        <v>6.5108142017631196E-2</v>
      </c>
      <c r="HB43" s="147">
        <f t="shared" si="76"/>
        <v>0.61204100000000006</v>
      </c>
      <c r="HC43" s="147">
        <f t="shared" si="77"/>
        <v>9.0368905708458804</v>
      </c>
      <c r="HD43" s="147"/>
      <c r="HE43" s="147">
        <f t="shared" si="78"/>
        <v>0.61204100000000006</v>
      </c>
      <c r="HF43" s="147">
        <f t="shared" si="79"/>
        <v>0.639714810873516</v>
      </c>
      <c r="HG43" s="147">
        <f t="shared" si="80"/>
        <v>7.7739503679540162E-2</v>
      </c>
      <c r="HH43" s="147">
        <f t="shared" si="81"/>
        <v>1.4786738573230818</v>
      </c>
      <c r="HI43" s="147">
        <f t="shared" si="82"/>
        <v>8.783059225679807</v>
      </c>
      <c r="HJ43" s="147">
        <f t="shared" si="83"/>
        <v>3.3334817557177925E-2</v>
      </c>
      <c r="HK43" s="147">
        <f t="shared" si="84"/>
        <v>1.4211581583483675</v>
      </c>
      <c r="HL43" s="147">
        <f t="shared" si="85"/>
        <v>10.339472586682428</v>
      </c>
      <c r="HM43" s="147">
        <f t="shared" si="86"/>
        <v>1.2517558108735161</v>
      </c>
      <c r="HN43" s="147">
        <f t="shared" si="87"/>
        <v>13.04572137346149</v>
      </c>
      <c r="HO43" s="147">
        <f t="shared" si="88"/>
        <v>13.04572137346149</v>
      </c>
      <c r="HQ43" s="147">
        <f t="shared" si="89"/>
        <v>0.61204100000000006</v>
      </c>
      <c r="HR43" s="147">
        <f t="shared" si="90"/>
        <v>0.57574332978616438</v>
      </c>
      <c r="HS43" s="147">
        <f t="shared" si="91"/>
        <v>7.7739503679540162E-2</v>
      </c>
      <c r="HT43" s="147">
        <f t="shared" si="92"/>
        <v>1.4786738573230818</v>
      </c>
      <c r="HU43" s="147">
        <f t="shared" si="93"/>
        <v>5.9685315351371857</v>
      </c>
      <c r="HV43" s="147">
        <f t="shared" si="94"/>
        <v>3.3334817557177925E-2</v>
      </c>
      <c r="HW43" s="147">
        <f t="shared" si="95"/>
        <v>0.2908265273627314</v>
      </c>
      <c r="HX43" s="147">
        <f t="shared" si="96"/>
        <v>7.5249448961398073</v>
      </c>
      <c r="HY43" s="147">
        <f t="shared" si="97"/>
        <v>1.1877843297861643</v>
      </c>
      <c r="HZ43" s="147">
        <f t="shared" si="98"/>
        <v>9.0368905708458804</v>
      </c>
      <c r="IB43" s="147">
        <f>IF('River loads'!CI43&gt;0.99,1,0)</f>
        <v>1</v>
      </c>
      <c r="IC43">
        <f t="shared" si="144"/>
        <v>1.518020226033715</v>
      </c>
      <c r="ID43">
        <f t="shared" si="145"/>
        <v>15.598455308981789</v>
      </c>
      <c r="IE43">
        <f t="shared" si="146"/>
        <v>0</v>
      </c>
      <c r="IF43">
        <f t="shared" si="147"/>
        <v>11.344213443143619</v>
      </c>
      <c r="IG43">
        <f t="shared" si="148"/>
        <v>4.6109126265167617E-2</v>
      </c>
      <c r="IH43">
        <f t="shared" si="149"/>
        <v>12.204358410389824</v>
      </c>
      <c r="II43">
        <f t="shared" si="150"/>
        <v>180.69570623861975</v>
      </c>
      <c r="IJ43">
        <f t="shared" si="151"/>
        <v>1.1296010607720623</v>
      </c>
      <c r="IK43">
        <f t="shared" si="132"/>
        <v>1.5358142036878462</v>
      </c>
      <c r="IL43">
        <f t="shared" si="133"/>
        <v>0.45559701840477784</v>
      </c>
      <c r="IM43">
        <f t="shared" si="107"/>
        <v>0</v>
      </c>
      <c r="IN43">
        <f t="shared" si="108"/>
        <v>224.52787503629855</v>
      </c>
      <c r="IP43">
        <f t="shared" si="109"/>
        <v>0</v>
      </c>
      <c r="IQ43">
        <f t="shared" si="110"/>
        <v>3.1210122828646862</v>
      </c>
      <c r="IR43">
        <f t="shared" si="111"/>
        <v>10.648967874028408</v>
      </c>
      <c r="IS43">
        <f t="shared" si="112"/>
        <v>18.291968476232654</v>
      </c>
      <c r="IT43">
        <f t="shared" si="113"/>
        <v>12.204358410389824</v>
      </c>
      <c r="IU43">
        <f t="shared" si="114"/>
        <v>133.90589903921975</v>
      </c>
      <c r="IV43">
        <f t="shared" si="115"/>
        <v>6.8929797347359818</v>
      </c>
      <c r="IW43">
        <f t="shared" si="116"/>
        <v>11.885517943076426</v>
      </c>
      <c r="IX43">
        <f t="shared" si="117"/>
        <v>27.577171275750825</v>
      </c>
    </row>
    <row r="44" spans="1:258">
      <c r="A44" s="39" t="str">
        <f>Basicinfo!A44</f>
        <v>Kleine Gusen</v>
      </c>
      <c r="B44" s="63">
        <f>Basicinfo!B44</f>
        <v>1360</v>
      </c>
      <c r="C44" s="63">
        <f>Basicinfo!C44</f>
        <v>1370</v>
      </c>
      <c r="D44" s="130">
        <f>Basicinfo!G44</f>
        <v>112.128344822</v>
      </c>
      <c r="E44" s="87">
        <f t="shared" si="118"/>
        <v>0.93456274867830103</v>
      </c>
      <c r="F44" s="19">
        <f>Intermediate!AR44</f>
        <v>1.2572466896110402E-3</v>
      </c>
      <c r="G44" s="19">
        <f>Intermediate!AU44</f>
        <v>0.14503178616790019</v>
      </c>
      <c r="H44" s="19">
        <f>Intermediate!AW44</f>
        <v>0</v>
      </c>
      <c r="I44" s="19">
        <f>Intermediate!AZ44</f>
        <v>4.4843298512411568E-2</v>
      </c>
      <c r="J44" s="19">
        <f>Intermediate!BA44</f>
        <v>0.71400491924915754</v>
      </c>
      <c r="K44" s="19">
        <f>Intermediate!AC44</f>
        <v>4.2470782293598979E-3</v>
      </c>
      <c r="L44" s="19">
        <f>Intermediate!AO44</f>
        <v>4.690982043790609E-3</v>
      </c>
      <c r="M44" s="19">
        <f>Intermediate!AP44</f>
        <v>5.5480985652854708E-3</v>
      </c>
      <c r="N44" s="19">
        <f t="shared" si="119"/>
        <v>0.91962340945751631</v>
      </c>
      <c r="O44" s="19">
        <f>Basicinfo!CB44+Basicinfo!CG44</f>
        <v>1.4939339220784711E-2</v>
      </c>
      <c r="P44" s="56">
        <f>Intermediate!BK44-Intermediate!BI44</f>
        <v>398.90478857755136</v>
      </c>
      <c r="Q44" s="43">
        <f>Intermediate!BI44</f>
        <v>562.49910704569811</v>
      </c>
      <c r="R44" s="88">
        <f t="shared" si="134"/>
        <v>961.40389562324947</v>
      </c>
      <c r="S44" s="61">
        <f>Intermediate!F44*Intermediate!BO44/1000</f>
        <v>0.43087135998619508</v>
      </c>
      <c r="T44" s="19">
        <f>Intermediate!BU44*Intermediate!AU44*86.4*0.365</f>
        <v>8.0620335631425455</v>
      </c>
      <c r="U44" s="19">
        <f>Intermediate!AW44*Intermediate!BS44*0.365*86.4</f>
        <v>0</v>
      </c>
      <c r="V44" s="19">
        <f>(Basicinfo!BL44/1000000)*(Intermediate!BK44-Intermediate!BF44-Intermediate!BG44-Intermediate!BH44)*Intermediate!CV44</f>
        <v>2.2296032602509972</v>
      </c>
      <c r="W44" s="19">
        <f>Intermediate!BI44*Parameters!$C$51/1000000</f>
        <v>1.4062477676142453E-2</v>
      </c>
      <c r="X44" s="19">
        <f>Intermediate!AZ44*Intermediate!CG44*86.4*0.365</f>
        <v>22.187789521303237</v>
      </c>
      <c r="Y44" s="19">
        <f>Intermediate!CM44*Intermediate!BA44*86.4*0.365+Parameters!$C$126*Intermediate!BB44*Basicinfo!P44/1000+Parameters!$C$127*Intermediate!BB44*Basicinfo!S44/1000</f>
        <v>67.153054198973805</v>
      </c>
      <c r="Z44" s="19">
        <f>Intermediate!DG44</f>
        <v>0.39227827656718517</v>
      </c>
      <c r="AA44" s="19">
        <f>Intermediate!DI44</f>
        <v>1.0806576788664159</v>
      </c>
      <c r="AB44" s="19">
        <f>Intermediate!DK44</f>
        <v>1.0329203124876847</v>
      </c>
      <c r="AC44" s="19">
        <f t="shared" si="120"/>
        <v>102.5832706492542</v>
      </c>
      <c r="AD44" s="19">
        <f>Basicinfo!CC44+Basicinfo!CE44+Basicinfo!CH44+Basicinfo!CJ44</f>
        <v>1.5047051833333334</v>
      </c>
      <c r="AE44" s="87">
        <f t="shared" si="135"/>
        <v>104.08797583258753</v>
      </c>
      <c r="AF44" s="56">
        <f>Intermediate!F44*Basicinfo!BD44/1000</f>
        <v>1.0985131641482859E-2</v>
      </c>
      <c r="AG44" s="43">
        <f>Intermediate!CA44*Intermediate!AU44*86.4*0.365</f>
        <v>0.1436541286716988</v>
      </c>
      <c r="AH44" s="43">
        <f>Intermediate!AW44*Intermediate!BZ44*0.365*86.4</f>
        <v>0</v>
      </c>
      <c r="AI44" s="43">
        <f>(Intermediate!CU44/1000000)*(Intermediate!BK44-Intermediate!BF44-Intermediate!BG44-Intermediate!BH44)*Intermediate!CW44</f>
        <v>1.3304984398210502</v>
      </c>
      <c r="AJ44" s="43">
        <f>Intermediate!BF44*Parameters!$C$52/1000000+(Intermediate!BG44+Intermediate!BH44)*Intermediate!CX44/1000000</f>
        <v>0.25312459817056415</v>
      </c>
      <c r="AK44" s="43">
        <f>Intermediate!AZ44*Intermediate!CH44*86.4*0.365</f>
        <v>0.25699533118454815</v>
      </c>
      <c r="AL44" s="58">
        <f>Intermediate!CR44*Intermediate!BA44*86.4*0.365</f>
        <v>2.5744251204809072</v>
      </c>
      <c r="AM44" s="43">
        <f>Intermediate!DH44</f>
        <v>0.1049747999556358</v>
      </c>
      <c r="AN44" s="42">
        <f>Intermediate!DJ44</f>
        <v>0.21902855791552664</v>
      </c>
      <c r="AO44" s="42">
        <f>Intermediate!DL44</f>
        <v>0.16295509596363411</v>
      </c>
      <c r="AP44" s="42">
        <f t="shared" si="122"/>
        <v>5.0566412038050483</v>
      </c>
      <c r="AQ44" s="43">
        <f>Basicinfo!CD44+Basicinfo!CF44+Basicinfo!CI44+Basicinfo!CK44</f>
        <v>0.33442466666666665</v>
      </c>
      <c r="AR44" s="83">
        <f t="shared" si="136"/>
        <v>5.3910658704717154</v>
      </c>
      <c r="AS44" s="19">
        <f>F44*86400*365/(Basicinfo!G44*1000000)*1000</f>
        <v>0.35359954404494676</v>
      </c>
      <c r="AT44" s="19">
        <f>G44*86400*365/(Basicinfo!G44*1000000)*1000</f>
        <v>40.790064419942453</v>
      </c>
      <c r="AU44" s="19">
        <f>H44*86400*365/(Basicinfo!G44*1000000)*1000</f>
        <v>0</v>
      </c>
      <c r="AV44" s="19">
        <f>I44*86400*365/(Basicinfo!G44*1000000)*1000</f>
        <v>12.612138921094145</v>
      </c>
      <c r="AW44" s="19">
        <f>J44*86400*365/(Basicinfo!G44*1000000)*1000</f>
        <v>200.81326598717027</v>
      </c>
      <c r="AX44" s="53">
        <f>K44*86400*365/(Basicinfo!G44*1000000)*1000</f>
        <v>1.1944870786571624</v>
      </c>
      <c r="AY44" s="53">
        <f>L44*86400*365/(Basicinfo!G44*1000000)*1000</f>
        <v>1.3193346425279195</v>
      </c>
      <c r="AZ44" s="53">
        <f>M44*86400*365/(Basicinfo!G44*1000000)*1000</f>
        <v>1.5603979228677052</v>
      </c>
      <c r="BA44" s="19">
        <f t="shared" si="123"/>
        <v>258.64328851630461</v>
      </c>
      <c r="BB44" s="19">
        <f>O44*86400*365/(Basicinfo!G44*1000000)*1000</f>
        <v>4.2016762346270697</v>
      </c>
      <c r="BC44" s="53">
        <f t="shared" si="137"/>
        <v>262.84496475093169</v>
      </c>
      <c r="BD44" s="56">
        <f>P44/(Basicinfo!G44*100)*1000</f>
        <v>35.57573147189494</v>
      </c>
      <c r="BE44" s="43">
        <f>Q44/(Basicinfo!G44*100)*1000</f>
        <v>50.165647940192699</v>
      </c>
      <c r="BF44" s="58">
        <f t="shared" si="138"/>
        <v>85.741379412087639</v>
      </c>
      <c r="BG44" s="61">
        <f>S44/(Basicinfo!G44*100)*1000000</f>
        <v>38.426622694751181</v>
      </c>
      <c r="BH44" s="19">
        <f>T44/(Basicinfo!G44*100)*1000000</f>
        <v>719.0004967914897</v>
      </c>
      <c r="BI44" s="19">
        <f>U44/(Basicinfo!G44*100)*1000000</f>
        <v>0</v>
      </c>
      <c r="BJ44" s="19">
        <f>V44/(Basicinfo!G44*100)*1000000</f>
        <v>198.84385734850702</v>
      </c>
      <c r="BK44" s="19">
        <f>W44/(Basicinfo!G44*100)*1000000</f>
        <v>1.2541411985048176</v>
      </c>
      <c r="BL44" s="19">
        <f>X44/(Basicinfo!G44*100)*1000000</f>
        <v>1978.785074953671</v>
      </c>
      <c r="BM44" s="19">
        <f>Y44/(Basicinfo!G44*100)*1000000</f>
        <v>5988.9454629493584</v>
      </c>
      <c r="BN44" s="53">
        <f>Z44/(Basicinfo!G44*100)*1000000</f>
        <v>34.984755834032313</v>
      </c>
      <c r="BO44" s="53">
        <f>AA44/(Basicinfo!G44*100)*1000000</f>
        <v>96.376851061337248</v>
      </c>
      <c r="BP44" s="53">
        <f>AB44/(Basicinfo!G44*100)*1000000</f>
        <v>92.119464897783985</v>
      </c>
      <c r="BQ44" s="19">
        <f t="shared" si="125"/>
        <v>9148.7367277294343</v>
      </c>
      <c r="BR44" s="19">
        <f>AD44/(Basicinfo!G44*100)*1000000</f>
        <v>134.19489833030198</v>
      </c>
      <c r="BS44" s="53">
        <f t="shared" si="139"/>
        <v>9282.931626059737</v>
      </c>
      <c r="BT44" s="56">
        <f>AF44/(Basicinfo!G44*100)*1000000</f>
        <v>0.9796926601316901</v>
      </c>
      <c r="BU44" s="43">
        <f>AG44/(Basicinfo!G44*100)*1000000</f>
        <v>12.811580238676038</v>
      </c>
      <c r="BV44" s="43">
        <f>AH44/(Basicinfo!G44*100)*1000000</f>
        <v>0</v>
      </c>
      <c r="BW44" s="43">
        <f>AI44/(Basicinfo!G44*100)*1000000</f>
        <v>118.65852848654566</v>
      </c>
      <c r="BX44" s="43">
        <f>AJ44/(Basicinfo!G44*100)*1000000</f>
        <v>22.574541573086716</v>
      </c>
      <c r="BY44" s="58">
        <f>AK44/(Basicinfo!G44*100)*1000000</f>
        <v>22.919747151580598</v>
      </c>
      <c r="BZ44" s="58">
        <f>AL44/(Basicinfo!G44*100)*1000000</f>
        <v>229.59628313141704</v>
      </c>
      <c r="CA44" s="58">
        <f>AM44/(Basicinfo!G44*100)*1000000</f>
        <v>9.3620217191540451</v>
      </c>
      <c r="CB44" s="58">
        <f>AN44/(Basicinfo!G44*100)*1000000</f>
        <v>19.533736831951561</v>
      </c>
      <c r="CC44" s="58">
        <f>AO44/(Basicinfo!G44*100)*1000000</f>
        <v>14.532908358035595</v>
      </c>
      <c r="CD44" s="58">
        <f t="shared" si="126"/>
        <v>450.96904015057891</v>
      </c>
      <c r="CE44" s="58">
        <f>AQ44/(Basicinfo!G44*100)*1000000</f>
        <v>29.825167507605201</v>
      </c>
      <c r="CF44" s="43">
        <f t="shared" si="140"/>
        <v>480.79420765818412</v>
      </c>
      <c r="CG44" s="84"/>
      <c r="CH44" s="84">
        <f t="shared" si="8"/>
        <v>1.5047051833333334</v>
      </c>
      <c r="CI44" s="146">
        <f t="shared" si="9"/>
        <v>2.5058562679212857</v>
      </c>
      <c r="CJ44" s="200">
        <f>Intermediate!EW44+Intermediate!EY44+Intermediate!FD44</f>
        <v>7.8873213486567497</v>
      </c>
      <c r="CK44" s="180">
        <f>Intermediate!FA44+Intermediate!FF44</f>
        <v>6.0178942215830915</v>
      </c>
      <c r="CL44" s="180">
        <f t="shared" si="141"/>
        <v>22.187789521303237</v>
      </c>
      <c r="CM44" s="180">
        <f t="shared" si="142"/>
        <v>44.690119961837262</v>
      </c>
      <c r="CN44" s="202">
        <f>Intermediate!EX44+Intermediate!EZ44+Intermediate!FE44</f>
        <v>5.2852862015338147</v>
      </c>
      <c r="CO44" s="180">
        <f>Intermediate!FB44+Intermediate!FG44</f>
        <v>4.0486406939617572</v>
      </c>
      <c r="CP44" s="213">
        <f>Intermediate!EP44+Intermediate!EQ44+Intermediate!ER44+Intermediate!ES44+Intermediate!ET44+Intermediate!EU44+Intermediate!EV44+W44</f>
        <v>9.9603624324570017</v>
      </c>
      <c r="CQ44" s="212">
        <f t="shared" si="12"/>
        <v>9.3339268954955728</v>
      </c>
      <c r="CR44" s="212">
        <f t="shared" si="13"/>
        <v>80.783125053380331</v>
      </c>
      <c r="CS44" s="211">
        <f t="shared" si="143"/>
        <v>1.8969834599005186</v>
      </c>
      <c r="CT44" s="212">
        <f t="shared" si="15"/>
        <v>101.97439784123343</v>
      </c>
      <c r="CU44" s="84"/>
      <c r="CV44" s="31">
        <f t="shared" si="16"/>
        <v>104.08797583258753</v>
      </c>
      <c r="CW44" s="31">
        <f>CH44/Basicinfo!$G44*1000/100</f>
        <v>0.13419489833030199</v>
      </c>
      <c r="CX44" s="31">
        <f>CI44/Basicinfo!$G44*1000/100</f>
        <v>0.22348107179315352</v>
      </c>
      <c r="CY44" s="31">
        <f>CS44/Basicinfo!$G44*1000/100</f>
        <v>0.16917965416433428</v>
      </c>
      <c r="CZ44" s="31">
        <f>CN44/Basicinfo!$G44*1000/100</f>
        <v>0.47136040489351999</v>
      </c>
      <c r="DA44" s="31">
        <f>CO44/Basicinfo!$G44*1000/100</f>
        <v>0.36107201086298374</v>
      </c>
      <c r="DB44" s="31">
        <f>CQ44/Basicinfo!$G44*1000/100</f>
        <v>0.83243241575650384</v>
      </c>
      <c r="DC44" s="31">
        <f>CJ44/Basicinfo!$G44*1000/100</f>
        <v>0.70341904726923488</v>
      </c>
      <c r="DD44" s="31">
        <f>CK44/Basicinfo!$G44*1000/100</f>
        <v>0.53669696374599107</v>
      </c>
      <c r="DE44" s="31">
        <f>CM44/Basicinfo!$G44*1000/100</f>
        <v>3.9856220149134756</v>
      </c>
      <c r="DF44" s="31">
        <f>CR44/Basicinfo!$G44*1000/100</f>
        <v>7.2045231008823718</v>
      </c>
      <c r="DG44" s="31">
        <f>CP44/Basicinfo!$G44*1000/100</f>
        <v>0.88830013929740459</v>
      </c>
      <c r="DH44" s="31">
        <f>CT44/Basicinfo!$G44*1000/100</f>
        <v>9.0944353101006143</v>
      </c>
      <c r="DI44" s="31">
        <f>CV44/Basicinfo!$G44*1000/100</f>
        <v>9.282931626059737</v>
      </c>
      <c r="DJ44" s="31"/>
      <c r="DK44" s="188">
        <f t="shared" si="17"/>
        <v>1.4755715308817492</v>
      </c>
      <c r="DL44" s="188">
        <f t="shared" si="18"/>
        <v>2.457338627115718</v>
      </c>
      <c r="DM44" s="188">
        <f t="shared" si="19"/>
        <v>1.8602546325931546</v>
      </c>
      <c r="DN44" s="188">
        <f t="shared" si="20"/>
        <v>5.1829540682972342</v>
      </c>
      <c r="DO44" s="188">
        <f t="shared" si="21"/>
        <v>3.9702521217778508</v>
      </c>
      <c r="DP44" s="188">
        <f t="shared" si="22"/>
        <v>9.1532061900750854</v>
      </c>
      <c r="DQ44" s="188">
        <f t="shared" si="23"/>
        <v>7.7346093878747135</v>
      </c>
      <c r="DR44" s="188">
        <f t="shared" si="24"/>
        <v>5.9013775506206043</v>
      </c>
      <c r="DS44" s="188">
        <f t="shared" si="25"/>
        <v>43.824843203699487</v>
      </c>
      <c r="DT44" s="188">
        <f t="shared" si="26"/>
        <v>79.219026308106933</v>
      </c>
      <c r="DU44" s="188">
        <f t="shared" si="27"/>
        <v>9.7675128692248308</v>
      </c>
      <c r="DV44" s="188">
        <f t="shared" si="28"/>
        <v>100</v>
      </c>
      <c r="DW44" s="188">
        <f t="shared" si="29"/>
        <v>102.07265552540431</v>
      </c>
      <c r="DY44" s="181">
        <f t="shared" si="30"/>
        <v>0.33442466666666665</v>
      </c>
      <c r="DZ44" s="181">
        <f t="shared" si="127"/>
        <v>0.48695845383479652</v>
      </c>
      <c r="EA44" s="185">
        <f t="shared" si="31"/>
        <v>0.25699533118454815</v>
      </c>
      <c r="EB44" s="185">
        <f>AG44+AH44+AL44-Intermediate!FJ44-Intermediate!FM44</f>
        <v>2.5857922575107897</v>
      </c>
      <c r="EC44" s="185">
        <f>AI44+AJ44-Intermediate!FK44</f>
        <v>1.2568913190778992</v>
      </c>
      <c r="ED44" s="240">
        <f t="shared" si="32"/>
        <v>1.0985131641482859E-2</v>
      </c>
      <c r="EE44" s="240">
        <f>Intermediate!FJ44+Intermediate!FK44+Intermediate!FM44</f>
        <v>0.45901871055553167</v>
      </c>
      <c r="EF44" s="240">
        <f t="shared" si="33"/>
        <v>4.099678907773237</v>
      </c>
      <c r="EG44" s="240">
        <f t="shared" si="34"/>
        <v>0.82138312050146323</v>
      </c>
      <c r="EH44" s="240">
        <f t="shared" si="35"/>
        <v>5.3910658704717154</v>
      </c>
      <c r="EI44" s="181">
        <f t="shared" si="36"/>
        <v>5.3910658704717154</v>
      </c>
      <c r="EK44" s="31">
        <f>DY44/Basicinfo!$G44*1000/100</f>
        <v>2.9825167507605204E-2</v>
      </c>
      <c r="EL44" s="31">
        <f>DZ44/Basicinfo!$G44*1000/100</f>
        <v>4.3428666909141204E-2</v>
      </c>
      <c r="EM44" s="220">
        <f>EG44/Basicinfo!$G44*1000/100</f>
        <v>7.3253834416746419E-2</v>
      </c>
      <c r="EN44" s="220">
        <f>ED44/Basicinfo!$G44*1000/100</f>
        <v>9.7969266013168987E-4</v>
      </c>
      <c r="EO44" s="220">
        <f>EF44/Basicinfo!$G44*1000/100</f>
        <v>0.36562377820535391</v>
      </c>
      <c r="EP44" s="220">
        <f>EE44/Basicinfo!$G44*1000/100</f>
        <v>4.0936902375952176E-2</v>
      </c>
      <c r="EQ44" s="220">
        <f>EH44/Basicinfo!$G44*1000/100</f>
        <v>0.4807942076581842</v>
      </c>
      <c r="ER44" s="31">
        <f>EI44/Basicinfo!$G44*1000/100</f>
        <v>0.4807942076581842</v>
      </c>
      <c r="ET44" s="188">
        <f t="shared" si="37"/>
        <v>6.2033125675276652</v>
      </c>
      <c r="EU44" s="188">
        <f t="shared" si="38"/>
        <v>9.0326934512523032</v>
      </c>
      <c r="EV44" s="223">
        <f t="shared" si="39"/>
        <v>15.236006018779971</v>
      </c>
      <c r="EW44" s="223">
        <f t="shared" si="40"/>
        <v>0.20376548729725807</v>
      </c>
      <c r="EX44" s="223">
        <f t="shared" si="41"/>
        <v>76.045795140961943</v>
      </c>
      <c r="EY44" s="223">
        <f t="shared" si="42"/>
        <v>8.5144333529608272</v>
      </c>
      <c r="EZ44" s="223">
        <f t="shared" si="43"/>
        <v>100</v>
      </c>
      <c r="FA44" s="188">
        <f t="shared" si="44"/>
        <v>100</v>
      </c>
      <c r="FC44" s="236"/>
      <c r="FD44" s="181">
        <f>IF((Intermediate!CL44+Intermediate!CM44*3)/4&gt;11,(Intermediate!CL44+Intermediate!CM44*9)/10,(Intermediate!CL44+Intermediate!CM44*3)/4)</f>
        <v>4.8373078874110798</v>
      </c>
      <c r="FF44" s="31">
        <f t="shared" si="45"/>
        <v>1.0985131641482859E-2</v>
      </c>
      <c r="FG44" s="31">
        <f t="shared" si="46"/>
        <v>0.1436541286716988</v>
      </c>
      <c r="FH44" s="31">
        <f t="shared" si="47"/>
        <v>0</v>
      </c>
      <c r="FI44" s="31">
        <f>(AI44-(P44*450/1000000))*Parameters!$C$153</f>
        <v>0.92079302796892171</v>
      </c>
      <c r="FJ44" s="31"/>
      <c r="FK44" s="31">
        <f t="shared" si="48"/>
        <v>0.25699533118454815</v>
      </c>
      <c r="FL44" s="31">
        <f t="shared" si="49"/>
        <v>2.5744251204809072</v>
      </c>
      <c r="FM44" s="31">
        <f>AM44*Parameters!$C$154</f>
        <v>9.447731996007222E-2</v>
      </c>
      <c r="FN44" s="31">
        <f>AN44*Parameters!$C$154</f>
        <v>0.19712570212397398</v>
      </c>
      <c r="FO44" s="31">
        <f>AO44*Parameters!$C$154</f>
        <v>0.14665958636727069</v>
      </c>
      <c r="FP44" s="31">
        <f>AQ44*Parameters!$C$155</f>
        <v>0.33442466666666665</v>
      </c>
      <c r="FQ44" s="31">
        <f t="shared" si="50"/>
        <v>4.6795400150655428</v>
      </c>
      <c r="FS44" s="147">
        <f>DY44*Parameters!$C$155</f>
        <v>0.33442466666666665</v>
      </c>
      <c r="FT44" s="147">
        <f>DZ44*Parameters!$C$154</f>
        <v>0.43826260845131687</v>
      </c>
      <c r="FU44" s="181">
        <f t="shared" si="51"/>
        <v>0.25699533118454815</v>
      </c>
      <c r="FV44" s="181">
        <f t="shared" si="52"/>
        <v>2.5857922575107897</v>
      </c>
      <c r="FW44" s="31">
        <f t="shared" si="53"/>
        <v>0.92079302796892193</v>
      </c>
      <c r="FX44" s="181">
        <f t="shared" si="54"/>
        <v>1.0985131641482859E-2</v>
      </c>
      <c r="FY44" s="147">
        <f>Intermediate!FJ44+Intermediate!FM44</f>
        <v>0.13228699164181643</v>
      </c>
      <c r="FZ44" s="181">
        <f t="shared" si="55"/>
        <v>3.7635806166642598</v>
      </c>
      <c r="GA44" s="147">
        <f t="shared" si="56"/>
        <v>0.77268727511798352</v>
      </c>
      <c r="GB44" s="181">
        <f t="shared" si="57"/>
        <v>4.6795400150655428</v>
      </c>
      <c r="GD44" s="147">
        <f>IF('River loads'!CH44&gt;0.99,1,0)</f>
        <v>1</v>
      </c>
      <c r="GE44" s="147">
        <f t="shared" si="58"/>
        <v>1.0985131641482859E-2</v>
      </c>
      <c r="GF44" s="147">
        <f t="shared" si="59"/>
        <v>0.1436541286716988</v>
      </c>
      <c r="GG44" s="147">
        <f t="shared" si="60"/>
        <v>0</v>
      </c>
      <c r="GH44" s="147">
        <f t="shared" si="61"/>
        <v>1.3304984398210502</v>
      </c>
      <c r="GI44" s="147">
        <f t="shared" si="62"/>
        <v>0.25312459817056415</v>
      </c>
      <c r="GJ44" s="147">
        <f t="shared" si="63"/>
        <v>0.25699533118454815</v>
      </c>
      <c r="GK44" s="147">
        <f t="shared" si="64"/>
        <v>2.5744251204809072</v>
      </c>
      <c r="GL44" s="147">
        <f t="shared" si="65"/>
        <v>0.1049747999556358</v>
      </c>
      <c r="GM44" s="270">
        <f t="shared" si="128"/>
        <v>0.21902855791552664</v>
      </c>
      <c r="GN44" s="270">
        <f t="shared" si="129"/>
        <v>0.16295509596363411</v>
      </c>
      <c r="GO44" s="147">
        <f t="shared" si="66"/>
        <v>0.33442466666666665</v>
      </c>
      <c r="GP44" s="147">
        <f t="shared" si="67"/>
        <v>5.3910658704717154</v>
      </c>
      <c r="GQ44" s="147"/>
      <c r="GR44" s="147">
        <f t="shared" si="68"/>
        <v>1.0985131641482859E-2</v>
      </c>
      <c r="GS44" s="147">
        <f t="shared" si="69"/>
        <v>0.1436541286716988</v>
      </c>
      <c r="GT44" s="147">
        <f t="shared" si="70"/>
        <v>0</v>
      </c>
      <c r="GU44" s="147">
        <f t="shared" si="71"/>
        <v>0.92079302796892171</v>
      </c>
      <c r="GV44" s="147">
        <f t="shared" si="72"/>
        <v>0</v>
      </c>
      <c r="GW44" s="147">
        <f t="shared" si="73"/>
        <v>0.25699533118454815</v>
      </c>
      <c r="GX44" s="147">
        <f t="shared" si="74"/>
        <v>2.5744251204809072</v>
      </c>
      <c r="GY44" s="147">
        <f t="shared" si="75"/>
        <v>9.447731996007222E-2</v>
      </c>
      <c r="GZ44" s="147">
        <f t="shared" si="130"/>
        <v>0.19712570212397398</v>
      </c>
      <c r="HA44" s="147">
        <f t="shared" si="131"/>
        <v>0.14665958636727069</v>
      </c>
      <c r="HB44" s="147">
        <f t="shared" si="76"/>
        <v>0.33442466666666665</v>
      </c>
      <c r="HC44" s="147">
        <f t="shared" si="77"/>
        <v>4.6795400150655428</v>
      </c>
      <c r="HD44" s="147"/>
      <c r="HE44" s="147">
        <f t="shared" si="78"/>
        <v>0.33442466666666665</v>
      </c>
      <c r="HF44" s="147">
        <f t="shared" si="79"/>
        <v>0.48695845383479652</v>
      </c>
      <c r="HG44" s="147">
        <f t="shared" si="80"/>
        <v>0.25699533118454815</v>
      </c>
      <c r="HH44" s="147">
        <f t="shared" si="81"/>
        <v>2.5857922575107897</v>
      </c>
      <c r="HI44" s="147">
        <f t="shared" si="82"/>
        <v>1.2568913190778992</v>
      </c>
      <c r="HJ44" s="147">
        <f t="shared" si="83"/>
        <v>1.0985131641482859E-2</v>
      </c>
      <c r="HK44" s="147">
        <f t="shared" si="84"/>
        <v>0.45901871055553167</v>
      </c>
      <c r="HL44" s="147">
        <f t="shared" si="85"/>
        <v>4.099678907773237</v>
      </c>
      <c r="HM44" s="147">
        <f t="shared" si="86"/>
        <v>0.82138312050146323</v>
      </c>
      <c r="HN44" s="147">
        <f t="shared" si="87"/>
        <v>5.3910658704717154</v>
      </c>
      <c r="HO44" s="147">
        <f t="shared" si="88"/>
        <v>5.3910658704717154</v>
      </c>
      <c r="HQ44" s="147">
        <f t="shared" si="89"/>
        <v>0.33442466666666665</v>
      </c>
      <c r="HR44" s="147">
        <f t="shared" si="90"/>
        <v>0.43826260845131687</v>
      </c>
      <c r="HS44" s="147">
        <f t="shared" si="91"/>
        <v>0.25699533118454815</v>
      </c>
      <c r="HT44" s="147">
        <f t="shared" si="92"/>
        <v>2.5857922575107897</v>
      </c>
      <c r="HU44" s="147">
        <f t="shared" si="93"/>
        <v>0.92079302796892193</v>
      </c>
      <c r="HV44" s="147">
        <f t="shared" si="94"/>
        <v>1.0985131641482859E-2</v>
      </c>
      <c r="HW44" s="147">
        <f t="shared" si="95"/>
        <v>0.13228699164181643</v>
      </c>
      <c r="HX44" s="147">
        <f t="shared" si="96"/>
        <v>3.7635806166642598</v>
      </c>
      <c r="HY44" s="147">
        <f t="shared" si="97"/>
        <v>0.77268727511798352</v>
      </c>
      <c r="HZ44" s="147">
        <f t="shared" si="98"/>
        <v>4.6795400150655428</v>
      </c>
      <c r="IB44" s="147">
        <f>IF('River loads'!CI44&gt;0.99,1,0)</f>
        <v>0</v>
      </c>
      <c r="IC44">
        <f t="shared" si="144"/>
        <v>0</v>
      </c>
      <c r="ID44">
        <f t="shared" si="145"/>
        <v>0</v>
      </c>
      <c r="IE44">
        <f t="shared" si="146"/>
        <v>0</v>
      </c>
      <c r="IF44">
        <f t="shared" si="147"/>
        <v>0</v>
      </c>
      <c r="IG44">
        <f t="shared" si="148"/>
        <v>0</v>
      </c>
      <c r="IH44">
        <f t="shared" si="149"/>
        <v>0</v>
      </c>
      <c r="II44">
        <f t="shared" si="150"/>
        <v>0</v>
      </c>
      <c r="IJ44">
        <f t="shared" si="151"/>
        <v>0</v>
      </c>
      <c r="IK44">
        <f t="shared" si="132"/>
        <v>0</v>
      </c>
      <c r="IL44">
        <f t="shared" si="133"/>
        <v>0</v>
      </c>
      <c r="IM44">
        <f t="shared" si="107"/>
        <v>0</v>
      </c>
      <c r="IN44">
        <f t="shared" si="108"/>
        <v>0</v>
      </c>
      <c r="IP44">
        <f t="shared" si="109"/>
        <v>0</v>
      </c>
      <c r="IQ44">
        <f t="shared" si="110"/>
        <v>0</v>
      </c>
      <c r="IR44">
        <f t="shared" si="111"/>
        <v>0</v>
      </c>
      <c r="IS44">
        <f t="shared" si="112"/>
        <v>0</v>
      </c>
      <c r="IT44">
        <f t="shared" si="113"/>
        <v>0</v>
      </c>
      <c r="IU44">
        <f t="shared" si="114"/>
        <v>0</v>
      </c>
      <c r="IV44">
        <f t="shared" si="115"/>
        <v>0</v>
      </c>
      <c r="IW44">
        <f t="shared" si="116"/>
        <v>0</v>
      </c>
      <c r="IX44">
        <f t="shared" si="117"/>
        <v>0</v>
      </c>
    </row>
    <row r="45" spans="1:258">
      <c r="A45" s="39" t="str">
        <f>Basicinfo!A45</f>
        <v>Große Gusen</v>
      </c>
      <c r="B45" s="63">
        <f>Basicinfo!B45</f>
        <v>1370</v>
      </c>
      <c r="C45" s="63">
        <f>Basicinfo!C45</f>
        <v>1380</v>
      </c>
      <c r="D45" s="130">
        <f>Basicinfo!G45</f>
        <v>111.068137202</v>
      </c>
      <c r="E45" s="87">
        <f t="shared" si="118"/>
        <v>1.1167006998739899</v>
      </c>
      <c r="F45" s="19">
        <f>Intermediate!AR45</f>
        <v>3.2554926414276007E-3</v>
      </c>
      <c r="G45" s="19">
        <f>Intermediate!AU45</f>
        <v>0.16597891675153933</v>
      </c>
      <c r="H45" s="19">
        <f>Intermediate!AW45</f>
        <v>0</v>
      </c>
      <c r="I45" s="19">
        <f>Intermediate!AZ45</f>
        <v>4.0944848776202497E-2</v>
      </c>
      <c r="J45" s="19">
        <f>Intermediate!BA45</f>
        <v>0.80736280230274637</v>
      </c>
      <c r="K45" s="19">
        <f>Intermediate!AC45</f>
        <v>6.5962255463692353E-3</v>
      </c>
      <c r="L45" s="19">
        <f>Intermediate!AO45</f>
        <v>7.3816052521340023E-3</v>
      </c>
      <c r="M45" s="19">
        <f>Intermediate!AP45</f>
        <v>7.9591133980914646E-3</v>
      </c>
      <c r="N45" s="19">
        <f t="shared" si="119"/>
        <v>1.0394790046685105</v>
      </c>
      <c r="O45" s="19">
        <f>Basicinfo!CB45+Basicinfo!CG45</f>
        <v>7.7221695205479446E-2</v>
      </c>
      <c r="P45" s="56">
        <f>Intermediate!BK45-Intermediate!BI45</f>
        <v>444.55783278742945</v>
      </c>
      <c r="Q45" s="43">
        <f>Intermediate!BI45</f>
        <v>563.47558302192112</v>
      </c>
      <c r="R45" s="88">
        <f t="shared" si="134"/>
        <v>1008.0334158093506</v>
      </c>
      <c r="S45" s="61">
        <f>Intermediate!F45*Intermediate!BO45/1000</f>
        <v>0.59245795427675396</v>
      </c>
      <c r="T45" s="19">
        <f>Intermediate!BU45*Intermediate!AU45*86.4*0.365</f>
        <v>8.2371666521668807</v>
      </c>
      <c r="U45" s="19">
        <f>Intermediate!AW45*Intermediate!BS45*0.365*86.4</f>
        <v>0</v>
      </c>
      <c r="V45" s="19">
        <f>(Basicinfo!BL45/1000000)*(Intermediate!BK45-Intermediate!BF45-Intermediate!BG45-Intermediate!BH45)*Intermediate!CV45</f>
        <v>3.3740627403201948</v>
      </c>
      <c r="W45" s="19">
        <f>Intermediate!BI45*Parameters!$C$51/1000000</f>
        <v>1.4086889575548028E-2</v>
      </c>
      <c r="X45" s="19">
        <f>Intermediate!AZ45*Intermediate!CG45*86.4*0.365</f>
        <v>17.251274178047328</v>
      </c>
      <c r="Y45" s="19">
        <f>Intermediate!CM45*Intermediate!BA45*86.4*0.365+Parameters!$C$126*Intermediate!BB45*Basicinfo!P45/1000+Parameters!$C$127*Intermediate!BB45*Basicinfo!S45/1000</f>
        <v>66.479139453041967</v>
      </c>
      <c r="Z45" s="19">
        <f>Intermediate!DG45</f>
        <v>0.53058327834828267</v>
      </c>
      <c r="AA45" s="19">
        <f>Intermediate!DI45</f>
        <v>1.8411428912955614</v>
      </c>
      <c r="AB45" s="19">
        <f>Intermediate!DK45</f>
        <v>1.4503252120031973</v>
      </c>
      <c r="AC45" s="19">
        <f t="shared" si="120"/>
        <v>99.770239249075715</v>
      </c>
      <c r="AD45" s="19">
        <f>Basicinfo!CC45+Basicinfo!CE45+Basicinfo!CH45+Basicinfo!CJ45</f>
        <v>19.331766666666667</v>
      </c>
      <c r="AE45" s="87">
        <f t="shared" si="135"/>
        <v>119.10200591574238</v>
      </c>
      <c r="AF45" s="56">
        <f>Intermediate!F45*Basicinfo!BD45/1000</f>
        <v>1.5249888338442926E-2</v>
      </c>
      <c r="AG45" s="43">
        <f>Intermediate!CA45*Intermediate!AU45*86.4*0.365</f>
        <v>0.16336788063565902</v>
      </c>
      <c r="AH45" s="43">
        <f>Intermediate!AW45*Intermediate!BZ45*0.365*86.4</f>
        <v>0</v>
      </c>
      <c r="AI45" s="43">
        <f>(Intermediate!CU45/1000000)*(Intermediate!BK45-Intermediate!BF45-Intermediate!BG45-Intermediate!BH45)*Intermediate!CW45</f>
        <v>1.447226276314316</v>
      </c>
      <c r="AJ45" s="43">
        <f>Intermediate!BF45*Parameters!$C$52/1000000+(Intermediate!BG45+Intermediate!BH45)*Intermediate!CX45/1000000</f>
        <v>0.25356401235986453</v>
      </c>
      <c r="AK45" s="43">
        <f>Intermediate!AZ45*Intermediate!CH45*86.4*0.365</f>
        <v>0.21965867853025522</v>
      </c>
      <c r="AL45" s="58">
        <f>Intermediate!CR45*Intermediate!BA45*86.4*0.365</f>
        <v>2.7823194808036535</v>
      </c>
      <c r="AM45" s="43">
        <f>Intermediate!DH45</f>
        <v>0.13782161566326689</v>
      </c>
      <c r="AN45" s="42">
        <f>Intermediate!DJ45</f>
        <v>0.35370270026691203</v>
      </c>
      <c r="AO45" s="42">
        <f>Intermediate!DL45</f>
        <v>0.22377117355446929</v>
      </c>
      <c r="AP45" s="42">
        <f t="shared" si="122"/>
        <v>5.5966817064668399</v>
      </c>
      <c r="AQ45" s="43">
        <f>Basicinfo!CD45+Basicinfo!CF45+Basicinfo!CI45+Basicinfo!CK45</f>
        <v>1.4558059999999999</v>
      </c>
      <c r="AR45" s="83">
        <f t="shared" si="136"/>
        <v>7.0524877064668399</v>
      </c>
      <c r="AS45" s="19">
        <f>F45*86400*365/(Basicinfo!G45*1000000)*1000</f>
        <v>0.9243444477090963</v>
      </c>
      <c r="AT45" s="19">
        <f>G45*86400*365/(Basicinfo!G45*1000000)*1000</f>
        <v>47.127027161326069</v>
      </c>
      <c r="AU45" s="19">
        <f>H45*86400*365/(Basicinfo!G45*1000000)*1000</f>
        <v>0</v>
      </c>
      <c r="AV45" s="19">
        <f>I45*86400*365/(Basicinfo!G45*1000000)*1000</f>
        <v>11.625627146856216</v>
      </c>
      <c r="AW45" s="19">
        <f>J45*86400*365/(Basicinfo!G45*1000000)*1000</f>
        <v>229.23760112329435</v>
      </c>
      <c r="AX45" s="53">
        <f>K45*86400*365/(Basicinfo!G45*1000000)*1000</f>
        <v>1.8728914886901913</v>
      </c>
      <c r="AY45" s="53">
        <f>L45*86400*365/(Basicinfo!G45*1000000)*1000</f>
        <v>2.0958873453322502</v>
      </c>
      <c r="AZ45" s="53">
        <f>M45*86400*365/(Basicinfo!G45*1000000)*1000</f>
        <v>2.2598614368198184</v>
      </c>
      <c r="BA45" s="19">
        <f t="shared" si="123"/>
        <v>295.14324015002796</v>
      </c>
      <c r="BB45" s="19">
        <f>O45*86400*365/(Basicinfo!G45*1000000)*1000</f>
        <v>21.92585057558837</v>
      </c>
      <c r="BC45" s="53">
        <f t="shared" si="137"/>
        <v>317.06909072561632</v>
      </c>
      <c r="BD45" s="56">
        <f>P45/(Basicinfo!G45*100)*1000</f>
        <v>40.0256854924028</v>
      </c>
      <c r="BE45" s="43">
        <f>Q45/(Basicinfo!G45*100)*1000</f>
        <v>50.732424007177343</v>
      </c>
      <c r="BF45" s="58">
        <f t="shared" si="138"/>
        <v>90.758109499580144</v>
      </c>
      <c r="BG45" s="61">
        <f>S45/(Basicinfo!G45*100)*1000000</f>
        <v>53.341846653937182</v>
      </c>
      <c r="BH45" s="19">
        <f>T45/(Basicinfo!G45*100)*1000000</f>
        <v>741.63183606707275</v>
      </c>
      <c r="BI45" s="19">
        <f>U45/(Basicinfo!G45*100)*1000000</f>
        <v>0</v>
      </c>
      <c r="BJ45" s="19">
        <f>V45/(Basicinfo!G45*100)*1000000</f>
        <v>303.78313937000451</v>
      </c>
      <c r="BK45" s="19">
        <f>W45/(Basicinfo!G45*100)*1000000</f>
        <v>1.2683106001794335</v>
      </c>
      <c r="BL45" s="19">
        <f>X45/(Basicinfo!G45*100)*1000000</f>
        <v>1553.2154056633162</v>
      </c>
      <c r="BM45" s="19">
        <f>Y45/(Basicinfo!G45*100)*1000000</f>
        <v>5985.4375096015274</v>
      </c>
      <c r="BN45" s="53">
        <f>Z45/(Basicinfo!G45*100)*1000000</f>
        <v>47.770971199715817</v>
      </c>
      <c r="BO45" s="53">
        <f>AA45/(Basicinfo!G45*100)*1000000</f>
        <v>165.76697311012506</v>
      </c>
      <c r="BP45" s="53">
        <f>AB45/(Basicinfo!G45*100)*1000000</f>
        <v>130.57977278987636</v>
      </c>
      <c r="BQ45" s="19">
        <f t="shared" si="125"/>
        <v>8982.7957650557546</v>
      </c>
      <c r="BR45" s="19">
        <f>AD45/(Basicinfo!G45*100)*1000000</f>
        <v>1740.5321772443087</v>
      </c>
      <c r="BS45" s="53">
        <f t="shared" si="139"/>
        <v>10723.327942300064</v>
      </c>
      <c r="BT45" s="56">
        <f>AF45/(Basicinfo!G45*100)*1000000</f>
        <v>1.3730209871718566</v>
      </c>
      <c r="BU45" s="43">
        <f>AG45/(Basicinfo!G45*100)*1000000</f>
        <v>14.708798108186626</v>
      </c>
      <c r="BV45" s="43">
        <f>AH45/(Basicinfo!G45*100)*1000000</f>
        <v>0</v>
      </c>
      <c r="BW45" s="43">
        <f>AI45/(Basicinfo!G45*100)*1000000</f>
        <v>130.30076066570206</v>
      </c>
      <c r="BX45" s="43">
        <f>AJ45/(Basicinfo!G45*100)*1000000</f>
        <v>22.829590803229806</v>
      </c>
      <c r="BY45" s="58">
        <f>AK45/(Basicinfo!G45*100)*1000000</f>
        <v>19.776930095690833</v>
      </c>
      <c r="BZ45" s="58">
        <f>AL45/(Basicinfo!G45*100)*1000000</f>
        <v>250.50564013182645</v>
      </c>
      <c r="CA45" s="58">
        <f>AM45/(Basicinfo!G45*100)*1000000</f>
        <v>12.408744680088606</v>
      </c>
      <c r="CB45" s="58">
        <f>AN45/(Basicinfo!G45*100)*1000000</f>
        <v>31.845559777745414</v>
      </c>
      <c r="CC45" s="58">
        <f>AO45/(Basicinfo!G45*100)*1000000</f>
        <v>20.14719785454724</v>
      </c>
      <c r="CD45" s="58">
        <f t="shared" si="126"/>
        <v>503.89624310418884</v>
      </c>
      <c r="CE45" s="58">
        <f>AQ45/(Basicinfo!G45*100)*1000000</f>
        <v>131.07323456342127</v>
      </c>
      <c r="CF45" s="43">
        <f t="shared" si="140"/>
        <v>634.96947766761014</v>
      </c>
      <c r="CG45" s="84"/>
      <c r="CH45" s="84">
        <f t="shared" si="8"/>
        <v>19.331766666666667</v>
      </c>
      <c r="CI45" s="146">
        <f t="shared" si="9"/>
        <v>3.8220513816470412</v>
      </c>
      <c r="CJ45" s="200">
        <f>Intermediate!EW45+Intermediate!EY45+Intermediate!FD45</f>
        <v>8.7578136995428153</v>
      </c>
      <c r="CK45" s="180">
        <f>Intermediate!FA45+Intermediate!FF45</f>
        <v>6.2294470619547075</v>
      </c>
      <c r="CL45" s="180">
        <f t="shared" si="141"/>
        <v>17.251274178047328</v>
      </c>
      <c r="CM45" s="180">
        <f t="shared" si="142"/>
        <v>43.351197751779878</v>
      </c>
      <c r="CN45" s="202">
        <f>Intermediate!EX45+Intermediate!EZ45+Intermediate!FE45</f>
        <v>5.8165316403972955</v>
      </c>
      <c r="CO45" s="180">
        <f>Intermediate!FB45+Intermediate!FG45</f>
        <v>4.1750567348193321</v>
      </c>
      <c r="CP45" s="213">
        <f>Intermediate!EP45+Intermediate!EQ45+Intermediate!ER45+Intermediate!ES45+Intermediate!ET45+Intermediate!EU45+Intermediate!EV45+W45</f>
        <v>10.366866800887305</v>
      </c>
      <c r="CQ45" s="212">
        <f t="shared" si="12"/>
        <v>9.9915883752166277</v>
      </c>
      <c r="CR45" s="212">
        <f t="shared" si="13"/>
        <v>75.589732691324727</v>
      </c>
      <c r="CS45" s="211">
        <f t="shared" si="143"/>
        <v>19.862349945014948</v>
      </c>
      <c r="CT45" s="212">
        <f t="shared" si="15"/>
        <v>115.81053781244361</v>
      </c>
      <c r="CU45" s="84"/>
      <c r="CV45" s="31">
        <f t="shared" si="16"/>
        <v>119.10200591574238</v>
      </c>
      <c r="CW45" s="31">
        <f>CH45/Basicinfo!$G45*1000/100</f>
        <v>1.7405321772443085</v>
      </c>
      <c r="CX45" s="31">
        <f>CI45/Basicinfo!$G45*1000/100</f>
        <v>0.34411771709971722</v>
      </c>
      <c r="CY45" s="31">
        <f>CS45/Basicinfo!$G45*1000/100</f>
        <v>1.7883031484440246</v>
      </c>
      <c r="CZ45" s="31">
        <f>CN45/Basicinfo!$G45*1000/100</f>
        <v>0.52369039284585728</v>
      </c>
      <c r="DA45" s="31">
        <f>CO45/Basicinfo!$G45*1000/100</f>
        <v>0.37590049135569303</v>
      </c>
      <c r="DB45" s="31">
        <f>CQ45/Basicinfo!$G45*1000/100</f>
        <v>0.89959088420155031</v>
      </c>
      <c r="DC45" s="31">
        <f>CJ45/Basicinfo!$G45*1000/100</f>
        <v>0.78850820047651904</v>
      </c>
      <c r="DD45" s="31">
        <f>CK45/Basicinfo!$G45*1000/100</f>
        <v>0.56086715946493193</v>
      </c>
      <c r="DE45" s="31">
        <f>CM45/Basicinfo!$G45*1000/100</f>
        <v>3.9031173875669589</v>
      </c>
      <c r="DF45" s="31">
        <f>CR45/Basicinfo!$G45*1000/100</f>
        <v>6.8057081531717252</v>
      </c>
      <c r="DG45" s="31">
        <f>CP45/Basicinfo!$G45*1000/100</f>
        <v>0.93337901058276029</v>
      </c>
      <c r="DH45" s="31">
        <f>CT45/Basicinfo!$G45*1000/100</f>
        <v>10.42698119640006</v>
      </c>
      <c r="DI45" s="31">
        <f>CV45/Basicinfo!$G45*1000/100</f>
        <v>10.723327942300063</v>
      </c>
      <c r="DJ45" s="31"/>
      <c r="DK45" s="188">
        <f t="shared" si="17"/>
        <v>16.692579994727826</v>
      </c>
      <c r="DL45" s="188">
        <f t="shared" si="18"/>
        <v>3.3002621815269464</v>
      </c>
      <c r="DM45" s="188">
        <f t="shared" si="19"/>
        <v>17.15072766278163</v>
      </c>
      <c r="DN45" s="188">
        <f t="shared" si="20"/>
        <v>5.0224545626558008</v>
      </c>
      <c r="DO45" s="188">
        <f t="shared" si="21"/>
        <v>3.6050749903095007</v>
      </c>
      <c r="DP45" s="188">
        <f t="shared" si="22"/>
        <v>8.6275295529653011</v>
      </c>
      <c r="DQ45" s="188">
        <f t="shared" si="23"/>
        <v>7.562190682272961</v>
      </c>
      <c r="DR45" s="188">
        <f t="shared" si="24"/>
        <v>5.3789984742522847</v>
      </c>
      <c r="DS45" s="188">
        <f t="shared" si="25"/>
        <v>37.432861094201634</v>
      </c>
      <c r="DT45" s="188">
        <f t="shared" si="26"/>
        <v>65.27016808586373</v>
      </c>
      <c r="DU45" s="188">
        <f t="shared" si="27"/>
        <v>8.9515746983893258</v>
      </c>
      <c r="DV45" s="188">
        <f t="shared" si="28"/>
        <v>100</v>
      </c>
      <c r="DW45" s="188">
        <f t="shared" si="29"/>
        <v>102.84211451347316</v>
      </c>
      <c r="DY45" s="181">
        <f t="shared" si="30"/>
        <v>1.4558059999999999</v>
      </c>
      <c r="DZ45" s="181">
        <f t="shared" si="127"/>
        <v>0.71529548948464816</v>
      </c>
      <c r="EA45" s="185">
        <f t="shared" si="31"/>
        <v>0.21965867853025522</v>
      </c>
      <c r="EB45" s="185">
        <f>AG45+AH45+AL45-Intermediate!FJ45-Intermediate!FM45</f>
        <v>2.7955030214731904</v>
      </c>
      <c r="EC45" s="185">
        <f>AI45+AJ45-Intermediate!FK45</f>
        <v>1.379009906014137</v>
      </c>
      <c r="ED45" s="240">
        <f t="shared" si="32"/>
        <v>1.5249888338442926E-2</v>
      </c>
      <c r="EE45" s="240">
        <f>Intermediate!FJ45+Intermediate!FK45+Intermediate!FM45</f>
        <v>0.47196472262616573</v>
      </c>
      <c r="EF45" s="240">
        <f t="shared" si="33"/>
        <v>4.3941716060175819</v>
      </c>
      <c r="EG45" s="240">
        <f t="shared" si="34"/>
        <v>2.1711014894846481</v>
      </c>
      <c r="EH45" s="240">
        <f t="shared" si="35"/>
        <v>7.052487706466839</v>
      </c>
      <c r="EI45" s="181">
        <f t="shared" si="36"/>
        <v>7.0524877064668399</v>
      </c>
      <c r="EK45" s="31">
        <f>DY45/Basicinfo!$G45*1000/100</f>
        <v>0.13107323456342124</v>
      </c>
      <c r="EL45" s="31">
        <f>DZ45/Basicinfo!$G45*1000/100</f>
        <v>6.4401502312381259E-2</v>
      </c>
      <c r="EM45" s="220">
        <f>EG45/Basicinfo!$G45*1000/100</f>
        <v>0.1954747368758025</v>
      </c>
      <c r="EN45" s="220">
        <f>ED45/Basicinfo!$G45*1000/100</f>
        <v>1.3730209871718566E-3</v>
      </c>
      <c r="EO45" s="220">
        <f>EF45/Basicinfo!$G45*1000/100</f>
        <v>0.39562845985486256</v>
      </c>
      <c r="EP45" s="220">
        <f>EE45/Basicinfo!$G45*1000/100</f>
        <v>4.2493259949773161E-2</v>
      </c>
      <c r="EQ45" s="220">
        <f>EH45/Basicinfo!$G45*1000/100</f>
        <v>0.63496947766760992</v>
      </c>
      <c r="ER45" s="31">
        <f>EI45/Basicinfo!$G45*1000/100</f>
        <v>0.63496947766761014</v>
      </c>
      <c r="ET45" s="188">
        <f t="shared" si="37"/>
        <v>20.642446475519353</v>
      </c>
      <c r="EU45" s="188">
        <f t="shared" si="38"/>
        <v>10.14245638214657</v>
      </c>
      <c r="EV45" s="223">
        <f t="shared" si="39"/>
        <v>30.784902857665923</v>
      </c>
      <c r="EW45" s="223">
        <f t="shared" si="40"/>
        <v>0.21623417116288496</v>
      </c>
      <c r="EX45" s="223">
        <f t="shared" si="41"/>
        <v>62.306689340107724</v>
      </c>
      <c r="EY45" s="223">
        <f t="shared" si="42"/>
        <v>6.6921736310634552</v>
      </c>
      <c r="EZ45" s="223">
        <f t="shared" si="43"/>
        <v>99.999999999999972</v>
      </c>
      <c r="FA45" s="188">
        <f t="shared" si="44"/>
        <v>100</v>
      </c>
      <c r="FC45" s="236">
        <f>Basicinfo!CT45</f>
        <v>1.2148387096774191</v>
      </c>
      <c r="FD45" s="181">
        <f>IF((Intermediate!CL45+Intermediate!CM45*3)/4&gt;11,(Intermediate!CL45+Intermediate!CM45*9)/10,(Intermediate!CL45+Intermediate!CM45*3)/4)</f>
        <v>4.1520411286776699</v>
      </c>
      <c r="FF45" s="31">
        <f t="shared" si="45"/>
        <v>1.5249888338442926E-2</v>
      </c>
      <c r="FG45" s="31">
        <f t="shared" si="46"/>
        <v>0.16336788063565902</v>
      </c>
      <c r="FH45" s="31">
        <f t="shared" si="47"/>
        <v>0</v>
      </c>
      <c r="FI45" s="31">
        <f>(AI45-(P45*450/1000000))*Parameters!$C$153</f>
        <v>0.99774020124797824</v>
      </c>
      <c r="FJ45" s="31"/>
      <c r="FK45" s="31">
        <f t="shared" si="48"/>
        <v>0.21965867853025522</v>
      </c>
      <c r="FL45" s="31">
        <f t="shared" si="49"/>
        <v>2.7823194808036535</v>
      </c>
      <c r="FM45" s="31">
        <f>AM45*Parameters!$C$154</f>
        <v>0.12403945409694021</v>
      </c>
      <c r="FN45" s="31">
        <f>AN45*Parameters!$C$154</f>
        <v>0.31833243024022084</v>
      </c>
      <c r="FO45" s="31">
        <f>AO45*Parameters!$C$154</f>
        <v>0.20139405619902237</v>
      </c>
      <c r="FP45" s="31">
        <f>AQ45*Parameters!$C$155</f>
        <v>1.4558059999999999</v>
      </c>
      <c r="FQ45" s="31">
        <f t="shared" si="50"/>
        <v>6.2779080700921721</v>
      </c>
      <c r="FS45" s="147">
        <f>DY45*Parameters!$C$155</f>
        <v>1.4558059999999999</v>
      </c>
      <c r="FT45" s="147">
        <f>DZ45*Parameters!$C$154</f>
        <v>0.64376594053618341</v>
      </c>
      <c r="FU45" s="181">
        <f t="shared" si="51"/>
        <v>0.21965867853025522</v>
      </c>
      <c r="FV45" s="181">
        <f t="shared" si="52"/>
        <v>2.7955030214731904</v>
      </c>
      <c r="FW45" s="31">
        <f t="shared" si="53"/>
        <v>0.99774020124797846</v>
      </c>
      <c r="FX45" s="181">
        <f t="shared" si="54"/>
        <v>1.5249888338442926E-2</v>
      </c>
      <c r="FY45" s="147">
        <f>Intermediate!FJ45+Intermediate!FM45</f>
        <v>0.15018433996612215</v>
      </c>
      <c r="FZ45" s="181">
        <f t="shared" si="55"/>
        <v>4.012901901251424</v>
      </c>
      <c r="GA45" s="147">
        <f t="shared" si="56"/>
        <v>2.0995719405361832</v>
      </c>
      <c r="GB45" s="181">
        <f t="shared" si="57"/>
        <v>6.2779080700921721</v>
      </c>
      <c r="GD45" s="147">
        <f>IF('River loads'!CH45&gt;0.99,1,0)</f>
        <v>1</v>
      </c>
      <c r="GE45" s="147">
        <f t="shared" si="58"/>
        <v>1.5249888338442926E-2</v>
      </c>
      <c r="GF45" s="147">
        <f t="shared" si="59"/>
        <v>0.16336788063565902</v>
      </c>
      <c r="GG45" s="147">
        <f t="shared" si="60"/>
        <v>0</v>
      </c>
      <c r="GH45" s="147">
        <f t="shared" si="61"/>
        <v>1.447226276314316</v>
      </c>
      <c r="GI45" s="147">
        <f t="shared" si="62"/>
        <v>0.25356401235986453</v>
      </c>
      <c r="GJ45" s="147">
        <f t="shared" si="63"/>
        <v>0.21965867853025522</v>
      </c>
      <c r="GK45" s="147">
        <f t="shared" si="64"/>
        <v>2.7823194808036535</v>
      </c>
      <c r="GL45" s="147">
        <f t="shared" si="65"/>
        <v>0.13782161566326689</v>
      </c>
      <c r="GM45" s="270">
        <f t="shared" si="128"/>
        <v>0.35370270026691203</v>
      </c>
      <c r="GN45" s="270">
        <f t="shared" si="129"/>
        <v>0.22377117355446929</v>
      </c>
      <c r="GO45" s="147">
        <f t="shared" si="66"/>
        <v>1.4558059999999999</v>
      </c>
      <c r="GP45" s="147">
        <f t="shared" si="67"/>
        <v>7.0524877064668399</v>
      </c>
      <c r="GQ45" s="147"/>
      <c r="GR45" s="147">
        <f t="shared" si="68"/>
        <v>1.5249888338442926E-2</v>
      </c>
      <c r="GS45" s="147">
        <f t="shared" si="69"/>
        <v>0.16336788063565902</v>
      </c>
      <c r="GT45" s="147">
        <f t="shared" si="70"/>
        <v>0</v>
      </c>
      <c r="GU45" s="147">
        <f t="shared" si="71"/>
        <v>0.99774020124797824</v>
      </c>
      <c r="GV45" s="147">
        <f t="shared" si="72"/>
        <v>0</v>
      </c>
      <c r="GW45" s="147">
        <f t="shared" si="73"/>
        <v>0.21965867853025522</v>
      </c>
      <c r="GX45" s="147">
        <f t="shared" si="74"/>
        <v>2.7823194808036535</v>
      </c>
      <c r="GY45" s="147">
        <f t="shared" si="75"/>
        <v>0.12403945409694021</v>
      </c>
      <c r="GZ45" s="147">
        <f t="shared" si="130"/>
        <v>0.31833243024022084</v>
      </c>
      <c r="HA45" s="147">
        <f t="shared" si="131"/>
        <v>0.20139405619902237</v>
      </c>
      <c r="HB45" s="147">
        <f t="shared" si="76"/>
        <v>1.4558059999999999</v>
      </c>
      <c r="HC45" s="147">
        <f t="shared" si="77"/>
        <v>6.2779080700921721</v>
      </c>
      <c r="HD45" s="147"/>
      <c r="HE45" s="147">
        <f t="shared" si="78"/>
        <v>1.4558059999999999</v>
      </c>
      <c r="HF45" s="147">
        <f t="shared" si="79"/>
        <v>0.71529548948464816</v>
      </c>
      <c r="HG45" s="147">
        <f t="shared" si="80"/>
        <v>0.21965867853025522</v>
      </c>
      <c r="HH45" s="147">
        <f t="shared" si="81"/>
        <v>2.7955030214731904</v>
      </c>
      <c r="HI45" s="147">
        <f t="shared" si="82"/>
        <v>1.379009906014137</v>
      </c>
      <c r="HJ45" s="147">
        <f t="shared" si="83"/>
        <v>1.5249888338442926E-2</v>
      </c>
      <c r="HK45" s="147">
        <f t="shared" si="84"/>
        <v>0.47196472262616573</v>
      </c>
      <c r="HL45" s="147">
        <f t="shared" si="85"/>
        <v>4.3941716060175819</v>
      </c>
      <c r="HM45" s="147">
        <f t="shared" si="86"/>
        <v>2.1711014894846481</v>
      </c>
      <c r="HN45" s="147">
        <f t="shared" si="87"/>
        <v>7.052487706466839</v>
      </c>
      <c r="HO45" s="147">
        <f t="shared" si="88"/>
        <v>7.0524877064668399</v>
      </c>
      <c r="HQ45" s="147">
        <f t="shared" si="89"/>
        <v>1.4558059999999999</v>
      </c>
      <c r="HR45" s="147">
        <f t="shared" si="90"/>
        <v>0.64376594053618341</v>
      </c>
      <c r="HS45" s="147">
        <f t="shared" si="91"/>
        <v>0.21965867853025522</v>
      </c>
      <c r="HT45" s="147">
        <f t="shared" si="92"/>
        <v>2.7955030214731904</v>
      </c>
      <c r="HU45" s="147">
        <f t="shared" si="93"/>
        <v>0.99774020124797846</v>
      </c>
      <c r="HV45" s="147">
        <f t="shared" si="94"/>
        <v>1.5249888338442926E-2</v>
      </c>
      <c r="HW45" s="147">
        <f t="shared" si="95"/>
        <v>0.15018433996612215</v>
      </c>
      <c r="HX45" s="147">
        <f t="shared" si="96"/>
        <v>4.012901901251424</v>
      </c>
      <c r="HY45" s="147">
        <f t="shared" si="97"/>
        <v>2.0995719405361832</v>
      </c>
      <c r="HZ45" s="147">
        <f t="shared" si="98"/>
        <v>6.2779080700921721</v>
      </c>
      <c r="IB45" s="147">
        <f>IF('River loads'!CI45&gt;0.99,1,0)</f>
        <v>0</v>
      </c>
      <c r="IC45">
        <f t="shared" si="144"/>
        <v>0</v>
      </c>
      <c r="ID45">
        <f t="shared" si="145"/>
        <v>0</v>
      </c>
      <c r="IE45">
        <f t="shared" si="146"/>
        <v>0</v>
      </c>
      <c r="IF45">
        <f t="shared" si="147"/>
        <v>0</v>
      </c>
      <c r="IG45">
        <f t="shared" si="148"/>
        <v>0</v>
      </c>
      <c r="IH45">
        <f t="shared" si="149"/>
        <v>0</v>
      </c>
      <c r="II45">
        <f t="shared" si="150"/>
        <v>0</v>
      </c>
      <c r="IJ45">
        <f t="shared" si="151"/>
        <v>0</v>
      </c>
      <c r="IK45">
        <f t="shared" si="132"/>
        <v>0</v>
      </c>
      <c r="IL45">
        <f t="shared" si="133"/>
        <v>0</v>
      </c>
      <c r="IM45">
        <f t="shared" si="107"/>
        <v>0</v>
      </c>
      <c r="IN45">
        <f t="shared" si="108"/>
        <v>0</v>
      </c>
      <c r="IP45">
        <f t="shared" si="109"/>
        <v>0</v>
      </c>
      <c r="IQ45">
        <f t="shared" si="110"/>
        <v>0</v>
      </c>
      <c r="IR45">
        <f t="shared" si="111"/>
        <v>0</v>
      </c>
      <c r="IS45">
        <f t="shared" si="112"/>
        <v>0</v>
      </c>
      <c r="IT45">
        <f t="shared" si="113"/>
        <v>0</v>
      </c>
      <c r="IU45">
        <f t="shared" si="114"/>
        <v>0</v>
      </c>
      <c r="IV45">
        <f t="shared" si="115"/>
        <v>0</v>
      </c>
      <c r="IW45">
        <f t="shared" si="116"/>
        <v>0</v>
      </c>
      <c r="IX45">
        <f t="shared" si="117"/>
        <v>0</v>
      </c>
    </row>
    <row r="46" spans="1:258">
      <c r="A46" s="39" t="str">
        <f>Basicinfo!A46</f>
        <v>Gusen</v>
      </c>
      <c r="B46" s="63">
        <f>Basicinfo!B46</f>
        <v>1380</v>
      </c>
      <c r="C46" s="63">
        <f>Basicinfo!C46</f>
        <v>5010</v>
      </c>
      <c r="D46" s="130">
        <f>Basicinfo!G46</f>
        <v>72.893099392600007</v>
      </c>
      <c r="E46" s="87">
        <f t="shared" si="118"/>
        <v>0.82665885597990008</v>
      </c>
      <c r="F46" s="19">
        <f>Intermediate!AR46</f>
        <v>1.0148170483096734E-3</v>
      </c>
      <c r="G46" s="19">
        <f>Intermediate!AU46</f>
        <v>0.13416784195012948</v>
      </c>
      <c r="H46" s="19">
        <f>Intermediate!AW46</f>
        <v>0</v>
      </c>
      <c r="I46" s="19">
        <f>Intermediate!AZ46</f>
        <v>2.7277373324535604E-2</v>
      </c>
      <c r="J46" s="19">
        <f>Intermediate!BA46</f>
        <v>0.62498692344864815</v>
      </c>
      <c r="K46" s="19">
        <f>Intermediate!AC46</f>
        <v>5.3385295698359638E-3</v>
      </c>
      <c r="L46" s="19">
        <f>Intermediate!AO46</f>
        <v>5.4645554663411587E-3</v>
      </c>
      <c r="M46" s="19">
        <f>Intermediate!AP46</f>
        <v>6.2442149797273085E-3</v>
      </c>
      <c r="N46" s="19">
        <f t="shared" si="119"/>
        <v>0.80449425578752731</v>
      </c>
      <c r="O46" s="19">
        <f>Basicinfo!CB46+Basicinfo!CG46</f>
        <v>2.2164600192372739E-2</v>
      </c>
      <c r="P46" s="56">
        <f>Intermediate!BK46-Intermediate!BI46</f>
        <v>1705.0865947476223</v>
      </c>
      <c r="Q46" s="43">
        <f>Intermediate!BI46</f>
        <v>991.25425279419369</v>
      </c>
      <c r="R46" s="88">
        <f t="shared" si="134"/>
        <v>2696.3408475418159</v>
      </c>
      <c r="S46" s="61">
        <f>Intermediate!F46*Intermediate!BO46/1000</f>
        <v>0.71452383035244837</v>
      </c>
      <c r="T46" s="19">
        <f>Intermediate!BU46*Intermediate!AU46*86.4*0.365</f>
        <v>8.0169037665204552</v>
      </c>
      <c r="U46" s="19">
        <f>Intermediate!AW46*Intermediate!BS46*0.365*86.4</f>
        <v>0</v>
      </c>
      <c r="V46" s="19">
        <f>(Basicinfo!BL46/1000000)*(Intermediate!BK46-Intermediate!BF46-Intermediate!BG46-Intermediate!BH46)*Intermediate!CV46</f>
        <v>4.3074679232198658</v>
      </c>
      <c r="W46" s="19">
        <f>Intermediate!BI46*Parameters!$C$51/1000000</f>
        <v>2.4781356319854845E-2</v>
      </c>
      <c r="X46" s="19">
        <f>Intermediate!AZ46*Intermediate!CG46*86.4*0.365</f>
        <v>13.451192724926878</v>
      </c>
      <c r="Y46" s="19">
        <f>Intermediate!CM46*Intermediate!BA46*86.4*0.365+Parameters!$C$126*Intermediate!BB46*Basicinfo!P46/1000+Parameters!$C$127*Intermediate!BB46*Basicinfo!S46/1000</f>
        <v>54.224127272163678</v>
      </c>
      <c r="Z46" s="19">
        <f>Intermediate!DG46</f>
        <v>0.48272739389001273</v>
      </c>
      <c r="AA46" s="19">
        <f>Intermediate!DI46</f>
        <v>1.2916420505282169</v>
      </c>
      <c r="AB46" s="19">
        <f>Intermediate!DK46</f>
        <v>0.51243917356346569</v>
      </c>
      <c r="AC46" s="19">
        <f t="shared" si="120"/>
        <v>83.025805491484874</v>
      </c>
      <c r="AD46" s="19">
        <f>Basicinfo!CC46+Basicinfo!CE46+Basicinfo!CH46+Basicinfo!CJ46</f>
        <v>2.9378125000000006</v>
      </c>
      <c r="AE46" s="87">
        <f t="shared" si="135"/>
        <v>85.963617991484881</v>
      </c>
      <c r="AF46" s="56">
        <f>Intermediate!F46*Basicinfo!BD46/1000</f>
        <v>1.7675123371594423E-2</v>
      </c>
      <c r="AG46" s="43">
        <f>Intermediate!CA46*Intermediate!AU46*86.4*0.365</f>
        <v>0.15218738243824151</v>
      </c>
      <c r="AH46" s="43">
        <f>Intermediate!AW46*Intermediate!BZ46*0.365*86.4</f>
        <v>0</v>
      </c>
      <c r="AI46" s="43">
        <f>(Intermediate!CU46/1000000)*(Intermediate!BK46-Intermediate!BF46-Intermediate!BG46-Intermediate!BH46)*Intermediate!CW46</f>
        <v>4.202913657763367</v>
      </c>
      <c r="AJ46" s="43">
        <f>Intermediate!BF46*Parameters!$C$52/1000000+(Intermediate!BG46+Intermediate!BH46)*Intermediate!CX46/1000000</f>
        <v>0.44606441375738715</v>
      </c>
      <c r="AK46" s="43">
        <f>Intermediate!AZ46*Intermediate!CH46*86.4*0.365</f>
        <v>8.3596745293824187E-2</v>
      </c>
      <c r="AL46" s="58">
        <f>Intermediate!CR46*Intermediate!BA46*86.4*0.365</f>
        <v>0.10692451282698039</v>
      </c>
      <c r="AM46" s="43">
        <f>Intermediate!DH46</f>
        <v>0.11850918666178067</v>
      </c>
      <c r="AN46" s="42">
        <f>Intermediate!DJ46</f>
        <v>0.24892222851692294</v>
      </c>
      <c r="AO46" s="42">
        <f>Intermediate!DL46</f>
        <v>7.7269937337965167E-2</v>
      </c>
      <c r="AP46" s="42">
        <f t="shared" si="122"/>
        <v>5.454063187968063</v>
      </c>
      <c r="AQ46" s="43">
        <f>Basicinfo!CD46+Basicinfo!CF46+Basicinfo!CI46+Basicinfo!CK46</f>
        <v>0.22425</v>
      </c>
      <c r="AR46" s="83">
        <f t="shared" si="136"/>
        <v>5.6783131879680626</v>
      </c>
      <c r="AS46" s="19">
        <f>F46*86400*365/(Basicinfo!G46*1000000)*1000</f>
        <v>0.43904389718874798</v>
      </c>
      <c r="AT46" s="19">
        <f>G46*86400*365/(Basicinfo!G46*1000000)*1000</f>
        <v>58.045509094772015</v>
      </c>
      <c r="AU46" s="19">
        <f>H46*86400*365/(Basicinfo!G46*1000000)*1000</f>
        <v>0</v>
      </c>
      <c r="AV46" s="19">
        <f>I46*86400*365/(Basicinfo!G46*1000000)*1000</f>
        <v>11.801106721082615</v>
      </c>
      <c r="AW46" s="19">
        <f>J46*86400*365/(Basicinfo!G46*1000000)*1000</f>
        <v>270.39030830231724</v>
      </c>
      <c r="AX46" s="53">
        <f>K46*86400*365/(Basicinfo!G46*1000000)*1000</f>
        <v>2.309626973159522</v>
      </c>
      <c r="AY46" s="53">
        <f>L46*86400*365/(Basicinfo!G46*1000000)*1000</f>
        <v>2.3641500035328376</v>
      </c>
      <c r="AZ46" s="53">
        <f>M46*86400*365/(Basicinfo!G46*1000000)*1000</f>
        <v>2.7014568627420878</v>
      </c>
      <c r="BA46" s="19">
        <f t="shared" si="123"/>
        <v>348.05120185479501</v>
      </c>
      <c r="BB46" s="19">
        <f>O46*86400*365/(Basicinfo!G46*1000000)*1000</f>
        <v>9.5891495558717654</v>
      </c>
      <c r="BC46" s="53">
        <f t="shared" si="137"/>
        <v>357.64035141066677</v>
      </c>
      <c r="BD46" s="56">
        <f>P46/(Basicinfo!G46*100)*1000</f>
        <v>233.91605089585752</v>
      </c>
      <c r="BE46" s="43">
        <f>Q46/(Basicinfo!G46*100)*1000</f>
        <v>135.98739264128812</v>
      </c>
      <c r="BF46" s="58">
        <f t="shared" si="138"/>
        <v>369.90344353714568</v>
      </c>
      <c r="BG46" s="61">
        <f>S46/(Basicinfo!G46*100)*1000000</f>
        <v>98.023521609918774</v>
      </c>
      <c r="BH46" s="19">
        <f>T46/(Basicinfo!G46*100)*1000000</f>
        <v>1099.8165578529808</v>
      </c>
      <c r="BI46" s="19">
        <f>U46/(Basicinfo!G46*100)*1000000</f>
        <v>0</v>
      </c>
      <c r="BJ46" s="19">
        <f>V46/(Basicinfo!G46*100)*1000000</f>
        <v>590.92945136273806</v>
      </c>
      <c r="BK46" s="19">
        <f>W46/(Basicinfo!G46*100)*1000000</f>
        <v>3.3996848160322033</v>
      </c>
      <c r="BL46" s="19">
        <f>X46/(Basicinfo!G46*100)*1000000</f>
        <v>1845.3314287651792</v>
      </c>
      <c r="BM46" s="19">
        <f>Y46/(Basicinfo!G46*100)*1000000</f>
        <v>7438.8560404208065</v>
      </c>
      <c r="BN46" s="53">
        <f>Z46/(Basicinfo!G46*100)*1000000</f>
        <v>66.22401817352528</v>
      </c>
      <c r="BO46" s="53">
        <f>AA46/(Basicinfo!G46*100)*1000000</f>
        <v>177.19675268182414</v>
      </c>
      <c r="BP46" s="53">
        <f>AB46/(Basicinfo!G46*100)*1000000</f>
        <v>70.30009395038671</v>
      </c>
      <c r="BQ46" s="19">
        <f t="shared" si="125"/>
        <v>11390.077549633394</v>
      </c>
      <c r="BR46" s="19">
        <f>AD46/(Basicinfo!G46*100)*1000000</f>
        <v>403.03026273818216</v>
      </c>
      <c r="BS46" s="53">
        <f t="shared" si="139"/>
        <v>11793.107812371576</v>
      </c>
      <c r="BT46" s="56">
        <f>AF46/(Basicinfo!G46*100)*1000000</f>
        <v>2.4248006352970051</v>
      </c>
      <c r="BU46" s="43">
        <f>AG46/(Basicinfo!G46*100)*1000000</f>
        <v>20.878160444044902</v>
      </c>
      <c r="BV46" s="43">
        <f>AH46/(Basicinfo!G46*100)*1000000</f>
        <v>0</v>
      </c>
      <c r="BW46" s="43">
        <f>AI46/(Basicinfo!G46*100)*1000000</f>
        <v>576.58594473073538</v>
      </c>
      <c r="BX46" s="43">
        <f>AJ46/(Basicinfo!G46*100)*1000000</f>
        <v>61.194326688579643</v>
      </c>
      <c r="BY46" s="58">
        <f>AK46/(Basicinfo!G46*100)*1000000</f>
        <v>11.468403180879259</v>
      </c>
      <c r="BZ46" s="58">
        <f>AL46/(Basicinfo!G46*100)*1000000</f>
        <v>14.668674225400711</v>
      </c>
      <c r="CA46" s="58">
        <f>AM46/(Basicinfo!G46*100)*1000000</f>
        <v>16.257943159131401</v>
      </c>
      <c r="CB46" s="58">
        <f>AN46/(Basicinfo!G46*100)*1000000</f>
        <v>34.14894284796911</v>
      </c>
      <c r="CC46" s="58">
        <f>AO46/(Basicinfo!G46*100)*1000000</f>
        <v>10.600446130269704</v>
      </c>
      <c r="CD46" s="58">
        <f t="shared" si="126"/>
        <v>748.22764204230714</v>
      </c>
      <c r="CE46" s="58">
        <f>AQ46/(Basicinfo!G46*100)*1000000</f>
        <v>30.764228969356392</v>
      </c>
      <c r="CF46" s="43">
        <f t="shared" si="140"/>
        <v>778.99187101166353</v>
      </c>
      <c r="CG46" s="84"/>
      <c r="CH46" s="84">
        <f t="shared" si="8"/>
        <v>2.9378125000000006</v>
      </c>
      <c r="CI46" s="146">
        <f t="shared" si="9"/>
        <v>2.2868086179816953</v>
      </c>
      <c r="CJ46" s="200">
        <f>Intermediate!EW46+Intermediate!EY46+Intermediate!FD46</f>
        <v>4.792312289377838</v>
      </c>
      <c r="CK46" s="180">
        <f>Intermediate!FA46+Intermediate!FF46</f>
        <v>5.2022162546839414</v>
      </c>
      <c r="CL46" s="180">
        <f t="shared" si="141"/>
        <v>13.451192724926878</v>
      </c>
      <c r="CM46" s="180">
        <f t="shared" si="142"/>
        <v>39.179426497352743</v>
      </c>
      <c r="CN46" s="202">
        <f>Intermediate!EX46+Intermediate!EZ46+Intermediate!FE46</f>
        <v>3.2480158845748242</v>
      </c>
      <c r="CO46" s="180">
        <f>Intermediate!FB46+Intermediate!FG46</f>
        <v>3.4896218100991723</v>
      </c>
      <c r="CP46" s="213">
        <f>Intermediate!EP46+Intermediate!EQ46+Intermediate!ER46+Intermediate!ES46+Intermediate!ET46+Intermediate!EU46+Intermediate!EV46+W46</f>
        <v>11.376211412487775</v>
      </c>
      <c r="CQ46" s="212">
        <f t="shared" si="12"/>
        <v>6.737637694673996</v>
      </c>
      <c r="CR46" s="212">
        <f t="shared" si="13"/>
        <v>62.625147766341399</v>
      </c>
      <c r="CS46" s="211">
        <f t="shared" si="143"/>
        <v>3.4205398938900133</v>
      </c>
      <c r="CT46" s="212">
        <f t="shared" si="15"/>
        <v>84.159536767393178</v>
      </c>
      <c r="CU46" s="84"/>
      <c r="CV46" s="31">
        <f t="shared" si="16"/>
        <v>85.963617991484881</v>
      </c>
      <c r="CW46" s="31">
        <f>CH46/Basicinfo!$G46*1000/100</f>
        <v>0.40303026273818221</v>
      </c>
      <c r="CX46" s="31">
        <f>CI46/Basicinfo!$G46*1000/100</f>
        <v>0.31372086480573619</v>
      </c>
      <c r="CY46" s="31">
        <f>CS46/Basicinfo!$G46*1000/100</f>
        <v>0.46925428091170746</v>
      </c>
      <c r="CZ46" s="31">
        <f>CN46/Basicinfo!$G46*1000/100</f>
        <v>0.44558619562616064</v>
      </c>
      <c r="DA46" s="31">
        <f>CO46/Basicinfo!$G46*1000/100</f>
        <v>0.47873143537280199</v>
      </c>
      <c r="DB46" s="31">
        <f>CQ46/Basicinfo!$G46*1000/100</f>
        <v>0.92431763099896258</v>
      </c>
      <c r="DC46" s="31">
        <f>CJ46/Basicinfo!$G46*1000/100</f>
        <v>0.65744389102822898</v>
      </c>
      <c r="DD46" s="31">
        <f>CK46/Basicinfo!$G46*1000/100</f>
        <v>0.71367746714472435</v>
      </c>
      <c r="DE46" s="31">
        <f>CM46/Basicinfo!$G46*1000/100</f>
        <v>5.3749157085958919</v>
      </c>
      <c r="DF46" s="31">
        <f>CR46/Basicinfo!$G46*1000/100</f>
        <v>8.5913684955340237</v>
      </c>
      <c r="DG46" s="31">
        <f>CP46/Basicinfo!$G46*1000/100</f>
        <v>1.5606705582946676</v>
      </c>
      <c r="DH46" s="31">
        <f>CT46/Basicinfo!$G46*1000/100</f>
        <v>11.54561096573936</v>
      </c>
      <c r="DI46" s="31">
        <f>CV46/Basicinfo!$G46*1000/100</f>
        <v>11.793107812371575</v>
      </c>
      <c r="DJ46" s="31"/>
      <c r="DK46" s="188">
        <f t="shared" si="17"/>
        <v>3.4907660056634584</v>
      </c>
      <c r="DL46" s="188">
        <f t="shared" si="18"/>
        <v>2.7172305193434689</v>
      </c>
      <c r="DM46" s="188">
        <f t="shared" si="19"/>
        <v>4.0643520927924941</v>
      </c>
      <c r="DN46" s="188">
        <f t="shared" si="20"/>
        <v>3.8593557062367738</v>
      </c>
      <c r="DO46" s="188">
        <f t="shared" si="21"/>
        <v>4.1464365705149575</v>
      </c>
      <c r="DP46" s="188">
        <f t="shared" si="22"/>
        <v>8.0057922767517304</v>
      </c>
      <c r="DQ46" s="188">
        <f t="shared" si="23"/>
        <v>5.6943187586966069</v>
      </c>
      <c r="DR46" s="188">
        <f t="shared" si="24"/>
        <v>6.1813746302599561</v>
      </c>
      <c r="DS46" s="188">
        <f t="shared" si="25"/>
        <v>46.553757306958524</v>
      </c>
      <c r="DT46" s="188">
        <f t="shared" si="26"/>
        <v>74.412419758713455</v>
      </c>
      <c r="DU46" s="188">
        <f t="shared" si="27"/>
        <v>13.517435871742322</v>
      </c>
      <c r="DV46" s="188">
        <f t="shared" si="28"/>
        <v>100</v>
      </c>
      <c r="DW46" s="188">
        <f t="shared" si="29"/>
        <v>102.14364443221446</v>
      </c>
      <c r="DY46" s="181">
        <f t="shared" si="30"/>
        <v>0.22425</v>
      </c>
      <c r="DZ46" s="181">
        <f t="shared" si="127"/>
        <v>0.44470135251666876</v>
      </c>
      <c r="EA46" s="185">
        <f t="shared" si="31"/>
        <v>8.3596745293824187E-2</v>
      </c>
      <c r="EB46" s="185">
        <f>AG46+AH46+AL46-Intermediate!FJ46-Intermediate!FM46</f>
        <v>0.10910129860329729</v>
      </c>
      <c r="EC46" s="185">
        <f>AI46+AJ46-Intermediate!FK46</f>
        <v>4.0899114489547062</v>
      </c>
      <c r="ED46" s="240">
        <f t="shared" si="32"/>
        <v>1.7675123371594423E-2</v>
      </c>
      <c r="EE46" s="240">
        <f>Intermediate!FJ46+Intermediate!FK46+Intermediate!FM46</f>
        <v>0.70907721922797262</v>
      </c>
      <c r="EF46" s="240">
        <f t="shared" si="33"/>
        <v>4.2826094928518277</v>
      </c>
      <c r="EG46" s="240">
        <f t="shared" si="34"/>
        <v>0.66895135251666882</v>
      </c>
      <c r="EH46" s="240">
        <f t="shared" si="35"/>
        <v>5.6783131879680635</v>
      </c>
      <c r="EI46" s="181">
        <f t="shared" si="36"/>
        <v>5.6783131879680626</v>
      </c>
      <c r="EK46" s="31">
        <f>DY46/Basicinfo!$G46*1000/100</f>
        <v>3.0764228969356391E-2</v>
      </c>
      <c r="EL46" s="31">
        <f>DZ46/Basicinfo!$G46*1000/100</f>
        <v>6.1007332137370217E-2</v>
      </c>
      <c r="EM46" s="220">
        <f>EG46/Basicinfo!$G46*1000/100</f>
        <v>9.1771561106726601E-2</v>
      </c>
      <c r="EN46" s="220">
        <f>ED46/Basicinfo!$G46*1000/100</f>
        <v>2.4248006352970051E-3</v>
      </c>
      <c r="EO46" s="220">
        <f>EF46/Basicinfo!$G46*1000/100</f>
        <v>0.58751919297405975</v>
      </c>
      <c r="EP46" s="220">
        <f>EE46/Basicinfo!$G46*1000/100</f>
        <v>9.7276316295580242E-2</v>
      </c>
      <c r="EQ46" s="220">
        <f>EH46/Basicinfo!$G46*1000/100</f>
        <v>0.77899187101166345</v>
      </c>
      <c r="ER46" s="31">
        <f>EI46/Basicinfo!$G46*1000/100</f>
        <v>0.77899187101166345</v>
      </c>
      <c r="ET46" s="188">
        <f t="shared" si="37"/>
        <v>3.9492362005528263</v>
      </c>
      <c r="EU46" s="188">
        <f t="shared" si="38"/>
        <v>7.8315749377642465</v>
      </c>
      <c r="EV46" s="223">
        <f t="shared" si="39"/>
        <v>11.780811138317071</v>
      </c>
      <c r="EW46" s="223">
        <f t="shared" si="40"/>
        <v>0.31127418982536464</v>
      </c>
      <c r="EX46" s="223">
        <f t="shared" si="41"/>
        <v>75.420452361211247</v>
      </c>
      <c r="EY46" s="223">
        <f t="shared" si="42"/>
        <v>12.487462310646343</v>
      </c>
      <c r="EZ46" s="223">
        <f t="shared" si="43"/>
        <v>100</v>
      </c>
      <c r="FA46" s="188">
        <f t="shared" si="44"/>
        <v>100</v>
      </c>
      <c r="FC46" s="236">
        <f>Basicinfo!CT46</f>
        <v>4.9835483870967741</v>
      </c>
      <c r="FD46" s="181">
        <f>IF((Intermediate!CL46+Intermediate!CM46*3)/4&gt;11,(Intermediate!CL46+Intermediate!CM46*9)/10,(Intermediate!CL46+Intermediate!CM46*3)/4)</f>
        <v>4.0237420064799689</v>
      </c>
      <c r="FF46" s="31">
        <f t="shared" si="45"/>
        <v>1.7675123371594423E-2</v>
      </c>
      <c r="FG46" s="31">
        <f t="shared" si="46"/>
        <v>0.15218738243824151</v>
      </c>
      <c r="FH46" s="31">
        <f t="shared" si="47"/>
        <v>0</v>
      </c>
      <c r="FI46" s="31">
        <f>(AI46-(P46*450/1000000))*Parameters!$C$153</f>
        <v>2.7484997521015497</v>
      </c>
      <c r="FJ46" s="31"/>
      <c r="FK46" s="31">
        <f t="shared" si="48"/>
        <v>8.3596745293824187E-2</v>
      </c>
      <c r="FL46" s="31">
        <f t="shared" si="49"/>
        <v>0.10692451282698039</v>
      </c>
      <c r="FM46" s="31">
        <f>AM46*Parameters!$C$154</f>
        <v>0.10665826799560262</v>
      </c>
      <c r="FN46" s="31">
        <f>AN46*Parameters!$C$154</f>
        <v>0.22403000566523065</v>
      </c>
      <c r="FO46" s="31">
        <f>AO46*Parameters!$C$154</f>
        <v>6.9542943604168656E-2</v>
      </c>
      <c r="FP46" s="31">
        <f>AQ46*Parameters!$C$155</f>
        <v>0.22425</v>
      </c>
      <c r="FQ46" s="31">
        <f t="shared" si="50"/>
        <v>3.7333647332971918</v>
      </c>
      <c r="FS46" s="147">
        <f>DY46*Parameters!$C$155</f>
        <v>0.22425</v>
      </c>
      <c r="FT46" s="147">
        <f>DZ46*Parameters!$C$154</f>
        <v>0.40023121726500188</v>
      </c>
      <c r="FU46" s="181">
        <f t="shared" si="51"/>
        <v>8.3596745293824187E-2</v>
      </c>
      <c r="FV46" s="181">
        <f t="shared" si="52"/>
        <v>0.10910129860329729</v>
      </c>
      <c r="FW46" s="31">
        <f t="shared" si="53"/>
        <v>2.7484997521015497</v>
      </c>
      <c r="FX46" s="181">
        <f t="shared" si="54"/>
        <v>1.7675123371594423E-2</v>
      </c>
      <c r="FY46" s="147">
        <f>Intermediate!FJ46+Intermediate!FM46</f>
        <v>0.15001059666192459</v>
      </c>
      <c r="FZ46" s="181">
        <f t="shared" si="55"/>
        <v>2.9411977959986713</v>
      </c>
      <c r="GA46" s="147">
        <f t="shared" si="56"/>
        <v>0.62448121726500183</v>
      </c>
      <c r="GB46" s="181">
        <f t="shared" si="57"/>
        <v>3.7333647332971922</v>
      </c>
      <c r="GD46" s="147">
        <f>IF('River loads'!CH46&gt;0.99,1,0)</f>
        <v>1</v>
      </c>
      <c r="GE46" s="147">
        <f t="shared" si="58"/>
        <v>1.7675123371594423E-2</v>
      </c>
      <c r="GF46" s="147">
        <f t="shared" si="59"/>
        <v>0.15218738243824151</v>
      </c>
      <c r="GG46" s="147">
        <f t="shared" si="60"/>
        <v>0</v>
      </c>
      <c r="GH46" s="147">
        <f t="shared" si="61"/>
        <v>4.202913657763367</v>
      </c>
      <c r="GI46" s="147">
        <f t="shared" si="62"/>
        <v>0.44606441375738715</v>
      </c>
      <c r="GJ46" s="147">
        <f t="shared" si="63"/>
        <v>8.3596745293824187E-2</v>
      </c>
      <c r="GK46" s="147">
        <f t="shared" si="64"/>
        <v>0.10692451282698039</v>
      </c>
      <c r="GL46" s="147">
        <f t="shared" si="65"/>
        <v>0.11850918666178067</v>
      </c>
      <c r="GM46" s="270">
        <f t="shared" si="128"/>
        <v>0.24892222851692294</v>
      </c>
      <c r="GN46" s="270">
        <f t="shared" si="129"/>
        <v>7.7269937337965167E-2</v>
      </c>
      <c r="GO46" s="147">
        <f t="shared" si="66"/>
        <v>0.22425</v>
      </c>
      <c r="GP46" s="147">
        <f t="shared" si="67"/>
        <v>5.6783131879680626</v>
      </c>
      <c r="GQ46" s="147"/>
      <c r="GR46" s="147">
        <f t="shared" si="68"/>
        <v>1.7675123371594423E-2</v>
      </c>
      <c r="GS46" s="147">
        <f t="shared" si="69"/>
        <v>0.15218738243824151</v>
      </c>
      <c r="GT46" s="147">
        <f t="shared" si="70"/>
        <v>0</v>
      </c>
      <c r="GU46" s="147">
        <f t="shared" si="71"/>
        <v>2.7484997521015497</v>
      </c>
      <c r="GV46" s="147">
        <f t="shared" si="72"/>
        <v>0</v>
      </c>
      <c r="GW46" s="147">
        <f t="shared" si="73"/>
        <v>8.3596745293824187E-2</v>
      </c>
      <c r="GX46" s="147">
        <f t="shared" si="74"/>
        <v>0.10692451282698039</v>
      </c>
      <c r="GY46" s="147">
        <f t="shared" si="75"/>
        <v>0.10665826799560262</v>
      </c>
      <c r="GZ46" s="147">
        <f t="shared" si="130"/>
        <v>0.22403000566523065</v>
      </c>
      <c r="HA46" s="147">
        <f t="shared" si="131"/>
        <v>6.9542943604168656E-2</v>
      </c>
      <c r="HB46" s="147">
        <f t="shared" si="76"/>
        <v>0.22425</v>
      </c>
      <c r="HC46" s="147">
        <f t="shared" si="77"/>
        <v>3.7333647332971918</v>
      </c>
      <c r="HD46" s="147"/>
      <c r="HE46" s="147">
        <f t="shared" si="78"/>
        <v>0.22425</v>
      </c>
      <c r="HF46" s="147">
        <f t="shared" si="79"/>
        <v>0.44470135251666876</v>
      </c>
      <c r="HG46" s="147">
        <f t="shared" si="80"/>
        <v>8.3596745293824187E-2</v>
      </c>
      <c r="HH46" s="147">
        <f t="shared" si="81"/>
        <v>0.10910129860329729</v>
      </c>
      <c r="HI46" s="147">
        <f t="shared" si="82"/>
        <v>4.0899114489547062</v>
      </c>
      <c r="HJ46" s="147">
        <f t="shared" si="83"/>
        <v>1.7675123371594423E-2</v>
      </c>
      <c r="HK46" s="147">
        <f t="shared" si="84"/>
        <v>0.70907721922797262</v>
      </c>
      <c r="HL46" s="147">
        <f t="shared" si="85"/>
        <v>4.2826094928518277</v>
      </c>
      <c r="HM46" s="147">
        <f t="shared" si="86"/>
        <v>0.66895135251666882</v>
      </c>
      <c r="HN46" s="147">
        <f t="shared" si="87"/>
        <v>5.6783131879680635</v>
      </c>
      <c r="HO46" s="147">
        <f t="shared" si="88"/>
        <v>5.6783131879680626</v>
      </c>
      <c r="HQ46" s="147">
        <f t="shared" si="89"/>
        <v>0.22425</v>
      </c>
      <c r="HR46" s="147">
        <f t="shared" si="90"/>
        <v>0.40023121726500188</v>
      </c>
      <c r="HS46" s="147">
        <f t="shared" si="91"/>
        <v>8.3596745293824187E-2</v>
      </c>
      <c r="HT46" s="147">
        <f t="shared" si="92"/>
        <v>0.10910129860329729</v>
      </c>
      <c r="HU46" s="147">
        <f t="shared" si="93"/>
        <v>2.7484997521015497</v>
      </c>
      <c r="HV46" s="147">
        <f t="shared" si="94"/>
        <v>1.7675123371594423E-2</v>
      </c>
      <c r="HW46" s="147">
        <f t="shared" si="95"/>
        <v>0.15001059666192459</v>
      </c>
      <c r="HX46" s="147">
        <f t="shared" si="96"/>
        <v>2.9411977959986713</v>
      </c>
      <c r="HY46" s="147">
        <f t="shared" si="97"/>
        <v>0.62448121726500183</v>
      </c>
      <c r="HZ46" s="147">
        <f t="shared" si="98"/>
        <v>3.7333647332971922</v>
      </c>
      <c r="IB46" s="147">
        <f>IF('River loads'!CI46&gt;0.99,1,0)</f>
        <v>1</v>
      </c>
      <c r="IC46">
        <f t="shared" si="144"/>
        <v>0.71452383035244837</v>
      </c>
      <c r="ID46">
        <f t="shared" si="145"/>
        <v>8.0169037665204552</v>
      </c>
      <c r="IE46">
        <f t="shared" si="146"/>
        <v>0</v>
      </c>
      <c r="IF46">
        <f t="shared" si="147"/>
        <v>4.3074679232198658</v>
      </c>
      <c r="IG46">
        <f t="shared" si="148"/>
        <v>2.4781356319854845E-2</v>
      </c>
      <c r="IH46">
        <f t="shared" si="149"/>
        <v>13.451192724926878</v>
      </c>
      <c r="II46">
        <f t="shared" si="150"/>
        <v>54.224127272163678</v>
      </c>
      <c r="IJ46">
        <f t="shared" si="151"/>
        <v>0.48272739389001273</v>
      </c>
      <c r="IK46">
        <f t="shared" si="132"/>
        <v>1.2916420505282169</v>
      </c>
      <c r="IL46">
        <f t="shared" si="133"/>
        <v>0.51243917356346569</v>
      </c>
      <c r="IM46">
        <f t="shared" si="107"/>
        <v>2.9378125000000006</v>
      </c>
      <c r="IN46">
        <f t="shared" si="108"/>
        <v>85.963617991484881</v>
      </c>
      <c r="IP46">
        <f t="shared" si="109"/>
        <v>2.9378125000000006</v>
      </c>
      <c r="IQ46">
        <f t="shared" si="110"/>
        <v>2.2868086179816953</v>
      </c>
      <c r="IR46">
        <f t="shared" si="111"/>
        <v>4.792312289377838</v>
      </c>
      <c r="IS46">
        <f t="shared" si="112"/>
        <v>5.2022162546839414</v>
      </c>
      <c r="IT46">
        <f t="shared" si="113"/>
        <v>13.451192724926878</v>
      </c>
      <c r="IU46">
        <f t="shared" si="114"/>
        <v>39.179426497352743</v>
      </c>
      <c r="IV46">
        <f t="shared" si="115"/>
        <v>3.2480158845748242</v>
      </c>
      <c r="IW46">
        <f t="shared" si="116"/>
        <v>3.4896218100991723</v>
      </c>
      <c r="IX46">
        <f t="shared" si="117"/>
        <v>11.376211412487775</v>
      </c>
    </row>
    <row r="47" spans="1:258">
      <c r="A47" s="39" t="str">
        <f>Basicinfo!A47</f>
        <v>Reichramming Großer Bach</v>
      </c>
      <c r="B47" s="63">
        <f>Basicinfo!B47</f>
        <v>1520</v>
      </c>
      <c r="C47" s="63">
        <f>Basicinfo!C47</f>
        <v>4080</v>
      </c>
      <c r="D47" s="130">
        <f>Basicinfo!G47</f>
        <v>170.73598434799999</v>
      </c>
      <c r="E47" s="87">
        <f t="shared" si="118"/>
        <v>6.3376087782395309</v>
      </c>
      <c r="F47" s="19">
        <f>Intermediate!AR47</f>
        <v>4.6802828068013107E-2</v>
      </c>
      <c r="G47" s="19">
        <f>Intermediate!AU47</f>
        <v>1.5294678239385582</v>
      </c>
      <c r="H47" s="19">
        <f>Intermediate!AW47</f>
        <v>4.1871067663305514E-3</v>
      </c>
      <c r="I47" s="19">
        <f>Intermediate!AZ47</f>
        <v>0</v>
      </c>
      <c r="J47" s="19">
        <f>Intermediate!BA47</f>
        <v>4.7431721262927473</v>
      </c>
      <c r="K47" s="19">
        <f>Intermediate!AC47</f>
        <v>2.368633952715886E-3</v>
      </c>
      <c r="L47" s="19">
        <f>Intermediate!AO47</f>
        <v>3.2239251557476612E-3</v>
      </c>
      <c r="M47" s="19">
        <f>Intermediate!AP47</f>
        <v>2.842635593829735E-3</v>
      </c>
      <c r="N47" s="19">
        <f t="shared" si="119"/>
        <v>6.3320650797679425</v>
      </c>
      <c r="O47" s="19">
        <f>Basicinfo!CB47+Basicinfo!CG47</f>
        <v>5.5436984715880261E-3</v>
      </c>
      <c r="P47" s="56">
        <f>Intermediate!BK47-Intermediate!BI47</f>
        <v>15.589385486114452</v>
      </c>
      <c r="Q47" s="43">
        <f>Intermediate!BI47</f>
        <v>1845.5231299979123</v>
      </c>
      <c r="R47" s="88">
        <f t="shared" si="134"/>
        <v>1861.1125154840267</v>
      </c>
      <c r="S47" s="61">
        <f>Intermediate!F47*Intermediate!BO47/1000</f>
        <v>1.9906622583341471</v>
      </c>
      <c r="T47" s="19">
        <f>Intermediate!BU47*Intermediate!AU47*86.4*0.365</f>
        <v>39.882502512064391</v>
      </c>
      <c r="U47" s="19">
        <f>Intermediate!AW47*Intermediate!BS47*0.365*86.4</f>
        <v>0.10918326274682287</v>
      </c>
      <c r="V47" s="19">
        <f>(Basicinfo!BL47/1000000)*(Intermediate!BK47-Intermediate!BF47-Intermediate!BG47-Intermediate!BH47)*Intermediate!CV47</f>
        <v>0.24477881727726705</v>
      </c>
      <c r="W47" s="19">
        <f>Intermediate!BI47*Parameters!$C$51/1000000</f>
        <v>4.6138078249947811E-2</v>
      </c>
      <c r="X47" s="19">
        <f>Intermediate!AZ47*Intermediate!CG47*86.4*0.365</f>
        <v>0</v>
      </c>
      <c r="Y47" s="19">
        <f>Intermediate!CM47*Intermediate!BA47*86.4*0.365+Parameters!$C$126*Intermediate!BB47*Basicinfo!P47/1000+Parameters!$C$127*Intermediate!BB47*Basicinfo!S47/1000</f>
        <v>108.42511078619764</v>
      </c>
      <c r="Z47" s="19">
        <f>Intermediate!DG47</f>
        <v>0.11276776354374354</v>
      </c>
      <c r="AA47" s="19">
        <f>Intermediate!DI47</f>
        <v>1.4556639775666897</v>
      </c>
      <c r="AB47" s="19">
        <f>Intermediate!DK47</f>
        <v>0.31030600535979336</v>
      </c>
      <c r="AC47" s="19">
        <f t="shared" si="120"/>
        <v>152.57711346134045</v>
      </c>
      <c r="AD47" s="19">
        <f>Basicinfo!CC47+Basicinfo!CE47+Basicinfo!CH47+Basicinfo!CJ47</f>
        <v>0</v>
      </c>
      <c r="AE47" s="87">
        <f t="shared" si="135"/>
        <v>152.57711346134045</v>
      </c>
      <c r="AF47" s="56">
        <f>Intermediate!F47*Basicinfo!BD47/1000</f>
        <v>4.9225267579142334E-2</v>
      </c>
      <c r="AG47" s="43">
        <f>Intermediate!CA47*Intermediate!AU47*86.4*0.365</f>
        <v>0.60343488448202975</v>
      </c>
      <c r="AH47" s="43">
        <f>Intermediate!AW47*Intermediate!BZ47*0.365*86.4</f>
        <v>1.3063434725130527E-3</v>
      </c>
      <c r="AI47" s="43">
        <f>(Intermediate!CU47/1000000)*(Intermediate!BK47-Intermediate!BF47-Intermediate!BG47-Intermediate!BH47)*Intermediate!CW47</f>
        <v>5.9491334103822978E-2</v>
      </c>
      <c r="AJ47" s="43">
        <f>Intermediate!BF47*Parameters!$C$52/1000000+(Intermediate!BG47+Intermediate!BH47)*Intermediate!CX47/1000000</f>
        <v>0.83233707851021432</v>
      </c>
      <c r="AK47" s="43">
        <f>Intermediate!AZ47*Intermediate!CH47*86.4*0.365</f>
        <v>0</v>
      </c>
      <c r="AL47" s="58">
        <f>Intermediate!CR47*Intermediate!BA47*86.4*0.365</f>
        <v>0.73684385803750807</v>
      </c>
      <c r="AM47" s="43">
        <f>Intermediate!DH47</f>
        <v>2.8547993712091355E-2</v>
      </c>
      <c r="AN47" s="42">
        <f>Intermediate!DJ47</f>
        <v>0.24872753004322978</v>
      </c>
      <c r="AO47" s="42">
        <f>Intermediate!DL47</f>
        <v>4.8603696160465976E-2</v>
      </c>
      <c r="AP47" s="42">
        <f t="shared" si="122"/>
        <v>2.6085179861010177</v>
      </c>
      <c r="AQ47" s="43">
        <f>Basicinfo!CD47+Basicinfo!CF47+Basicinfo!CI47+Basicinfo!CK47</f>
        <v>0.23502149999999999</v>
      </c>
      <c r="AR47" s="83">
        <f t="shared" si="136"/>
        <v>2.8435394861010179</v>
      </c>
      <c r="AS47" s="19">
        <f>F47*86400*365/(Basicinfo!G47*1000000)*1000</f>
        <v>8.6447739273548816</v>
      </c>
      <c r="AT47" s="19">
        <f>G47*86400*365/(Basicinfo!G47*1000000)*1000</f>
        <v>282.50223571743146</v>
      </c>
      <c r="AU47" s="19">
        <f>H47*86400*365/(Basicinfo!G47*1000000)*1000</f>
        <v>0.77338470555722105</v>
      </c>
      <c r="AV47" s="19">
        <f>I47*86400*365/(Basicinfo!G47*1000000)*1000</f>
        <v>0</v>
      </c>
      <c r="AW47" s="19">
        <f>J47*86400*365/(Basicinfo!G47*1000000)*1000</f>
        <v>876.09344184813187</v>
      </c>
      <c r="AX47" s="53">
        <f>K47*86400*365/(Basicinfo!G47*1000000)*1000</f>
        <v>0.43750144773580757</v>
      </c>
      <c r="AY47" s="53">
        <f>L47*86400*365/(Basicinfo!G47*1000000)*1000</f>
        <v>0.59547906142873508</v>
      </c>
      <c r="AZ47" s="53">
        <f>M47*86400*365/(Basicinfo!G47*1000000)*1000</f>
        <v>0.52505250389570057</v>
      </c>
      <c r="BA47" s="19">
        <f t="shared" si="123"/>
        <v>1169.5718692115356</v>
      </c>
      <c r="BB47" s="19">
        <f>O47*86400*365/(Basicinfo!G47*1000000)*1000</f>
        <v>1.023955645130223</v>
      </c>
      <c r="BC47" s="53">
        <f t="shared" si="137"/>
        <v>1170.5958248566658</v>
      </c>
      <c r="BD47" s="56">
        <f>P47/(Basicinfo!G47*100)*1000</f>
        <v>0.91306970499784201</v>
      </c>
      <c r="BE47" s="43">
        <f>Q47/(Basicinfo!G47*100)*1000</f>
        <v>108.09221834785005</v>
      </c>
      <c r="BF47" s="58">
        <f t="shared" si="138"/>
        <v>109.00528805284789</v>
      </c>
      <c r="BG47" s="61">
        <f>S47/(Basicinfo!G47*100)*1000000</f>
        <v>116.5930114812066</v>
      </c>
      <c r="BH47" s="19">
        <f>T47/(Basicinfo!G47*100)*1000000</f>
        <v>2335.9166296645762</v>
      </c>
      <c r="BI47" s="19">
        <f>U47/(Basicinfo!G47*100)*1000000</f>
        <v>6.3948594763879285</v>
      </c>
      <c r="BJ47" s="19">
        <f>V47/(Basicinfo!G47*100)*1000000</f>
        <v>14.336685861039721</v>
      </c>
      <c r="BK47" s="19">
        <f>W47/(Basicinfo!G47*100)*1000000</f>
        <v>2.7023054586962516</v>
      </c>
      <c r="BL47" s="19">
        <f>X47/(Basicinfo!G47*100)*1000000</f>
        <v>0</v>
      </c>
      <c r="BM47" s="19">
        <f>Y47/(Basicinfo!G47*100)*1000000</f>
        <v>6350.4545453758501</v>
      </c>
      <c r="BN47" s="53">
        <f>Z47/(Basicinfo!G47*100)*1000000</f>
        <v>6.6048035494319928</v>
      </c>
      <c r="BO47" s="53">
        <f>AA47/(Basicinfo!G47*100)*1000000</f>
        <v>85.258182867866054</v>
      </c>
      <c r="BP47" s="53">
        <f>AB47/(Basicinfo!G47*100)*1000000</f>
        <v>18.174610732750804</v>
      </c>
      <c r="BQ47" s="19">
        <f t="shared" si="125"/>
        <v>8936.4356344678054</v>
      </c>
      <c r="BR47" s="19">
        <f>AD47/(Basicinfo!G47*100)*1000000</f>
        <v>0</v>
      </c>
      <c r="BS47" s="53">
        <f t="shared" si="139"/>
        <v>8936.4356344678054</v>
      </c>
      <c r="BT47" s="56">
        <f>AF47/(Basicinfo!G47*100)*1000000</f>
        <v>2.8831220183092565</v>
      </c>
      <c r="BU47" s="43">
        <f>AG47/(Basicinfo!G47*100)*1000000</f>
        <v>35.343157846098102</v>
      </c>
      <c r="BV47" s="43">
        <f>AH47/(Basicinfo!G47*100)*1000000</f>
        <v>7.6512486661887188E-2</v>
      </c>
      <c r="BW47" s="43">
        <f>AI47/(Basicinfo!G47*100)*1000000</f>
        <v>3.4844051376167831</v>
      </c>
      <c r="BX47" s="43">
        <f>AJ47/(Basicinfo!G47*100)*1000000</f>
        <v>48.749950497471936</v>
      </c>
      <c r="BY47" s="58">
        <f>AK47/(Basicinfo!G47*100)*1000000</f>
        <v>0</v>
      </c>
      <c r="BZ47" s="58">
        <f>AL47/(Basicinfo!G47*100)*1000000</f>
        <v>43.156916267612772</v>
      </c>
      <c r="CA47" s="58">
        <f>AM47/(Basicinfo!G47*100)*1000000</f>
        <v>1.6720548876154806</v>
      </c>
      <c r="CB47" s="58">
        <f>AN47/(Basicinfo!G47*100)*1000000</f>
        <v>14.567961815024578</v>
      </c>
      <c r="CC47" s="58">
        <f>AO47/(Basicinfo!G47*100)*1000000</f>
        <v>2.8467166043568319</v>
      </c>
      <c r="CD47" s="58">
        <f t="shared" si="126"/>
        <v>152.78079756076764</v>
      </c>
      <c r="CE47" s="58">
        <f>AQ47/(Basicinfo!G47*100)*1000000</f>
        <v>13.765200165477188</v>
      </c>
      <c r="CF47" s="43">
        <f t="shared" si="140"/>
        <v>166.54599772624482</v>
      </c>
      <c r="CG47" s="84"/>
      <c r="CH47" s="84">
        <f t="shared" si="8"/>
        <v>0</v>
      </c>
      <c r="CI47" s="146">
        <f t="shared" si="9"/>
        <v>1.8787377464702266</v>
      </c>
      <c r="CJ47" s="200">
        <f>Intermediate!EW47+Intermediate!EY47+Intermediate!FD47</f>
        <v>65.182221371052862</v>
      </c>
      <c r="CK47" s="180">
        <f>Intermediate!FA47+Intermediate!FF47</f>
        <v>3.1946602644251509</v>
      </c>
      <c r="CL47" s="180">
        <f t="shared" si="141"/>
        <v>0</v>
      </c>
      <c r="CM47" s="180">
        <f t="shared" si="142"/>
        <v>9.5183027348119111</v>
      </c>
      <c r="CN47" s="202">
        <f>Intermediate!EX47+Intermediate!EZ47+Intermediate!FE47</f>
        <v>50.205827084357978</v>
      </c>
      <c r="CO47" s="180">
        <f>Intermediate!FB47+Intermediate!FG47</f>
        <v>2.4215986375733656</v>
      </c>
      <c r="CP47" s="213">
        <f>Intermediate!EP47+Intermediate!EQ47+Intermediate!ER47+Intermediate!ES47+Intermediate!ET47+Intermediate!EU47+Intermediate!EV47+W47</f>
        <v>20.175765622648953</v>
      </c>
      <c r="CQ47" s="212">
        <f t="shared" si="12"/>
        <v>52.627425721931345</v>
      </c>
      <c r="CR47" s="212">
        <f t="shared" si="13"/>
        <v>77.895184370289925</v>
      </c>
      <c r="CS47" s="211">
        <f t="shared" si="143"/>
        <v>0.11276776354374354</v>
      </c>
      <c r="CT47" s="212">
        <f t="shared" si="15"/>
        <v>150.81114347841395</v>
      </c>
      <c r="CU47" s="84"/>
      <c r="CV47" s="31">
        <f t="shared" si="16"/>
        <v>152.57711346134045</v>
      </c>
      <c r="CW47" s="31">
        <f>CH47/Basicinfo!$G47*1000/100</f>
        <v>0</v>
      </c>
      <c r="CX47" s="31">
        <f>CI47/Basicinfo!$G47*1000/100</f>
        <v>0.11003759715004885</v>
      </c>
      <c r="CY47" s="31">
        <f>CS47/Basicinfo!$G47*1000/100</f>
        <v>6.6048035494319923E-3</v>
      </c>
      <c r="CZ47" s="31">
        <f>CN47/Basicinfo!$G47*1000/100</f>
        <v>2.9405533506063217</v>
      </c>
      <c r="DA47" s="31">
        <f>CO47/Basicinfo!$G47*1000/100</f>
        <v>0.1418329385466616</v>
      </c>
      <c r="DB47" s="31">
        <f>CQ47/Basicinfo!$G47*1000/100</f>
        <v>3.082386289152983</v>
      </c>
      <c r="DC47" s="31">
        <f>CJ47/Basicinfo!$G47*1000/100</f>
        <v>3.8177201847617663</v>
      </c>
      <c r="DD47" s="31">
        <f>CK47/Basicinfo!$G47*1000/100</f>
        <v>0.18711112813299416</v>
      </c>
      <c r="DE47" s="31">
        <f>CM47/Basicinfo!$G47*1000/100</f>
        <v>0.55748662305489027</v>
      </c>
      <c r="DF47" s="31">
        <f>CR47/Basicinfo!$G47*1000/100</f>
        <v>4.5623179359496513</v>
      </c>
      <c r="DG47" s="31">
        <f>CP47/Basicinfo!$G47*1000/100</f>
        <v>1.1816938122151222</v>
      </c>
      <c r="DH47" s="31">
        <f>CT47/Basicinfo!$G47*1000/100</f>
        <v>8.8330028408671879</v>
      </c>
      <c r="DI47" s="31">
        <f>CV47/Basicinfo!$G47*1000/100</f>
        <v>8.9364356344678058</v>
      </c>
      <c r="DJ47" s="31"/>
      <c r="DK47" s="188">
        <f t="shared" si="17"/>
        <v>0</v>
      </c>
      <c r="DL47" s="188">
        <f t="shared" si="18"/>
        <v>1.2457552559696199</v>
      </c>
      <c r="DM47" s="188">
        <f t="shared" si="19"/>
        <v>7.4774158555388409E-2</v>
      </c>
      <c r="DN47" s="188">
        <f t="shared" si="20"/>
        <v>33.290528754292012</v>
      </c>
      <c r="DO47" s="188">
        <f t="shared" si="21"/>
        <v>1.6057159847209674</v>
      </c>
      <c r="DP47" s="188">
        <f t="shared" si="22"/>
        <v>34.896244739012978</v>
      </c>
      <c r="DQ47" s="188">
        <f t="shared" si="23"/>
        <v>43.221090874085569</v>
      </c>
      <c r="DR47" s="188">
        <f t="shared" si="24"/>
        <v>2.1183184416889009</v>
      </c>
      <c r="DS47" s="188">
        <f t="shared" si="25"/>
        <v>6.3114054540500817</v>
      </c>
      <c r="DT47" s="188">
        <f t="shared" si="26"/>
        <v>51.650814769824549</v>
      </c>
      <c r="DU47" s="188">
        <f t="shared" si="27"/>
        <v>13.378166332607094</v>
      </c>
      <c r="DV47" s="188">
        <f t="shared" si="28"/>
        <v>100</v>
      </c>
      <c r="DW47" s="188">
        <f t="shared" si="29"/>
        <v>101.17098109741424</v>
      </c>
      <c r="DY47" s="181">
        <f t="shared" si="30"/>
        <v>0.23502149999999999</v>
      </c>
      <c r="DZ47" s="181">
        <f t="shared" si="127"/>
        <v>0.32587921991578717</v>
      </c>
      <c r="EA47" s="185">
        <f t="shared" si="31"/>
        <v>0</v>
      </c>
      <c r="EB47" s="185">
        <f>AG47+AH47+AL47-Intermediate!FJ47-Intermediate!FM47</f>
        <v>0.74916033898787515</v>
      </c>
      <c r="EC47" s="185">
        <f>AI47+AJ47-Intermediate!FK47</f>
        <v>5.1380712306355325E-2</v>
      </c>
      <c r="ED47" s="240">
        <f t="shared" si="32"/>
        <v>4.9225267579142334E-2</v>
      </c>
      <c r="EE47" s="240">
        <f>Intermediate!FJ47+Intermediate!FK47+Intermediate!FM47</f>
        <v>1.4328724473118577</v>
      </c>
      <c r="EF47" s="240">
        <f t="shared" si="33"/>
        <v>0.80054105129423037</v>
      </c>
      <c r="EG47" s="240">
        <f t="shared" si="34"/>
        <v>0.56090071991578716</v>
      </c>
      <c r="EH47" s="240">
        <f t="shared" si="35"/>
        <v>2.8435394861010179</v>
      </c>
      <c r="EI47" s="181">
        <f t="shared" si="36"/>
        <v>2.8435394861010179</v>
      </c>
      <c r="EK47" s="31">
        <f>DY47/Basicinfo!$G47*1000/100</f>
        <v>1.3765200165477188E-2</v>
      </c>
      <c r="EL47" s="31">
        <f>DZ47/Basicinfo!$G47*1000/100</f>
        <v>1.9086733306996891E-2</v>
      </c>
      <c r="EM47" s="220">
        <f>EG47/Basicinfo!$G47*1000/100</f>
        <v>3.2851933472474081E-2</v>
      </c>
      <c r="EN47" s="220">
        <f>ED47/Basicinfo!$G47*1000/100</f>
        <v>2.8831220183092566E-3</v>
      </c>
      <c r="EO47" s="220">
        <f>EF47/Basicinfo!$G47*1000/100</f>
        <v>4.6887658413152081E-2</v>
      </c>
      <c r="EP47" s="220">
        <f>EE47/Basicinfo!$G47*1000/100</f>
        <v>8.3923283822309389E-2</v>
      </c>
      <c r="EQ47" s="220">
        <f>EH47/Basicinfo!$G47*1000/100</f>
        <v>0.16654599772624482</v>
      </c>
      <c r="ER47" s="31">
        <f>EI47/Basicinfo!$G47*1000/100</f>
        <v>0.16654599772624482</v>
      </c>
      <c r="ET47" s="188">
        <f t="shared" si="37"/>
        <v>8.265104147446003</v>
      </c>
      <c r="EU47" s="188">
        <f t="shared" si="38"/>
        <v>11.460337424841729</v>
      </c>
      <c r="EV47" s="223">
        <f t="shared" si="39"/>
        <v>19.725441572287735</v>
      </c>
      <c r="EW47" s="223">
        <f t="shared" si="40"/>
        <v>1.7311265702393552</v>
      </c>
      <c r="EX47" s="223">
        <f t="shared" si="41"/>
        <v>28.152978188177368</v>
      </c>
      <c r="EY47" s="223">
        <f t="shared" si="42"/>
        <v>50.390453669295532</v>
      </c>
      <c r="EZ47" s="223">
        <f t="shared" si="43"/>
        <v>100</v>
      </c>
      <c r="FA47" s="188">
        <f t="shared" si="44"/>
        <v>100</v>
      </c>
      <c r="FC47" s="236"/>
      <c r="FD47" s="181">
        <f>IF((Intermediate!CL47+Intermediate!CM47*3)/4&gt;11,(Intermediate!CL47+Intermediate!CM47*9)/10,(Intermediate!CL47+Intermediate!CM47*3)/4)</f>
        <v>0.83307381174080697</v>
      </c>
      <c r="FF47" s="31">
        <f t="shared" si="45"/>
        <v>4.9225267579142334E-2</v>
      </c>
      <c r="FG47" s="31">
        <f t="shared" si="46"/>
        <v>0.60343488448202975</v>
      </c>
      <c r="FH47" s="31">
        <f t="shared" si="47"/>
        <v>1.3063434725130527E-3</v>
      </c>
      <c r="FI47" s="31">
        <f>(AI47-(P47*450/1000000))*Parameters!$C$153</f>
        <v>4.1980888508057181E-2</v>
      </c>
      <c r="FJ47" s="31"/>
      <c r="FK47" s="31">
        <f t="shared" si="48"/>
        <v>0</v>
      </c>
      <c r="FL47" s="31">
        <f t="shared" si="49"/>
        <v>0.73684385803750807</v>
      </c>
      <c r="FM47" s="31">
        <f>AM47*Parameters!$C$154</f>
        <v>2.5693194340882221E-2</v>
      </c>
      <c r="FN47" s="31">
        <f>AN47*Parameters!$C$154</f>
        <v>0.2238547770389068</v>
      </c>
      <c r="FO47" s="31">
        <f>AO47*Parameters!$C$154</f>
        <v>4.3743326544419377E-2</v>
      </c>
      <c r="FP47" s="31">
        <f>AQ47*Parameters!$C$155</f>
        <v>0.23502149999999999</v>
      </c>
      <c r="FQ47" s="31">
        <f t="shared" si="50"/>
        <v>1.9611040400034587</v>
      </c>
      <c r="FS47" s="147">
        <f>DY47*Parameters!$C$155</f>
        <v>0.23502149999999999</v>
      </c>
      <c r="FT47" s="147">
        <f>DZ47*Parameters!$C$154</f>
        <v>0.29329129792420844</v>
      </c>
      <c r="FU47" s="181">
        <f t="shared" si="51"/>
        <v>0</v>
      </c>
      <c r="FV47" s="181">
        <f t="shared" si="52"/>
        <v>0.74916033898787515</v>
      </c>
      <c r="FW47" s="31">
        <f t="shared" si="53"/>
        <v>4.1980888508057146E-2</v>
      </c>
      <c r="FX47" s="181">
        <f t="shared" si="54"/>
        <v>4.9225267579142334E-2</v>
      </c>
      <c r="FY47" s="147">
        <f>Intermediate!FJ47+Intermediate!FM47</f>
        <v>0.59242474700417569</v>
      </c>
      <c r="FZ47" s="181">
        <f t="shared" si="55"/>
        <v>0.7911412274959323</v>
      </c>
      <c r="GA47" s="147">
        <f t="shared" si="56"/>
        <v>0.52831279792420838</v>
      </c>
      <c r="GB47" s="181">
        <f t="shared" si="57"/>
        <v>1.9611040400034587</v>
      </c>
      <c r="GD47" s="147">
        <f>IF('River loads'!CH47&gt;0.99,1,0)</f>
        <v>0</v>
      </c>
      <c r="GE47" s="147">
        <f t="shared" si="58"/>
        <v>0</v>
      </c>
      <c r="GF47" s="147">
        <f t="shared" si="59"/>
        <v>0</v>
      </c>
      <c r="GG47" s="147">
        <f t="shared" si="60"/>
        <v>0</v>
      </c>
      <c r="GH47" s="147">
        <f t="shared" si="61"/>
        <v>0</v>
      </c>
      <c r="GI47" s="147">
        <f t="shared" si="62"/>
        <v>0</v>
      </c>
      <c r="GJ47" s="147">
        <f t="shared" si="63"/>
        <v>0</v>
      </c>
      <c r="GK47" s="147">
        <f t="shared" si="64"/>
        <v>0</v>
      </c>
      <c r="GL47" s="147">
        <f t="shared" si="65"/>
        <v>0</v>
      </c>
      <c r="GM47" s="270">
        <f t="shared" si="128"/>
        <v>0</v>
      </c>
      <c r="GN47" s="270">
        <f t="shared" si="129"/>
        <v>0</v>
      </c>
      <c r="GO47" s="147">
        <f t="shared" si="66"/>
        <v>0</v>
      </c>
      <c r="GP47" s="147">
        <f t="shared" si="67"/>
        <v>0</v>
      </c>
      <c r="GQ47" s="147"/>
      <c r="GR47" s="147">
        <f t="shared" si="68"/>
        <v>0</v>
      </c>
      <c r="GS47" s="147">
        <f t="shared" si="69"/>
        <v>0</v>
      </c>
      <c r="GT47" s="147">
        <f t="shared" si="70"/>
        <v>0</v>
      </c>
      <c r="GU47" s="147">
        <f t="shared" si="71"/>
        <v>0</v>
      </c>
      <c r="GV47" s="147">
        <f t="shared" si="72"/>
        <v>0</v>
      </c>
      <c r="GW47" s="147">
        <f t="shared" si="73"/>
        <v>0</v>
      </c>
      <c r="GX47" s="147">
        <f t="shared" si="74"/>
        <v>0</v>
      </c>
      <c r="GY47" s="147">
        <f t="shared" si="75"/>
        <v>0</v>
      </c>
      <c r="GZ47" s="147">
        <f t="shared" si="130"/>
        <v>0</v>
      </c>
      <c r="HA47" s="147">
        <f t="shared" si="131"/>
        <v>0</v>
      </c>
      <c r="HB47" s="147">
        <f t="shared" si="76"/>
        <v>0</v>
      </c>
      <c r="HC47" s="147">
        <f t="shared" si="77"/>
        <v>0</v>
      </c>
      <c r="HD47" s="147"/>
      <c r="HE47" s="147">
        <f t="shared" si="78"/>
        <v>0</v>
      </c>
      <c r="HF47" s="147">
        <f t="shared" si="79"/>
        <v>0</v>
      </c>
      <c r="HG47" s="147">
        <f t="shared" si="80"/>
        <v>0</v>
      </c>
      <c r="HH47" s="147">
        <f t="shared" si="81"/>
        <v>0</v>
      </c>
      <c r="HI47" s="147">
        <f t="shared" si="82"/>
        <v>0</v>
      </c>
      <c r="HJ47" s="147">
        <f t="shared" si="83"/>
        <v>0</v>
      </c>
      <c r="HK47" s="147">
        <f t="shared" si="84"/>
        <v>0</v>
      </c>
      <c r="HL47" s="147">
        <f t="shared" si="85"/>
        <v>0</v>
      </c>
      <c r="HM47" s="147">
        <f t="shared" si="86"/>
        <v>0</v>
      </c>
      <c r="HN47" s="147">
        <f t="shared" si="87"/>
        <v>0</v>
      </c>
      <c r="HO47" s="147">
        <f t="shared" si="88"/>
        <v>0</v>
      </c>
      <c r="HQ47" s="147">
        <f t="shared" si="89"/>
        <v>0</v>
      </c>
      <c r="HR47" s="147">
        <f t="shared" si="90"/>
        <v>0</v>
      </c>
      <c r="HS47" s="147">
        <f t="shared" si="91"/>
        <v>0</v>
      </c>
      <c r="HT47" s="147">
        <f t="shared" si="92"/>
        <v>0</v>
      </c>
      <c r="HU47" s="147">
        <f t="shared" si="93"/>
        <v>0</v>
      </c>
      <c r="HV47" s="147">
        <f t="shared" si="94"/>
        <v>0</v>
      </c>
      <c r="HW47" s="147">
        <f t="shared" si="95"/>
        <v>0</v>
      </c>
      <c r="HX47" s="147">
        <f t="shared" si="96"/>
        <v>0</v>
      </c>
      <c r="HY47" s="147">
        <f t="shared" si="97"/>
        <v>0</v>
      </c>
      <c r="HZ47" s="147">
        <f t="shared" si="98"/>
        <v>0</v>
      </c>
      <c r="IB47" s="147">
        <f>IF('River loads'!CI47&gt;0.99,1,0)</f>
        <v>0</v>
      </c>
      <c r="IC47">
        <f t="shared" si="144"/>
        <v>0</v>
      </c>
      <c r="ID47">
        <f t="shared" si="145"/>
        <v>0</v>
      </c>
      <c r="IE47">
        <f t="shared" si="146"/>
        <v>0</v>
      </c>
      <c r="IF47">
        <f t="shared" si="147"/>
        <v>0</v>
      </c>
      <c r="IG47">
        <f t="shared" si="148"/>
        <v>0</v>
      </c>
      <c r="IH47">
        <f t="shared" si="149"/>
        <v>0</v>
      </c>
      <c r="II47">
        <f t="shared" si="150"/>
        <v>0</v>
      </c>
      <c r="IJ47">
        <f t="shared" si="151"/>
        <v>0</v>
      </c>
      <c r="IK47">
        <f t="shared" si="132"/>
        <v>0</v>
      </c>
      <c r="IL47">
        <f t="shared" si="133"/>
        <v>0</v>
      </c>
      <c r="IM47">
        <f t="shared" si="107"/>
        <v>0</v>
      </c>
      <c r="IN47">
        <f t="shared" si="108"/>
        <v>0</v>
      </c>
      <c r="IP47">
        <f t="shared" si="109"/>
        <v>0</v>
      </c>
      <c r="IQ47">
        <f t="shared" si="110"/>
        <v>0</v>
      </c>
      <c r="IR47">
        <f t="shared" si="111"/>
        <v>0</v>
      </c>
      <c r="IS47">
        <f t="shared" si="112"/>
        <v>0</v>
      </c>
      <c r="IT47">
        <f t="shared" si="113"/>
        <v>0</v>
      </c>
      <c r="IU47">
        <f t="shared" si="114"/>
        <v>0</v>
      </c>
      <c r="IV47">
        <f t="shared" si="115"/>
        <v>0</v>
      </c>
      <c r="IW47">
        <f t="shared" si="116"/>
        <v>0</v>
      </c>
      <c r="IX47">
        <f t="shared" si="117"/>
        <v>0</v>
      </c>
    </row>
    <row r="48" spans="1:258">
      <c r="A48" s="39" t="str">
        <f>Basicinfo!A48</f>
        <v>Teichl</v>
      </c>
      <c r="B48" s="63">
        <f>Basicinfo!B48</f>
        <v>1530</v>
      </c>
      <c r="C48" s="63">
        <f>Basicinfo!C48</f>
        <v>1560</v>
      </c>
      <c r="D48" s="130">
        <f>Basicinfo!G48</f>
        <v>238.968458156</v>
      </c>
      <c r="E48" s="87">
        <f t="shared" si="118"/>
        <v>13.077972155392096</v>
      </c>
      <c r="F48" s="19">
        <f>Intermediate!AR48</f>
        <v>4.7614322419934685E-2</v>
      </c>
      <c r="G48" s="19">
        <f>Intermediate!AU48</f>
        <v>3.4645527338855091</v>
      </c>
      <c r="H48" s="19">
        <f>Intermediate!AW48</f>
        <v>0.11925156930984351</v>
      </c>
      <c r="I48" s="19">
        <f>Intermediate!AZ48</f>
        <v>8.904884429028187E-2</v>
      </c>
      <c r="J48" s="19">
        <f>Intermediate!BA48</f>
        <v>9.3027535839927289</v>
      </c>
      <c r="K48" s="19">
        <f>Intermediate!AC48</f>
        <v>5.3812659822333551E-3</v>
      </c>
      <c r="L48" s="19">
        <f>Intermediate!AO48</f>
        <v>8.0979220863597063E-3</v>
      </c>
      <c r="M48" s="19">
        <f>Intermediate!AP48</f>
        <v>8.4538954986028651E-3</v>
      </c>
      <c r="N48" s="19">
        <f t="shared" si="119"/>
        <v>13.045154137465493</v>
      </c>
      <c r="O48" s="19">
        <f>Basicinfo!CB48+Basicinfo!CG48</f>
        <v>3.2818017926602397E-2</v>
      </c>
      <c r="P48" s="56">
        <f>Intermediate!BK48-Intermediate!BI48</f>
        <v>51.462007820011422</v>
      </c>
      <c r="Q48" s="43">
        <f>Intermediate!BI48</f>
        <v>2379.7673652249441</v>
      </c>
      <c r="R48" s="88">
        <f t="shared" si="134"/>
        <v>2431.2293730449555</v>
      </c>
      <c r="S48" s="61">
        <f>Intermediate!F48*Intermediate!BO48/1000</f>
        <v>1.927001017961014</v>
      </c>
      <c r="T48" s="19">
        <f>Intermediate!BU48*Intermediate!AU48*86.4*0.365</f>
        <v>83.293513842081495</v>
      </c>
      <c r="U48" s="19">
        <f>Intermediate!AW48*Intermediate!BS48*0.365*86.4</f>
        <v>2.8647861377251687</v>
      </c>
      <c r="V48" s="19">
        <f>(Basicinfo!BL48/1000000)*(Intermediate!BK48-Intermediate!BF48-Intermediate!BG48-Intermediate!BH48)*Intermediate!CV48</f>
        <v>0.95085917145120835</v>
      </c>
      <c r="W48" s="19">
        <f>Intermediate!BI48*Parameters!$C$51/1000000</f>
        <v>5.9494184130623601E-2</v>
      </c>
      <c r="X48" s="19">
        <f>Intermediate!AZ48*Intermediate!CG48*86.4*0.365</f>
        <v>21.453680401363531</v>
      </c>
      <c r="Y48" s="19">
        <f>Intermediate!CM48*Intermediate!BA48*86.4*0.365+Parameters!$C$126*Intermediate!BB48*Basicinfo!P48/1000+Parameters!$C$127*Intermediate!BB48*Basicinfo!S48/1000</f>
        <v>235.75828918605197</v>
      </c>
      <c r="Z48" s="19">
        <f>Intermediate!DG48</f>
        <v>0.28179407176763249</v>
      </c>
      <c r="AA48" s="19">
        <f>Intermediate!DI48</f>
        <v>3.0680479271366443</v>
      </c>
      <c r="AB48" s="19">
        <f>Intermediate!DK48</f>
        <v>0.62095052880872048</v>
      </c>
      <c r="AC48" s="19">
        <f t="shared" si="120"/>
        <v>350.2784164684781</v>
      </c>
      <c r="AD48" s="19">
        <f>Basicinfo!CC48+Basicinfo!CE48+Basicinfo!CH48+Basicinfo!CJ48</f>
        <v>3.8157775000000003</v>
      </c>
      <c r="AE48" s="87">
        <f t="shared" si="135"/>
        <v>354.09419396847812</v>
      </c>
      <c r="AF48" s="56">
        <f>Intermediate!F48*Basicinfo!BD48/1000</f>
        <v>5.4912927472964584E-2</v>
      </c>
      <c r="AG48" s="43">
        <f>Intermediate!CA48*Intermediate!AU48*86.4*0.365</f>
        <v>2.2840417242035591</v>
      </c>
      <c r="AH48" s="43">
        <f>Intermediate!AW48*Intermediate!BZ48*0.365*86.4</f>
        <v>3.3524713728542245E-2</v>
      </c>
      <c r="AI48" s="43">
        <f>(Intermediate!CU48/1000000)*(Intermediate!BK48-Intermediate!BF48-Intermediate!BG48-Intermediate!BH48)*Intermediate!CW48</f>
        <v>0.20624069584986648</v>
      </c>
      <c r="AJ48" s="43">
        <f>Intermediate!BF48*Parameters!$C$52/1000000+(Intermediate!BG48+Intermediate!BH48)*Intermediate!CX48/1000000</f>
        <v>1.1244643733568058</v>
      </c>
      <c r="AK48" s="43">
        <f>Intermediate!AZ48*Intermediate!CH48*86.4*0.365</f>
        <v>0.92436125367032262</v>
      </c>
      <c r="AL48" s="58">
        <f>Intermediate!CR48*Intermediate!BA48*86.4*0.365</f>
        <v>1.4451672127191086</v>
      </c>
      <c r="AM48" s="43">
        <f>Intermediate!DH48</f>
        <v>8.4925251366299401E-2</v>
      </c>
      <c r="AN48" s="42">
        <f>Intermediate!DJ48</f>
        <v>0.55117920525982322</v>
      </c>
      <c r="AO48" s="42">
        <f>Intermediate!DL48</f>
        <v>0.10878786995550738</v>
      </c>
      <c r="AP48" s="42">
        <f t="shared" si="122"/>
        <v>6.8176052275827983</v>
      </c>
      <c r="AQ48" s="43">
        <f>Basicinfo!CD48+Basicinfo!CF48+Basicinfo!CI48+Basicinfo!CK48</f>
        <v>0.78827066666666656</v>
      </c>
      <c r="AR48" s="83">
        <f t="shared" si="136"/>
        <v>7.6058758942494649</v>
      </c>
      <c r="AS48" s="19">
        <f>F48*86400*365/(Basicinfo!G48*1000000)*1000</f>
        <v>6.2835291461554723</v>
      </c>
      <c r="AT48" s="19">
        <f>G48*86400*365/(Basicinfo!G48*1000000)*1000</f>
        <v>457.20734802786853</v>
      </c>
      <c r="AU48" s="19">
        <f>H48*86400*365/(Basicinfo!G48*1000000)*1000</f>
        <v>15.737296540199488</v>
      </c>
      <c r="AV48" s="19">
        <f>I48*86400*365/(Basicinfo!G48*1000000)*1000</f>
        <v>11.751527273549595</v>
      </c>
      <c r="AW48" s="19">
        <f>J48*86400*365/(Basicinfo!G48*1000000)*1000</f>
        <v>1227.6584085138131</v>
      </c>
      <c r="AX48" s="53">
        <f>K48*86400*365/(Basicinfo!G48*1000000)*1000</f>
        <v>0.7101506421610152</v>
      </c>
      <c r="AY48" s="53">
        <f>L48*86400*365/(Basicinfo!G48*1000000)*1000</f>
        <v>1.0686601607846031</v>
      </c>
      <c r="AZ48" s="53">
        <f>M48*86400*365/(Basicinfo!G48*1000000)*1000</f>
        <v>1.1156369777885105</v>
      </c>
      <c r="BA48" s="19">
        <f t="shared" si="123"/>
        <v>1721.5325572823206</v>
      </c>
      <c r="BB48" s="19">
        <f>O48*86400*365/(Basicinfo!G48*1000000)*1000</f>
        <v>4.3309021672546946</v>
      </c>
      <c r="BC48" s="53">
        <f t="shared" si="137"/>
        <v>1725.8634594495752</v>
      </c>
      <c r="BD48" s="56">
        <f>P48/(Basicinfo!G48*100)*1000</f>
        <v>2.1535062918812793</v>
      </c>
      <c r="BE48" s="43">
        <f>Q48/(Basicinfo!G48*100)*1000</f>
        <v>99.584998940379748</v>
      </c>
      <c r="BF48" s="58">
        <f t="shared" si="138"/>
        <v>101.73850523226103</v>
      </c>
      <c r="BG48" s="61">
        <f>S48/(Basicinfo!G48*100)*1000000</f>
        <v>80.63829983382395</v>
      </c>
      <c r="BH48" s="19">
        <f>T48/(Basicinfo!G48*100)*1000000</f>
        <v>3485.5442632394193</v>
      </c>
      <c r="BI48" s="19">
        <f>U48/(Basicinfo!G48*100)*1000000</f>
        <v>119.88135002549248</v>
      </c>
      <c r="BJ48" s="19">
        <f>V48/(Basicinfo!G48*100)*1000000</f>
        <v>39.790153846600212</v>
      </c>
      <c r="BK48" s="19">
        <f>W48/(Basicinfo!G48*100)*1000000</f>
        <v>2.489624973509494</v>
      </c>
      <c r="BL48" s="19">
        <f>X48/(Basicinfo!G48*100)*1000000</f>
        <v>897.76201289956202</v>
      </c>
      <c r="BM48" s="19">
        <f>Y48/(Basicinfo!G48*100)*1000000</f>
        <v>9865.6655780131277</v>
      </c>
      <c r="BN48" s="53">
        <f>Z48/(Basicinfo!G48*100)*1000000</f>
        <v>11.792103189772256</v>
      </c>
      <c r="BO48" s="53">
        <f>AA48/(Basicinfo!G48*100)*1000000</f>
        <v>128.3871499532296</v>
      </c>
      <c r="BP48" s="53">
        <f>AB48/(Basicinfo!G48*100)*1000000</f>
        <v>25.984622974943431</v>
      </c>
      <c r="BQ48" s="19">
        <f t="shared" si="125"/>
        <v>14657.93515894948</v>
      </c>
      <c r="BR48" s="19">
        <f>AD48/(Basicinfo!G48*100)*1000000</f>
        <v>159.67703559894247</v>
      </c>
      <c r="BS48" s="53">
        <f t="shared" si="139"/>
        <v>14817.612194548423</v>
      </c>
      <c r="BT48" s="56">
        <f>AF48/(Basicinfo!G48*100)*1000000</f>
        <v>2.2979152937881495</v>
      </c>
      <c r="BU48" s="43">
        <f>AG48/(Basicinfo!G48*100)*1000000</f>
        <v>95.579213333356478</v>
      </c>
      <c r="BV48" s="43">
        <f>AH48/(Basicinfo!G48*100)*1000000</f>
        <v>1.4028928331059123</v>
      </c>
      <c r="BW48" s="43">
        <f>AI48/(Basicinfo!G48*100)*1000000</f>
        <v>8.6304568159882997</v>
      </c>
      <c r="BX48" s="43">
        <f>AJ48/(Basicinfo!G48*100)*1000000</f>
        <v>47.054928589058768</v>
      </c>
      <c r="BY48" s="58">
        <f>AK48/(Basicinfo!G48*100)*1000000</f>
        <v>38.681308018771844</v>
      </c>
      <c r="BZ48" s="58">
        <f>AL48/(Basicinfo!G48*100)*1000000</f>
        <v>60.47522856659581</v>
      </c>
      <c r="CA48" s="58">
        <f>AM48/(Basicinfo!G48*100)*1000000</f>
        <v>3.5538268113551501</v>
      </c>
      <c r="CB48" s="58">
        <f>AN48/(Basicinfo!G48*100)*1000000</f>
        <v>23.064935410848669</v>
      </c>
      <c r="CC48" s="58">
        <f>AO48/(Basicinfo!G48*100)*1000000</f>
        <v>4.5523945208070113</v>
      </c>
      <c r="CD48" s="58">
        <f t="shared" si="126"/>
        <v>285.29310019367608</v>
      </c>
      <c r="CE48" s="58">
        <f>AQ48/(Basicinfo!G48*100)*1000000</f>
        <v>32.986389615991875</v>
      </c>
      <c r="CF48" s="43">
        <f t="shared" si="140"/>
        <v>318.27948980966795</v>
      </c>
      <c r="CG48" s="84"/>
      <c r="CH48" s="84">
        <f t="shared" si="8"/>
        <v>3.8157775000000003</v>
      </c>
      <c r="CI48" s="146">
        <f t="shared" si="9"/>
        <v>3.9707925277129972</v>
      </c>
      <c r="CJ48" s="200">
        <f>Intermediate!EW48+Intermediate!EY48+Intermediate!FD48</f>
        <v>89.313711537180069</v>
      </c>
      <c r="CK48" s="180">
        <f>Intermediate!FA48+Intermediate!FF48</f>
        <v>14.24494830144045</v>
      </c>
      <c r="CL48" s="180">
        <f t="shared" si="141"/>
        <v>21.453680401363531</v>
      </c>
      <c r="CM48" s="180">
        <f t="shared" si="142"/>
        <v>76.514766454986244</v>
      </c>
      <c r="CN48" s="202">
        <f>Intermediate!EX48+Intermediate!EZ48+Intermediate!FE48</f>
        <v>68.96805805076454</v>
      </c>
      <c r="CO48" s="180">
        <f>Intermediate!FB48+Intermediate!FG48</f>
        <v>10.675765788598888</v>
      </c>
      <c r="CP48" s="213">
        <f>Intermediate!EP48+Intermediate!EQ48+Intermediate!ER48+Intermediate!ES48+Intermediate!ET48+Intermediate!EU48+Intermediate!EV48+W48</f>
        <v>65.136693406431363</v>
      </c>
      <c r="CQ48" s="212">
        <f t="shared" si="12"/>
        <v>79.643823839363421</v>
      </c>
      <c r="CR48" s="212">
        <f t="shared" si="13"/>
        <v>201.52710669497029</v>
      </c>
      <c r="CS48" s="211">
        <f t="shared" si="143"/>
        <v>4.0975715717676326</v>
      </c>
      <c r="CT48" s="212">
        <f t="shared" si="15"/>
        <v>350.40519551253271</v>
      </c>
      <c r="CU48" s="84"/>
      <c r="CV48" s="31">
        <f t="shared" si="16"/>
        <v>354.09419396847812</v>
      </c>
      <c r="CW48" s="31">
        <f>CH48/Basicinfo!$G48*1000/100</f>
        <v>0.15967703559894245</v>
      </c>
      <c r="CX48" s="31">
        <f>CI48/Basicinfo!$G48*1000/100</f>
        <v>0.16616387611794528</v>
      </c>
      <c r="CY48" s="31">
        <f>CS48/Basicinfo!$G48*1000/100</f>
        <v>0.17146913878871473</v>
      </c>
      <c r="CZ48" s="31">
        <f>CN48/Basicinfo!$G48*1000/100</f>
        <v>2.8860736928612476</v>
      </c>
      <c r="DA48" s="31">
        <f>CO48/Basicinfo!$G48*1000/100</f>
        <v>0.44674371969331977</v>
      </c>
      <c r="DB48" s="31">
        <f>CQ48/Basicinfo!$G48*1000/100</f>
        <v>3.3328174125545669</v>
      </c>
      <c r="DC48" s="31">
        <f>CJ48/Basicinfo!$G48*1000/100</f>
        <v>3.737468627716364</v>
      </c>
      <c r="DD48" s="31">
        <f>CK48/Basicinfo!$G48*1000/100</f>
        <v>0.59610161154160624</v>
      </c>
      <c r="DE48" s="31">
        <f>CM48/Basicinfo!$G48*1000/100</f>
        <v>3.201877228710952</v>
      </c>
      <c r="DF48" s="31">
        <f>CR48/Basicinfo!$G48*1000/100</f>
        <v>8.4332094808684843</v>
      </c>
      <c r="DG48" s="31">
        <f>CP48/Basicinfo!$G48*1000/100</f>
        <v>2.7257443894084865</v>
      </c>
      <c r="DH48" s="31">
        <f>CT48/Basicinfo!$G48*1000/100</f>
        <v>14.663240421620253</v>
      </c>
      <c r="DI48" s="31">
        <f>CV48/Basicinfo!$G48*1000/100</f>
        <v>14.817612194548428</v>
      </c>
      <c r="DJ48" s="31"/>
      <c r="DK48" s="188">
        <f t="shared" si="17"/>
        <v>1.0889614505911411</v>
      </c>
      <c r="DL48" s="188">
        <f t="shared" si="18"/>
        <v>1.1332002431941612</v>
      </c>
      <c r="DM48" s="188">
        <f t="shared" si="19"/>
        <v>1.1693809407632136</v>
      </c>
      <c r="DN48" s="188">
        <f t="shared" si="20"/>
        <v>19.682373130879508</v>
      </c>
      <c r="DO48" s="188">
        <f t="shared" si="21"/>
        <v>3.0466916373724415</v>
      </c>
      <c r="DP48" s="188">
        <f t="shared" si="22"/>
        <v>22.729064768251948</v>
      </c>
      <c r="DQ48" s="188">
        <f t="shared" si="23"/>
        <v>25.488694996814239</v>
      </c>
      <c r="DR48" s="188">
        <f t="shared" si="24"/>
        <v>4.0652788497055719</v>
      </c>
      <c r="DS48" s="188">
        <f t="shared" si="25"/>
        <v>21.836082179965732</v>
      </c>
      <c r="DT48" s="188">
        <f t="shared" si="26"/>
        <v>57.512590930679394</v>
      </c>
      <c r="DU48" s="188">
        <f t="shared" si="27"/>
        <v>18.588963360305442</v>
      </c>
      <c r="DV48" s="188">
        <f t="shared" si="28"/>
        <v>100</v>
      </c>
      <c r="DW48" s="188">
        <f t="shared" si="29"/>
        <v>101.05278075302211</v>
      </c>
      <c r="DY48" s="181">
        <f t="shared" si="30"/>
        <v>0.78827066666666656</v>
      </c>
      <c r="DZ48" s="181">
        <f t="shared" si="127"/>
        <v>0.74489232658162996</v>
      </c>
      <c r="EA48" s="185">
        <f t="shared" si="31"/>
        <v>0.92436125367032262</v>
      </c>
      <c r="EB48" s="185">
        <f>AG48+AH48+AL48-Intermediate!FJ48-Intermediate!FM48</f>
        <v>1.6953221600898012</v>
      </c>
      <c r="EC48" s="185">
        <f>AI48+AJ48-Intermediate!FK48</f>
        <v>0.17294179711381452</v>
      </c>
      <c r="ED48" s="240">
        <f t="shared" si="32"/>
        <v>5.4912927472964584E-2</v>
      </c>
      <c r="EE48" s="240">
        <f>Intermediate!FJ48+Intermediate!FK48+Intermediate!FM48</f>
        <v>3.2251747626542668</v>
      </c>
      <c r="EF48" s="240">
        <f t="shared" si="33"/>
        <v>2.792625210873938</v>
      </c>
      <c r="EG48" s="240">
        <f t="shared" si="34"/>
        <v>1.5331629932482964</v>
      </c>
      <c r="EH48" s="240">
        <f t="shared" si="35"/>
        <v>7.6058758942494658</v>
      </c>
      <c r="EI48" s="181">
        <f t="shared" si="36"/>
        <v>7.6058758942494649</v>
      </c>
      <c r="EK48" s="31">
        <f>DY48/Basicinfo!$G48*1000/100</f>
        <v>3.2986389615991867E-2</v>
      </c>
      <c r="EL48" s="31">
        <f>DZ48/Basicinfo!$G48*1000/100</f>
        <v>3.1171156743010825E-2</v>
      </c>
      <c r="EM48" s="220">
        <f>EG48/Basicinfo!$G48*1000/100</f>
        <v>6.4157546359002685E-2</v>
      </c>
      <c r="EN48" s="220">
        <f>ED48/Basicinfo!$G48*1000/100</f>
        <v>2.2979152937881494E-3</v>
      </c>
      <c r="EO48" s="220">
        <f>EF48/Basicinfo!$G48*1000/100</f>
        <v>0.11686166586265107</v>
      </c>
      <c r="EP48" s="220">
        <f>EE48/Basicinfo!$G48*1000/100</f>
        <v>0.13496236229422606</v>
      </c>
      <c r="EQ48" s="220">
        <f>EH48/Basicinfo!$G48*1000/100</f>
        <v>0.31827948980966797</v>
      </c>
      <c r="ER48" s="31">
        <f>EI48/Basicinfo!$G48*1000/100</f>
        <v>0.31827948980966786</v>
      </c>
      <c r="ET48" s="188">
        <f t="shared" si="37"/>
        <v>10.363969615421286</v>
      </c>
      <c r="EU48" s="188">
        <f t="shared" si="38"/>
        <v>9.7936429273690475</v>
      </c>
      <c r="EV48" s="223">
        <f t="shared" si="39"/>
        <v>20.157612542790332</v>
      </c>
      <c r="EW48" s="223">
        <f t="shared" si="40"/>
        <v>0.72198032463930051</v>
      </c>
      <c r="EX48" s="223">
        <f t="shared" si="41"/>
        <v>36.716681283024144</v>
      </c>
      <c r="EY48" s="223">
        <f t="shared" si="42"/>
        <v>42.403725849546255</v>
      </c>
      <c r="EZ48" s="223">
        <f t="shared" si="43"/>
        <v>100.00000000000004</v>
      </c>
      <c r="FA48" s="188">
        <f t="shared" si="44"/>
        <v>100</v>
      </c>
      <c r="FC48" s="236">
        <f>Basicinfo!CT48</f>
        <v>0.68870967741935485</v>
      </c>
      <c r="FD48" s="181">
        <f>IF((Intermediate!CL48+Intermediate!CM48*3)/4&gt;11,(Intermediate!CL48+Intermediate!CM48*9)/10,(Intermediate!CL48+Intermediate!CM48*3)/4)</f>
        <v>0.82096096536653951</v>
      </c>
      <c r="FF48" s="31">
        <f t="shared" si="45"/>
        <v>5.4912927472964584E-2</v>
      </c>
      <c r="FG48" s="31">
        <f t="shared" si="46"/>
        <v>2.2840417242035591</v>
      </c>
      <c r="FH48" s="31">
        <f t="shared" si="47"/>
        <v>3.3524713728542245E-2</v>
      </c>
      <c r="FI48" s="31">
        <f>(AI48-(P48*450/1000000))*Parameters!$C$153</f>
        <v>0.14646623386468907</v>
      </c>
      <c r="FJ48" s="31"/>
      <c r="FK48" s="31">
        <f t="shared" si="48"/>
        <v>0.92436125367032262</v>
      </c>
      <c r="FL48" s="31">
        <f t="shared" si="49"/>
        <v>1.4451672127191086</v>
      </c>
      <c r="FM48" s="31">
        <f>AM48*Parameters!$C$154</f>
        <v>7.6432726229669457E-2</v>
      </c>
      <c r="FN48" s="31">
        <f>AN48*Parameters!$C$154</f>
        <v>0.49606128473384092</v>
      </c>
      <c r="FO48" s="31">
        <f>AO48*Parameters!$C$154</f>
        <v>9.7909082959956636E-2</v>
      </c>
      <c r="FP48" s="31">
        <f>AQ48*Parameters!$C$155</f>
        <v>0.78827066666666656</v>
      </c>
      <c r="FQ48" s="31">
        <f t="shared" si="50"/>
        <v>6.3471478262493211</v>
      </c>
      <c r="FS48" s="147">
        <f>DY48*Parameters!$C$155</f>
        <v>0.78827066666666656</v>
      </c>
      <c r="FT48" s="147">
        <f>DZ48*Parameters!$C$154</f>
        <v>0.67040309392346698</v>
      </c>
      <c r="FU48" s="181">
        <f t="shared" si="51"/>
        <v>0.92436125367032262</v>
      </c>
      <c r="FV48" s="181">
        <f t="shared" si="52"/>
        <v>1.6953221600898012</v>
      </c>
      <c r="FW48" s="31">
        <f t="shared" si="53"/>
        <v>0.14646623386469004</v>
      </c>
      <c r="FX48" s="181">
        <f t="shared" si="54"/>
        <v>5.4912927472964584E-2</v>
      </c>
      <c r="FY48" s="147">
        <f>Intermediate!FJ48+Intermediate!FM48</f>
        <v>2.0674114905614092</v>
      </c>
      <c r="FZ48" s="181">
        <f t="shared" si="55"/>
        <v>2.7661496476248137</v>
      </c>
      <c r="GA48" s="147">
        <f t="shared" si="56"/>
        <v>1.4586737605901337</v>
      </c>
      <c r="GB48" s="181">
        <f t="shared" si="57"/>
        <v>6.3471478262493211</v>
      </c>
      <c r="GD48" s="147">
        <f>IF('River loads'!CH48&gt;0.99,1,0)</f>
        <v>0</v>
      </c>
      <c r="GE48" s="147">
        <f t="shared" si="58"/>
        <v>0</v>
      </c>
      <c r="GF48" s="147">
        <f t="shared" si="59"/>
        <v>0</v>
      </c>
      <c r="GG48" s="147">
        <f t="shared" si="60"/>
        <v>0</v>
      </c>
      <c r="GH48" s="147">
        <f t="shared" si="61"/>
        <v>0</v>
      </c>
      <c r="GI48" s="147">
        <f t="shared" si="62"/>
        <v>0</v>
      </c>
      <c r="GJ48" s="147">
        <f t="shared" si="63"/>
        <v>0</v>
      </c>
      <c r="GK48" s="147">
        <f t="shared" si="64"/>
        <v>0</v>
      </c>
      <c r="GL48" s="147">
        <f t="shared" si="65"/>
        <v>0</v>
      </c>
      <c r="GM48" s="270">
        <f t="shared" si="128"/>
        <v>0</v>
      </c>
      <c r="GN48" s="270">
        <f t="shared" si="129"/>
        <v>0</v>
      </c>
      <c r="GO48" s="147">
        <f t="shared" si="66"/>
        <v>0</v>
      </c>
      <c r="GP48" s="147">
        <f t="shared" si="67"/>
        <v>0</v>
      </c>
      <c r="GQ48" s="147"/>
      <c r="GR48" s="147">
        <f t="shared" si="68"/>
        <v>0</v>
      </c>
      <c r="GS48" s="147">
        <f t="shared" si="69"/>
        <v>0</v>
      </c>
      <c r="GT48" s="147">
        <f t="shared" si="70"/>
        <v>0</v>
      </c>
      <c r="GU48" s="147">
        <f t="shared" si="71"/>
        <v>0</v>
      </c>
      <c r="GV48" s="147">
        <f t="shared" si="72"/>
        <v>0</v>
      </c>
      <c r="GW48" s="147">
        <f t="shared" si="73"/>
        <v>0</v>
      </c>
      <c r="GX48" s="147">
        <f t="shared" si="74"/>
        <v>0</v>
      </c>
      <c r="GY48" s="147">
        <f t="shared" si="75"/>
        <v>0</v>
      </c>
      <c r="GZ48" s="147">
        <f t="shared" si="130"/>
        <v>0</v>
      </c>
      <c r="HA48" s="147">
        <f t="shared" si="131"/>
        <v>0</v>
      </c>
      <c r="HB48" s="147">
        <f t="shared" si="76"/>
        <v>0</v>
      </c>
      <c r="HC48" s="147">
        <f t="shared" si="77"/>
        <v>0</v>
      </c>
      <c r="HD48" s="147"/>
      <c r="HE48" s="147">
        <f t="shared" si="78"/>
        <v>0</v>
      </c>
      <c r="HF48" s="147">
        <f t="shared" si="79"/>
        <v>0</v>
      </c>
      <c r="HG48" s="147">
        <f t="shared" si="80"/>
        <v>0</v>
      </c>
      <c r="HH48" s="147">
        <f t="shared" si="81"/>
        <v>0</v>
      </c>
      <c r="HI48" s="147">
        <f t="shared" si="82"/>
        <v>0</v>
      </c>
      <c r="HJ48" s="147">
        <f t="shared" si="83"/>
        <v>0</v>
      </c>
      <c r="HK48" s="147">
        <f t="shared" si="84"/>
        <v>0</v>
      </c>
      <c r="HL48" s="147">
        <f t="shared" si="85"/>
        <v>0</v>
      </c>
      <c r="HM48" s="147">
        <f t="shared" si="86"/>
        <v>0</v>
      </c>
      <c r="HN48" s="147">
        <f t="shared" si="87"/>
        <v>0</v>
      </c>
      <c r="HO48" s="147">
        <f t="shared" si="88"/>
        <v>0</v>
      </c>
      <c r="HQ48" s="147">
        <f t="shared" si="89"/>
        <v>0</v>
      </c>
      <c r="HR48" s="147">
        <f t="shared" si="90"/>
        <v>0</v>
      </c>
      <c r="HS48" s="147">
        <f t="shared" si="91"/>
        <v>0</v>
      </c>
      <c r="HT48" s="147">
        <f t="shared" si="92"/>
        <v>0</v>
      </c>
      <c r="HU48" s="147">
        <f t="shared" si="93"/>
        <v>0</v>
      </c>
      <c r="HV48" s="147">
        <f t="shared" si="94"/>
        <v>0</v>
      </c>
      <c r="HW48" s="147">
        <f t="shared" si="95"/>
        <v>0</v>
      </c>
      <c r="HX48" s="147">
        <f t="shared" si="96"/>
        <v>0</v>
      </c>
      <c r="HY48" s="147">
        <f t="shared" si="97"/>
        <v>0</v>
      </c>
      <c r="HZ48" s="147">
        <f t="shared" si="98"/>
        <v>0</v>
      </c>
      <c r="IB48" s="147">
        <f>IF('River loads'!CI48&gt;0.99,1,0)</f>
        <v>0</v>
      </c>
      <c r="IC48">
        <f t="shared" si="144"/>
        <v>0</v>
      </c>
      <c r="ID48">
        <f t="shared" si="145"/>
        <v>0</v>
      </c>
      <c r="IE48">
        <f t="shared" si="146"/>
        <v>0</v>
      </c>
      <c r="IF48">
        <f t="shared" si="147"/>
        <v>0</v>
      </c>
      <c r="IG48">
        <f t="shared" si="148"/>
        <v>0</v>
      </c>
      <c r="IH48">
        <f t="shared" si="149"/>
        <v>0</v>
      </c>
      <c r="II48">
        <f t="shared" si="150"/>
        <v>0</v>
      </c>
      <c r="IJ48">
        <f t="shared" si="151"/>
        <v>0</v>
      </c>
      <c r="IK48">
        <f t="shared" si="132"/>
        <v>0</v>
      </c>
      <c r="IL48">
        <f t="shared" si="133"/>
        <v>0</v>
      </c>
      <c r="IM48">
        <f t="shared" si="107"/>
        <v>0</v>
      </c>
      <c r="IN48">
        <f t="shared" si="108"/>
        <v>0</v>
      </c>
      <c r="IP48">
        <f t="shared" si="109"/>
        <v>0</v>
      </c>
      <c r="IQ48">
        <f t="shared" si="110"/>
        <v>0</v>
      </c>
      <c r="IR48">
        <f t="shared" si="111"/>
        <v>0</v>
      </c>
      <c r="IS48">
        <f t="shared" si="112"/>
        <v>0</v>
      </c>
      <c r="IT48">
        <f t="shared" si="113"/>
        <v>0</v>
      </c>
      <c r="IU48">
        <f t="shared" si="114"/>
        <v>0</v>
      </c>
      <c r="IV48">
        <f t="shared" si="115"/>
        <v>0</v>
      </c>
      <c r="IW48">
        <f t="shared" si="116"/>
        <v>0</v>
      </c>
      <c r="IX48">
        <f t="shared" si="117"/>
        <v>0</v>
      </c>
    </row>
    <row r="49" spans="1:258">
      <c r="A49" s="39" t="str">
        <f>Basicinfo!A49</f>
        <v>Krumme Steyrling</v>
      </c>
      <c r="B49" s="63">
        <f>Basicinfo!B49</f>
        <v>1540</v>
      </c>
      <c r="C49" s="63">
        <f>Basicinfo!C49</f>
        <v>1560</v>
      </c>
      <c r="D49" s="130">
        <f>Basicinfo!G49</f>
        <v>136.17471837900001</v>
      </c>
      <c r="E49" s="87">
        <f t="shared" si="118"/>
        <v>4.1532941470896887</v>
      </c>
      <c r="F49" s="19">
        <f>Intermediate!AR49</f>
        <v>2.7514890037589126E-2</v>
      </c>
      <c r="G49" s="19">
        <f>Intermediate!AU49</f>
        <v>0.95082406137692432</v>
      </c>
      <c r="H49" s="19">
        <f>Intermediate!AW49</f>
        <v>2.3029440729512168E-2</v>
      </c>
      <c r="I49" s="19">
        <f>Intermediate!AZ49</f>
        <v>0</v>
      </c>
      <c r="J49" s="19">
        <f>Intermediate!BA49</f>
        <v>3.1295568631873025</v>
      </c>
      <c r="K49" s="19">
        <f>Intermediate!AC49</f>
        <v>1.7353979140351564E-3</v>
      </c>
      <c r="L49" s="19">
        <f>Intermediate!AO49</f>
        <v>2.4957512933872191E-3</v>
      </c>
      <c r="M49" s="19">
        <f>Intermediate!AP49</f>
        <v>2.2538117522747114E-3</v>
      </c>
      <c r="N49" s="19">
        <f t="shared" si="119"/>
        <v>4.1374102162910251</v>
      </c>
      <c r="O49" s="19">
        <f>Basicinfo!CB49+Basicinfo!CG49</f>
        <v>1.5883930798663959E-2</v>
      </c>
      <c r="P49" s="56">
        <f>Intermediate!BK49-Intermediate!BI49</f>
        <v>18.035368994500004</v>
      </c>
      <c r="Q49" s="43">
        <f>Intermediate!BI49</f>
        <v>1678.1594663292071</v>
      </c>
      <c r="R49" s="88">
        <f t="shared" si="134"/>
        <v>1696.1948353237071</v>
      </c>
      <c r="S49" s="61">
        <f>Intermediate!F49*Intermediate!BO49/1000</f>
        <v>1.1897674504165026</v>
      </c>
      <c r="T49" s="19">
        <f>Intermediate!BU49*Intermediate!AU49*86.4*0.365</f>
        <v>25.280794811388525</v>
      </c>
      <c r="U49" s="19">
        <f>Intermediate!AW49*Intermediate!BS49*0.365*86.4</f>
        <v>0.61201112385676715</v>
      </c>
      <c r="V49" s="19">
        <f>(Basicinfo!BL49/1000000)*(Intermediate!BK49-Intermediate!BF49-Intermediate!BG49-Intermediate!BH49)*Intermediate!CV49</f>
        <v>0.354845371636758</v>
      </c>
      <c r="W49" s="19">
        <f>Intermediate!BI49*Parameters!$C$51/1000000</f>
        <v>4.1953986658230177E-2</v>
      </c>
      <c r="X49" s="19">
        <f>Intermediate!AZ49*Intermediate!CG49*86.4*0.365</f>
        <v>0</v>
      </c>
      <c r="Y49" s="19">
        <f>Intermediate!CM49*Intermediate!BA49*86.4*0.365+Parameters!$C$126*Intermediate!BB49*Basicinfo!P49/1000+Parameters!$C$127*Intermediate!BB49*Basicinfo!S49/1000</f>
        <v>108.65874426949733</v>
      </c>
      <c r="Z49" s="19">
        <f>Intermediate!DG49</f>
        <v>8.5678689312929865E-2</v>
      </c>
      <c r="AA49" s="19">
        <f>Intermediate!DI49</f>
        <v>1.1154165950184571</v>
      </c>
      <c r="AB49" s="19">
        <f>Intermediate!DK49</f>
        <v>0.21485062532471116</v>
      </c>
      <c r="AC49" s="19">
        <f t="shared" si="120"/>
        <v>137.55406292311022</v>
      </c>
      <c r="AD49" s="19">
        <f>Basicinfo!CC49+Basicinfo!CE49+Basicinfo!CH49+Basicinfo!CJ49</f>
        <v>1.769347</v>
      </c>
      <c r="AE49" s="87">
        <f t="shared" si="135"/>
        <v>139.32340992311023</v>
      </c>
      <c r="AF49" s="56">
        <f>Intermediate!F49*Basicinfo!BD49/1000</f>
        <v>2.8386605045176816E-2</v>
      </c>
      <c r="AG49" s="43">
        <f>Intermediate!CA49*Intermediate!AU49*86.4*0.365</f>
        <v>0.30074339494702401</v>
      </c>
      <c r="AH49" s="43">
        <f>Intermediate!AW49*Intermediate!BZ49*0.365*86.4</f>
        <v>2.5358899414743168E-3</v>
      </c>
      <c r="AI49" s="43">
        <f>(Intermediate!CU49/1000000)*(Intermediate!BK49-Intermediate!BF49-Intermediate!BG49-Intermediate!BH49)*Intermediate!CW49</f>
        <v>7.5392575067049952E-2</v>
      </c>
      <c r="AJ49" s="43">
        <f>Intermediate!BF49*Parameters!$C$52/1000000+(Intermediate!BG49+Intermediate!BH49)*Intermediate!CX49/1000000</f>
        <v>0.76169993873511233</v>
      </c>
      <c r="AK49" s="43">
        <f>Intermediate!AZ49*Intermediate!CH49*86.4*0.365</f>
        <v>0</v>
      </c>
      <c r="AL49" s="58">
        <f>Intermediate!CR49*Intermediate!BA49*86.4*0.365</f>
        <v>0.50298259937226653</v>
      </c>
      <c r="AM49" s="43">
        <f>Intermediate!DH49</f>
        <v>2.2004451607468153E-2</v>
      </c>
      <c r="AN49" s="42">
        <f>Intermediate!DJ49</f>
        <v>0.19143837206816533</v>
      </c>
      <c r="AO49" s="42">
        <f>Intermediate!DL49</f>
        <v>3.4421477555321218E-2</v>
      </c>
      <c r="AP49" s="42">
        <f t="shared" si="122"/>
        <v>1.9196053043390588</v>
      </c>
      <c r="AQ49" s="43">
        <f>Basicinfo!CD49+Basicinfo!CF49+Basicinfo!CI49+Basicinfo!CK49</f>
        <v>0.13374033333333332</v>
      </c>
      <c r="AR49" s="83">
        <f t="shared" si="136"/>
        <v>2.053345637672392</v>
      </c>
      <c r="AS49" s="19">
        <f>F49*86400*365/(Basicinfo!G49*1000000)*1000</f>
        <v>6.3720313326473041</v>
      </c>
      <c r="AT49" s="19">
        <f>G49*86400*365/(Basicinfo!G49*1000000)*1000</f>
        <v>220.19643555368506</v>
      </c>
      <c r="AU49" s="19">
        <f>H49*86400*365/(Basicinfo!G49*1000000)*1000</f>
        <v>5.3332692844246363</v>
      </c>
      <c r="AV49" s="19">
        <f>I49*86400*365/(Basicinfo!G49*1000000)*1000</f>
        <v>0</v>
      </c>
      <c r="AW49" s="19">
        <f>J49*86400*365/(Basicinfo!G49*1000000)*1000</f>
        <v>724.75791697833029</v>
      </c>
      <c r="AX49" s="53">
        <f>K49*86400*365/(Basicinfo!G49*1000000)*1000</f>
        <v>0.40189184357037322</v>
      </c>
      <c r="AY49" s="53">
        <f>L49*86400*365/(Basicinfo!G49*1000000)*1000</f>
        <v>0.57797815721715406</v>
      </c>
      <c r="AZ49" s="53">
        <f>M49*86400*365/(Basicinfo!G49*1000000)*1000</f>
        <v>0.52194862795248642</v>
      </c>
      <c r="BA49" s="19">
        <f t="shared" si="123"/>
        <v>958.16147177782727</v>
      </c>
      <c r="BB49" s="19">
        <f>O49*86400*365/(Basicinfo!G49*1000000)*1000</f>
        <v>3.6784775296727523</v>
      </c>
      <c r="BC49" s="53">
        <f t="shared" si="137"/>
        <v>961.83994930749998</v>
      </c>
      <c r="BD49" s="56">
        <f>P49/(Basicinfo!G49*100)*1000</f>
        <v>1.3244285877136284</v>
      </c>
      <c r="BE49" s="43">
        <f>Q49/(Basicinfo!G49*100)*1000</f>
        <v>123.23575817198108</v>
      </c>
      <c r="BF49" s="58">
        <f t="shared" si="138"/>
        <v>124.5601867596947</v>
      </c>
      <c r="BG49" s="61">
        <f>S49/(Basicinfo!G49*100)*1000000</f>
        <v>87.370656211320707</v>
      </c>
      <c r="BH49" s="19">
        <f>T49/(Basicinfo!G49*100)*1000000</f>
        <v>1856.4969410127428</v>
      </c>
      <c r="BI49" s="19">
        <f>U49/(Basicinfo!G49*100)*1000000</f>
        <v>44.943079827301304</v>
      </c>
      <c r="BJ49" s="19">
        <f>V49/(Basicinfo!G49*100)*1000000</f>
        <v>26.058094766838895</v>
      </c>
      <c r="BK49" s="19">
        <f>W49/(Basicinfo!G49*100)*1000000</f>
        <v>3.0808939542995266</v>
      </c>
      <c r="BL49" s="19">
        <f>X49/(Basicinfo!G49*100)*1000000</f>
        <v>0</v>
      </c>
      <c r="BM49" s="19">
        <f>Y49/(Basicinfo!G49*100)*1000000</f>
        <v>7979.3625103801933</v>
      </c>
      <c r="BN49" s="53">
        <f>Z49/(Basicinfo!G49*100)*1000000</f>
        <v>6.2918205620568912</v>
      </c>
      <c r="BO49" s="53">
        <f>AA49/(Basicinfo!G49*100)*1000000</f>
        <v>81.91069592771558</v>
      </c>
      <c r="BP49" s="53">
        <f>AB49/(Basicinfo!G49*100)*1000000</f>
        <v>15.777570747511389</v>
      </c>
      <c r="BQ49" s="19">
        <f t="shared" si="125"/>
        <v>10101.292263389982</v>
      </c>
      <c r="BR49" s="19">
        <f>AD49/(Basicinfo!G49*100)*1000000</f>
        <v>129.93212110603179</v>
      </c>
      <c r="BS49" s="53">
        <f t="shared" si="139"/>
        <v>10231.224384496014</v>
      </c>
      <c r="BT49" s="56">
        <f>AF49/(Basicinfo!G49*100)*1000000</f>
        <v>2.0845723334761397</v>
      </c>
      <c r="BU49" s="43">
        <f>AG49/(Basicinfo!G49*100)*1000000</f>
        <v>22.085112312110553</v>
      </c>
      <c r="BV49" s="43">
        <f>AH49/(Basicinfo!G49*100)*1000000</f>
        <v>0.18622325580409541</v>
      </c>
      <c r="BW49" s="43">
        <f>AI49/(Basicinfo!G49*100)*1000000</f>
        <v>5.536459040599456</v>
      </c>
      <c r="BX49" s="43">
        <f>AJ49/(Basicinfo!G49*100)*1000000</f>
        <v>55.935488452060341</v>
      </c>
      <c r="BY49" s="58">
        <f>AK49/(Basicinfo!G49*100)*1000000</f>
        <v>0</v>
      </c>
      <c r="BZ49" s="58">
        <f>AL49/(Basicinfo!G49*100)*1000000</f>
        <v>36.93656248088363</v>
      </c>
      <c r="CA49" s="58">
        <f>AM49/(Basicinfo!G49*100)*1000000</f>
        <v>1.6158984479208247</v>
      </c>
      <c r="CB49" s="58">
        <f>AN49/(Basicinfo!G49*100)*1000000</f>
        <v>14.058290286700364</v>
      </c>
      <c r="CC49" s="58">
        <f>AO49/(Basicinfo!G49*100)*1000000</f>
        <v>2.5277436197459013</v>
      </c>
      <c r="CD49" s="58">
        <f t="shared" si="126"/>
        <v>140.96635022930133</v>
      </c>
      <c r="CE49" s="58">
        <f>AQ49/(Basicinfo!G49*100)*1000000</f>
        <v>9.8212307633424771</v>
      </c>
      <c r="CF49" s="43">
        <f t="shared" si="140"/>
        <v>150.7875809926438</v>
      </c>
      <c r="CG49" s="84"/>
      <c r="CH49" s="84">
        <f t="shared" si="8"/>
        <v>1.769347</v>
      </c>
      <c r="CI49" s="146">
        <f t="shared" si="9"/>
        <v>1.415945909656098</v>
      </c>
      <c r="CJ49" s="200">
        <f>Intermediate!EW49+Intermediate!EY49+Intermediate!FD49</f>
        <v>55.279755290754643</v>
      </c>
      <c r="CK49" s="180">
        <f>Intermediate!FA49+Intermediate!FF49</f>
        <v>3.804335820491433</v>
      </c>
      <c r="CL49" s="180">
        <f t="shared" si="141"/>
        <v>0</v>
      </c>
      <c r="CM49" s="180">
        <f t="shared" si="142"/>
        <v>23.646727677685156</v>
      </c>
      <c r="CN49" s="202">
        <f>Intermediate!EX49+Intermediate!EZ49+Intermediate!FE49</f>
        <v>36.116615013996594</v>
      </c>
      <c r="CO49" s="180">
        <f>Intermediate!FB49+Intermediate!FG49</f>
        <v>2.4428399056501089</v>
      </c>
      <c r="CP49" s="213">
        <f>Intermediate!EP49+Intermediate!EQ49+Intermediate!ER49+Intermediate!ES49+Intermediate!ET49+Intermediate!EU49+Intermediate!EV49+W49</f>
        <v>14.847843304876193</v>
      </c>
      <c r="CQ49" s="212">
        <f t="shared" si="12"/>
        <v>38.559454919646704</v>
      </c>
      <c r="CR49" s="212">
        <f t="shared" si="13"/>
        <v>82.730818788931231</v>
      </c>
      <c r="CS49" s="211">
        <f t="shared" si="143"/>
        <v>1.8550256893129298</v>
      </c>
      <c r="CT49" s="212">
        <f t="shared" si="15"/>
        <v>137.99314270276705</v>
      </c>
      <c r="CU49" s="84"/>
      <c r="CV49" s="31">
        <f t="shared" si="16"/>
        <v>139.32340992311023</v>
      </c>
      <c r="CW49" s="31">
        <f>CH49/Basicinfo!$G49*1000/100</f>
        <v>0.12993212110603175</v>
      </c>
      <c r="CX49" s="31">
        <f>CI49/Basicinfo!$G49*1000/100</f>
        <v>0.10398008723728383</v>
      </c>
      <c r="CY49" s="31">
        <f>CS49/Basicinfo!$G49*1000/100</f>
        <v>0.13622394166808866</v>
      </c>
      <c r="CZ49" s="31">
        <f>CN49/Basicinfo!$G49*1000/100</f>
        <v>2.6522261579772262</v>
      </c>
      <c r="DA49" s="31">
        <f>CO49/Basicinfo!$G49*1000/100</f>
        <v>0.17939011989371056</v>
      </c>
      <c r="DB49" s="31">
        <f>CQ49/Basicinfo!$G49*1000/100</f>
        <v>2.8316162778709368</v>
      </c>
      <c r="DC49" s="31">
        <f>CJ49/Basicinfo!$G49*1000/100</f>
        <v>4.0594727089429794</v>
      </c>
      <c r="DD49" s="31">
        <f>CK49/Basicinfo!$G49*1000/100</f>
        <v>0.27937166794083218</v>
      </c>
      <c r="DE49" s="31">
        <f>CM49/Basicinfo!$G49*1000/100</f>
        <v>1.7364991063812474</v>
      </c>
      <c r="DF49" s="31">
        <f>CR49/Basicinfo!$G49*1000/100</f>
        <v>6.0753434832650592</v>
      </c>
      <c r="DG49" s="31">
        <f>CP49/Basicinfo!$G49*1000/100</f>
        <v>1.0903524150167021</v>
      </c>
      <c r="DH49" s="31">
        <f>CT49/Basicinfo!$G49*1000/100</f>
        <v>10.133536117820785</v>
      </c>
      <c r="DI49" s="31">
        <f>CV49/Basicinfo!$G49*1000/100</f>
        <v>10.231224384496015</v>
      </c>
      <c r="DJ49" s="31"/>
      <c r="DK49" s="188">
        <f t="shared" si="17"/>
        <v>1.2821992204432351</v>
      </c>
      <c r="DL49" s="188">
        <f t="shared" si="18"/>
        <v>1.0260987480414165</v>
      </c>
      <c r="DM49" s="188">
        <f t="shared" si="19"/>
        <v>1.3442883124334646</v>
      </c>
      <c r="DN49" s="188">
        <f t="shared" si="20"/>
        <v>26.172760694196711</v>
      </c>
      <c r="DO49" s="188">
        <f t="shared" si="21"/>
        <v>1.7702618099740726</v>
      </c>
      <c r="DP49" s="188">
        <f t="shared" si="22"/>
        <v>27.943022504170788</v>
      </c>
      <c r="DQ49" s="188">
        <f t="shared" si="23"/>
        <v>40.059784282053442</v>
      </c>
      <c r="DR49" s="188">
        <f t="shared" si="24"/>
        <v>2.7569020793198793</v>
      </c>
      <c r="DS49" s="188">
        <f t="shared" si="25"/>
        <v>17.136161416817266</v>
      </c>
      <c r="DT49" s="188">
        <f t="shared" si="26"/>
        <v>59.952847778190574</v>
      </c>
      <c r="DU49" s="188">
        <f t="shared" si="27"/>
        <v>10.759841405205176</v>
      </c>
      <c r="DV49" s="188">
        <f t="shared" si="28"/>
        <v>100</v>
      </c>
      <c r="DW49" s="188">
        <f t="shared" si="29"/>
        <v>100.96400965605122</v>
      </c>
      <c r="DY49" s="181">
        <f t="shared" si="30"/>
        <v>0.13374033333333332</v>
      </c>
      <c r="DZ49" s="181">
        <f t="shared" si="127"/>
        <v>0.24786430123095471</v>
      </c>
      <c r="EA49" s="185">
        <f t="shared" si="31"/>
        <v>0</v>
      </c>
      <c r="EB49" s="185">
        <f>AG49+AH49+AL49-Intermediate!FJ49-Intermediate!FM49</f>
        <v>0.54190504475427059</v>
      </c>
      <c r="EC49" s="185">
        <f>AI49+AJ49-Intermediate!FK49</f>
        <v>6.3957102183008763E-2</v>
      </c>
      <c r="ED49" s="240">
        <f t="shared" si="32"/>
        <v>2.8386605045176816E-2</v>
      </c>
      <c r="EE49" s="240">
        <f>Intermediate!FJ49+Intermediate!FK49+Intermediate!FM49</f>
        <v>1.0374922511256477</v>
      </c>
      <c r="EF49" s="240">
        <f t="shared" si="33"/>
        <v>0.60586214693727936</v>
      </c>
      <c r="EG49" s="240">
        <f t="shared" si="34"/>
        <v>0.38160463456428806</v>
      </c>
      <c r="EH49" s="240">
        <f t="shared" si="35"/>
        <v>2.053345637672392</v>
      </c>
      <c r="EI49" s="181">
        <f t="shared" si="36"/>
        <v>2.053345637672392</v>
      </c>
      <c r="EK49" s="31">
        <f>DY49/Basicinfo!$G49*1000/100</f>
        <v>9.8212307633424797E-3</v>
      </c>
      <c r="EL49" s="31">
        <f>DZ49/Basicinfo!$G49*1000/100</f>
        <v>1.8201932354367088E-2</v>
      </c>
      <c r="EM49" s="220">
        <f>EG49/Basicinfo!$G49*1000/100</f>
        <v>2.8023163117709571E-2</v>
      </c>
      <c r="EN49" s="220">
        <f>ED49/Basicinfo!$G49*1000/100</f>
        <v>2.0845723334761393E-3</v>
      </c>
      <c r="EO49" s="220">
        <f>EF49/Basicinfo!$G49*1000/100</f>
        <v>4.449152927572432E-2</v>
      </c>
      <c r="EP49" s="220">
        <f>EE49/Basicinfo!$G49*1000/100</f>
        <v>7.6188316265733733E-2</v>
      </c>
      <c r="EQ49" s="220">
        <f>EH49/Basicinfo!$G49*1000/100</f>
        <v>0.15078758099264375</v>
      </c>
      <c r="ER49" s="31">
        <f>EI49/Basicinfo!$G49*1000/100</f>
        <v>0.15078758099264375</v>
      </c>
      <c r="ET49" s="188">
        <f t="shared" si="37"/>
        <v>6.5132888920219578</v>
      </c>
      <c r="EU49" s="188">
        <f t="shared" si="38"/>
        <v>12.071241036259531</v>
      </c>
      <c r="EV49" s="223">
        <f t="shared" si="39"/>
        <v>18.584529928281494</v>
      </c>
      <c r="EW49" s="223">
        <f t="shared" si="40"/>
        <v>1.3824562472275725</v>
      </c>
      <c r="EX49" s="223">
        <f t="shared" si="41"/>
        <v>29.506096578268515</v>
      </c>
      <c r="EY49" s="223">
        <f t="shared" si="42"/>
        <v>50.526917246222439</v>
      </c>
      <c r="EZ49" s="223">
        <f t="shared" si="43"/>
        <v>100</v>
      </c>
      <c r="FA49" s="188">
        <f t="shared" si="44"/>
        <v>100</v>
      </c>
      <c r="FC49" s="236">
        <f>Basicinfo!CT49</f>
        <v>1.2012903225806453</v>
      </c>
      <c r="FD49" s="181">
        <f>IF((Intermediate!CL49+Intermediate!CM49*3)/4&gt;11,(Intermediate!CL49+Intermediate!CM49*9)/10,(Intermediate!CL49+Intermediate!CM49*3)/4)</f>
        <v>1.2176173017481873</v>
      </c>
      <c r="FF49" s="31">
        <f t="shared" si="45"/>
        <v>2.8386605045176816E-2</v>
      </c>
      <c r="FG49" s="31">
        <f t="shared" si="46"/>
        <v>0.30074339494702401</v>
      </c>
      <c r="FH49" s="31">
        <f t="shared" si="47"/>
        <v>2.5358899414743168E-3</v>
      </c>
      <c r="FI49" s="31">
        <f>(AI49-(P49*450/1000000))*Parameters!$C$153</f>
        <v>5.3821327215619968E-2</v>
      </c>
      <c r="FJ49" s="31"/>
      <c r="FK49" s="31">
        <f t="shared" si="48"/>
        <v>0</v>
      </c>
      <c r="FL49" s="31">
        <f t="shared" si="49"/>
        <v>0.50298259937226653</v>
      </c>
      <c r="FM49" s="31">
        <f>AM49*Parameters!$C$154</f>
        <v>1.9804006446721339E-2</v>
      </c>
      <c r="FN49" s="31">
        <f>AN49*Parameters!$C$154</f>
        <v>0.1722945348613488</v>
      </c>
      <c r="FO49" s="31">
        <f>AO49*Parameters!$C$154</f>
        <v>3.0979329799789096E-2</v>
      </c>
      <c r="FP49" s="31">
        <f>AQ49*Parameters!$C$155</f>
        <v>0.13374033333333332</v>
      </c>
      <c r="FQ49" s="31">
        <f t="shared" si="50"/>
        <v>1.2452880209627541</v>
      </c>
      <c r="FS49" s="147">
        <f>DY49*Parameters!$C$155</f>
        <v>0.13374033333333332</v>
      </c>
      <c r="FT49" s="147">
        <f>DZ49*Parameters!$C$154</f>
        <v>0.22307787110785923</v>
      </c>
      <c r="FU49" s="181">
        <f t="shared" si="51"/>
        <v>0</v>
      </c>
      <c r="FV49" s="181">
        <f t="shared" si="52"/>
        <v>0.54190504475427059</v>
      </c>
      <c r="FW49" s="31">
        <f t="shared" si="53"/>
        <v>5.3821327215619941E-2</v>
      </c>
      <c r="FX49" s="181">
        <f t="shared" si="54"/>
        <v>2.8386605045176816E-2</v>
      </c>
      <c r="FY49" s="147">
        <f>Intermediate!FJ49+Intermediate!FM49</f>
        <v>0.26435683950649419</v>
      </c>
      <c r="FZ49" s="181">
        <f t="shared" si="55"/>
        <v>0.59572637196989053</v>
      </c>
      <c r="GA49" s="147">
        <f t="shared" si="56"/>
        <v>0.35681820444119255</v>
      </c>
      <c r="GB49" s="181">
        <f t="shared" si="57"/>
        <v>1.2452880209627541</v>
      </c>
      <c r="GD49" s="147">
        <f>IF('River loads'!CH49&gt;0.99,1,0)</f>
        <v>0</v>
      </c>
      <c r="GE49" s="147">
        <f t="shared" si="58"/>
        <v>0</v>
      </c>
      <c r="GF49" s="147">
        <f t="shared" si="59"/>
        <v>0</v>
      </c>
      <c r="GG49" s="147">
        <f t="shared" si="60"/>
        <v>0</v>
      </c>
      <c r="GH49" s="147">
        <f t="shared" si="61"/>
        <v>0</v>
      </c>
      <c r="GI49" s="147">
        <f t="shared" si="62"/>
        <v>0</v>
      </c>
      <c r="GJ49" s="147">
        <f t="shared" si="63"/>
        <v>0</v>
      </c>
      <c r="GK49" s="147">
        <f t="shared" si="64"/>
        <v>0</v>
      </c>
      <c r="GL49" s="147">
        <f t="shared" si="65"/>
        <v>0</v>
      </c>
      <c r="GM49" s="270">
        <f t="shared" si="128"/>
        <v>0</v>
      </c>
      <c r="GN49" s="270">
        <f t="shared" si="129"/>
        <v>0</v>
      </c>
      <c r="GO49" s="147">
        <f t="shared" si="66"/>
        <v>0</v>
      </c>
      <c r="GP49" s="147">
        <f t="shared" si="67"/>
        <v>0</v>
      </c>
      <c r="GQ49" s="147"/>
      <c r="GR49" s="147">
        <f t="shared" si="68"/>
        <v>0</v>
      </c>
      <c r="GS49" s="147">
        <f t="shared" si="69"/>
        <v>0</v>
      </c>
      <c r="GT49" s="147">
        <f t="shared" si="70"/>
        <v>0</v>
      </c>
      <c r="GU49" s="147">
        <f t="shared" si="71"/>
        <v>0</v>
      </c>
      <c r="GV49" s="147">
        <f t="shared" si="72"/>
        <v>0</v>
      </c>
      <c r="GW49" s="147">
        <f t="shared" si="73"/>
        <v>0</v>
      </c>
      <c r="GX49" s="147">
        <f t="shared" si="74"/>
        <v>0</v>
      </c>
      <c r="GY49" s="147">
        <f t="shared" si="75"/>
        <v>0</v>
      </c>
      <c r="GZ49" s="147">
        <f t="shared" si="130"/>
        <v>0</v>
      </c>
      <c r="HA49" s="147">
        <f t="shared" si="131"/>
        <v>0</v>
      </c>
      <c r="HB49" s="147">
        <f t="shared" si="76"/>
        <v>0</v>
      </c>
      <c r="HC49" s="147">
        <f t="shared" si="77"/>
        <v>0</v>
      </c>
      <c r="HD49" s="147"/>
      <c r="HE49" s="147">
        <f t="shared" si="78"/>
        <v>0</v>
      </c>
      <c r="HF49" s="147">
        <f t="shared" si="79"/>
        <v>0</v>
      </c>
      <c r="HG49" s="147">
        <f t="shared" si="80"/>
        <v>0</v>
      </c>
      <c r="HH49" s="147">
        <f t="shared" si="81"/>
        <v>0</v>
      </c>
      <c r="HI49" s="147">
        <f t="shared" si="82"/>
        <v>0</v>
      </c>
      <c r="HJ49" s="147">
        <f t="shared" si="83"/>
        <v>0</v>
      </c>
      <c r="HK49" s="147">
        <f t="shared" si="84"/>
        <v>0</v>
      </c>
      <c r="HL49" s="147">
        <f t="shared" si="85"/>
        <v>0</v>
      </c>
      <c r="HM49" s="147">
        <f t="shared" si="86"/>
        <v>0</v>
      </c>
      <c r="HN49" s="147">
        <f t="shared" si="87"/>
        <v>0</v>
      </c>
      <c r="HO49" s="147">
        <f t="shared" si="88"/>
        <v>0</v>
      </c>
      <c r="HQ49" s="147">
        <f t="shared" si="89"/>
        <v>0</v>
      </c>
      <c r="HR49" s="147">
        <f t="shared" si="90"/>
        <v>0</v>
      </c>
      <c r="HS49" s="147">
        <f t="shared" si="91"/>
        <v>0</v>
      </c>
      <c r="HT49" s="147">
        <f t="shared" si="92"/>
        <v>0</v>
      </c>
      <c r="HU49" s="147">
        <f t="shared" si="93"/>
        <v>0</v>
      </c>
      <c r="HV49" s="147">
        <f t="shared" si="94"/>
        <v>0</v>
      </c>
      <c r="HW49" s="147">
        <f t="shared" si="95"/>
        <v>0</v>
      </c>
      <c r="HX49" s="147">
        <f t="shared" si="96"/>
        <v>0</v>
      </c>
      <c r="HY49" s="147">
        <f t="shared" si="97"/>
        <v>0</v>
      </c>
      <c r="HZ49" s="147">
        <f t="shared" si="98"/>
        <v>0</v>
      </c>
      <c r="IB49" s="147">
        <f>IF('River loads'!CI49&gt;0.99,1,0)</f>
        <v>0</v>
      </c>
      <c r="IC49">
        <f t="shared" si="144"/>
        <v>0</v>
      </c>
      <c r="ID49">
        <f t="shared" si="145"/>
        <v>0</v>
      </c>
      <c r="IE49">
        <f t="shared" si="146"/>
        <v>0</v>
      </c>
      <c r="IF49">
        <f t="shared" si="147"/>
        <v>0</v>
      </c>
      <c r="IG49">
        <f t="shared" si="148"/>
        <v>0</v>
      </c>
      <c r="IH49">
        <f t="shared" si="149"/>
        <v>0</v>
      </c>
      <c r="II49">
        <f t="shared" si="150"/>
        <v>0</v>
      </c>
      <c r="IJ49">
        <f t="shared" si="151"/>
        <v>0</v>
      </c>
      <c r="IK49">
        <f t="shared" si="132"/>
        <v>0</v>
      </c>
      <c r="IL49">
        <f t="shared" si="133"/>
        <v>0</v>
      </c>
      <c r="IM49">
        <f t="shared" si="107"/>
        <v>0</v>
      </c>
      <c r="IN49">
        <f t="shared" si="108"/>
        <v>0</v>
      </c>
      <c r="IP49">
        <f t="shared" si="109"/>
        <v>0</v>
      </c>
      <c r="IQ49">
        <f t="shared" si="110"/>
        <v>0</v>
      </c>
      <c r="IR49">
        <f t="shared" si="111"/>
        <v>0</v>
      </c>
      <c r="IS49">
        <f t="shared" si="112"/>
        <v>0</v>
      </c>
      <c r="IT49">
        <f t="shared" si="113"/>
        <v>0</v>
      </c>
      <c r="IU49">
        <f t="shared" si="114"/>
        <v>0</v>
      </c>
      <c r="IV49">
        <f t="shared" si="115"/>
        <v>0</v>
      </c>
      <c r="IW49">
        <f t="shared" si="116"/>
        <v>0</v>
      </c>
      <c r="IX49">
        <f t="shared" si="117"/>
        <v>0</v>
      </c>
    </row>
    <row r="50" spans="1:258">
      <c r="A50" s="39" t="str">
        <f>Basicinfo!A50</f>
        <v>Steyr</v>
      </c>
      <c r="B50" s="63">
        <f>Basicinfo!B50</f>
        <v>1550</v>
      </c>
      <c r="C50" s="63">
        <f>Basicinfo!C50</f>
        <v>1560</v>
      </c>
      <c r="D50" s="130">
        <f>Basicinfo!G50</f>
        <v>23.949311064300002</v>
      </c>
      <c r="E50" s="87">
        <f t="shared" si="118"/>
        <v>1.5065033848160001</v>
      </c>
      <c r="F50" s="19">
        <f>Intermediate!AR50</f>
        <v>3.9283159504744473E-3</v>
      </c>
      <c r="G50" s="19">
        <f>Intermediate!AU50</f>
        <v>0.41551591040283148</v>
      </c>
      <c r="H50" s="19">
        <f>Intermediate!AW50</f>
        <v>6.9956426609321026E-2</v>
      </c>
      <c r="I50" s="19">
        <f>Intermediate!AZ50</f>
        <v>0</v>
      </c>
      <c r="J50" s="19">
        <f>Intermediate!BA50</f>
        <v>1.0165994836417054</v>
      </c>
      <c r="K50" s="19">
        <f>Intermediate!AC50</f>
        <v>1.2488257655930021E-4</v>
      </c>
      <c r="L50" s="19">
        <f>Intermediate!AO50</f>
        <v>1.8749843305925241E-4</v>
      </c>
      <c r="M50" s="19">
        <f>Intermediate!AP50</f>
        <v>1.9086720204926867E-4</v>
      </c>
      <c r="N50" s="19">
        <f t="shared" si="119"/>
        <v>1.5065033848160001</v>
      </c>
      <c r="O50" s="19">
        <f>Basicinfo!CB50+Basicinfo!CG50</f>
        <v>0</v>
      </c>
      <c r="P50" s="56">
        <f>Intermediate!BK50-Intermediate!BI50</f>
        <v>1.5952542858682932</v>
      </c>
      <c r="Q50" s="43">
        <f>Intermediate!BI50</f>
        <v>309.02762014115649</v>
      </c>
      <c r="R50" s="88">
        <f t="shared" si="134"/>
        <v>310.62287442702478</v>
      </c>
      <c r="S50" s="61">
        <f>Intermediate!F50*Intermediate!BO50/1000</f>
        <v>0.1333553506007753</v>
      </c>
      <c r="T50" s="19">
        <f>Intermediate!BU50*Intermediate!AU50*86.4*0.365</f>
        <v>9.0836473022586599</v>
      </c>
      <c r="U50" s="19">
        <f>Intermediate!AW50*Intermediate!BS50*0.365*86.4</f>
        <v>1.5293026718209592</v>
      </c>
      <c r="V50" s="19">
        <f>(Basicinfo!BL50/1000000)*(Intermediate!BK50-Intermediate!BF50-Intermediate!BG50-Intermediate!BH50)*Intermediate!CV50</f>
        <v>7.4378704277591242E-3</v>
      </c>
      <c r="W50" s="19">
        <f>Intermediate!BI50*Parameters!$C$51/1000000</f>
        <v>7.7256905035289116E-3</v>
      </c>
      <c r="X50" s="19">
        <f>Intermediate!AZ50*Intermediate!CG50*86.4*0.365</f>
        <v>0</v>
      </c>
      <c r="Y50" s="19">
        <f>Intermediate!CM50*Intermediate!BA50*86.4*0.365+Parameters!$C$126*Intermediate!BB50*Basicinfo!P50/1000+Parameters!$C$127*Intermediate!BB50*Basicinfo!S50/1000</f>
        <v>17.792608292168694</v>
      </c>
      <c r="Z50" s="19">
        <f>Intermediate!DG50</f>
        <v>6.3909009918110167E-3</v>
      </c>
      <c r="AA50" s="19">
        <f>Intermediate!DI50</f>
        <v>7.3909375448677872E-2</v>
      </c>
      <c r="AB50" s="19">
        <f>Intermediate!DK50</f>
        <v>1.6890642392173794E-2</v>
      </c>
      <c r="AC50" s="19">
        <f t="shared" si="120"/>
        <v>28.651268096613041</v>
      </c>
      <c r="AD50" s="19">
        <f>Basicinfo!CC50+Basicinfo!CE50+Basicinfo!CH50+Basicinfo!CJ50</f>
        <v>0</v>
      </c>
      <c r="AE50" s="87">
        <f t="shared" si="135"/>
        <v>28.651268096613041</v>
      </c>
      <c r="AF50" s="56">
        <f>Intermediate!F50*Basicinfo!BD50/1000</f>
        <v>4.0800801868676991E-3</v>
      </c>
      <c r="AG50" s="43">
        <f>Intermediate!CA50*Intermediate!AU50*86.4*0.365</f>
        <v>0.14466817866307091</v>
      </c>
      <c r="AH50" s="43">
        <f>Intermediate!AW50*Intermediate!BZ50*0.365*86.4</f>
        <v>7.8211842739788224E-3</v>
      </c>
      <c r="AI50" s="43">
        <f>(Intermediate!CU50/1000000)*(Intermediate!BK50-Intermediate!BF50-Intermediate!BG50-Intermediate!BH50)*Intermediate!CW50</f>
        <v>4.8880652437132428E-3</v>
      </c>
      <c r="AJ50" s="43">
        <f>Intermediate!BF50*Parameters!$C$52/1000000+(Intermediate!BG50+Intermediate!BH50)*Intermediate!CX50/1000000</f>
        <v>0.1602427328108248</v>
      </c>
      <c r="AK50" s="43">
        <f>Intermediate!AZ50*Intermediate!CH50*86.4*0.365</f>
        <v>0</v>
      </c>
      <c r="AL50" s="58">
        <f>Intermediate!CR50*Intermediate!BA50*86.4*0.365</f>
        <v>0.11399912847322292</v>
      </c>
      <c r="AM50" s="43">
        <f>Intermediate!DH50</f>
        <v>1.8794653259469447E-3</v>
      </c>
      <c r="AN50" s="42">
        <f>Intermediate!DJ50</f>
        <v>1.3132616244110152E-2</v>
      </c>
      <c r="AO50" s="42">
        <f>Intermediate!DL50</f>
        <v>2.9052999431262087E-3</v>
      </c>
      <c r="AP50" s="42">
        <f t="shared" si="122"/>
        <v>0.45361675116486172</v>
      </c>
      <c r="AQ50" s="43">
        <f>Basicinfo!CD50+Basicinfo!CF50+Basicinfo!CI50+Basicinfo!CK50</f>
        <v>0</v>
      </c>
      <c r="AR50" s="83">
        <f t="shared" si="136"/>
        <v>0.45361675116486172</v>
      </c>
      <c r="AS50" s="19">
        <f>F50*86400*365/(Basicinfo!G50*1000000)*1000</f>
        <v>5.1727321709403444</v>
      </c>
      <c r="AT50" s="19">
        <f>G50*86400*365/(Basicinfo!G50*1000000)*1000</f>
        <v>547.14349466180329</v>
      </c>
      <c r="AU50" s="19">
        <f>H50*86400*365/(Basicinfo!G50*1000000)*1000</f>
        <v>92.117299893446017</v>
      </c>
      <c r="AV50" s="19">
        <f>I50*86400*365/(Basicinfo!G50*1000000)*1000</f>
        <v>0</v>
      </c>
      <c r="AW50" s="19">
        <f>J50*86400*365/(Basicinfo!G50*1000000)*1000</f>
        <v>1338.6389792194998</v>
      </c>
      <c r="AX50" s="53">
        <f>K50*86400*365/(Basicinfo!G50*1000000)*1000</f>
        <v>0.16444301565921482</v>
      </c>
      <c r="AY50" s="53">
        <f>L50*86400*365/(Basicinfo!G50*1000000)*1000</f>
        <v>0.24689439162075585</v>
      </c>
      <c r="AZ50" s="53">
        <f>M50*86400*365/(Basicinfo!G50*1000000)*1000</f>
        <v>0.25133032293351554</v>
      </c>
      <c r="BA50" s="19">
        <f t="shared" si="123"/>
        <v>1983.7351736759028</v>
      </c>
      <c r="BB50" s="19">
        <f>O50*86400*365/(Basicinfo!G50*1000000)*1000</f>
        <v>0</v>
      </c>
      <c r="BC50" s="53">
        <f t="shared" si="137"/>
        <v>1983.7351736759028</v>
      </c>
      <c r="BD50" s="56">
        <f>P50/(Basicinfo!G50*100)*1000</f>
        <v>0.6660961067252813</v>
      </c>
      <c r="BE50" s="43">
        <f>Q50/(Basicinfo!G50*100)*1000</f>
        <v>129.03403330119502</v>
      </c>
      <c r="BF50" s="58">
        <f t="shared" si="138"/>
        <v>129.70012940792031</v>
      </c>
      <c r="BG50" s="61">
        <f>S50/(Basicinfo!G50*100)*1000000</f>
        <v>55.682332674513226</v>
      </c>
      <c r="BH50" s="19">
        <f>T50/(Basicinfo!G50*100)*1000000</f>
        <v>3792.8637186558503</v>
      </c>
      <c r="BI50" s="19">
        <f>U50/(Basicinfo!G50*100)*1000000</f>
        <v>638.55810620816214</v>
      </c>
      <c r="BJ50" s="19">
        <f>V50/(Basicinfo!G50*100)*1000000</f>
        <v>3.1056719785340188</v>
      </c>
      <c r="BK50" s="19">
        <f>W50/(Basicinfo!G50*100)*1000000</f>
        <v>3.2258508325298756</v>
      </c>
      <c r="BL50" s="19">
        <f>X50/(Basicinfo!G50*100)*1000000</f>
        <v>0</v>
      </c>
      <c r="BM50" s="19">
        <f>Y50/(Basicinfo!G50*100)*1000000</f>
        <v>7429.2777125815592</v>
      </c>
      <c r="BN50" s="53">
        <f>Z50/(Basicinfo!G50*100)*1000000</f>
        <v>2.6685114133982761</v>
      </c>
      <c r="BO50" s="53">
        <f>AA50/(Basicinfo!G50*100)*1000000</f>
        <v>30.860752215478449</v>
      </c>
      <c r="BP50" s="53">
        <f>AB50/(Basicinfo!G50*100)*1000000</f>
        <v>7.0526631629716485</v>
      </c>
      <c r="BQ50" s="19">
        <f t="shared" si="125"/>
        <v>11963.295319722996</v>
      </c>
      <c r="BR50" s="19">
        <f>AD50/(Basicinfo!G50*100)*1000000</f>
        <v>0</v>
      </c>
      <c r="BS50" s="53">
        <f t="shared" si="139"/>
        <v>11963.295319722996</v>
      </c>
      <c r="BT50" s="56">
        <f>AF50/(Basicinfo!G50*100)*1000000</f>
        <v>1.7036315474434101</v>
      </c>
      <c r="BU50" s="43">
        <f>AG50/(Basicinfo!G50*100)*1000000</f>
        <v>60.405987577120868</v>
      </c>
      <c r="BV50" s="43">
        <f>AH50/(Basicinfo!G50*100)*1000000</f>
        <v>3.2657241174830522</v>
      </c>
      <c r="BW50" s="43">
        <f>AI50/(Basicinfo!G50*100)*1000000</f>
        <v>2.0410045326938984</v>
      </c>
      <c r="BX50" s="43">
        <f>AJ50/(Basicinfo!G50*100)*1000000</f>
        <v>66.909120007919711</v>
      </c>
      <c r="BY50" s="58">
        <f>AK50/(Basicinfo!G50*100)*1000000</f>
        <v>0</v>
      </c>
      <c r="BZ50" s="58">
        <f>AL50/(Basicinfo!G50*100)*1000000</f>
        <v>47.60017027928437</v>
      </c>
      <c r="CA50" s="58">
        <f>AM50/(Basicinfo!G50*100)*1000000</f>
        <v>0.78476801311774114</v>
      </c>
      <c r="CB50" s="58">
        <f>AN50/(Basicinfo!G50*100)*1000000</f>
        <v>5.4835048109948614</v>
      </c>
      <c r="CC50" s="58">
        <f>AO50/(Basicinfo!G50*100)*1000000</f>
        <v>1.2131037654176988</v>
      </c>
      <c r="CD50" s="58">
        <f t="shared" si="126"/>
        <v>189.40701465147563</v>
      </c>
      <c r="CE50" s="58">
        <f>AQ50/(Basicinfo!G50*100)*1000000</f>
        <v>0</v>
      </c>
      <c r="CF50" s="43">
        <f t="shared" si="140"/>
        <v>189.40701465147563</v>
      </c>
      <c r="CG50" s="84"/>
      <c r="CH50" s="84">
        <f t="shared" si="8"/>
        <v>0</v>
      </c>
      <c r="CI50" s="146">
        <f t="shared" si="9"/>
        <v>9.7190918832662676E-2</v>
      </c>
      <c r="CJ50" s="200">
        <f>Intermediate!EW50+Intermediate!EY50+Intermediate!FD50</f>
        <v>11.487692619186237</v>
      </c>
      <c r="CK50" s="180">
        <f>Intermediate!FA50+Intermediate!FF50</f>
        <v>0.54963325152622866</v>
      </c>
      <c r="CL50" s="180">
        <f t="shared" si="141"/>
        <v>0</v>
      </c>
      <c r="CM50" s="180">
        <f t="shared" si="142"/>
        <v>3.4506041693948877</v>
      </c>
      <c r="CN50" s="202">
        <f>Intermediate!EX50+Intermediate!EZ50+Intermediate!FE50</f>
        <v>9.1094203437935679</v>
      </c>
      <c r="CO50" s="180">
        <f>Intermediate!FB50+Intermediate!FG50</f>
        <v>0.41590225445181611</v>
      </c>
      <c r="CP50" s="213">
        <f>Intermediate!EP50+Intermediate!EQ50+Intermediate!ER50+Intermediate!ES50+Intermediate!ET50+Intermediate!EU50+Intermediate!EV50+W50</f>
        <v>3.5408245394276436</v>
      </c>
      <c r="CQ50" s="212">
        <f t="shared" si="12"/>
        <v>9.5253225982453849</v>
      </c>
      <c r="CR50" s="212">
        <f t="shared" si="13"/>
        <v>15.487930040107354</v>
      </c>
      <c r="CS50" s="211">
        <f t="shared" si="143"/>
        <v>6.3909009918110167E-3</v>
      </c>
      <c r="CT50" s="212">
        <f t="shared" si="15"/>
        <v>28.560468078772193</v>
      </c>
      <c r="CU50" s="84"/>
      <c r="CV50" s="31">
        <f t="shared" si="16"/>
        <v>28.651268096613041</v>
      </c>
      <c r="CW50" s="31">
        <f>CH50/Basicinfo!$G50*1000/100</f>
        <v>0</v>
      </c>
      <c r="CX50" s="31">
        <f>CI50/Basicinfo!$G50*1000/100</f>
        <v>4.0581926791848362E-2</v>
      </c>
      <c r="CY50" s="31">
        <f>CS50/Basicinfo!$G50*1000/100</f>
        <v>2.6685114133982763E-3</v>
      </c>
      <c r="CZ50" s="31">
        <f>CN50/Basicinfo!$G50*1000/100</f>
        <v>3.8036252146611891</v>
      </c>
      <c r="DA50" s="31">
        <f>CO50/Basicinfo!$G50*1000/100</f>
        <v>0.17365938140566392</v>
      </c>
      <c r="DB50" s="31">
        <f>CQ50/Basicinfo!$G50*1000/100</f>
        <v>3.9772845960668533</v>
      </c>
      <c r="DC50" s="31">
        <f>CJ50/Basicinfo!$G50*1000/100</f>
        <v>4.7966693439922565</v>
      </c>
      <c r="DD50" s="31">
        <f>CK50/Basicinfo!$G50*1000/100</f>
        <v>0.22949856471885677</v>
      </c>
      <c r="DE50" s="31">
        <f>CM50/Basicinfo!$G50*1000/100</f>
        <v>1.4407947519369459</v>
      </c>
      <c r="DF50" s="31">
        <f>CR50/Basicinfo!$G50*1000/100</f>
        <v>6.4669626606480586</v>
      </c>
      <c r="DG50" s="31">
        <f>CP50/Basicinfo!$G50*1000/100</f>
        <v>1.4784661362162383</v>
      </c>
      <c r="DH50" s="31">
        <f>CT50/Basicinfo!$G50*1000/100</f>
        <v>11.925381904344549</v>
      </c>
      <c r="DI50" s="31">
        <f>CV50/Basicinfo!$G50*1000/100</f>
        <v>11.963295319722997</v>
      </c>
      <c r="DJ50" s="31"/>
      <c r="DK50" s="188">
        <f t="shared" si="17"/>
        <v>0</v>
      </c>
      <c r="DL50" s="188">
        <f t="shared" si="18"/>
        <v>0.34029876038656609</v>
      </c>
      <c r="DM50" s="188">
        <f t="shared" si="19"/>
        <v>2.2376737573713324E-2</v>
      </c>
      <c r="DN50" s="188">
        <f t="shared" si="20"/>
        <v>31.895206754556732</v>
      </c>
      <c r="DO50" s="188">
        <f t="shared" si="21"/>
        <v>1.4562165203480644</v>
      </c>
      <c r="DP50" s="188">
        <f t="shared" si="22"/>
        <v>33.351423274904803</v>
      </c>
      <c r="DQ50" s="188">
        <f t="shared" si="23"/>
        <v>40.222354155758957</v>
      </c>
      <c r="DR50" s="188">
        <f t="shared" si="24"/>
        <v>1.9244546343228464</v>
      </c>
      <c r="DS50" s="188">
        <f t="shared" si="25"/>
        <v>12.081749360261984</v>
      </c>
      <c r="DT50" s="188">
        <f t="shared" si="26"/>
        <v>54.228558150343787</v>
      </c>
      <c r="DU50" s="188">
        <f t="shared" si="27"/>
        <v>12.3976418371777</v>
      </c>
      <c r="DV50" s="188">
        <f t="shared" si="28"/>
        <v>100</v>
      </c>
      <c r="DW50" s="188">
        <f t="shared" si="29"/>
        <v>100.31792202281284</v>
      </c>
      <c r="DY50" s="181">
        <f t="shared" si="30"/>
        <v>0</v>
      </c>
      <c r="DZ50" s="181">
        <f t="shared" si="127"/>
        <v>1.7917381513183304E-2</v>
      </c>
      <c r="EA50" s="185">
        <f t="shared" si="31"/>
        <v>0</v>
      </c>
      <c r="EB50" s="185">
        <f>AG50+AH50+AL50-Intermediate!FJ50-Intermediate!FM50</f>
        <v>0.13404090871125207</v>
      </c>
      <c r="EC50" s="185">
        <f>AI50+AJ50-Intermediate!FK50</f>
        <v>3.6843092271903466E-3</v>
      </c>
      <c r="ED50" s="240">
        <f t="shared" si="32"/>
        <v>4.0800801868676991E-3</v>
      </c>
      <c r="EE50" s="240">
        <f>Intermediate!FJ50+Intermediate!FK50+Intermediate!FM50</f>
        <v>0.29389407152636832</v>
      </c>
      <c r="EF50" s="240">
        <f t="shared" si="33"/>
        <v>0.13772521793844233</v>
      </c>
      <c r="EG50" s="240">
        <f t="shared" si="34"/>
        <v>1.7917381513183304E-2</v>
      </c>
      <c r="EH50" s="240">
        <f t="shared" si="35"/>
        <v>0.45361675116486166</v>
      </c>
      <c r="EI50" s="181">
        <f t="shared" si="36"/>
        <v>0.45361675116486172</v>
      </c>
      <c r="EK50" s="31">
        <f>DY50/Basicinfo!$G50*1000/100</f>
        <v>0</v>
      </c>
      <c r="EL50" s="31">
        <f>DZ50/Basicinfo!$G50*1000/100</f>
        <v>7.481376589530301E-3</v>
      </c>
      <c r="EM50" s="220">
        <f>EG50/Basicinfo!$G50*1000/100</f>
        <v>7.481376589530301E-3</v>
      </c>
      <c r="EN50" s="220">
        <f>ED50/Basicinfo!$G50*1000/100</f>
        <v>1.70363154744341E-3</v>
      </c>
      <c r="EO50" s="220">
        <f>EF50/Basicinfo!$G50*1000/100</f>
        <v>5.7506964425269917E-2</v>
      </c>
      <c r="EP50" s="220">
        <f>EE50/Basicinfo!$G50*1000/100</f>
        <v>0.12271504208923195</v>
      </c>
      <c r="EQ50" s="220">
        <f>EH50/Basicinfo!$G50*1000/100</f>
        <v>0.18940701465147555</v>
      </c>
      <c r="ER50" s="31">
        <f>EI50/Basicinfo!$G50*1000/100</f>
        <v>0.18940701465147558</v>
      </c>
      <c r="ET50" s="188">
        <f t="shared" si="37"/>
        <v>0</v>
      </c>
      <c r="EU50" s="188">
        <f t="shared" si="38"/>
        <v>3.9498941490084976</v>
      </c>
      <c r="EV50" s="223">
        <f t="shared" si="39"/>
        <v>3.9498941490084976</v>
      </c>
      <c r="EW50" s="223">
        <f t="shared" si="40"/>
        <v>0.89945536102674539</v>
      </c>
      <c r="EX50" s="223">
        <f t="shared" si="41"/>
        <v>30.361581133142003</v>
      </c>
      <c r="EY50" s="223">
        <f t="shared" si="42"/>
        <v>64.789069356822765</v>
      </c>
      <c r="EZ50" s="223">
        <f t="shared" si="43"/>
        <v>99.999999999999986</v>
      </c>
      <c r="FA50" s="188">
        <f t="shared" si="44"/>
        <v>100</v>
      </c>
      <c r="FC50" s="236">
        <f>Basicinfo!CT50</f>
        <v>0.46516129032258063</v>
      </c>
      <c r="FD50" s="181">
        <f>IF((Intermediate!CL50+Intermediate!CM50*3)/4&gt;11,(Intermediate!CL50+Intermediate!CM50*9)/10,(Intermediate!CL50+Intermediate!CM50*3)/4)</f>
        <v>0.56399536168761055</v>
      </c>
      <c r="FF50" s="31">
        <f t="shared" si="45"/>
        <v>4.0800801868676991E-3</v>
      </c>
      <c r="FG50" s="31">
        <f t="shared" si="46"/>
        <v>0.14466817866307091</v>
      </c>
      <c r="FH50" s="31">
        <f t="shared" si="47"/>
        <v>7.8211842739788224E-3</v>
      </c>
      <c r="FI50" s="31">
        <f>(AI50-(P50*450/1000000))*Parameters!$C$153</f>
        <v>3.3361606520580091E-3</v>
      </c>
      <c r="FJ50" s="31"/>
      <c r="FK50" s="31">
        <f t="shared" si="48"/>
        <v>0</v>
      </c>
      <c r="FL50" s="31">
        <f t="shared" si="49"/>
        <v>0.11399912847322292</v>
      </c>
      <c r="FM50" s="31">
        <f>AM50*Parameters!$C$154</f>
        <v>1.6915187933522501E-3</v>
      </c>
      <c r="FN50" s="31">
        <f>AN50*Parameters!$C$154</f>
        <v>1.1819354619699136E-2</v>
      </c>
      <c r="FO50" s="31">
        <f>AO50*Parameters!$C$154</f>
        <v>2.6147699488135879E-3</v>
      </c>
      <c r="FP50" s="31">
        <f>AQ50*Parameters!$C$155</f>
        <v>0</v>
      </c>
      <c r="FQ50" s="31">
        <f t="shared" si="50"/>
        <v>0.29003037561106337</v>
      </c>
      <c r="FS50" s="147">
        <f>DY50*Parameters!$C$155</f>
        <v>0</v>
      </c>
      <c r="FT50" s="147">
        <f>DZ50*Parameters!$C$154</f>
        <v>1.6125643361864974E-2</v>
      </c>
      <c r="FU50" s="181">
        <f t="shared" si="51"/>
        <v>0</v>
      </c>
      <c r="FV50" s="181">
        <f t="shared" si="52"/>
        <v>0.13404090871125207</v>
      </c>
      <c r="FW50" s="31">
        <f t="shared" si="53"/>
        <v>3.3361606520580511E-3</v>
      </c>
      <c r="FX50" s="181">
        <f t="shared" si="54"/>
        <v>4.0800801868676991E-3</v>
      </c>
      <c r="FY50" s="147">
        <f>Intermediate!FJ50+Intermediate!FM50</f>
        <v>0.1324475826990206</v>
      </c>
      <c r="FZ50" s="181">
        <f t="shared" si="55"/>
        <v>0.13737706936331012</v>
      </c>
      <c r="GA50" s="147">
        <f t="shared" si="56"/>
        <v>1.6125643361864974E-2</v>
      </c>
      <c r="GB50" s="181">
        <f t="shared" si="57"/>
        <v>0.29003037561106337</v>
      </c>
      <c r="GD50" s="147">
        <f>IF('River loads'!CH50&gt;0.99,1,0)</f>
        <v>0</v>
      </c>
      <c r="GE50" s="147">
        <f t="shared" si="58"/>
        <v>0</v>
      </c>
      <c r="GF50" s="147">
        <f t="shared" si="59"/>
        <v>0</v>
      </c>
      <c r="GG50" s="147">
        <f t="shared" si="60"/>
        <v>0</v>
      </c>
      <c r="GH50" s="147">
        <f t="shared" si="61"/>
        <v>0</v>
      </c>
      <c r="GI50" s="147">
        <f t="shared" si="62"/>
        <v>0</v>
      </c>
      <c r="GJ50" s="147">
        <f t="shared" si="63"/>
        <v>0</v>
      </c>
      <c r="GK50" s="147">
        <f t="shared" si="64"/>
        <v>0</v>
      </c>
      <c r="GL50" s="147">
        <f t="shared" si="65"/>
        <v>0</v>
      </c>
      <c r="GM50" s="270">
        <f t="shared" si="128"/>
        <v>0</v>
      </c>
      <c r="GN50" s="270">
        <f t="shared" si="129"/>
        <v>0</v>
      </c>
      <c r="GO50" s="147">
        <f t="shared" si="66"/>
        <v>0</v>
      </c>
      <c r="GP50" s="147">
        <f t="shared" si="67"/>
        <v>0</v>
      </c>
      <c r="GQ50" s="147"/>
      <c r="GR50" s="147">
        <f t="shared" si="68"/>
        <v>0</v>
      </c>
      <c r="GS50" s="147">
        <f t="shared" si="69"/>
        <v>0</v>
      </c>
      <c r="GT50" s="147">
        <f t="shared" si="70"/>
        <v>0</v>
      </c>
      <c r="GU50" s="147">
        <f t="shared" si="71"/>
        <v>0</v>
      </c>
      <c r="GV50" s="147">
        <f t="shared" si="72"/>
        <v>0</v>
      </c>
      <c r="GW50" s="147">
        <f t="shared" si="73"/>
        <v>0</v>
      </c>
      <c r="GX50" s="147">
        <f t="shared" si="74"/>
        <v>0</v>
      </c>
      <c r="GY50" s="147">
        <f t="shared" si="75"/>
        <v>0</v>
      </c>
      <c r="GZ50" s="147">
        <f t="shared" si="130"/>
        <v>0</v>
      </c>
      <c r="HA50" s="147">
        <f t="shared" si="131"/>
        <v>0</v>
      </c>
      <c r="HB50" s="147">
        <f t="shared" si="76"/>
        <v>0</v>
      </c>
      <c r="HC50" s="147">
        <f t="shared" si="77"/>
        <v>0</v>
      </c>
      <c r="HD50" s="147"/>
      <c r="HE50" s="147">
        <f t="shared" si="78"/>
        <v>0</v>
      </c>
      <c r="HF50" s="147">
        <f t="shared" si="79"/>
        <v>0</v>
      </c>
      <c r="HG50" s="147">
        <f t="shared" si="80"/>
        <v>0</v>
      </c>
      <c r="HH50" s="147">
        <f t="shared" si="81"/>
        <v>0</v>
      </c>
      <c r="HI50" s="147">
        <f t="shared" si="82"/>
        <v>0</v>
      </c>
      <c r="HJ50" s="147">
        <f t="shared" si="83"/>
        <v>0</v>
      </c>
      <c r="HK50" s="147">
        <f t="shared" si="84"/>
        <v>0</v>
      </c>
      <c r="HL50" s="147">
        <f t="shared" si="85"/>
        <v>0</v>
      </c>
      <c r="HM50" s="147">
        <f t="shared" si="86"/>
        <v>0</v>
      </c>
      <c r="HN50" s="147">
        <f t="shared" si="87"/>
        <v>0</v>
      </c>
      <c r="HO50" s="147">
        <f t="shared" si="88"/>
        <v>0</v>
      </c>
      <c r="HQ50" s="147">
        <f t="shared" si="89"/>
        <v>0</v>
      </c>
      <c r="HR50" s="147">
        <f t="shared" si="90"/>
        <v>0</v>
      </c>
      <c r="HS50" s="147">
        <f t="shared" si="91"/>
        <v>0</v>
      </c>
      <c r="HT50" s="147">
        <f t="shared" si="92"/>
        <v>0</v>
      </c>
      <c r="HU50" s="147">
        <f t="shared" si="93"/>
        <v>0</v>
      </c>
      <c r="HV50" s="147">
        <f t="shared" si="94"/>
        <v>0</v>
      </c>
      <c r="HW50" s="147">
        <f t="shared" si="95"/>
        <v>0</v>
      </c>
      <c r="HX50" s="147">
        <f t="shared" si="96"/>
        <v>0</v>
      </c>
      <c r="HY50" s="147">
        <f t="shared" si="97"/>
        <v>0</v>
      </c>
      <c r="HZ50" s="147">
        <f t="shared" si="98"/>
        <v>0</v>
      </c>
      <c r="IB50" s="147">
        <f>IF('River loads'!CI50&gt;0.99,1,0)</f>
        <v>0</v>
      </c>
      <c r="IC50">
        <f t="shared" si="144"/>
        <v>0</v>
      </c>
      <c r="ID50">
        <f t="shared" si="145"/>
        <v>0</v>
      </c>
      <c r="IE50">
        <f t="shared" si="146"/>
        <v>0</v>
      </c>
      <c r="IF50">
        <f t="shared" si="147"/>
        <v>0</v>
      </c>
      <c r="IG50">
        <f t="shared" si="148"/>
        <v>0</v>
      </c>
      <c r="IH50">
        <f t="shared" si="149"/>
        <v>0</v>
      </c>
      <c r="II50">
        <f t="shared" si="150"/>
        <v>0</v>
      </c>
      <c r="IJ50">
        <f t="shared" si="151"/>
        <v>0</v>
      </c>
      <c r="IK50">
        <f t="shared" si="132"/>
        <v>0</v>
      </c>
      <c r="IL50">
        <f t="shared" si="133"/>
        <v>0</v>
      </c>
      <c r="IM50">
        <f t="shared" si="107"/>
        <v>0</v>
      </c>
      <c r="IN50">
        <f t="shared" si="108"/>
        <v>0</v>
      </c>
      <c r="IP50">
        <f t="shared" si="109"/>
        <v>0</v>
      </c>
      <c r="IQ50">
        <f t="shared" si="110"/>
        <v>0</v>
      </c>
      <c r="IR50">
        <f t="shared" si="111"/>
        <v>0</v>
      </c>
      <c r="IS50">
        <f t="shared" si="112"/>
        <v>0</v>
      </c>
      <c r="IT50">
        <f t="shared" si="113"/>
        <v>0</v>
      </c>
      <c r="IU50">
        <f t="shared" si="114"/>
        <v>0</v>
      </c>
      <c r="IV50">
        <f t="shared" si="115"/>
        <v>0</v>
      </c>
      <c r="IW50">
        <f t="shared" si="116"/>
        <v>0</v>
      </c>
      <c r="IX50">
        <f t="shared" si="117"/>
        <v>0</v>
      </c>
    </row>
    <row r="51" spans="1:258">
      <c r="A51" s="39" t="str">
        <f>Basicinfo!A51</f>
        <v>Steyr</v>
      </c>
      <c r="B51" s="63">
        <f>Basicinfo!B51</f>
        <v>1560</v>
      </c>
      <c r="C51" s="63">
        <f>Basicinfo!C51</f>
        <v>4080</v>
      </c>
      <c r="D51" s="130">
        <f>Basicinfo!G51</f>
        <v>515.87024038300001</v>
      </c>
      <c r="E51" s="87">
        <f t="shared" si="118"/>
        <v>17.660095596956296</v>
      </c>
      <c r="F51" s="19">
        <f>Intermediate!AR51</f>
        <v>0.15921475047429021</v>
      </c>
      <c r="G51" s="19">
        <f>Intermediate!AU51</f>
        <v>4.1493986280249224</v>
      </c>
      <c r="H51" s="19">
        <f>Intermediate!AW51</f>
        <v>0.29107022669392174</v>
      </c>
      <c r="I51" s="19">
        <f>Intermediate!AZ51</f>
        <v>3.8500576284013722E-3</v>
      </c>
      <c r="J51" s="19">
        <f>Intermediate!BA51</f>
        <v>12.970183653468691</v>
      </c>
      <c r="K51" s="19">
        <f>Intermediate!AC51</f>
        <v>1.9743268270660509E-2</v>
      </c>
      <c r="L51" s="19">
        <f>Intermediate!AO51</f>
        <v>2.6238915290571416E-2</v>
      </c>
      <c r="M51" s="19">
        <f>Intermediate!AP51</f>
        <v>2.6086657311164517E-2</v>
      </c>
      <c r="N51" s="19">
        <f t="shared" si="119"/>
        <v>17.645786157162622</v>
      </c>
      <c r="O51" s="19">
        <f>Basicinfo!CB51+Basicinfo!CG51</f>
        <v>1.4309439793674952E-2</v>
      </c>
      <c r="P51" s="56">
        <f>Intermediate!BK51-Intermediate!BI51</f>
        <v>763.45388790199013</v>
      </c>
      <c r="Q51" s="43">
        <f>Intermediate!BI51</f>
        <v>5255.7876870679993</v>
      </c>
      <c r="R51" s="88">
        <f t="shared" si="134"/>
        <v>6019.2415749699894</v>
      </c>
      <c r="S51" s="61">
        <f>Intermediate!F51*Intermediate!BO51/1000</f>
        <v>7.9215700623640943</v>
      </c>
      <c r="T51" s="19">
        <f>Intermediate!BU51*Intermediate!AU51*86.4*0.365</f>
        <v>118.9237913776653</v>
      </c>
      <c r="U51" s="19">
        <f>Intermediate!AW51*Intermediate!BS51*0.365*86.4</f>
        <v>8.1968588536912357</v>
      </c>
      <c r="V51" s="19">
        <f>(Basicinfo!BL51/1000000)*(Intermediate!BK51-Intermediate!BF51-Intermediate!BG51-Intermediate!BH51)*Intermediate!CV51</f>
        <v>8.6191455272084418</v>
      </c>
      <c r="W51" s="19">
        <f>Intermediate!BI51*Parameters!$C$51/1000000</f>
        <v>0.1313946921767</v>
      </c>
      <c r="X51" s="19">
        <f>Intermediate!AZ51*Intermediate!CG51*86.4*0.365</f>
        <v>1.0543464866395256</v>
      </c>
      <c r="Y51" s="19">
        <f>Intermediate!CM51*Intermediate!BA51*86.4*0.365+Parameters!$C$126*Intermediate!BB51*Basicinfo!P51/1000+Parameters!$C$127*Intermediate!BB51*Basicinfo!S51/1000</f>
        <v>489.92960603829937</v>
      </c>
      <c r="Z51" s="19">
        <f>Intermediate!DG51</f>
        <v>1.0572449310105911</v>
      </c>
      <c r="AA51" s="19">
        <f>Intermediate!DI51</f>
        <v>10.268618148379844</v>
      </c>
      <c r="AB51" s="19">
        <f>Intermediate!DK51</f>
        <v>2.4659227816688767</v>
      </c>
      <c r="AC51" s="19">
        <f t="shared" si="120"/>
        <v>648.56849889910393</v>
      </c>
      <c r="AD51" s="19">
        <f>Basicinfo!CC51+Basicinfo!CE51+Basicinfo!CH51+Basicinfo!CJ51</f>
        <v>2.624017166666667</v>
      </c>
      <c r="AE51" s="87">
        <f t="shared" si="135"/>
        <v>651.19251606577063</v>
      </c>
      <c r="AF51" s="56">
        <f>Intermediate!F51*Basicinfo!BD51/1000</f>
        <v>0.19946865762166169</v>
      </c>
      <c r="AG51" s="43">
        <f>Intermediate!CA51*Intermediate!AU51*86.4*0.365</f>
        <v>2.2933046330712679</v>
      </c>
      <c r="AH51" s="43">
        <f>Intermediate!AW51*Intermediate!BZ51*0.365*86.4</f>
        <v>6.0631276399139046E-2</v>
      </c>
      <c r="AI51" s="43">
        <f>(Intermediate!CU51/1000000)*(Intermediate!BK51-Intermediate!BF51-Intermediate!BG51-Intermediate!BH51)*Intermediate!CW51</f>
        <v>3.0255791344902025</v>
      </c>
      <c r="AJ51" s="43">
        <f>Intermediate!BF51*Parameters!$C$52/1000000+(Intermediate!BG51+Intermediate!BH51)*Intermediate!CX51/1000000</f>
        <v>2.4836061541196304</v>
      </c>
      <c r="AK51" s="43">
        <f>Intermediate!AZ51*Intermediate!CH51*86.4*0.365</f>
        <v>1.0026198063185181E-2</v>
      </c>
      <c r="AL51" s="58">
        <f>Intermediate!CR51*Intermediate!BA51*86.4*0.365</f>
        <v>2.7113542841793241</v>
      </c>
      <c r="AM51" s="43">
        <f>Intermediate!DH51</f>
        <v>0.28230404438375656</v>
      </c>
      <c r="AN51" s="42">
        <f>Intermediate!DJ51</f>
        <v>1.7997047098051959</v>
      </c>
      <c r="AO51" s="42">
        <f>Intermediate!DL51</f>
        <v>0.39964404876393789</v>
      </c>
      <c r="AP51" s="42">
        <f t="shared" si="122"/>
        <v>13.265623140897301</v>
      </c>
      <c r="AQ51" s="43">
        <f>Basicinfo!CD51+Basicinfo!CF51+Basicinfo!CI51+Basicinfo!CK51</f>
        <v>0.38834383333333333</v>
      </c>
      <c r="AR51" s="83">
        <f t="shared" si="136"/>
        <v>13.653966974230634</v>
      </c>
      <c r="AS51" s="19">
        <f>F51*86400*365/(Basicinfo!G51*1000000)*1000</f>
        <v>9.7330607154804145</v>
      </c>
      <c r="AT51" s="19">
        <f>G51*86400*365/(Basicinfo!G51*1000000)*1000</f>
        <v>253.65959283916501</v>
      </c>
      <c r="AU51" s="19">
        <f>H51*86400*365/(Basicinfo!G51*1000000)*1000</f>
        <v>17.793603798902154</v>
      </c>
      <c r="AV51" s="19">
        <f>I51*86400*365/(Basicinfo!G51*1000000)*1000</f>
        <v>0.23536038302795415</v>
      </c>
      <c r="AW51" s="19">
        <f>J51*86400*365/(Basicinfo!G51*1000000)*1000</f>
        <v>792.8887531719455</v>
      </c>
      <c r="AX51" s="53">
        <f>K51*86400*365/(Basicinfo!G51*1000000)*1000</f>
        <v>1.2069386047958346</v>
      </c>
      <c r="AY51" s="53">
        <f>L51*86400*365/(Basicinfo!G51*1000000)*1000</f>
        <v>1.6040282377776189</v>
      </c>
      <c r="AZ51" s="53">
        <f>M51*86400*365/(Basicinfo!G51*1000000)*1000</f>
        <v>1.5947204559699086</v>
      </c>
      <c r="BA51" s="19">
        <f t="shared" si="123"/>
        <v>1078.7160582070644</v>
      </c>
      <c r="BB51" s="19">
        <f>O51*86400*365/(Basicinfo!G51*1000000)*1000</f>
        <v>0.8747596934420957</v>
      </c>
      <c r="BC51" s="53">
        <f t="shared" si="137"/>
        <v>1079.5908179005064</v>
      </c>
      <c r="BD51" s="56">
        <f>P51/(Basicinfo!G51*100)*1000</f>
        <v>14.799339603989862</v>
      </c>
      <c r="BE51" s="43">
        <f>Q51/(Basicinfo!G51*100)*1000</f>
        <v>101.88197100041901</v>
      </c>
      <c r="BF51" s="58">
        <f t="shared" si="138"/>
        <v>116.68131060440888</v>
      </c>
      <c r="BG51" s="61">
        <f>S51/(Basicinfo!G51*100)*1000000</f>
        <v>153.55741506784429</v>
      </c>
      <c r="BH51" s="19">
        <f>T51/(Basicinfo!G51*100)*1000000</f>
        <v>2305.3043588901764</v>
      </c>
      <c r="BI51" s="19">
        <f>U51/(Basicinfo!G51*100)*1000000</f>
        <v>158.89381111819134</v>
      </c>
      <c r="BJ51" s="19">
        <f>V51/(Basicinfo!G51*100)*1000000</f>
        <v>167.07971990803907</v>
      </c>
      <c r="BK51" s="19">
        <f>W51/(Basicinfo!G51*100)*1000000</f>
        <v>2.5470492750104756</v>
      </c>
      <c r="BL51" s="19">
        <f>X51/(Basicinfo!G51*100)*1000000</f>
        <v>20.438211086895461</v>
      </c>
      <c r="BM51" s="19">
        <f>Y51/(Basicinfo!G51*100)*1000000</f>
        <v>9497.1480749608399</v>
      </c>
      <c r="BN51" s="53">
        <f>Z51/(Basicinfo!G51*100)*1000000</f>
        <v>20.494396618530576</v>
      </c>
      <c r="BO51" s="53">
        <f>AA51/(Basicinfo!G51*100)*1000000</f>
        <v>199.05428428583252</v>
      </c>
      <c r="BP51" s="53">
        <f>AB51/(Basicinfo!G51*100)*1000000</f>
        <v>47.801221870020839</v>
      </c>
      <c r="BQ51" s="19">
        <f t="shared" si="125"/>
        <v>12572.318543081381</v>
      </c>
      <c r="BR51" s="19">
        <f>AD51/(Basicinfo!G51*100)*1000000</f>
        <v>50.865837205854426</v>
      </c>
      <c r="BS51" s="53">
        <f t="shared" si="139"/>
        <v>12623.184380287235</v>
      </c>
      <c r="BT51" s="56">
        <f>AF51/(Basicinfo!G51*100)*1000000</f>
        <v>3.8666440125247239</v>
      </c>
      <c r="BU51" s="43">
        <f>AG51/(Basicinfo!G51*100)*1000000</f>
        <v>44.455067448136546</v>
      </c>
      <c r="BV51" s="43">
        <f>AH51/(Basicinfo!G51*100)*1000000</f>
        <v>1.175320296711132</v>
      </c>
      <c r="BW51" s="43">
        <f>AI51/(Basicinfo!G51*100)*1000000</f>
        <v>58.65000338542319</v>
      </c>
      <c r="BX51" s="43">
        <f>AJ51/(Basicinfo!G51*100)*1000000</f>
        <v>48.144009087938763</v>
      </c>
      <c r="BY51" s="58">
        <f>AK51/(Basicinfo!G51*100)*1000000</f>
        <v>0.19435503889003916</v>
      </c>
      <c r="BZ51" s="58">
        <f>AL51/(Basicinfo!G51*100)*1000000</f>
        <v>52.558842746313893</v>
      </c>
      <c r="CA51" s="58">
        <f>AM51/(Basicinfo!G51*100)*1000000</f>
        <v>5.4723847643191093</v>
      </c>
      <c r="CB51" s="58">
        <f>AN51/(Basicinfo!G51*100)*1000000</f>
        <v>34.88677130258634</v>
      </c>
      <c r="CC51" s="58">
        <f>AO51/(Basicinfo!G51*100)*1000000</f>
        <v>7.7469878562335408</v>
      </c>
      <c r="CD51" s="58">
        <f t="shared" si="126"/>
        <v>257.1503859390773</v>
      </c>
      <c r="CE51" s="58">
        <f>AQ51/(Basicinfo!G51*100)*1000000</f>
        <v>7.5279363478112904</v>
      </c>
      <c r="CF51" s="43">
        <f t="shared" si="140"/>
        <v>264.6783222868886</v>
      </c>
      <c r="CG51" s="84"/>
      <c r="CH51" s="84">
        <f t="shared" si="8"/>
        <v>2.624017166666667</v>
      </c>
      <c r="CI51" s="146">
        <f>Z51+AA51+AB51</f>
        <v>13.79178586105931</v>
      </c>
      <c r="CJ51" s="200">
        <f>Intermediate!EW51+Intermediate!EY51+Intermediate!FD51</f>
        <v>176.95628194796817</v>
      </c>
      <c r="CK51" s="180">
        <f>Intermediate!FA51+Intermediate!FF51</f>
        <v>25.69833070174726</v>
      </c>
      <c r="CL51" s="180">
        <f t="shared" si="141"/>
        <v>1.0543464866395256</v>
      </c>
      <c r="CM51" s="180">
        <f t="shared" si="142"/>
        <v>181.85673637760598</v>
      </c>
      <c r="CN51" s="202">
        <f>Intermediate!EX51+Intermediate!EZ51+Intermediate!FE51</f>
        <v>125.10896216263379</v>
      </c>
      <c r="CO51" s="180">
        <f>Intermediate!FB51+Intermediate!FG51</f>
        <v>17.915567224202668</v>
      </c>
      <c r="CP51" s="213">
        <f>Intermediate!EP51+Intermediate!EQ51+Intermediate!ER51+Intermediate!ES51+Intermediate!ET51+Intermediate!EU51+Intermediate!EV51+W51</f>
        <v>106.18648813724721</v>
      </c>
      <c r="CQ51" s="212">
        <f t="shared" si="12"/>
        <v>143.02452938683646</v>
      </c>
      <c r="CR51" s="212">
        <f t="shared" si="13"/>
        <v>385.56569551396097</v>
      </c>
      <c r="CS51" s="211">
        <f t="shared" si="143"/>
        <v>3.6812620976772581</v>
      </c>
      <c r="CT51" s="212">
        <f t="shared" si="15"/>
        <v>638.45797513572199</v>
      </c>
      <c r="CU51" s="84"/>
      <c r="CV51" s="31">
        <f t="shared" si="16"/>
        <v>651.19251606577063</v>
      </c>
      <c r="CW51" s="31">
        <f>CH51/Basicinfo!$G51*1000/100</f>
        <v>5.0865837205854421E-2</v>
      </c>
      <c r="CX51" s="31">
        <f>CI51/Basicinfo!$G51*1000/100</f>
        <v>0.26734990277438386</v>
      </c>
      <c r="CY51" s="31">
        <f>CS51/Basicinfo!$G51*1000/100</f>
        <v>7.1360233824385E-2</v>
      </c>
      <c r="CZ51" s="31">
        <f>CN51/Basicinfo!$G51*1000/100</f>
        <v>2.4252021607167831</v>
      </c>
      <c r="DA51" s="31">
        <f>CO51/Basicinfo!$G51*1000/100</f>
        <v>0.34728824851190349</v>
      </c>
      <c r="DB51" s="31">
        <f>CQ51/Basicinfo!$G51*1000/100</f>
        <v>2.7724904092286868</v>
      </c>
      <c r="DC51" s="31">
        <f>CJ51/Basicinfo!$G51*1000/100</f>
        <v>3.4302479208063965</v>
      </c>
      <c r="DD51" s="31">
        <f>CK51/Basicinfo!$G51*1000/100</f>
        <v>0.49815493684357376</v>
      </c>
      <c r="DE51" s="31">
        <f>CM51/Basicinfo!$G51*1000/100</f>
        <v>3.5252418562192931</v>
      </c>
      <c r="DF51" s="31">
        <f>CR51/Basicinfo!$G51*1000/100</f>
        <v>7.4740829249561589</v>
      </c>
      <c r="DG51" s="31">
        <f>CP51/Basicinfo!$G51*1000/100</f>
        <v>2.0583953061221494</v>
      </c>
      <c r="DH51" s="31">
        <f>CT51/Basicinfo!$G51*1000/100</f>
        <v>12.376328874131381</v>
      </c>
      <c r="DI51" s="31">
        <f>CV51/Basicinfo!$G51*1000/100</f>
        <v>12.623184380287235</v>
      </c>
      <c r="DJ51" s="31"/>
      <c r="DK51" s="188">
        <f t="shared" si="17"/>
        <v>0.41099293436014467</v>
      </c>
      <c r="DL51" s="188">
        <f t="shared" si="18"/>
        <v>2.1601712874097125</v>
      </c>
      <c r="DM51" s="188">
        <f t="shared" si="19"/>
        <v>0.57658643811203136</v>
      </c>
      <c r="DN51" s="188">
        <f t="shared" si="20"/>
        <v>19.595488980467103</v>
      </c>
      <c r="DO51" s="188">
        <f t="shared" si="21"/>
        <v>2.806068358750506</v>
      </c>
      <c r="DP51" s="188">
        <f t="shared" si="22"/>
        <v>22.401557339217611</v>
      </c>
      <c r="DQ51" s="188">
        <f t="shared" si="23"/>
        <v>27.716198847755201</v>
      </c>
      <c r="DR51" s="188">
        <f t="shared" si="24"/>
        <v>4.0250622127923714</v>
      </c>
      <c r="DS51" s="188">
        <f t="shared" si="25"/>
        <v>28.483744186756738</v>
      </c>
      <c r="DT51" s="188">
        <f t="shared" si="26"/>
        <v>60.39014477530776</v>
      </c>
      <c r="DU51" s="188">
        <f t="shared" si="27"/>
        <v>16.63171144736258</v>
      </c>
      <c r="DV51" s="188">
        <f t="shared" si="28"/>
        <v>100</v>
      </c>
      <c r="DW51" s="188">
        <f t="shared" si="29"/>
        <v>101.99457778365782</v>
      </c>
      <c r="DY51" s="181">
        <f t="shared" si="30"/>
        <v>0.38834383333333333</v>
      </c>
      <c r="DZ51" s="181">
        <f t="shared" si="127"/>
        <v>2.4816528029528904</v>
      </c>
      <c r="EA51" s="185">
        <f t="shared" si="31"/>
        <v>1.0026198063185181E-2</v>
      </c>
      <c r="EB51" s="185">
        <f>AG51+AH51+AL51-Intermediate!FJ51-Intermediate!FM51</f>
        <v>3.089386167055173</v>
      </c>
      <c r="EC51" s="185">
        <f>AI51+AJ51-Intermediate!FK51</f>
        <v>2.9276051516037405</v>
      </c>
      <c r="ED51" s="240">
        <f t="shared" si="32"/>
        <v>0.19946865762166169</v>
      </c>
      <c r="EE51" s="240">
        <f>Intermediate!FJ51+Intermediate!FK51+Intermediate!FM51</f>
        <v>4.5574841636006509</v>
      </c>
      <c r="EF51" s="240">
        <f t="shared" si="33"/>
        <v>6.0270175167220978</v>
      </c>
      <c r="EG51" s="240">
        <f t="shared" si="34"/>
        <v>2.8699966362862237</v>
      </c>
      <c r="EH51" s="240">
        <f t="shared" si="35"/>
        <v>13.653966974230634</v>
      </c>
      <c r="EI51" s="181">
        <f t="shared" si="36"/>
        <v>13.653966974230634</v>
      </c>
      <c r="EK51" s="31">
        <f>DY51/Basicinfo!$G51*1000/100</f>
        <v>7.52793634781129E-3</v>
      </c>
      <c r="EL51" s="31">
        <f>DZ51/Basicinfo!$G51*1000/100</f>
        <v>4.8106143923138986E-2</v>
      </c>
      <c r="EM51" s="220">
        <f>EG51/Basicinfo!$G51*1000/100</f>
        <v>5.5634080270950272E-2</v>
      </c>
      <c r="EN51" s="220">
        <f>ED51/Basicinfo!$G51*1000/100</f>
        <v>3.8666440125247237E-3</v>
      </c>
      <c r="EO51" s="220">
        <f>EF51/Basicinfo!$G51*1000/100</f>
        <v>0.11683204505550523</v>
      </c>
      <c r="EP51" s="220">
        <f>EE51/Basicinfo!$G51*1000/100</f>
        <v>8.8345552947908301E-2</v>
      </c>
      <c r="EQ51" s="220">
        <f>EH51/Basicinfo!$G51*1000/100</f>
        <v>0.26467832228688853</v>
      </c>
      <c r="ER51" s="31">
        <f>EI51/Basicinfo!$G51*1000/100</f>
        <v>0.26467832228688853</v>
      </c>
      <c r="ET51" s="188">
        <f t="shared" si="37"/>
        <v>2.8441831891512654</v>
      </c>
      <c r="EU51" s="188">
        <f t="shared" si="38"/>
        <v>18.17532448728312</v>
      </c>
      <c r="EV51" s="223">
        <f t="shared" si="39"/>
        <v>21.019507676434383</v>
      </c>
      <c r="EW51" s="223">
        <f t="shared" si="40"/>
        <v>1.4608842836526728</v>
      </c>
      <c r="EX51" s="223">
        <f t="shared" si="41"/>
        <v>44.14114614527039</v>
      </c>
      <c r="EY51" s="223">
        <f t="shared" si="42"/>
        <v>33.378461894642555</v>
      </c>
      <c r="EZ51" s="223">
        <f t="shared" si="43"/>
        <v>100</v>
      </c>
      <c r="FA51" s="188">
        <f t="shared" si="44"/>
        <v>100</v>
      </c>
      <c r="FC51" s="236">
        <f>Basicinfo!CT51</f>
        <v>1.0019354838709678</v>
      </c>
      <c r="FD51" s="181">
        <f>IF((Intermediate!CL51+Intermediate!CM51*3)/4&gt;11,(Intermediate!CL51+Intermediate!CM51*9)/10,(Intermediate!CL51+Intermediate!CM51*3)/4)</f>
        <v>1.3124924254636956</v>
      </c>
      <c r="FF51" s="31">
        <f t="shared" si="45"/>
        <v>0.19946865762166169</v>
      </c>
      <c r="FG51" s="31">
        <f t="shared" si="46"/>
        <v>2.2933046330712679</v>
      </c>
      <c r="FH51" s="31">
        <f t="shared" si="47"/>
        <v>6.0631276399139046E-2</v>
      </c>
      <c r="FI51" s="31">
        <f>(AI51-(P51*450/1000000))*Parameters!$C$153</f>
        <v>2.1456199079474456</v>
      </c>
      <c r="FJ51" s="31"/>
      <c r="FK51" s="31">
        <f t="shared" si="48"/>
        <v>1.0026198063185181E-2</v>
      </c>
      <c r="FL51" s="31">
        <f t="shared" si="49"/>
        <v>2.7113542841793241</v>
      </c>
      <c r="FM51" s="31">
        <f>AM51*Parameters!$C$154</f>
        <v>0.2540736399453809</v>
      </c>
      <c r="FN51" s="31">
        <f>AN51*Parameters!$C$154</f>
        <v>1.6197342388246763</v>
      </c>
      <c r="FO51" s="31">
        <f>AO51*Parameters!$C$154</f>
        <v>0.35967964388754409</v>
      </c>
      <c r="FP51" s="31">
        <f>AQ51*Parameters!$C$155</f>
        <v>0.38834383333333333</v>
      </c>
      <c r="FQ51" s="31">
        <f t="shared" si="50"/>
        <v>10.042236313272959</v>
      </c>
      <c r="FS51" s="147">
        <f>DY51*Parameters!$C$155</f>
        <v>0.38834383333333333</v>
      </c>
      <c r="FT51" s="147">
        <f>DZ51*Parameters!$C$154</f>
        <v>2.2334875226576014</v>
      </c>
      <c r="FU51" s="181">
        <f t="shared" si="51"/>
        <v>1.0026198063185181E-2</v>
      </c>
      <c r="FV51" s="181">
        <f t="shared" si="52"/>
        <v>3.089386167055173</v>
      </c>
      <c r="FW51" s="31">
        <f t="shared" si="53"/>
        <v>2.1456199079474465</v>
      </c>
      <c r="FX51" s="181">
        <f t="shared" si="54"/>
        <v>0.19946865762166169</v>
      </c>
      <c r="FY51" s="147">
        <f>Intermediate!FJ51+Intermediate!FM51</f>
        <v>1.975904026594558</v>
      </c>
      <c r="FZ51" s="181">
        <f t="shared" si="55"/>
        <v>5.2450322730658048</v>
      </c>
      <c r="GA51" s="147">
        <f t="shared" si="56"/>
        <v>2.6218313559909348</v>
      </c>
      <c r="GB51" s="181">
        <f t="shared" si="57"/>
        <v>10.042236313272959</v>
      </c>
      <c r="GD51" s="147">
        <f>IF('River loads'!CH51&gt;0.99,1,0)</f>
        <v>0</v>
      </c>
      <c r="GE51" s="147">
        <f t="shared" si="58"/>
        <v>0</v>
      </c>
      <c r="GF51" s="147">
        <f t="shared" si="59"/>
        <v>0</v>
      </c>
      <c r="GG51" s="147">
        <f t="shared" si="60"/>
        <v>0</v>
      </c>
      <c r="GH51" s="147">
        <f t="shared" si="61"/>
        <v>0</v>
      </c>
      <c r="GI51" s="147">
        <f t="shared" si="62"/>
        <v>0</v>
      </c>
      <c r="GJ51" s="147">
        <f t="shared" si="63"/>
        <v>0</v>
      </c>
      <c r="GK51" s="147">
        <f t="shared" si="64"/>
        <v>0</v>
      </c>
      <c r="GL51" s="147">
        <f t="shared" si="65"/>
        <v>0</v>
      </c>
      <c r="GM51" s="270">
        <f t="shared" si="128"/>
        <v>0</v>
      </c>
      <c r="GN51" s="270">
        <f t="shared" si="129"/>
        <v>0</v>
      </c>
      <c r="GO51" s="147">
        <f t="shared" si="66"/>
        <v>0</v>
      </c>
      <c r="GP51" s="147">
        <f t="shared" si="67"/>
        <v>0</v>
      </c>
      <c r="GQ51" s="147"/>
      <c r="GR51" s="147">
        <f t="shared" si="68"/>
        <v>0</v>
      </c>
      <c r="GS51" s="147">
        <f t="shared" si="69"/>
        <v>0</v>
      </c>
      <c r="GT51" s="147">
        <f t="shared" si="70"/>
        <v>0</v>
      </c>
      <c r="GU51" s="147">
        <f t="shared" si="71"/>
        <v>0</v>
      </c>
      <c r="GV51" s="147">
        <f t="shared" si="72"/>
        <v>0</v>
      </c>
      <c r="GW51" s="147">
        <f t="shared" si="73"/>
        <v>0</v>
      </c>
      <c r="GX51" s="147">
        <f t="shared" si="74"/>
        <v>0</v>
      </c>
      <c r="GY51" s="147">
        <f t="shared" si="75"/>
        <v>0</v>
      </c>
      <c r="GZ51" s="147">
        <f t="shared" si="130"/>
        <v>0</v>
      </c>
      <c r="HA51" s="147">
        <f t="shared" si="131"/>
        <v>0</v>
      </c>
      <c r="HB51" s="147">
        <f t="shared" si="76"/>
        <v>0</v>
      </c>
      <c r="HC51" s="147">
        <f t="shared" si="77"/>
        <v>0</v>
      </c>
      <c r="HD51" s="147"/>
      <c r="HE51" s="147">
        <f t="shared" si="78"/>
        <v>0</v>
      </c>
      <c r="HF51" s="147">
        <f t="shared" si="79"/>
        <v>0</v>
      </c>
      <c r="HG51" s="147">
        <f t="shared" si="80"/>
        <v>0</v>
      </c>
      <c r="HH51" s="147">
        <f t="shared" si="81"/>
        <v>0</v>
      </c>
      <c r="HI51" s="147">
        <f t="shared" si="82"/>
        <v>0</v>
      </c>
      <c r="HJ51" s="147">
        <f t="shared" si="83"/>
        <v>0</v>
      </c>
      <c r="HK51" s="147">
        <f t="shared" si="84"/>
        <v>0</v>
      </c>
      <c r="HL51" s="147">
        <f t="shared" si="85"/>
        <v>0</v>
      </c>
      <c r="HM51" s="147">
        <f t="shared" si="86"/>
        <v>0</v>
      </c>
      <c r="HN51" s="147">
        <f t="shared" si="87"/>
        <v>0</v>
      </c>
      <c r="HO51" s="147">
        <f t="shared" si="88"/>
        <v>0</v>
      </c>
      <c r="HQ51" s="147">
        <f t="shared" si="89"/>
        <v>0</v>
      </c>
      <c r="HR51" s="147">
        <f t="shared" si="90"/>
        <v>0</v>
      </c>
      <c r="HS51" s="147">
        <f t="shared" si="91"/>
        <v>0</v>
      </c>
      <c r="HT51" s="147">
        <f t="shared" si="92"/>
        <v>0</v>
      </c>
      <c r="HU51" s="147">
        <f t="shared" si="93"/>
        <v>0</v>
      </c>
      <c r="HV51" s="147">
        <f t="shared" si="94"/>
        <v>0</v>
      </c>
      <c r="HW51" s="147">
        <f t="shared" si="95"/>
        <v>0</v>
      </c>
      <c r="HX51" s="147">
        <f t="shared" si="96"/>
        <v>0</v>
      </c>
      <c r="HY51" s="147">
        <f t="shared" si="97"/>
        <v>0</v>
      </c>
      <c r="HZ51" s="147">
        <f t="shared" si="98"/>
        <v>0</v>
      </c>
      <c r="IB51" s="147">
        <f>IF('River loads'!CI51&gt;0.99,1,0)</f>
        <v>0</v>
      </c>
      <c r="IC51">
        <f t="shared" si="144"/>
        <v>0</v>
      </c>
      <c r="ID51">
        <f t="shared" si="145"/>
        <v>0</v>
      </c>
      <c r="IE51">
        <f t="shared" si="146"/>
        <v>0</v>
      </c>
      <c r="IF51">
        <f t="shared" si="147"/>
        <v>0</v>
      </c>
      <c r="IG51">
        <f t="shared" si="148"/>
        <v>0</v>
      </c>
      <c r="IH51">
        <f t="shared" si="149"/>
        <v>0</v>
      </c>
      <c r="II51">
        <f t="shared" si="150"/>
        <v>0</v>
      </c>
      <c r="IJ51">
        <f t="shared" si="151"/>
        <v>0</v>
      </c>
      <c r="IK51">
        <f t="shared" si="132"/>
        <v>0</v>
      </c>
      <c r="IL51">
        <f t="shared" si="133"/>
        <v>0</v>
      </c>
      <c r="IM51">
        <f t="shared" si="107"/>
        <v>0</v>
      </c>
      <c r="IN51">
        <f t="shared" si="108"/>
        <v>0</v>
      </c>
      <c r="IP51">
        <f t="shared" si="109"/>
        <v>0</v>
      </c>
      <c r="IQ51">
        <f t="shared" si="110"/>
        <v>0</v>
      </c>
      <c r="IR51">
        <f t="shared" si="111"/>
        <v>0</v>
      </c>
      <c r="IS51">
        <f t="shared" si="112"/>
        <v>0</v>
      </c>
      <c r="IT51">
        <f t="shared" si="113"/>
        <v>0</v>
      </c>
      <c r="IU51">
        <f t="shared" si="114"/>
        <v>0</v>
      </c>
      <c r="IV51">
        <f t="shared" si="115"/>
        <v>0</v>
      </c>
      <c r="IW51">
        <f t="shared" si="116"/>
        <v>0</v>
      </c>
      <c r="IX51">
        <f t="shared" si="117"/>
        <v>0</v>
      </c>
    </row>
    <row r="52" spans="1:258">
      <c r="A52" s="39" t="str">
        <f>Basicinfo!A52</f>
        <v>Feldaist</v>
      </c>
      <c r="B52" s="63">
        <f>Basicinfo!B52</f>
        <v>1570</v>
      </c>
      <c r="C52" s="63">
        <f>Basicinfo!C52</f>
        <v>1580</v>
      </c>
      <c r="D52" s="130">
        <f>Basicinfo!G52</f>
        <v>65.083340208799996</v>
      </c>
      <c r="E52" s="87">
        <f t="shared" si="118"/>
        <v>0.66651881797970691</v>
      </c>
      <c r="F52" s="19">
        <f>Intermediate!AR52</f>
        <v>1.8792835703986509E-3</v>
      </c>
      <c r="G52" s="19">
        <f>Intermediate!AU52</f>
        <v>0.11282084264846876</v>
      </c>
      <c r="H52" s="19">
        <f>Intermediate!AW52</f>
        <v>0</v>
      </c>
      <c r="I52" s="19">
        <f>Intermediate!AZ52</f>
        <v>3.0757634007438233E-2</v>
      </c>
      <c r="J52" s="19">
        <f>Intermediate!BA52</f>
        <v>0.51097898345432002</v>
      </c>
      <c r="K52" s="19">
        <f>Intermediate!AC52</f>
        <v>2.8485442089021479E-3</v>
      </c>
      <c r="L52" s="19">
        <f>Intermediate!AO52</f>
        <v>2.0114734004689234E-3</v>
      </c>
      <c r="M52" s="19">
        <f>Intermediate!AP52</f>
        <v>4.7331678008213458E-3</v>
      </c>
      <c r="N52" s="19">
        <f t="shared" si="119"/>
        <v>0.66602992909081804</v>
      </c>
      <c r="O52" s="19">
        <f>Basicinfo!CB52+Basicinfo!CG52</f>
        <v>4.8888888888888897E-4</v>
      </c>
      <c r="P52" s="56">
        <f>Intermediate!BK52-Intermediate!BI52</f>
        <v>73.261529075867259</v>
      </c>
      <c r="Q52" s="43">
        <f>Intermediate!BI52</f>
        <v>275.4294634872013</v>
      </c>
      <c r="R52" s="88">
        <f t="shared" si="134"/>
        <v>348.69099256306856</v>
      </c>
      <c r="S52" s="61">
        <f>Intermediate!F52*Intermediate!BO52/1000</f>
        <v>0.40887592366330228</v>
      </c>
      <c r="T52" s="19">
        <f>Intermediate!BU52*Intermediate!AU52*86.4*0.365</f>
        <v>5.9086502371902823</v>
      </c>
      <c r="U52" s="19">
        <f>Intermediate!AW52*Intermediate!BS52*0.365*86.4</f>
        <v>0</v>
      </c>
      <c r="V52" s="19">
        <f>(Basicinfo!BL52/1000000)*(Intermediate!BK52-Intermediate!BF52-Intermediate!BG52-Intermediate!BH52)*Intermediate!CV52</f>
        <v>0.72577318257028012</v>
      </c>
      <c r="W52" s="19">
        <f>Intermediate!BI52*Parameters!$C$51/1000000</f>
        <v>6.8857365871800328E-3</v>
      </c>
      <c r="X52" s="19">
        <f>Intermediate!AZ52*Intermediate!CG52*86.4*0.365</f>
        <v>14.968005274296553</v>
      </c>
      <c r="Y52" s="19">
        <f>Intermediate!CM52*Intermediate!BA52*86.4*0.365+Parameters!$C$126*Intermediate!BB52*Basicinfo!P52/1000+Parameters!$C$127*Intermediate!BB52*Basicinfo!S52/1000</f>
        <v>39.868148697149742</v>
      </c>
      <c r="Z52" s="19">
        <f>Intermediate!DG52</f>
        <v>0.25444398554044551</v>
      </c>
      <c r="AA52" s="19">
        <f>Intermediate!DI52</f>
        <v>0.46863830821261143</v>
      </c>
      <c r="AB52" s="19">
        <f>Intermediate!DK52</f>
        <v>1.0731371980398301</v>
      </c>
      <c r="AC52" s="19">
        <f t="shared" si="120"/>
        <v>63.682558543250231</v>
      </c>
      <c r="AD52" s="19">
        <f>Basicinfo!CC52+Basicinfo!CE52+Basicinfo!CH52+Basicinfo!CJ52</f>
        <v>0.13567488000000003</v>
      </c>
      <c r="AE52" s="87">
        <f t="shared" si="135"/>
        <v>63.818233423250234</v>
      </c>
      <c r="AF52" s="56">
        <f>Intermediate!F52*Basicinfo!BD52/1000</f>
        <v>1.0579523521618277E-2</v>
      </c>
      <c r="AG52" s="43">
        <f>Intermediate!CA52*Intermediate!AU52*86.4*0.365</f>
        <v>0.10980772064000728</v>
      </c>
      <c r="AH52" s="43">
        <f>Intermediate!AW52*Intermediate!BZ52*0.365*86.4</f>
        <v>0</v>
      </c>
      <c r="AI52" s="43">
        <f>(Intermediate!CU52/1000000)*(Intermediate!BK52-Intermediate!BF52-Intermediate!BG52-Intermediate!BH52)*Intermediate!CW52</f>
        <v>0.26817380295073623</v>
      </c>
      <c r="AJ52" s="43">
        <f>Intermediate!BF52*Parameters!$C$52/1000000+(Intermediate!BG52+Intermediate!BH52)*Intermediate!CX52/1000000</f>
        <v>0.12394325856924059</v>
      </c>
      <c r="AK52" s="43">
        <f>Intermediate!AZ52*Intermediate!CH52*86.4*0.365</f>
        <v>0.19399454921171444</v>
      </c>
      <c r="AL52" s="58">
        <f>Intermediate!CR52*Intermediate!BA52*86.4*0.365</f>
        <v>0.74125472822191019</v>
      </c>
      <c r="AM52" s="43">
        <f>Intermediate!DH52</f>
        <v>6.9769881744088547E-2</v>
      </c>
      <c r="AN52" s="42">
        <f>Intermediate!DJ52</f>
        <v>9.5252336247550778E-2</v>
      </c>
      <c r="AO52" s="42">
        <f>Intermediate!DL52</f>
        <v>0.16659765346812341</v>
      </c>
      <c r="AP52" s="42">
        <f t="shared" si="122"/>
        <v>1.7793734545749897</v>
      </c>
      <c r="AQ52" s="43">
        <f>Basicinfo!CD52+Basicinfo!CF52+Basicinfo!CI52+Basicinfo!CK52</f>
        <v>1.73448E-2</v>
      </c>
      <c r="AR52" s="83">
        <f t="shared" si="136"/>
        <v>1.7967182545749898</v>
      </c>
      <c r="AS52" s="19">
        <f>F52*86400*365/(Basicinfo!G52*1000000)*1000</f>
        <v>0.9106030281475711</v>
      </c>
      <c r="AT52" s="19">
        <f>G52*86400*365/(Basicinfo!G52*1000000)*1000</f>
        <v>54.667109622026445</v>
      </c>
      <c r="AU52" s="19">
        <f>H52*86400*365/(Basicinfo!G52*1000000)*1000</f>
        <v>0</v>
      </c>
      <c r="AV52" s="19">
        <f>I52*86400*365/(Basicinfo!G52*1000000)*1000</f>
        <v>14.903548941199254</v>
      </c>
      <c r="AW52" s="19">
        <f>J52*86400*365/(Basicinfo!G52*1000000)*1000</f>
        <v>247.5938261699207</v>
      </c>
      <c r="AX52" s="53">
        <f>K52*86400*365/(Basicinfo!G52*1000000)*1000</f>
        <v>1.3802562972911445</v>
      </c>
      <c r="AY52" s="53">
        <f>L52*86400*365/(Basicinfo!G52*1000000)*1000</f>
        <v>0.97465534119299868</v>
      </c>
      <c r="AZ52" s="53">
        <f>M52*86400*365/(Basicinfo!G52*1000000)*1000</f>
        <v>2.2934468219951571</v>
      </c>
      <c r="BA52" s="19">
        <f t="shared" si="123"/>
        <v>322.72344622177326</v>
      </c>
      <c r="BB52" s="19">
        <f>O52*86400*365/(Basicinfo!G52*1000000)*1000</f>
        <v>0.23689011581976815</v>
      </c>
      <c r="BC52" s="53">
        <f t="shared" si="137"/>
        <v>322.96033633759305</v>
      </c>
      <c r="BD52" s="56">
        <f>P52/(Basicinfo!G52*100)*1000</f>
        <v>11.256571780248224</v>
      </c>
      <c r="BE52" s="43">
        <f>Q52/(Basicinfo!G52*100)*1000</f>
        <v>42.319503363467526</v>
      </c>
      <c r="BF52" s="58">
        <f t="shared" si="138"/>
        <v>53.576075143715748</v>
      </c>
      <c r="BG52" s="61">
        <f>S52/(Basicinfo!G52*100)*1000000</f>
        <v>62.823438740474728</v>
      </c>
      <c r="BH52" s="19">
        <f>T52/(Basicinfo!G52*100)*1000000</f>
        <v>907.85909546654864</v>
      </c>
      <c r="BI52" s="19">
        <f>U52/(Basicinfo!G52*100)*1000000</f>
        <v>0</v>
      </c>
      <c r="BJ52" s="19">
        <f>V52/(Basicinfo!G52*100)*1000000</f>
        <v>111.51443368485064</v>
      </c>
      <c r="BK52" s="19">
        <f>W52/(Basicinfo!G52*100)*1000000</f>
        <v>1.0579875840866881</v>
      </c>
      <c r="BL52" s="19">
        <f>X52/(Basicinfo!G52*100)*1000000</f>
        <v>2299.8213100735584</v>
      </c>
      <c r="BM52" s="19">
        <f>Y52/(Basicinfo!G52*100)*1000000</f>
        <v>6125.707219273776</v>
      </c>
      <c r="BN52" s="53">
        <f>Z52/(Basicinfo!G52*100)*1000000</f>
        <v>39.095102483083963</v>
      </c>
      <c r="BO52" s="53">
        <f>AA52/(Basicinfo!G52*100)*1000000</f>
        <v>72.005878418214053</v>
      </c>
      <c r="BP52" s="53">
        <f>AB52/(Basicinfo!G52*100)*1000000</f>
        <v>164.88661992408464</v>
      </c>
      <c r="BQ52" s="19">
        <f t="shared" si="125"/>
        <v>9784.7710856486792</v>
      </c>
      <c r="BR52" s="19">
        <f>AD52/(Basicinfo!G52*100)*1000000</f>
        <v>20.846330192139593</v>
      </c>
      <c r="BS52" s="53">
        <f t="shared" si="139"/>
        <v>9805.6174158408194</v>
      </c>
      <c r="BT52" s="56">
        <f>AF52/(Basicinfo!G52*100)*1000000</f>
        <v>1.6255348123924047</v>
      </c>
      <c r="BU52" s="43">
        <f>AG52/(Basicinfo!G52*100)*1000000</f>
        <v>16.871863104708943</v>
      </c>
      <c r="BV52" s="43">
        <f>AH52/(Basicinfo!G52*100)*1000000</f>
        <v>0</v>
      </c>
      <c r="BW52" s="43">
        <f>AI52/(Basicinfo!G52*100)*1000000</f>
        <v>41.204677278452913</v>
      </c>
      <c r="BX52" s="43">
        <f>AJ52/(Basicinfo!G52*100)*1000000</f>
        <v>19.043776513560388</v>
      </c>
      <c r="BY52" s="58">
        <f>AK52/(Basicinfo!G52*100)*1000000</f>
        <v>29.807097882398512</v>
      </c>
      <c r="BZ52" s="58">
        <f>AL52/(Basicinfo!G52*100)*1000000</f>
        <v>113.89316003816354</v>
      </c>
      <c r="CA52" s="58">
        <f>AM52/(Basicinfo!G52*100)*1000000</f>
        <v>10.720083130376102</v>
      </c>
      <c r="CB52" s="58">
        <f>AN52/(Basicinfo!G52*100)*1000000</f>
        <v>14.635440643022127</v>
      </c>
      <c r="CC52" s="58">
        <f>AO52/(Basicinfo!G52*100)*1000000</f>
        <v>25.597588097606202</v>
      </c>
      <c r="CD52" s="58">
        <f t="shared" si="126"/>
        <v>273.39922150068111</v>
      </c>
      <c r="CE52" s="58">
        <f>AQ52/(Basicinfo!G52*100)*1000000</f>
        <v>2.6650138029723904</v>
      </c>
      <c r="CF52" s="43">
        <f t="shared" si="140"/>
        <v>276.0642353036535</v>
      </c>
      <c r="CG52" s="84"/>
      <c r="CH52" s="84">
        <f t="shared" si="8"/>
        <v>0.13567488000000003</v>
      </c>
      <c r="CI52" s="146">
        <f t="shared" ref="CI52:CI84" si="152">Z52+AA52+AB52</f>
        <v>1.7962194917928871</v>
      </c>
      <c r="CJ52" s="200">
        <f>Intermediate!EW52+Intermediate!EY52+Intermediate!FD52</f>
        <v>5.2363359360594277</v>
      </c>
      <c r="CK52" s="180">
        <f>Intermediate!FA52+Intermediate!FF52</f>
        <v>4.0048447939895837</v>
      </c>
      <c r="CL52" s="180">
        <f t="shared" si="141"/>
        <v>14.968005274296553</v>
      </c>
      <c r="CM52" s="180">
        <f t="shared" si="142"/>
        <v>25.526559882537903</v>
      </c>
      <c r="CN52" s="202">
        <f>Intermediate!EX52+Intermediate!EZ52+Intermediate!FE52</f>
        <v>3.4355850877392946</v>
      </c>
      <c r="CO52" s="180">
        <f>Intermediate!FB52+Intermediate!FG52</f>
        <v>2.6432054035553416</v>
      </c>
      <c r="CP52" s="213">
        <f>Intermediate!EP52+Intermediate!EQ52+Intermediate!ER52+Intermediate!ES52+Intermediate!ET52+Intermediate!EU52+Intermediate!EV52+W52</f>
        <v>6.0718026732792314</v>
      </c>
      <c r="CQ52" s="212">
        <f t="shared" si="12"/>
        <v>6.0787904912946367</v>
      </c>
      <c r="CR52" s="212">
        <f t="shared" si="13"/>
        <v>49.735745886883464</v>
      </c>
      <c r="CS52" s="211">
        <f t="shared" si="143"/>
        <v>0.3901188655404455</v>
      </c>
      <c r="CT52" s="212">
        <f t="shared" si="15"/>
        <v>62.276457916997778</v>
      </c>
      <c r="CU52" s="84"/>
      <c r="CV52" s="31">
        <f t="shared" si="16"/>
        <v>63.818233423250234</v>
      </c>
      <c r="CW52" s="31">
        <f>CH52/Basicinfo!$G52*1000/100</f>
        <v>2.0846330192139596E-2</v>
      </c>
      <c r="CX52" s="31">
        <f>CI52/Basicinfo!$G52*1000/100</f>
        <v>0.27598760082538265</v>
      </c>
      <c r="CY52" s="31">
        <f>CS52/Basicinfo!$G52*1000/100</f>
        <v>5.9941432675223554E-2</v>
      </c>
      <c r="CZ52" s="31">
        <f>CN52/Basicinfo!$G52*1000/100</f>
        <v>0.52787473364416615</v>
      </c>
      <c r="DA52" s="31">
        <f>CO52/Basicinfo!$G52*1000/100</f>
        <v>0.4061262675018561</v>
      </c>
      <c r="DB52" s="31">
        <f>CQ52/Basicinfo!$G52*1000/100</f>
        <v>0.93400100114602225</v>
      </c>
      <c r="DC52" s="31">
        <f>CJ52/Basicinfo!$G52*1000/100</f>
        <v>0.8045585735551134</v>
      </c>
      <c r="DD52" s="31">
        <f>CK52/Basicinfo!$G52*1000/100</f>
        <v>0.61534100449381723</v>
      </c>
      <c r="DE52" s="31">
        <f>CM52/Basicinfo!$G52*1000/100</f>
        <v>3.9221342667176793</v>
      </c>
      <c r="DF52" s="31">
        <f>CR52/Basicinfo!$G52*1000/100</f>
        <v>7.6418551548401688</v>
      </c>
      <c r="DG52" s="31">
        <f>CP52/Basicinfo!$G52*1000/100</f>
        <v>0.93292732883710472</v>
      </c>
      <c r="DH52" s="31">
        <f>CT52/Basicinfo!$G52*1000/100</f>
        <v>9.5687249174985194</v>
      </c>
      <c r="DI52" s="31">
        <f>CV52/Basicinfo!$G52*1000/100</f>
        <v>9.8056174158408194</v>
      </c>
      <c r="DJ52" s="31"/>
      <c r="DK52" s="188">
        <f t="shared" si="17"/>
        <v>0.21785901854088724</v>
      </c>
      <c r="DL52" s="188">
        <f t="shared" si="18"/>
        <v>2.8842672686794311</v>
      </c>
      <c r="DM52" s="188">
        <f t="shared" si="19"/>
        <v>0.62643072292325441</v>
      </c>
      <c r="DN52" s="188">
        <f t="shared" si="20"/>
        <v>5.516667457738607</v>
      </c>
      <c r="DO52" s="188">
        <f t="shared" si="21"/>
        <v>4.244309153032134</v>
      </c>
      <c r="DP52" s="188">
        <f t="shared" si="22"/>
        <v>9.7609766107707419</v>
      </c>
      <c r="DQ52" s="188">
        <f t="shared" si="23"/>
        <v>8.4082109214342751</v>
      </c>
      <c r="DR52" s="188">
        <f t="shared" si="24"/>
        <v>6.4307523708674168</v>
      </c>
      <c r="DS52" s="188">
        <f t="shared" si="25"/>
        <v>40.989100434324257</v>
      </c>
      <c r="DT52" s="188">
        <f t="shared" si="26"/>
        <v>79.86283669692871</v>
      </c>
      <c r="DU52" s="188">
        <f t="shared" si="27"/>
        <v>9.7497559693772988</v>
      </c>
      <c r="DV52" s="188">
        <f t="shared" si="28"/>
        <v>100</v>
      </c>
      <c r="DW52" s="188">
        <f t="shared" si="29"/>
        <v>102.4756955642971</v>
      </c>
      <c r="DY52" s="181">
        <f t="shared" si="30"/>
        <v>1.73448E-2</v>
      </c>
      <c r="DZ52" s="181">
        <f t="shared" si="127"/>
        <v>0.33161987145976274</v>
      </c>
      <c r="EA52" s="185">
        <f t="shared" si="31"/>
        <v>0.19399454921171444</v>
      </c>
      <c r="EB52" s="185">
        <f>AG52+AH52+AL52-Intermediate!FJ52-Intermediate!FM52</f>
        <v>0.75306771269165018</v>
      </c>
      <c r="EC52" s="185">
        <f>AI52+AJ52-Intermediate!FK52</f>
        <v>0.23860497363236613</v>
      </c>
      <c r="ED52" s="240">
        <f t="shared" si="32"/>
        <v>1.0579523521618277E-2</v>
      </c>
      <c r="EE52" s="240">
        <f>Intermediate!FJ52+Intermediate!FK52+Intermediate!FM52</f>
        <v>0.251506824057878</v>
      </c>
      <c r="EF52" s="240">
        <f t="shared" si="33"/>
        <v>1.1856672355357307</v>
      </c>
      <c r="EG52" s="240">
        <f t="shared" si="34"/>
        <v>0.34896467145976273</v>
      </c>
      <c r="EH52" s="240">
        <f t="shared" si="35"/>
        <v>1.7967182545749898</v>
      </c>
      <c r="EI52" s="181">
        <f t="shared" si="36"/>
        <v>1.7967182545749898</v>
      </c>
      <c r="EK52" s="31">
        <f>DY52/Basicinfo!$G52*1000/100</f>
        <v>2.6650138029723912E-3</v>
      </c>
      <c r="EL52" s="31">
        <f>DZ52/Basicinfo!$G52*1000/100</f>
        <v>5.0953111871004431E-2</v>
      </c>
      <c r="EM52" s="220">
        <f>EG52/Basicinfo!$G52*1000/100</f>
        <v>5.3618125673976821E-2</v>
      </c>
      <c r="EN52" s="220">
        <f>ED52/Basicinfo!$G52*1000/100</f>
        <v>1.625534812392405E-3</v>
      </c>
      <c r="EO52" s="220">
        <f>EF52/Basicinfo!$G52*1000/100</f>
        <v>0.18217676470382127</v>
      </c>
      <c r="EP52" s="220">
        <f>EE52/Basicinfo!$G52*1000/100</f>
        <v>3.8643810113463024E-2</v>
      </c>
      <c r="EQ52" s="220">
        <f>EH52/Basicinfo!$G52*1000/100</f>
        <v>0.27606423530365354</v>
      </c>
      <c r="ER52" s="31">
        <f>EI52/Basicinfo!$G52*1000/100</f>
        <v>0.27606423530365354</v>
      </c>
      <c r="ET52" s="188">
        <f t="shared" si="37"/>
        <v>0.96536003660200354</v>
      </c>
      <c r="EU52" s="188">
        <f t="shared" si="38"/>
        <v>18.456976802865888</v>
      </c>
      <c r="EV52" s="223">
        <f t="shared" si="39"/>
        <v>19.422336839467892</v>
      </c>
      <c r="EW52" s="223">
        <f t="shared" si="40"/>
        <v>0.5888248474506006</v>
      </c>
      <c r="EX52" s="223">
        <f t="shared" si="41"/>
        <v>65.990715712753627</v>
      </c>
      <c r="EY52" s="223">
        <f t="shared" si="42"/>
        <v>13.998122600327868</v>
      </c>
      <c r="EZ52" s="223">
        <f t="shared" si="43"/>
        <v>100</v>
      </c>
      <c r="FA52" s="188">
        <f t="shared" si="44"/>
        <v>100</v>
      </c>
      <c r="FC52" s="236"/>
      <c r="FD52" s="181">
        <f>IF((Intermediate!CL52+Intermediate!CM52*3)/4&gt;11,(Intermediate!CL52+Intermediate!CM52*9)/10,(Intermediate!CL52+Intermediate!CM52*3)/4)</f>
        <v>3.8864244373224279</v>
      </c>
      <c r="FF52" s="31">
        <f t="shared" si="45"/>
        <v>1.0579523521618277E-2</v>
      </c>
      <c r="FG52" s="31">
        <f t="shared" si="46"/>
        <v>0.10980772064000728</v>
      </c>
      <c r="FH52" s="31">
        <f t="shared" si="47"/>
        <v>0</v>
      </c>
      <c r="FI52" s="31">
        <f>(AI52-(P52*450/1000000))*Parameters!$C$153</f>
        <v>0.18816489189327679</v>
      </c>
      <c r="FJ52" s="31"/>
      <c r="FK52" s="31">
        <f t="shared" si="48"/>
        <v>0.19399454921171444</v>
      </c>
      <c r="FL52" s="31">
        <f t="shared" si="49"/>
        <v>0.74125472822191019</v>
      </c>
      <c r="FM52" s="31">
        <f>AM52*Parameters!$C$154</f>
        <v>6.2792893569679695E-2</v>
      </c>
      <c r="FN52" s="31">
        <f>AN52*Parameters!$C$154</f>
        <v>8.5727102622795703E-2</v>
      </c>
      <c r="FO52" s="31">
        <f>AO52*Parameters!$C$154</f>
        <v>0.14993788812131106</v>
      </c>
      <c r="FP52" s="31">
        <f>AQ52*Parameters!$C$155</f>
        <v>1.73448E-2</v>
      </c>
      <c r="FQ52" s="31">
        <f t="shared" si="50"/>
        <v>1.5596040978023136</v>
      </c>
      <c r="FS52" s="147">
        <f>DY52*Parameters!$C$155</f>
        <v>1.73448E-2</v>
      </c>
      <c r="FT52" s="147">
        <f>DZ52*Parameters!$C$154</f>
        <v>0.29845788431378645</v>
      </c>
      <c r="FU52" s="181">
        <f t="shared" si="51"/>
        <v>0.19399454921171444</v>
      </c>
      <c r="FV52" s="181">
        <f t="shared" si="52"/>
        <v>0.75306771269165018</v>
      </c>
      <c r="FW52" s="31">
        <f t="shared" si="53"/>
        <v>0.18816489189327681</v>
      </c>
      <c r="FX52" s="181">
        <f t="shared" si="54"/>
        <v>1.0579523521618277E-2</v>
      </c>
      <c r="FY52" s="147">
        <f>Intermediate!FJ52+Intermediate!FM52</f>
        <v>9.7994736170267299E-2</v>
      </c>
      <c r="FZ52" s="181">
        <f t="shared" si="55"/>
        <v>1.1352271537966414</v>
      </c>
      <c r="GA52" s="147">
        <f t="shared" si="56"/>
        <v>0.31580268431378644</v>
      </c>
      <c r="GB52" s="181">
        <f t="shared" si="57"/>
        <v>1.5596040978023133</v>
      </c>
      <c r="GD52" s="147">
        <f>IF('River loads'!CH52&gt;0.99,1,0)</f>
        <v>0</v>
      </c>
      <c r="GE52" s="147">
        <f t="shared" si="58"/>
        <v>0</v>
      </c>
      <c r="GF52" s="147">
        <f t="shared" si="59"/>
        <v>0</v>
      </c>
      <c r="GG52" s="147">
        <f t="shared" si="60"/>
        <v>0</v>
      </c>
      <c r="GH52" s="147">
        <f t="shared" si="61"/>
        <v>0</v>
      </c>
      <c r="GI52" s="147">
        <f t="shared" si="62"/>
        <v>0</v>
      </c>
      <c r="GJ52" s="147">
        <f t="shared" si="63"/>
        <v>0</v>
      </c>
      <c r="GK52" s="147">
        <f t="shared" si="64"/>
        <v>0</v>
      </c>
      <c r="GL52" s="147">
        <f t="shared" si="65"/>
        <v>0</v>
      </c>
      <c r="GM52" s="270">
        <f t="shared" si="128"/>
        <v>0</v>
      </c>
      <c r="GN52" s="270">
        <f t="shared" si="129"/>
        <v>0</v>
      </c>
      <c r="GO52" s="147">
        <f t="shared" si="66"/>
        <v>0</v>
      </c>
      <c r="GP52" s="147">
        <f t="shared" si="67"/>
        <v>0</v>
      </c>
      <c r="GQ52" s="147"/>
      <c r="GR52" s="147">
        <f t="shared" si="68"/>
        <v>0</v>
      </c>
      <c r="GS52" s="147">
        <f t="shared" si="69"/>
        <v>0</v>
      </c>
      <c r="GT52" s="147">
        <f t="shared" si="70"/>
        <v>0</v>
      </c>
      <c r="GU52" s="147">
        <f t="shared" si="71"/>
        <v>0</v>
      </c>
      <c r="GV52" s="147">
        <f t="shared" si="72"/>
        <v>0</v>
      </c>
      <c r="GW52" s="147">
        <f t="shared" si="73"/>
        <v>0</v>
      </c>
      <c r="GX52" s="147">
        <f t="shared" si="74"/>
        <v>0</v>
      </c>
      <c r="GY52" s="147">
        <f t="shared" si="75"/>
        <v>0</v>
      </c>
      <c r="GZ52" s="147">
        <f t="shared" si="130"/>
        <v>0</v>
      </c>
      <c r="HA52" s="147">
        <f t="shared" si="131"/>
        <v>0</v>
      </c>
      <c r="HB52" s="147">
        <f t="shared" si="76"/>
        <v>0</v>
      </c>
      <c r="HC52" s="147">
        <f t="shared" si="77"/>
        <v>0</v>
      </c>
      <c r="HD52" s="147"/>
      <c r="HE52" s="147">
        <f t="shared" si="78"/>
        <v>0</v>
      </c>
      <c r="HF52" s="147">
        <f t="shared" si="79"/>
        <v>0</v>
      </c>
      <c r="HG52" s="147">
        <f t="shared" si="80"/>
        <v>0</v>
      </c>
      <c r="HH52" s="147">
        <f t="shared" si="81"/>
        <v>0</v>
      </c>
      <c r="HI52" s="147">
        <f t="shared" si="82"/>
        <v>0</v>
      </c>
      <c r="HJ52" s="147">
        <f t="shared" si="83"/>
        <v>0</v>
      </c>
      <c r="HK52" s="147">
        <f t="shared" si="84"/>
        <v>0</v>
      </c>
      <c r="HL52" s="147">
        <f t="shared" si="85"/>
        <v>0</v>
      </c>
      <c r="HM52" s="147">
        <f t="shared" si="86"/>
        <v>0</v>
      </c>
      <c r="HN52" s="147">
        <f t="shared" si="87"/>
        <v>0</v>
      </c>
      <c r="HO52" s="147">
        <f t="shared" si="88"/>
        <v>0</v>
      </c>
      <c r="HQ52" s="147">
        <f t="shared" si="89"/>
        <v>0</v>
      </c>
      <c r="HR52" s="147">
        <f t="shared" si="90"/>
        <v>0</v>
      </c>
      <c r="HS52" s="147">
        <f t="shared" si="91"/>
        <v>0</v>
      </c>
      <c r="HT52" s="147">
        <f t="shared" si="92"/>
        <v>0</v>
      </c>
      <c r="HU52" s="147">
        <f t="shared" si="93"/>
        <v>0</v>
      </c>
      <c r="HV52" s="147">
        <f t="shared" si="94"/>
        <v>0</v>
      </c>
      <c r="HW52" s="147">
        <f t="shared" si="95"/>
        <v>0</v>
      </c>
      <c r="HX52" s="147">
        <f t="shared" si="96"/>
        <v>0</v>
      </c>
      <c r="HY52" s="147">
        <f t="shared" si="97"/>
        <v>0</v>
      </c>
      <c r="HZ52" s="147">
        <f t="shared" si="98"/>
        <v>0</v>
      </c>
      <c r="IB52" s="147">
        <f>IF('River loads'!CI52&gt;0.99,1,0)</f>
        <v>1</v>
      </c>
      <c r="IC52">
        <f t="shared" si="144"/>
        <v>0.40887592366330228</v>
      </c>
      <c r="ID52">
        <f t="shared" si="145"/>
        <v>5.9086502371902823</v>
      </c>
      <c r="IE52">
        <f t="shared" si="146"/>
        <v>0</v>
      </c>
      <c r="IF52">
        <f t="shared" si="147"/>
        <v>0.72577318257028012</v>
      </c>
      <c r="IG52">
        <f t="shared" si="148"/>
        <v>6.8857365871800328E-3</v>
      </c>
      <c r="IH52">
        <f t="shared" si="149"/>
        <v>14.968005274296553</v>
      </c>
      <c r="II52">
        <f t="shared" si="150"/>
        <v>39.868148697149742</v>
      </c>
      <c r="IJ52">
        <f t="shared" si="151"/>
        <v>0.25444398554044551</v>
      </c>
      <c r="IK52">
        <f t="shared" si="132"/>
        <v>0.46863830821261143</v>
      </c>
      <c r="IL52">
        <f t="shared" si="133"/>
        <v>1.0731371980398301</v>
      </c>
      <c r="IM52">
        <f t="shared" si="107"/>
        <v>0.13567488000000003</v>
      </c>
      <c r="IN52">
        <f t="shared" si="108"/>
        <v>63.818233423250234</v>
      </c>
      <c r="IP52">
        <f t="shared" si="109"/>
        <v>0.13567488000000003</v>
      </c>
      <c r="IQ52">
        <f t="shared" si="110"/>
        <v>1.7962194917928871</v>
      </c>
      <c r="IR52">
        <f t="shared" si="111"/>
        <v>5.2363359360594277</v>
      </c>
      <c r="IS52">
        <f t="shared" si="112"/>
        <v>4.0048447939895837</v>
      </c>
      <c r="IT52">
        <f t="shared" si="113"/>
        <v>14.968005274296553</v>
      </c>
      <c r="IU52">
        <f t="shared" si="114"/>
        <v>25.526559882537903</v>
      </c>
      <c r="IV52">
        <f t="shared" si="115"/>
        <v>3.4355850877392946</v>
      </c>
      <c r="IW52">
        <f t="shared" si="116"/>
        <v>2.6432054035553416</v>
      </c>
      <c r="IX52">
        <f t="shared" si="117"/>
        <v>6.0718026732792314</v>
      </c>
    </row>
    <row r="53" spans="1:258">
      <c r="A53" s="39" t="str">
        <f>Basicinfo!A53</f>
        <v>Feldaist</v>
      </c>
      <c r="B53" s="63">
        <f>Basicinfo!B53</f>
        <v>1580</v>
      </c>
      <c r="C53" s="63">
        <f>Basicinfo!C53</f>
        <v>1600</v>
      </c>
      <c r="D53" s="130">
        <f>Basicinfo!G53</f>
        <v>197.962294697</v>
      </c>
      <c r="E53" s="87">
        <f t="shared" si="118"/>
        <v>1.9252995243404702</v>
      </c>
      <c r="F53" s="19">
        <f>Intermediate!AR53</f>
        <v>3.6838786041696538E-3</v>
      </c>
      <c r="G53" s="19">
        <f>Intermediate!AU53</f>
        <v>0.30355653725746412</v>
      </c>
      <c r="H53" s="19">
        <f>Intermediate!AW53</f>
        <v>0</v>
      </c>
      <c r="I53" s="19">
        <f>Intermediate!AZ53</f>
        <v>8.5068572271700948E-2</v>
      </c>
      <c r="J53" s="19">
        <f>Intermediate!BA53</f>
        <v>1.4160188912617417</v>
      </c>
      <c r="K53" s="19">
        <f>Intermediate!AC53</f>
        <v>7.3437379056142523E-3</v>
      </c>
      <c r="L53" s="19">
        <f>Intermediate!AO53</f>
        <v>5.1447935591855806E-3</v>
      </c>
      <c r="M53" s="19">
        <f>Intermediate!AP53</f>
        <v>1.2577899386648349E-2</v>
      </c>
      <c r="N53" s="19">
        <f t="shared" si="119"/>
        <v>1.8333943102465247</v>
      </c>
      <c r="O53" s="19">
        <f>Basicinfo!CB53+Basicinfo!CG53</f>
        <v>9.1905214093945559E-2</v>
      </c>
      <c r="P53" s="56">
        <f>Intermediate!BK53-Intermediate!BI53</f>
        <v>411.98361633880825</v>
      </c>
      <c r="Q53" s="43">
        <f>Intermediate!BI53</f>
        <v>912.87473889397268</v>
      </c>
      <c r="R53" s="88">
        <f t="shared" si="134"/>
        <v>1324.8583552327809</v>
      </c>
      <c r="S53" s="61">
        <f>Intermediate!F53*Intermediate!BO53/1000</f>
        <v>1.1907253584659387</v>
      </c>
      <c r="T53" s="19">
        <f>Intermediate!BU53*Intermediate!AU53*86.4*0.365</f>
        <v>17.000878479873521</v>
      </c>
      <c r="U53" s="19">
        <f>Intermediate!AW53*Intermediate!BS53*0.365*86.4</f>
        <v>0</v>
      </c>
      <c r="V53" s="19">
        <f>(Basicinfo!BL53/1000000)*(Intermediate!BK53-Intermediate!BF53-Intermediate!BG53-Intermediate!BH53)*Intermediate!CV53</f>
        <v>2.4754405789714311</v>
      </c>
      <c r="W53" s="19">
        <f>Intermediate!BI53*Parameters!$C$51/1000000</f>
        <v>2.2821868472349318E-2</v>
      </c>
      <c r="X53" s="19">
        <f>Intermediate!AZ53*Intermediate!CG53*86.4*0.365</f>
        <v>43.662974034682989</v>
      </c>
      <c r="Y53" s="19">
        <f>Intermediate!CM53*Intermediate!BA53*86.4*0.365+Parameters!$C$126*Intermediate!BB53*Basicinfo!P53/1000+Parameters!$C$127*Intermediate!BB53*Basicinfo!S53/1000</f>
        <v>99.284701382834527</v>
      </c>
      <c r="Z53" s="19">
        <f>Intermediate!DG53</f>
        <v>0.70312151349177077</v>
      </c>
      <c r="AA53" s="19">
        <f>Intermediate!DI53</f>
        <v>1.1639543707659701</v>
      </c>
      <c r="AB53" s="19">
        <f>Intermediate!DK53</f>
        <v>2.6779059670826268</v>
      </c>
      <c r="AC53" s="19">
        <f t="shared" si="120"/>
        <v>168.18252355464114</v>
      </c>
      <c r="AD53" s="19">
        <f>Basicinfo!CC53+Basicinfo!CE53+Basicinfo!CH53+Basicinfo!CJ53</f>
        <v>12.947146533333333</v>
      </c>
      <c r="AE53" s="87">
        <f t="shared" si="135"/>
        <v>181.12967008797446</v>
      </c>
      <c r="AF53" s="56">
        <f>Intermediate!F53*Basicinfo!BD53/1000</f>
        <v>3.0430959607234555E-2</v>
      </c>
      <c r="AG53" s="43">
        <f>Intermediate!CA53*Intermediate!AU53*86.4*0.365</f>
        <v>0.29852947252424628</v>
      </c>
      <c r="AH53" s="43">
        <f>Intermediate!AW53*Intermediate!BZ53*0.365*86.4</f>
        <v>0</v>
      </c>
      <c r="AI53" s="43">
        <f>(Intermediate!CU53/1000000)*(Intermediate!BK53-Intermediate!BF53-Intermediate!BG53-Intermediate!BH53)*Intermediate!CW53</f>
        <v>1.4175594087915224</v>
      </c>
      <c r="AJ53" s="43">
        <f>Intermediate!BF53*Parameters!$C$52/1000000+(Intermediate!BG53+Intermediate!BH53)*Intermediate!CX53/1000000</f>
        <v>0.41079363250228768</v>
      </c>
      <c r="AK53" s="43">
        <f>Intermediate!AZ53*Intermediate!CH53*86.4*0.365</f>
        <v>0.51131097940403569</v>
      </c>
      <c r="AL53" s="58">
        <f>Intermediate!CR53*Intermediate!BA53*86.4*0.365</f>
        <v>5.3452184819916431</v>
      </c>
      <c r="AM53" s="43">
        <f>Intermediate!DH53</f>
        <v>0.19401443578520342</v>
      </c>
      <c r="AN53" s="42">
        <f>Intermediate!DJ53</f>
        <v>0.24254357136230745</v>
      </c>
      <c r="AO53" s="42">
        <f>Intermediate!DL53</f>
        <v>0.41889449539604795</v>
      </c>
      <c r="AP53" s="42">
        <f t="shared" si="122"/>
        <v>8.8692954373645279</v>
      </c>
      <c r="AQ53" s="43">
        <f>Basicinfo!CD53+Basicinfo!CF53+Basicinfo!CI53+Basicinfo!CK53</f>
        <v>1.6290028333333335</v>
      </c>
      <c r="AR53" s="83">
        <f t="shared" si="136"/>
        <v>10.498298270697861</v>
      </c>
      <c r="AS53" s="19">
        <f>F53*86400*365/(Basicinfo!G53*1000000)*1000</f>
        <v>0.58685314715567782</v>
      </c>
      <c r="AT53" s="19">
        <f>G53*86400*365/(Basicinfo!G53*1000000)*1000</f>
        <v>48.357486326392149</v>
      </c>
      <c r="AU53" s="19">
        <f>H53*86400*365/(Basicinfo!G53*1000000)*1000</f>
        <v>0</v>
      </c>
      <c r="AV53" s="19">
        <f>I53*86400*365/(Basicinfo!G53*1000000)*1000</f>
        <v>13.551684169283456</v>
      </c>
      <c r="AW53" s="19">
        <f>J53*86400*365/(Basicinfo!G53*1000000)*1000</f>
        <v>225.57614733239913</v>
      </c>
      <c r="AX53" s="53">
        <f>K53*86400*365/(Basicinfo!G53*1000000)*1000</f>
        <v>1.1698799458044509</v>
      </c>
      <c r="AY53" s="53">
        <f>L53*86400*365/(Basicinfo!G53*1000000)*1000</f>
        <v>0.81958137498259276</v>
      </c>
      <c r="AZ53" s="53">
        <f>M53*86400*365/(Basicinfo!G53*1000000)*1000</f>
        <v>2.0036979045149117</v>
      </c>
      <c r="BA53" s="19">
        <f t="shared" si="123"/>
        <v>292.06533020053234</v>
      </c>
      <c r="BB53" s="19">
        <f>O53*86400*365/(Basicinfo!G53*1000000)*1000</f>
        <v>14.640782155525244</v>
      </c>
      <c r="BC53" s="53">
        <f t="shared" si="137"/>
        <v>306.70611235605759</v>
      </c>
      <c r="BD53" s="56">
        <f>P53/(Basicinfo!G53*100)*1000</f>
        <v>20.811216447525432</v>
      </c>
      <c r="BE53" s="43">
        <f>Q53/(Basicinfo!G53*100)*1000</f>
        <v>46.113566237005578</v>
      </c>
      <c r="BF53" s="58">
        <f t="shared" si="138"/>
        <v>66.92478268453101</v>
      </c>
      <c r="BG53" s="61">
        <f>S53/(Basicinfo!G53*100)*1000000</f>
        <v>60.149098609331467</v>
      </c>
      <c r="BH53" s="19">
        <f>T53/(Basicinfo!G53*100)*1000000</f>
        <v>858.79376706028654</v>
      </c>
      <c r="BI53" s="19">
        <f>U53/(Basicinfo!G53*100)*1000000</f>
        <v>0</v>
      </c>
      <c r="BJ53" s="19">
        <f>V53/(Basicinfo!G53*100)*1000000</f>
        <v>125.04606408812984</v>
      </c>
      <c r="BK53" s="19">
        <f>W53/(Basicinfo!G53*100)*1000000</f>
        <v>1.1528391559251394</v>
      </c>
      <c r="BL53" s="19">
        <f>X53/(Basicinfo!G53*100)*1000000</f>
        <v>2205.6207269931529</v>
      </c>
      <c r="BM53" s="19">
        <f>Y53/(Basicinfo!G53*100)*1000000</f>
        <v>5015.33393188835</v>
      </c>
      <c r="BN53" s="53">
        <f>Z53/(Basicinfo!G53*100)*1000000</f>
        <v>35.517951262787932</v>
      </c>
      <c r="BO53" s="53">
        <f>AA53/(Basicinfo!G53*100)*1000000</f>
        <v>58.796770998614271</v>
      </c>
      <c r="BP53" s="53">
        <f>AB53/(Basicinfo!G53*100)*1000000</f>
        <v>135.27353636617593</v>
      </c>
      <c r="BQ53" s="19">
        <f t="shared" si="125"/>
        <v>8495.6846864227537</v>
      </c>
      <c r="BR53" s="19">
        <f>AD53/(Basicinfo!G53*100)*1000000</f>
        <v>654.02083528836454</v>
      </c>
      <c r="BS53" s="53">
        <f t="shared" si="139"/>
        <v>9149.7055217111174</v>
      </c>
      <c r="BT53" s="56">
        <f>AF53/(Basicinfo!G53*100)*1000000</f>
        <v>1.5372098840242288</v>
      </c>
      <c r="BU53" s="43">
        <f>AG53/(Basicinfo!G53*100)*1000000</f>
        <v>15.080117806331446</v>
      </c>
      <c r="BV53" s="43">
        <f>AH53/(Basicinfo!G53*100)*1000000</f>
        <v>0</v>
      </c>
      <c r="BW53" s="43">
        <f>AI53/(Basicinfo!G53*100)*1000000</f>
        <v>71.607545818825301</v>
      </c>
      <c r="BX53" s="43">
        <f>AJ53/(Basicinfo!G53*100)*1000000</f>
        <v>20.751104806652506</v>
      </c>
      <c r="BY53" s="58">
        <f>AK53/(Basicinfo!G53*100)*1000000</f>
        <v>25.828705420223859</v>
      </c>
      <c r="BZ53" s="58">
        <f>AL53/(Basicinfo!G53*100)*1000000</f>
        <v>270.01194799105582</v>
      </c>
      <c r="CA53" s="58">
        <f>AM53/(Basicinfo!G53*100)*1000000</f>
        <v>9.8005752096458991</v>
      </c>
      <c r="CB53" s="58">
        <f>AN53/(Basicinfo!G53*100)*1000000</f>
        <v>12.252008481390019</v>
      </c>
      <c r="CC53" s="58">
        <f>AO53/(Basicinfo!G53*100)*1000000</f>
        <v>21.16031722289366</v>
      </c>
      <c r="CD53" s="58">
        <f t="shared" si="126"/>
        <v>448.02953264104275</v>
      </c>
      <c r="CE53" s="58">
        <f>AQ53/(Basicinfo!G53*100)*1000000</f>
        <v>82.288540644907968</v>
      </c>
      <c r="CF53" s="43">
        <f t="shared" si="140"/>
        <v>530.31807328595073</v>
      </c>
      <c r="CG53" s="84"/>
      <c r="CH53" s="84">
        <f t="shared" si="8"/>
        <v>12.947146533333333</v>
      </c>
      <c r="CI53" s="146">
        <f t="shared" si="152"/>
        <v>4.5449818513403679</v>
      </c>
      <c r="CJ53" s="200">
        <f>Intermediate!EW53+Intermediate!EY53+Intermediate!FD53</f>
        <v>15.562532704138581</v>
      </c>
      <c r="CK53" s="180">
        <f>Intermediate!FA53+Intermediate!FF53</f>
        <v>11.269544826718043</v>
      </c>
      <c r="CL53" s="180">
        <f t="shared" si="141"/>
        <v>43.662974034682989</v>
      </c>
      <c r="CM53" s="180">
        <f t="shared" si="142"/>
        <v>56.613021122737052</v>
      </c>
      <c r="CN53" s="202">
        <f>Intermediate!EX53+Intermediate!EZ53+Intermediate!FE53</f>
        <v>10.356320817831755</v>
      </c>
      <c r="CO53" s="180">
        <f>Intermediate!FB53+Intermediate!FG53</f>
        <v>7.5283216584248676</v>
      </c>
      <c r="CP53" s="213">
        <f>Intermediate!EP53+Intermediate!EQ53+Intermediate!ER53+Intermediate!ES53+Intermediate!ET53+Intermediate!EU53+Intermediate!EV53+W53</f>
        <v>18.644826538767461</v>
      </c>
      <c r="CQ53" s="212">
        <f t="shared" si="12"/>
        <v>17.884642476256623</v>
      </c>
      <c r="CR53" s="212">
        <f t="shared" si="13"/>
        <v>127.10807268827666</v>
      </c>
      <c r="CS53" s="211">
        <f t="shared" si="143"/>
        <v>13.650268046825104</v>
      </c>
      <c r="CT53" s="212">
        <f t="shared" si="15"/>
        <v>177.28780975012586</v>
      </c>
      <c r="CU53" s="84"/>
      <c r="CV53" s="31">
        <f t="shared" si="16"/>
        <v>181.12967008797446</v>
      </c>
      <c r="CW53" s="31">
        <f>CH53/Basicinfo!$G53*1000/100</f>
        <v>0.65402083528836452</v>
      </c>
      <c r="CX53" s="31">
        <f>CI53/Basicinfo!$G53*1000/100</f>
        <v>0.22958825862757817</v>
      </c>
      <c r="CY53" s="31">
        <f>CS53/Basicinfo!$G53*1000/100</f>
        <v>0.68953878655115242</v>
      </c>
      <c r="CZ53" s="31">
        <f>CN53/Basicinfo!$G53*1000/100</f>
        <v>0.52314612909913383</v>
      </c>
      <c r="DA53" s="31">
        <f>CO53/Basicinfo!$G53*1000/100</f>
        <v>0.38029068464515808</v>
      </c>
      <c r="DB53" s="31">
        <f>CQ53/Basicinfo!$G53*1000/100</f>
        <v>0.90343681374429197</v>
      </c>
      <c r="DC53" s="31">
        <f>CJ53/Basicinfo!$G53*1000/100</f>
        <v>0.78613620477366697</v>
      </c>
      <c r="DD53" s="31">
        <f>CK53/Basicinfo!$G53*1000/100</f>
        <v>0.56927733859456142</v>
      </c>
      <c r="DE53" s="31">
        <f>CM53/Basicinfo!$G53*1000/100</f>
        <v>2.8597880828462126</v>
      </c>
      <c r="DF53" s="31">
        <f>CR53/Basicinfo!$G53*1000/100</f>
        <v>6.4208223532075932</v>
      </c>
      <c r="DG53" s="31">
        <f>CP53/Basicinfo!$G53*1000/100</f>
        <v>0.94183726084328978</v>
      </c>
      <c r="DH53" s="31">
        <f>CT53/Basicinfo!$G53*1000/100</f>
        <v>8.9556352143463283</v>
      </c>
      <c r="DI53" s="31">
        <f>CV53/Basicinfo!$G53*1000/100</f>
        <v>9.1497055217111196</v>
      </c>
      <c r="DJ53" s="31"/>
      <c r="DK53" s="188">
        <f t="shared" si="17"/>
        <v>7.3028972220827733</v>
      </c>
      <c r="DL53" s="188">
        <f t="shared" si="18"/>
        <v>2.5636178018929705</v>
      </c>
      <c r="DM53" s="188">
        <f t="shared" si="19"/>
        <v>7.699496127829744</v>
      </c>
      <c r="DN53" s="188">
        <f t="shared" si="20"/>
        <v>5.8415301268757434</v>
      </c>
      <c r="DO53" s="188">
        <f t="shared" si="21"/>
        <v>4.2463842658079445</v>
      </c>
      <c r="DP53" s="188">
        <f t="shared" si="22"/>
        <v>10.08791439268369</v>
      </c>
      <c r="DQ53" s="188">
        <f t="shared" si="23"/>
        <v>8.7781177544428068</v>
      </c>
      <c r="DR53" s="188">
        <f t="shared" si="24"/>
        <v>6.356638306154065</v>
      </c>
      <c r="DS53" s="188">
        <f t="shared" si="25"/>
        <v>31.932833510961046</v>
      </c>
      <c r="DT53" s="188">
        <f t="shared" si="26"/>
        <v>71.695889789278894</v>
      </c>
      <c r="DU53" s="188">
        <f t="shared" si="27"/>
        <v>10.516699690207677</v>
      </c>
      <c r="DV53" s="188">
        <f t="shared" si="28"/>
        <v>100</v>
      </c>
      <c r="DW53" s="188">
        <f t="shared" si="29"/>
        <v>102.167018896146</v>
      </c>
      <c r="DY53" s="181">
        <f t="shared" si="30"/>
        <v>1.6290028333333335</v>
      </c>
      <c r="DZ53" s="181">
        <f t="shared" si="127"/>
        <v>0.85545250254355887</v>
      </c>
      <c r="EA53" s="185">
        <f t="shared" si="31"/>
        <v>0.51131097940403569</v>
      </c>
      <c r="EB53" s="185">
        <f>AG53+AH53+AL53-Intermediate!FJ53-Intermediate!FM53</f>
        <v>5.3696627448156899</v>
      </c>
      <c r="EC53" s="185">
        <f>AI53+AJ53-Intermediate!FK53</f>
        <v>1.3092159182258101</v>
      </c>
      <c r="ED53" s="240">
        <f t="shared" si="32"/>
        <v>3.0430959607234555E-2</v>
      </c>
      <c r="EE53" s="240">
        <f>Intermediate!FJ53+Intermediate!FK53+Intermediate!FM53</f>
        <v>0.79322233276819942</v>
      </c>
      <c r="EF53" s="240">
        <f t="shared" si="33"/>
        <v>7.1901896424455352</v>
      </c>
      <c r="EG53" s="240">
        <f t="shared" si="34"/>
        <v>2.4844553358768922</v>
      </c>
      <c r="EH53" s="240">
        <f t="shared" si="35"/>
        <v>10.498298270697861</v>
      </c>
      <c r="EI53" s="181">
        <f t="shared" si="36"/>
        <v>10.498298270697861</v>
      </c>
      <c r="EK53" s="31">
        <f>DY53/Basicinfo!$G53*1000/100</f>
        <v>8.2288540644907968E-2</v>
      </c>
      <c r="EL53" s="31">
        <f>DZ53/Basicinfo!$G53*1000/100</f>
        <v>4.3212900913929583E-2</v>
      </c>
      <c r="EM53" s="220">
        <f>EG53/Basicinfo!$G53*1000/100</f>
        <v>0.12550144155883755</v>
      </c>
      <c r="EN53" s="220">
        <f>ED53/Basicinfo!$G53*1000/100</f>
        <v>1.5372098840242285E-3</v>
      </c>
      <c r="EO53" s="220">
        <f>EF53/Basicinfo!$G53*1000/100</f>
        <v>0.36321005742284407</v>
      </c>
      <c r="EP53" s="220">
        <f>EE53/Basicinfo!$G53*1000/100</f>
        <v>4.0069364420244835E-2</v>
      </c>
      <c r="EQ53" s="220">
        <f>EH53/Basicinfo!$G53*1000/100</f>
        <v>0.5303180732859506</v>
      </c>
      <c r="ER53" s="31">
        <f>EI53/Basicinfo!$G53*1000/100</f>
        <v>0.5303180732859506</v>
      </c>
      <c r="ET53" s="188">
        <f t="shared" si="37"/>
        <v>15.516827502225727</v>
      </c>
      <c r="EU53" s="188">
        <f t="shared" si="38"/>
        <v>8.1484873118078589</v>
      </c>
      <c r="EV53" s="223">
        <f t="shared" si="39"/>
        <v>23.665314814033586</v>
      </c>
      <c r="EW53" s="223">
        <f t="shared" si="40"/>
        <v>0.28986564129323117</v>
      </c>
      <c r="EX53" s="223">
        <f t="shared" si="41"/>
        <v>68.489096585437153</v>
      </c>
      <c r="EY53" s="223">
        <f t="shared" si="42"/>
        <v>7.5557229592360509</v>
      </c>
      <c r="EZ53" s="223">
        <f t="shared" si="43"/>
        <v>100</v>
      </c>
      <c r="FA53" s="188">
        <f t="shared" si="44"/>
        <v>100</v>
      </c>
      <c r="FC53" s="236">
        <f>Basicinfo!CT53</f>
        <v>4.8796774193548389</v>
      </c>
      <c r="FD53" s="181">
        <f>IF((Intermediate!CL53+Intermediate!CM53*3)/4&gt;11,(Intermediate!CL53+Intermediate!CM53*9)/10,(Intermediate!CL53+Intermediate!CM53*3)/4)</f>
        <v>3.5268862212868131</v>
      </c>
      <c r="FF53" s="31">
        <f t="shared" si="45"/>
        <v>3.0430959607234555E-2</v>
      </c>
      <c r="FG53" s="31">
        <f t="shared" si="46"/>
        <v>0.29852947252424628</v>
      </c>
      <c r="FH53" s="31">
        <f t="shared" si="47"/>
        <v>0</v>
      </c>
      <c r="FI53" s="31">
        <f>(AI53-(P53*450/1000000))*Parameters!$C$153</f>
        <v>0.98573342515124696</v>
      </c>
      <c r="FJ53" s="31"/>
      <c r="FK53" s="31">
        <f t="shared" si="48"/>
        <v>0.51131097940403569</v>
      </c>
      <c r="FL53" s="31">
        <f t="shared" si="49"/>
        <v>5.3452184819916431</v>
      </c>
      <c r="FM53" s="31">
        <f>AM53*Parameters!$C$154</f>
        <v>0.17461299220668308</v>
      </c>
      <c r="FN53" s="31">
        <f>AN53*Parameters!$C$154</f>
        <v>0.21828921422607669</v>
      </c>
      <c r="FO53" s="31">
        <f>AO53*Parameters!$C$154</f>
        <v>0.37700504585644318</v>
      </c>
      <c r="FP53" s="31">
        <f>AQ53*Parameters!$C$155</f>
        <v>1.6290028333333335</v>
      </c>
      <c r="FQ53" s="31">
        <f t="shared" si="50"/>
        <v>9.5701334043009432</v>
      </c>
      <c r="FS53" s="147">
        <f>DY53*Parameters!$C$155</f>
        <v>1.6290028333333335</v>
      </c>
      <c r="FT53" s="147">
        <f>DZ53*Parameters!$C$154</f>
        <v>0.76990725228920298</v>
      </c>
      <c r="FU53" s="181">
        <f t="shared" si="51"/>
        <v>0.51131097940403569</v>
      </c>
      <c r="FV53" s="181">
        <f t="shared" si="52"/>
        <v>5.3696627448156899</v>
      </c>
      <c r="FW53" s="31">
        <f t="shared" si="53"/>
        <v>0.98573342515124662</v>
      </c>
      <c r="FX53" s="181">
        <f t="shared" si="54"/>
        <v>3.0430959607234555E-2</v>
      </c>
      <c r="FY53" s="147">
        <f>Intermediate!FJ53+Intermediate!FM53</f>
        <v>0.27408520970019956</v>
      </c>
      <c r="FZ53" s="181">
        <f t="shared" si="55"/>
        <v>6.8667071493709724</v>
      </c>
      <c r="GA53" s="147">
        <f t="shared" si="56"/>
        <v>2.3989100856225365</v>
      </c>
      <c r="GB53" s="181">
        <f t="shared" si="57"/>
        <v>9.5701334043009432</v>
      </c>
      <c r="GD53" s="147">
        <f>IF('River loads'!CH53&gt;0.99,1,0)</f>
        <v>1</v>
      </c>
      <c r="GE53" s="147">
        <f t="shared" si="58"/>
        <v>3.0430959607234555E-2</v>
      </c>
      <c r="GF53" s="147">
        <f t="shared" si="59"/>
        <v>0.29852947252424628</v>
      </c>
      <c r="GG53" s="147">
        <f t="shared" si="60"/>
        <v>0</v>
      </c>
      <c r="GH53" s="147">
        <f t="shared" si="61"/>
        <v>1.4175594087915224</v>
      </c>
      <c r="GI53" s="147">
        <f t="shared" si="62"/>
        <v>0.41079363250228768</v>
      </c>
      <c r="GJ53" s="147">
        <f t="shared" si="63"/>
        <v>0.51131097940403569</v>
      </c>
      <c r="GK53" s="147">
        <f t="shared" si="64"/>
        <v>5.3452184819916431</v>
      </c>
      <c r="GL53" s="147">
        <f t="shared" si="65"/>
        <v>0.19401443578520342</v>
      </c>
      <c r="GM53" s="270">
        <f t="shared" si="128"/>
        <v>0.24254357136230745</v>
      </c>
      <c r="GN53" s="270">
        <f t="shared" si="129"/>
        <v>0.41889449539604795</v>
      </c>
      <c r="GO53" s="147">
        <f t="shared" si="66"/>
        <v>1.6290028333333335</v>
      </c>
      <c r="GP53" s="147">
        <f t="shared" si="67"/>
        <v>10.498298270697861</v>
      </c>
      <c r="GQ53" s="147"/>
      <c r="GR53" s="147">
        <f t="shared" si="68"/>
        <v>3.0430959607234555E-2</v>
      </c>
      <c r="GS53" s="147">
        <f t="shared" si="69"/>
        <v>0.29852947252424628</v>
      </c>
      <c r="GT53" s="147">
        <f t="shared" si="70"/>
        <v>0</v>
      </c>
      <c r="GU53" s="147">
        <f t="shared" si="71"/>
        <v>0.98573342515124696</v>
      </c>
      <c r="GV53" s="147">
        <f t="shared" si="72"/>
        <v>0</v>
      </c>
      <c r="GW53" s="147">
        <f t="shared" si="73"/>
        <v>0.51131097940403569</v>
      </c>
      <c r="GX53" s="147">
        <f t="shared" si="74"/>
        <v>5.3452184819916431</v>
      </c>
      <c r="GY53" s="147">
        <f t="shared" si="75"/>
        <v>0.17461299220668308</v>
      </c>
      <c r="GZ53" s="147">
        <f t="shared" si="130"/>
        <v>0.21828921422607669</v>
      </c>
      <c r="HA53" s="147">
        <f t="shared" si="131"/>
        <v>0.37700504585644318</v>
      </c>
      <c r="HB53" s="147">
        <f t="shared" si="76"/>
        <v>1.6290028333333335</v>
      </c>
      <c r="HC53" s="147">
        <f t="shared" si="77"/>
        <v>9.5701334043009432</v>
      </c>
      <c r="HD53" s="147"/>
      <c r="HE53" s="147">
        <f t="shared" si="78"/>
        <v>1.6290028333333335</v>
      </c>
      <c r="HF53" s="147">
        <f t="shared" si="79"/>
        <v>0.85545250254355887</v>
      </c>
      <c r="HG53" s="147">
        <f t="shared" si="80"/>
        <v>0.51131097940403569</v>
      </c>
      <c r="HH53" s="147">
        <f t="shared" si="81"/>
        <v>5.3696627448156899</v>
      </c>
      <c r="HI53" s="147">
        <f t="shared" si="82"/>
        <v>1.3092159182258101</v>
      </c>
      <c r="HJ53" s="147">
        <f t="shared" si="83"/>
        <v>3.0430959607234555E-2</v>
      </c>
      <c r="HK53" s="147">
        <f t="shared" si="84"/>
        <v>0.79322233276819942</v>
      </c>
      <c r="HL53" s="147">
        <f t="shared" si="85"/>
        <v>7.1901896424455352</v>
      </c>
      <c r="HM53" s="147">
        <f t="shared" si="86"/>
        <v>2.4844553358768922</v>
      </c>
      <c r="HN53" s="147">
        <f t="shared" si="87"/>
        <v>10.498298270697861</v>
      </c>
      <c r="HO53" s="147">
        <f t="shared" si="88"/>
        <v>10.498298270697861</v>
      </c>
      <c r="HQ53" s="147">
        <f t="shared" si="89"/>
        <v>1.6290028333333335</v>
      </c>
      <c r="HR53" s="147">
        <f t="shared" si="90"/>
        <v>0.76990725228920298</v>
      </c>
      <c r="HS53" s="147">
        <f t="shared" si="91"/>
        <v>0.51131097940403569</v>
      </c>
      <c r="HT53" s="147">
        <f t="shared" si="92"/>
        <v>5.3696627448156899</v>
      </c>
      <c r="HU53" s="147">
        <f t="shared" si="93"/>
        <v>0.98573342515124662</v>
      </c>
      <c r="HV53" s="147">
        <f t="shared" si="94"/>
        <v>3.0430959607234555E-2</v>
      </c>
      <c r="HW53" s="147">
        <f t="shared" si="95"/>
        <v>0.27408520970019956</v>
      </c>
      <c r="HX53" s="147">
        <f t="shared" si="96"/>
        <v>6.8667071493709724</v>
      </c>
      <c r="HY53" s="147">
        <f t="shared" si="97"/>
        <v>2.3989100856225365</v>
      </c>
      <c r="HZ53" s="147">
        <f t="shared" si="98"/>
        <v>9.5701334043009432</v>
      </c>
      <c r="IB53" s="147">
        <f>IF('River loads'!CI53&gt;0.99,1,0)</f>
        <v>0</v>
      </c>
      <c r="IC53">
        <f t="shared" si="144"/>
        <v>0</v>
      </c>
      <c r="ID53">
        <f t="shared" si="145"/>
        <v>0</v>
      </c>
      <c r="IE53">
        <f t="shared" si="146"/>
        <v>0</v>
      </c>
      <c r="IF53">
        <f t="shared" si="147"/>
        <v>0</v>
      </c>
      <c r="IG53">
        <f t="shared" si="148"/>
        <v>0</v>
      </c>
      <c r="IH53">
        <f t="shared" si="149"/>
        <v>0</v>
      </c>
      <c r="II53">
        <f t="shared" si="150"/>
        <v>0</v>
      </c>
      <c r="IJ53">
        <f t="shared" si="151"/>
        <v>0</v>
      </c>
      <c r="IK53">
        <f t="shared" si="132"/>
        <v>0</v>
      </c>
      <c r="IL53">
        <f t="shared" si="133"/>
        <v>0</v>
      </c>
      <c r="IM53">
        <f t="shared" si="107"/>
        <v>0</v>
      </c>
      <c r="IN53">
        <f t="shared" si="108"/>
        <v>0</v>
      </c>
      <c r="IP53">
        <f t="shared" si="109"/>
        <v>0</v>
      </c>
      <c r="IQ53">
        <f t="shared" si="110"/>
        <v>0</v>
      </c>
      <c r="IR53">
        <f t="shared" si="111"/>
        <v>0</v>
      </c>
      <c r="IS53">
        <f t="shared" si="112"/>
        <v>0</v>
      </c>
      <c r="IT53">
        <f t="shared" si="113"/>
        <v>0</v>
      </c>
      <c r="IU53">
        <f t="shared" si="114"/>
        <v>0</v>
      </c>
      <c r="IV53">
        <f t="shared" si="115"/>
        <v>0</v>
      </c>
      <c r="IW53">
        <f t="shared" si="116"/>
        <v>0</v>
      </c>
      <c r="IX53">
        <f t="shared" si="117"/>
        <v>0</v>
      </c>
    </row>
    <row r="54" spans="1:258">
      <c r="A54" s="39" t="str">
        <f>Basicinfo!A54</f>
        <v>Waldaist</v>
      </c>
      <c r="B54" s="63">
        <f>Basicinfo!B54</f>
        <v>1590</v>
      </c>
      <c r="C54" s="63">
        <f>Basicinfo!C54</f>
        <v>1600</v>
      </c>
      <c r="D54" s="130">
        <f>Basicinfo!G54</f>
        <v>282.07629954999999</v>
      </c>
      <c r="E54" s="87">
        <f t="shared" si="118"/>
        <v>3.6506930601064198</v>
      </c>
      <c r="F54" s="19">
        <f>Intermediate!AR54</f>
        <v>1.2200220353383031E-2</v>
      </c>
      <c r="G54" s="19">
        <f>Intermediate!AU54</f>
        <v>0.67068419626270603</v>
      </c>
      <c r="H54" s="19">
        <f>Intermediate!AW54</f>
        <v>0</v>
      </c>
      <c r="I54" s="19">
        <f>Intermediate!AZ54</f>
        <v>5.011163430887066E-2</v>
      </c>
      <c r="J54" s="19">
        <f>Intermediate!BA54</f>
        <v>2.8869417323759738</v>
      </c>
      <c r="K54" s="19">
        <f>Intermediate!AC54</f>
        <v>5.5153207742269297E-3</v>
      </c>
      <c r="L54" s="19">
        <f>Intermediate!AO54</f>
        <v>4.3310926737572704E-3</v>
      </c>
      <c r="M54" s="19">
        <f>Intermediate!AP54</f>
        <v>1.0093031345409906E-2</v>
      </c>
      <c r="N54" s="19">
        <f t="shared" si="119"/>
        <v>3.6398772280943277</v>
      </c>
      <c r="O54" s="19">
        <f>Basicinfo!CB54+Basicinfo!CG54</f>
        <v>1.0815832012092002E-2</v>
      </c>
      <c r="P54" s="56">
        <f>Intermediate!BK54-Intermediate!BI54</f>
        <v>140.0761020621826</v>
      </c>
      <c r="Q54" s="43">
        <f>Intermediate!BI54</f>
        <v>1865.3103334411767</v>
      </c>
      <c r="R54" s="88">
        <f t="shared" si="134"/>
        <v>2005.3864355033593</v>
      </c>
      <c r="S54" s="61">
        <f>Intermediate!F54*Intermediate!BO54/1000</f>
        <v>2.0422346288290503</v>
      </c>
      <c r="T54" s="19">
        <f>Intermediate!BU54*Intermediate!AU54*86.4*0.365</f>
        <v>33.350968200358999</v>
      </c>
      <c r="U54" s="19">
        <f>Intermediate!AW54*Intermediate!BS54*0.365*86.4</f>
        <v>0</v>
      </c>
      <c r="V54" s="19">
        <f>(Basicinfo!BL54/1000000)*(Intermediate!BK54-Intermediate!BF54-Intermediate!BG54-Intermediate!BH54)*Intermediate!CV54</f>
        <v>1.0218422882206954</v>
      </c>
      <c r="W54" s="19">
        <f>Intermediate!BI54*Parameters!$C$51/1000000</f>
        <v>4.6632758336029416E-2</v>
      </c>
      <c r="X54" s="19">
        <f>Intermediate!AZ54*Intermediate!CG54*86.4*0.365</f>
        <v>21.01656194440384</v>
      </c>
      <c r="Y54" s="19">
        <f>Intermediate!CM54*Intermediate!BA54*86.4*0.365+Parameters!$C$126*Intermediate!BB54*Basicinfo!P54/1000+Parameters!$C$127*Intermediate!BB54*Basicinfo!S54/1000</f>
        <v>146.57749684039234</v>
      </c>
      <c r="Z54" s="19">
        <f>Intermediate!DG54</f>
        <v>0.49079970941745288</v>
      </c>
      <c r="AA54" s="19">
        <f>Intermediate!DI54</f>
        <v>1.0320131754774289</v>
      </c>
      <c r="AB54" s="19">
        <f>Intermediate!DK54</f>
        <v>1.9969393227637662</v>
      </c>
      <c r="AC54" s="19">
        <f t="shared" si="120"/>
        <v>207.57548886819961</v>
      </c>
      <c r="AD54" s="19">
        <f>Basicinfo!CC54+Basicinfo!CE54+Basicinfo!CH54+Basicinfo!CJ54</f>
        <v>0.96902619999999995</v>
      </c>
      <c r="AE54" s="87">
        <f t="shared" si="135"/>
        <v>208.54451506819962</v>
      </c>
      <c r="AF54" s="56">
        <f>Intermediate!F54*Basicinfo!BD54/1000</f>
        <v>5.1041910995083491E-2</v>
      </c>
      <c r="AG54" s="43">
        <f>Intermediate!CA54*Intermediate!AU54*86.4*0.365</f>
        <v>0.66037998286040989</v>
      </c>
      <c r="AH54" s="43">
        <f>Intermediate!AW54*Intermediate!BZ54*0.365*86.4</f>
        <v>0</v>
      </c>
      <c r="AI54" s="43">
        <f>(Intermediate!CU54/1000000)*(Intermediate!BK54-Intermediate!BF54-Intermediate!BG54-Intermediate!BH54)*Intermediate!CW54</f>
        <v>0.59100850334475763</v>
      </c>
      <c r="AJ54" s="43">
        <f>Intermediate!BF54*Parameters!$C$52/1000000+(Intermediate!BG54+Intermediate!BH54)*Intermediate!CX54/1000000</f>
        <v>0.8393896500485295</v>
      </c>
      <c r="AK54" s="43">
        <f>Intermediate!AZ54*Intermediate!CH54*86.4*0.365</f>
        <v>0.32292510175708872</v>
      </c>
      <c r="AL54" s="58">
        <f>Intermediate!CR54*Intermediate!BA54*86.4*0.365</f>
        <v>3.3983906881990205</v>
      </c>
      <c r="AM54" s="43">
        <f>Intermediate!DH54</f>
        <v>0.13978354266147799</v>
      </c>
      <c r="AN54" s="42">
        <f>Intermediate!DJ54</f>
        <v>0.21245827782435414</v>
      </c>
      <c r="AO54" s="42">
        <f>Intermediate!DL54</f>
        <v>0.321168228462128</v>
      </c>
      <c r="AP54" s="42">
        <f t="shared" si="122"/>
        <v>6.5365458861528509</v>
      </c>
      <c r="AQ54" s="43">
        <f>Basicinfo!CD54+Basicinfo!CF54+Basicinfo!CI54+Basicinfo!CK54</f>
        <v>0.40314749999999994</v>
      </c>
      <c r="AR54" s="83">
        <f t="shared" si="136"/>
        <v>6.9396933861528511</v>
      </c>
      <c r="AS54" s="19">
        <f>F54*86400*365/(Basicinfo!G54*1000000)*1000</f>
        <v>1.3639790002849503</v>
      </c>
      <c r="AT54" s="19">
        <f>G54*86400*365/(Basicinfo!G54*1000000)*1000</f>
        <v>74.9821833563567</v>
      </c>
      <c r="AU54" s="19">
        <f>H54*86400*365/(Basicinfo!G54*1000000)*1000</f>
        <v>0</v>
      </c>
      <c r="AV54" s="19">
        <f>I54*86400*365/(Basicinfo!G54*1000000)*1000</f>
        <v>5.6024575694081733</v>
      </c>
      <c r="AW54" s="19">
        <f>J54*86400*365/(Basicinfo!G54*1000000)*1000</f>
        <v>322.75875221509267</v>
      </c>
      <c r="AX54" s="53">
        <f>K54*86400*365/(Basicinfo!G54*1000000)*1000</f>
        <v>0.61661031505835517</v>
      </c>
      <c r="AY54" s="53">
        <f>L54*86400*365/(Basicinfo!G54*1000000)*1000</f>
        <v>0.4842141604151276</v>
      </c>
      <c r="AZ54" s="53">
        <f>M54*86400*365/(Basicinfo!G54*1000000)*1000</f>
        <v>1.1283962424940526</v>
      </c>
      <c r="BA54" s="19">
        <f t="shared" si="123"/>
        <v>406.93659285911008</v>
      </c>
      <c r="BB54" s="19">
        <f>O54*86400*365/(Basicinfo!G54*1000000)*1000</f>
        <v>1.2092050231709492</v>
      </c>
      <c r="BC54" s="53">
        <f t="shared" si="137"/>
        <v>408.14579788228104</v>
      </c>
      <c r="BD54" s="56">
        <f>P54/(Basicinfo!G54*100)*1000</f>
        <v>4.9658940607788686</v>
      </c>
      <c r="BE54" s="43">
        <f>Q54/(Basicinfo!G54*100)*1000</f>
        <v>66.127864567740374</v>
      </c>
      <c r="BF54" s="58">
        <f t="shared" si="138"/>
        <v>71.09375862851924</v>
      </c>
      <c r="BG54" s="61">
        <f>S54/(Basicinfo!G54*100)*1000000</f>
        <v>72.400078705196208</v>
      </c>
      <c r="BH54" s="19">
        <f>T54/(Basicinfo!G54*100)*1000000</f>
        <v>1182.3385464700236</v>
      </c>
      <c r="BI54" s="19">
        <f>U54/(Basicinfo!G54*100)*1000000</f>
        <v>0</v>
      </c>
      <c r="BJ54" s="19">
        <f>V54/(Basicinfo!G54*100)*1000000</f>
        <v>36.225740689694732</v>
      </c>
      <c r="BK54" s="19">
        <f>W54/(Basicinfo!G54*100)*1000000</f>
        <v>1.6531966141935095</v>
      </c>
      <c r="BL54" s="19">
        <f>X54/(Basicinfo!G54*100)*1000000</f>
        <v>745.06656454058123</v>
      </c>
      <c r="BM54" s="19">
        <f>Y54/(Basicinfo!G54*100)*1000000</f>
        <v>5196.3776139374104</v>
      </c>
      <c r="BN54" s="53">
        <f>Z54/(Basicinfo!G54*100)*1000000</f>
        <v>17.399537295420849</v>
      </c>
      <c r="BO54" s="53">
        <f>AA54/(Basicinfo!G54*100)*1000000</f>
        <v>36.58631289207257</v>
      </c>
      <c r="BP54" s="53">
        <f>AB54/(Basicinfo!G54*100)*1000000</f>
        <v>70.794296647733589</v>
      </c>
      <c r="BQ54" s="19">
        <f t="shared" si="125"/>
        <v>7358.8418877923268</v>
      </c>
      <c r="BR54" s="19">
        <f>AD54/(Basicinfo!G54*100)*1000000</f>
        <v>34.353336368418766</v>
      </c>
      <c r="BS54" s="53">
        <f t="shared" si="139"/>
        <v>7393.195224160746</v>
      </c>
      <c r="BT54" s="56">
        <f>AF54/(Basicinfo!G54*100)*1000000</f>
        <v>1.8095072530556915</v>
      </c>
      <c r="BU54" s="43">
        <f>AG54/(Basicinfo!G54*100)*1000000</f>
        <v>23.411395566161449</v>
      </c>
      <c r="BV54" s="43">
        <f>AH54/(Basicinfo!G54*100)*1000000</f>
        <v>0</v>
      </c>
      <c r="BW54" s="43">
        <f>AI54/(Basicinfo!G54*100)*1000000</f>
        <v>20.952079429842254</v>
      </c>
      <c r="BX54" s="43">
        <f>AJ54/(Basicinfo!G54*100)*1000000</f>
        <v>29.757539055483171</v>
      </c>
      <c r="BY54" s="58">
        <f>AK54/(Basicinfo!G54*100)*1000000</f>
        <v>11.4481472662629</v>
      </c>
      <c r="BZ54" s="58">
        <f>AL54/(Basicinfo!G54*100)*1000000</f>
        <v>120.47771094631196</v>
      </c>
      <c r="CA54" s="58">
        <f>AM54/(Basicinfo!G54*100)*1000000</f>
        <v>4.9555224201564076</v>
      </c>
      <c r="CB54" s="58">
        <f>AN54/(Basicinfo!G54*100)*1000000</f>
        <v>7.5319435969378361</v>
      </c>
      <c r="CC54" s="58">
        <f>AO54/(Basicinfo!G54*100)*1000000</f>
        <v>11.385863646626529</v>
      </c>
      <c r="CD54" s="58">
        <f t="shared" si="126"/>
        <v>231.72970918083817</v>
      </c>
      <c r="CE54" s="58">
        <f>AQ54/(Basicinfo!G54*100)*1000000</f>
        <v>14.292143673295005</v>
      </c>
      <c r="CF54" s="43">
        <f t="shared" si="140"/>
        <v>246.02185285413319</v>
      </c>
      <c r="CG54" s="84"/>
      <c r="CH54" s="84">
        <f t="shared" si="8"/>
        <v>0.96902619999999995</v>
      </c>
      <c r="CI54" s="146">
        <f t="shared" si="152"/>
        <v>3.519752207658648</v>
      </c>
      <c r="CJ54" s="200">
        <f>Intermediate!EW54+Intermediate!EY54+Intermediate!FD54</f>
        <v>36.653005025227706</v>
      </c>
      <c r="CK54" s="180">
        <f>Intermediate!FA54+Intermediate!FF54</f>
        <v>11.368678008050793</v>
      </c>
      <c r="CL54" s="180">
        <f t="shared" si="141"/>
        <v>21.01656194440384</v>
      </c>
      <c r="CM54" s="180">
        <f t="shared" si="142"/>
        <v>72.668084535067976</v>
      </c>
      <c r="CN54" s="202">
        <f>Intermediate!EX54+Intermediate!EZ54+Intermediate!FE54</f>
        <v>24.711768363801433</v>
      </c>
      <c r="CO54" s="180">
        <f>Intermediate!FB54+Intermediate!FG54</f>
        <v>7.5659641443734191</v>
      </c>
      <c r="CP54" s="213">
        <f>Intermediate!EP54+Intermediate!EQ54+Intermediate!ER54+Intermediate!ES54+Intermediate!ET54+Intermediate!EU54+Intermediate!EV54+W54</f>
        <v>30.071674639615757</v>
      </c>
      <c r="CQ54" s="212">
        <f t="shared" si="12"/>
        <v>32.27773250817485</v>
      </c>
      <c r="CR54" s="212">
        <f t="shared" si="13"/>
        <v>141.7063295127503</v>
      </c>
      <c r="CS54" s="211">
        <f t="shared" si="143"/>
        <v>1.4598259094174528</v>
      </c>
      <c r="CT54" s="212">
        <f t="shared" si="15"/>
        <v>205.51556256995838</v>
      </c>
      <c r="CU54" s="84"/>
      <c r="CV54" s="31">
        <f t="shared" si="16"/>
        <v>208.54451506819962</v>
      </c>
      <c r="CW54" s="31">
        <f>CH54/Basicinfo!$G54*1000/100</f>
        <v>3.4353336368418759E-2</v>
      </c>
      <c r="CX54" s="31">
        <f>CI54/Basicinfo!$G54*1000/100</f>
        <v>0.12478014683522703</v>
      </c>
      <c r="CY54" s="31">
        <f>CS54/Basicinfo!$G54*1000/100</f>
        <v>5.1752873663839613E-2</v>
      </c>
      <c r="CZ54" s="31">
        <f>CN54/Basicinfo!$G54*1000/100</f>
        <v>0.87606680898836375</v>
      </c>
      <c r="DA54" s="31">
        <f>CO54/Basicinfo!$G54*1000/100</f>
        <v>0.26822402862074912</v>
      </c>
      <c r="DB54" s="31">
        <f>CQ54/Basicinfo!$G54*1000/100</f>
        <v>1.1442908376091128</v>
      </c>
      <c r="DC54" s="31">
        <f>CJ54/Basicinfo!$G54*1000/100</f>
        <v>1.299400377972227</v>
      </c>
      <c r="DD54" s="31">
        <f>CK54/Basicinfo!$G54*1000/100</f>
        <v>0.40303556258315187</v>
      </c>
      <c r="DE54" s="31">
        <f>CM54/Basicinfo!$G54*1000/100</f>
        <v>2.576185402708286</v>
      </c>
      <c r="DF54" s="31">
        <f>CR54/Basicinfo!$G54*1000/100</f>
        <v>5.0236879078042449</v>
      </c>
      <c r="DG54" s="31">
        <f>CP54/Basicinfo!$G54*1000/100</f>
        <v>1.0660829955437408</v>
      </c>
      <c r="DH54" s="31">
        <f>CT54/Basicinfo!$G54*1000/100</f>
        <v>7.2858146146209393</v>
      </c>
      <c r="DI54" s="31">
        <f>CV54/Basicinfo!$G54*1000/100</f>
        <v>7.3931952241607473</v>
      </c>
      <c r="DJ54" s="31"/>
      <c r="DK54" s="188">
        <f t="shared" si="17"/>
        <v>0.47150988853709763</v>
      </c>
      <c r="DL54" s="188">
        <f t="shared" si="18"/>
        <v>1.7126450978428993</v>
      </c>
      <c r="DM54" s="188">
        <f t="shared" si="19"/>
        <v>0.71032377848296613</v>
      </c>
      <c r="DN54" s="188">
        <f t="shared" si="20"/>
        <v>12.024280815906309</v>
      </c>
      <c r="DO54" s="188">
        <f t="shared" si="21"/>
        <v>3.6814555792084755</v>
      </c>
      <c r="DP54" s="188">
        <f t="shared" si="22"/>
        <v>15.705736395114783</v>
      </c>
      <c r="DQ54" s="188">
        <f t="shared" si="23"/>
        <v>17.834661554037236</v>
      </c>
      <c r="DR54" s="188">
        <f t="shared" si="24"/>
        <v>5.5317844867251091</v>
      </c>
      <c r="DS54" s="188">
        <f t="shared" si="25"/>
        <v>35.358920573390371</v>
      </c>
      <c r="DT54" s="188">
        <f t="shared" si="26"/>
        <v>68.951629619052738</v>
      </c>
      <c r="DU54" s="188">
        <f t="shared" si="27"/>
        <v>14.632310207349494</v>
      </c>
      <c r="DV54" s="188">
        <f t="shared" si="28"/>
        <v>100</v>
      </c>
      <c r="DW54" s="188">
        <f t="shared" si="29"/>
        <v>101.47383120789706</v>
      </c>
      <c r="DY54" s="181">
        <f t="shared" si="30"/>
        <v>0.40314749999999994</v>
      </c>
      <c r="DZ54" s="181">
        <f t="shared" si="127"/>
        <v>0.67341004894796019</v>
      </c>
      <c r="EA54" s="185">
        <f t="shared" si="31"/>
        <v>0.32292510175708872</v>
      </c>
      <c r="EB54" s="185">
        <f>AG54+AH54+AL54-Intermediate!FJ54-Intermediate!FM54</f>
        <v>3.4756901195181209</v>
      </c>
      <c r="EC54" s="185">
        <f>AI54+AJ54-Intermediate!FK54</f>
        <v>0.53313496503059521</v>
      </c>
      <c r="ED54" s="240">
        <f t="shared" si="32"/>
        <v>5.1041910995083491E-2</v>
      </c>
      <c r="EE54" s="240">
        <f>Intermediate!FJ54+Intermediate!FK54+Intermediate!FM54</f>
        <v>1.4803437399040016</v>
      </c>
      <c r="EF54" s="240">
        <f t="shared" si="33"/>
        <v>4.331750186305805</v>
      </c>
      <c r="EG54" s="240">
        <f t="shared" si="34"/>
        <v>1.0765575489479602</v>
      </c>
      <c r="EH54" s="240">
        <f t="shared" si="35"/>
        <v>6.9396933861528503</v>
      </c>
      <c r="EI54" s="181">
        <f t="shared" si="36"/>
        <v>6.9396933861528511</v>
      </c>
      <c r="EK54" s="31">
        <f>DY54/Basicinfo!$G54*1000/100</f>
        <v>1.4292143673295005E-2</v>
      </c>
      <c r="EL54" s="31">
        <f>DZ54/Basicinfo!$G54*1000/100</f>
        <v>2.3873329663720778E-2</v>
      </c>
      <c r="EM54" s="220">
        <f>EG54/Basicinfo!$G54*1000/100</f>
        <v>3.8165473337015789E-2</v>
      </c>
      <c r="EN54" s="220">
        <f>ED54/Basicinfo!$G54*1000/100</f>
        <v>1.8095072530556915E-3</v>
      </c>
      <c r="EO54" s="220">
        <f>EF54/Basicinfo!$G54*1000/100</f>
        <v>0.15356661276457126</v>
      </c>
      <c r="EP54" s="220">
        <f>EE54/Basicinfo!$G54*1000/100</f>
        <v>5.2480259499490513E-2</v>
      </c>
      <c r="EQ54" s="220">
        <f>EH54/Basicinfo!$G54*1000/100</f>
        <v>0.24602185285413325</v>
      </c>
      <c r="ER54" s="31">
        <f>EI54/Basicinfo!$G54*1000/100</f>
        <v>0.24602185285413328</v>
      </c>
      <c r="ET54" s="188">
        <f t="shared" si="37"/>
        <v>5.8092984454388441</v>
      </c>
      <c r="EU54" s="188">
        <f t="shared" si="38"/>
        <v>9.7037435442270699</v>
      </c>
      <c r="EV54" s="223">
        <f t="shared" si="39"/>
        <v>15.513041989665915</v>
      </c>
      <c r="EW54" s="223">
        <f t="shared" si="40"/>
        <v>0.73550671701044013</v>
      </c>
      <c r="EX54" s="223">
        <f t="shared" si="41"/>
        <v>62.419907411892041</v>
      </c>
      <c r="EY54" s="223">
        <f t="shared" si="42"/>
        <v>21.331543881431596</v>
      </c>
      <c r="EZ54" s="223">
        <f t="shared" si="43"/>
        <v>99.999999999999986</v>
      </c>
      <c r="FA54" s="188">
        <f t="shared" si="44"/>
        <v>100</v>
      </c>
      <c r="FC54" s="236">
        <f>Basicinfo!CT54</f>
        <v>1.0808602150537632</v>
      </c>
      <c r="FD54" s="181">
        <f>IF((Intermediate!CL54+Intermediate!CM54*3)/4&gt;11,(Intermediate!CL54+Intermediate!CM54*9)/10,(Intermediate!CL54+Intermediate!CM54*3)/4)</f>
        <v>2.4639020104518741</v>
      </c>
      <c r="FF54" s="31">
        <f t="shared" si="45"/>
        <v>5.1041910995083491E-2</v>
      </c>
      <c r="FG54" s="31">
        <f t="shared" si="46"/>
        <v>0.66037998286040989</v>
      </c>
      <c r="FH54" s="31">
        <f t="shared" si="47"/>
        <v>0</v>
      </c>
      <c r="FI54" s="31">
        <f>(AI54-(P54*450/1000000))*Parameters!$C$153</f>
        <v>0.42237940593342044</v>
      </c>
      <c r="FJ54" s="31"/>
      <c r="FK54" s="31">
        <f t="shared" si="48"/>
        <v>0.32292510175708872</v>
      </c>
      <c r="FL54" s="31">
        <f t="shared" si="49"/>
        <v>3.3983906881990205</v>
      </c>
      <c r="FM54" s="31">
        <f>AM54*Parameters!$C$154</f>
        <v>0.1258051883953302</v>
      </c>
      <c r="FN54" s="31">
        <f>AN54*Parameters!$C$154</f>
        <v>0.19121245004191872</v>
      </c>
      <c r="FO54" s="31">
        <f>AO54*Parameters!$C$154</f>
        <v>0.28905140561591519</v>
      </c>
      <c r="FP54" s="31">
        <f>AQ54*Parameters!$C$155</f>
        <v>0.40314749999999994</v>
      </c>
      <c r="FQ54" s="31">
        <f t="shared" si="50"/>
        <v>5.8643336337981866</v>
      </c>
      <c r="FS54" s="147">
        <f>DY54*Parameters!$C$155</f>
        <v>0.40314749999999994</v>
      </c>
      <c r="FT54" s="147">
        <f>DZ54*Parameters!$C$154</f>
        <v>0.6060690440531642</v>
      </c>
      <c r="FU54" s="181">
        <f t="shared" si="51"/>
        <v>0.32292510175708872</v>
      </c>
      <c r="FV54" s="181">
        <f t="shared" si="52"/>
        <v>3.4756901195181209</v>
      </c>
      <c r="FW54" s="31">
        <f t="shared" si="53"/>
        <v>0.42237940593341938</v>
      </c>
      <c r="FX54" s="181">
        <f t="shared" si="54"/>
        <v>5.1041910995083491E-2</v>
      </c>
      <c r="FY54" s="147">
        <f>Intermediate!FJ54+Intermediate!FM54</f>
        <v>0.58308055154130956</v>
      </c>
      <c r="FZ54" s="181">
        <f t="shared" si="55"/>
        <v>4.2209946272086292</v>
      </c>
      <c r="GA54" s="147">
        <f t="shared" si="56"/>
        <v>1.0092165440531642</v>
      </c>
      <c r="GB54" s="181">
        <f t="shared" si="57"/>
        <v>5.8643336337981857</v>
      </c>
      <c r="GD54" s="147">
        <f>IF('River loads'!CH54&gt;0.99,1,0)</f>
        <v>0</v>
      </c>
      <c r="GE54" s="147">
        <f t="shared" si="58"/>
        <v>0</v>
      </c>
      <c r="GF54" s="147">
        <f t="shared" si="59"/>
        <v>0</v>
      </c>
      <c r="GG54" s="147">
        <f t="shared" si="60"/>
        <v>0</v>
      </c>
      <c r="GH54" s="147">
        <f t="shared" si="61"/>
        <v>0</v>
      </c>
      <c r="GI54" s="147">
        <f t="shared" si="62"/>
        <v>0</v>
      </c>
      <c r="GJ54" s="147">
        <f t="shared" si="63"/>
        <v>0</v>
      </c>
      <c r="GK54" s="147">
        <f t="shared" si="64"/>
        <v>0</v>
      </c>
      <c r="GL54" s="147">
        <f t="shared" si="65"/>
        <v>0</v>
      </c>
      <c r="GM54" s="270">
        <f t="shared" si="128"/>
        <v>0</v>
      </c>
      <c r="GN54" s="270">
        <f t="shared" si="129"/>
        <v>0</v>
      </c>
      <c r="GO54" s="147">
        <f t="shared" si="66"/>
        <v>0</v>
      </c>
      <c r="GP54" s="147">
        <f t="shared" si="67"/>
        <v>0</v>
      </c>
      <c r="GQ54" s="147"/>
      <c r="GR54" s="147">
        <f t="shared" si="68"/>
        <v>0</v>
      </c>
      <c r="GS54" s="147">
        <f t="shared" si="69"/>
        <v>0</v>
      </c>
      <c r="GT54" s="147">
        <f t="shared" si="70"/>
        <v>0</v>
      </c>
      <c r="GU54" s="147">
        <f t="shared" si="71"/>
        <v>0</v>
      </c>
      <c r="GV54" s="147">
        <f t="shared" si="72"/>
        <v>0</v>
      </c>
      <c r="GW54" s="147">
        <f t="shared" si="73"/>
        <v>0</v>
      </c>
      <c r="GX54" s="147">
        <f t="shared" si="74"/>
        <v>0</v>
      </c>
      <c r="GY54" s="147">
        <f t="shared" si="75"/>
        <v>0</v>
      </c>
      <c r="GZ54" s="147">
        <f t="shared" si="130"/>
        <v>0</v>
      </c>
      <c r="HA54" s="147">
        <f t="shared" si="131"/>
        <v>0</v>
      </c>
      <c r="HB54" s="147">
        <f t="shared" si="76"/>
        <v>0</v>
      </c>
      <c r="HC54" s="147">
        <f t="shared" si="77"/>
        <v>0</v>
      </c>
      <c r="HD54" s="147"/>
      <c r="HE54" s="147">
        <f t="shared" si="78"/>
        <v>0</v>
      </c>
      <c r="HF54" s="147">
        <f t="shared" si="79"/>
        <v>0</v>
      </c>
      <c r="HG54" s="147">
        <f t="shared" si="80"/>
        <v>0</v>
      </c>
      <c r="HH54" s="147">
        <f t="shared" si="81"/>
        <v>0</v>
      </c>
      <c r="HI54" s="147">
        <f t="shared" si="82"/>
        <v>0</v>
      </c>
      <c r="HJ54" s="147">
        <f t="shared" si="83"/>
        <v>0</v>
      </c>
      <c r="HK54" s="147">
        <f t="shared" si="84"/>
        <v>0</v>
      </c>
      <c r="HL54" s="147">
        <f t="shared" si="85"/>
        <v>0</v>
      </c>
      <c r="HM54" s="147">
        <f t="shared" si="86"/>
        <v>0</v>
      </c>
      <c r="HN54" s="147">
        <f t="shared" si="87"/>
        <v>0</v>
      </c>
      <c r="HO54" s="147">
        <f t="shared" si="88"/>
        <v>0</v>
      </c>
      <c r="HQ54" s="147">
        <f t="shared" si="89"/>
        <v>0</v>
      </c>
      <c r="HR54" s="147">
        <f t="shared" si="90"/>
        <v>0</v>
      </c>
      <c r="HS54" s="147">
        <f t="shared" si="91"/>
        <v>0</v>
      </c>
      <c r="HT54" s="147">
        <f t="shared" si="92"/>
        <v>0</v>
      </c>
      <c r="HU54" s="147">
        <f t="shared" si="93"/>
        <v>0</v>
      </c>
      <c r="HV54" s="147">
        <f t="shared" si="94"/>
        <v>0</v>
      </c>
      <c r="HW54" s="147">
        <f t="shared" si="95"/>
        <v>0</v>
      </c>
      <c r="HX54" s="147">
        <f t="shared" si="96"/>
        <v>0</v>
      </c>
      <c r="HY54" s="147">
        <f t="shared" si="97"/>
        <v>0</v>
      </c>
      <c r="HZ54" s="147">
        <f t="shared" si="98"/>
        <v>0</v>
      </c>
      <c r="IB54" s="147">
        <f>IF('River loads'!CI54&gt;0.99,1,0)</f>
        <v>0</v>
      </c>
      <c r="IC54">
        <f t="shared" si="144"/>
        <v>0</v>
      </c>
      <c r="ID54">
        <f t="shared" si="145"/>
        <v>0</v>
      </c>
      <c r="IE54">
        <f t="shared" si="146"/>
        <v>0</v>
      </c>
      <c r="IF54">
        <f t="shared" si="147"/>
        <v>0</v>
      </c>
      <c r="IG54">
        <f t="shared" si="148"/>
        <v>0</v>
      </c>
      <c r="IH54">
        <f t="shared" si="149"/>
        <v>0</v>
      </c>
      <c r="II54">
        <f t="shared" si="150"/>
        <v>0</v>
      </c>
      <c r="IJ54">
        <f t="shared" si="151"/>
        <v>0</v>
      </c>
      <c r="IK54">
        <f t="shared" si="132"/>
        <v>0</v>
      </c>
      <c r="IL54">
        <f t="shared" si="133"/>
        <v>0</v>
      </c>
      <c r="IM54">
        <f t="shared" si="107"/>
        <v>0</v>
      </c>
      <c r="IN54">
        <f t="shared" si="108"/>
        <v>0</v>
      </c>
      <c r="IP54">
        <f t="shared" si="109"/>
        <v>0</v>
      </c>
      <c r="IQ54">
        <f t="shared" si="110"/>
        <v>0</v>
      </c>
      <c r="IR54">
        <f t="shared" si="111"/>
        <v>0</v>
      </c>
      <c r="IS54">
        <f t="shared" si="112"/>
        <v>0</v>
      </c>
      <c r="IT54">
        <f t="shared" si="113"/>
        <v>0</v>
      </c>
      <c r="IU54">
        <f t="shared" si="114"/>
        <v>0</v>
      </c>
      <c r="IV54">
        <f t="shared" si="115"/>
        <v>0</v>
      </c>
      <c r="IW54">
        <f t="shared" si="116"/>
        <v>0</v>
      </c>
      <c r="IX54">
        <f t="shared" si="117"/>
        <v>0</v>
      </c>
    </row>
    <row r="55" spans="1:258">
      <c r="A55" s="39" t="str">
        <f>Basicinfo!A55</f>
        <v>Aist</v>
      </c>
      <c r="B55" s="63">
        <f>Basicinfo!B55</f>
        <v>1600</v>
      </c>
      <c r="C55" s="63">
        <f>Basicinfo!C55</f>
        <v>5020</v>
      </c>
      <c r="D55" s="130">
        <f>Basicinfo!G55</f>
        <v>104.92062178099999</v>
      </c>
      <c r="E55" s="87">
        <f t="shared" si="118"/>
        <v>1.1105983424898502</v>
      </c>
      <c r="F55" s="19">
        <f>Intermediate!AR55</f>
        <v>1.8008977634484398E-3</v>
      </c>
      <c r="G55" s="19">
        <f>Intermediate!AU55</f>
        <v>0.18302815882311133</v>
      </c>
      <c r="H55" s="19">
        <f>Intermediate!AW55</f>
        <v>0</v>
      </c>
      <c r="I55" s="19">
        <f>Intermediate!AZ55</f>
        <v>9.4994758203534348E-3</v>
      </c>
      <c r="J55" s="19">
        <f>Intermediate!BA55</f>
        <v>0.87342536498618317</v>
      </c>
      <c r="K55" s="19">
        <f>Intermediate!AC55</f>
        <v>5.6775957904228493E-3</v>
      </c>
      <c r="L55" s="19">
        <f>Intermediate!AO55</f>
        <v>3.9224851814165622E-3</v>
      </c>
      <c r="M55" s="19">
        <f>Intermediate!AP55</f>
        <v>9.4857285444135773E-3</v>
      </c>
      <c r="N55" s="19">
        <f t="shared" si="119"/>
        <v>1.0868397069093496</v>
      </c>
      <c r="O55" s="19">
        <f>Basicinfo!CB55+Basicinfo!CG55</f>
        <v>2.3758635580500592E-2</v>
      </c>
      <c r="P55" s="56">
        <f>Intermediate!BK55-Intermediate!BI55</f>
        <v>768.79405627652636</v>
      </c>
      <c r="Q55" s="43">
        <f>Intermediate!BI55</f>
        <v>979.2793109955719</v>
      </c>
      <c r="R55" s="88">
        <f t="shared" si="134"/>
        <v>1748.0733672720983</v>
      </c>
      <c r="S55" s="61">
        <f>Intermediate!F55*Intermediate!BO55/1000</f>
        <v>0.8767380731972374</v>
      </c>
      <c r="T55" s="19">
        <f>Intermediate!BU55*Intermediate!AU55*86.4*0.365</f>
        <v>10.665476674295894</v>
      </c>
      <c r="U55" s="19">
        <f>Intermediate!AW55*Intermediate!BS55*0.365*86.4</f>
        <v>0</v>
      </c>
      <c r="V55" s="19">
        <f>(Basicinfo!BL55/1000000)*(Intermediate!BK55-Intermediate!BF55-Intermediate!BG55-Intermediate!BH55)*Intermediate!CV55</f>
        <v>3.591993238404465</v>
      </c>
      <c r="W55" s="19">
        <f>Intermediate!BI55*Parameters!$C$51/1000000</f>
        <v>2.4481982774889298E-2</v>
      </c>
      <c r="X55" s="19">
        <f>Intermediate!AZ55*Intermediate!CG55*86.4*0.365</f>
        <v>5.1439417163648855</v>
      </c>
      <c r="Y55" s="19">
        <f>Intermediate!CM55*Intermediate!BA55*86.4*0.365+Parameters!$C$126*Intermediate!BB55*Basicinfo!P55/1000+Parameters!$C$127*Intermediate!BB55*Basicinfo!S55/1000</f>
        <v>61.401725991434319</v>
      </c>
      <c r="Z55" s="19">
        <f>Intermediate!DG55</f>
        <v>0.54367473326618321</v>
      </c>
      <c r="AA55" s="19">
        <f>Intermediate!DI55</f>
        <v>0.90073248775334236</v>
      </c>
      <c r="AB55" s="19">
        <f>Intermediate!DK55</f>
        <v>1.709933885161012</v>
      </c>
      <c r="AC55" s="19">
        <f t="shared" si="120"/>
        <v>84.858698782652226</v>
      </c>
      <c r="AD55" s="19">
        <f>Basicinfo!CC55+Basicinfo!CE55+Basicinfo!CH55+Basicinfo!CJ55</f>
        <v>2.9462612666666663</v>
      </c>
      <c r="AE55" s="87">
        <f t="shared" si="135"/>
        <v>87.804960049318893</v>
      </c>
      <c r="AF55" s="56">
        <f>Intermediate!F55*Basicinfo!BD55/1000</f>
        <v>2.1687795225179836E-2</v>
      </c>
      <c r="AG55" s="43">
        <f>Intermediate!CA55*Intermediate!AU55*86.4*0.365</f>
        <v>0.18738349865679352</v>
      </c>
      <c r="AH55" s="43">
        <f>Intermediate!AW55*Intermediate!BZ55*0.365*86.4</f>
        <v>0</v>
      </c>
      <c r="AI55" s="43">
        <f>(Intermediate!CU55/1000000)*(Intermediate!BK55-Intermediate!BF55-Intermediate!BG55-Intermediate!BH55)*Intermediate!CW55</f>
        <v>2.0207907905121041</v>
      </c>
      <c r="AJ55" s="43">
        <f>Intermediate!BF55*Parameters!$C$52/1000000+(Intermediate!BG55+Intermediate!BH55)*Intermediate!CX55/1000000</f>
        <v>0.44067568994800732</v>
      </c>
      <c r="AK55" s="43">
        <f>Intermediate!AZ55*Intermediate!CH55*86.4*0.365</f>
        <v>5.0539135205542991E-2</v>
      </c>
      <c r="AL55" s="58">
        <f>Intermediate!CR55*Intermediate!BA55*86.4*0.365</f>
        <v>1.2237528700224631</v>
      </c>
      <c r="AM55" s="43">
        <f>Intermediate!DH55</f>
        <v>0.14535202115988149</v>
      </c>
      <c r="AN55" s="42">
        <f>Intermediate!DJ55</f>
        <v>0.18397024150646774</v>
      </c>
      <c r="AO55" s="42">
        <f>Intermediate!DL55</f>
        <v>0.2643883048114023</v>
      </c>
      <c r="AP55" s="42">
        <f t="shared" si="122"/>
        <v>4.5385403470478423</v>
      </c>
      <c r="AQ55" s="43">
        <f>Basicinfo!CD55+Basicinfo!CF55+Basicinfo!CI55+Basicinfo!CK55</f>
        <v>0.61756300000000008</v>
      </c>
      <c r="AR55" s="83">
        <f t="shared" si="136"/>
        <v>5.1561033470478428</v>
      </c>
      <c r="AS55" s="19">
        <f>F55*86400*365/(Basicinfo!G55*1000000)*1000</f>
        <v>0.54129599028352904</v>
      </c>
      <c r="AT55" s="19">
        <f>G55*86400*365/(Basicinfo!G55*1000000)*1000</f>
        <v>55.01278889381193</v>
      </c>
      <c r="AU55" s="19">
        <f>H55*86400*365/(Basicinfo!G55*1000000)*1000</f>
        <v>0</v>
      </c>
      <c r="AV55" s="19">
        <f>I55*86400*365/(Basicinfo!G55*1000000)*1000</f>
        <v>2.8552582360402656</v>
      </c>
      <c r="AW55" s="19">
        <f>J55*86400*365/(Basicinfo!G55*1000000)*1000</f>
        <v>262.52553447212091</v>
      </c>
      <c r="AX55" s="53">
        <f>K55*86400*365/(Basicinfo!G55*1000000)*1000</f>
        <v>1.7065154381233258</v>
      </c>
      <c r="AY55" s="53">
        <f>L55*86400*365/(Basicinfo!G55*1000000)*1000</f>
        <v>1.1789816966520625</v>
      </c>
      <c r="AZ55" s="53">
        <f>M55*86400*365/(Basicinfo!G55*1000000)*1000</f>
        <v>2.8511262161696229</v>
      </c>
      <c r="BA55" s="19">
        <f t="shared" si="123"/>
        <v>326.67150094320164</v>
      </c>
      <c r="BB55" s="19">
        <f>O55*86400*365/(Basicinfo!G55*1000000)*1000</f>
        <v>7.1411350690484401</v>
      </c>
      <c r="BC55" s="53">
        <f t="shared" si="137"/>
        <v>333.8126360122501</v>
      </c>
      <c r="BD55" s="56">
        <f>P55/(Basicinfo!G55*100)*1000</f>
        <v>73.273875357050812</v>
      </c>
      <c r="BE55" s="43">
        <f>Q55/(Basicinfo!G55*100)*1000</f>
        <v>93.335256155802625</v>
      </c>
      <c r="BF55" s="58">
        <f t="shared" si="138"/>
        <v>166.60913151285342</v>
      </c>
      <c r="BG55" s="61">
        <f>S55/(Basicinfo!G55*100)*1000000</f>
        <v>83.562035595561568</v>
      </c>
      <c r="BH55" s="19">
        <f>T55/(Basicinfo!G55*100)*1000000</f>
        <v>1016.5281613139753</v>
      </c>
      <c r="BI55" s="19">
        <f>U55/(Basicinfo!G55*100)*1000000</f>
        <v>0</v>
      </c>
      <c r="BJ55" s="19">
        <f>V55/(Basicinfo!G55*100)*1000000</f>
        <v>342.35340750286491</v>
      </c>
      <c r="BK55" s="19">
        <f>W55/(Basicinfo!G55*100)*1000000</f>
        <v>2.333381403895066</v>
      </c>
      <c r="BL55" s="19">
        <f>X55/(Basicinfo!G55*100)*1000000</f>
        <v>490.26984677061824</v>
      </c>
      <c r="BM55" s="19">
        <f>Y55/(Basicinfo!G55*100)*1000000</f>
        <v>5852.2075974347226</v>
      </c>
      <c r="BN55" s="53">
        <f>Z55/(Basicinfo!G55*100)*1000000</f>
        <v>51.817719342246306</v>
      </c>
      <c r="BO55" s="53">
        <f>AA55/(Basicinfo!G55*100)*1000000</f>
        <v>85.848946800318657</v>
      </c>
      <c r="BP55" s="53">
        <f>AB55/(Basicinfo!G55*100)*1000000</f>
        <v>162.97405182463976</v>
      </c>
      <c r="BQ55" s="19">
        <f t="shared" si="125"/>
        <v>8087.8951479888428</v>
      </c>
      <c r="BR55" s="19">
        <f>AD55/(Basicinfo!G55*100)*1000000</f>
        <v>280.8085976478842</v>
      </c>
      <c r="BS55" s="53">
        <f t="shared" si="139"/>
        <v>8368.703745636727</v>
      </c>
      <c r="BT55" s="56">
        <f>AF55/(Basicinfo!G55*100)*1000000</f>
        <v>2.067066974731488</v>
      </c>
      <c r="BU55" s="43">
        <f>AG55/(Basicinfo!G55*100)*1000000</f>
        <v>17.859549007240702</v>
      </c>
      <c r="BV55" s="43">
        <f>AH55/(Basicinfo!G55*100)*1000000</f>
        <v>0</v>
      </c>
      <c r="BW55" s="43">
        <f>AI55/(Basicinfo!G55*100)*1000000</f>
        <v>192.60186950951217</v>
      </c>
      <c r="BX55" s="43">
        <f>AJ55/(Basicinfo!G55*100)*1000000</f>
        <v>42.000865270111184</v>
      </c>
      <c r="BY55" s="58">
        <f>AK55/(Basicinfo!G55*100)*1000000</f>
        <v>4.8168924609532855</v>
      </c>
      <c r="BZ55" s="58">
        <f>AL55/(Basicinfo!G55*100)*1000000</f>
        <v>116.63606727157919</v>
      </c>
      <c r="CA55" s="58">
        <f>AM55/(Basicinfo!G55*100)*1000000</f>
        <v>13.853522662425091</v>
      </c>
      <c r="CB55" s="58">
        <f>AN55/(Basicinfo!G55*100)*1000000</f>
        <v>17.534230962762251</v>
      </c>
      <c r="CC55" s="58">
        <f>AO55/(Basicinfo!G55*100)*1000000</f>
        <v>25.198888485740962</v>
      </c>
      <c r="CD55" s="58">
        <f t="shared" si="126"/>
        <v>432.56895260505627</v>
      </c>
      <c r="CE55" s="58">
        <f>AQ55/(Basicinfo!G55*100)*1000000</f>
        <v>58.860020987011936</v>
      </c>
      <c r="CF55" s="43">
        <f t="shared" si="140"/>
        <v>491.42897359206819</v>
      </c>
      <c r="CG55" s="84"/>
      <c r="CH55" s="84">
        <f t="shared" si="8"/>
        <v>2.9462612666666663</v>
      </c>
      <c r="CI55" s="146">
        <f t="shared" si="152"/>
        <v>3.1543411061805378</v>
      </c>
      <c r="CJ55" s="200">
        <f>Intermediate!EW55+Intermediate!EY55+Intermediate!FD55</f>
        <v>8.1007312844061889</v>
      </c>
      <c r="CK55" s="180">
        <f>Intermediate!FA55+Intermediate!FF55</f>
        <v>6.6870757909414857</v>
      </c>
      <c r="CL55" s="180">
        <f t="shared" si="141"/>
        <v>5.1439417163648855</v>
      </c>
      <c r="CM55" s="180">
        <f t="shared" si="142"/>
        <v>38.994724642631077</v>
      </c>
      <c r="CN55" s="202">
        <f>Intermediate!EX55+Intermediate!EZ55+Intermediate!FE55</f>
        <v>5.5358068038037711</v>
      </c>
      <c r="CO55" s="180">
        <f>Intermediate!FB55+Intermediate!FG55</f>
        <v>4.5221153282628368</v>
      </c>
      <c r="CP55" s="213">
        <f>Intermediate!EP55+Intermediate!EQ55+Intermediate!ER55+Intermediate!ES55+Intermediate!ET55+Intermediate!EU55+Intermediate!EV55+W55</f>
        <v>12.71996211006145</v>
      </c>
      <c r="CQ55" s="212">
        <f t="shared" si="12"/>
        <v>10.057922132066608</v>
      </c>
      <c r="CR55" s="212">
        <f t="shared" si="13"/>
        <v>58.926473434343634</v>
      </c>
      <c r="CS55" s="211">
        <f t="shared" si="143"/>
        <v>3.4899359999328494</v>
      </c>
      <c r="CT55" s="212">
        <f t="shared" si="15"/>
        <v>85.194293676404541</v>
      </c>
      <c r="CU55" s="84"/>
      <c r="CV55" s="31">
        <f t="shared" si="16"/>
        <v>87.804960049318893</v>
      </c>
      <c r="CW55" s="31">
        <f>CH55/Basicinfo!$G55*1000/100</f>
        <v>0.28080859764788424</v>
      </c>
      <c r="CX55" s="31">
        <f>CI55/Basicinfo!$G55*1000/100</f>
        <v>0.30064071796720471</v>
      </c>
      <c r="CY55" s="31">
        <f>CS55/Basicinfo!$G55*1000/100</f>
        <v>0.33262631699013051</v>
      </c>
      <c r="CZ55" s="31">
        <f>CN55/Basicinfo!$G55*1000/100</f>
        <v>0.52761856628705628</v>
      </c>
      <c r="DA55" s="31">
        <f>CO55/Basicinfo!$G55*1000/100</f>
        <v>0.43100348163222035</v>
      </c>
      <c r="DB55" s="31">
        <f>CQ55/Basicinfo!$G55*1000/100</f>
        <v>0.95862204791927663</v>
      </c>
      <c r="DC55" s="31">
        <f>CJ55/Basicinfo!$G55*1000/100</f>
        <v>0.77208189838169117</v>
      </c>
      <c r="DD55" s="31">
        <f>CK55/Basicinfo!$G55*1000/100</f>
        <v>0.63734618394650466</v>
      </c>
      <c r="DE55" s="31">
        <f>CM55/Basicinfo!$G55*1000/100</f>
        <v>3.7165929805509985</v>
      </c>
      <c r="DF55" s="31">
        <f>CR55/Basicinfo!$G55*1000/100</f>
        <v>5.6162909096498126</v>
      </c>
      <c r="DG55" s="31">
        <f>CP55/Basicinfo!$G55*1000/100</f>
        <v>1.212341472452549</v>
      </c>
      <c r="DH55" s="31">
        <f>CT55/Basicinfo!$G55*1000/100</f>
        <v>8.1198807470117682</v>
      </c>
      <c r="DI55" s="31">
        <f>CV55/Basicinfo!$G55*1000/100</f>
        <v>8.3687037456367257</v>
      </c>
      <c r="DJ55" s="31"/>
      <c r="DK55" s="188">
        <f t="shared" si="17"/>
        <v>3.4582847506870809</v>
      </c>
      <c r="DL55" s="188">
        <f t="shared" si="18"/>
        <v>3.7025262726653323</v>
      </c>
      <c r="DM55" s="188">
        <f t="shared" si="19"/>
        <v>4.0964433758776782</v>
      </c>
      <c r="DN55" s="188">
        <f t="shared" si="20"/>
        <v>6.4978610243903816</v>
      </c>
      <c r="DO55" s="188">
        <f t="shared" si="21"/>
        <v>5.3080026057135843</v>
      </c>
      <c r="DP55" s="188">
        <f t="shared" si="22"/>
        <v>11.805863630103968</v>
      </c>
      <c r="DQ55" s="188">
        <f t="shared" si="23"/>
        <v>9.5085374088262107</v>
      </c>
      <c r="DR55" s="188">
        <f t="shared" si="24"/>
        <v>7.8492062113234491</v>
      </c>
      <c r="DS55" s="188">
        <f t="shared" si="25"/>
        <v>45.771521729783501</v>
      </c>
      <c r="DT55" s="188">
        <f t="shared" si="26"/>
        <v>69.167160019150373</v>
      </c>
      <c r="DU55" s="188">
        <f t="shared" si="27"/>
        <v>14.930532974867985</v>
      </c>
      <c r="DV55" s="188">
        <f t="shared" si="28"/>
        <v>100</v>
      </c>
      <c r="DW55" s="188">
        <f t="shared" si="29"/>
        <v>103.06436764747473</v>
      </c>
      <c r="DY55" s="181">
        <f t="shared" si="30"/>
        <v>0.61756300000000008</v>
      </c>
      <c r="DZ55" s="181">
        <f t="shared" si="127"/>
        <v>0.59371056747775153</v>
      </c>
      <c r="EA55" s="185">
        <f t="shared" si="31"/>
        <v>5.0539135205542991E-2</v>
      </c>
      <c r="EB55" s="185">
        <f>AG55+AH55+AL55-Intermediate!FJ55-Intermediate!FM55</f>
        <v>1.2348210538464719</v>
      </c>
      <c r="EC55" s="185">
        <f>AI55+AJ55-Intermediate!FK55</f>
        <v>1.9431807731103896</v>
      </c>
      <c r="ED55" s="240">
        <f t="shared" si="32"/>
        <v>2.1687795225179836E-2</v>
      </c>
      <c r="EE55" s="240">
        <f>Intermediate!FJ55+Intermediate!FK55+Intermediate!FM55</f>
        <v>0.6946010221825063</v>
      </c>
      <c r="EF55" s="240">
        <f t="shared" si="33"/>
        <v>3.2285409621624046</v>
      </c>
      <c r="EG55" s="240">
        <f t="shared" si="34"/>
        <v>1.2112735674777517</v>
      </c>
      <c r="EH55" s="240">
        <f t="shared" si="35"/>
        <v>5.1561033470478419</v>
      </c>
      <c r="EI55" s="181">
        <f t="shared" si="36"/>
        <v>5.1561033470478428</v>
      </c>
      <c r="EK55" s="31">
        <f>DY55/Basicinfo!$G55*1000/100</f>
        <v>5.8860020987011936E-2</v>
      </c>
      <c r="EL55" s="31">
        <f>DZ55/Basicinfo!$G55*1000/100</f>
        <v>5.6586642110928294E-2</v>
      </c>
      <c r="EM55" s="220">
        <f>EG55/Basicinfo!$G55*1000/100</f>
        <v>0.11544666309794024</v>
      </c>
      <c r="EN55" s="220">
        <f>ED55/Basicinfo!$G55*1000/100</f>
        <v>2.0670669747314884E-3</v>
      </c>
      <c r="EO55" s="220">
        <f>EF55/Basicinfo!$G55*1000/100</f>
        <v>0.30771271722934634</v>
      </c>
      <c r="EP55" s="220">
        <f>EE55/Basicinfo!$G55*1000/100</f>
        <v>6.6202526290050176E-2</v>
      </c>
      <c r="EQ55" s="220">
        <f>EH55/Basicinfo!$G55*1000/100</f>
        <v>0.49142897359206811</v>
      </c>
      <c r="ER55" s="31">
        <f>EI55/Basicinfo!$G55*1000/100</f>
        <v>0.49142897359206827</v>
      </c>
      <c r="ET55" s="188">
        <f t="shared" si="37"/>
        <v>11.977320050297081</v>
      </c>
      <c r="EU55" s="188">
        <f t="shared" si="38"/>
        <v>11.514714262228354</v>
      </c>
      <c r="EV55" s="223">
        <f t="shared" si="39"/>
        <v>23.492034312525437</v>
      </c>
      <c r="EW55" s="223">
        <f t="shared" si="40"/>
        <v>0.4206237494754117</v>
      </c>
      <c r="EX55" s="223">
        <f t="shared" si="41"/>
        <v>62.615908659218874</v>
      </c>
      <c r="EY55" s="223">
        <f t="shared" si="42"/>
        <v>13.471433278780268</v>
      </c>
      <c r="EZ55" s="223">
        <f t="shared" si="43"/>
        <v>99.999999999999972</v>
      </c>
      <c r="FA55" s="188">
        <f t="shared" si="44"/>
        <v>100</v>
      </c>
      <c r="FC55" s="236">
        <f>Basicinfo!CT55</f>
        <v>5.7033064516129039</v>
      </c>
      <c r="FD55" s="181">
        <f>IF((Intermediate!CL55+Intermediate!CM55*3)/4&gt;11,(Intermediate!CL55+Intermediate!CM55*9)/10,(Intermediate!CL55+Intermediate!CM55*3)/4)</f>
        <v>3.368999405302636</v>
      </c>
      <c r="FF55" s="31">
        <f t="shared" si="45"/>
        <v>2.1687795225179836E-2</v>
      </c>
      <c r="FG55" s="31">
        <f t="shared" si="46"/>
        <v>0.18738349865679352</v>
      </c>
      <c r="FH55" s="31">
        <f t="shared" si="47"/>
        <v>0</v>
      </c>
      <c r="FI55" s="31">
        <f>(AI55-(P55*450/1000000))*Parameters!$C$153</f>
        <v>1.3398667721501338</v>
      </c>
      <c r="FJ55" s="31"/>
      <c r="FK55" s="31">
        <f t="shared" si="48"/>
        <v>5.0539135205542991E-2</v>
      </c>
      <c r="FL55" s="31">
        <f t="shared" si="49"/>
        <v>1.2237528700224631</v>
      </c>
      <c r="FM55" s="31">
        <f>AM55*Parameters!$C$154</f>
        <v>0.13081681904389336</v>
      </c>
      <c r="FN55" s="31">
        <f>AN55*Parameters!$C$154</f>
        <v>0.16557321735582098</v>
      </c>
      <c r="FO55" s="31">
        <f>AO55*Parameters!$C$154</f>
        <v>0.23794947433026206</v>
      </c>
      <c r="FP55" s="31">
        <f>AQ55*Parameters!$C$155</f>
        <v>0.61756300000000008</v>
      </c>
      <c r="FQ55" s="31">
        <f t="shared" si="50"/>
        <v>3.9751325819900902</v>
      </c>
      <c r="FS55" s="147">
        <f>DY55*Parameters!$C$155</f>
        <v>0.61756300000000008</v>
      </c>
      <c r="FT55" s="147">
        <f>DZ55*Parameters!$C$154</f>
        <v>0.53433951072997643</v>
      </c>
      <c r="FU55" s="181">
        <f t="shared" si="51"/>
        <v>5.0539135205542991E-2</v>
      </c>
      <c r="FV55" s="181">
        <f t="shared" si="52"/>
        <v>1.2348210538464719</v>
      </c>
      <c r="FW55" s="31">
        <f t="shared" si="53"/>
        <v>1.3398667721501347</v>
      </c>
      <c r="FX55" s="181">
        <f t="shared" si="54"/>
        <v>2.1687795225179836E-2</v>
      </c>
      <c r="FY55" s="147">
        <f>Intermediate!FJ55+Intermediate!FM55</f>
        <v>0.17631531483278456</v>
      </c>
      <c r="FZ55" s="181">
        <f t="shared" si="55"/>
        <v>2.6252269612021495</v>
      </c>
      <c r="GA55" s="147">
        <f t="shared" si="56"/>
        <v>1.1519025107299765</v>
      </c>
      <c r="GB55" s="181">
        <f t="shared" si="57"/>
        <v>3.9751325819900902</v>
      </c>
      <c r="GD55" s="147">
        <f>IF('River loads'!CH55&gt;0.99,1,0)</f>
        <v>1</v>
      </c>
      <c r="GE55" s="147">
        <f t="shared" si="58"/>
        <v>2.1687795225179836E-2</v>
      </c>
      <c r="GF55" s="147">
        <f t="shared" si="59"/>
        <v>0.18738349865679352</v>
      </c>
      <c r="GG55" s="147">
        <f t="shared" si="60"/>
        <v>0</v>
      </c>
      <c r="GH55" s="147">
        <f t="shared" si="61"/>
        <v>2.0207907905121041</v>
      </c>
      <c r="GI55" s="147">
        <f t="shared" si="62"/>
        <v>0.44067568994800732</v>
      </c>
      <c r="GJ55" s="147">
        <f t="shared" si="63"/>
        <v>5.0539135205542991E-2</v>
      </c>
      <c r="GK55" s="147">
        <f t="shared" si="64"/>
        <v>1.2237528700224631</v>
      </c>
      <c r="GL55" s="147">
        <f t="shared" si="65"/>
        <v>0.14535202115988149</v>
      </c>
      <c r="GM55" s="270">
        <f t="shared" si="128"/>
        <v>0.18397024150646774</v>
      </c>
      <c r="GN55" s="270">
        <f t="shared" si="129"/>
        <v>0.2643883048114023</v>
      </c>
      <c r="GO55" s="147">
        <f t="shared" si="66"/>
        <v>0.61756300000000008</v>
      </c>
      <c r="GP55" s="147">
        <f t="shared" si="67"/>
        <v>5.1561033470478428</v>
      </c>
      <c r="GQ55" s="147"/>
      <c r="GR55" s="147">
        <f t="shared" si="68"/>
        <v>2.1687795225179836E-2</v>
      </c>
      <c r="GS55" s="147">
        <f t="shared" si="69"/>
        <v>0.18738349865679352</v>
      </c>
      <c r="GT55" s="147">
        <f t="shared" si="70"/>
        <v>0</v>
      </c>
      <c r="GU55" s="147">
        <f t="shared" si="71"/>
        <v>1.3398667721501338</v>
      </c>
      <c r="GV55" s="147">
        <f t="shared" si="72"/>
        <v>0</v>
      </c>
      <c r="GW55" s="147">
        <f t="shared" si="73"/>
        <v>5.0539135205542991E-2</v>
      </c>
      <c r="GX55" s="147">
        <f t="shared" si="74"/>
        <v>1.2237528700224631</v>
      </c>
      <c r="GY55" s="147">
        <f t="shared" si="75"/>
        <v>0.13081681904389336</v>
      </c>
      <c r="GZ55" s="147">
        <f t="shared" si="130"/>
        <v>0.16557321735582098</v>
      </c>
      <c r="HA55" s="147">
        <f t="shared" si="131"/>
        <v>0.23794947433026206</v>
      </c>
      <c r="HB55" s="147">
        <f t="shared" si="76"/>
        <v>0.61756300000000008</v>
      </c>
      <c r="HC55" s="147">
        <f t="shared" si="77"/>
        <v>3.9751325819900902</v>
      </c>
      <c r="HD55" s="147"/>
      <c r="HE55" s="147">
        <f t="shared" si="78"/>
        <v>0.61756300000000008</v>
      </c>
      <c r="HF55" s="147">
        <f t="shared" si="79"/>
        <v>0.59371056747775153</v>
      </c>
      <c r="HG55" s="147">
        <f t="shared" si="80"/>
        <v>5.0539135205542991E-2</v>
      </c>
      <c r="HH55" s="147">
        <f t="shared" si="81"/>
        <v>1.2348210538464719</v>
      </c>
      <c r="HI55" s="147">
        <f t="shared" si="82"/>
        <v>1.9431807731103896</v>
      </c>
      <c r="HJ55" s="147">
        <f t="shared" si="83"/>
        <v>2.1687795225179836E-2</v>
      </c>
      <c r="HK55" s="147">
        <f t="shared" si="84"/>
        <v>0.6946010221825063</v>
      </c>
      <c r="HL55" s="147">
        <f t="shared" si="85"/>
        <v>3.2285409621624046</v>
      </c>
      <c r="HM55" s="147">
        <f t="shared" si="86"/>
        <v>1.2112735674777517</v>
      </c>
      <c r="HN55" s="147">
        <f t="shared" si="87"/>
        <v>5.1561033470478419</v>
      </c>
      <c r="HO55" s="147">
        <f t="shared" si="88"/>
        <v>5.1561033470478428</v>
      </c>
      <c r="HQ55" s="147">
        <f t="shared" si="89"/>
        <v>0.61756300000000008</v>
      </c>
      <c r="HR55" s="147">
        <f t="shared" si="90"/>
        <v>0.53433951072997643</v>
      </c>
      <c r="HS55" s="147">
        <f t="shared" si="91"/>
        <v>5.0539135205542991E-2</v>
      </c>
      <c r="HT55" s="147">
        <f t="shared" si="92"/>
        <v>1.2348210538464719</v>
      </c>
      <c r="HU55" s="147">
        <f t="shared" si="93"/>
        <v>1.3398667721501347</v>
      </c>
      <c r="HV55" s="147">
        <f t="shared" si="94"/>
        <v>2.1687795225179836E-2</v>
      </c>
      <c r="HW55" s="147">
        <f t="shared" si="95"/>
        <v>0.17631531483278456</v>
      </c>
      <c r="HX55" s="147">
        <f t="shared" si="96"/>
        <v>2.6252269612021495</v>
      </c>
      <c r="HY55" s="147">
        <f t="shared" si="97"/>
        <v>1.1519025107299765</v>
      </c>
      <c r="HZ55" s="147">
        <f t="shared" si="98"/>
        <v>3.9751325819900902</v>
      </c>
      <c r="IB55" s="147">
        <f>IF('River loads'!CI55&gt;0.99,1,0)</f>
        <v>0</v>
      </c>
      <c r="IC55">
        <f t="shared" si="144"/>
        <v>0</v>
      </c>
      <c r="ID55">
        <f t="shared" si="145"/>
        <v>0</v>
      </c>
      <c r="IE55">
        <f t="shared" si="146"/>
        <v>0</v>
      </c>
      <c r="IF55">
        <f t="shared" si="147"/>
        <v>0</v>
      </c>
      <c r="IG55">
        <f t="shared" si="148"/>
        <v>0</v>
      </c>
      <c r="IH55">
        <f t="shared" si="149"/>
        <v>0</v>
      </c>
      <c r="II55">
        <f t="shared" si="150"/>
        <v>0</v>
      </c>
      <c r="IJ55">
        <f t="shared" si="151"/>
        <v>0</v>
      </c>
      <c r="IK55">
        <f t="shared" si="132"/>
        <v>0</v>
      </c>
      <c r="IL55">
        <f t="shared" si="133"/>
        <v>0</v>
      </c>
      <c r="IM55">
        <f t="shared" si="107"/>
        <v>0</v>
      </c>
      <c r="IN55">
        <f t="shared" si="108"/>
        <v>0</v>
      </c>
      <c r="IP55">
        <f t="shared" si="109"/>
        <v>0</v>
      </c>
      <c r="IQ55">
        <f t="shared" si="110"/>
        <v>0</v>
      </c>
      <c r="IR55">
        <f t="shared" si="111"/>
        <v>0</v>
      </c>
      <c r="IS55">
        <f t="shared" si="112"/>
        <v>0</v>
      </c>
      <c r="IT55">
        <f t="shared" si="113"/>
        <v>0</v>
      </c>
      <c r="IU55">
        <f t="shared" si="114"/>
        <v>0</v>
      </c>
      <c r="IV55">
        <f t="shared" si="115"/>
        <v>0</v>
      </c>
      <c r="IW55">
        <f t="shared" si="116"/>
        <v>0</v>
      </c>
      <c r="IX55">
        <f t="shared" si="117"/>
        <v>0</v>
      </c>
    </row>
    <row r="56" spans="1:258">
      <c r="A56" s="39" t="str">
        <f>Basicinfo!A56</f>
        <v>Klammbach</v>
      </c>
      <c r="B56" s="63">
        <f>Basicinfo!B56</f>
        <v>1620</v>
      </c>
      <c r="C56" s="63">
        <f>Basicinfo!C56</f>
        <v>1640</v>
      </c>
      <c r="D56" s="130">
        <f>Basicinfo!G56</f>
        <v>98.794377356799998</v>
      </c>
      <c r="E56" s="87">
        <f t="shared" si="118"/>
        <v>1.1829493162937501</v>
      </c>
      <c r="F56" s="19">
        <f>Intermediate!AR56</f>
        <v>2.7024908066628091E-3</v>
      </c>
      <c r="G56" s="19">
        <f>Intermediate!AU56</f>
        <v>0.20811501807666857</v>
      </c>
      <c r="H56" s="19">
        <f>Intermediate!AW56</f>
        <v>0</v>
      </c>
      <c r="I56" s="19">
        <f>Intermediate!AZ56</f>
        <v>8.7134731419517414E-3</v>
      </c>
      <c r="J56" s="19">
        <f>Intermediate!BA56</f>
        <v>0.93257694412089054</v>
      </c>
      <c r="K56" s="19">
        <f>Intermediate!AC56</f>
        <v>2.3838656741491712E-3</v>
      </c>
      <c r="L56" s="19">
        <f>Intermediate!AO56</f>
        <v>1.7422389687949003E-3</v>
      </c>
      <c r="M56" s="19">
        <f>Intermediate!AP56</f>
        <v>5.184287438929641E-3</v>
      </c>
      <c r="N56" s="19">
        <f t="shared" si="119"/>
        <v>1.1614183182280475</v>
      </c>
      <c r="O56" s="19">
        <f>Basicinfo!CB56+Basicinfo!CG56</f>
        <v>2.1530998065702685E-2</v>
      </c>
      <c r="P56" s="56">
        <f>Intermediate!BK56-Intermediate!BI56</f>
        <v>383.2515315333336</v>
      </c>
      <c r="Q56" s="43">
        <f>Intermediate!BI56</f>
        <v>662.34156756583332</v>
      </c>
      <c r="R56" s="88">
        <f t="shared" si="134"/>
        <v>1045.5930990991669</v>
      </c>
      <c r="S56" s="61">
        <f>Intermediate!F56*Intermediate!BO56/1000</f>
        <v>0.56328467754937017</v>
      </c>
      <c r="T56" s="19">
        <f>Intermediate!BU56*Intermediate!AU56*86.4*0.365</f>
        <v>10.564604741850815</v>
      </c>
      <c r="U56" s="19">
        <f>Intermediate!AW56*Intermediate!BS56*0.365*86.4</f>
        <v>0</v>
      </c>
      <c r="V56" s="19">
        <f>(Basicinfo!BL56/1000000)*(Intermediate!BK56-Intermediate!BF56-Intermediate!BG56-Intermediate!BH56)*Intermediate!CV56</f>
        <v>2.5055821422613116</v>
      </c>
      <c r="W56" s="19">
        <f>Intermediate!BI56*Parameters!$C$51/1000000</f>
        <v>1.6558539189145832E-2</v>
      </c>
      <c r="X56" s="19">
        <f>Intermediate!AZ56*Intermediate!CG56*86.4*0.365</f>
        <v>4.9679735301458647</v>
      </c>
      <c r="Y56" s="19">
        <f>Intermediate!CM56*Intermediate!BA56*86.4*0.365+Parameters!$C$126*Intermediate!BB56*Basicinfo!P56/1000+Parameters!$C$127*Intermediate!BB56*Basicinfo!S56/1000</f>
        <v>48.994282965749939</v>
      </c>
      <c r="Z56" s="19">
        <f>Intermediate!DG56</f>
        <v>0.21677652706140998</v>
      </c>
      <c r="AA56" s="19">
        <f>Intermediate!DI56</f>
        <v>0.41206574917212979</v>
      </c>
      <c r="AB56" s="19">
        <f>Intermediate!DK56</f>
        <v>0.90455141348455537</v>
      </c>
      <c r="AC56" s="19">
        <f t="shared" si="120"/>
        <v>69.14568028646454</v>
      </c>
      <c r="AD56" s="19">
        <f>Basicinfo!CC56+Basicinfo!CE56+Basicinfo!CH56+Basicinfo!CJ56</f>
        <v>3.1466197666666673</v>
      </c>
      <c r="AE56" s="87">
        <f t="shared" si="135"/>
        <v>72.292300053131214</v>
      </c>
      <c r="AF56" s="56">
        <f>Intermediate!F56*Basicinfo!BD56/1000</f>
        <v>1.393392781795557E-2</v>
      </c>
      <c r="AG56" s="43">
        <f>Intermediate!CA56*Intermediate!AU56*86.4*0.365</f>
        <v>0.21279064428701036</v>
      </c>
      <c r="AH56" s="43">
        <f>Intermediate!AW56*Intermediate!BZ56*0.365*86.4</f>
        <v>0</v>
      </c>
      <c r="AI56" s="43">
        <f>(Intermediate!CU56/1000000)*(Intermediate!BK56-Intermediate!BF56-Intermediate!BG56-Intermediate!BH56)*Intermediate!CW56</f>
        <v>1.6513531229857261</v>
      </c>
      <c r="AJ56" s="43">
        <f>Intermediate!BF56*Parameters!$C$52/1000000+(Intermediate!BG56+Intermediate!BH56)*Intermediate!CX56/1000000</f>
        <v>0.298053705404625</v>
      </c>
      <c r="AK56" s="43">
        <f>Intermediate!AZ56*Intermediate!CH56*86.4*0.365</f>
        <v>2.2397004662989314E-2</v>
      </c>
      <c r="AL56" s="58">
        <f>Intermediate!CR56*Intermediate!BA56*86.4*0.365</f>
        <v>0.70762401527069985</v>
      </c>
      <c r="AM56" s="43">
        <f>Intermediate!DH56</f>
        <v>6.3470378867056018E-2</v>
      </c>
      <c r="AN56" s="42">
        <f>Intermediate!DJ56</f>
        <v>8.6580023586054738E-2</v>
      </c>
      <c r="AO56" s="42">
        <f>Intermediate!DL56</f>
        <v>0.14689179500961813</v>
      </c>
      <c r="AP56" s="42">
        <f t="shared" si="122"/>
        <v>3.2030946178917352</v>
      </c>
      <c r="AQ56" s="43">
        <f>Basicinfo!CD56+Basicinfo!CF56+Basicinfo!CI56+Basicinfo!CK56</f>
        <v>0.45692200000000005</v>
      </c>
      <c r="AR56" s="83">
        <f t="shared" si="136"/>
        <v>3.6600166178917353</v>
      </c>
      <c r="AS56" s="19">
        <f>F56*86400*365/(Basicinfo!G56*1000000)*1000</f>
        <v>0.86265789976206841</v>
      </c>
      <c r="AT56" s="19">
        <f>G56*86400*365/(Basicinfo!G56*1000000)*1000</f>
        <v>66.432072205514871</v>
      </c>
      <c r="AU56" s="19">
        <f>H56*86400*365/(Basicinfo!G56*1000000)*1000</f>
        <v>0</v>
      </c>
      <c r="AV56" s="19">
        <f>I56*86400*365/(Basicinfo!G56*1000000)*1000</f>
        <v>2.7814142500456427</v>
      </c>
      <c r="AW56" s="19">
        <f>J56*86400*365/(Basicinfo!G56*1000000)*1000</f>
        <v>297.6864402270777</v>
      </c>
      <c r="AX56" s="53">
        <f>K56*86400*365/(Basicinfo!G56*1000000)*1000</f>
        <v>0.76095006529026721</v>
      </c>
      <c r="AY56" s="53">
        <f>L56*86400*365/(Basicinfo!G56*1000000)*1000</f>
        <v>0.55613739961623676</v>
      </c>
      <c r="AZ56" s="53">
        <f>M56*86400*365/(Basicinfo!G56*1000000)*1000</f>
        <v>1.654868354335876</v>
      </c>
      <c r="BA56" s="19">
        <f t="shared" si="123"/>
        <v>370.73454040164268</v>
      </c>
      <c r="BB56" s="19">
        <f>O56*86400*365/(Basicinfo!G56*1000000)*1000</f>
        <v>6.8728765053881311</v>
      </c>
      <c r="BC56" s="53">
        <f t="shared" si="137"/>
        <v>377.60741690703082</v>
      </c>
      <c r="BD56" s="56">
        <f>P56/(Basicinfo!G56*100)*1000</f>
        <v>38.792848519020957</v>
      </c>
      <c r="BE56" s="43">
        <f>Q56/(Basicinfo!G56*100)*1000</f>
        <v>67.042435540006409</v>
      </c>
      <c r="BF56" s="58">
        <f t="shared" si="138"/>
        <v>105.83528405902737</v>
      </c>
      <c r="BG56" s="61">
        <f>S56/(Basicinfo!G56*100)*1000000</f>
        <v>57.015863920579626</v>
      </c>
      <c r="BH56" s="19">
        <f>T56/(Basicinfo!G56*100)*1000000</f>
        <v>1069.3528340885541</v>
      </c>
      <c r="BI56" s="19">
        <f>U56/(Basicinfo!G56*100)*1000000</f>
        <v>0</v>
      </c>
      <c r="BJ56" s="19">
        <f>V56/(Basicinfo!G56*100)*1000000</f>
        <v>253.61586451547723</v>
      </c>
      <c r="BK56" s="19">
        <f>W56/(Basicinfo!G56*100)*1000000</f>
        <v>1.6760608885001602</v>
      </c>
      <c r="BL56" s="19">
        <f>X56/(Basicinfo!G56*100)*1000000</f>
        <v>502.85994639187027</v>
      </c>
      <c r="BM56" s="19">
        <f>Y56/(Basicinfo!G56*100)*1000000</f>
        <v>4959.2177486786577</v>
      </c>
      <c r="BN56" s="53">
        <f>Z56/(Basicinfo!G56*100)*1000000</f>
        <v>21.942192750353854</v>
      </c>
      <c r="BO56" s="53">
        <f>AA56/(Basicinfo!G56*100)*1000000</f>
        <v>41.70943328929917</v>
      </c>
      <c r="BP56" s="53">
        <f>AB56/(Basicinfo!G56*100)*1000000</f>
        <v>91.558997352423248</v>
      </c>
      <c r="BQ56" s="19">
        <f t="shared" si="125"/>
        <v>6998.9489418757148</v>
      </c>
      <c r="BR56" s="19">
        <f>AD56/(Basicinfo!G56*100)*1000000</f>
        <v>318.50190778595822</v>
      </c>
      <c r="BS56" s="53">
        <f t="shared" si="139"/>
        <v>7317.4508496616727</v>
      </c>
      <c r="BT56" s="56">
        <f>AF56/(Basicinfo!G56*100)*1000000</f>
        <v>1.4103968455241751</v>
      </c>
      <c r="BU56" s="43">
        <f>AG56/(Basicinfo!G56*100)*1000000</f>
        <v>21.538740359535659</v>
      </c>
      <c r="BV56" s="43">
        <f>AH56/(Basicinfo!G56*100)*1000000</f>
        <v>0</v>
      </c>
      <c r="BW56" s="43">
        <f>AI56/(Basicinfo!G56*100)*1000000</f>
        <v>167.15051677706271</v>
      </c>
      <c r="BX56" s="43">
        <f>AJ56/(Basicinfo!G56*100)*1000000</f>
        <v>30.169095993002887</v>
      </c>
      <c r="BY56" s="58">
        <f>AK56/(Basicinfo!G56*100)*1000000</f>
        <v>2.2670323212931036</v>
      </c>
      <c r="BZ56" s="58">
        <f>AL56/(Basicinfo!G56*100)*1000000</f>
        <v>71.625940079068087</v>
      </c>
      <c r="CA56" s="58">
        <f>AM56/(Basicinfo!G56*100)*1000000</f>
        <v>6.4244930293785956</v>
      </c>
      <c r="CB56" s="58">
        <f>AN56/(Basicinfo!G56*100)*1000000</f>
        <v>8.7636590160761259</v>
      </c>
      <c r="CC56" s="58">
        <f>AO56/(Basicinfo!G56*100)*1000000</f>
        <v>14.868436741001192</v>
      </c>
      <c r="CD56" s="58">
        <f t="shared" si="126"/>
        <v>324.21831116194249</v>
      </c>
      <c r="CE56" s="58">
        <f>AQ56/(Basicinfo!G56*100)*1000000</f>
        <v>46.249798037575282</v>
      </c>
      <c r="CF56" s="43">
        <f t="shared" si="140"/>
        <v>370.46810919951776</v>
      </c>
      <c r="CG56" s="84"/>
      <c r="CH56" s="84">
        <f t="shared" si="8"/>
        <v>3.1466197666666673</v>
      </c>
      <c r="CI56" s="146">
        <f t="shared" si="152"/>
        <v>1.5333936897180951</v>
      </c>
      <c r="CJ56" s="200">
        <f>Intermediate!EW56+Intermediate!EY56+Intermediate!FD56</f>
        <v>8.986898107698547</v>
      </c>
      <c r="CK56" s="180">
        <f>Intermediate!FA56+Intermediate!FF56</f>
        <v>5.8823536028328913</v>
      </c>
      <c r="CL56" s="180">
        <f t="shared" si="141"/>
        <v>4.9679735301458647</v>
      </c>
      <c r="CM56" s="180">
        <f t="shared" si="142"/>
        <v>25.966836224298884</v>
      </c>
      <c r="CN56" s="202">
        <f>Intermediate!EX56+Intermediate!EZ56+Intermediate!FE56</f>
        <v>6.1382675264195923</v>
      </c>
      <c r="CO56" s="180">
        <f>Intermediate!FB56+Intermediate!FG56</f>
        <v>3.953286784929722</v>
      </c>
      <c r="CP56" s="213">
        <f>Intermediate!EP56+Intermediate!EQ56+Intermediate!ER56+Intermediate!ES56+Intermediate!ET56+Intermediate!EU56+Intermediate!EV56+W56</f>
        <v>11.716670820420948</v>
      </c>
      <c r="CQ56" s="212">
        <f t="shared" si="12"/>
        <v>10.091554311349315</v>
      </c>
      <c r="CR56" s="212">
        <f t="shared" si="13"/>
        <v>45.804061464976179</v>
      </c>
      <c r="CS56" s="211">
        <f t="shared" si="143"/>
        <v>3.3633962937280772</v>
      </c>
      <c r="CT56" s="212">
        <f t="shared" si="15"/>
        <v>70.975682890474516</v>
      </c>
      <c r="CU56" s="84"/>
      <c r="CV56" s="31">
        <f t="shared" si="16"/>
        <v>72.292300053131214</v>
      </c>
      <c r="CW56" s="31">
        <f>CH56/Basicinfo!$G56*1000/100</f>
        <v>0.31850190778595822</v>
      </c>
      <c r="CX56" s="31">
        <f>CI56/Basicinfo!$G56*1000/100</f>
        <v>0.15521062339207625</v>
      </c>
      <c r="CY56" s="31">
        <f>CS56/Basicinfo!$G56*1000/100</f>
        <v>0.34044410053631213</v>
      </c>
      <c r="CZ56" s="31">
        <f>CN56/Basicinfo!$G56*1000/100</f>
        <v>0.62131749707283279</v>
      </c>
      <c r="DA56" s="31">
        <f>CO56/Basicinfo!$G56*1000/100</f>
        <v>0.40015301383521679</v>
      </c>
      <c r="DB56" s="31">
        <f>CQ56/Basicinfo!$G56*1000/100</f>
        <v>1.0214705109080497</v>
      </c>
      <c r="DC56" s="31">
        <f>CJ56/Basicinfo!$G56*1000/100</f>
        <v>0.9096568396035325</v>
      </c>
      <c r="DD56" s="31">
        <f>CK56/Basicinfo!$G56*1000/100</f>
        <v>0.59541380392413701</v>
      </c>
      <c r="DE56" s="31">
        <f>CM56/Basicinfo!$G56*1000/100</f>
        <v>2.6283718688279776</v>
      </c>
      <c r="DF56" s="31">
        <f>CR56/Basicinfo!$G56*1000/100</f>
        <v>4.636302458747517</v>
      </c>
      <c r="DG56" s="31">
        <f>CP56/Basicinfo!$G56*1000/100</f>
        <v>1.1859653488280719</v>
      </c>
      <c r="DH56" s="31">
        <f>CT56/Basicinfo!$G56*1000/100</f>
        <v>7.1841824190199501</v>
      </c>
      <c r="DI56" s="31">
        <f>CV56/Basicinfo!$G56*1000/100</f>
        <v>7.3174508496616726</v>
      </c>
      <c r="DJ56" s="31"/>
      <c r="DK56" s="188">
        <f t="shared" si="17"/>
        <v>4.4333772336116093</v>
      </c>
      <c r="DL56" s="188">
        <f t="shared" si="18"/>
        <v>2.1604493641636919</v>
      </c>
      <c r="DM56" s="188">
        <f t="shared" si="19"/>
        <v>4.7388008917339643</v>
      </c>
      <c r="DN56" s="188">
        <f t="shared" si="20"/>
        <v>8.648409252915263</v>
      </c>
      <c r="DO56" s="188">
        <f t="shared" si="21"/>
        <v>5.5699172222551221</v>
      </c>
      <c r="DP56" s="188">
        <f t="shared" si="22"/>
        <v>14.218326475170384</v>
      </c>
      <c r="DQ56" s="188">
        <f t="shared" si="23"/>
        <v>12.661939613270926</v>
      </c>
      <c r="DR56" s="188">
        <f t="shared" si="24"/>
        <v>8.287843615270587</v>
      </c>
      <c r="DS56" s="188">
        <f t="shared" si="25"/>
        <v>36.585539112556866</v>
      </c>
      <c r="DT56" s="188">
        <f t="shared" si="26"/>
        <v>64.534865463229579</v>
      </c>
      <c r="DU56" s="188">
        <f t="shared" si="27"/>
        <v>16.508007169866083</v>
      </c>
      <c r="DV56" s="188">
        <f t="shared" si="28"/>
        <v>100</v>
      </c>
      <c r="DW56" s="188">
        <f t="shared" si="29"/>
        <v>101.85502570604135</v>
      </c>
      <c r="DY56" s="181">
        <f t="shared" si="30"/>
        <v>0.45692200000000005</v>
      </c>
      <c r="DZ56" s="181">
        <f t="shared" si="127"/>
        <v>0.29694219746272887</v>
      </c>
      <c r="EA56" s="185">
        <f t="shared" si="31"/>
        <v>2.2397004662989314E-2</v>
      </c>
      <c r="EB56" s="185">
        <f>AG56+AH56+AL56-Intermediate!FJ56-Intermediate!FM56</f>
        <v>0.72852327034888298</v>
      </c>
      <c r="EC56" s="185">
        <f>AI56+AJ56-Intermediate!FK56</f>
        <v>1.5791646430871573</v>
      </c>
      <c r="ED56" s="240">
        <f t="shared" si="32"/>
        <v>1.393392781795557E-2</v>
      </c>
      <c r="EE56" s="240">
        <f>Intermediate!FJ56+Intermediate!FK56+Intermediate!FM56</f>
        <v>0.56213357451202117</v>
      </c>
      <c r="EF56" s="240">
        <f t="shared" si="33"/>
        <v>2.3300849180990295</v>
      </c>
      <c r="EG56" s="240">
        <f t="shared" si="34"/>
        <v>0.75386419746272892</v>
      </c>
      <c r="EH56" s="240">
        <f t="shared" si="35"/>
        <v>3.6600166178917353</v>
      </c>
      <c r="EI56" s="181">
        <f t="shared" si="36"/>
        <v>3.6600166178917353</v>
      </c>
      <c r="EK56" s="31">
        <f>DY56/Basicinfo!$G56*1000/100</f>
        <v>4.6249798037575278E-2</v>
      </c>
      <c r="EL56" s="31">
        <f>DZ56/Basicinfo!$G56*1000/100</f>
        <v>3.0056588786455913E-2</v>
      </c>
      <c r="EM56" s="220">
        <f>EG56/Basicinfo!$G56*1000/100</f>
        <v>7.6306386824031194E-2</v>
      </c>
      <c r="EN56" s="220">
        <f>ED56/Basicinfo!$G56*1000/100</f>
        <v>1.4103968455241749E-3</v>
      </c>
      <c r="EO56" s="220">
        <f>EF56/Basicinfo!$G56*1000/100</f>
        <v>0.23585197664476706</v>
      </c>
      <c r="EP56" s="220">
        <f>EE56/Basicinfo!$G56*1000/100</f>
        <v>5.6899348885195399E-2</v>
      </c>
      <c r="EQ56" s="220">
        <f>EH56/Basicinfo!$G56*1000/100</f>
        <v>0.37046810919951784</v>
      </c>
      <c r="ER56" s="31">
        <f>EI56/Basicinfo!$G56*1000/100</f>
        <v>0.37046810919951784</v>
      </c>
      <c r="ET56" s="188">
        <f t="shared" si="37"/>
        <v>12.484150967139568</v>
      </c>
      <c r="EU56" s="188">
        <f t="shared" si="38"/>
        <v>8.1131379571105686</v>
      </c>
      <c r="EV56" s="223">
        <f t="shared" si="39"/>
        <v>20.597288924250137</v>
      </c>
      <c r="EW56" s="223">
        <f t="shared" si="40"/>
        <v>0.38070668176315203</v>
      </c>
      <c r="EX56" s="223">
        <f t="shared" si="41"/>
        <v>63.663233295405611</v>
      </c>
      <c r="EY56" s="223">
        <f t="shared" si="42"/>
        <v>15.358771098581094</v>
      </c>
      <c r="EZ56" s="223">
        <f t="shared" si="43"/>
        <v>100</v>
      </c>
      <c r="FA56" s="188">
        <f t="shared" si="44"/>
        <v>100</v>
      </c>
      <c r="FC56" s="236"/>
      <c r="FD56" s="181">
        <f>IF((Intermediate!CL56+Intermediate!CM56*3)/4&gt;11,(Intermediate!CL56+Intermediate!CM56*9)/10,(Intermediate!CL56+Intermediate!CM56*3)/4)</f>
        <v>2.5017851208426247</v>
      </c>
      <c r="FF56" s="31">
        <f t="shared" si="45"/>
        <v>1.393392781795557E-2</v>
      </c>
      <c r="FG56" s="31">
        <f t="shared" si="46"/>
        <v>0.21279064428701036</v>
      </c>
      <c r="FH56" s="31">
        <f t="shared" si="47"/>
        <v>0</v>
      </c>
      <c r="FI56" s="31">
        <f>(AI56-(P56*450/1000000))*Parameters!$C$153</f>
        <v>1.1831119470365807</v>
      </c>
      <c r="FJ56" s="31"/>
      <c r="FK56" s="31">
        <f t="shared" si="48"/>
        <v>2.2397004662989314E-2</v>
      </c>
      <c r="FL56" s="31">
        <f t="shared" si="49"/>
        <v>0.70762401527069985</v>
      </c>
      <c r="FM56" s="31">
        <f>AM56*Parameters!$C$154</f>
        <v>5.7123340980350421E-2</v>
      </c>
      <c r="FN56" s="31">
        <f>AN56*Parameters!$C$154</f>
        <v>7.7922021227449262E-2</v>
      </c>
      <c r="FO56" s="31">
        <f>AO56*Parameters!$C$154</f>
        <v>0.13220261550865633</v>
      </c>
      <c r="FP56" s="31">
        <f>AQ56*Parameters!$C$155</f>
        <v>0.45692200000000005</v>
      </c>
      <c r="FQ56" s="31">
        <f t="shared" si="50"/>
        <v>2.8640275167916922</v>
      </c>
      <c r="FS56" s="147">
        <f>DY56*Parameters!$C$155</f>
        <v>0.45692200000000005</v>
      </c>
      <c r="FT56" s="147">
        <f>DZ56*Parameters!$C$154</f>
        <v>0.26724797771645598</v>
      </c>
      <c r="FU56" s="181">
        <f t="shared" si="51"/>
        <v>2.2397004662989314E-2</v>
      </c>
      <c r="FV56" s="181">
        <f t="shared" si="52"/>
        <v>0.72852327034888298</v>
      </c>
      <c r="FW56" s="31">
        <f t="shared" si="53"/>
        <v>1.1831119470365812</v>
      </c>
      <c r="FX56" s="181">
        <f t="shared" si="54"/>
        <v>1.393392781795557E-2</v>
      </c>
      <c r="FY56" s="147">
        <f>Intermediate!FJ56+Intermediate!FM56</f>
        <v>0.1918913892088272</v>
      </c>
      <c r="FZ56" s="181">
        <f t="shared" si="55"/>
        <v>1.9340322220484536</v>
      </c>
      <c r="GA56" s="147">
        <f t="shared" si="56"/>
        <v>0.72416997771645608</v>
      </c>
      <c r="GB56" s="181">
        <f t="shared" si="57"/>
        <v>2.8640275167916927</v>
      </c>
      <c r="GD56" s="147">
        <f>IF('River loads'!CH56&gt;0.99,1,0)</f>
        <v>1</v>
      </c>
      <c r="GE56" s="147">
        <f t="shared" si="58"/>
        <v>1.393392781795557E-2</v>
      </c>
      <c r="GF56" s="147">
        <f t="shared" si="59"/>
        <v>0.21279064428701036</v>
      </c>
      <c r="GG56" s="147">
        <f t="shared" si="60"/>
        <v>0</v>
      </c>
      <c r="GH56" s="147">
        <f t="shared" si="61"/>
        <v>1.6513531229857261</v>
      </c>
      <c r="GI56" s="147">
        <f t="shared" si="62"/>
        <v>0.298053705404625</v>
      </c>
      <c r="GJ56" s="147">
        <f t="shared" si="63"/>
        <v>2.2397004662989314E-2</v>
      </c>
      <c r="GK56" s="147">
        <f t="shared" si="64"/>
        <v>0.70762401527069985</v>
      </c>
      <c r="GL56" s="147">
        <f t="shared" si="65"/>
        <v>6.3470378867056018E-2</v>
      </c>
      <c r="GM56" s="270">
        <f t="shared" si="128"/>
        <v>8.6580023586054738E-2</v>
      </c>
      <c r="GN56" s="270">
        <f t="shared" si="129"/>
        <v>0.14689179500961813</v>
      </c>
      <c r="GO56" s="147">
        <f t="shared" si="66"/>
        <v>0.45692200000000005</v>
      </c>
      <c r="GP56" s="147">
        <f t="shared" si="67"/>
        <v>3.6600166178917353</v>
      </c>
      <c r="GQ56" s="147"/>
      <c r="GR56" s="147">
        <f t="shared" si="68"/>
        <v>1.393392781795557E-2</v>
      </c>
      <c r="GS56" s="147">
        <f t="shared" si="69"/>
        <v>0.21279064428701036</v>
      </c>
      <c r="GT56" s="147">
        <f t="shared" si="70"/>
        <v>0</v>
      </c>
      <c r="GU56" s="147">
        <f t="shared" si="71"/>
        <v>1.1831119470365807</v>
      </c>
      <c r="GV56" s="147">
        <f t="shared" si="72"/>
        <v>0</v>
      </c>
      <c r="GW56" s="147">
        <f t="shared" si="73"/>
        <v>2.2397004662989314E-2</v>
      </c>
      <c r="GX56" s="147">
        <f t="shared" si="74"/>
        <v>0.70762401527069985</v>
      </c>
      <c r="GY56" s="147">
        <f t="shared" si="75"/>
        <v>5.7123340980350421E-2</v>
      </c>
      <c r="GZ56" s="147">
        <f t="shared" si="130"/>
        <v>7.7922021227449262E-2</v>
      </c>
      <c r="HA56" s="147">
        <f t="shared" si="131"/>
        <v>0.13220261550865633</v>
      </c>
      <c r="HB56" s="147">
        <f t="shared" si="76"/>
        <v>0.45692200000000005</v>
      </c>
      <c r="HC56" s="147">
        <f t="shared" si="77"/>
        <v>2.8640275167916922</v>
      </c>
      <c r="HD56" s="147"/>
      <c r="HE56" s="147">
        <f t="shared" si="78"/>
        <v>0.45692200000000005</v>
      </c>
      <c r="HF56" s="147">
        <f t="shared" si="79"/>
        <v>0.29694219746272887</v>
      </c>
      <c r="HG56" s="147">
        <f t="shared" si="80"/>
        <v>2.2397004662989314E-2</v>
      </c>
      <c r="HH56" s="147">
        <f t="shared" si="81"/>
        <v>0.72852327034888298</v>
      </c>
      <c r="HI56" s="147">
        <f t="shared" si="82"/>
        <v>1.5791646430871573</v>
      </c>
      <c r="HJ56" s="147">
        <f t="shared" si="83"/>
        <v>1.393392781795557E-2</v>
      </c>
      <c r="HK56" s="147">
        <f t="shared" si="84"/>
        <v>0.56213357451202117</v>
      </c>
      <c r="HL56" s="147">
        <f t="shared" si="85"/>
        <v>2.3300849180990295</v>
      </c>
      <c r="HM56" s="147">
        <f t="shared" si="86"/>
        <v>0.75386419746272892</v>
      </c>
      <c r="HN56" s="147">
        <f t="shared" si="87"/>
        <v>3.6600166178917353</v>
      </c>
      <c r="HO56" s="147">
        <f t="shared" si="88"/>
        <v>3.6600166178917353</v>
      </c>
      <c r="HQ56" s="147">
        <f t="shared" si="89"/>
        <v>0.45692200000000005</v>
      </c>
      <c r="HR56" s="147">
        <f t="shared" si="90"/>
        <v>0.26724797771645598</v>
      </c>
      <c r="HS56" s="147">
        <f t="shared" si="91"/>
        <v>2.2397004662989314E-2</v>
      </c>
      <c r="HT56" s="147">
        <f t="shared" si="92"/>
        <v>0.72852327034888298</v>
      </c>
      <c r="HU56" s="147">
        <f t="shared" si="93"/>
        <v>1.1831119470365812</v>
      </c>
      <c r="HV56" s="147">
        <f t="shared" si="94"/>
        <v>1.393392781795557E-2</v>
      </c>
      <c r="HW56" s="147">
        <f t="shared" si="95"/>
        <v>0.1918913892088272</v>
      </c>
      <c r="HX56" s="147">
        <f t="shared" si="96"/>
        <v>1.9340322220484536</v>
      </c>
      <c r="HY56" s="147">
        <f t="shared" si="97"/>
        <v>0.72416997771645608</v>
      </c>
      <c r="HZ56" s="147">
        <f t="shared" si="98"/>
        <v>2.8640275167916927</v>
      </c>
      <c r="IB56" s="147">
        <f>IF('River loads'!CI56&gt;0.99,1,0)</f>
        <v>0</v>
      </c>
      <c r="IC56">
        <f t="shared" si="144"/>
        <v>0</v>
      </c>
      <c r="ID56">
        <f t="shared" si="145"/>
        <v>0</v>
      </c>
      <c r="IE56">
        <f t="shared" si="146"/>
        <v>0</v>
      </c>
      <c r="IF56">
        <f t="shared" si="147"/>
        <v>0</v>
      </c>
      <c r="IG56">
        <f t="shared" si="148"/>
        <v>0</v>
      </c>
      <c r="IH56">
        <f t="shared" si="149"/>
        <v>0</v>
      </c>
      <c r="II56">
        <f t="shared" si="150"/>
        <v>0</v>
      </c>
      <c r="IJ56">
        <f t="shared" si="151"/>
        <v>0</v>
      </c>
      <c r="IK56">
        <f t="shared" si="132"/>
        <v>0</v>
      </c>
      <c r="IL56">
        <f t="shared" si="133"/>
        <v>0</v>
      </c>
      <c r="IM56">
        <f t="shared" si="107"/>
        <v>0</v>
      </c>
      <c r="IN56">
        <f t="shared" si="108"/>
        <v>0</v>
      </c>
      <c r="IP56">
        <f t="shared" si="109"/>
        <v>0</v>
      </c>
      <c r="IQ56">
        <f t="shared" si="110"/>
        <v>0</v>
      </c>
      <c r="IR56">
        <f t="shared" si="111"/>
        <v>0</v>
      </c>
      <c r="IS56">
        <f t="shared" si="112"/>
        <v>0</v>
      </c>
      <c r="IT56">
        <f t="shared" si="113"/>
        <v>0</v>
      </c>
      <c r="IU56">
        <f t="shared" si="114"/>
        <v>0</v>
      </c>
      <c r="IV56">
        <f t="shared" si="115"/>
        <v>0</v>
      </c>
      <c r="IW56">
        <f t="shared" si="116"/>
        <v>0</v>
      </c>
      <c r="IX56">
        <f t="shared" si="117"/>
        <v>0</v>
      </c>
    </row>
    <row r="57" spans="1:258">
      <c r="A57" s="39" t="str">
        <f>Basicinfo!A57</f>
        <v>Klammleitenbach</v>
      </c>
      <c r="B57" s="63">
        <f>Basicinfo!B57</f>
        <v>1630</v>
      </c>
      <c r="C57" s="63">
        <f>Basicinfo!C57</f>
        <v>1640</v>
      </c>
      <c r="D57" s="130">
        <f>Basicinfo!G57</f>
        <v>79.3027611734</v>
      </c>
      <c r="E57" s="87">
        <f t="shared" ref="E57:E71" si="153">N57+O57</f>
        <v>1.1185962075819</v>
      </c>
      <c r="F57" s="19">
        <f>Intermediate!AR57</f>
        <v>2.5674747975604397E-3</v>
      </c>
      <c r="G57" s="19">
        <f>Intermediate!AU57</f>
        <v>0.21147655095714235</v>
      </c>
      <c r="H57" s="19">
        <f>Intermediate!AW57</f>
        <v>0</v>
      </c>
      <c r="I57" s="19">
        <f>Intermediate!AZ57</f>
        <v>0</v>
      </c>
      <c r="J57" s="19">
        <f>Intermediate!BA57</f>
        <v>0.89952263588978543</v>
      </c>
      <c r="K57" s="19">
        <f>Intermediate!AC57</f>
        <v>1.3273194356774667E-3</v>
      </c>
      <c r="L57" s="19">
        <f>Intermediate!AO57</f>
        <v>9.4820596446096805E-4</v>
      </c>
      <c r="M57" s="19">
        <f>Intermediate!AP57</f>
        <v>2.7540205372734499E-3</v>
      </c>
      <c r="N57" s="19">
        <f t="shared" si="119"/>
        <v>1.1185962075819</v>
      </c>
      <c r="O57" s="19">
        <f>Basicinfo!CB57+Basicinfo!CG57</f>
        <v>0</v>
      </c>
      <c r="P57" s="56">
        <f>Intermediate!BK57-Intermediate!BI57</f>
        <v>19.65276704357575</v>
      </c>
      <c r="Q57" s="43">
        <f>Intermediate!BI57</f>
        <v>556.17179265126276</v>
      </c>
      <c r="R57" s="88">
        <f t="shared" si="134"/>
        <v>575.82455969483851</v>
      </c>
      <c r="S57" s="61">
        <f>Intermediate!F57*Intermediate!BO57/1000</f>
        <v>0.35965193798246803</v>
      </c>
      <c r="T57" s="19">
        <f>Intermediate!BU57*Intermediate!AU57*86.4*0.365</f>
        <v>10.262499278606729</v>
      </c>
      <c r="U57" s="19">
        <f>Intermediate!AW57*Intermediate!BS57*0.365*86.4</f>
        <v>0</v>
      </c>
      <c r="V57" s="19">
        <f>(Basicinfo!BL57/1000000)*(Intermediate!BK57-Intermediate!BF57-Intermediate!BG57-Intermediate!BH57)*Intermediate!CV57</f>
        <v>0.23210753216870311</v>
      </c>
      <c r="W57" s="19">
        <f>Intermediate!BI57*Parameters!$C$51/1000000</f>
        <v>1.3904294816281568E-2</v>
      </c>
      <c r="X57" s="19">
        <f>Intermediate!AZ57*Intermediate!CG57*86.4*0.365</f>
        <v>0</v>
      </c>
      <c r="Y57" s="19">
        <f>Intermediate!CM57*Intermediate!BA57*86.4*0.365+Parameters!$C$126*Intermediate!BB57*Basicinfo!P57/1000+Parameters!$C$127*Intermediate!BB57*Basicinfo!S57/1000</f>
        <v>33.334862813415711</v>
      </c>
      <c r="Z57" s="19">
        <f>Intermediate!DG57</f>
        <v>0.11493001727505583</v>
      </c>
      <c r="AA57" s="19">
        <f>Intermediate!DI57</f>
        <v>0.23086204843264818</v>
      </c>
      <c r="AB57" s="19">
        <f>Intermediate!DK57</f>
        <v>0.57133950994331895</v>
      </c>
      <c r="AC57" s="19">
        <f t="shared" si="120"/>
        <v>45.120157432640923</v>
      </c>
      <c r="AD57" s="19">
        <f>Basicinfo!CC57+Basicinfo!CE57+Basicinfo!CH57+Basicinfo!CJ57</f>
        <v>0</v>
      </c>
      <c r="AE57" s="87">
        <f t="shared" si="135"/>
        <v>45.120157432640923</v>
      </c>
      <c r="AF57" s="56">
        <f>Intermediate!F57*Basicinfo!BD57/1000</f>
        <v>8.9113735464481612E-3</v>
      </c>
      <c r="AG57" s="43">
        <f>Intermediate!CA57*Intermediate!AU57*86.4*0.365</f>
        <v>0.1919009323799567</v>
      </c>
      <c r="AH57" s="43">
        <f>Intermediate!AW57*Intermediate!BZ57*0.365*86.4</f>
        <v>0</v>
      </c>
      <c r="AI57" s="43">
        <f>(Intermediate!CU57/1000000)*(Intermediate!BK57-Intermediate!BF57-Intermediate!BG57-Intermediate!BH57)*Intermediate!CW57</f>
        <v>7.2862744555248382E-2</v>
      </c>
      <c r="AJ57" s="43">
        <f>Intermediate!BF57*Parameters!$C$52/1000000+(Intermediate!BG57+Intermediate!BH57)*Intermediate!CX57/1000000</f>
        <v>0.25027730669306825</v>
      </c>
      <c r="AK57" s="43">
        <f>Intermediate!AZ57*Intermediate!CH57*86.4*0.365</f>
        <v>0</v>
      </c>
      <c r="AL57" s="58">
        <f>Intermediate!CR57*Intermediate!BA57*86.4*0.365</f>
        <v>0.80407973377762931</v>
      </c>
      <c r="AM57" s="43">
        <f>Intermediate!DH57</f>
        <v>3.2831954067509411E-2</v>
      </c>
      <c r="AN57" s="42">
        <f>Intermediate!DJ57</f>
        <v>4.7091370672698515E-2</v>
      </c>
      <c r="AO57" s="42">
        <f>Intermediate!DL57</f>
        <v>9.0998905953248485E-2</v>
      </c>
      <c r="AP57" s="42">
        <f t="shared" si="122"/>
        <v>1.4989543216458074</v>
      </c>
      <c r="AQ57" s="43">
        <f>Basicinfo!CD57+Basicinfo!CF57+Basicinfo!CI57+Basicinfo!CK57</f>
        <v>0</v>
      </c>
      <c r="AR57" s="83">
        <f t="shared" si="136"/>
        <v>1.4989543216458074</v>
      </c>
      <c r="AS57" s="19">
        <f>F57*86400*365/(Basicinfo!G57*1000000)*1000</f>
        <v>1.0209970500122327</v>
      </c>
      <c r="AT57" s="19">
        <f>G57*86400*365/(Basicinfo!G57*1000000)*1000</f>
        <v>84.09700257979695</v>
      </c>
      <c r="AU57" s="19">
        <f>H57*86400*365/(Basicinfo!G57*1000000)*1000</f>
        <v>0</v>
      </c>
      <c r="AV57" s="19">
        <f>I57*86400*365/(Basicinfo!G57*1000000)*1000</f>
        <v>0</v>
      </c>
      <c r="AW57" s="19">
        <f>J57*86400*365/(Basicinfo!G57*1000000)*1000</f>
        <v>357.70943439653325</v>
      </c>
      <c r="AX57" s="53">
        <f>K57*86400*365/(Basicinfo!G57*1000000)*1000</f>
        <v>0.52782961279240881</v>
      </c>
      <c r="AY57" s="53">
        <f>L57*86400*365/(Basicinfo!G57*1000000)*1000</f>
        <v>0.37706913167698292</v>
      </c>
      <c r="AZ57" s="53">
        <f>M57*86400*365/(Basicinfo!G57*1000000)*1000</f>
        <v>1.095179920325237</v>
      </c>
      <c r="BA57" s="19">
        <f t="shared" si="123"/>
        <v>444.82751269113703</v>
      </c>
      <c r="BB57" s="19">
        <f>O57*86400*365/(Basicinfo!G57*1000000)*1000</f>
        <v>0</v>
      </c>
      <c r="BC57" s="53">
        <f t="shared" si="137"/>
        <v>444.82751269113703</v>
      </c>
      <c r="BD57" s="56">
        <f>P57/(Basicinfo!G57*100)*1000</f>
        <v>2.4781945486871324</v>
      </c>
      <c r="BE57" s="43">
        <f>Q57/(Basicinfo!G57*100)*1000</f>
        <v>70.132714727947672</v>
      </c>
      <c r="BF57" s="58">
        <f t="shared" si="138"/>
        <v>72.6109092766348</v>
      </c>
      <c r="BG57" s="61">
        <f>S57/(Basicinfo!G57*100)*1000000</f>
        <v>45.351754801584846</v>
      </c>
      <c r="BH57" s="19">
        <f>T57/(Basicinfo!G57*100)*1000000</f>
        <v>1294.0910413153447</v>
      </c>
      <c r="BI57" s="19">
        <f>U57/(Basicinfo!G57*100)*1000000</f>
        <v>0</v>
      </c>
      <c r="BJ57" s="19">
        <f>V57/(Basicinfo!G57*100)*1000000</f>
        <v>29.268530973491174</v>
      </c>
      <c r="BK57" s="19">
        <f>W57/(Basicinfo!G57*100)*1000000</f>
        <v>1.7533178681986916</v>
      </c>
      <c r="BL57" s="19">
        <f>X57/(Basicinfo!G57*100)*1000000</f>
        <v>0</v>
      </c>
      <c r="BM57" s="19">
        <f>Y57/(Basicinfo!G57*100)*1000000</f>
        <v>4203.4933361938229</v>
      </c>
      <c r="BN57" s="53">
        <f>Z57/(Basicinfo!G57*100)*1000000</f>
        <v>14.492561869788469</v>
      </c>
      <c r="BO57" s="53">
        <f>AA57/(Basicinfo!G57*100)*1000000</f>
        <v>29.111476702287224</v>
      </c>
      <c r="BP57" s="53">
        <f>AB57/(Basicinfo!G57*100)*1000000</f>
        <v>72.045348924743308</v>
      </c>
      <c r="BQ57" s="19">
        <f t="shared" si="125"/>
        <v>5689.6073686492609</v>
      </c>
      <c r="BR57" s="19">
        <f>AD57/(Basicinfo!G57*100)*1000000</f>
        <v>0</v>
      </c>
      <c r="BS57" s="53">
        <f t="shared" si="139"/>
        <v>5689.6073686492609</v>
      </c>
      <c r="BT57" s="56">
        <f>AF57/(Basicinfo!G57*100)*1000000</f>
        <v>1.1237154185543345</v>
      </c>
      <c r="BU57" s="43">
        <f>AG57/(Basicinfo!G57*100)*1000000</f>
        <v>24.198518379499344</v>
      </c>
      <c r="BV57" s="43">
        <f>AH57/(Basicinfo!G57*100)*1000000</f>
        <v>0</v>
      </c>
      <c r="BW57" s="43">
        <f>AI57/(Basicinfo!G57*100)*1000000</f>
        <v>9.1879202536125888</v>
      </c>
      <c r="BX57" s="43">
        <f>AJ57/(Basicinfo!G57*100)*1000000</f>
        <v>31.559721627576454</v>
      </c>
      <c r="BY57" s="58">
        <f>AK57/(Basicinfo!G57*100)*1000000</f>
        <v>0</v>
      </c>
      <c r="BZ57" s="58">
        <f>AL57/(Basicinfo!G57*100)*1000000</f>
        <v>101.39366169350184</v>
      </c>
      <c r="CA57" s="58">
        <f>AM57/(Basicinfo!G57*100)*1000000</f>
        <v>4.1400770391487969</v>
      </c>
      <c r="CB57" s="58">
        <f>AN57/(Basicinfo!G57*100)*1000000</f>
        <v>5.9381754148169632</v>
      </c>
      <c r="CC57" s="58">
        <f>AO57/(Basicinfo!G57*100)*1000000</f>
        <v>11.474872325602156</v>
      </c>
      <c r="CD57" s="58">
        <f t="shared" si="126"/>
        <v>189.01666215231245</v>
      </c>
      <c r="CE57" s="58">
        <f>AQ57/(Basicinfo!G57*100)*1000000</f>
        <v>0</v>
      </c>
      <c r="CF57" s="43">
        <f t="shared" si="140"/>
        <v>189.01666215231245</v>
      </c>
      <c r="CG57" s="84"/>
      <c r="CH57" s="84">
        <f t="shared" ref="CH57:CH71" si="154">AD57</f>
        <v>0</v>
      </c>
      <c r="CI57" s="146">
        <f t="shared" si="152"/>
        <v>0.91713157565102299</v>
      </c>
      <c r="CJ57" s="200">
        <f>Intermediate!EW57+Intermediate!EY57+Intermediate!FD57</f>
        <v>10.483479475208593</v>
      </c>
      <c r="CK57" s="180">
        <f>Intermediate!FA57+Intermediate!FF57</f>
        <v>3.2606386133551277</v>
      </c>
      <c r="CL57" s="180">
        <f t="shared" si="141"/>
        <v>0</v>
      </c>
      <c r="CM57" s="180">
        <f t="shared" si="142"/>
        <v>12.486473235279471</v>
      </c>
      <c r="CN57" s="202">
        <f>Intermediate!EX57+Intermediate!EZ57+Intermediate!FE57</f>
        <v>7.1112343853532751</v>
      </c>
      <c r="CO57" s="180">
        <f>Intermediate!FB57+Intermediate!FG57</f>
        <v>2.1651164843003894</v>
      </c>
      <c r="CP57" s="213">
        <f>Intermediate!EP57+Intermediate!EQ57+Intermediate!ER57+Intermediate!ES57+Intermediate!ET57+Intermediate!EU57+Intermediate!EV57+W57</f>
        <v>8.6960836634930292</v>
      </c>
      <c r="CQ57" s="212">
        <f t="shared" ref="CQ57:CQ71" si="155">CN57+CO57</f>
        <v>9.2763508696536654</v>
      </c>
      <c r="CR57" s="212">
        <f t="shared" ref="CR57:CR71" si="156">CM57+CK57+CJ57+CL57</f>
        <v>26.230591323843193</v>
      </c>
      <c r="CS57" s="211">
        <f t="shared" si="143"/>
        <v>0.11493001727505583</v>
      </c>
      <c r="CT57" s="212">
        <f t="shared" ref="CT57:CT71" si="157">CS57+CQ57+CR57+CP57</f>
        <v>44.317955874264939</v>
      </c>
      <c r="CU57" s="84"/>
      <c r="CV57" s="31">
        <f t="shared" ref="CV57:CV71" si="158">AE57</f>
        <v>45.120157432640923</v>
      </c>
      <c r="CW57" s="31">
        <f>CH57/Basicinfo!$G57*1000/100</f>
        <v>0</v>
      </c>
      <c r="CX57" s="31">
        <f>CI57/Basicinfo!$G57*1000/100</f>
        <v>0.11564938749681901</v>
      </c>
      <c r="CY57" s="31">
        <f>CS57/Basicinfo!$G57*1000/100</f>
        <v>1.449256186978847E-2</v>
      </c>
      <c r="CZ57" s="31">
        <f>CN57/Basicinfo!$G57*1000/100</f>
        <v>0.89671964508324709</v>
      </c>
      <c r="DA57" s="31">
        <f>CO57/Basicinfo!$G57*1000/100</f>
        <v>0.27301905409904187</v>
      </c>
      <c r="DB57" s="31">
        <f>CQ57/Basicinfo!$G57*1000/100</f>
        <v>1.1697386991822889</v>
      </c>
      <c r="DC57" s="31">
        <f>CJ57/Basicinfo!$G57*1000/100</f>
        <v>1.3219564262442096</v>
      </c>
      <c r="DD57" s="31">
        <f>CK57/Basicinfo!$G57*1000/100</f>
        <v>0.41116331450623211</v>
      </c>
      <c r="DE57" s="31">
        <f>CM57/Basicinfo!$G57*1000/100</f>
        <v>1.574531964653423</v>
      </c>
      <c r="DF57" s="31">
        <f>CR57/Basicinfo!$G57*1000/100</f>
        <v>3.307651705403865</v>
      </c>
      <c r="DG57" s="31">
        <f>CP57/Basicinfo!$G57*1000/100</f>
        <v>1.0965675765662872</v>
      </c>
      <c r="DH57" s="31">
        <f>CT57/Basicinfo!$G57*1000/100</f>
        <v>5.5884505430222298</v>
      </c>
      <c r="DI57" s="31">
        <f>CV57/Basicinfo!$G57*1000/100</f>
        <v>5.6896073686492619</v>
      </c>
      <c r="DJ57" s="31"/>
      <c r="DK57" s="188">
        <f t="shared" ref="DK57:DK71" si="159">CH57/$CT57*100</f>
        <v>0</v>
      </c>
      <c r="DL57" s="188">
        <f t="shared" ref="DL57:DL71" si="160">CI57/$CT57*100</f>
        <v>2.0694356442184048</v>
      </c>
      <c r="DM57" s="188">
        <f t="shared" ref="DM57:DM71" si="161">CS57/$CT57*100</f>
        <v>0.25933059187369861</v>
      </c>
      <c r="DN57" s="188">
        <f t="shared" ref="DN57:DN71" si="162">CN57/$CT57*100</f>
        <v>16.045944008628584</v>
      </c>
      <c r="DO57" s="188">
        <f t="shared" ref="DO57:DO71" si="163">CO57/$CT57*100</f>
        <v>4.8854159484319855</v>
      </c>
      <c r="DP57" s="188">
        <f t="shared" ref="DP57:DP71" si="164">CQ57/$CT57*100</f>
        <v>20.931359957060572</v>
      </c>
      <c r="DQ57" s="188">
        <f t="shared" si="23"/>
        <v>23.655151209932633</v>
      </c>
      <c r="DR57" s="188">
        <f t="shared" si="24"/>
        <v>7.3573759191554968</v>
      </c>
      <c r="DS57" s="188">
        <f t="shared" si="25"/>
        <v>28.174749915598568</v>
      </c>
      <c r="DT57" s="188">
        <f t="shared" ref="DT57:DT71" si="165">CR57/$CT57*100</f>
        <v>59.187277044686702</v>
      </c>
      <c r="DU57" s="188">
        <f t="shared" ref="DU57:DU71" si="166">CP57/$CT57*100</f>
        <v>19.622032406379038</v>
      </c>
      <c r="DV57" s="188">
        <f t="shared" si="28"/>
        <v>100</v>
      </c>
      <c r="DW57" s="188">
        <f t="shared" si="29"/>
        <v>101.81010505234474</v>
      </c>
      <c r="DY57" s="181">
        <f t="shared" ref="DY57:DY71" si="167">AQ57</f>
        <v>0</v>
      </c>
      <c r="DZ57" s="181">
        <f t="shared" si="127"/>
        <v>0.17092223069345641</v>
      </c>
      <c r="EA57" s="185">
        <f t="shared" ref="EA57:EA71" si="168">AK57</f>
        <v>0</v>
      </c>
      <c r="EB57" s="185">
        <f>AG57+AH57+AL57-Intermediate!FJ57-Intermediate!FM57</f>
        <v>0.8138514178913614</v>
      </c>
      <c r="EC57" s="185">
        <f>AI57+AJ57-Intermediate!FK57</f>
        <v>5.606446137021931E-2</v>
      </c>
      <c r="ED57" s="240">
        <f t="shared" ref="ED57:ED71" si="169">AF57</f>
        <v>8.9113735464481612E-3</v>
      </c>
      <c r="EE57" s="240">
        <f>Intermediate!FJ57+Intermediate!FK57+Intermediate!FM57</f>
        <v>0.44920483814432194</v>
      </c>
      <c r="EF57" s="240">
        <f t="shared" ref="EF57:EF71" si="170">AG57+AH57+AI57+AJ57+AK57+AL57-EE57</f>
        <v>0.86991587926158065</v>
      </c>
      <c r="EG57" s="240">
        <f t="shared" ref="EG57:EG71" si="171">DZ57+DY57</f>
        <v>0.17092223069345641</v>
      </c>
      <c r="EH57" s="240">
        <f t="shared" ref="EH57:EH71" si="172">EG57+ED57+EF57+EE57</f>
        <v>1.4989543216458072</v>
      </c>
      <c r="EI57" s="181">
        <f t="shared" ref="EI57:EI71" si="173">AR57</f>
        <v>1.4989543216458074</v>
      </c>
      <c r="EK57" s="31">
        <f>DY57/Basicinfo!$G57*1000/100</f>
        <v>0</v>
      </c>
      <c r="EL57" s="31">
        <f>DZ57/Basicinfo!$G57*1000/100</f>
        <v>2.1553124779567917E-2</v>
      </c>
      <c r="EM57" s="220">
        <f>EG57/Basicinfo!$G57*1000/100</f>
        <v>2.1553124779567917E-2</v>
      </c>
      <c r="EN57" s="220">
        <f>ED57/Basicinfo!$G57*1000/100</f>
        <v>1.1237154185543346E-3</v>
      </c>
      <c r="EO57" s="220">
        <f>EF57/Basicinfo!$G57*1000/100</f>
        <v>0.1096955347316924</v>
      </c>
      <c r="EP57" s="220">
        <f>EE57/Basicinfo!$G57*1000/100</f>
        <v>5.6644287222497841E-2</v>
      </c>
      <c r="EQ57" s="220">
        <f>EH57/Basicinfo!$G57*1000/100</f>
        <v>0.18901666215231253</v>
      </c>
      <c r="ER57" s="31">
        <f>EI57/Basicinfo!$G57*1000/100</f>
        <v>0.18901666215231253</v>
      </c>
      <c r="ET57" s="188">
        <f t="shared" si="37"/>
        <v>0</v>
      </c>
      <c r="EU57" s="188">
        <f t="shared" si="38"/>
        <v>11.402764462214488</v>
      </c>
      <c r="EV57" s="223">
        <f t="shared" si="39"/>
        <v>11.402764462214488</v>
      </c>
      <c r="EW57" s="223">
        <f t="shared" si="40"/>
        <v>0.59450601114140267</v>
      </c>
      <c r="EX57" s="223">
        <f t="shared" si="41"/>
        <v>58.034849141129186</v>
      </c>
      <c r="EY57" s="223">
        <f t="shared" si="42"/>
        <v>29.967880385514906</v>
      </c>
      <c r="EZ57" s="223">
        <f t="shared" si="43"/>
        <v>100</v>
      </c>
      <c r="FA57" s="188">
        <f t="shared" si="44"/>
        <v>100</v>
      </c>
      <c r="FC57" s="236">
        <f>Basicinfo!CT57</f>
        <v>2.3675806451612904</v>
      </c>
      <c r="FD57" s="181">
        <f>IF((Intermediate!CL57+Intermediate!CM57*3)/4&gt;11,(Intermediate!CL57+Intermediate!CM57*9)/10,(Intermediate!CL57+Intermediate!CM57*3)/4)</f>
        <v>1.8121128796800861</v>
      </c>
      <c r="FF57" s="31">
        <f t="shared" ref="FF57:FF71" si="174">AF57</f>
        <v>8.9113735464481612E-3</v>
      </c>
      <c r="FG57" s="31">
        <f t="shared" ref="FG57:FG71" si="175">AG57</f>
        <v>0.1919009323799567</v>
      </c>
      <c r="FH57" s="31">
        <f t="shared" ref="FH57:FH71" si="176">AH57</f>
        <v>0</v>
      </c>
      <c r="FI57" s="31">
        <f>(AI57-(P57*450/1000000))*Parameters!$C$153</f>
        <v>5.1215199508511437E-2</v>
      </c>
      <c r="FJ57" s="31"/>
      <c r="FK57" s="31">
        <f t="shared" ref="FK57:FK71" si="177">AK57</f>
        <v>0</v>
      </c>
      <c r="FL57" s="31">
        <f t="shared" ref="FL57:FL71" si="178">AL57</f>
        <v>0.80407973377762931</v>
      </c>
      <c r="FM57" s="31">
        <f>AM57*Parameters!$C$154</f>
        <v>2.954875866075847E-2</v>
      </c>
      <c r="FN57" s="31">
        <f>AN57*Parameters!$C$154</f>
        <v>4.2382233605428664E-2</v>
      </c>
      <c r="FO57" s="31">
        <f>AO57*Parameters!$C$154</f>
        <v>8.1899015357923641E-2</v>
      </c>
      <c r="FP57" s="31">
        <f>AQ57*Parameters!$C$155</f>
        <v>0</v>
      </c>
      <c r="FQ57" s="31">
        <f t="shared" si="50"/>
        <v>1.2099372468366565</v>
      </c>
      <c r="FS57" s="147">
        <f>DY57*Parameters!$C$155</f>
        <v>0</v>
      </c>
      <c r="FT57" s="147">
        <f>DZ57*Parameters!$C$154</f>
        <v>0.15383000762411078</v>
      </c>
      <c r="FU57" s="181">
        <f t="shared" si="51"/>
        <v>0</v>
      </c>
      <c r="FV57" s="181">
        <f t="shared" si="52"/>
        <v>0.8138514178913614</v>
      </c>
      <c r="FW57" s="31">
        <f t="shared" si="53"/>
        <v>5.1215199508511472E-2</v>
      </c>
      <c r="FX57" s="181">
        <f t="shared" si="54"/>
        <v>8.9113735464481612E-3</v>
      </c>
      <c r="FY57" s="147">
        <f>Intermediate!FJ57+Intermediate!FM57</f>
        <v>0.18212924826622465</v>
      </c>
      <c r="FZ57" s="181">
        <f t="shared" si="55"/>
        <v>0.86506661739987289</v>
      </c>
      <c r="GA57" s="147">
        <f t="shared" si="56"/>
        <v>0.15383000762411078</v>
      </c>
      <c r="GB57" s="181">
        <f t="shared" si="57"/>
        <v>1.2099372468366565</v>
      </c>
      <c r="GD57" s="147">
        <f>IF('River loads'!CH57&gt;0.99,1,0)</f>
        <v>0</v>
      </c>
      <c r="GE57" s="147">
        <f t="shared" ref="GE57:GE71" si="179">AF57*$GD57</f>
        <v>0</v>
      </c>
      <c r="GF57" s="147">
        <f t="shared" ref="GF57:GF71" si="180">AG57*$GD57</f>
        <v>0</v>
      </c>
      <c r="GG57" s="147">
        <f t="shared" ref="GG57:GG71" si="181">AH57*$GD57</f>
        <v>0</v>
      </c>
      <c r="GH57" s="147">
        <f t="shared" ref="GH57:GH71" si="182">AI57*$GD57</f>
        <v>0</v>
      </c>
      <c r="GI57" s="147">
        <f t="shared" ref="GI57:GI71" si="183">AJ57*$GD57</f>
        <v>0</v>
      </c>
      <c r="GJ57" s="147">
        <f t="shared" ref="GJ57:GJ71" si="184">AK57*$GD57</f>
        <v>0</v>
      </c>
      <c r="GK57" s="147">
        <f t="shared" ref="GK57:GK71" si="185">AL57*$GD57</f>
        <v>0</v>
      </c>
      <c r="GL57" s="147">
        <f t="shared" ref="GL57:GL71" si="186">AM57*$GD57</f>
        <v>0</v>
      </c>
      <c r="GM57" s="270">
        <f t="shared" si="128"/>
        <v>0</v>
      </c>
      <c r="GN57" s="270">
        <f t="shared" si="129"/>
        <v>0</v>
      </c>
      <c r="GO57" s="147">
        <f t="shared" ref="GO57:GO71" si="187">AQ57*$GD57</f>
        <v>0</v>
      </c>
      <c r="GP57" s="147">
        <f t="shared" si="67"/>
        <v>0</v>
      </c>
      <c r="GQ57" s="147"/>
      <c r="GR57" s="147">
        <f t="shared" si="68"/>
        <v>0</v>
      </c>
      <c r="GS57" s="147">
        <f t="shared" ref="GS57:GS71" si="188">$GD57*FG57</f>
        <v>0</v>
      </c>
      <c r="GT57" s="147">
        <f t="shared" ref="GT57:GT71" si="189">$GD57*FH57</f>
        <v>0</v>
      </c>
      <c r="GU57" s="147">
        <f t="shared" ref="GU57:GU71" si="190">$GD57*FI57</f>
        <v>0</v>
      </c>
      <c r="GV57" s="147">
        <f t="shared" ref="GV57:GV71" si="191">$GD57*FJ57</f>
        <v>0</v>
      </c>
      <c r="GW57" s="147">
        <f t="shared" ref="GW57:GW71" si="192">$GD57*FK57</f>
        <v>0</v>
      </c>
      <c r="GX57" s="147">
        <f t="shared" ref="GX57:GX71" si="193">$GD57*FL57</f>
        <v>0</v>
      </c>
      <c r="GY57" s="147">
        <f t="shared" ref="GY57:GY71" si="194">$GD57*FM57</f>
        <v>0</v>
      </c>
      <c r="GZ57" s="147">
        <f t="shared" si="130"/>
        <v>0</v>
      </c>
      <c r="HA57" s="147">
        <f t="shared" si="131"/>
        <v>0</v>
      </c>
      <c r="HB57" s="147">
        <f t="shared" ref="HB57:HB71" si="195">$GD57*FP57</f>
        <v>0</v>
      </c>
      <c r="HC57" s="147">
        <f t="shared" ref="HC57:HC71" si="196">$GD57*FQ57</f>
        <v>0</v>
      </c>
      <c r="HD57" s="147"/>
      <c r="HE57" s="147">
        <f t="shared" ref="HE57:HE71" si="197">DY57*$GD57</f>
        <v>0</v>
      </c>
      <c r="HF57" s="147">
        <f t="shared" ref="HF57:HF71" si="198">DZ57*$GD57</f>
        <v>0</v>
      </c>
      <c r="HG57" s="147">
        <f t="shared" ref="HG57:HG71" si="199">EA57*$GD57</f>
        <v>0</v>
      </c>
      <c r="HH57" s="147">
        <f t="shared" ref="HH57:HH71" si="200">EB57*$GD57</f>
        <v>0</v>
      </c>
      <c r="HI57" s="147">
        <f t="shared" ref="HI57:HI71" si="201">EC57*$GD57</f>
        <v>0</v>
      </c>
      <c r="HJ57" s="147">
        <f t="shared" ref="HJ57:HJ71" si="202">ED57*$GD57</f>
        <v>0</v>
      </c>
      <c r="HK57" s="147">
        <f t="shared" ref="HK57:HK71" si="203">EE57*$GD57</f>
        <v>0</v>
      </c>
      <c r="HL57" s="147">
        <f t="shared" ref="HL57:HL71" si="204">EF57*$GD57</f>
        <v>0</v>
      </c>
      <c r="HM57" s="147">
        <f t="shared" ref="HM57:HM71" si="205">EG57*$GD57</f>
        <v>0</v>
      </c>
      <c r="HN57" s="147">
        <f t="shared" ref="HN57:HN71" si="206">EH57*$GD57</f>
        <v>0</v>
      </c>
      <c r="HO57" s="147">
        <f t="shared" ref="HO57:HO71" si="207">EI57*$GD57</f>
        <v>0</v>
      </c>
      <c r="HQ57" s="147">
        <f t="shared" si="89"/>
        <v>0</v>
      </c>
      <c r="HR57" s="147">
        <f t="shared" ref="HR57:HR71" si="208">FT57*$GD57</f>
        <v>0</v>
      </c>
      <c r="HS57" s="147">
        <f t="shared" ref="HS57:HS71" si="209">FU57*$GD57</f>
        <v>0</v>
      </c>
      <c r="HT57" s="147">
        <f t="shared" ref="HT57:HT71" si="210">FV57*$GD57</f>
        <v>0</v>
      </c>
      <c r="HU57" s="147">
        <f t="shared" ref="HU57:HU71" si="211">FW57*$GD57</f>
        <v>0</v>
      </c>
      <c r="HV57" s="147">
        <f t="shared" ref="HV57:HV71" si="212">FX57*$GD57</f>
        <v>0</v>
      </c>
      <c r="HW57" s="147">
        <f t="shared" ref="HW57:HW71" si="213">FY57*$GD57</f>
        <v>0</v>
      </c>
      <c r="HX57" s="147">
        <f t="shared" ref="HX57:HX71" si="214">FZ57*$GD57</f>
        <v>0</v>
      </c>
      <c r="HY57" s="147">
        <f t="shared" ref="HY57:HY71" si="215">GA57*$GD57</f>
        <v>0</v>
      </c>
      <c r="HZ57" s="147">
        <f t="shared" ref="HZ57:HZ71" si="216">GB57*$GD57</f>
        <v>0</v>
      </c>
      <c r="IB57" s="147">
        <f>IF('River loads'!CI57&gt;0.99,1,0)</f>
        <v>0</v>
      </c>
      <c r="IC57">
        <f t="shared" si="144"/>
        <v>0</v>
      </c>
      <c r="ID57">
        <f t="shared" si="145"/>
        <v>0</v>
      </c>
      <c r="IE57">
        <f t="shared" si="146"/>
        <v>0</v>
      </c>
      <c r="IF57">
        <f t="shared" si="147"/>
        <v>0</v>
      </c>
      <c r="IG57">
        <f t="shared" si="148"/>
        <v>0</v>
      </c>
      <c r="IH57">
        <f t="shared" si="149"/>
        <v>0</v>
      </c>
      <c r="II57">
        <f t="shared" si="150"/>
        <v>0</v>
      </c>
      <c r="IJ57">
        <f t="shared" si="151"/>
        <v>0</v>
      </c>
      <c r="IK57">
        <f t="shared" si="132"/>
        <v>0</v>
      </c>
      <c r="IL57">
        <f t="shared" si="133"/>
        <v>0</v>
      </c>
      <c r="IM57">
        <f t="shared" si="107"/>
        <v>0</v>
      </c>
      <c r="IN57">
        <f t="shared" si="108"/>
        <v>0</v>
      </c>
      <c r="IP57">
        <f t="shared" si="109"/>
        <v>0</v>
      </c>
      <c r="IQ57">
        <f t="shared" ref="IQ57:IQ71" si="217">CI57*$IB57</f>
        <v>0</v>
      </c>
      <c r="IR57">
        <f t="shared" ref="IR57:IR71" si="218">CJ57*$IB57</f>
        <v>0</v>
      </c>
      <c r="IS57">
        <f t="shared" ref="IS57:IS71" si="219">CK57*$IB57</f>
        <v>0</v>
      </c>
      <c r="IT57">
        <f t="shared" ref="IT57:IT71" si="220">CL57*$IB57</f>
        <v>0</v>
      </c>
      <c r="IU57">
        <f t="shared" ref="IU57:IU71" si="221">CM57*$IB57</f>
        <v>0</v>
      </c>
      <c r="IV57">
        <f t="shared" ref="IV57:IV71" si="222">CN57*$IB57</f>
        <v>0</v>
      </c>
      <c r="IW57">
        <f t="shared" ref="IW57:IW71" si="223">CO57*$IB57</f>
        <v>0</v>
      </c>
      <c r="IX57">
        <f t="shared" ref="IX57:IX71" si="224">CP57*$IB57</f>
        <v>0</v>
      </c>
    </row>
    <row r="58" spans="1:258">
      <c r="A58" s="39" t="str">
        <f>Basicinfo!A58</f>
        <v>Große Naarn</v>
      </c>
      <c r="B58" s="63">
        <f>Basicinfo!B58</f>
        <v>1640</v>
      </c>
      <c r="C58" s="63">
        <f>Basicinfo!C58</f>
        <v>5020</v>
      </c>
      <c r="D58" s="130">
        <f>Basicinfo!G58</f>
        <v>291.62679402600003</v>
      </c>
      <c r="E58" s="87">
        <f t="shared" si="153"/>
        <v>3.6531714983269996</v>
      </c>
      <c r="F58" s="19">
        <f>Intermediate!AR58</f>
        <v>1.2984493050719473E-2</v>
      </c>
      <c r="G58" s="19">
        <f>Intermediate!AU58</f>
        <v>0.64722669373553776</v>
      </c>
      <c r="H58" s="19">
        <f>Intermediate!AW58</f>
        <v>0</v>
      </c>
      <c r="I58" s="19">
        <f>Intermediate!AZ58</f>
        <v>1.2931114070934278E-2</v>
      </c>
      <c r="J58" s="19">
        <f>Intermediate!BA58</f>
        <v>2.8787253038824536</v>
      </c>
      <c r="K58" s="19">
        <f>Intermediate!AC58</f>
        <v>9.0516371032333572E-3</v>
      </c>
      <c r="L58" s="19">
        <f>Intermediate!AO58</f>
        <v>6.0793051417983726E-3</v>
      </c>
      <c r="M58" s="19">
        <f>Intermediate!AP58</f>
        <v>1.7738975462904739E-2</v>
      </c>
      <c r="N58" s="19">
        <f t="shared" si="119"/>
        <v>3.5847375224475813</v>
      </c>
      <c r="O58" s="19">
        <f>Basicinfo!CB58+Basicinfo!CG58</f>
        <v>6.8433975879418241E-2</v>
      </c>
      <c r="P58" s="56">
        <f>Intermediate!BK58-Intermediate!BI58</f>
        <v>832.15823339794429</v>
      </c>
      <c r="Q58" s="43">
        <f>Intermediate!BI58</f>
        <v>1902.5739118904819</v>
      </c>
      <c r="R58" s="88">
        <f t="shared" si="134"/>
        <v>2734.7321452884262</v>
      </c>
      <c r="S58" s="61">
        <f>Intermediate!F58*Intermediate!BO58/1000</f>
        <v>2.827392089122239</v>
      </c>
      <c r="T58" s="19">
        <f>Intermediate!BU58*Intermediate!AU58*86.4*0.365</f>
        <v>33.798002744103862</v>
      </c>
      <c r="U58" s="19">
        <f>Intermediate!AW58*Intermediate!BS58*0.365*86.4</f>
        <v>0</v>
      </c>
      <c r="V58" s="19">
        <f>(Basicinfo!BL58/1000000)*(Intermediate!BK58-Intermediate!BF58-Intermediate!BG58-Intermediate!BH58)*Intermediate!CV58</f>
        <v>6.1215610670059775</v>
      </c>
      <c r="W58" s="19">
        <f>Intermediate!BI58*Parameters!$C$51/1000000</f>
        <v>4.7564347797262048E-2</v>
      </c>
      <c r="X58" s="19">
        <f>Intermediate!AZ58*Intermediate!CG58*86.4*0.365</f>
        <v>6.3791040072401621</v>
      </c>
      <c r="Y58" s="19">
        <f>Intermediate!CM58*Intermediate!BA58*86.4*0.365+Parameters!$C$126*Intermediate!BB58*Basicinfo!P58/1000+Parameters!$C$127*Intermediate!BB58*Basicinfo!S58/1000</f>
        <v>187.76487871322217</v>
      </c>
      <c r="Z58" s="19">
        <f>Intermediate!DG58</f>
        <v>0.80968876741809248</v>
      </c>
      <c r="AA58" s="19">
        <f>Intermediate!DI58</f>
        <v>1.449853952620167</v>
      </c>
      <c r="AB58" s="19">
        <f>Intermediate!DK58</f>
        <v>3.3045101252500011</v>
      </c>
      <c r="AC58" s="19">
        <f t="shared" si="120"/>
        <v>242.50255581377994</v>
      </c>
      <c r="AD58" s="19">
        <f>Basicinfo!CC58+Basicinfo!CE58+Basicinfo!CH58+Basicinfo!CJ58</f>
        <v>5.635122471111111</v>
      </c>
      <c r="AE58" s="87">
        <f t="shared" si="135"/>
        <v>248.13767828489105</v>
      </c>
      <c r="AF58" s="56">
        <f>Intermediate!F58*Basicinfo!BD58/1000</f>
        <v>6.9940894457761915E-2</v>
      </c>
      <c r="AG58" s="43">
        <f>Intermediate!CA58*Intermediate!AU58*86.4*0.365</f>
        <v>0.63693257627459532</v>
      </c>
      <c r="AH58" s="43">
        <f>Intermediate!AW58*Intermediate!BZ58*0.365*86.4</f>
        <v>0</v>
      </c>
      <c r="AI58" s="43">
        <f>(Intermediate!CU58/1000000)*(Intermediate!BK58-Intermediate!BF58-Intermediate!BG58-Intermediate!BH58)*Intermediate!CW58</f>
        <v>2.9570708351091635</v>
      </c>
      <c r="AJ58" s="43">
        <f>Intermediate!BF58*Parameters!$C$52/1000000+(Intermediate!BG58+Intermediate!BH58)*Intermediate!CX58/1000000</f>
        <v>0.85615826035071685</v>
      </c>
      <c r="AK58" s="43">
        <f>Intermediate!AZ58*Intermediate!CH58*86.4*0.365</f>
        <v>6.6524554994565319E-2</v>
      </c>
      <c r="AL58" s="58">
        <f>Intermediate!CR58*Intermediate!BA58*86.4*0.365</f>
        <v>2.1843293159203419</v>
      </c>
      <c r="AM58" s="43">
        <f>Intermediate!DH58</f>
        <v>0.22539382580833708</v>
      </c>
      <c r="AN58" s="42">
        <f>Intermediate!DJ58</f>
        <v>0.29544011236824214</v>
      </c>
      <c r="AO58" s="42">
        <f>Intermediate!DL58</f>
        <v>0.51817410318167145</v>
      </c>
      <c r="AP58" s="42">
        <f t="shared" si="122"/>
        <v>7.8099644784653952</v>
      </c>
      <c r="AQ58" s="43">
        <f>Basicinfo!CD58+Basicinfo!CF58+Basicinfo!CI58+Basicinfo!CK58</f>
        <v>1.3956282666666666</v>
      </c>
      <c r="AR58" s="83">
        <f t="shared" si="136"/>
        <v>9.205592745132062</v>
      </c>
      <c r="AS58" s="19">
        <f>F58*86400*365/(Basicinfo!G58*1000000)*1000</f>
        <v>1.4041198587911035</v>
      </c>
      <c r="AT58" s="19">
        <f>G58*86400*365/(Basicinfo!G58*1000000)*1000</f>
        <v>69.989937247755691</v>
      </c>
      <c r="AU58" s="19">
        <f>H58*86400*365/(Basicinfo!G58*1000000)*1000</f>
        <v>0</v>
      </c>
      <c r="AV58" s="19">
        <f>I58*86400*365/(Basicinfo!G58*1000000)*1000</f>
        <v>1.3983475513728905</v>
      </c>
      <c r="AW58" s="19">
        <f>J58*86400*365/(Basicinfo!G58*1000000)*1000</f>
        <v>311.3002064383125</v>
      </c>
      <c r="AX58" s="53">
        <f>K58*86400*365/(Basicinfo!G58*1000000)*1000</f>
        <v>0.978827849618364</v>
      </c>
      <c r="AY58" s="53">
        <f>L58*86400*365/(Basicinfo!G58*1000000)*1000</f>
        <v>0.6574051866258247</v>
      </c>
      <c r="AZ58" s="53">
        <f>M58*86400*365/(Basicinfo!G58*1000000)*1000</f>
        <v>1.9182610845706072</v>
      </c>
      <c r="BA58" s="19">
        <f t="shared" si="123"/>
        <v>387.647105217047</v>
      </c>
      <c r="BB58" s="19">
        <f>O58*86400*365/(Basicinfo!G58*1000000)*1000</f>
        <v>7.400327773520444</v>
      </c>
      <c r="BC58" s="53">
        <f t="shared" si="137"/>
        <v>395.04743299056742</v>
      </c>
      <c r="BD58" s="56">
        <f>P58/(Basicinfo!G58*100)*1000</f>
        <v>28.535040347621596</v>
      </c>
      <c r="BE58" s="43">
        <f>Q58/(Basicinfo!G58*100)*1000</f>
        <v>65.240024266112442</v>
      </c>
      <c r="BF58" s="58">
        <f t="shared" si="138"/>
        <v>93.775064613734031</v>
      </c>
      <c r="BG58" s="61">
        <f>S58/(Basicinfo!G58*100)*1000000</f>
        <v>96.952411336736176</v>
      </c>
      <c r="BH58" s="19">
        <f>T58/(Basicinfo!G58*100)*1000000</f>
        <v>1158.9471007623049</v>
      </c>
      <c r="BI58" s="19">
        <f>U58/(Basicinfo!G58*100)*1000000</f>
        <v>0</v>
      </c>
      <c r="BJ58" s="19">
        <f>V58/(Basicinfo!G58*100)*1000000</f>
        <v>209.9107898316164</v>
      </c>
      <c r="BK58" s="19">
        <f>W58/(Basicinfo!G58*100)*1000000</f>
        <v>1.6310006066528113</v>
      </c>
      <c r="BL58" s="19">
        <f>X58/(Basicinfo!G58*100)*1000000</f>
        <v>218.74204078351704</v>
      </c>
      <c r="BM58" s="19">
        <f>Y58/(Basicinfo!G58*100)*1000000</f>
        <v>6438.5331718347516</v>
      </c>
      <c r="BN58" s="53">
        <f>Z58/(Basicinfo!G58*100)*1000000</f>
        <v>27.764553326533658</v>
      </c>
      <c r="BO58" s="53">
        <f>AA58/(Basicinfo!G58*100)*1000000</f>
        <v>49.716074871052662</v>
      </c>
      <c r="BP58" s="53">
        <f>AB58/(Basicinfo!G58*100)*1000000</f>
        <v>113.3129805951708</v>
      </c>
      <c r="BQ58" s="19">
        <f t="shared" si="125"/>
        <v>8315.5101239483356</v>
      </c>
      <c r="BR58" s="19">
        <f>AD58/(Basicinfo!G58*100)*1000000</f>
        <v>193.2306148319386</v>
      </c>
      <c r="BS58" s="53">
        <f t="shared" si="139"/>
        <v>8508.7407387802741</v>
      </c>
      <c r="BT58" s="56">
        <f>AF58/(Basicinfo!G58*100)*1000000</f>
        <v>2.3983013869269612</v>
      </c>
      <c r="BU58" s="43">
        <f>AG58/(Basicinfo!G58*100)*1000000</f>
        <v>21.840674084899398</v>
      </c>
      <c r="BV58" s="43">
        <f>AH58/(Basicinfo!G58*100)*1000000</f>
        <v>0</v>
      </c>
      <c r="BW58" s="43">
        <f>AI58/(Basicinfo!G58*100)*1000000</f>
        <v>101.39914766698445</v>
      </c>
      <c r="BX58" s="43">
        <f>AJ58/(Basicinfo!G58*100)*1000000</f>
        <v>29.358010919750605</v>
      </c>
      <c r="BY58" s="58">
        <f>AK58/(Basicinfo!G58*100)*1000000</f>
        <v>2.2811537333786385</v>
      </c>
      <c r="BZ58" s="58">
        <f>AL58/(Basicinfo!G58*100)*1000000</f>
        <v>74.901530334884029</v>
      </c>
      <c r="CA58" s="58">
        <f>AM58/(Basicinfo!G58*100)*1000000</f>
        <v>7.7288448944181063</v>
      </c>
      <c r="CB58" s="58">
        <f>AN58/(Basicinfo!G58*100)*1000000</f>
        <v>10.130760218894775</v>
      </c>
      <c r="CC58" s="58">
        <f>AO58/(Basicinfo!G58*100)*1000000</f>
        <v>17.768398302094067</v>
      </c>
      <c r="CD58" s="58">
        <f t="shared" si="126"/>
        <v>267.80682154223103</v>
      </c>
      <c r="CE58" s="58">
        <f>AQ58/(Basicinfo!G58*100)*1000000</f>
        <v>47.85665430119014</v>
      </c>
      <c r="CF58" s="43">
        <f t="shared" si="140"/>
        <v>315.66347584342117</v>
      </c>
      <c r="CG58" s="84"/>
      <c r="CH58" s="84">
        <f t="shared" si="154"/>
        <v>5.635122471111111</v>
      </c>
      <c r="CI58" s="146">
        <f t="shared" si="152"/>
        <v>5.5640528452882609</v>
      </c>
      <c r="CJ58" s="200">
        <f>Intermediate!EW58+Intermediate!EY58+Intermediate!FD58</f>
        <v>30.430653150841945</v>
      </c>
      <c r="CK58" s="180">
        <f>Intermediate!FA58+Intermediate!FF58</f>
        <v>17.303623845937199</v>
      </c>
      <c r="CL58" s="180">
        <f t="shared" si="141"/>
        <v>6.3791040072401621</v>
      </c>
      <c r="CM58" s="180">
        <f t="shared" si="142"/>
        <v>112.81734515517854</v>
      </c>
      <c r="CN58" s="202">
        <f>Intermediate!EX58+Intermediate!EZ58+Intermediate!FE58</f>
        <v>20.749824602727095</v>
      </c>
      <c r="CO58" s="180">
        <f>Intermediate!FB58+Intermediate!FG58</f>
        <v>11.641223266210208</v>
      </c>
      <c r="CP58" s="213">
        <f>Intermediate!EP58+Intermediate!EQ58+Intermediate!ER58+Intermediate!ES58+Intermediate!ET58+Intermediate!EU58+Intermediate!EV58+W58</f>
        <v>37.616728940356488</v>
      </c>
      <c r="CQ58" s="212">
        <f t="shared" si="155"/>
        <v>32.391047868937306</v>
      </c>
      <c r="CR58" s="212">
        <f t="shared" si="156"/>
        <v>166.93072615919786</v>
      </c>
      <c r="CS58" s="211">
        <f t="shared" si="143"/>
        <v>6.4448112385292031</v>
      </c>
      <c r="CT58" s="212">
        <f t="shared" si="157"/>
        <v>243.38331420702087</v>
      </c>
      <c r="CU58" s="84"/>
      <c r="CV58" s="31">
        <f t="shared" si="158"/>
        <v>248.13767828489105</v>
      </c>
      <c r="CW58" s="31">
        <f>CH58/Basicinfo!$G58*1000/100</f>
        <v>0.1932306148319386</v>
      </c>
      <c r="CX58" s="31">
        <f>CI58/Basicinfo!$G58*1000/100</f>
        <v>0.19079360879275711</v>
      </c>
      <c r="CY58" s="31">
        <f>CS58/Basicinfo!$G58*1000/100</f>
        <v>0.22099516815847228</v>
      </c>
      <c r="CZ58" s="31">
        <f>CN58/Basicinfo!$G58*1000/100</f>
        <v>0.71151982697711735</v>
      </c>
      <c r="DA58" s="31">
        <f>CO58/Basicinfo!$G58*1000/100</f>
        <v>0.39918222552528326</v>
      </c>
      <c r="DB58" s="31">
        <f>CQ58/Basicinfo!$G58*1000/100</f>
        <v>1.1107020525024007</v>
      </c>
      <c r="DC58" s="31">
        <f>CJ58/Basicinfo!$G58*1000/100</f>
        <v>1.0434793295477813</v>
      </c>
      <c r="DD58" s="31">
        <f>CK58/Basicinfo!$G58*1000/100</f>
        <v>0.59334821766735513</v>
      </c>
      <c r="DE58" s="31">
        <f>CM58/Basicinfo!$G58*1000/100</f>
        <v>3.8685521175094872</v>
      </c>
      <c r="DF58" s="31">
        <f>CR58/Basicinfo!$G58*1000/100</f>
        <v>5.7241217055081401</v>
      </c>
      <c r="DG58" s="31">
        <f>CP58/Basicinfo!$G58*1000/100</f>
        <v>1.2898927571450367</v>
      </c>
      <c r="DH58" s="31">
        <f>CT58/Basicinfo!$G58*1000/100</f>
        <v>8.3457116833140521</v>
      </c>
      <c r="DI58" s="31">
        <f>CV58/Basicinfo!$G58*1000/100</f>
        <v>8.5087407387802756</v>
      </c>
      <c r="DJ58" s="31"/>
      <c r="DK58" s="188">
        <f t="shared" si="159"/>
        <v>2.3153281848721554</v>
      </c>
      <c r="DL58" s="188">
        <f t="shared" si="160"/>
        <v>2.2861274871766679</v>
      </c>
      <c r="DM58" s="188">
        <f t="shared" si="161"/>
        <v>2.6480086605474003</v>
      </c>
      <c r="DN58" s="188">
        <f t="shared" si="162"/>
        <v>8.5255740190460951</v>
      </c>
      <c r="DO58" s="188">
        <f t="shared" si="163"/>
        <v>4.7830819068838171</v>
      </c>
      <c r="DP58" s="188">
        <f t="shared" si="164"/>
        <v>13.308655925929912</v>
      </c>
      <c r="DQ58" s="188">
        <f t="shared" ref="DQ58:DQ71" si="225">CJ58/$CT58*100</f>
        <v>12.503179706459971</v>
      </c>
      <c r="DR58" s="188">
        <f t="shared" ref="DR58:DR71" si="226">CK58/$CT58*100</f>
        <v>7.10961797127095</v>
      </c>
      <c r="DS58" s="188">
        <f t="shared" ref="DS58:DS71" si="227">CM58/$CT58*100</f>
        <v>46.353771425438211</v>
      </c>
      <c r="DT58" s="188">
        <f t="shared" si="165"/>
        <v>68.587580337248284</v>
      </c>
      <c r="DU58" s="188">
        <f t="shared" si="166"/>
        <v>15.455755076274395</v>
      </c>
      <c r="DV58" s="188">
        <f t="shared" ref="DV58:DV71" si="228">CT58/$CT58*100</f>
        <v>100</v>
      </c>
      <c r="DW58" s="188">
        <f t="shared" ref="DW58:DW71" si="229">CV58/$CT58*100</f>
        <v>101.95344701150142</v>
      </c>
      <c r="DY58" s="181">
        <f t="shared" si="167"/>
        <v>1.3956282666666666</v>
      </c>
      <c r="DZ58" s="181">
        <f t="shared" si="127"/>
        <v>1.0390080413582505</v>
      </c>
      <c r="EA58" s="185">
        <f t="shared" si="168"/>
        <v>6.6524554994565319E-2</v>
      </c>
      <c r="EB58" s="185">
        <f>AG58+AH58+AL58-Intermediate!FJ58-Intermediate!FM58</f>
        <v>2.2216488518448623</v>
      </c>
      <c r="EC58" s="185">
        <f>AI58+AJ58-Intermediate!FK58</f>
        <v>2.796880179247375</v>
      </c>
      <c r="ED58" s="240">
        <f t="shared" si="169"/>
        <v>6.9940894457761915E-2</v>
      </c>
      <c r="EE58" s="240">
        <f>Intermediate!FJ58+Intermediate!FK58+Intermediate!FM58</f>
        <v>1.6159619565625805</v>
      </c>
      <c r="EF58" s="240">
        <f t="shared" si="170"/>
        <v>5.0850535860868025</v>
      </c>
      <c r="EG58" s="240">
        <f t="shared" si="171"/>
        <v>2.4346363080249169</v>
      </c>
      <c r="EH58" s="240">
        <f t="shared" si="172"/>
        <v>9.205592745132062</v>
      </c>
      <c r="EI58" s="181">
        <f t="shared" si="173"/>
        <v>9.205592745132062</v>
      </c>
      <c r="EK58" s="31">
        <f>DY58/Basicinfo!$G58*1000/100</f>
        <v>4.7856654301190141E-2</v>
      </c>
      <c r="EL58" s="31">
        <f>DZ58/Basicinfo!$G58*1000/100</f>
        <v>3.5628003415406943E-2</v>
      </c>
      <c r="EM58" s="220">
        <f>EG58/Basicinfo!$G58*1000/100</f>
        <v>8.3484657716597077E-2</v>
      </c>
      <c r="EN58" s="220">
        <f>ED58/Basicinfo!$G58*1000/100</f>
        <v>2.3983013869269616E-3</v>
      </c>
      <c r="EO58" s="220">
        <f>EF58/Basicinfo!$G58*1000/100</f>
        <v>0.17436853163888102</v>
      </c>
      <c r="EP58" s="220">
        <f>EE58/Basicinfo!$G58*1000/100</f>
        <v>5.5411985101016102E-2</v>
      </c>
      <c r="EQ58" s="220">
        <f>EH58/Basicinfo!$G58*1000/100</f>
        <v>0.31566347584342119</v>
      </c>
      <c r="ER58" s="31">
        <f>EI58/Basicinfo!$G58*1000/100</f>
        <v>0.31566347584342119</v>
      </c>
      <c r="ET58" s="188">
        <f t="shared" ref="ET58:ET71" si="230">EK58/$ER58*100</f>
        <v>15.160656193537106</v>
      </c>
      <c r="EU58" s="188">
        <f t="shared" ref="EU58:EU71" si="231">EL58/$ER58*100</f>
        <v>11.286704399428057</v>
      </c>
      <c r="EV58" s="223">
        <f t="shared" ref="EV58:EV71" si="232">EM58/$ER58*100</f>
        <v>26.447360592965165</v>
      </c>
      <c r="EW58" s="223">
        <f t="shared" ref="EW58:EW71" si="233">EN58/$ER58*100</f>
        <v>0.75976524699886183</v>
      </c>
      <c r="EX58" s="223">
        <f t="shared" ref="EX58:EX71" si="234">EO58/$ER58*100</f>
        <v>55.238741565835504</v>
      </c>
      <c r="EY58" s="223">
        <f t="shared" ref="EY58:EY71" si="235">EP58/$ER58*100</f>
        <v>17.55413259420046</v>
      </c>
      <c r="EZ58" s="223">
        <f t="shared" ref="EZ58:EZ71" si="236">EQ58/$ER58*100</f>
        <v>100</v>
      </c>
      <c r="FA58" s="188">
        <f t="shared" ref="FA58:FA71" si="237">ER58/$ER58*100</f>
        <v>100</v>
      </c>
      <c r="FC58" s="236">
        <f>Basicinfo!CT58</f>
        <v>3.9414516129032253</v>
      </c>
      <c r="FD58" s="181">
        <f>IF((Intermediate!CL58+Intermediate!CM58*3)/4&gt;11,(Intermediate!CL58+Intermediate!CM58*9)/10,(Intermediate!CL58+Intermediate!CM58*3)/4)</f>
        <v>3.046228943081049</v>
      </c>
      <c r="FF58" s="31">
        <f t="shared" si="174"/>
        <v>6.9940894457761915E-2</v>
      </c>
      <c r="FG58" s="31">
        <f t="shared" si="175"/>
        <v>0.63693257627459532</v>
      </c>
      <c r="FH58" s="31">
        <f t="shared" si="176"/>
        <v>0</v>
      </c>
      <c r="FI58" s="31">
        <f>(AI58-(P58*450/1000000))*Parameters!$C$153</f>
        <v>2.0660797040640708</v>
      </c>
      <c r="FJ58" s="31"/>
      <c r="FK58" s="31">
        <f t="shared" si="177"/>
        <v>6.6524554994565319E-2</v>
      </c>
      <c r="FL58" s="31">
        <f t="shared" si="178"/>
        <v>2.1843293159203419</v>
      </c>
      <c r="FM58" s="31">
        <f>AM58*Parameters!$C$154</f>
        <v>0.20285444322750337</v>
      </c>
      <c r="FN58" s="31">
        <f>AN58*Parameters!$C$154</f>
        <v>0.26589610113141793</v>
      </c>
      <c r="FO58" s="31">
        <f>AO58*Parameters!$C$154</f>
        <v>0.46635669286350434</v>
      </c>
      <c r="FP58" s="31">
        <f>AQ58*Parameters!$C$155</f>
        <v>1.3956282666666666</v>
      </c>
      <c r="FQ58" s="31">
        <f t="shared" ref="FQ58:FQ71" si="238">SUM(FF58:FP58)</f>
        <v>7.3545425496004269</v>
      </c>
      <c r="FS58" s="147">
        <f>DY58*Parameters!$C$155</f>
        <v>1.3956282666666666</v>
      </c>
      <c r="FT58" s="147">
        <f>DZ58*Parameters!$C$154</f>
        <v>0.9351072372224255</v>
      </c>
      <c r="FU58" s="181">
        <f t="shared" ref="FU58:FU71" si="239">EA58</f>
        <v>6.6524554994565319E-2</v>
      </c>
      <c r="FV58" s="181">
        <f t="shared" ref="FV58:FV71" si="240">EB58</f>
        <v>2.2216488518448623</v>
      </c>
      <c r="FW58" s="31">
        <f t="shared" ref="FW58:FW71" si="241">FQ58-FS58-FT58-FU58-FV58-FX58-FY58</f>
        <v>2.0660797040640704</v>
      </c>
      <c r="FX58" s="181">
        <f t="shared" ref="FX58:FX71" si="242">ED58</f>
        <v>6.9940894457761915E-2</v>
      </c>
      <c r="FY58" s="147">
        <f>Intermediate!FJ58+Intermediate!FM58</f>
        <v>0.59961304035007512</v>
      </c>
      <c r="FZ58" s="181">
        <f t="shared" ref="FZ58:FZ71" si="243">SUM(FU58:FW58)</f>
        <v>4.3542531109034979</v>
      </c>
      <c r="GA58" s="147">
        <f t="shared" ref="GA58:GA71" si="244">SUM(FS58:FT58)</f>
        <v>2.330735503889092</v>
      </c>
      <c r="GB58" s="181">
        <f t="shared" ref="GB58:GB71" si="245">SUM(FX58:GA58)</f>
        <v>7.3545425496004269</v>
      </c>
      <c r="GD58" s="147">
        <f>IF('River loads'!CH58&gt;0.99,1,0)</f>
        <v>1</v>
      </c>
      <c r="GE58" s="147">
        <f t="shared" si="179"/>
        <v>6.9940894457761915E-2</v>
      </c>
      <c r="GF58" s="147">
        <f t="shared" si="180"/>
        <v>0.63693257627459532</v>
      </c>
      <c r="GG58" s="147">
        <f t="shared" si="181"/>
        <v>0</v>
      </c>
      <c r="GH58" s="147">
        <f t="shared" si="182"/>
        <v>2.9570708351091635</v>
      </c>
      <c r="GI58" s="147">
        <f t="shared" si="183"/>
        <v>0.85615826035071685</v>
      </c>
      <c r="GJ58" s="147">
        <f t="shared" si="184"/>
        <v>6.6524554994565319E-2</v>
      </c>
      <c r="GK58" s="147">
        <f t="shared" si="185"/>
        <v>2.1843293159203419</v>
      </c>
      <c r="GL58" s="147">
        <f t="shared" si="186"/>
        <v>0.22539382580833708</v>
      </c>
      <c r="GM58" s="270">
        <f t="shared" si="128"/>
        <v>0.29544011236824214</v>
      </c>
      <c r="GN58" s="270">
        <f t="shared" si="129"/>
        <v>0.51817410318167145</v>
      </c>
      <c r="GO58" s="147">
        <f t="shared" si="187"/>
        <v>1.3956282666666666</v>
      </c>
      <c r="GP58" s="147">
        <f t="shared" ref="GP58:GP71" si="246">SUM(GE58:GO58)</f>
        <v>9.205592745132062</v>
      </c>
      <c r="GQ58" s="147"/>
      <c r="GR58" s="147">
        <f t="shared" ref="GR58:GR71" si="247">$GD58*FF58</f>
        <v>6.9940894457761915E-2</v>
      </c>
      <c r="GS58" s="147">
        <f t="shared" si="188"/>
        <v>0.63693257627459532</v>
      </c>
      <c r="GT58" s="147">
        <f t="shared" si="189"/>
        <v>0</v>
      </c>
      <c r="GU58" s="147">
        <f t="shared" si="190"/>
        <v>2.0660797040640708</v>
      </c>
      <c r="GV58" s="147">
        <f t="shared" si="191"/>
        <v>0</v>
      </c>
      <c r="GW58" s="147">
        <f t="shared" si="192"/>
        <v>6.6524554994565319E-2</v>
      </c>
      <c r="GX58" s="147">
        <f t="shared" si="193"/>
        <v>2.1843293159203419</v>
      </c>
      <c r="GY58" s="147">
        <f t="shared" si="194"/>
        <v>0.20285444322750337</v>
      </c>
      <c r="GZ58" s="147">
        <f t="shared" si="130"/>
        <v>0.26589610113141793</v>
      </c>
      <c r="HA58" s="147">
        <f t="shared" si="131"/>
        <v>0.46635669286350434</v>
      </c>
      <c r="HB58" s="147">
        <f t="shared" si="195"/>
        <v>1.3956282666666666</v>
      </c>
      <c r="HC58" s="147">
        <f t="shared" si="196"/>
        <v>7.3545425496004269</v>
      </c>
      <c r="HD58" s="147"/>
      <c r="HE58" s="147">
        <f t="shared" si="197"/>
        <v>1.3956282666666666</v>
      </c>
      <c r="HF58" s="147">
        <f t="shared" si="198"/>
        <v>1.0390080413582505</v>
      </c>
      <c r="HG58" s="147">
        <f t="shared" si="199"/>
        <v>6.6524554994565319E-2</v>
      </c>
      <c r="HH58" s="147">
        <f t="shared" si="200"/>
        <v>2.2216488518448623</v>
      </c>
      <c r="HI58" s="147">
        <f t="shared" si="201"/>
        <v>2.796880179247375</v>
      </c>
      <c r="HJ58" s="147">
        <f t="shared" si="202"/>
        <v>6.9940894457761915E-2</v>
      </c>
      <c r="HK58" s="147">
        <f t="shared" si="203"/>
        <v>1.6159619565625805</v>
      </c>
      <c r="HL58" s="147">
        <f t="shared" si="204"/>
        <v>5.0850535860868025</v>
      </c>
      <c r="HM58" s="147">
        <f t="shared" si="205"/>
        <v>2.4346363080249169</v>
      </c>
      <c r="HN58" s="147">
        <f t="shared" si="206"/>
        <v>9.205592745132062</v>
      </c>
      <c r="HO58" s="147">
        <f t="shared" si="207"/>
        <v>9.205592745132062</v>
      </c>
      <c r="HQ58" s="147">
        <f t="shared" ref="HQ58:HQ71" si="248">FS58*$GD58</f>
        <v>1.3956282666666666</v>
      </c>
      <c r="HR58" s="147">
        <f t="shared" si="208"/>
        <v>0.9351072372224255</v>
      </c>
      <c r="HS58" s="147">
        <f t="shared" si="209"/>
        <v>6.6524554994565319E-2</v>
      </c>
      <c r="HT58" s="147">
        <f t="shared" si="210"/>
        <v>2.2216488518448623</v>
      </c>
      <c r="HU58" s="147">
        <f t="shared" si="211"/>
        <v>2.0660797040640704</v>
      </c>
      <c r="HV58" s="147">
        <f t="shared" si="212"/>
        <v>6.9940894457761915E-2</v>
      </c>
      <c r="HW58" s="147">
        <f t="shared" si="213"/>
        <v>0.59961304035007512</v>
      </c>
      <c r="HX58" s="147">
        <f t="shared" si="214"/>
        <v>4.3542531109034979</v>
      </c>
      <c r="HY58" s="147">
        <f t="shared" si="215"/>
        <v>2.330735503889092</v>
      </c>
      <c r="HZ58" s="147">
        <f t="shared" si="216"/>
        <v>7.3545425496004269</v>
      </c>
      <c r="IB58" s="147">
        <f>IF('River loads'!CI58&gt;0.99,1,0)</f>
        <v>0</v>
      </c>
      <c r="IC58">
        <f t="shared" si="144"/>
        <v>0</v>
      </c>
      <c r="ID58">
        <f t="shared" si="145"/>
        <v>0</v>
      </c>
      <c r="IE58">
        <f t="shared" si="146"/>
        <v>0</v>
      </c>
      <c r="IF58">
        <f t="shared" si="147"/>
        <v>0</v>
      </c>
      <c r="IG58">
        <f t="shared" si="148"/>
        <v>0</v>
      </c>
      <c r="IH58">
        <f t="shared" si="149"/>
        <v>0</v>
      </c>
      <c r="II58">
        <f t="shared" si="150"/>
        <v>0</v>
      </c>
      <c r="IJ58">
        <f t="shared" si="151"/>
        <v>0</v>
      </c>
      <c r="IK58">
        <f t="shared" si="132"/>
        <v>0</v>
      </c>
      <c r="IL58">
        <f t="shared" si="133"/>
        <v>0</v>
      </c>
      <c r="IM58">
        <f t="shared" ref="IM58:IM71" si="249">$IB58*AD58</f>
        <v>0</v>
      </c>
      <c r="IN58">
        <f t="shared" ref="IN58:IN71" si="250">$IB58*AE58</f>
        <v>0</v>
      </c>
      <c r="IP58">
        <f t="shared" ref="IP58:IP71" si="251">CH58*$IB58</f>
        <v>0</v>
      </c>
      <c r="IQ58">
        <f t="shared" si="217"/>
        <v>0</v>
      </c>
      <c r="IR58">
        <f t="shared" si="218"/>
        <v>0</v>
      </c>
      <c r="IS58">
        <f t="shared" si="219"/>
        <v>0</v>
      </c>
      <c r="IT58">
        <f t="shared" si="220"/>
        <v>0</v>
      </c>
      <c r="IU58">
        <f t="shared" si="221"/>
        <v>0</v>
      </c>
      <c r="IV58">
        <f t="shared" si="222"/>
        <v>0</v>
      </c>
      <c r="IW58">
        <f t="shared" si="223"/>
        <v>0</v>
      </c>
      <c r="IX58">
        <f t="shared" si="224"/>
        <v>0</v>
      </c>
    </row>
    <row r="59" spans="1:258">
      <c r="A59" s="39" t="str">
        <f>Basicinfo!A59</f>
        <v>Kartenbach</v>
      </c>
      <c r="B59" s="63">
        <f>Basicinfo!B59</f>
        <v>3650</v>
      </c>
      <c r="C59" s="63">
        <f>Basicinfo!C59</f>
        <v>0</v>
      </c>
      <c r="D59" s="130">
        <f>Basicinfo!G59</f>
        <v>67.72</v>
      </c>
      <c r="E59" s="87">
        <f t="shared" si="153"/>
        <v>0.77814879415982197</v>
      </c>
      <c r="F59" s="19">
        <f>Intermediate!AR59</f>
        <v>1.1033929543039194E-3</v>
      </c>
      <c r="G59" s="19">
        <f>Intermediate!AU59</f>
        <v>0.1365056702498828</v>
      </c>
      <c r="H59" s="19">
        <f>Intermediate!AW59</f>
        <v>0</v>
      </c>
      <c r="I59" s="19">
        <f>Intermediate!AZ59</f>
        <v>5.5928127381486913E-2</v>
      </c>
      <c r="J59" s="19">
        <f>Intermediate!BA59</f>
        <v>0.56771974004936876</v>
      </c>
      <c r="K59" s="19">
        <f>Intermediate!AC59</f>
        <v>1.1823867059509577E-3</v>
      </c>
      <c r="L59" s="19">
        <f>Intermediate!AO59</f>
        <v>1.4447386154238793E-3</v>
      </c>
      <c r="M59" s="19">
        <f>Intermediate!AP59</f>
        <v>4.1565618863914217E-3</v>
      </c>
      <c r="N59" s="19">
        <f t="shared" si="119"/>
        <v>0.76804061784280864</v>
      </c>
      <c r="O59" s="19">
        <f>Basicinfo!CB59+Basicinfo!CG59</f>
        <v>1.010817631701336E-2</v>
      </c>
      <c r="P59" s="56">
        <f>Intermediate!BK59-Intermediate!BI59</f>
        <v>128.20815291189393</v>
      </c>
      <c r="Q59" s="43">
        <f>Intermediate!BI59</f>
        <v>230.31035561169625</v>
      </c>
      <c r="R59" s="88">
        <f t="shared" si="134"/>
        <v>358.51850852359019</v>
      </c>
      <c r="S59" s="61">
        <f>Intermediate!F59*Intermediate!BO59/1000</f>
        <v>0.24221790189872716</v>
      </c>
      <c r="T59" s="19">
        <f>Intermediate!BU59*Intermediate!AU59*86.4*0.365</f>
        <v>7.2004133264464016</v>
      </c>
      <c r="U59" s="19">
        <f>Intermediate!AW59*Intermediate!BS59*0.365*86.4</f>
        <v>0</v>
      </c>
      <c r="V59" s="19">
        <f>(Basicinfo!BL59/1000000)*(Intermediate!BK59-Intermediate!BF59-Intermediate!BG59-Intermediate!BH59)*Intermediate!CV59</f>
        <v>1.3221106987921618</v>
      </c>
      <c r="W59" s="19">
        <f>Intermediate!BI59*Parameters!$C$51/1000000</f>
        <v>5.7577588902924066E-3</v>
      </c>
      <c r="X59" s="19">
        <f>Intermediate!AZ59*Intermediate!CG59*86.4*0.365</f>
        <v>26.952094487071271</v>
      </c>
      <c r="Y59" s="19">
        <f>Intermediate!CM59*Intermediate!BA59*86.4*0.365+Parameters!$C$126*Intermediate!BB59*Basicinfo!P59/1000+Parameters!$C$127*Intermediate!BB59*Basicinfo!S59/1000</f>
        <v>28.780076815187321</v>
      </c>
      <c r="Z59" s="19">
        <f>Intermediate!DG59</f>
        <v>0.10714421571260473</v>
      </c>
      <c r="AA59" s="19">
        <f>Intermediate!DI59</f>
        <v>0.33421151576372643</v>
      </c>
      <c r="AB59" s="19">
        <f>Intermediate!DK59</f>
        <v>1.1794100605790947</v>
      </c>
      <c r="AC59" s="19">
        <f t="shared" si="120"/>
        <v>66.123436780341621</v>
      </c>
      <c r="AD59" s="19">
        <f>Basicinfo!CC59+Basicinfo!CE59+Basicinfo!CH59+Basicinfo!CJ59</f>
        <v>0.6888943666666667</v>
      </c>
      <c r="AE59" s="87">
        <f t="shared" si="135"/>
        <v>66.812331147008294</v>
      </c>
      <c r="AF59" s="56">
        <f>Intermediate!F59*Basicinfo!BD59/1000</f>
        <v>6.4940771419579974E-3</v>
      </c>
      <c r="AG59" s="43">
        <f>Intermediate!CA59*Intermediate!AU59*86.4*0.365</f>
        <v>0.13558781187418059</v>
      </c>
      <c r="AH59" s="43">
        <f>Intermediate!AW59*Intermediate!BZ59*0.365*86.4</f>
        <v>0</v>
      </c>
      <c r="AI59" s="43">
        <f>(Intermediate!CU59/1000000)*(Intermediate!BK59-Intermediate!BF59-Intermediate!BG59-Intermediate!BH59)*Intermediate!CW59</f>
        <v>0.48085011292562252</v>
      </c>
      <c r="AJ59" s="43">
        <f>Intermediate!BF59*Parameters!$C$52/1000000+(Intermediate!BG59+Intermediate!BH59)*Intermediate!CX59/1000000</f>
        <v>0.10363966002526331</v>
      </c>
      <c r="AK59" s="43">
        <f>Intermediate!AZ59*Intermediate!CH59*86.4*0.365</f>
        <v>0.3517808354494647</v>
      </c>
      <c r="AL59" s="58">
        <f>Intermediate!CR59*Intermediate!BA59*86.4*0.365</f>
        <v>0.60849460087502383</v>
      </c>
      <c r="AM59" s="43">
        <f>Intermediate!DH59</f>
        <v>2.9968231428099377E-2</v>
      </c>
      <c r="AN59" s="42">
        <f>Intermediate!DJ59</f>
        <v>6.8922377206138863E-2</v>
      </c>
      <c r="AO59" s="42">
        <f>Intermediate!DL59</f>
        <v>0.17700380672239402</v>
      </c>
      <c r="AP59" s="42">
        <f t="shared" si="122"/>
        <v>1.9627415136481452</v>
      </c>
      <c r="AQ59" s="43">
        <f>Basicinfo!CD59+Basicinfo!CF59+Basicinfo!CI59+Basicinfo!CK59</f>
        <v>0.30080983333333333</v>
      </c>
      <c r="AR59" s="83">
        <f t="shared" si="136"/>
        <v>2.2635513469814788</v>
      </c>
      <c r="AS59" s="19">
        <f>F59*86400*365/(Basicinfo!G59*1000000)*1000</f>
        <v>0.51383048149628474</v>
      </c>
      <c r="AT59" s="19">
        <f>G59*86400*365/(Basicinfo!G59*1000000)*1000</f>
        <v>63.568263688722745</v>
      </c>
      <c r="AU59" s="19">
        <f>H59*86400*365/(Basicinfo!G59*1000000)*1000</f>
        <v>0</v>
      </c>
      <c r="AV59" s="19">
        <f>I59*86400*365/(Basicinfo!G59*1000000)*1000</f>
        <v>26.044734570327396</v>
      </c>
      <c r="AW59" s="19">
        <f>J59*86400*365/(Basicinfo!G59*1000000)*1000</f>
        <v>264.37698940042662</v>
      </c>
      <c r="AX59" s="53">
        <f>K59*86400*365/(Basicinfo!G59*1000000)*1000</f>
        <v>0.55061646720126112</v>
      </c>
      <c r="AY59" s="53">
        <f>L59*86400*365/(Basicinfo!G59*1000000)*1000</f>
        <v>0.67278908706449292</v>
      </c>
      <c r="AZ59" s="53">
        <f>M59*86400*365/(Basicinfo!G59*1000000)*1000</f>
        <v>1.9356369706030694</v>
      </c>
      <c r="BA59" s="19">
        <f t="shared" si="123"/>
        <v>357.66286066584189</v>
      </c>
      <c r="BB59" s="19">
        <f>O59*86400*365/(Basicinfo!G59*1000000)*1000</f>
        <v>4.7071979966528845</v>
      </c>
      <c r="BC59" s="53">
        <f t="shared" si="137"/>
        <v>362.37005866249478</v>
      </c>
      <c r="BD59" s="56">
        <f>P59/(Basicinfo!G59*100)*1000</f>
        <v>18.932095822784099</v>
      </c>
      <c r="BE59" s="43">
        <f>Q59/(Basicinfo!G59*100)*1000</f>
        <v>34.009207857604295</v>
      </c>
      <c r="BF59" s="58">
        <f t="shared" si="138"/>
        <v>52.941303680388394</v>
      </c>
      <c r="BG59" s="61">
        <f>S59/(Basicinfo!G59*100)*1000000</f>
        <v>35.767557870455867</v>
      </c>
      <c r="BH59" s="19">
        <f>T59/(Basicinfo!G59*100)*1000000</f>
        <v>1063.262452221855</v>
      </c>
      <c r="BI59" s="19">
        <f>U59/(Basicinfo!G59*100)*1000000</f>
        <v>0</v>
      </c>
      <c r="BJ59" s="19">
        <f>V59/(Basicinfo!G59*100)*1000000</f>
        <v>195.23194016422946</v>
      </c>
      <c r="BK59" s="19">
        <f>W59/(Basicinfo!G59*100)*1000000</f>
        <v>0.85023019644010733</v>
      </c>
      <c r="BL59" s="19">
        <f>X59/(Basicinfo!G59*100)*1000000</f>
        <v>3979.93125916587</v>
      </c>
      <c r="BM59" s="19">
        <f>Y59/(Basicinfo!G59*100)*1000000</f>
        <v>4249.8636761942298</v>
      </c>
      <c r="BN59" s="53">
        <f>Z59/(Basicinfo!G59*100)*1000000</f>
        <v>15.821650282428342</v>
      </c>
      <c r="BO59" s="53">
        <f>AA59/(Basicinfo!G59*100)*1000000</f>
        <v>49.351966297065339</v>
      </c>
      <c r="BP59" s="53">
        <f>AB59/(Basicinfo!G59*100)*1000000</f>
        <v>174.15978449189231</v>
      </c>
      <c r="BQ59" s="19">
        <f t="shared" si="125"/>
        <v>9764.2405168844653</v>
      </c>
      <c r="BR59" s="19">
        <f>AD59/(Basicinfo!G59*100)*1000000</f>
        <v>101.72687044693838</v>
      </c>
      <c r="BS59" s="53">
        <f t="shared" si="139"/>
        <v>9865.9673873314041</v>
      </c>
      <c r="BT59" s="56">
        <f>AF59/(Basicinfo!G59*100)*1000000</f>
        <v>0.95896000324246855</v>
      </c>
      <c r="BU59" s="43">
        <f>AG59/(Basicinfo!G59*100)*1000000</f>
        <v>20.021826915856558</v>
      </c>
      <c r="BV59" s="43">
        <f>AH59/(Basicinfo!G59*100)*1000000</f>
        <v>0</v>
      </c>
      <c r="BW59" s="43">
        <f>AI59/(Basicinfo!G59*100)*1000000</f>
        <v>71.005628016187615</v>
      </c>
      <c r="BX59" s="43">
        <f>AJ59/(Basicinfo!G59*100)*1000000</f>
        <v>15.304143535921929</v>
      </c>
      <c r="BY59" s="58">
        <f>AK59/(Basicinfo!G59*100)*1000000</f>
        <v>51.946372629867795</v>
      </c>
      <c r="BZ59" s="58">
        <f>AL59/(Basicinfo!G59*100)*1000000</f>
        <v>89.854489201864112</v>
      </c>
      <c r="CA59" s="58">
        <f>AM59/(Basicinfo!G59*100)*1000000</f>
        <v>4.4253147413023299</v>
      </c>
      <c r="CB59" s="58">
        <f>AN59/(Basicinfo!G59*100)*1000000</f>
        <v>10.177551270841533</v>
      </c>
      <c r="CC59" s="58">
        <f>AO59/(Basicinfo!G59*100)*1000000</f>
        <v>26.137596976136152</v>
      </c>
      <c r="CD59" s="58">
        <f t="shared" si="126"/>
        <v>289.83188329122049</v>
      </c>
      <c r="CE59" s="58">
        <f>AQ59/(Basicinfo!G59*100)*1000000</f>
        <v>44.419644615081708</v>
      </c>
      <c r="CF59" s="43">
        <f t="shared" si="140"/>
        <v>334.25152790630221</v>
      </c>
      <c r="CG59" s="84"/>
      <c r="CH59" s="84">
        <f t="shared" si="154"/>
        <v>0.6888943666666667</v>
      </c>
      <c r="CI59" s="146">
        <f t="shared" si="152"/>
        <v>1.6207657920554259</v>
      </c>
      <c r="CJ59" s="200">
        <f>Intermediate!EW59+Intermediate!EY59+Intermediate!FD59</f>
        <v>4.8000962664943838</v>
      </c>
      <c r="CK59" s="180">
        <f>Intermediate!FA59+Intermediate!FF59</f>
        <v>4.8316459200731989</v>
      </c>
      <c r="CL59" s="180">
        <f t="shared" si="141"/>
        <v>26.952094487071271</v>
      </c>
      <c r="CM59" s="180">
        <f t="shared" si="142"/>
        <v>15.058945908821268</v>
      </c>
      <c r="CN59" s="202">
        <f>Intermediate!EX59+Intermediate!EZ59+Intermediate!FE59</f>
        <v>3.141645277962799</v>
      </c>
      <c r="CO59" s="180">
        <f>Intermediate!FB59+Intermediate!FG59</f>
        <v>3.1669207930531638</v>
      </c>
      <c r="CP59" s="213">
        <f>Intermediate!EP59+Intermediate!EQ59+Intermediate!ER59+Intermediate!ES59+Intermediate!ET59+Intermediate!EU59+Intermediate!EV59+W59</f>
        <v>6.5513223348100782</v>
      </c>
      <c r="CQ59" s="212">
        <f t="shared" si="155"/>
        <v>6.3085660710159628</v>
      </c>
      <c r="CR59" s="212">
        <f t="shared" si="156"/>
        <v>51.642782582460121</v>
      </c>
      <c r="CS59" s="211">
        <f t="shared" si="143"/>
        <v>0.79603858237927139</v>
      </c>
      <c r="CT59" s="212">
        <f t="shared" si="157"/>
        <v>65.298709570665437</v>
      </c>
      <c r="CU59" s="84"/>
      <c r="CV59" s="31">
        <f t="shared" si="158"/>
        <v>66.812331147008294</v>
      </c>
      <c r="CW59" s="31">
        <f>CH59/Basicinfo!$G59*1000/100</f>
        <v>0.10172687044693837</v>
      </c>
      <c r="CX59" s="31">
        <f>CI59/Basicinfo!$G59*1000/100</f>
        <v>0.23933340107138601</v>
      </c>
      <c r="CY59" s="31">
        <f>CS59/Basicinfo!$G59*1000/100</f>
        <v>0.11754852072936671</v>
      </c>
      <c r="CZ59" s="31">
        <f>CN59/Basicinfo!$G59*1000/100</f>
        <v>0.46391690460171281</v>
      </c>
      <c r="DA59" s="31">
        <f>CO59/Basicinfo!$G59*1000/100</f>
        <v>0.46764926063986473</v>
      </c>
      <c r="DB59" s="31">
        <f>CQ59/Basicinfo!$G59*1000/100</f>
        <v>0.93156616524157754</v>
      </c>
      <c r="DC59" s="31">
        <f>CJ59/Basicinfo!$G59*1000/100</f>
        <v>0.70881516043921788</v>
      </c>
      <c r="DD59" s="31">
        <f>CK59/Basicinfo!$G59*1000/100</f>
        <v>0.71347399882947415</v>
      </c>
      <c r="DE59" s="31">
        <f>CM59/Basicinfo!$G59*1000/100</f>
        <v>2.2237073108123551</v>
      </c>
      <c r="DF59" s="31">
        <f>CR59/Basicinfo!$G59*1000/100</f>
        <v>7.6259277292469179</v>
      </c>
      <c r="DG59" s="31">
        <f>CP59/Basicinfo!$G59*1000/100</f>
        <v>0.96741322132458318</v>
      </c>
      <c r="DH59" s="31">
        <f>CT59/Basicinfo!$G59*1000/100</f>
        <v>9.6424556365424454</v>
      </c>
      <c r="DI59" s="31">
        <f>CV59/Basicinfo!$G59*1000/100</f>
        <v>9.8659673873314073</v>
      </c>
      <c r="DJ59" s="31"/>
      <c r="DK59" s="188">
        <f t="shared" si="159"/>
        <v>1.0549892504707983</v>
      </c>
      <c r="DL59" s="188">
        <f t="shared" si="160"/>
        <v>2.4820793591662844</v>
      </c>
      <c r="DM59" s="188">
        <f t="shared" si="161"/>
        <v>1.2190724558160042</v>
      </c>
      <c r="DN59" s="188">
        <f t="shared" si="162"/>
        <v>4.8111904486610877</v>
      </c>
      <c r="DO59" s="188">
        <f t="shared" si="163"/>
        <v>4.8498979748228592</v>
      </c>
      <c r="DP59" s="188">
        <f t="shared" si="164"/>
        <v>9.6610884234839478</v>
      </c>
      <c r="DQ59" s="188">
        <f t="shared" si="225"/>
        <v>7.3509818158041558</v>
      </c>
      <c r="DR59" s="188">
        <f t="shared" si="226"/>
        <v>7.3992977071690103</v>
      </c>
      <c r="DS59" s="188">
        <f t="shared" si="227"/>
        <v>23.061628641412383</v>
      </c>
      <c r="DT59" s="188">
        <f t="shared" si="165"/>
        <v>79.086987969605985</v>
      </c>
      <c r="DU59" s="188">
        <f t="shared" si="166"/>
        <v>10.032851151094066</v>
      </c>
      <c r="DV59" s="188">
        <f t="shared" si="228"/>
        <v>100</v>
      </c>
      <c r="DW59" s="188">
        <f t="shared" si="229"/>
        <v>102.31799615382113</v>
      </c>
      <c r="DY59" s="181">
        <f t="shared" si="167"/>
        <v>0.30080983333333333</v>
      </c>
      <c r="DZ59" s="181">
        <f t="shared" si="127"/>
        <v>0.27589441535663228</v>
      </c>
      <c r="EA59" s="185">
        <f t="shared" si="168"/>
        <v>0.3517808354494647</v>
      </c>
      <c r="EB59" s="185">
        <f>AG59+AH59+AL59-Intermediate!FJ59-Intermediate!FM59</f>
        <v>0.62556691473006398</v>
      </c>
      <c r="EC59" s="185">
        <f>AI59+AJ59-Intermediate!FK59</f>
        <v>0.44454049054951811</v>
      </c>
      <c r="ED59" s="240">
        <f t="shared" si="169"/>
        <v>6.4940771419579974E-3</v>
      </c>
      <c r="EE59" s="240">
        <f>Intermediate!FJ59+Intermediate!FK59+Intermediate!FM59</f>
        <v>0.25846478042050808</v>
      </c>
      <c r="EF59" s="240">
        <f t="shared" si="170"/>
        <v>1.421888240729047</v>
      </c>
      <c r="EG59" s="240">
        <f t="shared" si="171"/>
        <v>0.57670424868996562</v>
      </c>
      <c r="EH59" s="240">
        <f t="shared" si="172"/>
        <v>2.2635513469814788</v>
      </c>
      <c r="EI59" s="181">
        <f t="shared" si="173"/>
        <v>2.2635513469814788</v>
      </c>
      <c r="EK59" s="31">
        <f>DY59/Basicinfo!$G59*1000/100</f>
        <v>4.4419644615081709E-2</v>
      </c>
      <c r="EL59" s="31">
        <f>DZ59/Basicinfo!$G59*1000/100</f>
        <v>4.0740462988280018E-2</v>
      </c>
      <c r="EM59" s="220">
        <f>EG59/Basicinfo!$G59*1000/100</f>
        <v>8.5160107603361734E-2</v>
      </c>
      <c r="EN59" s="220">
        <f>ED59/Basicinfo!$G59*1000/100</f>
        <v>9.589600032424686E-4</v>
      </c>
      <c r="EO59" s="220">
        <f>EF59/Basicinfo!$G59*1000/100</f>
        <v>0.20996577683535836</v>
      </c>
      <c r="EP59" s="220">
        <f>EE59/Basicinfo!$G59*1000/100</f>
        <v>3.8166683464339643E-2</v>
      </c>
      <c r="EQ59" s="220">
        <f>EH59/Basicinfo!$G59*1000/100</f>
        <v>0.3342515279063023</v>
      </c>
      <c r="ER59" s="31">
        <f>EI59/Basicinfo!$G59*1000/100</f>
        <v>0.3342515279063023</v>
      </c>
      <c r="ET59" s="188">
        <f t="shared" si="230"/>
        <v>13.289286931108199</v>
      </c>
      <c r="EU59" s="188">
        <f t="shared" si="231"/>
        <v>12.188564475223707</v>
      </c>
      <c r="EV59" s="223">
        <f t="shared" si="232"/>
        <v>25.477851406331908</v>
      </c>
      <c r="EW59" s="223">
        <f t="shared" si="233"/>
        <v>0.28689771719197205</v>
      </c>
      <c r="EX59" s="223">
        <f t="shared" si="234"/>
        <v>62.816699193732987</v>
      </c>
      <c r="EY59" s="223">
        <f t="shared" si="235"/>
        <v>11.418551682743111</v>
      </c>
      <c r="EZ59" s="223">
        <f t="shared" si="236"/>
        <v>100</v>
      </c>
      <c r="FA59" s="188">
        <f t="shared" si="237"/>
        <v>100</v>
      </c>
      <c r="FC59" s="236"/>
      <c r="FD59" s="181">
        <f>IF((Intermediate!CL59+Intermediate!CM59*3)/4&gt;11,(Intermediate!CL59+Intermediate!CM59*9)/10,(Intermediate!CL59+Intermediate!CM59*3)/4)</f>
        <v>2.4694926783232454</v>
      </c>
      <c r="FF59" s="31">
        <f t="shared" si="174"/>
        <v>6.4940771419579974E-3</v>
      </c>
      <c r="FG59" s="31">
        <f t="shared" si="175"/>
        <v>0.13558781187418059</v>
      </c>
      <c r="FH59" s="31">
        <f t="shared" si="176"/>
        <v>0</v>
      </c>
      <c r="FI59" s="31">
        <f>(AI59-(P59*450/1000000))*Parameters!$C$153</f>
        <v>0.33852515529221622</v>
      </c>
      <c r="FJ59" s="31"/>
      <c r="FK59" s="31">
        <f t="shared" si="177"/>
        <v>0.3517808354494647</v>
      </c>
      <c r="FL59" s="31">
        <f t="shared" si="178"/>
        <v>0.60849460087502383</v>
      </c>
      <c r="FM59" s="31">
        <f>AM59*Parameters!$C$154</f>
        <v>2.697140828528944E-2</v>
      </c>
      <c r="FN59" s="31">
        <f>AN59*Parameters!$C$154</f>
        <v>6.2030139485524979E-2</v>
      </c>
      <c r="FO59" s="31">
        <f>AO59*Parameters!$C$154</f>
        <v>0.15930342605015463</v>
      </c>
      <c r="FP59" s="31">
        <f>AQ59*Parameters!$C$155</f>
        <v>0.30080983333333333</v>
      </c>
      <c r="FQ59" s="31">
        <f t="shared" si="238"/>
        <v>1.9899972877871457</v>
      </c>
      <c r="FS59" s="147">
        <f>DY59*Parameters!$C$155</f>
        <v>0.30080983333333333</v>
      </c>
      <c r="FT59" s="147">
        <f>DZ59*Parameters!$C$154</f>
        <v>0.24830497382096905</v>
      </c>
      <c r="FU59" s="181">
        <f t="shared" si="239"/>
        <v>0.3517808354494647</v>
      </c>
      <c r="FV59" s="181">
        <f t="shared" si="240"/>
        <v>0.62556691473006398</v>
      </c>
      <c r="FW59" s="31">
        <f t="shared" si="241"/>
        <v>0.33852515529221622</v>
      </c>
      <c r="FX59" s="181">
        <f t="shared" si="242"/>
        <v>6.4940771419579974E-3</v>
      </c>
      <c r="FY59" s="147">
        <f>Intermediate!FJ59+Intermediate!FM59</f>
        <v>0.11851549801914041</v>
      </c>
      <c r="FZ59" s="181">
        <f t="shared" si="243"/>
        <v>1.3158729054717448</v>
      </c>
      <c r="GA59" s="147">
        <f t="shared" si="244"/>
        <v>0.54911480715430239</v>
      </c>
      <c r="GB59" s="181">
        <f t="shared" si="245"/>
        <v>1.9899972877871457</v>
      </c>
      <c r="GD59" s="147">
        <f>IF('River loads'!CH59&gt;0.99,1,0)</f>
        <v>1</v>
      </c>
      <c r="GE59" s="147">
        <f t="shared" si="179"/>
        <v>6.4940771419579974E-3</v>
      </c>
      <c r="GF59" s="147">
        <f t="shared" si="180"/>
        <v>0.13558781187418059</v>
      </c>
      <c r="GG59" s="147">
        <f t="shared" si="181"/>
        <v>0</v>
      </c>
      <c r="GH59" s="147">
        <f t="shared" si="182"/>
        <v>0.48085011292562252</v>
      </c>
      <c r="GI59" s="147">
        <f t="shared" si="183"/>
        <v>0.10363966002526331</v>
      </c>
      <c r="GJ59" s="147">
        <f t="shared" si="184"/>
        <v>0.3517808354494647</v>
      </c>
      <c r="GK59" s="147">
        <f t="shared" si="185"/>
        <v>0.60849460087502383</v>
      </c>
      <c r="GL59" s="147">
        <f t="shared" si="186"/>
        <v>2.9968231428099377E-2</v>
      </c>
      <c r="GM59" s="270">
        <f t="shared" si="128"/>
        <v>6.8922377206138863E-2</v>
      </c>
      <c r="GN59" s="270">
        <f t="shared" si="129"/>
        <v>0.17700380672239402</v>
      </c>
      <c r="GO59" s="147">
        <f t="shared" si="187"/>
        <v>0.30080983333333333</v>
      </c>
      <c r="GP59" s="147">
        <f t="shared" si="246"/>
        <v>2.2635513469814788</v>
      </c>
      <c r="GQ59" s="147"/>
      <c r="GR59" s="147">
        <f t="shared" si="247"/>
        <v>6.4940771419579974E-3</v>
      </c>
      <c r="GS59" s="147">
        <f t="shared" si="188"/>
        <v>0.13558781187418059</v>
      </c>
      <c r="GT59" s="147">
        <f t="shared" si="189"/>
        <v>0</v>
      </c>
      <c r="GU59" s="147">
        <f t="shared" si="190"/>
        <v>0.33852515529221622</v>
      </c>
      <c r="GV59" s="147">
        <f t="shared" si="191"/>
        <v>0</v>
      </c>
      <c r="GW59" s="147">
        <f t="shared" si="192"/>
        <v>0.3517808354494647</v>
      </c>
      <c r="GX59" s="147">
        <f t="shared" si="193"/>
        <v>0.60849460087502383</v>
      </c>
      <c r="GY59" s="147">
        <f t="shared" si="194"/>
        <v>2.697140828528944E-2</v>
      </c>
      <c r="GZ59" s="147">
        <f t="shared" si="130"/>
        <v>6.2030139485524979E-2</v>
      </c>
      <c r="HA59" s="147">
        <f t="shared" si="131"/>
        <v>0.15930342605015463</v>
      </c>
      <c r="HB59" s="147">
        <f t="shared" si="195"/>
        <v>0.30080983333333333</v>
      </c>
      <c r="HC59" s="147">
        <f t="shared" si="196"/>
        <v>1.9899972877871457</v>
      </c>
      <c r="HD59" s="147"/>
      <c r="HE59" s="147">
        <f t="shared" si="197"/>
        <v>0.30080983333333333</v>
      </c>
      <c r="HF59" s="147">
        <f t="shared" si="198"/>
        <v>0.27589441535663228</v>
      </c>
      <c r="HG59" s="147">
        <f t="shared" si="199"/>
        <v>0.3517808354494647</v>
      </c>
      <c r="HH59" s="147">
        <f t="shared" si="200"/>
        <v>0.62556691473006398</v>
      </c>
      <c r="HI59" s="147">
        <f t="shared" si="201"/>
        <v>0.44454049054951811</v>
      </c>
      <c r="HJ59" s="147">
        <f t="shared" si="202"/>
        <v>6.4940771419579974E-3</v>
      </c>
      <c r="HK59" s="147">
        <f t="shared" si="203"/>
        <v>0.25846478042050808</v>
      </c>
      <c r="HL59" s="147">
        <f t="shared" si="204"/>
        <v>1.421888240729047</v>
      </c>
      <c r="HM59" s="147">
        <f t="shared" si="205"/>
        <v>0.57670424868996562</v>
      </c>
      <c r="HN59" s="147">
        <f t="shared" si="206"/>
        <v>2.2635513469814788</v>
      </c>
      <c r="HO59" s="147">
        <f t="shared" si="207"/>
        <v>2.2635513469814788</v>
      </c>
      <c r="HQ59" s="147">
        <f t="shared" si="248"/>
        <v>0.30080983333333333</v>
      </c>
      <c r="HR59" s="147">
        <f t="shared" si="208"/>
        <v>0.24830497382096905</v>
      </c>
      <c r="HS59" s="147">
        <f t="shared" si="209"/>
        <v>0.3517808354494647</v>
      </c>
      <c r="HT59" s="147">
        <f t="shared" si="210"/>
        <v>0.62556691473006398</v>
      </c>
      <c r="HU59" s="147">
        <f t="shared" si="211"/>
        <v>0.33852515529221622</v>
      </c>
      <c r="HV59" s="147">
        <f t="shared" si="212"/>
        <v>6.4940771419579974E-3</v>
      </c>
      <c r="HW59" s="147">
        <f t="shared" si="213"/>
        <v>0.11851549801914041</v>
      </c>
      <c r="HX59" s="147">
        <f t="shared" si="214"/>
        <v>1.3158729054717448</v>
      </c>
      <c r="HY59" s="147">
        <f t="shared" si="215"/>
        <v>0.54911480715430239</v>
      </c>
      <c r="HZ59" s="147">
        <f t="shared" si="216"/>
        <v>1.9899972877871457</v>
      </c>
      <c r="IB59" s="147">
        <f>IF('River loads'!CI59&gt;0.99,1,0)</f>
        <v>1</v>
      </c>
      <c r="IC59">
        <f t="shared" si="144"/>
        <v>0.24221790189872716</v>
      </c>
      <c r="ID59">
        <f t="shared" si="145"/>
        <v>7.2004133264464016</v>
      </c>
      <c r="IE59">
        <f t="shared" si="146"/>
        <v>0</v>
      </c>
      <c r="IF59">
        <f t="shared" si="147"/>
        <v>1.3221106987921618</v>
      </c>
      <c r="IG59">
        <f t="shared" si="148"/>
        <v>5.7577588902924066E-3</v>
      </c>
      <c r="IH59">
        <f t="shared" si="149"/>
        <v>26.952094487071271</v>
      </c>
      <c r="II59">
        <f t="shared" si="150"/>
        <v>28.780076815187321</v>
      </c>
      <c r="IJ59">
        <f t="shared" si="151"/>
        <v>0.10714421571260473</v>
      </c>
      <c r="IK59">
        <f t="shared" si="132"/>
        <v>0.33421151576372643</v>
      </c>
      <c r="IL59">
        <f t="shared" si="133"/>
        <v>1.1794100605790947</v>
      </c>
      <c r="IM59">
        <f t="shared" si="249"/>
        <v>0.6888943666666667</v>
      </c>
      <c r="IN59">
        <f t="shared" si="250"/>
        <v>66.812331147008294</v>
      </c>
      <c r="IP59">
        <f t="shared" si="251"/>
        <v>0.6888943666666667</v>
      </c>
      <c r="IQ59">
        <f t="shared" si="217"/>
        <v>1.6207657920554259</v>
      </c>
      <c r="IR59">
        <f t="shared" si="218"/>
        <v>4.8000962664943838</v>
      </c>
      <c r="IS59">
        <f t="shared" si="219"/>
        <v>4.8316459200731989</v>
      </c>
      <c r="IT59">
        <f t="shared" si="220"/>
        <v>26.952094487071271</v>
      </c>
      <c r="IU59">
        <f t="shared" si="221"/>
        <v>15.058945908821268</v>
      </c>
      <c r="IV59">
        <f t="shared" si="222"/>
        <v>3.141645277962799</v>
      </c>
      <c r="IW59">
        <f t="shared" si="223"/>
        <v>3.1669207930531638</v>
      </c>
      <c r="IX59">
        <f t="shared" si="224"/>
        <v>6.5513223348100782</v>
      </c>
    </row>
    <row r="60" spans="1:258">
      <c r="A60" s="39" t="str">
        <f>Basicinfo!A60</f>
        <v>Maltsch</v>
      </c>
      <c r="B60" s="63">
        <f>Basicinfo!B60</f>
        <v>3660</v>
      </c>
      <c r="C60" s="63">
        <f>Basicinfo!C60</f>
        <v>0</v>
      </c>
      <c r="D60" s="130">
        <f>Basicinfo!G60</f>
        <v>97.007999999999996</v>
      </c>
      <c r="E60" s="87">
        <f t="shared" si="153"/>
        <v>1.14928402750619</v>
      </c>
      <c r="F60" s="19">
        <f>Intermediate!AR60</f>
        <v>3.3262066541541223E-3</v>
      </c>
      <c r="G60" s="19">
        <f>Intermediate!AU60</f>
        <v>0.20699626316067335</v>
      </c>
      <c r="H60" s="19">
        <f>Intermediate!AW60</f>
        <v>0</v>
      </c>
      <c r="I60" s="19">
        <f>Intermediate!AZ60</f>
        <v>3.4364758587154313E-2</v>
      </c>
      <c r="J60" s="19">
        <f>Intermediate!BA60</f>
        <v>0.8961045250496531</v>
      </c>
      <c r="K60" s="19">
        <f>Intermediate!AC60</f>
        <v>9.0032863861654088E-4</v>
      </c>
      <c r="L60" s="19">
        <f>Intermediate!AO60</f>
        <v>1.955570748603822E-3</v>
      </c>
      <c r="M60" s="19">
        <f>Intermediate!AP60</f>
        <v>3.0352878142144244E-3</v>
      </c>
      <c r="N60" s="19">
        <f t="shared" si="119"/>
        <v>1.1466829406530696</v>
      </c>
      <c r="O60" s="19">
        <f>Basicinfo!CB60+Basicinfo!CG60</f>
        <v>2.6010868531202436E-3</v>
      </c>
      <c r="P60" s="56">
        <f>Intermediate!BK60-Intermediate!BI60</f>
        <v>49.277988224204137</v>
      </c>
      <c r="Q60" s="43">
        <f>Intermediate!BI60</f>
        <v>579.90491045685985</v>
      </c>
      <c r="R60" s="88">
        <f t="shared" si="134"/>
        <v>629.18289868106399</v>
      </c>
      <c r="S60" s="61">
        <f>Intermediate!F60*Intermediate!BO60/1000</f>
        <v>0.42202838373345264</v>
      </c>
      <c r="T60" s="19">
        <f>Intermediate!BU60*Intermediate!AU60*86.4*0.365</f>
        <v>9.3535984655316291</v>
      </c>
      <c r="U60" s="19">
        <f>Intermediate!AW60*Intermediate!BS60*0.365*86.4</f>
        <v>0</v>
      </c>
      <c r="V60" s="19">
        <f>(Basicinfo!BL60/1000000)*(Intermediate!BK60-Intermediate!BF60-Intermediate!BG60-Intermediate!BH60)*Intermediate!CV60</f>
        <v>0.59372406882970474</v>
      </c>
      <c r="W60" s="19">
        <f>Intermediate!BI60*Parameters!$C$51/1000000</f>
        <v>1.4497622761421497E-2</v>
      </c>
      <c r="X60" s="19">
        <f>Intermediate!AZ60*Intermediate!CG60*86.4*0.365</f>
        <v>13.700046248762609</v>
      </c>
      <c r="Y60" s="19">
        <f>Intermediate!CM60*Intermediate!BA60*86.4*0.365+Parameters!$C$126*Intermediate!BB60*Basicinfo!P60/1000+Parameters!$C$127*Intermediate!BB60*Basicinfo!S60/1000</f>
        <v>51.964536232067019</v>
      </c>
      <c r="Z60" s="19">
        <f>Intermediate!DG60</f>
        <v>7.5479458942196598E-2</v>
      </c>
      <c r="AA60" s="19">
        <f>Intermediate!DI60</f>
        <v>0.47475942565024765</v>
      </c>
      <c r="AB60" s="19">
        <f>Intermediate!DK60</f>
        <v>0.71413655283061084</v>
      </c>
      <c r="AC60" s="19">
        <f t="shared" si="120"/>
        <v>77.312806459108899</v>
      </c>
      <c r="AD60" s="19">
        <f>Basicinfo!CC60+Basicinfo!CE60+Basicinfo!CH60+Basicinfo!CJ60</f>
        <v>0.61670400000000014</v>
      </c>
      <c r="AE60" s="87">
        <f t="shared" si="135"/>
        <v>77.929510459108897</v>
      </c>
      <c r="AF60" s="56">
        <f>Intermediate!F60*Basicinfo!BD60/1000</f>
        <v>1.1358189148984109E-2</v>
      </c>
      <c r="AG60" s="43">
        <f>Intermediate!CA60*Intermediate!AU60*86.4*0.365</f>
        <v>0.19423235047373441</v>
      </c>
      <c r="AH60" s="43">
        <f>Intermediate!AW60*Intermediate!BZ60*0.365*86.4</f>
        <v>0</v>
      </c>
      <c r="AI60" s="43">
        <f>(Intermediate!CU60/1000000)*(Intermediate!BK60-Intermediate!BF60-Intermediate!BG60-Intermediate!BH60)*Intermediate!CW60</f>
        <v>0.17453084034857094</v>
      </c>
      <c r="AJ60" s="43">
        <f>Intermediate!BF60*Parameters!$C$52/1000000+(Intermediate!BG60+Intermediate!BH60)*Intermediate!CX60/1000000</f>
        <v>0.26095720970558695</v>
      </c>
      <c r="AK60" s="43">
        <f>Intermediate!AZ60*Intermediate!CH60*86.4*0.365</f>
        <v>0.21446539417482768</v>
      </c>
      <c r="AL60" s="58">
        <f>Intermediate!CR60*Intermediate!BA60*86.4*0.365</f>
        <v>0.96046469207671803</v>
      </c>
      <c r="AM60" s="43">
        <f>Intermediate!DH60</f>
        <v>2.2595235719505877E-2</v>
      </c>
      <c r="AN60" s="42">
        <f>Intermediate!DJ60</f>
        <v>9.8376587263850915E-2</v>
      </c>
      <c r="AO60" s="42">
        <f>Intermediate!DL60</f>
        <v>0.11166844616467791</v>
      </c>
      <c r="AP60" s="42">
        <f t="shared" si="122"/>
        <v>2.0486489450764567</v>
      </c>
      <c r="AQ60" s="43">
        <f>Basicinfo!CD60+Basicinfo!CF60+Basicinfo!CI60+Basicinfo!CK60</f>
        <v>7.8839999999999993E-2</v>
      </c>
      <c r="AR60" s="83">
        <f t="shared" si="136"/>
        <v>2.1274889450764567</v>
      </c>
      <c r="AS60" s="19">
        <f>F60*86400*365/(Basicinfo!G60*1000000)*1000</f>
        <v>1.0813051814840466</v>
      </c>
      <c r="AT60" s="19">
        <f>G60*86400*365/(Basicinfo!G60*1000000)*1000</f>
        <v>67.291709498546453</v>
      </c>
      <c r="AU60" s="19">
        <f>H60*86400*365/(Basicinfo!G60*1000000)*1000</f>
        <v>0</v>
      </c>
      <c r="AV60" s="19">
        <f>I60*86400*365/(Basicinfo!G60*1000000)*1000</f>
        <v>11.171522212647394</v>
      </c>
      <c r="AW60" s="19">
        <f>J60*86400*365/(Basicinfo!G60*1000000)*1000</f>
        <v>291.31156504582981</v>
      </c>
      <c r="AX60" s="53">
        <f>K60*86400*365/(Basicinfo!G60*1000000)*1000</f>
        <v>0.2926847677244272</v>
      </c>
      <c r="AY60" s="53">
        <f>L60*86400*365/(Basicinfo!G60*1000000)*1000</f>
        <v>0.63572982772524045</v>
      </c>
      <c r="AZ60" s="53">
        <f>M60*86400*365/(Basicinfo!G60*1000000)*1000</f>
        <v>0.98673136760953828</v>
      </c>
      <c r="BA60" s="19">
        <f t="shared" si="123"/>
        <v>372.77124790156688</v>
      </c>
      <c r="BB60" s="19">
        <f>O60*86400*365/(Basicinfo!G60*1000000)*1000</f>
        <v>0.8455784574468086</v>
      </c>
      <c r="BC60" s="53">
        <f t="shared" si="137"/>
        <v>373.61682635901371</v>
      </c>
      <c r="BD60" s="56">
        <f>P60/(Basicinfo!G60*100)*1000</f>
        <v>5.0797860201430955</v>
      </c>
      <c r="BE60" s="43">
        <f>Q60/(Basicinfo!G60*100)*1000</f>
        <v>59.779081153807923</v>
      </c>
      <c r="BF60" s="58">
        <f t="shared" si="138"/>
        <v>64.858867173951012</v>
      </c>
      <c r="BG60" s="61">
        <f>S60/(Basicinfo!G60*100)*1000000</f>
        <v>43.504492797857147</v>
      </c>
      <c r="BH60" s="19">
        <f>T60/(Basicinfo!G60*100)*1000000</f>
        <v>964.20897921116091</v>
      </c>
      <c r="BI60" s="19">
        <f>U60/(Basicinfo!G60*100)*1000000</f>
        <v>0</v>
      </c>
      <c r="BJ60" s="19">
        <f>V60/(Basicinfo!G60*100)*1000000</f>
        <v>61.203619168491748</v>
      </c>
      <c r="BK60" s="19">
        <f>W60/(Basicinfo!G60*100)*1000000</f>
        <v>1.4944770288451983</v>
      </c>
      <c r="BL60" s="19">
        <f>X60/(Basicinfo!G60*100)*1000000</f>
        <v>1412.2594269300068</v>
      </c>
      <c r="BM60" s="19">
        <f>Y60/(Basicinfo!G60*100)*1000000</f>
        <v>5356.726891809647</v>
      </c>
      <c r="BN60" s="53">
        <f>Z60/(Basicinfo!G60*100)*1000000</f>
        <v>7.7807458088195416</v>
      </c>
      <c r="BO60" s="53">
        <f>AA60/(Basicinfo!G60*100)*1000000</f>
        <v>48.940234377602643</v>
      </c>
      <c r="BP60" s="53">
        <f>AB60/(Basicinfo!G60*100)*1000000</f>
        <v>73.616253590488498</v>
      </c>
      <c r="BQ60" s="19">
        <f t="shared" si="125"/>
        <v>7969.7351207229194</v>
      </c>
      <c r="BR60" s="19">
        <f>AD60/(Basicinfo!G60*100)*1000000</f>
        <v>63.572488866897601</v>
      </c>
      <c r="BS60" s="53">
        <f t="shared" si="139"/>
        <v>8033.3076095898168</v>
      </c>
      <c r="BT60" s="56">
        <f>AF60/(Basicinfo!G60*100)*1000000</f>
        <v>1.170850769934862</v>
      </c>
      <c r="BU60" s="43">
        <f>AG60/(Basicinfo!G60*100)*1000000</f>
        <v>20.022302333182253</v>
      </c>
      <c r="BV60" s="43">
        <f>AH60/(Basicinfo!G60*100)*1000000</f>
        <v>0</v>
      </c>
      <c r="BW60" s="43">
        <f>AI60/(Basicinfo!G60*100)*1000000</f>
        <v>17.991386313352606</v>
      </c>
      <c r="BX60" s="43">
        <f>AJ60/(Basicinfo!G60*100)*1000000</f>
        <v>26.900586519213569</v>
      </c>
      <c r="BY60" s="58">
        <f>AK60/(Basicinfo!G60*100)*1000000</f>
        <v>22.1080111098907</v>
      </c>
      <c r="BZ60" s="58">
        <f>AL60/(Basicinfo!G60*100)*1000000</f>
        <v>99.008812889320268</v>
      </c>
      <c r="CA60" s="58">
        <f>AM60/(Basicinfo!G60*100)*1000000</f>
        <v>2.3292136441845908</v>
      </c>
      <c r="CB60" s="58">
        <f>AN60/(Basicinfo!G60*100)*1000000</f>
        <v>10.141079835049782</v>
      </c>
      <c r="CC60" s="58">
        <f>AO60/(Basicinfo!G60*100)*1000000</f>
        <v>11.511261562415257</v>
      </c>
      <c r="CD60" s="58">
        <f t="shared" si="126"/>
        <v>211.1835049765439</v>
      </c>
      <c r="CE60" s="58">
        <f>AQ60/(Basicinfo!G60*100)*1000000</f>
        <v>8.1271647699158827</v>
      </c>
      <c r="CF60" s="43">
        <f t="shared" si="140"/>
        <v>219.31066974645978</v>
      </c>
      <c r="CG60" s="84"/>
      <c r="CH60" s="84">
        <f t="shared" si="154"/>
        <v>0.61670400000000014</v>
      </c>
      <c r="CI60" s="146">
        <f t="shared" si="152"/>
        <v>1.2643754374230549</v>
      </c>
      <c r="CJ60" s="200">
        <f>Intermediate!EW60+Intermediate!EY60+Intermediate!FD60</f>
        <v>10.338009000809764</v>
      </c>
      <c r="CK60" s="180">
        <f>Intermediate!FA60+Intermediate!FF60</f>
        <v>5.0525931668303299</v>
      </c>
      <c r="CL60" s="180">
        <f t="shared" si="141"/>
        <v>13.700046248762609</v>
      </c>
      <c r="CM60" s="180">
        <f t="shared" si="142"/>
        <v>26.785466593366433</v>
      </c>
      <c r="CN60" s="202">
        <f>Intermediate!EX60+Intermediate!EZ60+Intermediate!FE60</f>
        <v>6.987190596757924</v>
      </c>
      <c r="CO60" s="180">
        <f>Intermediate!FB60+Intermediate!FG60</f>
        <v>3.4152605501473161</v>
      </c>
      <c r="CP60" s="213">
        <f>Intermediate!EP60+Intermediate!EQ60+Intermediate!ER60+Intermediate!ES60+Intermediate!ET60+Intermediate!EU60+Intermediate!EV60+W60</f>
        <v>9.7698648650114599</v>
      </c>
      <c r="CQ60" s="212">
        <f t="shared" si="155"/>
        <v>10.402451146905239</v>
      </c>
      <c r="CR60" s="212">
        <f t="shared" si="156"/>
        <v>55.876115009769137</v>
      </c>
      <c r="CS60" s="211">
        <f t="shared" si="143"/>
        <v>0.69218345894219668</v>
      </c>
      <c r="CT60" s="212">
        <f t="shared" si="157"/>
        <v>76.740614480628025</v>
      </c>
      <c r="CU60" s="84"/>
      <c r="CV60" s="31">
        <f t="shared" si="158"/>
        <v>77.929510459108897</v>
      </c>
      <c r="CW60" s="31">
        <f>CH60/Basicinfo!$G60*1000/100</f>
        <v>6.3572488866897592E-2</v>
      </c>
      <c r="CX60" s="31">
        <f>CI60/Basicinfo!$G60*1000/100</f>
        <v>0.13033723377691067</v>
      </c>
      <c r="CY60" s="31">
        <f>CS60/Basicinfo!$G60*1000/100</f>
        <v>7.1353234675717123E-2</v>
      </c>
      <c r="CZ60" s="31">
        <f>CN60/Basicinfo!$G60*1000/100</f>
        <v>0.72026952382874865</v>
      </c>
      <c r="DA60" s="31">
        <f>CO60/Basicinfo!$G60*1000/100</f>
        <v>0.35205968066008125</v>
      </c>
      <c r="DB60" s="31">
        <f>CQ60/Basicinfo!$G60*1000/100</f>
        <v>1.0723292044888297</v>
      </c>
      <c r="DC60" s="31">
        <f>CJ60/Basicinfo!$G60*1000/100</f>
        <v>1.065686232146809</v>
      </c>
      <c r="DD60" s="31">
        <f>CK60/Basicinfo!$G60*1000/100</f>
        <v>0.52084293736911702</v>
      </c>
      <c r="DE60" s="31">
        <f>CM60/Basicinfo!$G60*1000/100</f>
        <v>2.7611605840102293</v>
      </c>
      <c r="DF60" s="31">
        <f>CR60/Basicinfo!$G60*1000/100</f>
        <v>5.7599491804561618</v>
      </c>
      <c r="DG60" s="31">
        <f>CP60/Basicinfo!$G60*1000/100</f>
        <v>1.0071195020010164</v>
      </c>
      <c r="DH60" s="31">
        <f>CT60/Basicinfo!$G60*1000/100</f>
        <v>7.9107511216217254</v>
      </c>
      <c r="DI60" s="31">
        <f>CV60/Basicinfo!$G60*1000/100</f>
        <v>8.0333076095898175</v>
      </c>
      <c r="DJ60" s="31"/>
      <c r="DK60" s="188">
        <f t="shared" si="159"/>
        <v>0.80362139940341171</v>
      </c>
      <c r="DL60" s="188">
        <f t="shared" si="160"/>
        <v>1.6475961861658364</v>
      </c>
      <c r="DM60" s="188">
        <f t="shared" si="161"/>
        <v>0.9019779990384722</v>
      </c>
      <c r="DN60" s="188">
        <f t="shared" si="162"/>
        <v>9.1049448118788927</v>
      </c>
      <c r="DO60" s="188">
        <f t="shared" si="163"/>
        <v>4.4503951046801244</v>
      </c>
      <c r="DP60" s="188">
        <f t="shared" si="164"/>
        <v>13.555339916559017</v>
      </c>
      <c r="DQ60" s="188">
        <f t="shared" si="225"/>
        <v>13.47136593937417</v>
      </c>
      <c r="DR60" s="188">
        <f t="shared" si="226"/>
        <v>6.5839884147732199</v>
      </c>
      <c r="DS60" s="188">
        <f t="shared" si="227"/>
        <v>34.903899030060551</v>
      </c>
      <c r="DT60" s="188">
        <f t="shared" si="165"/>
        <v>72.811659625001042</v>
      </c>
      <c r="DU60" s="188">
        <f t="shared" si="166"/>
        <v>12.731022459401482</v>
      </c>
      <c r="DV60" s="188">
        <f t="shared" si="228"/>
        <v>100</v>
      </c>
      <c r="DW60" s="188">
        <f t="shared" si="229"/>
        <v>101.54923958653079</v>
      </c>
      <c r="DY60" s="181">
        <f t="shared" si="167"/>
        <v>7.8839999999999993E-2</v>
      </c>
      <c r="DZ60" s="181">
        <f t="shared" si="127"/>
        <v>0.23264026914803471</v>
      </c>
      <c r="EA60" s="185">
        <f t="shared" si="168"/>
        <v>0.21446539417482768</v>
      </c>
      <c r="EB60" s="185">
        <f>AG60+AH60+AL60-Intermediate!FJ60-Intermediate!FM60</f>
        <v>0.97562457679070858</v>
      </c>
      <c r="EC60" s="185">
        <f>AI60+AJ60-Intermediate!FK60</f>
        <v>0.14525590093065843</v>
      </c>
      <c r="ED60" s="240">
        <f t="shared" si="169"/>
        <v>1.1358189148984109E-2</v>
      </c>
      <c r="EE60" s="240">
        <f>Intermediate!FJ60+Intermediate!FK60+Intermediate!FM60</f>
        <v>0.46930461488324327</v>
      </c>
      <c r="EF60" s="240">
        <f t="shared" si="170"/>
        <v>1.3353458718961946</v>
      </c>
      <c r="EG60" s="240">
        <f t="shared" si="171"/>
        <v>0.31148026914803473</v>
      </c>
      <c r="EH60" s="240">
        <f t="shared" si="172"/>
        <v>2.1274889450764567</v>
      </c>
      <c r="EI60" s="181">
        <f t="shared" si="173"/>
        <v>2.1274889450764567</v>
      </c>
      <c r="EK60" s="31">
        <f>DY60/Basicinfo!$G60*1000/100</f>
        <v>8.127164769915882E-3</v>
      </c>
      <c r="EL60" s="31">
        <f>DZ60/Basicinfo!$G60*1000/100</f>
        <v>2.3981555041649626E-2</v>
      </c>
      <c r="EM60" s="220">
        <f>EG60/Basicinfo!$G60*1000/100</f>
        <v>3.2108719811565517E-2</v>
      </c>
      <c r="EN60" s="220">
        <f>ED60/Basicinfo!$G60*1000/100</f>
        <v>1.1708507699348621E-3</v>
      </c>
      <c r="EO60" s="220">
        <f>EF60/Basicinfo!$G60*1000/100</f>
        <v>0.13765317003713043</v>
      </c>
      <c r="EP60" s="220">
        <f>EE60/Basicinfo!$G60*1000/100</f>
        <v>4.8377929127828977E-2</v>
      </c>
      <c r="EQ60" s="220">
        <f>EH60/Basicinfo!$G60*1000/100</f>
        <v>0.21931066974645971</v>
      </c>
      <c r="ER60" s="31">
        <f>EI60/Basicinfo!$G60*1000/100</f>
        <v>0.21931066974645971</v>
      </c>
      <c r="ET60" s="188">
        <f t="shared" si="230"/>
        <v>3.7057771878183217</v>
      </c>
      <c r="EU60" s="188">
        <f t="shared" si="231"/>
        <v>10.934969588745581</v>
      </c>
      <c r="EV60" s="223">
        <f t="shared" si="232"/>
        <v>14.640746776563907</v>
      </c>
      <c r="EW60" s="223">
        <f t="shared" si="233"/>
        <v>0.53387770475939778</v>
      </c>
      <c r="EX60" s="223">
        <f t="shared" si="234"/>
        <v>62.76628957280932</v>
      </c>
      <c r="EY60" s="223">
        <f t="shared" si="235"/>
        <v>22.059085945867409</v>
      </c>
      <c r="EZ60" s="223">
        <f t="shared" si="236"/>
        <v>100</v>
      </c>
      <c r="FA60" s="188">
        <f t="shared" si="237"/>
        <v>100</v>
      </c>
      <c r="FC60" s="236">
        <f>Basicinfo!CT60</f>
        <v>1.5772580645161289</v>
      </c>
      <c r="FD60" s="181">
        <f>IF((Intermediate!CL60+Intermediate!CM60*3)/4&gt;11,(Intermediate!CL60+Intermediate!CM60*9)/10,(Intermediate!CL60+Intermediate!CM60*3)/4)</f>
        <v>2.8451585267440316</v>
      </c>
      <c r="FF60" s="31">
        <f t="shared" si="174"/>
        <v>1.1358189148984109E-2</v>
      </c>
      <c r="FG60" s="31">
        <f t="shared" si="175"/>
        <v>0.19423235047373441</v>
      </c>
      <c r="FH60" s="31">
        <f t="shared" si="176"/>
        <v>0</v>
      </c>
      <c r="FI60" s="31">
        <f>(AI60-(P60*450/1000000))*Parameters!$C$153</f>
        <v>0.12188459651814328</v>
      </c>
      <c r="FJ60" s="31"/>
      <c r="FK60" s="31">
        <f t="shared" si="177"/>
        <v>0.21446539417482768</v>
      </c>
      <c r="FL60" s="31">
        <f t="shared" si="178"/>
        <v>0.96046469207671803</v>
      </c>
      <c r="FM60" s="31">
        <f>AM60*Parameters!$C$154</f>
        <v>2.033571214755529E-2</v>
      </c>
      <c r="FN60" s="31">
        <f>AN60*Parameters!$C$154</f>
        <v>8.8538928537465825E-2</v>
      </c>
      <c r="FO60" s="31">
        <f>AO60*Parameters!$C$154</f>
        <v>0.10050160154821013</v>
      </c>
      <c r="FP60" s="31">
        <f>AQ60*Parameters!$C$155</f>
        <v>7.8839999999999993E-2</v>
      </c>
      <c r="FQ60" s="31">
        <f t="shared" si="238"/>
        <v>1.7906214646256389</v>
      </c>
      <c r="FS60" s="147">
        <f>DY60*Parameters!$C$155</f>
        <v>7.8839999999999993E-2</v>
      </c>
      <c r="FT60" s="147">
        <f>DZ60*Parameters!$C$154</f>
        <v>0.20937624223323123</v>
      </c>
      <c r="FU60" s="181">
        <f t="shared" si="239"/>
        <v>0.21446539417482768</v>
      </c>
      <c r="FV60" s="181">
        <f t="shared" si="240"/>
        <v>0.97562457679070858</v>
      </c>
      <c r="FW60" s="31">
        <f t="shared" si="241"/>
        <v>0.12188459651814351</v>
      </c>
      <c r="FX60" s="181">
        <f t="shared" si="242"/>
        <v>1.1358189148984109E-2</v>
      </c>
      <c r="FY60" s="147">
        <f>Intermediate!FJ60+Intermediate!FM60</f>
        <v>0.17907246575974381</v>
      </c>
      <c r="FZ60" s="181">
        <f t="shared" si="243"/>
        <v>1.3119745674836798</v>
      </c>
      <c r="GA60" s="147">
        <f t="shared" si="244"/>
        <v>0.28821624223323122</v>
      </c>
      <c r="GB60" s="181">
        <f t="shared" si="245"/>
        <v>1.7906214646256391</v>
      </c>
      <c r="GD60" s="147">
        <f>IF('River loads'!CH60&gt;0.99,1,0)</f>
        <v>0</v>
      </c>
      <c r="GE60" s="147">
        <f t="shared" si="179"/>
        <v>0</v>
      </c>
      <c r="GF60" s="147">
        <f t="shared" si="180"/>
        <v>0</v>
      </c>
      <c r="GG60" s="147">
        <f t="shared" si="181"/>
        <v>0</v>
      </c>
      <c r="GH60" s="147">
        <f t="shared" si="182"/>
        <v>0</v>
      </c>
      <c r="GI60" s="147">
        <f t="shared" si="183"/>
        <v>0</v>
      </c>
      <c r="GJ60" s="147">
        <f t="shared" si="184"/>
        <v>0</v>
      </c>
      <c r="GK60" s="147">
        <f t="shared" si="185"/>
        <v>0</v>
      </c>
      <c r="GL60" s="147">
        <f t="shared" si="186"/>
        <v>0</v>
      </c>
      <c r="GM60" s="270">
        <f t="shared" si="128"/>
        <v>0</v>
      </c>
      <c r="GN60" s="270">
        <f t="shared" si="129"/>
        <v>0</v>
      </c>
      <c r="GO60" s="147">
        <f t="shared" si="187"/>
        <v>0</v>
      </c>
      <c r="GP60" s="147">
        <f t="shared" si="246"/>
        <v>0</v>
      </c>
      <c r="GQ60" s="147"/>
      <c r="GR60" s="147">
        <f t="shared" si="247"/>
        <v>0</v>
      </c>
      <c r="GS60" s="147">
        <f t="shared" si="188"/>
        <v>0</v>
      </c>
      <c r="GT60" s="147">
        <f t="shared" si="189"/>
        <v>0</v>
      </c>
      <c r="GU60" s="147">
        <f t="shared" si="190"/>
        <v>0</v>
      </c>
      <c r="GV60" s="147">
        <f t="shared" si="191"/>
        <v>0</v>
      </c>
      <c r="GW60" s="147">
        <f t="shared" si="192"/>
        <v>0</v>
      </c>
      <c r="GX60" s="147">
        <f t="shared" si="193"/>
        <v>0</v>
      </c>
      <c r="GY60" s="147">
        <f t="shared" si="194"/>
        <v>0</v>
      </c>
      <c r="GZ60" s="147">
        <f t="shared" si="130"/>
        <v>0</v>
      </c>
      <c r="HA60" s="147">
        <f t="shared" si="131"/>
        <v>0</v>
      </c>
      <c r="HB60" s="147">
        <f t="shared" si="195"/>
        <v>0</v>
      </c>
      <c r="HC60" s="147">
        <f t="shared" si="196"/>
        <v>0</v>
      </c>
      <c r="HD60" s="147"/>
      <c r="HE60" s="147">
        <f t="shared" si="197"/>
        <v>0</v>
      </c>
      <c r="HF60" s="147">
        <f t="shared" si="198"/>
        <v>0</v>
      </c>
      <c r="HG60" s="147">
        <f t="shared" si="199"/>
        <v>0</v>
      </c>
      <c r="HH60" s="147">
        <f t="shared" si="200"/>
        <v>0</v>
      </c>
      <c r="HI60" s="147">
        <f t="shared" si="201"/>
        <v>0</v>
      </c>
      <c r="HJ60" s="147">
        <f t="shared" si="202"/>
        <v>0</v>
      </c>
      <c r="HK60" s="147">
        <f t="shared" si="203"/>
        <v>0</v>
      </c>
      <c r="HL60" s="147">
        <f t="shared" si="204"/>
        <v>0</v>
      </c>
      <c r="HM60" s="147">
        <f t="shared" si="205"/>
        <v>0</v>
      </c>
      <c r="HN60" s="147">
        <f t="shared" si="206"/>
        <v>0</v>
      </c>
      <c r="HO60" s="147">
        <f t="shared" si="207"/>
        <v>0</v>
      </c>
      <c r="HQ60" s="147">
        <f t="shared" si="248"/>
        <v>0</v>
      </c>
      <c r="HR60" s="147">
        <f t="shared" si="208"/>
        <v>0</v>
      </c>
      <c r="HS60" s="147">
        <f t="shared" si="209"/>
        <v>0</v>
      </c>
      <c r="HT60" s="147">
        <f t="shared" si="210"/>
        <v>0</v>
      </c>
      <c r="HU60" s="147">
        <f t="shared" si="211"/>
        <v>0</v>
      </c>
      <c r="HV60" s="147">
        <f t="shared" si="212"/>
        <v>0</v>
      </c>
      <c r="HW60" s="147">
        <f t="shared" si="213"/>
        <v>0</v>
      </c>
      <c r="HX60" s="147">
        <f t="shared" si="214"/>
        <v>0</v>
      </c>
      <c r="HY60" s="147">
        <f t="shared" si="215"/>
        <v>0</v>
      </c>
      <c r="HZ60" s="147">
        <f t="shared" si="216"/>
        <v>0</v>
      </c>
      <c r="IB60" s="147">
        <f>IF('River loads'!CI60&gt;0.99,1,0)</f>
        <v>0</v>
      </c>
      <c r="IC60">
        <f t="shared" si="144"/>
        <v>0</v>
      </c>
      <c r="ID60">
        <f t="shared" si="145"/>
        <v>0</v>
      </c>
      <c r="IE60">
        <f t="shared" si="146"/>
        <v>0</v>
      </c>
      <c r="IF60">
        <f t="shared" si="147"/>
        <v>0</v>
      </c>
      <c r="IG60">
        <f t="shared" si="148"/>
        <v>0</v>
      </c>
      <c r="IH60">
        <f t="shared" si="149"/>
        <v>0</v>
      </c>
      <c r="II60">
        <f t="shared" si="150"/>
        <v>0</v>
      </c>
      <c r="IJ60">
        <f t="shared" si="151"/>
        <v>0</v>
      </c>
      <c r="IK60">
        <f t="shared" si="132"/>
        <v>0</v>
      </c>
      <c r="IL60">
        <f t="shared" si="133"/>
        <v>0</v>
      </c>
      <c r="IM60">
        <f t="shared" si="249"/>
        <v>0</v>
      </c>
      <c r="IN60">
        <f t="shared" si="250"/>
        <v>0</v>
      </c>
      <c r="IP60">
        <f t="shared" si="251"/>
        <v>0</v>
      </c>
      <c r="IQ60">
        <f t="shared" si="217"/>
        <v>0</v>
      </c>
      <c r="IR60">
        <f t="shared" si="218"/>
        <v>0</v>
      </c>
      <c r="IS60">
        <f t="shared" si="219"/>
        <v>0</v>
      </c>
      <c r="IT60">
        <f t="shared" si="220"/>
        <v>0</v>
      </c>
      <c r="IU60">
        <f t="shared" si="221"/>
        <v>0</v>
      </c>
      <c r="IV60">
        <f t="shared" si="222"/>
        <v>0</v>
      </c>
      <c r="IW60">
        <f t="shared" si="223"/>
        <v>0</v>
      </c>
      <c r="IX60">
        <f t="shared" si="224"/>
        <v>0</v>
      </c>
    </row>
    <row r="61" spans="1:258">
      <c r="A61" s="39" t="str">
        <f>Basicinfo!A61</f>
        <v>Traun</v>
      </c>
      <c r="B61" s="63">
        <f>Basicinfo!B61</f>
        <v>4010</v>
      </c>
      <c r="C61" s="63">
        <f>Basicinfo!C61</f>
        <v>4020</v>
      </c>
      <c r="D61" s="130">
        <f>Basicinfo!G61</f>
        <v>717.35506054500001</v>
      </c>
      <c r="E61" s="87">
        <f t="shared" si="153"/>
        <v>31.830944627031297</v>
      </c>
      <c r="F61" s="19">
        <f>Intermediate!AR61</f>
        <v>1.040990065640057</v>
      </c>
      <c r="G61" s="19">
        <f>Intermediate!AU61</f>
        <v>7.9026568371352637</v>
      </c>
      <c r="H61" s="19">
        <f>Intermediate!AW61</f>
        <v>0.21095035605566431</v>
      </c>
      <c r="I61" s="19">
        <f>Intermediate!AZ61</f>
        <v>4.6529711858361803E-3</v>
      </c>
      <c r="J61" s="19">
        <f>Intermediate!BA61</f>
        <v>22.309782160865556</v>
      </c>
      <c r="K61" s="19">
        <f>Intermediate!AC61</f>
        <v>3.8794850164622821E-2</v>
      </c>
      <c r="L61" s="19">
        <f>Intermediate!AO61</f>
        <v>5.9387435687530174E-2</v>
      </c>
      <c r="M61" s="19">
        <f>Intermediate!AP61</f>
        <v>3.6944563173055583E-2</v>
      </c>
      <c r="N61" s="19">
        <f t="shared" si="119"/>
        <v>31.604159239907585</v>
      </c>
      <c r="O61" s="19">
        <f>Basicinfo!CB61+Basicinfo!CG61</f>
        <v>0.22678538712371049</v>
      </c>
      <c r="P61" s="56">
        <f>Intermediate!BK61-Intermediate!BI61</f>
        <v>46.55885900854264</v>
      </c>
      <c r="Q61" s="43">
        <f>Intermediate!BI61</f>
        <v>17319.617471612615</v>
      </c>
      <c r="R61" s="88">
        <f t="shared" si="134"/>
        <v>17366.176330621158</v>
      </c>
      <c r="S61" s="61">
        <f>Intermediate!F61*Intermediate!BO61/1000</f>
        <v>32.834783651710666</v>
      </c>
      <c r="T61" s="19">
        <f>Intermediate!BU61*Intermediate!AU61*86.4*0.365</f>
        <v>161.76876823488854</v>
      </c>
      <c r="U61" s="19">
        <f>Intermediate!AW61*Intermediate!BS61*0.365*86.4</f>
        <v>4.3149756047487609</v>
      </c>
      <c r="V61" s="19">
        <f>(Basicinfo!BL61/1000000)*(Intermediate!BK61-Intermediate!BF61-Intermediate!BG61-Intermediate!BH61)*Intermediate!CV61</f>
        <v>0.67654989039382762</v>
      </c>
      <c r="W61" s="19">
        <f>Intermediate!BI61*Parameters!$C$51/1000000</f>
        <v>0.4329904367903154</v>
      </c>
      <c r="X61" s="19">
        <f>Intermediate!AZ61*Intermediate!CG61*86.4*0.365</f>
        <v>0.5104539462497063</v>
      </c>
      <c r="Y61" s="19">
        <f>Intermediate!CM61*Intermediate!BA61*86.4*0.365+Parameters!$C$126*Intermediate!BB61*Basicinfo!P61/1000+Parameters!$C$127*Intermediate!BB61*Basicinfo!S61/1000</f>
        <v>565.95604324913324</v>
      </c>
      <c r="Z61" s="19">
        <f>Intermediate!DG61</f>
        <v>1.549568769423914</v>
      </c>
      <c r="AA61" s="19">
        <f>Intermediate!DI61</f>
        <v>30.549587718067066</v>
      </c>
      <c r="AB61" s="19">
        <f>Intermediate!DK61</f>
        <v>2.831158151080547</v>
      </c>
      <c r="AC61" s="19">
        <f t="shared" si="120"/>
        <v>801.42487965248654</v>
      </c>
      <c r="AD61" s="19">
        <f>Basicinfo!CC61+Basicinfo!CE61+Basicinfo!CH61+Basicinfo!CJ61</f>
        <v>115.95800833333334</v>
      </c>
      <c r="AE61" s="87">
        <f t="shared" si="135"/>
        <v>917.38288798581993</v>
      </c>
      <c r="AF61" s="56">
        <f>Intermediate!F61*Basicinfo!BD61/1000</f>
        <v>0.94100961868533073</v>
      </c>
      <c r="AG61" s="43">
        <f>Intermediate!CA61*Intermediate!AU61*86.4*0.365</f>
        <v>3.1606278745046348</v>
      </c>
      <c r="AH61" s="43">
        <f>Intermediate!AW61*Intermediate!BZ61*0.365*86.4</f>
        <v>3.4284661647771067E-2</v>
      </c>
      <c r="AI61" s="43">
        <f>(Intermediate!CU61/1000000)*(Intermediate!BK61-Intermediate!BF61-Intermediate!BG61-Intermediate!BH61)*Intermediate!CW61</f>
        <v>0.11177817387264319</v>
      </c>
      <c r="AJ61" s="43">
        <f>Intermediate!BF61*Parameters!$C$52/1000000+(Intermediate!BG61+Intermediate!BH61)*Intermediate!CX61/1000000</f>
        <v>9.2873060964573213</v>
      </c>
      <c r="AK61" s="43">
        <f>Intermediate!AZ61*Intermediate!CH61*86.4*0.365</f>
        <v>1.6068080667441094E-2</v>
      </c>
      <c r="AL61" s="58">
        <f>Intermediate!CR61*Intermediate!BA61*86.4*0.365</f>
        <v>5.4178946785472419</v>
      </c>
      <c r="AM61" s="43">
        <f>Intermediate!DH61</f>
        <v>0.40037875335474893</v>
      </c>
      <c r="AN61" s="42">
        <f>Intermediate!DJ61</f>
        <v>5.1591373040881843</v>
      </c>
      <c r="AO61" s="42">
        <f>Intermediate!DL61</f>
        <v>0.4496965203909945</v>
      </c>
      <c r="AP61" s="42">
        <f t="shared" si="122"/>
        <v>24.978181762216309</v>
      </c>
      <c r="AQ61" s="43">
        <f>Basicinfo!CD61+Basicinfo!CF61+Basicinfo!CI61+Basicinfo!CK61</f>
        <v>12.6648785</v>
      </c>
      <c r="AR61" s="83">
        <f t="shared" si="136"/>
        <v>37.643060262216309</v>
      </c>
      <c r="AS61" s="19">
        <f>F61*86400*365/(Basicinfo!G61*1000000)*1000</f>
        <v>45.763478248949333</v>
      </c>
      <c r="AT61" s="19">
        <f>G61*86400*365/(Basicinfo!G61*1000000)*1000</f>
        <v>347.41259903646295</v>
      </c>
      <c r="AU61" s="19">
        <f>H61*86400*365/(Basicinfo!G61*1000000)*1000</f>
        <v>9.2736927561607594</v>
      </c>
      <c r="AV61" s="19">
        <f>I61*86400*365/(Basicinfo!G61*1000000)*1000</f>
        <v>0.20455156363579449</v>
      </c>
      <c r="AW61" s="19">
        <f>J61*86400*365/(Basicinfo!G61*1000000)*1000</f>
        <v>980.77134869660756</v>
      </c>
      <c r="AX61" s="53">
        <f>K61*86400*365/(Basicinfo!G61*1000000)*1000</f>
        <v>1.7054795624666799</v>
      </c>
      <c r="AY61" s="53">
        <f>L61*86400*365/(Basicinfo!G61*1000000)*1000</f>
        <v>2.6107603819217329</v>
      </c>
      <c r="AZ61" s="53">
        <f>M61*86400*365/(Basicinfo!G61*1000000)*1000</f>
        <v>1.6241381824787375</v>
      </c>
      <c r="BA61" s="19">
        <f t="shared" si="123"/>
        <v>1389.3660484286834</v>
      </c>
      <c r="BB61" s="19">
        <f>O61*86400*365/(Basicinfo!G61*1000000)*1000</f>
        <v>9.9698243752539799</v>
      </c>
      <c r="BC61" s="53">
        <f t="shared" si="137"/>
        <v>1399.3358728039373</v>
      </c>
      <c r="BD61" s="56">
        <f>P61/(Basicinfo!G61*100)*1000</f>
        <v>0.64903506742073058</v>
      </c>
      <c r="BE61" s="43">
        <f>Q61/(Basicinfo!G61*100)*1000</f>
        <v>241.43716862406029</v>
      </c>
      <c r="BF61" s="58">
        <f t="shared" si="138"/>
        <v>242.08620369148102</v>
      </c>
      <c r="BG61" s="61">
        <f>S61/(Basicinfo!G61*100)*1000000</f>
        <v>457.72010901777037</v>
      </c>
      <c r="BH61" s="19">
        <f>T61/(Basicinfo!G61*100)*1000000</f>
        <v>2255.0725175338844</v>
      </c>
      <c r="BI61" s="19">
        <f>U61/(Basicinfo!G61*100)*1000000</f>
        <v>60.151183731394063</v>
      </c>
      <c r="BJ61" s="19">
        <f>V61/(Basicinfo!G61*100)*1000000</f>
        <v>9.4311719203573858</v>
      </c>
      <c r="BK61" s="19">
        <f>W61/(Basicinfo!G61*100)*1000000</f>
        <v>6.0359292156015076</v>
      </c>
      <c r="BL61" s="19">
        <f>X61/(Basicinfo!G61*100)*1000000</f>
        <v>7.1157781456493296</v>
      </c>
      <c r="BM61" s="19">
        <f>Y61/(Basicinfo!G61*100)*1000000</f>
        <v>7889.4828290352671</v>
      </c>
      <c r="BN61" s="53">
        <f>Z61/(Basicinfo!G61*100)*1000000</f>
        <v>21.601140838773087</v>
      </c>
      <c r="BO61" s="53">
        <f>AA61/(Basicinfo!G61*100)*1000000</f>
        <v>425.86425325915269</v>
      </c>
      <c r="BP61" s="53">
        <f>AB61/(Basicinfo!G61*100)*1000000</f>
        <v>39.46662269211032</v>
      </c>
      <c r="BQ61" s="19">
        <f t="shared" si="125"/>
        <v>11171.94153538996</v>
      </c>
      <c r="BR61" s="19">
        <f>AD61/(Basicinfo!G61*100)*1000000</f>
        <v>1616.4660251401299</v>
      </c>
      <c r="BS61" s="53">
        <f t="shared" si="139"/>
        <v>12788.40756053009</v>
      </c>
      <c r="BT61" s="56">
        <f>AF61/(Basicinfo!G61*100)*1000000</f>
        <v>13.117766507012753</v>
      </c>
      <c r="BU61" s="43">
        <f>AG61/(Basicinfo!G61*100)*1000000</f>
        <v>44.059462995958988</v>
      </c>
      <c r="BV61" s="43">
        <f>AH61/(Basicinfo!G61*100)*1000000</f>
        <v>0.4779315506845912</v>
      </c>
      <c r="BW61" s="43">
        <f>AI61/(Basicinfo!G61*100)*1000000</f>
        <v>1.558198722229984</v>
      </c>
      <c r="BX61" s="43">
        <f>AJ61/(Basicinfo!G61*100)*1000000</f>
        <v>129.4659591500118</v>
      </c>
      <c r="BY61" s="58">
        <f>AK61/(Basicinfo!G61*100)*1000000</f>
        <v>0.22399062265252029</v>
      </c>
      <c r="BZ61" s="58">
        <f>AL61/(Basicinfo!G61*100)*1000000</f>
        <v>75.525983944841428</v>
      </c>
      <c r="CA61" s="58">
        <f>AM61/(Basicinfo!G61*100)*1000000</f>
        <v>5.5813191455088784</v>
      </c>
      <c r="CB61" s="58">
        <f>AN61/(Basicinfo!G61*100)*1000000</f>
        <v>71.918880730674772</v>
      </c>
      <c r="CC61" s="58">
        <f>AO61/(Basicinfo!G61*100)*1000000</f>
        <v>6.2688136618056909</v>
      </c>
      <c r="CD61" s="58">
        <f t="shared" si="126"/>
        <v>348.19830703138132</v>
      </c>
      <c r="CE61" s="58">
        <f>AQ61/(Basicinfo!G61*100)*1000000</f>
        <v>176.54965018826303</v>
      </c>
      <c r="CF61" s="43">
        <f t="shared" si="140"/>
        <v>524.74795721964438</v>
      </c>
      <c r="CG61" s="84"/>
      <c r="CH61" s="84">
        <f t="shared" si="154"/>
        <v>115.95800833333334</v>
      </c>
      <c r="CI61" s="146">
        <f t="shared" si="152"/>
        <v>34.930314638571524</v>
      </c>
      <c r="CJ61" s="200">
        <f>Intermediate!EW61+Intermediate!EY61+Intermediate!FD61</f>
        <v>274.14525478021596</v>
      </c>
      <c r="CK61" s="180">
        <f>Intermediate!FA61+Intermediate!FF61</f>
        <v>10.269085893834045</v>
      </c>
      <c r="CL61" s="180">
        <f t="shared" si="141"/>
        <v>0.5104539462497063</v>
      </c>
      <c r="CM61" s="180">
        <f t="shared" si="142"/>
        <v>88.052752372926022</v>
      </c>
      <c r="CN61" s="202">
        <f>Intermediate!EX61+Intermediate!EZ61+Intermediate!FE61</f>
        <v>212.81665277112728</v>
      </c>
      <c r="CO61" s="180">
        <f>Intermediate!FB61+Intermediate!FG61</f>
        <v>8.0146071952003979</v>
      </c>
      <c r="CP61" s="213">
        <f>Intermediate!EP61+Intermediate!EQ61+Intermediate!ER61+Intermediate!ES61+Intermediate!ET61+Intermediate!EU61+Intermediate!EV61+W61</f>
        <v>172.68575805436177</v>
      </c>
      <c r="CQ61" s="212">
        <f t="shared" si="155"/>
        <v>220.83125996632768</v>
      </c>
      <c r="CR61" s="212">
        <f t="shared" si="156"/>
        <v>372.97754699322576</v>
      </c>
      <c r="CS61" s="211">
        <f t="shared" si="143"/>
        <v>117.50757710275725</v>
      </c>
      <c r="CT61" s="212">
        <f t="shared" si="157"/>
        <v>884.00214211667253</v>
      </c>
      <c r="CU61" s="84"/>
      <c r="CV61" s="31">
        <f t="shared" si="158"/>
        <v>917.38288798581993</v>
      </c>
      <c r="CW61" s="31">
        <f>CH61/Basicinfo!$G61*1000/100</f>
        <v>1.6164660251401302</v>
      </c>
      <c r="CX61" s="31">
        <f>CI61/Basicinfo!$G61*1000/100</f>
        <v>0.486932016790036</v>
      </c>
      <c r="CY61" s="31">
        <f>CS61/Basicinfo!$G61*1000/100</f>
        <v>1.6380671659789028</v>
      </c>
      <c r="CZ61" s="31">
        <f>CN61/Basicinfo!$G61*1000/100</f>
        <v>2.966685041706445</v>
      </c>
      <c r="DA61" s="31">
        <f>CO61/Basicinfo!$G61*1000/100</f>
        <v>0.11172441146663716</v>
      </c>
      <c r="DB61" s="31">
        <f>CQ61/Basicinfo!$G61*1000/100</f>
        <v>3.0784094531730823</v>
      </c>
      <c r="DC61" s="31">
        <f>CJ61/Basicinfo!$G61*1000/100</f>
        <v>3.8216117771851801</v>
      </c>
      <c r="DD61" s="31">
        <f>CK61/Basicinfo!$G61*1000/100</f>
        <v>0.14315206595228111</v>
      </c>
      <c r="DE61" s="31">
        <f>CM61/Basicinfo!$G61*1000/100</f>
        <v>1.2274640162993935</v>
      </c>
      <c r="DF61" s="31">
        <f>CR61/Basicinfo!$G61*1000/100</f>
        <v>5.1993436375825048</v>
      </c>
      <c r="DG61" s="31">
        <f>CP61/Basicinfo!$G61*1000/100</f>
        <v>2.4072564278443407</v>
      </c>
      <c r="DH61" s="31">
        <f>CT61/Basicinfo!$G61*1000/100</f>
        <v>12.32307668457883</v>
      </c>
      <c r="DI61" s="31">
        <f>CV61/Basicinfo!$G61*1000/100</f>
        <v>12.788407560530091</v>
      </c>
      <c r="DJ61" s="31"/>
      <c r="DK61" s="188">
        <f t="shared" si="159"/>
        <v>13.117389970988208</v>
      </c>
      <c r="DL61" s="188">
        <f t="shared" si="160"/>
        <v>3.9513834836342903</v>
      </c>
      <c r="DM61" s="188">
        <f t="shared" si="161"/>
        <v>13.292680130999992</v>
      </c>
      <c r="DN61" s="188">
        <f t="shared" si="162"/>
        <v>24.074223650810936</v>
      </c>
      <c r="DO61" s="188">
        <f t="shared" si="163"/>
        <v>0.90662757626469792</v>
      </c>
      <c r="DP61" s="188">
        <f t="shared" si="164"/>
        <v>24.980851227075636</v>
      </c>
      <c r="DQ61" s="188">
        <f t="shared" si="225"/>
        <v>31.011831501199428</v>
      </c>
      <c r="DR61" s="188">
        <f t="shared" si="226"/>
        <v>1.1616584852662843</v>
      </c>
      <c r="DS61" s="188">
        <f t="shared" si="227"/>
        <v>9.9606944573788851</v>
      </c>
      <c r="DT61" s="188">
        <f t="shared" si="165"/>
        <v>42.191927962998008</v>
      </c>
      <c r="DU61" s="188">
        <f t="shared" si="166"/>
        <v>19.534540678926358</v>
      </c>
      <c r="DV61" s="188">
        <f t="shared" si="228"/>
        <v>100</v>
      </c>
      <c r="DW61" s="188">
        <f t="shared" si="229"/>
        <v>103.77609332362248</v>
      </c>
      <c r="DY61" s="181">
        <f t="shared" si="167"/>
        <v>12.6648785</v>
      </c>
      <c r="DZ61" s="181">
        <f t="shared" si="127"/>
        <v>6.009212577833928</v>
      </c>
      <c r="EA61" s="185">
        <f t="shared" si="168"/>
        <v>1.6068080667441094E-2</v>
      </c>
      <c r="EB61" s="185">
        <f>AG61+AH61+AL61-Intermediate!FJ61-Intermediate!FM61</f>
        <v>5.4074235796006889</v>
      </c>
      <c r="EC61" s="185">
        <f>AI61+AJ61-Intermediate!FK61</f>
        <v>8.0352689080813278E-2</v>
      </c>
      <c r="ED61" s="240">
        <f t="shared" si="169"/>
        <v>0.94100961868533073</v>
      </c>
      <c r="EE61" s="240">
        <f>Intermediate!FJ61+Intermediate!FK61+Intermediate!FM61</f>
        <v>12.524115216348111</v>
      </c>
      <c r="EF61" s="240">
        <f t="shared" si="170"/>
        <v>5.5038443493489417</v>
      </c>
      <c r="EG61" s="240">
        <f t="shared" si="171"/>
        <v>18.674091077833928</v>
      </c>
      <c r="EH61" s="240">
        <f t="shared" si="172"/>
        <v>37.643060262216309</v>
      </c>
      <c r="EI61" s="181">
        <f t="shared" si="173"/>
        <v>37.643060262216309</v>
      </c>
      <c r="EK61" s="31">
        <f>DY61/Basicinfo!$G61*1000/100</f>
        <v>0.17654965018826302</v>
      </c>
      <c r="EL61" s="31">
        <f>DZ61/Basicinfo!$G61*1000/100</f>
        <v>8.3769013537989351E-2</v>
      </c>
      <c r="EM61" s="220">
        <f>EG61/Basicinfo!$G61*1000/100</f>
        <v>0.2603186637262524</v>
      </c>
      <c r="EN61" s="220">
        <f>ED61/Basicinfo!$G61*1000/100</f>
        <v>1.3117766507012754E-2</v>
      </c>
      <c r="EO61" s="220">
        <f>EF61/Basicinfo!$G61*1000/100</f>
        <v>7.6724130797480916E-2</v>
      </c>
      <c r="EP61" s="220">
        <f>EE61/Basicinfo!$G61*1000/100</f>
        <v>0.1745873961888984</v>
      </c>
      <c r="EQ61" s="220">
        <f>EH61/Basicinfo!$G61*1000/100</f>
        <v>0.52474795721964451</v>
      </c>
      <c r="ER61" s="31">
        <f>EI61/Basicinfo!$G61*1000/100</f>
        <v>0.52474795721964451</v>
      </c>
      <c r="ET61" s="188">
        <f t="shared" si="230"/>
        <v>33.644656974693923</v>
      </c>
      <c r="EU61" s="188">
        <f t="shared" si="231"/>
        <v>15.963666439377111</v>
      </c>
      <c r="EV61" s="223">
        <f t="shared" si="232"/>
        <v>49.608323414071045</v>
      </c>
      <c r="EW61" s="223">
        <f t="shared" si="233"/>
        <v>2.4998223102223589</v>
      </c>
      <c r="EX61" s="223">
        <f t="shared" si="234"/>
        <v>14.621139490280358</v>
      </c>
      <c r="EY61" s="223">
        <f t="shared" si="235"/>
        <v>33.270714785426236</v>
      </c>
      <c r="EZ61" s="223">
        <f t="shared" si="236"/>
        <v>100</v>
      </c>
      <c r="FA61" s="188">
        <f t="shared" si="237"/>
        <v>100</v>
      </c>
      <c r="FC61" s="236">
        <f>Basicinfo!CT61</f>
        <v>0.69397849462365579</v>
      </c>
      <c r="FD61" s="181">
        <f>IF((Intermediate!CL61+Intermediate!CM61*3)/4&gt;11,(Intermediate!CL61+Intermediate!CM61*9)/10,(Intermediate!CL61+Intermediate!CM61*3)/4)</f>
        <v>0.8405972529593192</v>
      </c>
      <c r="FF61" s="31">
        <f t="shared" si="174"/>
        <v>0.94100961868533073</v>
      </c>
      <c r="FG61" s="31">
        <f t="shared" si="175"/>
        <v>3.1606278745046348</v>
      </c>
      <c r="FH61" s="31">
        <f t="shared" si="176"/>
        <v>3.4284661647771067E-2</v>
      </c>
      <c r="FI61" s="31">
        <f>(AI61-(P61*450/1000000))*Parameters!$C$153</f>
        <v>7.2661349855039206E-2</v>
      </c>
      <c r="FJ61" s="31"/>
      <c r="FK61" s="31">
        <f t="shared" si="177"/>
        <v>1.6068080667441094E-2</v>
      </c>
      <c r="FL61" s="31">
        <f t="shared" si="178"/>
        <v>5.4178946785472419</v>
      </c>
      <c r="FM61" s="31">
        <f>AM61*Parameters!$C$154</f>
        <v>0.36034087801927406</v>
      </c>
      <c r="FN61" s="31">
        <f>AN61*Parameters!$C$154</f>
        <v>4.6432235736793661</v>
      </c>
      <c r="FO61" s="31">
        <f>AO61*Parameters!$C$154</f>
        <v>0.40472686835189509</v>
      </c>
      <c r="FP61" s="31">
        <f>AQ61*Parameters!$C$155</f>
        <v>12.6648785</v>
      </c>
      <c r="FQ61" s="31">
        <f t="shared" si="238"/>
        <v>27.715716083957993</v>
      </c>
      <c r="FS61" s="147">
        <f>DY61*Parameters!$C$155</f>
        <v>12.6648785</v>
      </c>
      <c r="FT61" s="147">
        <f>DZ61*Parameters!$C$154</f>
        <v>5.4082913200505356</v>
      </c>
      <c r="FU61" s="181">
        <f t="shared" si="239"/>
        <v>1.6068080667441094E-2</v>
      </c>
      <c r="FV61" s="181">
        <f t="shared" si="240"/>
        <v>5.4074235796006889</v>
      </c>
      <c r="FW61" s="31">
        <f t="shared" si="241"/>
        <v>7.2661349855037471E-2</v>
      </c>
      <c r="FX61" s="181">
        <f t="shared" si="242"/>
        <v>0.94100961868533073</v>
      </c>
      <c r="FY61" s="147">
        <f>Intermediate!FJ61+Intermediate!FM61</f>
        <v>3.2053836350989586</v>
      </c>
      <c r="FZ61" s="181">
        <f t="shared" si="243"/>
        <v>5.4961530101231677</v>
      </c>
      <c r="GA61" s="147">
        <f t="shared" si="244"/>
        <v>18.073169820050538</v>
      </c>
      <c r="GB61" s="181">
        <f t="shared" si="245"/>
        <v>27.715716083957993</v>
      </c>
      <c r="GD61" s="147">
        <f>IF('River loads'!CH61&gt;0.99,1,0)</f>
        <v>0</v>
      </c>
      <c r="GE61" s="147">
        <f t="shared" si="179"/>
        <v>0</v>
      </c>
      <c r="GF61" s="147">
        <f t="shared" si="180"/>
        <v>0</v>
      </c>
      <c r="GG61" s="147">
        <f t="shared" si="181"/>
        <v>0</v>
      </c>
      <c r="GH61" s="147">
        <f t="shared" si="182"/>
        <v>0</v>
      </c>
      <c r="GI61" s="147">
        <f t="shared" si="183"/>
        <v>0</v>
      </c>
      <c r="GJ61" s="147">
        <f t="shared" si="184"/>
        <v>0</v>
      </c>
      <c r="GK61" s="147">
        <f t="shared" si="185"/>
        <v>0</v>
      </c>
      <c r="GL61" s="147">
        <f t="shared" si="186"/>
        <v>0</v>
      </c>
      <c r="GM61" s="270">
        <f t="shared" si="128"/>
        <v>0</v>
      </c>
      <c r="GN61" s="270">
        <f t="shared" si="129"/>
        <v>0</v>
      </c>
      <c r="GO61" s="147">
        <f t="shared" si="187"/>
        <v>0</v>
      </c>
      <c r="GP61" s="147">
        <f t="shared" si="246"/>
        <v>0</v>
      </c>
      <c r="GQ61" s="147"/>
      <c r="GR61" s="147">
        <f t="shared" si="247"/>
        <v>0</v>
      </c>
      <c r="GS61" s="147">
        <f t="shared" si="188"/>
        <v>0</v>
      </c>
      <c r="GT61" s="147">
        <f t="shared" si="189"/>
        <v>0</v>
      </c>
      <c r="GU61" s="147">
        <f t="shared" si="190"/>
        <v>0</v>
      </c>
      <c r="GV61" s="147">
        <f t="shared" si="191"/>
        <v>0</v>
      </c>
      <c r="GW61" s="147">
        <f t="shared" si="192"/>
        <v>0</v>
      </c>
      <c r="GX61" s="147">
        <f t="shared" si="193"/>
        <v>0</v>
      </c>
      <c r="GY61" s="147">
        <f t="shared" si="194"/>
        <v>0</v>
      </c>
      <c r="GZ61" s="147">
        <f t="shared" si="130"/>
        <v>0</v>
      </c>
      <c r="HA61" s="147">
        <f t="shared" si="131"/>
        <v>0</v>
      </c>
      <c r="HB61" s="147">
        <f t="shared" si="195"/>
        <v>0</v>
      </c>
      <c r="HC61" s="147">
        <f t="shared" si="196"/>
        <v>0</v>
      </c>
      <c r="HD61" s="147"/>
      <c r="HE61" s="147">
        <f t="shared" si="197"/>
        <v>0</v>
      </c>
      <c r="HF61" s="147">
        <f t="shared" si="198"/>
        <v>0</v>
      </c>
      <c r="HG61" s="147">
        <f t="shared" si="199"/>
        <v>0</v>
      </c>
      <c r="HH61" s="147">
        <f t="shared" si="200"/>
        <v>0</v>
      </c>
      <c r="HI61" s="147">
        <f t="shared" si="201"/>
        <v>0</v>
      </c>
      <c r="HJ61" s="147">
        <f t="shared" si="202"/>
        <v>0</v>
      </c>
      <c r="HK61" s="147">
        <f t="shared" si="203"/>
        <v>0</v>
      </c>
      <c r="HL61" s="147">
        <f t="shared" si="204"/>
        <v>0</v>
      </c>
      <c r="HM61" s="147">
        <f t="shared" si="205"/>
        <v>0</v>
      </c>
      <c r="HN61" s="147">
        <f t="shared" si="206"/>
        <v>0</v>
      </c>
      <c r="HO61" s="147">
        <f t="shared" si="207"/>
        <v>0</v>
      </c>
      <c r="HQ61" s="147">
        <f t="shared" si="248"/>
        <v>0</v>
      </c>
      <c r="HR61" s="147">
        <f t="shared" si="208"/>
        <v>0</v>
      </c>
      <c r="HS61" s="147">
        <f t="shared" si="209"/>
        <v>0</v>
      </c>
      <c r="HT61" s="147">
        <f t="shared" si="210"/>
        <v>0</v>
      </c>
      <c r="HU61" s="147">
        <f t="shared" si="211"/>
        <v>0</v>
      </c>
      <c r="HV61" s="147">
        <f t="shared" si="212"/>
        <v>0</v>
      </c>
      <c r="HW61" s="147">
        <f t="shared" si="213"/>
        <v>0</v>
      </c>
      <c r="HX61" s="147">
        <f t="shared" si="214"/>
        <v>0</v>
      </c>
      <c r="HY61" s="147">
        <f t="shared" si="215"/>
        <v>0</v>
      </c>
      <c r="HZ61" s="147">
        <f t="shared" si="216"/>
        <v>0</v>
      </c>
      <c r="IB61" s="147">
        <f>IF('River loads'!CI61&gt;0.99,1,0)</f>
        <v>0</v>
      </c>
      <c r="IC61">
        <f t="shared" si="144"/>
        <v>0</v>
      </c>
      <c r="ID61">
        <f t="shared" si="145"/>
        <v>0</v>
      </c>
      <c r="IE61">
        <f t="shared" si="146"/>
        <v>0</v>
      </c>
      <c r="IF61">
        <f t="shared" si="147"/>
        <v>0</v>
      </c>
      <c r="IG61">
        <f t="shared" si="148"/>
        <v>0</v>
      </c>
      <c r="IH61">
        <f t="shared" si="149"/>
        <v>0</v>
      </c>
      <c r="II61">
        <f t="shared" si="150"/>
        <v>0</v>
      </c>
      <c r="IJ61">
        <f t="shared" si="151"/>
        <v>0</v>
      </c>
      <c r="IK61">
        <f t="shared" si="132"/>
        <v>0</v>
      </c>
      <c r="IL61">
        <f t="shared" si="133"/>
        <v>0</v>
      </c>
      <c r="IM61">
        <f t="shared" si="249"/>
        <v>0</v>
      </c>
      <c r="IN61">
        <f t="shared" si="250"/>
        <v>0</v>
      </c>
      <c r="IP61">
        <f t="shared" si="251"/>
        <v>0</v>
      </c>
      <c r="IQ61">
        <f t="shared" si="217"/>
        <v>0</v>
      </c>
      <c r="IR61">
        <f t="shared" si="218"/>
        <v>0</v>
      </c>
      <c r="IS61">
        <f t="shared" si="219"/>
        <v>0</v>
      </c>
      <c r="IT61">
        <f t="shared" si="220"/>
        <v>0</v>
      </c>
      <c r="IU61">
        <f t="shared" si="221"/>
        <v>0</v>
      </c>
      <c r="IV61">
        <f t="shared" si="222"/>
        <v>0</v>
      </c>
      <c r="IW61">
        <f t="shared" si="223"/>
        <v>0</v>
      </c>
      <c r="IX61">
        <f t="shared" si="224"/>
        <v>0</v>
      </c>
    </row>
    <row r="62" spans="1:258">
      <c r="A62" s="39" t="str">
        <f>Basicinfo!A62</f>
        <v>Traun</v>
      </c>
      <c r="B62" s="63">
        <f>Basicinfo!B62</f>
        <v>4020</v>
      </c>
      <c r="C62" s="63">
        <f>Basicinfo!C62</f>
        <v>5010</v>
      </c>
      <c r="D62" s="130">
        <f>Basicinfo!G62</f>
        <v>720.50863375300003</v>
      </c>
      <c r="E62" s="87">
        <f t="shared" si="153"/>
        <v>24.085025010120695</v>
      </c>
      <c r="F62" s="19">
        <f>Intermediate!AR62</f>
        <v>7.7395000388050278E-2</v>
      </c>
      <c r="G62" s="19">
        <f>Intermediate!AU62</f>
        <v>5.3796873267055485</v>
      </c>
      <c r="H62" s="19">
        <f>Intermediate!AW62</f>
        <v>0</v>
      </c>
      <c r="I62" s="19">
        <f>Intermediate!AZ62</f>
        <v>0.11578823365028697</v>
      </c>
      <c r="J62" s="19">
        <f>Intermediate!BA62</f>
        <v>17.832818538339367</v>
      </c>
      <c r="K62" s="19">
        <f>Intermediate!AC62</f>
        <v>0.10622910871985046</v>
      </c>
      <c r="L62" s="19">
        <f>Intermediate!AO62</f>
        <v>0.10141200722274336</v>
      </c>
      <c r="M62" s="19">
        <f>Intermediate!AP62</f>
        <v>0.10071241839308863</v>
      </c>
      <c r="N62" s="19">
        <f t="shared" si="119"/>
        <v>23.714042633418938</v>
      </c>
      <c r="O62" s="19">
        <f>Basicinfo!CB62+Basicinfo!CG62</f>
        <v>0.37098237670175882</v>
      </c>
      <c r="P62" s="56">
        <f>Intermediate!BK62-Intermediate!BI62</f>
        <v>16936.791102361829</v>
      </c>
      <c r="Q62" s="43">
        <f>Intermediate!BI62</f>
        <v>8415.4728580336559</v>
      </c>
      <c r="R62" s="88">
        <f t="shared" si="134"/>
        <v>25352.263960395485</v>
      </c>
      <c r="S62" s="61">
        <f>Intermediate!F62*Intermediate!BO62/1000</f>
        <v>19.074493000010651</v>
      </c>
      <c r="T62" s="19">
        <f>Intermediate!BU62*Intermediate!AU62*86.4*0.365</f>
        <v>326.08074309794938</v>
      </c>
      <c r="U62" s="19">
        <f>Intermediate!AW62*Intermediate!BS62*0.365*86.4</f>
        <v>0</v>
      </c>
      <c r="V62" s="19">
        <f>(Basicinfo!BL62/1000000)*(Intermediate!BK62-Intermediate!BF62-Intermediate!BG62-Intermediate!BH62)*Intermediate!CV62</f>
        <v>49.21364759180792</v>
      </c>
      <c r="W62" s="19">
        <f>Intermediate!BI62*Parameters!$C$51/1000000</f>
        <v>0.21038682145084142</v>
      </c>
      <c r="X62" s="19">
        <f>Intermediate!AZ62*Intermediate!CG62*86.4*0.365</f>
        <v>44.603787677091496</v>
      </c>
      <c r="Y62" s="19">
        <f>Intermediate!CM62*Intermediate!BA62*86.4*0.365+Parameters!$C$126*Intermediate!BB62*Basicinfo!P62/1000+Parameters!$C$127*Intermediate!BB62*Basicinfo!S62/1000</f>
        <v>1317.6713402354649</v>
      </c>
      <c r="Z62" s="19">
        <f>Intermediate!DG62</f>
        <v>9.0042319578033716</v>
      </c>
      <c r="AA62" s="19">
        <f>Intermediate!DI62</f>
        <v>27.038245727031214</v>
      </c>
      <c r="AB62" s="19">
        <f>Intermediate!DK62</f>
        <v>3.6952194342203288</v>
      </c>
      <c r="AC62" s="19">
        <f t="shared" si="120"/>
        <v>1796.5920955428298</v>
      </c>
      <c r="AD62" s="19">
        <f>Basicinfo!CC62+Basicinfo!CE62+Basicinfo!CH62+Basicinfo!CJ62</f>
        <v>438.82726889166668</v>
      </c>
      <c r="AE62" s="87">
        <f t="shared" si="135"/>
        <v>2235.4193644344964</v>
      </c>
      <c r="AF62" s="56">
        <f>Intermediate!F62*Basicinfo!BD62/1000</f>
        <v>0.40319746504532294</v>
      </c>
      <c r="AG62" s="43">
        <f>Intermediate!CA62*Intermediate!AU62*86.4*0.365</f>
        <v>6.2388359608872781</v>
      </c>
      <c r="AH62" s="43">
        <f>Intermediate!AW62*Intermediate!BZ62*0.365*86.4</f>
        <v>0</v>
      </c>
      <c r="AI62" s="43">
        <f>(Intermediate!CU62/1000000)*(Intermediate!BK62-Intermediate!BF62-Intermediate!BG62-Intermediate!BH62)*Intermediate!CW62</f>
        <v>41.400266207878119</v>
      </c>
      <c r="AJ62" s="43">
        <f>Intermediate!BF62*Parameters!$C$52/1000000+(Intermediate!BG62+Intermediate!BH62)*Intermediate!CX62/1000000</f>
        <v>3.7869627861151454</v>
      </c>
      <c r="AK62" s="43">
        <f>Intermediate!AZ62*Intermediate!CH62*86.4*0.365</f>
        <v>0.25726871357748393</v>
      </c>
      <c r="AL62" s="58">
        <f>Intermediate!CR62*Intermediate!BA62*86.4*0.365</f>
        <v>24.940640867218526</v>
      </c>
      <c r="AM62" s="43">
        <f>Intermediate!DH62</f>
        <v>2.0727475496664645</v>
      </c>
      <c r="AN62" s="42">
        <f>Intermediate!DJ62</f>
        <v>4.9414641408612594</v>
      </c>
      <c r="AO62" s="42">
        <f>Intermediate!DL62</f>
        <v>0.57033531649535685</v>
      </c>
      <c r="AP62" s="42">
        <f t="shared" si="122"/>
        <v>84.611719007744952</v>
      </c>
      <c r="AQ62" s="43">
        <f>Basicinfo!CD62+Basicinfo!CF62+Basicinfo!CI62+Basicinfo!CK62</f>
        <v>7.8238215416666659</v>
      </c>
      <c r="AR62" s="83">
        <f t="shared" si="136"/>
        <v>92.435540549411613</v>
      </c>
      <c r="AS62" s="19">
        <f>F62*86400*365/(Basicinfo!G62*1000000)*1000</f>
        <v>3.3875079602089375</v>
      </c>
      <c r="AT62" s="19">
        <f>G62*86400*365/(Basicinfo!G62*1000000)*1000</f>
        <v>235.46396474292044</v>
      </c>
      <c r="AU62" s="19">
        <f>H62*86400*365/(Basicinfo!G62*1000000)*1000</f>
        <v>0</v>
      </c>
      <c r="AV62" s="19">
        <f>I62*86400*365/(Basicinfo!G62*1000000)*1000</f>
        <v>5.0679444566478749</v>
      </c>
      <c r="AW62" s="19">
        <f>J62*86400*365/(Basicinfo!G62*1000000)*1000</f>
        <v>780.52606045226128</v>
      </c>
      <c r="AX62" s="53">
        <f>K62*86400*365/(Basicinfo!G62*1000000)*1000</f>
        <v>4.6495503532545355</v>
      </c>
      <c r="AY62" s="53">
        <f>L62*86400*365/(Basicinfo!G62*1000000)*1000</f>
        <v>4.4387102526696385</v>
      </c>
      <c r="AZ62" s="53">
        <f>M62*86400*365/(Basicinfo!G62*1000000)*1000</f>
        <v>4.4080898932478867</v>
      </c>
      <c r="BA62" s="19">
        <f t="shared" si="123"/>
        <v>1037.9418281112105</v>
      </c>
      <c r="BB62" s="19">
        <f>O62*86400*365/(Basicinfo!G62*1000000)*1000</f>
        <v>16.237557308268624</v>
      </c>
      <c r="BC62" s="53">
        <f t="shared" si="137"/>
        <v>1054.1793854194791</v>
      </c>
      <c r="BD62" s="56">
        <f>P62/(Basicinfo!G62*100)*1000</f>
        <v>235.06714991243237</v>
      </c>
      <c r="BE62" s="43">
        <f>Q62/(Basicinfo!G62*100)*1000</f>
        <v>116.79905644154421</v>
      </c>
      <c r="BF62" s="58">
        <f t="shared" si="138"/>
        <v>351.86620635397657</v>
      </c>
      <c r="BG62" s="61">
        <f>S62/(Basicinfo!G62*100)*1000000</f>
        <v>264.73649456016983</v>
      </c>
      <c r="BH62" s="19">
        <f>T62/(Basicinfo!G62*100)*1000000</f>
        <v>4525.7020918604876</v>
      </c>
      <c r="BI62" s="19">
        <f>U62/(Basicinfo!G62*100)*1000000</f>
        <v>0</v>
      </c>
      <c r="BJ62" s="19">
        <f>V62/(Basicinfo!G62*100)*1000000</f>
        <v>683.04035907887555</v>
      </c>
      <c r="BK62" s="19">
        <f>W62/(Basicinfo!G62*100)*1000000</f>
        <v>2.9199764110386059</v>
      </c>
      <c r="BL62" s="19">
        <f>X62/(Basicinfo!G62*100)*1000000</f>
        <v>619.05972513831489</v>
      </c>
      <c r="BM62" s="19">
        <f>Y62/(Basicinfo!G62*100)*1000000</f>
        <v>18288.071488775247</v>
      </c>
      <c r="BN62" s="53">
        <f>Z62/(Basicinfo!G62*100)*1000000</f>
        <v>124.97049356510753</v>
      </c>
      <c r="BO62" s="53">
        <f>AA62/(Basicinfo!G62*100)*1000000</f>
        <v>375.26608926521601</v>
      </c>
      <c r="BP62" s="53">
        <f>AB62/(Basicinfo!G62*100)*1000000</f>
        <v>51.28626169227973</v>
      </c>
      <c r="BQ62" s="19">
        <f t="shared" si="125"/>
        <v>24935.052980346736</v>
      </c>
      <c r="BR62" s="19">
        <f>AD62/(Basicinfo!G62*100)*1000000</f>
        <v>6090.5206174406858</v>
      </c>
      <c r="BS62" s="53">
        <f t="shared" si="139"/>
        <v>31025.573597787421</v>
      </c>
      <c r="BT62" s="56">
        <f>AF62/(Basicinfo!G62*100)*1000000</f>
        <v>5.5960115695649586</v>
      </c>
      <c r="BU62" s="43">
        <f>AG62/(Basicinfo!G62*100)*1000000</f>
        <v>86.589329657165962</v>
      </c>
      <c r="BV62" s="43">
        <f>AH62/(Basicinfo!G62*100)*1000000</f>
        <v>0</v>
      </c>
      <c r="BW62" s="43">
        <f>AI62/(Basicinfo!G62*100)*1000000</f>
        <v>574.5977809069625</v>
      </c>
      <c r="BX62" s="43">
        <f>AJ62/(Basicinfo!G62*100)*1000000</f>
        <v>52.559575398694903</v>
      </c>
      <c r="BY62" s="58">
        <f>AK62/(Basicinfo!G62*100)*1000000</f>
        <v>3.570654139665439</v>
      </c>
      <c r="BZ62" s="58">
        <f>AL62/(Basicinfo!G62*100)*1000000</f>
        <v>346.15325478207262</v>
      </c>
      <c r="CA62" s="58">
        <f>AM62/(Basicinfo!G62*100)*1000000</f>
        <v>28.767837782455082</v>
      </c>
      <c r="CB62" s="58">
        <f>AN62/(Basicinfo!G62*100)*1000000</f>
        <v>68.582996918746971</v>
      </c>
      <c r="CC62" s="58">
        <f>AO62/(Basicinfo!G62*100)*1000000</f>
        <v>7.9157318840800368</v>
      </c>
      <c r="CD62" s="58">
        <f t="shared" si="126"/>
        <v>1174.3331730394082</v>
      </c>
      <c r="CE62" s="58">
        <f>AQ62/(Basicinfo!G62*100)*1000000</f>
        <v>108.58747800028135</v>
      </c>
      <c r="CF62" s="43">
        <f t="shared" si="140"/>
        <v>1282.9206510396896</v>
      </c>
      <c r="CG62" s="84"/>
      <c r="CH62" s="84">
        <f t="shared" si="154"/>
        <v>438.82726889166668</v>
      </c>
      <c r="CI62" s="146">
        <f t="shared" si="152"/>
        <v>39.737697119054914</v>
      </c>
      <c r="CJ62" s="200">
        <f>Intermediate!EW62+Intermediate!EY62+Intermediate!FD62</f>
        <v>132.72221466531931</v>
      </c>
      <c r="CK62" s="180">
        <f>Intermediate!FA62+Intermediate!FF62</f>
        <v>184.97443967686834</v>
      </c>
      <c r="CL62" s="180">
        <f t="shared" si="141"/>
        <v>44.603787677091496</v>
      </c>
      <c r="CM62" s="180">
        <f t="shared" si="142"/>
        <v>903.11465914143378</v>
      </c>
      <c r="CN62" s="202">
        <f>Intermediate!EX62+Intermediate!EZ62+Intermediate!FE62</f>
        <v>76.110944897212647</v>
      </c>
      <c r="CO62" s="180">
        <f>Intermediate!FB62+Intermediate!FG62</f>
        <v>104.80243894280322</v>
      </c>
      <c r="CP62" s="213">
        <f>Intermediate!EP62+Intermediate!EQ62+Intermediate!ER62+Intermediate!ES62+Intermediate!ET62+Intermediate!EU62+Intermediate!EV62+W62</f>
        <v>310.52591342304623</v>
      </c>
      <c r="CQ62" s="212">
        <f t="shared" si="155"/>
        <v>180.91338384001585</v>
      </c>
      <c r="CR62" s="212">
        <f t="shared" si="156"/>
        <v>1265.415101160713</v>
      </c>
      <c r="CS62" s="211">
        <f t="shared" si="143"/>
        <v>447.83150084947005</v>
      </c>
      <c r="CT62" s="212">
        <f t="shared" si="157"/>
        <v>2204.685899273245</v>
      </c>
      <c r="CU62" s="84"/>
      <c r="CV62" s="31">
        <f t="shared" si="158"/>
        <v>2235.4193644344964</v>
      </c>
      <c r="CW62" s="31">
        <f>CH62/Basicinfo!$G62*1000/100</f>
        <v>6.090520617440685</v>
      </c>
      <c r="CX62" s="31">
        <f>CI62/Basicinfo!$G62*1000/100</f>
        <v>0.55152284452260336</v>
      </c>
      <c r="CY62" s="31">
        <f>CS62/Basicinfo!$G62*1000/100</f>
        <v>6.2154911110057931</v>
      </c>
      <c r="CZ62" s="31">
        <f>CN62/Basicinfo!$G62*1000/100</f>
        <v>1.0563502133314409</v>
      </c>
      <c r="DA62" s="31">
        <f>CO62/Basicinfo!$G62*1000/100</f>
        <v>1.4545618752256464</v>
      </c>
      <c r="DB62" s="31">
        <f>CQ62/Basicinfo!$G62*1000/100</f>
        <v>2.5109120885570868</v>
      </c>
      <c r="DC62" s="31">
        <f>CJ62/Basicinfo!$G62*1000/100</f>
        <v>1.8420627935295255</v>
      </c>
      <c r="DD62" s="31">
        <f>CK62/Basicinfo!$G62*1000/100</f>
        <v>2.5672758244876217</v>
      </c>
      <c r="DE62" s="31">
        <f>CM62/Basicinfo!$G62*1000/100</f>
        <v>12.534404403140483</v>
      </c>
      <c r="DF62" s="31">
        <f>CR62/Basicinfo!$G62*1000/100</f>
        <v>17.562802746295947</v>
      </c>
      <c r="DG62" s="31">
        <f>CP62/Basicinfo!$G62*1000/100</f>
        <v>4.3098153009711009</v>
      </c>
      <c r="DH62" s="31">
        <f>CT62/Basicinfo!$G62*1000/100</f>
        <v>30.599021246829924</v>
      </c>
      <c r="DI62" s="31">
        <f>CV62/Basicinfo!$G62*1000/100</f>
        <v>31.025573597787421</v>
      </c>
      <c r="DJ62" s="31"/>
      <c r="DK62" s="188">
        <f t="shared" si="159"/>
        <v>19.904298795412178</v>
      </c>
      <c r="DL62" s="188">
        <f t="shared" si="160"/>
        <v>1.8024198881189422</v>
      </c>
      <c r="DM62" s="188">
        <f t="shared" si="161"/>
        <v>20.312712164444545</v>
      </c>
      <c r="DN62" s="188">
        <f t="shared" si="162"/>
        <v>3.4522353012872236</v>
      </c>
      <c r="DO62" s="188">
        <f t="shared" si="163"/>
        <v>4.7536222269734845</v>
      </c>
      <c r="DP62" s="188">
        <f t="shared" si="164"/>
        <v>8.205857528260708</v>
      </c>
      <c r="DQ62" s="188">
        <f t="shared" si="225"/>
        <v>6.0200056030235416</v>
      </c>
      <c r="DR62" s="188">
        <f t="shared" si="226"/>
        <v>8.3900586354656461</v>
      </c>
      <c r="DS62" s="188">
        <f t="shared" si="227"/>
        <v>40.963416123772433</v>
      </c>
      <c r="DT62" s="188">
        <f t="shared" si="165"/>
        <v>57.396616070245912</v>
      </c>
      <c r="DU62" s="188">
        <f t="shared" si="166"/>
        <v>14.084814237048841</v>
      </c>
      <c r="DV62" s="188">
        <f t="shared" si="228"/>
        <v>100</v>
      </c>
      <c r="DW62" s="188">
        <f t="shared" si="229"/>
        <v>101.39400651908656</v>
      </c>
      <c r="DY62" s="181">
        <f t="shared" si="167"/>
        <v>7.8238215416666659</v>
      </c>
      <c r="DZ62" s="181">
        <f t="shared" si="127"/>
        <v>7.5845470070230805</v>
      </c>
      <c r="EA62" s="185">
        <f t="shared" si="168"/>
        <v>0.25726871357748393</v>
      </c>
      <c r="EB62" s="185">
        <f>AG62+AH62+AL62-Intermediate!FJ62-Intermediate!FM62</f>
        <v>24.993247551657117</v>
      </c>
      <c r="EC62" s="185">
        <f>AI62+AJ62-Intermediate!FK62</f>
        <v>40.384784705066096</v>
      </c>
      <c r="ED62" s="240">
        <f t="shared" si="169"/>
        <v>0.40319746504532294</v>
      </c>
      <c r="EE62" s="240">
        <f>Intermediate!FJ62+Intermediate!FK62+Intermediate!FM62</f>
        <v>10.988673565375855</v>
      </c>
      <c r="EF62" s="240">
        <f t="shared" si="170"/>
        <v>65.635300970300705</v>
      </c>
      <c r="EG62" s="240">
        <f t="shared" si="171"/>
        <v>15.408368548689747</v>
      </c>
      <c r="EH62" s="240">
        <f t="shared" si="172"/>
        <v>92.435540549411627</v>
      </c>
      <c r="EI62" s="181">
        <f t="shared" si="173"/>
        <v>92.435540549411613</v>
      </c>
      <c r="EK62" s="31">
        <f>DY62/Basicinfo!$G62*1000/100</f>
        <v>0.10858747800028133</v>
      </c>
      <c r="EL62" s="31">
        <f>DZ62/Basicinfo!$G62*1000/100</f>
        <v>0.10526656658528211</v>
      </c>
      <c r="EM62" s="220">
        <f>EG62/Basicinfo!$G62*1000/100</f>
        <v>0.21385404458556345</v>
      </c>
      <c r="EN62" s="220">
        <f>ED62/Basicinfo!$G62*1000/100</f>
        <v>5.5960115695649583E-3</v>
      </c>
      <c r="EO62" s="220">
        <f>EF62/Basicinfo!$G62*1000/100</f>
        <v>0.91095786914333299</v>
      </c>
      <c r="EP62" s="220">
        <f>EE62/Basicinfo!$G62*1000/100</f>
        <v>0.15251272574122851</v>
      </c>
      <c r="EQ62" s="220">
        <f>EH62/Basicinfo!$G62*1000/100</f>
        <v>1.2829206510396898</v>
      </c>
      <c r="ER62" s="31">
        <f>EI62/Basicinfo!$G62*1000/100</f>
        <v>1.2829206510396896</v>
      </c>
      <c r="ET62" s="188">
        <f t="shared" si="230"/>
        <v>8.4640837227369552</v>
      </c>
      <c r="EU62" s="188">
        <f t="shared" si="231"/>
        <v>8.2052281643430725</v>
      </c>
      <c r="EV62" s="223">
        <f t="shared" si="232"/>
        <v>16.669311887080028</v>
      </c>
      <c r="EW62" s="223">
        <f t="shared" si="233"/>
        <v>0.43619311646670461</v>
      </c>
      <c r="EX62" s="223">
        <f t="shared" si="234"/>
        <v>71.006563687714049</v>
      </c>
      <c r="EY62" s="223">
        <f t="shared" si="235"/>
        <v>11.887931308739237</v>
      </c>
      <c r="EZ62" s="223">
        <f t="shared" si="236"/>
        <v>100.00000000000003</v>
      </c>
      <c r="FA62" s="188">
        <f t="shared" si="237"/>
        <v>100</v>
      </c>
      <c r="FC62" s="236">
        <f>Basicinfo!CT62</f>
        <v>6.528503584229389</v>
      </c>
      <c r="FD62" s="181">
        <f>IF((Intermediate!CL62+Intermediate!CM62*3)/4&gt;11,(Intermediate!CL62+Intermediate!CM62*9)/10,(Intermediate!CL62+Intermediate!CM62*3)/4)</f>
        <v>2.4165799325145789</v>
      </c>
      <c r="FF62" s="31">
        <f t="shared" si="174"/>
        <v>0.40319746504532294</v>
      </c>
      <c r="FG62" s="31">
        <f t="shared" si="175"/>
        <v>6.2388359608872781</v>
      </c>
      <c r="FH62" s="31">
        <f t="shared" si="176"/>
        <v>0</v>
      </c>
      <c r="FI62" s="31">
        <f>(AI62-(P62*450/1000000))*Parameters!$C$153</f>
        <v>27.022968169452238</v>
      </c>
      <c r="FJ62" s="31"/>
      <c r="FK62" s="31">
        <f t="shared" si="177"/>
        <v>0.25726871357748393</v>
      </c>
      <c r="FL62" s="31">
        <f t="shared" si="178"/>
        <v>24.940640867218526</v>
      </c>
      <c r="FM62" s="31">
        <f>AM62*Parameters!$C$154</f>
        <v>1.865472794699818</v>
      </c>
      <c r="FN62" s="31">
        <f>AN62*Parameters!$C$154</f>
        <v>4.4473177267751334</v>
      </c>
      <c r="FO62" s="31">
        <f>AO62*Parameters!$C$154</f>
        <v>0.51330178484582123</v>
      </c>
      <c r="FP62" s="31">
        <f>AQ62*Parameters!$C$155</f>
        <v>7.8238215416666659</v>
      </c>
      <c r="FQ62" s="31">
        <f t="shared" si="238"/>
        <v>73.512825024168279</v>
      </c>
      <c r="FS62" s="147">
        <f>DY62*Parameters!$C$155</f>
        <v>7.8238215416666659</v>
      </c>
      <c r="FT62" s="147">
        <f>DZ62*Parameters!$C$154</f>
        <v>6.8260923063207724</v>
      </c>
      <c r="FU62" s="181">
        <f t="shared" si="239"/>
        <v>0.25726871357748393</v>
      </c>
      <c r="FV62" s="181">
        <f t="shared" si="240"/>
        <v>24.993247551657117</v>
      </c>
      <c r="FW62" s="31">
        <f t="shared" si="241"/>
        <v>27.022968169452241</v>
      </c>
      <c r="FX62" s="181">
        <f t="shared" si="242"/>
        <v>0.40319746504532294</v>
      </c>
      <c r="FY62" s="147">
        <f>Intermediate!FJ62+Intermediate!FM62</f>
        <v>6.1862292764486861</v>
      </c>
      <c r="FZ62" s="181">
        <f t="shared" si="243"/>
        <v>52.273484434686843</v>
      </c>
      <c r="GA62" s="147">
        <f t="shared" si="244"/>
        <v>14.649913847987438</v>
      </c>
      <c r="GB62" s="181">
        <f t="shared" si="245"/>
        <v>73.512825024168293</v>
      </c>
      <c r="GD62" s="147">
        <f>IF('River loads'!CH62&gt;0.99,1,0)</f>
        <v>0</v>
      </c>
      <c r="GE62" s="147">
        <f t="shared" si="179"/>
        <v>0</v>
      </c>
      <c r="GF62" s="147">
        <f t="shared" si="180"/>
        <v>0</v>
      </c>
      <c r="GG62" s="147">
        <f t="shared" si="181"/>
        <v>0</v>
      </c>
      <c r="GH62" s="147">
        <f t="shared" si="182"/>
        <v>0</v>
      </c>
      <c r="GI62" s="147">
        <f t="shared" si="183"/>
        <v>0</v>
      </c>
      <c r="GJ62" s="147">
        <f t="shared" si="184"/>
        <v>0</v>
      </c>
      <c r="GK62" s="147">
        <f t="shared" si="185"/>
        <v>0</v>
      </c>
      <c r="GL62" s="147">
        <f t="shared" si="186"/>
        <v>0</v>
      </c>
      <c r="GM62" s="270">
        <f t="shared" si="128"/>
        <v>0</v>
      </c>
      <c r="GN62" s="270">
        <f t="shared" si="129"/>
        <v>0</v>
      </c>
      <c r="GO62" s="147">
        <f t="shared" si="187"/>
        <v>0</v>
      </c>
      <c r="GP62" s="147">
        <f t="shared" si="246"/>
        <v>0</v>
      </c>
      <c r="GQ62" s="147"/>
      <c r="GR62" s="147">
        <f t="shared" si="247"/>
        <v>0</v>
      </c>
      <c r="GS62" s="147">
        <f t="shared" si="188"/>
        <v>0</v>
      </c>
      <c r="GT62" s="147">
        <f t="shared" si="189"/>
        <v>0</v>
      </c>
      <c r="GU62" s="147">
        <f t="shared" si="190"/>
        <v>0</v>
      </c>
      <c r="GV62" s="147">
        <f t="shared" si="191"/>
        <v>0</v>
      </c>
      <c r="GW62" s="147">
        <f t="shared" si="192"/>
        <v>0</v>
      </c>
      <c r="GX62" s="147">
        <f t="shared" si="193"/>
        <v>0</v>
      </c>
      <c r="GY62" s="147">
        <f t="shared" si="194"/>
        <v>0</v>
      </c>
      <c r="GZ62" s="147">
        <f t="shared" si="130"/>
        <v>0</v>
      </c>
      <c r="HA62" s="147">
        <f t="shared" si="131"/>
        <v>0</v>
      </c>
      <c r="HB62" s="147">
        <f t="shared" si="195"/>
        <v>0</v>
      </c>
      <c r="HC62" s="147">
        <f t="shared" si="196"/>
        <v>0</v>
      </c>
      <c r="HD62" s="147"/>
      <c r="HE62" s="147">
        <f t="shared" si="197"/>
        <v>0</v>
      </c>
      <c r="HF62" s="147">
        <f t="shared" si="198"/>
        <v>0</v>
      </c>
      <c r="HG62" s="147">
        <f t="shared" si="199"/>
        <v>0</v>
      </c>
      <c r="HH62" s="147">
        <f t="shared" si="200"/>
        <v>0</v>
      </c>
      <c r="HI62" s="147">
        <f t="shared" si="201"/>
        <v>0</v>
      </c>
      <c r="HJ62" s="147">
        <f t="shared" si="202"/>
        <v>0</v>
      </c>
      <c r="HK62" s="147">
        <f t="shared" si="203"/>
        <v>0</v>
      </c>
      <c r="HL62" s="147">
        <f t="shared" si="204"/>
        <v>0</v>
      </c>
      <c r="HM62" s="147">
        <f t="shared" si="205"/>
        <v>0</v>
      </c>
      <c r="HN62" s="147">
        <f t="shared" si="206"/>
        <v>0</v>
      </c>
      <c r="HO62" s="147">
        <f t="shared" si="207"/>
        <v>0</v>
      </c>
      <c r="HQ62" s="147">
        <f t="shared" si="248"/>
        <v>0</v>
      </c>
      <c r="HR62" s="147">
        <f t="shared" si="208"/>
        <v>0</v>
      </c>
      <c r="HS62" s="147">
        <f t="shared" si="209"/>
        <v>0</v>
      </c>
      <c r="HT62" s="147">
        <f t="shared" si="210"/>
        <v>0</v>
      </c>
      <c r="HU62" s="147">
        <f t="shared" si="211"/>
        <v>0</v>
      </c>
      <c r="HV62" s="147">
        <f t="shared" si="212"/>
        <v>0</v>
      </c>
      <c r="HW62" s="147">
        <f t="shared" si="213"/>
        <v>0</v>
      </c>
      <c r="HX62" s="147">
        <f t="shared" si="214"/>
        <v>0</v>
      </c>
      <c r="HY62" s="147">
        <f t="shared" si="215"/>
        <v>0</v>
      </c>
      <c r="HZ62" s="147">
        <f t="shared" si="216"/>
        <v>0</v>
      </c>
      <c r="IB62" s="147">
        <f>IF('River loads'!CI62&gt;0.99,1,0)</f>
        <v>0</v>
      </c>
      <c r="IC62">
        <f t="shared" si="144"/>
        <v>0</v>
      </c>
      <c r="ID62">
        <f t="shared" si="145"/>
        <v>0</v>
      </c>
      <c r="IE62">
        <f t="shared" si="146"/>
        <v>0</v>
      </c>
      <c r="IF62">
        <f t="shared" si="147"/>
        <v>0</v>
      </c>
      <c r="IG62">
        <f t="shared" si="148"/>
        <v>0</v>
      </c>
      <c r="IH62">
        <f t="shared" si="149"/>
        <v>0</v>
      </c>
      <c r="II62">
        <f t="shared" si="150"/>
        <v>0</v>
      </c>
      <c r="IJ62">
        <f t="shared" si="151"/>
        <v>0</v>
      </c>
      <c r="IK62">
        <f t="shared" si="132"/>
        <v>0</v>
      </c>
      <c r="IL62">
        <f t="shared" si="133"/>
        <v>0</v>
      </c>
      <c r="IM62">
        <f t="shared" si="249"/>
        <v>0</v>
      </c>
      <c r="IN62">
        <f t="shared" si="250"/>
        <v>0</v>
      </c>
      <c r="IP62">
        <f t="shared" si="251"/>
        <v>0</v>
      </c>
      <c r="IQ62">
        <f t="shared" si="217"/>
        <v>0</v>
      </c>
      <c r="IR62">
        <f t="shared" si="218"/>
        <v>0</v>
      </c>
      <c r="IS62">
        <f t="shared" si="219"/>
        <v>0</v>
      </c>
      <c r="IT62">
        <f t="shared" si="220"/>
        <v>0</v>
      </c>
      <c r="IU62">
        <f t="shared" si="221"/>
        <v>0</v>
      </c>
      <c r="IV62">
        <f t="shared" si="222"/>
        <v>0</v>
      </c>
      <c r="IW62">
        <f t="shared" si="223"/>
        <v>0</v>
      </c>
      <c r="IX62">
        <f t="shared" si="224"/>
        <v>0</v>
      </c>
    </row>
    <row r="63" spans="1:258">
      <c r="A63" s="39" t="str">
        <f>Basicinfo!A63</f>
        <v>Enns</v>
      </c>
      <c r="B63" s="63">
        <f>Basicinfo!B63</f>
        <v>4080</v>
      </c>
      <c r="C63" s="63">
        <f>Basicinfo!C63</f>
        <v>5020</v>
      </c>
      <c r="D63" s="130">
        <f>Basicinfo!G63</f>
        <v>646.67594022000003</v>
      </c>
      <c r="E63" s="87">
        <f t="shared" si="153"/>
        <v>24.320168878068696</v>
      </c>
      <c r="F63" s="19">
        <f>Intermediate!AR63</f>
        <v>0.30973087947592076</v>
      </c>
      <c r="G63" s="19">
        <f>Intermediate!AU63</f>
        <v>5.7387617445407146</v>
      </c>
      <c r="H63" s="19">
        <f>Intermediate!AW63</f>
        <v>0</v>
      </c>
      <c r="I63" s="19">
        <f>Intermediate!AZ63</f>
        <v>4.1503946430554085E-2</v>
      </c>
      <c r="J63" s="19">
        <f>Intermediate!BA63</f>
        <v>17.802982310550025</v>
      </c>
      <c r="K63" s="19">
        <f>Intermediate!AC63</f>
        <v>4.4870810258891024E-2</v>
      </c>
      <c r="L63" s="19">
        <f>Intermediate!AO63</f>
        <v>5.4025059630453037E-2</v>
      </c>
      <c r="M63" s="19">
        <f>Intermediate!AP63</f>
        <v>5.5271522804070855E-2</v>
      </c>
      <c r="N63" s="19">
        <f t="shared" si="119"/>
        <v>24.047146273690629</v>
      </c>
      <c r="O63" s="19">
        <f>Basicinfo!CB63+Basicinfo!CG63</f>
        <v>0.27302260437806525</v>
      </c>
      <c r="P63" s="56">
        <f>Intermediate!BK63-Intermediate!BI63</f>
        <v>1779.7693677244597</v>
      </c>
      <c r="Q63" s="43">
        <f>Intermediate!BI63</f>
        <v>6794.211778219792</v>
      </c>
      <c r="R63" s="88">
        <f t="shared" si="134"/>
        <v>8573.9811459442517</v>
      </c>
      <c r="S63" s="61">
        <f>Intermediate!F63*Intermediate!BO63/1000</f>
        <v>20.80209723610173</v>
      </c>
      <c r="T63" s="19">
        <f>Intermediate!BU63*Intermediate!AU63*86.4*0.365</f>
        <v>198.83673438757063</v>
      </c>
      <c r="U63" s="19">
        <f>Intermediate!AW63*Intermediate!BS63*0.365*86.4</f>
        <v>0</v>
      </c>
      <c r="V63" s="19">
        <f>(Basicinfo!BL63/1000000)*(Intermediate!BK63-Intermediate!BF63-Intermediate!BG63-Intermediate!BH63)*Intermediate!CV63</f>
        <v>15.383158736738672</v>
      </c>
      <c r="W63" s="19">
        <f>Intermediate!BI63*Parameters!$C$51/1000000</f>
        <v>0.1698552944554948</v>
      </c>
      <c r="X63" s="19">
        <f>Intermediate!AZ63*Intermediate!CG63*86.4*0.365</f>
        <v>12.9515913860693</v>
      </c>
      <c r="Y63" s="19">
        <f>Intermediate!CM63*Intermediate!BA63*86.4*0.365+Parameters!$C$126*Intermediate!BB63*Basicinfo!P63/1000+Parameters!$C$127*Intermediate!BB63*Basicinfo!S63/1000</f>
        <v>608.54859903023248</v>
      </c>
      <c r="Z63" s="19">
        <f>Intermediate!DG63</f>
        <v>2.6001544604650961</v>
      </c>
      <c r="AA63" s="19">
        <f>Intermediate!DI63</f>
        <v>19.921790057538004</v>
      </c>
      <c r="AB63" s="19">
        <f>Intermediate!DK63</f>
        <v>5.9029809625684573</v>
      </c>
      <c r="AC63" s="19">
        <f t="shared" si="120"/>
        <v>885.11696155173991</v>
      </c>
      <c r="AD63" s="19">
        <f>Basicinfo!CC63+Basicinfo!CE63+Basicinfo!CH63+Basicinfo!CJ63</f>
        <v>66.419750766666667</v>
      </c>
      <c r="AE63" s="87">
        <f t="shared" si="135"/>
        <v>951.53671231840656</v>
      </c>
      <c r="AF63" s="56">
        <f>Intermediate!F63*Basicinfo!BD63/1000</f>
        <v>0.47421394581764764</v>
      </c>
      <c r="AG63" s="43">
        <f>Intermediate!CA63*Intermediate!AU63*86.4*0.365</f>
        <v>4.4683819844972588</v>
      </c>
      <c r="AH63" s="43">
        <f>Intermediate!AW63*Intermediate!BZ63*0.365*86.4</f>
        <v>0</v>
      </c>
      <c r="AI63" s="43">
        <f>(Intermediate!CU63/1000000)*(Intermediate!BK63-Intermediate!BF63-Intermediate!BG63-Intermediate!BH63)*Intermediate!CW63</f>
        <v>6.4575276818181564</v>
      </c>
      <c r="AJ63" s="43">
        <f>Intermediate!BF63*Parameters!$C$52/1000000+(Intermediate!BG63+Intermediate!BH63)*Intermediate!CX63/1000000</f>
        <v>3.0630665958646253</v>
      </c>
      <c r="AK63" s="43">
        <f>Intermediate!AZ63*Intermediate!CH63*86.4*0.365</f>
        <v>0.10510954522105492</v>
      </c>
      <c r="AL63" s="58">
        <f>Intermediate!CR63*Intermediate!BA63*86.4*0.365</f>
        <v>6.9487273312223641</v>
      </c>
      <c r="AM63" s="43">
        <f>Intermediate!DH63</f>
        <v>0.6553423891428678</v>
      </c>
      <c r="AN63" s="42">
        <f>Intermediate!DJ63</f>
        <v>3.4900327425435878</v>
      </c>
      <c r="AO63" s="42">
        <f>Intermediate!DL63</f>
        <v>0.92854473853783248</v>
      </c>
      <c r="AP63" s="42">
        <f t="shared" si="122"/>
        <v>26.590946954665394</v>
      </c>
      <c r="AQ63" s="43">
        <f>Basicinfo!CD63+Basicinfo!CF63+Basicinfo!CI63+Basicinfo!CK63</f>
        <v>3.6436220000000006</v>
      </c>
      <c r="AR63" s="83">
        <f t="shared" si="136"/>
        <v>30.234568954665395</v>
      </c>
      <c r="AS63" s="19">
        <f>F63*86400*365/(Basicinfo!G63*1000000)*1000</f>
        <v>15.104432386690716</v>
      </c>
      <c r="AT63" s="19">
        <f>G63*86400*365/(Basicinfo!G63*1000000)*1000</f>
        <v>279.85823983843773</v>
      </c>
      <c r="AU63" s="19">
        <f>H63*86400*365/(Basicinfo!G63*1000000)*1000</f>
        <v>0</v>
      </c>
      <c r="AV63" s="19">
        <f>I63*86400*365/(Basicinfo!G63*1000000)*1000</f>
        <v>2.0239943582695763</v>
      </c>
      <c r="AW63" s="19">
        <f>J63*86400*365/(Basicinfo!G63*1000000)*1000</f>
        <v>868.18577161615872</v>
      </c>
      <c r="AX63" s="53">
        <f>K63*86400*365/(Basicinfo!G63*1000000)*1000</f>
        <v>2.1881838867284698</v>
      </c>
      <c r="AY63" s="53">
        <f>L63*86400*365/(Basicinfo!G63*1000000)*1000</f>
        <v>2.6346028583131673</v>
      </c>
      <c r="AZ63" s="53">
        <f>M63*86400*365/(Basicinfo!G63*1000000)*1000</f>
        <v>2.6953882690551203</v>
      </c>
      <c r="BA63" s="19">
        <f t="shared" si="123"/>
        <v>1172.6906132136537</v>
      </c>
      <c r="BB63" s="19">
        <f>O63*86400*365/(Basicinfo!G63*1000000)*1000</f>
        <v>13.314305227959338</v>
      </c>
      <c r="BC63" s="53">
        <f t="shared" si="137"/>
        <v>1186.004918441613</v>
      </c>
      <c r="BD63" s="56">
        <f>P63/(Basicinfo!G63*100)*1000</f>
        <v>27.52181203956621</v>
      </c>
      <c r="BE63" s="43">
        <f>Q63/(Basicinfo!G63*100)*1000</f>
        <v>105.06362392125477</v>
      </c>
      <c r="BF63" s="58">
        <f t="shared" si="138"/>
        <v>132.58543596082097</v>
      </c>
      <c r="BG63" s="61">
        <f>S63/(Basicinfo!G63*100)*1000000</f>
        <v>321.6773029939049</v>
      </c>
      <c r="BH63" s="19">
        <f>T63/(Basicinfo!G63*100)*1000000</f>
        <v>3074.7507680574308</v>
      </c>
      <c r="BI63" s="19">
        <f>U63/(Basicinfo!G63*100)*1000000</f>
        <v>0</v>
      </c>
      <c r="BJ63" s="19">
        <f>V63/(Basicinfo!G63*100)*1000000</f>
        <v>237.88048665464962</v>
      </c>
      <c r="BK63" s="19">
        <f>W63/(Basicinfo!G63*100)*1000000</f>
        <v>2.6265905980313695</v>
      </c>
      <c r="BL63" s="19">
        <f>X63/(Basicinfo!G63*100)*1000000</f>
        <v>200.27946890467504</v>
      </c>
      <c r="BM63" s="19">
        <f>Y63/(Basicinfo!G63*100)*1000000</f>
        <v>9410.4103954014954</v>
      </c>
      <c r="BN63" s="53">
        <f>Z63/(Basicinfo!G63*100)*1000000</f>
        <v>40.207997526249699</v>
      </c>
      <c r="BO63" s="53">
        <f>AA63/(Basicinfo!G63*100)*1000000</f>
        <v>308.0645006022736</v>
      </c>
      <c r="BP63" s="53">
        <f>AB63/(Basicinfo!G63*100)*1000000</f>
        <v>91.281901729021413</v>
      </c>
      <c r="BQ63" s="19">
        <f t="shared" si="125"/>
        <v>13687.179412467733</v>
      </c>
      <c r="BR63" s="19">
        <f>AD63/(Basicinfo!G63*100)*1000000</f>
        <v>1027.0948188372458</v>
      </c>
      <c r="BS63" s="53">
        <f t="shared" si="139"/>
        <v>14714.274231304978</v>
      </c>
      <c r="BT63" s="56">
        <f>AF63/(Basicinfo!G63*100)*1000000</f>
        <v>7.3331001870321542</v>
      </c>
      <c r="BU63" s="43">
        <f>AG63/(Basicinfo!G63*100)*1000000</f>
        <v>69.097699583149932</v>
      </c>
      <c r="BV63" s="43">
        <f>AH63/(Basicinfo!G63*100)*1000000</f>
        <v>0</v>
      </c>
      <c r="BW63" s="43">
        <f>AI63/(Basicinfo!G63*100)*1000000</f>
        <v>99.857243484600588</v>
      </c>
      <c r="BX63" s="43">
        <f>AJ63/(Basicinfo!G63*100)*1000000</f>
        <v>47.366329955349286</v>
      </c>
      <c r="BY63" s="58">
        <f>AK63/(Basicinfo!G63*100)*1000000</f>
        <v>1.6253820296035215</v>
      </c>
      <c r="BZ63" s="58">
        <f>AL63/(Basicinfo!G63*100)*1000000</f>
        <v>107.45300542429949</v>
      </c>
      <c r="CA63" s="58">
        <f>AM63/(Basicinfo!G63*100)*1000000</f>
        <v>10.134015329531502</v>
      </c>
      <c r="CB63" s="58">
        <f>AN63/(Basicinfo!G63*100)*1000000</f>
        <v>53.968804550796705</v>
      </c>
      <c r="CC63" s="58">
        <f>AO63/(Basicinfo!G63*100)*1000000</f>
        <v>14.358733343658034</v>
      </c>
      <c r="CD63" s="58">
        <f t="shared" si="126"/>
        <v>411.19431388802127</v>
      </c>
      <c r="CE63" s="58">
        <f>AQ63/(Basicinfo!G63*100)*1000000</f>
        <v>56.343862101324433</v>
      </c>
      <c r="CF63" s="43">
        <f t="shared" si="140"/>
        <v>467.53817598934569</v>
      </c>
      <c r="CG63" s="84"/>
      <c r="CH63" s="84">
        <f t="shared" si="154"/>
        <v>66.419750766666667</v>
      </c>
      <c r="CI63" s="146">
        <f t="shared" si="152"/>
        <v>28.424925480571556</v>
      </c>
      <c r="CJ63" s="200">
        <f>Intermediate!EW63+Intermediate!EY63+Intermediate!FD63</f>
        <v>178.93573897092068</v>
      </c>
      <c r="CK63" s="180">
        <f>Intermediate!FA63+Intermediate!FF63</f>
        <v>64.355781090742752</v>
      </c>
      <c r="CL63" s="180">
        <f t="shared" si="141"/>
        <v>12.9515913860693</v>
      </c>
      <c r="CM63" s="180">
        <f t="shared" si="142"/>
        <v>280.02820991125668</v>
      </c>
      <c r="CN63" s="202">
        <f>Intermediate!EX63+Intermediate!EZ63+Intermediate!FE63</f>
        <v>124.00345312580578</v>
      </c>
      <c r="CO63" s="180">
        <f>Intermediate!FB63+Intermediate!FG63</f>
        <v>43.782696877239118</v>
      </c>
      <c r="CP63" s="213">
        <f>Intermediate!EP63+Intermediate!EQ63+Intermediate!ER63+Intermediate!ES63+Intermediate!ET63+Intermediate!EU63+Intermediate!EV63+W63</f>
        <v>152.63456470913397</v>
      </c>
      <c r="CQ63" s="212">
        <f t="shared" si="155"/>
        <v>167.7861500030449</v>
      </c>
      <c r="CR63" s="212">
        <f t="shared" si="156"/>
        <v>536.27132135898944</v>
      </c>
      <c r="CS63" s="211">
        <f t="shared" si="143"/>
        <v>69.019905227131758</v>
      </c>
      <c r="CT63" s="212">
        <f t="shared" si="157"/>
        <v>925.71194129830008</v>
      </c>
      <c r="CU63" s="84"/>
      <c r="CV63" s="31">
        <f t="shared" si="158"/>
        <v>951.53671231840656</v>
      </c>
      <c r="CW63" s="31">
        <f>CH63/Basicinfo!$G63*1000/100</f>
        <v>1.027094818837246</v>
      </c>
      <c r="CX63" s="31">
        <f>CI63/Basicinfo!$G63*1000/100</f>
        <v>0.43955439985754469</v>
      </c>
      <c r="CY63" s="31">
        <f>CS63/Basicinfo!$G63*1000/100</f>
        <v>1.0673028163634957</v>
      </c>
      <c r="CZ63" s="31">
        <f>CN63/Basicinfo!$G63*1000/100</f>
        <v>1.9175516733098132</v>
      </c>
      <c r="DA63" s="31">
        <f>CO63/Basicinfo!$G63*1000/100</f>
        <v>0.67704230440897772</v>
      </c>
      <c r="DB63" s="31">
        <f>CQ63/Basicinfo!$G63*1000/100</f>
        <v>2.594593977718791</v>
      </c>
      <c r="DC63" s="31">
        <f>CJ63/Basicinfo!$G63*1000/100</f>
        <v>2.7670078294554536</v>
      </c>
      <c r="DD63" s="31">
        <f>CK63/Basicinfo!$G63*1000/100</f>
        <v>0.99517821969453246</v>
      </c>
      <c r="DE63" s="31">
        <f>CM63/Basicinfo!$G63*1000/100</f>
        <v>4.3302710445047747</v>
      </c>
      <c r="DF63" s="31">
        <f>CR63/Basicinfo!$G63*1000/100</f>
        <v>8.2927365625594351</v>
      </c>
      <c r="DG63" s="31">
        <f>CP63/Basicinfo!$G63*1000/100</f>
        <v>2.3602944723319608</v>
      </c>
      <c r="DH63" s="31">
        <f>CT63/Basicinfo!$G63*1000/100</f>
        <v>14.314927828973685</v>
      </c>
      <c r="DI63" s="31">
        <f>CV63/Basicinfo!$G63*1000/100</f>
        <v>14.71427423130498</v>
      </c>
      <c r="DJ63" s="31"/>
      <c r="DK63" s="188">
        <f t="shared" si="159"/>
        <v>7.1749912476567772</v>
      </c>
      <c r="DL63" s="188">
        <f t="shared" si="160"/>
        <v>3.0706015783598875</v>
      </c>
      <c r="DM63" s="188">
        <f t="shared" si="161"/>
        <v>7.4558728420778664</v>
      </c>
      <c r="DN63" s="188">
        <f t="shared" si="162"/>
        <v>13.395468675913632</v>
      </c>
      <c r="DO63" s="188">
        <f t="shared" si="163"/>
        <v>4.7296242949868841</v>
      </c>
      <c r="DP63" s="188">
        <f t="shared" si="164"/>
        <v>18.125092970900518</v>
      </c>
      <c r="DQ63" s="188">
        <f t="shared" si="225"/>
        <v>19.329526928211106</v>
      </c>
      <c r="DR63" s="188">
        <f t="shared" si="226"/>
        <v>6.9520309957852033</v>
      </c>
      <c r="DS63" s="188">
        <f t="shared" si="227"/>
        <v>30.250037556879782</v>
      </c>
      <c r="DT63" s="188">
        <f t="shared" si="165"/>
        <v>57.930690686227429</v>
      </c>
      <c r="DU63" s="188">
        <f t="shared" si="166"/>
        <v>16.488343500794191</v>
      </c>
      <c r="DV63" s="188">
        <f t="shared" si="228"/>
        <v>100</v>
      </c>
      <c r="DW63" s="188">
        <f t="shared" si="229"/>
        <v>102.7897199839388</v>
      </c>
      <c r="DY63" s="181">
        <f t="shared" si="167"/>
        <v>3.6436220000000006</v>
      </c>
      <c r="DZ63" s="181">
        <f t="shared" si="127"/>
        <v>5.0739198702242874</v>
      </c>
      <c r="EA63" s="185">
        <f t="shared" si="168"/>
        <v>0.10510954522105492</v>
      </c>
      <c r="EB63" s="185">
        <f>AG63+AH63+AL63-Intermediate!FJ63-Intermediate!FM63</f>
        <v>7.7630285621431367</v>
      </c>
      <c r="EC63" s="185">
        <f>AI63+AJ63-Intermediate!FK63</f>
        <v>6.2338576504155512</v>
      </c>
      <c r="ED63" s="240">
        <f t="shared" si="169"/>
        <v>0.47421394581764764</v>
      </c>
      <c r="EE63" s="240">
        <f>Intermediate!FJ63+Intermediate!FK63+Intermediate!FM63</f>
        <v>6.9408173808437166</v>
      </c>
      <c r="EF63" s="240">
        <f t="shared" si="170"/>
        <v>14.101995757779745</v>
      </c>
      <c r="EG63" s="240">
        <f t="shared" si="171"/>
        <v>8.7175418702242879</v>
      </c>
      <c r="EH63" s="240">
        <f t="shared" si="172"/>
        <v>30.234568954665399</v>
      </c>
      <c r="EI63" s="181">
        <f t="shared" si="173"/>
        <v>30.234568954665395</v>
      </c>
      <c r="EK63" s="31">
        <f>DY63/Basicinfo!$G63*1000/100</f>
        <v>5.634386210132443E-2</v>
      </c>
      <c r="EL63" s="31">
        <f>DZ63/Basicinfo!$G63*1000/100</f>
        <v>7.8461553223986236E-2</v>
      </c>
      <c r="EM63" s="220">
        <f>EG63/Basicinfo!$G63*1000/100</f>
        <v>0.13480541532531068</v>
      </c>
      <c r="EN63" s="220">
        <f>ED63/Basicinfo!$G63*1000/100</f>
        <v>7.333100187032154E-3</v>
      </c>
      <c r="EO63" s="220">
        <f>EF63/Basicinfo!$G63*1000/100</f>
        <v>0.21806897211889814</v>
      </c>
      <c r="EP63" s="220">
        <f>EE63/Basicinfo!$G63*1000/100</f>
        <v>0.10733068835810469</v>
      </c>
      <c r="EQ63" s="220">
        <f>EH63/Basicinfo!$G63*1000/100</f>
        <v>0.46753817598934577</v>
      </c>
      <c r="ER63" s="31">
        <f>EI63/Basicinfo!$G63*1000/100</f>
        <v>0.46753817598934566</v>
      </c>
      <c r="ET63" s="188">
        <f t="shared" si="230"/>
        <v>12.051178918619129</v>
      </c>
      <c r="EU63" s="188">
        <f t="shared" si="231"/>
        <v>16.781849537303714</v>
      </c>
      <c r="EV63" s="223">
        <f t="shared" si="232"/>
        <v>28.83302845592285</v>
      </c>
      <c r="EW63" s="223">
        <f t="shared" si="233"/>
        <v>1.5684495007310937</v>
      </c>
      <c r="EX63" s="223">
        <f t="shared" si="234"/>
        <v>46.641960660741319</v>
      </c>
      <c r="EY63" s="223">
        <f t="shared" si="235"/>
        <v>22.956561382604733</v>
      </c>
      <c r="EZ63" s="223">
        <f t="shared" si="236"/>
        <v>100.00000000000003</v>
      </c>
      <c r="FA63" s="188">
        <f t="shared" si="237"/>
        <v>100</v>
      </c>
      <c r="FC63" s="236">
        <f>Basicinfo!CT63</f>
        <v>7.0093145161290327</v>
      </c>
      <c r="FD63" s="181">
        <f>IF((Intermediate!CL63+Intermediate!CM63*3)/4&gt;11,(Intermediate!CL63+Intermediate!CM63*9)/10,(Intermediate!CL63+Intermediate!CM63*3)/4)</f>
        <v>1.233269024886148</v>
      </c>
      <c r="FF63" s="31">
        <f t="shared" si="174"/>
        <v>0.47421394581764764</v>
      </c>
      <c r="FG63" s="31">
        <f t="shared" si="175"/>
        <v>4.4683819844972588</v>
      </c>
      <c r="FH63" s="31">
        <f t="shared" si="176"/>
        <v>0</v>
      </c>
      <c r="FI63" s="31">
        <f>(AI63-(P63*450/1000000))*Parameters!$C$153</f>
        <v>4.5253051730737202</v>
      </c>
      <c r="FJ63" s="31"/>
      <c r="FK63" s="31">
        <f t="shared" si="177"/>
        <v>0.10510954522105492</v>
      </c>
      <c r="FL63" s="31">
        <f t="shared" si="178"/>
        <v>6.9487273312223641</v>
      </c>
      <c r="FM63" s="31">
        <f>AM63*Parameters!$C$154</f>
        <v>0.58980815022858102</v>
      </c>
      <c r="FN63" s="31">
        <f>AN63*Parameters!$C$154</f>
        <v>3.1410294682892292</v>
      </c>
      <c r="FO63" s="31">
        <f>AO63*Parameters!$C$154</f>
        <v>0.83569026468404928</v>
      </c>
      <c r="FP63" s="31">
        <f>AQ63*Parameters!$C$155</f>
        <v>3.6436220000000006</v>
      </c>
      <c r="FQ63" s="31">
        <f t="shared" si="238"/>
        <v>24.731887863033908</v>
      </c>
      <c r="FS63" s="147">
        <f>DY63*Parameters!$C$155</f>
        <v>3.6436220000000006</v>
      </c>
      <c r="FT63" s="147">
        <f>DZ63*Parameters!$C$154</f>
        <v>4.566527883201859</v>
      </c>
      <c r="FU63" s="181">
        <f t="shared" si="239"/>
        <v>0.10510954522105492</v>
      </c>
      <c r="FV63" s="181">
        <f t="shared" si="240"/>
        <v>7.7630285621431367</v>
      </c>
      <c r="FW63" s="31">
        <f t="shared" si="241"/>
        <v>4.5253051730737219</v>
      </c>
      <c r="FX63" s="181">
        <f t="shared" si="242"/>
        <v>0.47421394581764764</v>
      </c>
      <c r="FY63" s="147">
        <f>Intermediate!FJ63+Intermediate!FM63</f>
        <v>3.6540807535764857</v>
      </c>
      <c r="FZ63" s="181">
        <f t="shared" si="243"/>
        <v>12.393443280437914</v>
      </c>
      <c r="GA63" s="147">
        <f t="shared" si="244"/>
        <v>8.2101498832018596</v>
      </c>
      <c r="GB63" s="181">
        <f t="shared" si="245"/>
        <v>24.731887863033904</v>
      </c>
      <c r="GD63" s="147">
        <f>IF('River loads'!CH63&gt;0.99,1,0)</f>
        <v>0</v>
      </c>
      <c r="GE63" s="147">
        <f t="shared" si="179"/>
        <v>0</v>
      </c>
      <c r="GF63" s="147">
        <f t="shared" si="180"/>
        <v>0</v>
      </c>
      <c r="GG63" s="147">
        <f t="shared" si="181"/>
        <v>0</v>
      </c>
      <c r="GH63" s="147">
        <f t="shared" si="182"/>
        <v>0</v>
      </c>
      <c r="GI63" s="147">
        <f t="shared" si="183"/>
        <v>0</v>
      </c>
      <c r="GJ63" s="147">
        <f t="shared" si="184"/>
        <v>0</v>
      </c>
      <c r="GK63" s="147">
        <f t="shared" si="185"/>
        <v>0</v>
      </c>
      <c r="GL63" s="147">
        <f t="shared" si="186"/>
        <v>0</v>
      </c>
      <c r="GM63" s="270">
        <f t="shared" si="128"/>
        <v>0</v>
      </c>
      <c r="GN63" s="270">
        <f t="shared" si="129"/>
        <v>0</v>
      </c>
      <c r="GO63" s="147">
        <f t="shared" si="187"/>
        <v>0</v>
      </c>
      <c r="GP63" s="147">
        <f t="shared" si="246"/>
        <v>0</v>
      </c>
      <c r="GQ63" s="147"/>
      <c r="GR63" s="147">
        <f t="shared" si="247"/>
        <v>0</v>
      </c>
      <c r="GS63" s="147">
        <f t="shared" si="188"/>
        <v>0</v>
      </c>
      <c r="GT63" s="147">
        <f t="shared" si="189"/>
        <v>0</v>
      </c>
      <c r="GU63" s="147">
        <f t="shared" si="190"/>
        <v>0</v>
      </c>
      <c r="GV63" s="147">
        <f t="shared" si="191"/>
        <v>0</v>
      </c>
      <c r="GW63" s="147">
        <f t="shared" si="192"/>
        <v>0</v>
      </c>
      <c r="GX63" s="147">
        <f t="shared" si="193"/>
        <v>0</v>
      </c>
      <c r="GY63" s="147">
        <f t="shared" si="194"/>
        <v>0</v>
      </c>
      <c r="GZ63" s="147">
        <f t="shared" si="130"/>
        <v>0</v>
      </c>
      <c r="HA63" s="147">
        <f t="shared" si="131"/>
        <v>0</v>
      </c>
      <c r="HB63" s="147">
        <f t="shared" si="195"/>
        <v>0</v>
      </c>
      <c r="HC63" s="147">
        <f t="shared" si="196"/>
        <v>0</v>
      </c>
      <c r="HD63" s="147"/>
      <c r="HE63" s="147">
        <f t="shared" si="197"/>
        <v>0</v>
      </c>
      <c r="HF63" s="147">
        <f t="shared" si="198"/>
        <v>0</v>
      </c>
      <c r="HG63" s="147">
        <f t="shared" si="199"/>
        <v>0</v>
      </c>
      <c r="HH63" s="147">
        <f t="shared" si="200"/>
        <v>0</v>
      </c>
      <c r="HI63" s="147">
        <f t="shared" si="201"/>
        <v>0</v>
      </c>
      <c r="HJ63" s="147">
        <f t="shared" si="202"/>
        <v>0</v>
      </c>
      <c r="HK63" s="147">
        <f t="shared" si="203"/>
        <v>0</v>
      </c>
      <c r="HL63" s="147">
        <f t="shared" si="204"/>
        <v>0</v>
      </c>
      <c r="HM63" s="147">
        <f t="shared" si="205"/>
        <v>0</v>
      </c>
      <c r="HN63" s="147">
        <f t="shared" si="206"/>
        <v>0</v>
      </c>
      <c r="HO63" s="147">
        <f t="shared" si="207"/>
        <v>0</v>
      </c>
      <c r="HQ63" s="147">
        <f t="shared" si="248"/>
        <v>0</v>
      </c>
      <c r="HR63" s="147">
        <f t="shared" si="208"/>
        <v>0</v>
      </c>
      <c r="HS63" s="147">
        <f t="shared" si="209"/>
        <v>0</v>
      </c>
      <c r="HT63" s="147">
        <f t="shared" si="210"/>
        <v>0</v>
      </c>
      <c r="HU63" s="147">
        <f t="shared" si="211"/>
        <v>0</v>
      </c>
      <c r="HV63" s="147">
        <f t="shared" si="212"/>
        <v>0</v>
      </c>
      <c r="HW63" s="147">
        <f t="shared" si="213"/>
        <v>0</v>
      </c>
      <c r="HX63" s="147">
        <f t="shared" si="214"/>
        <v>0</v>
      </c>
      <c r="HY63" s="147">
        <f t="shared" si="215"/>
        <v>0</v>
      </c>
      <c r="HZ63" s="147">
        <f t="shared" si="216"/>
        <v>0</v>
      </c>
      <c r="IB63" s="147">
        <f>IF('River loads'!CI63&gt;0.99,1,0)</f>
        <v>0</v>
      </c>
      <c r="IC63">
        <f t="shared" si="144"/>
        <v>0</v>
      </c>
      <c r="ID63">
        <f t="shared" si="145"/>
        <v>0</v>
      </c>
      <c r="IE63">
        <f t="shared" si="146"/>
        <v>0</v>
      </c>
      <c r="IF63">
        <f t="shared" si="147"/>
        <v>0</v>
      </c>
      <c r="IG63">
        <f t="shared" si="148"/>
        <v>0</v>
      </c>
      <c r="IH63">
        <f t="shared" si="149"/>
        <v>0</v>
      </c>
      <c r="II63">
        <f t="shared" si="150"/>
        <v>0</v>
      </c>
      <c r="IJ63">
        <f t="shared" si="151"/>
        <v>0</v>
      </c>
      <c r="IK63">
        <f t="shared" si="132"/>
        <v>0</v>
      </c>
      <c r="IL63">
        <f t="shared" si="133"/>
        <v>0</v>
      </c>
      <c r="IM63">
        <f t="shared" si="249"/>
        <v>0</v>
      </c>
      <c r="IN63">
        <f t="shared" si="250"/>
        <v>0</v>
      </c>
      <c r="IP63">
        <f t="shared" si="251"/>
        <v>0</v>
      </c>
      <c r="IQ63">
        <f t="shared" si="217"/>
        <v>0</v>
      </c>
      <c r="IR63">
        <f t="shared" si="218"/>
        <v>0</v>
      </c>
      <c r="IS63">
        <f t="shared" si="219"/>
        <v>0</v>
      </c>
      <c r="IT63">
        <f t="shared" si="220"/>
        <v>0</v>
      </c>
      <c r="IU63">
        <f t="shared" si="221"/>
        <v>0</v>
      </c>
      <c r="IV63">
        <f t="shared" si="222"/>
        <v>0</v>
      </c>
      <c r="IW63">
        <f t="shared" si="223"/>
        <v>0</v>
      </c>
      <c r="IX63">
        <f t="shared" si="224"/>
        <v>0</v>
      </c>
    </row>
    <row r="64" spans="1:258">
      <c r="A64" s="39" t="str">
        <f>Basicinfo!A64</f>
        <v>Donau</v>
      </c>
      <c r="B64" s="63">
        <f>Basicinfo!B64</f>
        <v>4990</v>
      </c>
      <c r="C64" s="63">
        <f>Basicinfo!C64</f>
        <v>5000</v>
      </c>
      <c r="D64" s="130">
        <f>Basicinfo!G64</f>
        <v>133.499309192</v>
      </c>
      <c r="E64" s="87">
        <f t="shared" si="153"/>
        <v>2.48078501</v>
      </c>
      <c r="F64" s="19">
        <f>Intermediate!AR64</f>
        <v>3.5371116905749234E-2</v>
      </c>
      <c r="G64" s="19">
        <f>Intermediate!AU64</f>
        <v>0.49103223305684973</v>
      </c>
      <c r="H64" s="19">
        <f>Intermediate!AW64</f>
        <v>0</v>
      </c>
      <c r="I64" s="19">
        <f>Intermediate!AZ64</f>
        <v>2.4711263406919488E-2</v>
      </c>
      <c r="J64" s="19">
        <f>Intermediate!BA64</f>
        <v>1.8912849142918222</v>
      </c>
      <c r="K64" s="19">
        <f>Intermediate!AC64</f>
        <v>2.8249200126957922E-3</v>
      </c>
      <c r="L64" s="19">
        <f>Intermediate!AO64</f>
        <v>7.6145098267347043E-3</v>
      </c>
      <c r="M64" s="19">
        <f>Intermediate!AP64</f>
        <v>3.5397579998206019E-3</v>
      </c>
      <c r="N64" s="19">
        <f t="shared" si="119"/>
        <v>2.4563787155005921</v>
      </c>
      <c r="O64" s="19">
        <f>Basicinfo!CB64+Basicinfo!CG64</f>
        <v>2.4406294499408086E-2</v>
      </c>
      <c r="P64" s="56">
        <f>Intermediate!BK64-Intermediate!BI64</f>
        <v>615.46743278259351</v>
      </c>
      <c r="Q64" s="43">
        <f>Intermediate!BI64</f>
        <v>758.39986814486724</v>
      </c>
      <c r="R64" s="88">
        <f t="shared" si="134"/>
        <v>1373.8673009274607</v>
      </c>
      <c r="S64" s="61">
        <f>Intermediate!F64*Intermediate!BO64/1000</f>
        <v>6.6963455299652663</v>
      </c>
      <c r="T64" s="19">
        <f>Intermediate!BU64*Intermediate!AU64*86.4*0.365</f>
        <v>29.732855522148647</v>
      </c>
      <c r="U64" s="19">
        <f>Intermediate!AW64*Intermediate!BS64*0.365*86.4</f>
        <v>0</v>
      </c>
      <c r="V64" s="19">
        <f>(Basicinfo!BL64/1000000)*(Intermediate!BK64-Intermediate!BF64-Intermediate!BG64-Intermediate!BH64)*Intermediate!CV64</f>
        <v>3.527569436735952</v>
      </c>
      <c r="W64" s="19">
        <f>Intermediate!BI64*Parameters!$C$51/1000000</f>
        <v>1.8959996703621682E-2</v>
      </c>
      <c r="X64" s="19">
        <f>Intermediate!AZ64*Intermediate!CG64*86.4*0.365</f>
        <v>8.9746860306747145</v>
      </c>
      <c r="Y64" s="19">
        <f>Intermediate!CM64*Intermediate!BA64*86.4*0.365+Parameters!$C$126*Intermediate!BB64*Basicinfo!P64/1000+Parameters!$C$127*Intermediate!BB64*Basicinfo!S64/1000</f>
        <v>99.624828364582669</v>
      </c>
      <c r="Z64" s="19">
        <f>Intermediate!DG64</f>
        <v>0.26894966034627171</v>
      </c>
      <c r="AA64" s="19">
        <f>Intermediate!DI64</f>
        <v>2.0648227246590229</v>
      </c>
      <c r="AB64" s="19">
        <f>Intermediate!DK64</f>
        <v>0.44289911732037468</v>
      </c>
      <c r="AC64" s="19">
        <f t="shared" si="120"/>
        <v>151.35191638313654</v>
      </c>
      <c r="AD64" s="19">
        <f>Basicinfo!CC64+Basicinfo!CE64+Basicinfo!CH64+Basicinfo!CJ64</f>
        <v>2.1813866555555554</v>
      </c>
      <c r="AE64" s="87">
        <f t="shared" si="135"/>
        <v>153.53330303869208</v>
      </c>
      <c r="AF64" s="56">
        <f>Intermediate!F64*Basicinfo!BD64/1000</f>
        <v>0.12341893669096252</v>
      </c>
      <c r="AG64" s="43">
        <f>Intermediate!CA64*Intermediate!AU64*86.4*0.365</f>
        <v>0.46981894169247002</v>
      </c>
      <c r="AH64" s="43">
        <f>Intermediate!AW64*Intermediate!BZ64*0.365*86.4</f>
        <v>0</v>
      </c>
      <c r="AI64" s="43">
        <f>(Intermediate!CU64/1000000)*(Intermediate!BK64-Intermediate!BF64-Intermediate!BG64-Intermediate!BH64)*Intermediate!CW64</f>
        <v>1.7894238074658206</v>
      </c>
      <c r="AJ64" s="43">
        <f>Intermediate!BF64*Parameters!$C$52/1000000+(Intermediate!BG64+Intermediate!BH64)*Intermediate!CX64/1000000</f>
        <v>0.3412799406651903</v>
      </c>
      <c r="AK64" s="43">
        <f>Intermediate!AZ64*Intermediate!CH64*86.4*0.365</f>
        <v>0.11571099282234194</v>
      </c>
      <c r="AL64" s="58">
        <f>Intermediate!CR64*Intermediate!BA64*86.4*0.365</f>
        <v>1.7038212650457767</v>
      </c>
      <c r="AM64" s="43">
        <f>Intermediate!DH64</f>
        <v>6.4352300281443092E-2</v>
      </c>
      <c r="AN64" s="42">
        <f>Intermediate!DJ64</f>
        <v>0.38794756211396325</v>
      </c>
      <c r="AO64" s="42">
        <f>Intermediate!DL64</f>
        <v>7.3894571702102785E-2</v>
      </c>
      <c r="AP64" s="42">
        <f t="shared" si="122"/>
        <v>5.0696683184800708</v>
      </c>
      <c r="AQ64" s="43">
        <f>Basicinfo!CD64+Basicinfo!CF64+Basicinfo!CI64+Basicinfo!CK64</f>
        <v>1.0775980000000001</v>
      </c>
      <c r="AR64" s="83">
        <f t="shared" si="136"/>
        <v>6.1472663184800709</v>
      </c>
      <c r="AS64" s="19">
        <f>F64*86400*365/(Basicinfo!G64*1000000)*1000</f>
        <v>8.3555753920451927</v>
      </c>
      <c r="AT64" s="19">
        <f>G64*86400*365/(Basicinfo!G64*1000000)*1000</f>
        <v>115.99455154790245</v>
      </c>
      <c r="AU64" s="19">
        <f>H64*86400*365/(Basicinfo!G64*1000000)*1000</f>
        <v>0</v>
      </c>
      <c r="AV64" s="19">
        <f>I64*86400*365/(Basicinfo!G64*1000000)*1000</f>
        <v>5.8374414633099274</v>
      </c>
      <c r="AW64" s="19">
        <f>J64*86400*365/(Basicinfo!G64*1000000)*1000</f>
        <v>446.77055947403409</v>
      </c>
      <c r="AX64" s="53">
        <f>K64*86400*365/(Basicinfo!G64*1000000)*1000</f>
        <v>0.66731938958762083</v>
      </c>
      <c r="AY64" s="53">
        <f>L64*86400*365/(Basicinfo!G64*1000000)*1000</f>
        <v>1.798744752682927</v>
      </c>
      <c r="AZ64" s="53">
        <f>M64*86400*365/(Basicinfo!G64*1000000)*1000</f>
        <v>0.83618266609751091</v>
      </c>
      <c r="BA64" s="19">
        <f t="shared" si="123"/>
        <v>580.26037468565983</v>
      </c>
      <c r="BB64" s="19">
        <f>O64*86400*365/(Basicinfo!G64*1000000)*1000</f>
        <v>5.7653998960127693</v>
      </c>
      <c r="BC64" s="53">
        <f t="shared" si="137"/>
        <v>586.02577458167264</v>
      </c>
      <c r="BD64" s="56">
        <f>P64/(Basicinfo!G64*100)*1000</f>
        <v>46.102667984402999</v>
      </c>
      <c r="BE64" s="43">
        <f>Q64/(Basicinfo!G64*100)*1000</f>
        <v>56.80927285205118</v>
      </c>
      <c r="BF64" s="58">
        <f t="shared" si="138"/>
        <v>102.91194083645418</v>
      </c>
      <c r="BG64" s="61">
        <f>S64/(Basicinfo!G64*100)*1000000</f>
        <v>501.6015116853165</v>
      </c>
      <c r="BH64" s="19">
        <f>T64/(Basicinfo!G64*100)*1000000</f>
        <v>2227.1917137328824</v>
      </c>
      <c r="BI64" s="19">
        <f>U64/(Basicinfo!G64*100)*1000000</f>
        <v>0</v>
      </c>
      <c r="BJ64" s="19">
        <f>V64/(Basicinfo!G64*100)*1000000</f>
        <v>264.23877831926211</v>
      </c>
      <c r="BK64" s="19">
        <f>W64/(Basicinfo!G64*100)*1000000</f>
        <v>1.4202318213012795</v>
      </c>
      <c r="BL64" s="19">
        <f>X64/(Basicinfo!G64*100)*1000000</f>
        <v>672.26460458812062</v>
      </c>
      <c r="BM64" s="19">
        <f>Y64/(Basicinfo!G64*100)*1000000</f>
        <v>7462.5725756603933</v>
      </c>
      <c r="BN64" s="53">
        <f>Z64/(Basicinfo!G64*100)*1000000</f>
        <v>20.146146221585738</v>
      </c>
      <c r="BO64" s="53">
        <f>AA64/(Basicinfo!G64*100)*1000000</f>
        <v>154.66916923812502</v>
      </c>
      <c r="BP64" s="53">
        <f>AB64/(Basicinfo!G64*100)*1000000</f>
        <v>33.176135517180313</v>
      </c>
      <c r="BQ64" s="19">
        <f t="shared" si="125"/>
        <v>11337.280866784167</v>
      </c>
      <c r="BR64" s="19">
        <f>AD64/(Basicinfo!G64*100)*1000000</f>
        <v>163.40059501118944</v>
      </c>
      <c r="BS64" s="53">
        <f t="shared" si="139"/>
        <v>11500.681461795357</v>
      </c>
      <c r="BT64" s="56">
        <f>AF64/(Basicinfo!G64*100)*1000000</f>
        <v>9.2449120102531914</v>
      </c>
      <c r="BU64" s="43">
        <f>AG64/(Basicinfo!G64*100)*1000000</f>
        <v>35.192612196724696</v>
      </c>
      <c r="BV64" s="43">
        <f>AH64/(Basicinfo!G64*100)*1000000</f>
        <v>0</v>
      </c>
      <c r="BW64" s="43">
        <f>AI64/(Basicinfo!G64*100)*1000000</f>
        <v>134.03993011621162</v>
      </c>
      <c r="BX64" s="43">
        <f>AJ64/(Basicinfo!G64*100)*1000000</f>
        <v>25.564172783423036</v>
      </c>
      <c r="BY64" s="58">
        <f>AK64/(Basicinfo!G64*100)*1000000</f>
        <v>8.6675349500067664</v>
      </c>
      <c r="BZ64" s="58">
        <f>AL64/(Basicinfo!G64*100)*1000000</f>
        <v>127.62772147347404</v>
      </c>
      <c r="CA64" s="58">
        <f>AM64/(Basicinfo!G64*100)*1000000</f>
        <v>4.8204219685429974</v>
      </c>
      <c r="CB64" s="58">
        <f>AN64/(Basicinfo!G64*100)*1000000</f>
        <v>29.059892853528801</v>
      </c>
      <c r="CC64" s="58">
        <f>AO64/(Basicinfo!G64*100)*1000000</f>
        <v>5.5352025526833923</v>
      </c>
      <c r="CD64" s="58">
        <f t="shared" si="126"/>
        <v>379.75240090484857</v>
      </c>
      <c r="CE64" s="58">
        <f>AQ64/(Basicinfo!G64*100)*1000000</f>
        <v>80.719369000643155</v>
      </c>
      <c r="CF64" s="43">
        <f t="shared" si="140"/>
        <v>460.47176990549173</v>
      </c>
      <c r="CG64" s="84"/>
      <c r="CH64" s="84">
        <f t="shared" si="154"/>
        <v>2.1813866555555554</v>
      </c>
      <c r="CI64" s="146">
        <f t="shared" si="152"/>
        <v>2.7766715023256694</v>
      </c>
      <c r="CJ64" s="200">
        <f>Intermediate!EW64+Intermediate!EY64+Intermediate!FD64</f>
        <v>29.626232852008854</v>
      </c>
      <c r="CK64" s="180">
        <f>Intermediate!FA64+Intermediate!FF64</f>
        <v>15.623311534960223</v>
      </c>
      <c r="CL64" s="180">
        <f t="shared" si="141"/>
        <v>8.9746860306747145</v>
      </c>
      <c r="CM64" s="180">
        <f t="shared" si="142"/>
        <v>56.420936100817492</v>
      </c>
      <c r="CN64" s="202">
        <f>Intermediate!EX64+Intermediate!EZ64+Intermediate!FE64</f>
        <v>12.838112819847506</v>
      </c>
      <c r="CO64" s="180">
        <f>Intermediate!FB64+Intermediate!FG64</f>
        <v>6.6940335206524146</v>
      </c>
      <c r="CP64" s="213">
        <f>Intermediate!EP64+Intermediate!EQ64+Intermediate!ER64+Intermediate!ES64+Intermediate!ET64+Intermediate!EU64+Intermediate!EV64+W64</f>
        <v>18.397932021849648</v>
      </c>
      <c r="CQ64" s="212">
        <f t="shared" si="155"/>
        <v>19.532146340499921</v>
      </c>
      <c r="CR64" s="212">
        <f t="shared" si="156"/>
        <v>110.64516651846128</v>
      </c>
      <c r="CS64" s="211">
        <f t="shared" si="143"/>
        <v>2.450336315901827</v>
      </c>
      <c r="CT64" s="212">
        <f t="shared" si="157"/>
        <v>151.02558119671266</v>
      </c>
      <c r="CU64" s="84"/>
      <c r="CV64" s="31">
        <f t="shared" si="158"/>
        <v>153.53330303869208</v>
      </c>
      <c r="CW64" s="31">
        <f>CH64/Basicinfo!$G64*1000/100</f>
        <v>0.16340059501118945</v>
      </c>
      <c r="CX64" s="31">
        <f>CI64/Basicinfo!$G64*1000/100</f>
        <v>0.20799145097689109</v>
      </c>
      <c r="CY64" s="31">
        <f>CS64/Basicinfo!$G64*1000/100</f>
        <v>0.1835467412327752</v>
      </c>
      <c r="CZ64" s="31">
        <f>CN64/Basicinfo!$G64*1000/100</f>
        <v>0.96166136720480011</v>
      </c>
      <c r="DA64" s="31">
        <f>CO64/Basicinfo!$G64*1000/100</f>
        <v>0.50142832657096303</v>
      </c>
      <c r="DB64" s="31">
        <f>CQ64/Basicinfo!$G64*1000/100</f>
        <v>1.4630896937757631</v>
      </c>
      <c r="DC64" s="31">
        <f>CJ64/Basicinfo!$G64*1000/100</f>
        <v>2.2192049555402655</v>
      </c>
      <c r="DD64" s="31">
        <f>CK64/Basicinfo!$G64*1000/100</f>
        <v>1.1702915640178053</v>
      </c>
      <c r="DE64" s="31">
        <f>CM64/Basicinfo!$G64*1000/100</f>
        <v>4.2263092178006971</v>
      </c>
      <c r="DF64" s="31">
        <f>CR64/Basicinfo!$G64*1000/100</f>
        <v>8.288070341946888</v>
      </c>
      <c r="DG64" s="31">
        <f>CP64/Basicinfo!$G64*1000/100</f>
        <v>1.3781293800846239</v>
      </c>
      <c r="DH64" s="31">
        <f>CT64/Basicinfo!$G64*1000/100</f>
        <v>11.312836157040049</v>
      </c>
      <c r="DI64" s="31">
        <f>CV64/Basicinfo!$G64*1000/100</f>
        <v>11.500681461795358</v>
      </c>
      <c r="DJ64" s="31"/>
      <c r="DK64" s="188">
        <f t="shared" si="159"/>
        <v>1.4443822286730834</v>
      </c>
      <c r="DL64" s="188">
        <f t="shared" si="160"/>
        <v>1.83854382835251</v>
      </c>
      <c r="DM64" s="188">
        <f t="shared" si="161"/>
        <v>1.6224644172765899</v>
      </c>
      <c r="DN64" s="188">
        <f t="shared" si="162"/>
        <v>8.5006213636918293</v>
      </c>
      <c r="DO64" s="188">
        <f t="shared" si="163"/>
        <v>4.4323838833193125</v>
      </c>
      <c r="DP64" s="188">
        <f t="shared" si="164"/>
        <v>12.933005247011142</v>
      </c>
      <c r="DQ64" s="188">
        <f t="shared" si="225"/>
        <v>19.616698454164744</v>
      </c>
      <c r="DR64" s="188">
        <f t="shared" si="226"/>
        <v>10.344811396296279</v>
      </c>
      <c r="DS64" s="188">
        <f t="shared" si="227"/>
        <v>37.358529365517576</v>
      </c>
      <c r="DT64" s="188">
        <f t="shared" si="165"/>
        <v>73.262533169360623</v>
      </c>
      <c r="DU64" s="188">
        <f t="shared" si="166"/>
        <v>12.18199716635165</v>
      </c>
      <c r="DV64" s="188">
        <f t="shared" si="228"/>
        <v>100</v>
      </c>
      <c r="DW64" s="188">
        <f t="shared" si="229"/>
        <v>101.66046163974902</v>
      </c>
      <c r="DY64" s="181">
        <f t="shared" si="167"/>
        <v>1.0775980000000001</v>
      </c>
      <c r="DZ64" s="181">
        <f t="shared" si="127"/>
        <v>0.5261944340975091</v>
      </c>
      <c r="EA64" s="185">
        <f t="shared" si="168"/>
        <v>0.11571099282234194</v>
      </c>
      <c r="EB64" s="185">
        <f>AG64+AH64+AL64-Intermediate!FJ64-Intermediate!FM64</f>
        <v>1.7405912336006937</v>
      </c>
      <c r="EC64" s="185">
        <f>AI64+AJ64-Intermediate!FK64</f>
        <v>1.7327639569165674</v>
      </c>
      <c r="ED64" s="240">
        <f t="shared" si="169"/>
        <v>0.12341893669096252</v>
      </c>
      <c r="EE64" s="240">
        <f>Intermediate!FJ64+Intermediate!FK64+Intermediate!FM64</f>
        <v>0.83098876435199664</v>
      </c>
      <c r="EF64" s="240">
        <f t="shared" si="170"/>
        <v>3.5890661833396029</v>
      </c>
      <c r="EG64" s="240">
        <f t="shared" si="171"/>
        <v>1.6037924340975092</v>
      </c>
      <c r="EH64" s="240">
        <f t="shared" si="172"/>
        <v>6.1472663184800709</v>
      </c>
      <c r="EI64" s="181">
        <f t="shared" si="173"/>
        <v>6.1472663184800709</v>
      </c>
      <c r="EK64" s="31">
        <f>DY64/Basicinfo!$G64*1000/100</f>
        <v>8.0719369000643151E-2</v>
      </c>
      <c r="EL64" s="31">
        <f>DZ64/Basicinfo!$G64*1000/100</f>
        <v>3.9415517374755189E-2</v>
      </c>
      <c r="EM64" s="220">
        <f>EG64/Basicinfo!$G64*1000/100</f>
        <v>0.12013488637539835</v>
      </c>
      <c r="EN64" s="220">
        <f>ED64/Basicinfo!$G64*1000/100</f>
        <v>9.2449120102531916E-3</v>
      </c>
      <c r="EO64" s="220">
        <f>EF64/Basicinfo!$G64*1000/100</f>
        <v>0.26884530002906404</v>
      </c>
      <c r="EP64" s="220">
        <f>EE64/Basicinfo!$G64*1000/100</f>
        <v>6.2246671490776076E-2</v>
      </c>
      <c r="EQ64" s="220">
        <f>EH64/Basicinfo!$G64*1000/100</f>
        <v>0.46047176990549166</v>
      </c>
      <c r="ER64" s="31">
        <f>EI64/Basicinfo!$G64*1000/100</f>
        <v>0.46047176990549166</v>
      </c>
      <c r="ET64" s="188">
        <f t="shared" si="230"/>
        <v>17.529710674165798</v>
      </c>
      <c r="EU64" s="188">
        <f t="shared" si="231"/>
        <v>8.5598119039620872</v>
      </c>
      <c r="EV64" s="223">
        <f t="shared" si="232"/>
        <v>26.089522578127887</v>
      </c>
      <c r="EW64" s="223">
        <f t="shared" si="233"/>
        <v>2.0077044054515309</v>
      </c>
      <c r="EX64" s="223">
        <f t="shared" si="234"/>
        <v>58.384751813176841</v>
      </c>
      <c r="EY64" s="223">
        <f t="shared" si="235"/>
        <v>13.518021203243737</v>
      </c>
      <c r="EZ64" s="223">
        <f t="shared" si="236"/>
        <v>100</v>
      </c>
      <c r="FA64" s="188">
        <f t="shared" si="237"/>
        <v>100</v>
      </c>
      <c r="FC64" s="236">
        <f>Basicinfo!CT64</f>
        <v>3.2809677419354841</v>
      </c>
      <c r="FD64" s="181">
        <f>IF((Intermediate!CL64+Intermediate!CM64*3)/4&gt;11,(Intermediate!CL64+Intermediate!CM64*9)/10,(Intermediate!CL64+Intermediate!CM64*3)/4)</f>
        <v>2.4201054184616346</v>
      </c>
      <c r="FF64" s="31">
        <f t="shared" si="174"/>
        <v>0.12341893669096252</v>
      </c>
      <c r="FG64" s="31">
        <f t="shared" si="175"/>
        <v>0.46981894169247002</v>
      </c>
      <c r="FH64" s="31">
        <f t="shared" si="176"/>
        <v>0</v>
      </c>
      <c r="FI64" s="31">
        <f>(AI64-(P64*450/1000000))*Parameters!$C$153</f>
        <v>1.2099707701709228</v>
      </c>
      <c r="FJ64" s="31"/>
      <c r="FK64" s="31">
        <f t="shared" si="177"/>
        <v>0.11571099282234194</v>
      </c>
      <c r="FL64" s="31">
        <f t="shared" si="178"/>
        <v>1.7038212650457767</v>
      </c>
      <c r="FM64" s="31">
        <f>AM64*Parameters!$C$154</f>
        <v>5.7917070253298786E-2</v>
      </c>
      <c r="FN64" s="31">
        <f>AN64*Parameters!$C$154</f>
        <v>0.34915280590256692</v>
      </c>
      <c r="FO64" s="31">
        <f>AO64*Parameters!$C$154</f>
        <v>6.6505114531892506E-2</v>
      </c>
      <c r="FP64" s="31">
        <f>AQ64*Parameters!$C$155</f>
        <v>1.0775980000000001</v>
      </c>
      <c r="FQ64" s="31">
        <f t="shared" si="238"/>
        <v>5.1739138971102321</v>
      </c>
      <c r="FS64" s="147">
        <f>DY64*Parameters!$C$155</f>
        <v>1.0775980000000001</v>
      </c>
      <c r="FT64" s="147">
        <f>DZ64*Parameters!$C$154</f>
        <v>0.47357499068775821</v>
      </c>
      <c r="FU64" s="181">
        <f t="shared" si="239"/>
        <v>0.11571099282234194</v>
      </c>
      <c r="FV64" s="181">
        <f t="shared" si="240"/>
        <v>1.7405912336006937</v>
      </c>
      <c r="FW64" s="31">
        <f t="shared" si="241"/>
        <v>1.2099707701709224</v>
      </c>
      <c r="FX64" s="181">
        <f t="shared" si="242"/>
        <v>0.12341893669096252</v>
      </c>
      <c r="FY64" s="147">
        <f>Intermediate!FJ64+Intermediate!FM64</f>
        <v>0.43304897313755303</v>
      </c>
      <c r="FZ64" s="181">
        <f t="shared" si="243"/>
        <v>3.0662729965939581</v>
      </c>
      <c r="GA64" s="147">
        <f t="shared" si="244"/>
        <v>1.5511729906877583</v>
      </c>
      <c r="GB64" s="181">
        <f t="shared" si="245"/>
        <v>5.1739138971102321</v>
      </c>
      <c r="GD64" s="147">
        <f>IF('River loads'!CH64&gt;0.99,1,0)</f>
        <v>1</v>
      </c>
      <c r="GE64" s="147">
        <f t="shared" si="179"/>
        <v>0.12341893669096252</v>
      </c>
      <c r="GF64" s="147">
        <f t="shared" si="180"/>
        <v>0.46981894169247002</v>
      </c>
      <c r="GG64" s="147">
        <f t="shared" si="181"/>
        <v>0</v>
      </c>
      <c r="GH64" s="147">
        <f t="shared" si="182"/>
        <v>1.7894238074658206</v>
      </c>
      <c r="GI64" s="147">
        <f t="shared" si="183"/>
        <v>0.3412799406651903</v>
      </c>
      <c r="GJ64" s="147">
        <f t="shared" si="184"/>
        <v>0.11571099282234194</v>
      </c>
      <c r="GK64" s="147">
        <f t="shared" si="185"/>
        <v>1.7038212650457767</v>
      </c>
      <c r="GL64" s="147">
        <f t="shared" si="186"/>
        <v>6.4352300281443092E-2</v>
      </c>
      <c r="GM64" s="270">
        <f t="shared" si="128"/>
        <v>0.38794756211396325</v>
      </c>
      <c r="GN64" s="270">
        <f t="shared" si="129"/>
        <v>7.3894571702102785E-2</v>
      </c>
      <c r="GO64" s="147">
        <f t="shared" si="187"/>
        <v>1.0775980000000001</v>
      </c>
      <c r="GP64" s="147">
        <f t="shared" si="246"/>
        <v>6.1472663184800709</v>
      </c>
      <c r="GQ64" s="147"/>
      <c r="GR64" s="147">
        <f t="shared" si="247"/>
        <v>0.12341893669096252</v>
      </c>
      <c r="GS64" s="147">
        <f t="shared" si="188"/>
        <v>0.46981894169247002</v>
      </c>
      <c r="GT64" s="147">
        <f t="shared" si="189"/>
        <v>0</v>
      </c>
      <c r="GU64" s="147">
        <f t="shared" si="190"/>
        <v>1.2099707701709228</v>
      </c>
      <c r="GV64" s="147">
        <f t="shared" si="191"/>
        <v>0</v>
      </c>
      <c r="GW64" s="147">
        <f t="shared" si="192"/>
        <v>0.11571099282234194</v>
      </c>
      <c r="GX64" s="147">
        <f t="shared" si="193"/>
        <v>1.7038212650457767</v>
      </c>
      <c r="GY64" s="147">
        <f t="shared" si="194"/>
        <v>5.7917070253298786E-2</v>
      </c>
      <c r="GZ64" s="147">
        <f t="shared" si="130"/>
        <v>0.34915280590256692</v>
      </c>
      <c r="HA64" s="147">
        <f t="shared" si="131"/>
        <v>6.6505114531892506E-2</v>
      </c>
      <c r="HB64" s="147">
        <f t="shared" si="195"/>
        <v>1.0775980000000001</v>
      </c>
      <c r="HC64" s="147">
        <f t="shared" si="196"/>
        <v>5.1739138971102321</v>
      </c>
      <c r="HD64" s="147"/>
      <c r="HE64" s="147">
        <f t="shared" si="197"/>
        <v>1.0775980000000001</v>
      </c>
      <c r="HF64" s="147">
        <f t="shared" si="198"/>
        <v>0.5261944340975091</v>
      </c>
      <c r="HG64" s="147">
        <f t="shared" si="199"/>
        <v>0.11571099282234194</v>
      </c>
      <c r="HH64" s="147">
        <f t="shared" si="200"/>
        <v>1.7405912336006937</v>
      </c>
      <c r="HI64" s="147">
        <f t="shared" si="201"/>
        <v>1.7327639569165674</v>
      </c>
      <c r="HJ64" s="147">
        <f t="shared" si="202"/>
        <v>0.12341893669096252</v>
      </c>
      <c r="HK64" s="147">
        <f t="shared" si="203"/>
        <v>0.83098876435199664</v>
      </c>
      <c r="HL64" s="147">
        <f t="shared" si="204"/>
        <v>3.5890661833396029</v>
      </c>
      <c r="HM64" s="147">
        <f t="shared" si="205"/>
        <v>1.6037924340975092</v>
      </c>
      <c r="HN64" s="147">
        <f t="shared" si="206"/>
        <v>6.1472663184800709</v>
      </c>
      <c r="HO64" s="147">
        <f t="shared" si="207"/>
        <v>6.1472663184800709</v>
      </c>
      <c r="HQ64" s="147">
        <f t="shared" si="248"/>
        <v>1.0775980000000001</v>
      </c>
      <c r="HR64" s="147">
        <f t="shared" si="208"/>
        <v>0.47357499068775821</v>
      </c>
      <c r="HS64" s="147">
        <f t="shared" si="209"/>
        <v>0.11571099282234194</v>
      </c>
      <c r="HT64" s="147">
        <f t="shared" si="210"/>
        <v>1.7405912336006937</v>
      </c>
      <c r="HU64" s="147">
        <f t="shared" si="211"/>
        <v>1.2099707701709224</v>
      </c>
      <c r="HV64" s="147">
        <f t="shared" si="212"/>
        <v>0.12341893669096252</v>
      </c>
      <c r="HW64" s="147">
        <f t="shared" si="213"/>
        <v>0.43304897313755303</v>
      </c>
      <c r="HX64" s="147">
        <f t="shared" si="214"/>
        <v>3.0662729965939581</v>
      </c>
      <c r="HY64" s="147">
        <f t="shared" si="215"/>
        <v>1.5511729906877583</v>
      </c>
      <c r="HZ64" s="147">
        <f t="shared" si="216"/>
        <v>5.1739138971102321</v>
      </c>
      <c r="IB64" s="147">
        <f>IF('River loads'!CI64&gt;0.99,1,0)</f>
        <v>0</v>
      </c>
      <c r="IC64">
        <f t="shared" si="144"/>
        <v>0</v>
      </c>
      <c r="ID64">
        <f t="shared" si="145"/>
        <v>0</v>
      </c>
      <c r="IE64">
        <f t="shared" si="146"/>
        <v>0</v>
      </c>
      <c r="IF64">
        <f t="shared" si="147"/>
        <v>0</v>
      </c>
      <c r="IG64">
        <f t="shared" si="148"/>
        <v>0</v>
      </c>
      <c r="IH64">
        <f t="shared" si="149"/>
        <v>0</v>
      </c>
      <c r="II64">
        <f t="shared" si="150"/>
        <v>0</v>
      </c>
      <c r="IJ64">
        <f t="shared" si="151"/>
        <v>0</v>
      </c>
      <c r="IK64">
        <f t="shared" si="132"/>
        <v>0</v>
      </c>
      <c r="IL64">
        <f t="shared" si="133"/>
        <v>0</v>
      </c>
      <c r="IM64">
        <f t="shared" si="249"/>
        <v>0</v>
      </c>
      <c r="IN64">
        <f t="shared" si="250"/>
        <v>0</v>
      </c>
      <c r="IP64">
        <f t="shared" si="251"/>
        <v>0</v>
      </c>
      <c r="IQ64">
        <f t="shared" si="217"/>
        <v>0</v>
      </c>
      <c r="IR64">
        <f t="shared" si="218"/>
        <v>0</v>
      </c>
      <c r="IS64">
        <f t="shared" si="219"/>
        <v>0</v>
      </c>
      <c r="IT64">
        <f t="shared" si="220"/>
        <v>0</v>
      </c>
      <c r="IU64">
        <f t="shared" si="221"/>
        <v>0</v>
      </c>
      <c r="IV64">
        <f t="shared" si="222"/>
        <v>0</v>
      </c>
      <c r="IW64">
        <f t="shared" si="223"/>
        <v>0</v>
      </c>
      <c r="IX64">
        <f t="shared" si="224"/>
        <v>0</v>
      </c>
    </row>
    <row r="65" spans="1:258">
      <c r="A65" s="39" t="str">
        <f>Basicinfo!A65</f>
        <v>Donau</v>
      </c>
      <c r="B65" s="63">
        <f>Basicinfo!B65</f>
        <v>5000</v>
      </c>
      <c r="C65" s="63">
        <f>Basicinfo!C65</f>
        <v>5010</v>
      </c>
      <c r="D65" s="130">
        <f>Basicinfo!G65</f>
        <v>227.582904668</v>
      </c>
      <c r="E65" s="87">
        <f t="shared" si="153"/>
        <v>3.7246486599999997</v>
      </c>
      <c r="F65" s="19">
        <f>Intermediate!AR65</f>
        <v>0.13675367898988172</v>
      </c>
      <c r="G65" s="19">
        <f>Intermediate!AU65</f>
        <v>0.70708720583431706</v>
      </c>
      <c r="H65" s="19">
        <f>Intermediate!AW65</f>
        <v>0</v>
      </c>
      <c r="I65" s="19">
        <f>Intermediate!AZ65</f>
        <v>3.9097761651922788E-2</v>
      </c>
      <c r="J65" s="19">
        <f>Intermediate!BA65</f>
        <v>2.7870488115080234</v>
      </c>
      <c r="K65" s="19">
        <f>Intermediate!AC65</f>
        <v>8.4732378181594722E-3</v>
      </c>
      <c r="L65" s="19">
        <f>Intermediate!AO65</f>
        <v>1.898270297429679E-2</v>
      </c>
      <c r="M65" s="19">
        <f>Intermediate!AP65</f>
        <v>7.9324579720881534E-3</v>
      </c>
      <c r="N65" s="19">
        <f t="shared" si="119"/>
        <v>3.705375856748689</v>
      </c>
      <c r="O65" s="19">
        <f>Basicinfo!CB65+Basicinfo!CG65</f>
        <v>1.9272803251310672E-2</v>
      </c>
      <c r="P65" s="56">
        <f>Intermediate!BK65-Intermediate!BI65</f>
        <v>1015.0933168806177</v>
      </c>
      <c r="Q65" s="43">
        <f>Intermediate!BI65</f>
        <v>1577.4589955555598</v>
      </c>
      <c r="R65" s="88">
        <f t="shared" si="134"/>
        <v>2592.5523124361775</v>
      </c>
      <c r="S65" s="61">
        <f>Intermediate!F65*Intermediate!BO65/1000</f>
        <v>29.788991887458014</v>
      </c>
      <c r="T65" s="19">
        <f>Intermediate!BU65*Intermediate!AU65*86.4*0.365</f>
        <v>39.574521811851447</v>
      </c>
      <c r="U65" s="19">
        <f>Intermediate!AW65*Intermediate!BS65*0.365*86.4</f>
        <v>0</v>
      </c>
      <c r="V65" s="19">
        <f>(Basicinfo!BL65/1000000)*(Intermediate!BK65-Intermediate!BF65-Intermediate!BG65-Intermediate!BH65)*Intermediate!CV65</f>
        <v>6.2484640352651128</v>
      </c>
      <c r="W65" s="19">
        <f>Intermediate!BI65*Parameters!$C$51/1000000</f>
        <v>3.9436474888888996E-2</v>
      </c>
      <c r="X65" s="19">
        <f>Intermediate!AZ65*Intermediate!CG65*86.4*0.365</f>
        <v>14.229201494435696</v>
      </c>
      <c r="Y65" s="19">
        <f>Intermediate!CM65*Intermediate!BA65*86.4*0.365+Parameters!$C$126*Intermediate!BB65*Basicinfo!P65/1000+Parameters!$C$127*Intermediate!BB65*Basicinfo!S65/1000</f>
        <v>135.77554775206514</v>
      </c>
      <c r="Z65" s="19">
        <f>Intermediate!DG65</f>
        <v>0.72303074108297782</v>
      </c>
      <c r="AA65" s="19">
        <f>Intermediate!DI65</f>
        <v>5.0564466358097615</v>
      </c>
      <c r="AB65" s="19">
        <f>Intermediate!DK65</f>
        <v>1.1696192125549647</v>
      </c>
      <c r="AC65" s="19">
        <f t="shared" si="120"/>
        <v>232.605260045412</v>
      </c>
      <c r="AD65" s="19">
        <f>Basicinfo!CC65+Basicinfo!CE65+Basicinfo!CH65+Basicinfo!CJ65</f>
        <v>1.4378592000000001</v>
      </c>
      <c r="AE65" s="87">
        <f t="shared" si="135"/>
        <v>234.04311924541199</v>
      </c>
      <c r="AF65" s="56">
        <f>Intermediate!F65*Basicinfo!BD65/1000</f>
        <v>0.64671426847252689</v>
      </c>
      <c r="AG65" s="43">
        <f>Intermediate!CA65*Intermediate!AU65*86.4*0.365</f>
        <v>0.68164195385760662</v>
      </c>
      <c r="AH65" s="43">
        <f>Intermediate!AW65*Intermediate!BZ65*0.365*86.4</f>
        <v>0</v>
      </c>
      <c r="AI65" s="43">
        <f>(Intermediate!CU65/1000000)*(Intermediate!BK65-Intermediate!BF65-Intermediate!BG65-Intermediate!BH65)*Intermediate!CW65</f>
        <v>2.8048376308142515</v>
      </c>
      <c r="AJ65" s="43">
        <f>Intermediate!BF65*Parameters!$C$52/1000000+(Intermediate!BG65+Intermediate!BH65)*Intermediate!CX65/1000000</f>
        <v>0.70985654800000197</v>
      </c>
      <c r="AK65" s="43">
        <f>Intermediate!AZ65*Intermediate!CH65*86.4*0.365</f>
        <v>0.21986302022703466</v>
      </c>
      <c r="AL65" s="58">
        <f>Intermediate!CR65*Intermediate!BA65*86.4*0.365</f>
        <v>3.0402712348577787</v>
      </c>
      <c r="AM65" s="43">
        <f>Intermediate!DH65</f>
        <v>0.16673551595683564</v>
      </c>
      <c r="AN65" s="42">
        <f>Intermediate!DJ65</f>
        <v>0.92553422433269372</v>
      </c>
      <c r="AO65" s="42">
        <f>Intermediate!DL65</f>
        <v>0.18181983430304938</v>
      </c>
      <c r="AP65" s="42">
        <f t="shared" si="122"/>
        <v>9.3772742308217776</v>
      </c>
      <c r="AQ65" s="43">
        <f>Basicinfo!CD65+Basicinfo!CF65+Basicinfo!CI65+Basicinfo!CK65</f>
        <v>0.75375900000000007</v>
      </c>
      <c r="AR65" s="83">
        <f t="shared" si="136"/>
        <v>10.131033230821778</v>
      </c>
      <c r="AS65" s="19">
        <f>F65*86400*365/(Basicinfo!G65*1000000)*1000</f>
        <v>18.949859291567893</v>
      </c>
      <c r="AT65" s="19">
        <f>G65*86400*365/(Basicinfo!G65*1000000)*1000</f>
        <v>97.980567370473509</v>
      </c>
      <c r="AU65" s="19">
        <f>H65*86400*365/(Basicinfo!G65*1000000)*1000</f>
        <v>0</v>
      </c>
      <c r="AV65" s="19">
        <f>I65*86400*365/(Basicinfo!G65*1000000)*1000</f>
        <v>5.4177488122569217</v>
      </c>
      <c r="AW65" s="19">
        <f>J65*86400*365/(Basicinfo!G65*1000000)*1000</f>
        <v>386.1993564408329</v>
      </c>
      <c r="AX65" s="53">
        <f>K65*86400*365/(Basicinfo!G65*1000000)*1000</f>
        <v>1.1741304920213074</v>
      </c>
      <c r="AY65" s="53">
        <f>L65*86400*365/(Basicinfo!G65*1000000)*1000</f>
        <v>2.6304195469810128</v>
      </c>
      <c r="AZ65" s="53">
        <f>M65*86400*365/(Basicinfo!G65*1000000)*1000</f>
        <v>1.0991950163071551</v>
      </c>
      <c r="BA65" s="19">
        <f t="shared" si="123"/>
        <v>513.45127697044074</v>
      </c>
      <c r="BB65" s="19">
        <f>O65*86400*365/(Basicinfo!G65*1000000)*1000</f>
        <v>2.670618534463205</v>
      </c>
      <c r="BC65" s="53">
        <f t="shared" si="137"/>
        <v>516.12189550490393</v>
      </c>
      <c r="BD65" s="56">
        <f>P65/(Basicinfo!G65*100)*1000</f>
        <v>44.603232319292388</v>
      </c>
      <c r="BE65" s="43">
        <f>Q65/(Basicinfo!G65*100)*1000</f>
        <v>69.313597954853904</v>
      </c>
      <c r="BF65" s="58">
        <f t="shared" si="138"/>
        <v>113.91683027414629</v>
      </c>
      <c r="BG65" s="61">
        <f>S65/(Basicinfo!G65*100)*1000000</f>
        <v>1308.9292418916291</v>
      </c>
      <c r="BH65" s="19">
        <f>T65/(Basicinfo!G65*100)*1000000</f>
        <v>1738.9057350148121</v>
      </c>
      <c r="BI65" s="19">
        <f>U65/(Basicinfo!G65*100)*1000000</f>
        <v>0</v>
      </c>
      <c r="BJ65" s="19">
        <f>V65/(Basicinfo!G65*100)*1000000</f>
        <v>274.55770653689603</v>
      </c>
      <c r="BK65" s="19">
        <f>W65/(Basicinfo!G65*100)*1000000</f>
        <v>1.732839948871348</v>
      </c>
      <c r="BL65" s="19">
        <f>X65/(Basicinfo!G65*100)*1000000</f>
        <v>625.23156188701353</v>
      </c>
      <c r="BM65" s="19">
        <f>Y65/(Basicinfo!G65*100)*1000000</f>
        <v>5965.9818451713554</v>
      </c>
      <c r="BN65" s="53">
        <f>Z65/(Basicinfo!G65*100)*1000000</f>
        <v>31.769993538738841</v>
      </c>
      <c r="BO65" s="53">
        <f>AA65/(Basicinfo!G65*100)*1000000</f>
        <v>222.18042445614054</v>
      </c>
      <c r="BP65" s="53">
        <f>AB65/(Basicinfo!G65*100)*1000000</f>
        <v>51.393105042806958</v>
      </c>
      <c r="BQ65" s="19">
        <f t="shared" si="125"/>
        <v>10220.682453488265</v>
      </c>
      <c r="BR65" s="19">
        <f>AD65/(Basicinfo!G65*100)*1000000</f>
        <v>63.179578540732749</v>
      </c>
      <c r="BS65" s="53">
        <f t="shared" si="139"/>
        <v>10283.862032028997</v>
      </c>
      <c r="BT65" s="56">
        <f>AF65/(Basicinfo!G65*100)*1000000</f>
        <v>28.416645328257829</v>
      </c>
      <c r="BU65" s="43">
        <f>AG65/(Basicinfo!G65*100)*1000000</f>
        <v>29.951368924304401</v>
      </c>
      <c r="BV65" s="43">
        <f>AH65/(Basicinfo!G65*100)*1000000</f>
        <v>0</v>
      </c>
      <c r="BW65" s="43">
        <f>AI65/(Basicinfo!G65*100)*1000000</f>
        <v>123.24465385069121</v>
      </c>
      <c r="BX65" s="43">
        <f>AJ65/(Basicinfo!G65*100)*1000000</f>
        <v>31.191119079684263</v>
      </c>
      <c r="BY65" s="58">
        <f>AK65/(Basicinfo!G65*100)*1000000</f>
        <v>9.6607880344867212</v>
      </c>
      <c r="BZ65" s="58">
        <f>AL65/(Basicinfo!G65*100)*1000000</f>
        <v>133.58961382854983</v>
      </c>
      <c r="CA65" s="58">
        <f>AM65/(Basicinfo!G65*100)*1000000</f>
        <v>7.3263638233315858</v>
      </c>
      <c r="CB65" s="58">
        <f>AN65/(Basicinfo!G65*100)*1000000</f>
        <v>40.668002971614733</v>
      </c>
      <c r="CC65" s="58">
        <f>AO65/(Basicinfo!G65*100)*1000000</f>
        <v>7.9891692466220077</v>
      </c>
      <c r="CD65" s="58">
        <f t="shared" si="126"/>
        <v>412.03772508754253</v>
      </c>
      <c r="CE65" s="58">
        <f>AQ65/(Basicinfo!G65*100)*1000000</f>
        <v>33.120194203496546</v>
      </c>
      <c r="CF65" s="43">
        <f t="shared" si="140"/>
        <v>445.15791929103909</v>
      </c>
      <c r="CG65" s="84"/>
      <c r="CH65" s="84">
        <f t="shared" si="154"/>
        <v>1.4378592000000001</v>
      </c>
      <c r="CI65" s="146">
        <f t="shared" si="152"/>
        <v>6.9490965894477039</v>
      </c>
      <c r="CJ65" s="200">
        <f>Intermediate!EW65+Intermediate!EY65+Intermediate!FD65</f>
        <v>45.278258688170325</v>
      </c>
      <c r="CK65" s="180">
        <f>Intermediate!FA65+Intermediate!FF65</f>
        <v>18.025207035589418</v>
      </c>
      <c r="CL65" s="180">
        <f t="shared" si="141"/>
        <v>14.229201494435696</v>
      </c>
      <c r="CM65" s="180">
        <f t="shared" si="142"/>
        <v>83.755212367346275</v>
      </c>
      <c r="CN65" s="202">
        <f>Intermediate!EX65+Intermediate!EZ65+Intermediate!FE65</f>
        <v>22.67411084595345</v>
      </c>
      <c r="CO65" s="180">
        <f>Intermediate!FB65+Intermediate!FG65</f>
        <v>9.2910349536928774</v>
      </c>
      <c r="CP65" s="213">
        <f>Intermediate!EP65+Intermediate!EQ65+Intermediate!ER65+Intermediate!ES65+Intermediate!ET65+Intermediate!EU65+Intermediate!EV65+W65</f>
        <v>32.403138070776315</v>
      </c>
      <c r="CQ65" s="212">
        <f t="shared" si="155"/>
        <v>31.965145799646329</v>
      </c>
      <c r="CR65" s="212">
        <f t="shared" si="156"/>
        <v>161.2878795855417</v>
      </c>
      <c r="CS65" s="211">
        <f t="shared" si="143"/>
        <v>2.1608899410829778</v>
      </c>
      <c r="CT65" s="212">
        <f t="shared" si="157"/>
        <v>227.81705339704735</v>
      </c>
      <c r="CU65" s="84"/>
      <c r="CV65" s="31">
        <f t="shared" si="158"/>
        <v>234.04311924541199</v>
      </c>
      <c r="CW65" s="31">
        <f>CH65/Basicinfo!$G65*1000/100</f>
        <v>6.3179578540732764E-2</v>
      </c>
      <c r="CX65" s="31">
        <f>CI65/Basicinfo!$G65*1000/100</f>
        <v>0.30534352303768636</v>
      </c>
      <c r="CY65" s="31">
        <f>CS65/Basicinfo!$G65*1000/100</f>
        <v>9.4949572079471592E-2</v>
      </c>
      <c r="CZ65" s="31">
        <f>CN65/Basicinfo!$G65*1000/100</f>
        <v>0.99630114480833465</v>
      </c>
      <c r="DA65" s="31">
        <f>CO65/Basicinfo!$G65*1000/100</f>
        <v>0.40824836853395136</v>
      </c>
      <c r="DB65" s="31">
        <f>CQ65/Basicinfo!$G65*1000/100</f>
        <v>1.4045495133422861</v>
      </c>
      <c r="DC65" s="31">
        <f>CJ65/Basicinfo!$G65*1000/100</f>
        <v>1.9895281130286415</v>
      </c>
      <c r="DD65" s="31">
        <f>CK65/Basicinfo!$G65*1000/100</f>
        <v>0.792028164939926</v>
      </c>
      <c r="DE65" s="31">
        <f>CM65/Basicinfo!$G65*1000/100</f>
        <v>3.6802066697201679</v>
      </c>
      <c r="DF65" s="31">
        <f>CR65/Basicinfo!$G65*1000/100</f>
        <v>7.0869945095757485</v>
      </c>
      <c r="DG65" s="31">
        <f>CP65/Basicinfo!$G65*1000/100</f>
        <v>1.4237949075325453</v>
      </c>
      <c r="DH65" s="31">
        <f>CT65/Basicinfo!$G65*1000/100</f>
        <v>10.010288502530052</v>
      </c>
      <c r="DI65" s="31">
        <f>CV65/Basicinfo!$G65*1000/100</f>
        <v>10.283862032028997</v>
      </c>
      <c r="DJ65" s="31"/>
      <c r="DK65" s="188">
        <f t="shared" si="159"/>
        <v>0.63114643024288875</v>
      </c>
      <c r="DL65" s="188">
        <f t="shared" si="160"/>
        <v>3.0502969316070385</v>
      </c>
      <c r="DM65" s="188">
        <f t="shared" si="161"/>
        <v>0.94851983592154754</v>
      </c>
      <c r="DN65" s="188">
        <f t="shared" si="162"/>
        <v>9.952771536569843</v>
      </c>
      <c r="DO65" s="188">
        <f t="shared" si="163"/>
        <v>4.0782877379684761</v>
      </c>
      <c r="DP65" s="188">
        <f t="shared" si="164"/>
        <v>14.031059274538322</v>
      </c>
      <c r="DQ65" s="188">
        <f t="shared" si="225"/>
        <v>19.874832903425286</v>
      </c>
      <c r="DR65" s="188">
        <f t="shared" si="226"/>
        <v>7.9121412408817662</v>
      </c>
      <c r="DS65" s="188">
        <f t="shared" si="227"/>
        <v>36.764241797726541</v>
      </c>
      <c r="DT65" s="188">
        <f t="shared" si="165"/>
        <v>70.797105475876592</v>
      </c>
      <c r="DU65" s="188">
        <f t="shared" si="166"/>
        <v>14.223315413663531</v>
      </c>
      <c r="DV65" s="188">
        <f t="shared" si="228"/>
        <v>100</v>
      </c>
      <c r="DW65" s="188">
        <f t="shared" si="229"/>
        <v>102.73292352592833</v>
      </c>
      <c r="DY65" s="181">
        <f t="shared" si="167"/>
        <v>0.75375900000000007</v>
      </c>
      <c r="DZ65" s="181">
        <f t="shared" si="127"/>
        <v>1.2740895745925789</v>
      </c>
      <c r="EA65" s="185">
        <f t="shared" si="168"/>
        <v>0.21986302022703466</v>
      </c>
      <c r="EB65" s="185">
        <f>AG65+AH65+AL65-Intermediate!FJ65-Intermediate!FM65</f>
        <v>3.0914346895905589</v>
      </c>
      <c r="EC65" s="185">
        <f>AI65+AJ65-Intermediate!FK65</f>
        <v>2.7095560322812977</v>
      </c>
      <c r="ED65" s="240">
        <f t="shared" si="169"/>
        <v>0.64671426847252689</v>
      </c>
      <c r="EE65" s="240">
        <f>Intermediate!FJ65+Intermediate!FK65+Intermediate!FM65</f>
        <v>1.4356166456577819</v>
      </c>
      <c r="EF65" s="240">
        <f t="shared" si="170"/>
        <v>6.0208537420988906</v>
      </c>
      <c r="EG65" s="240">
        <f t="shared" si="171"/>
        <v>2.0278485745925789</v>
      </c>
      <c r="EH65" s="240">
        <f t="shared" si="172"/>
        <v>10.131033230821778</v>
      </c>
      <c r="EI65" s="181">
        <f t="shared" si="173"/>
        <v>10.131033230821778</v>
      </c>
      <c r="EK65" s="31">
        <f>DY65/Basicinfo!$G65*1000/100</f>
        <v>3.3120194203496545E-2</v>
      </c>
      <c r="EL65" s="31">
        <f>DZ65/Basicinfo!$G65*1000/100</f>
        <v>5.5983536041568333E-2</v>
      </c>
      <c r="EM65" s="220">
        <f>EG65/Basicinfo!$G65*1000/100</f>
        <v>8.9103730245064877E-2</v>
      </c>
      <c r="EN65" s="220">
        <f>ED65/Basicinfo!$G65*1000/100</f>
        <v>2.8416645328257828E-2</v>
      </c>
      <c r="EO65" s="220">
        <f>EF65/Basicinfo!$G65*1000/100</f>
        <v>0.26455650308542139</v>
      </c>
      <c r="EP65" s="220">
        <f>EE65/Basicinfo!$G65*1000/100</f>
        <v>6.3081040632294971E-2</v>
      </c>
      <c r="EQ65" s="220">
        <f>EH65/Basicinfo!$G65*1000/100</f>
        <v>0.44515791929103904</v>
      </c>
      <c r="ER65" s="31">
        <f>EI65/Basicinfo!$G65*1000/100</f>
        <v>0.44515791929103904</v>
      </c>
      <c r="ET65" s="188">
        <f t="shared" si="230"/>
        <v>7.4400999663768648</v>
      </c>
      <c r="EU65" s="188">
        <f t="shared" si="231"/>
        <v>12.576106953399375</v>
      </c>
      <c r="EV65" s="223">
        <f t="shared" si="232"/>
        <v>20.016206919776238</v>
      </c>
      <c r="EW65" s="223">
        <f t="shared" si="233"/>
        <v>6.383497652589071</v>
      </c>
      <c r="EX65" s="223">
        <f t="shared" si="234"/>
        <v>59.429809427350079</v>
      </c>
      <c r="EY65" s="223">
        <f t="shared" si="235"/>
        <v>14.170486000284615</v>
      </c>
      <c r="EZ65" s="223">
        <f t="shared" si="236"/>
        <v>100</v>
      </c>
      <c r="FA65" s="188">
        <f t="shared" si="237"/>
        <v>100</v>
      </c>
      <c r="FC65" s="236">
        <f>Basicinfo!CT65</f>
        <v>2.3811290322580643</v>
      </c>
      <c r="FD65" s="181">
        <f>IF((Intermediate!CL65+Intermediate!CM65*3)/4&gt;11,(Intermediate!CL65+Intermediate!CM65*9)/10,(Intermediate!CL65+Intermediate!CM65*3)/4)</f>
        <v>2.2592354174575018</v>
      </c>
      <c r="FF65" s="31">
        <f t="shared" si="174"/>
        <v>0.64671426847252689</v>
      </c>
      <c r="FG65" s="31">
        <f t="shared" si="175"/>
        <v>0.68164195385760662</v>
      </c>
      <c r="FH65" s="31">
        <f t="shared" si="176"/>
        <v>0</v>
      </c>
      <c r="FI65" s="31">
        <f>(AI65-(P65*450/1000000))*Parameters!$C$153</f>
        <v>1.878436510574379</v>
      </c>
      <c r="FJ65" s="31"/>
      <c r="FK65" s="31">
        <f t="shared" si="177"/>
        <v>0.21986302022703466</v>
      </c>
      <c r="FL65" s="31">
        <f t="shared" si="178"/>
        <v>3.0402712348577787</v>
      </c>
      <c r="FM65" s="31">
        <f>AM65*Parameters!$C$154</f>
        <v>0.15006196436115207</v>
      </c>
      <c r="FN65" s="31">
        <f>AN65*Parameters!$C$154</f>
        <v>0.83298080189942436</v>
      </c>
      <c r="FO65" s="31">
        <f>AO65*Parameters!$C$154</f>
        <v>0.16363785087274443</v>
      </c>
      <c r="FP65" s="31">
        <f>AQ65*Parameters!$C$155</f>
        <v>0.75375900000000007</v>
      </c>
      <c r="FQ65" s="31">
        <f t="shared" si="238"/>
        <v>8.3673666051226459</v>
      </c>
      <c r="FS65" s="147">
        <f>DY65*Parameters!$C$155</f>
        <v>0.75375900000000007</v>
      </c>
      <c r="FT65" s="147">
        <f>DZ65*Parameters!$C$154</f>
        <v>1.146680617133321</v>
      </c>
      <c r="FU65" s="181">
        <f t="shared" si="239"/>
        <v>0.21986302022703466</v>
      </c>
      <c r="FV65" s="181">
        <f t="shared" si="240"/>
        <v>3.0914346895905589</v>
      </c>
      <c r="FW65" s="31">
        <f t="shared" si="241"/>
        <v>1.8784365105743779</v>
      </c>
      <c r="FX65" s="181">
        <f t="shared" si="242"/>
        <v>0.64671426847252689</v>
      </c>
      <c r="FY65" s="147">
        <f>Intermediate!FJ65+Intermediate!FM65</f>
        <v>0.63047849912482623</v>
      </c>
      <c r="FZ65" s="181">
        <f t="shared" si="243"/>
        <v>5.1897342203919719</v>
      </c>
      <c r="GA65" s="147">
        <f t="shared" si="244"/>
        <v>1.9004396171333211</v>
      </c>
      <c r="GB65" s="181">
        <f t="shared" si="245"/>
        <v>8.3673666051226459</v>
      </c>
      <c r="GD65" s="147">
        <f>IF('River loads'!CH65&gt;0.99,1,0)</f>
        <v>0</v>
      </c>
      <c r="GE65" s="147">
        <f t="shared" si="179"/>
        <v>0</v>
      </c>
      <c r="GF65" s="147">
        <f t="shared" si="180"/>
        <v>0</v>
      </c>
      <c r="GG65" s="147">
        <f t="shared" si="181"/>
        <v>0</v>
      </c>
      <c r="GH65" s="147">
        <f t="shared" si="182"/>
        <v>0</v>
      </c>
      <c r="GI65" s="147">
        <f t="shared" si="183"/>
        <v>0</v>
      </c>
      <c r="GJ65" s="147">
        <f t="shared" si="184"/>
        <v>0</v>
      </c>
      <c r="GK65" s="147">
        <f t="shared" si="185"/>
        <v>0</v>
      </c>
      <c r="GL65" s="147">
        <f t="shared" si="186"/>
        <v>0</v>
      </c>
      <c r="GM65" s="270">
        <f t="shared" si="128"/>
        <v>0</v>
      </c>
      <c r="GN65" s="270">
        <f t="shared" si="129"/>
        <v>0</v>
      </c>
      <c r="GO65" s="147">
        <f t="shared" si="187"/>
        <v>0</v>
      </c>
      <c r="GP65" s="147">
        <f t="shared" si="246"/>
        <v>0</v>
      </c>
      <c r="GQ65" s="147"/>
      <c r="GR65" s="147">
        <f t="shared" si="247"/>
        <v>0</v>
      </c>
      <c r="GS65" s="147">
        <f t="shared" si="188"/>
        <v>0</v>
      </c>
      <c r="GT65" s="147">
        <f t="shared" si="189"/>
        <v>0</v>
      </c>
      <c r="GU65" s="147">
        <f t="shared" si="190"/>
        <v>0</v>
      </c>
      <c r="GV65" s="147">
        <f t="shared" si="191"/>
        <v>0</v>
      </c>
      <c r="GW65" s="147">
        <f t="shared" si="192"/>
        <v>0</v>
      </c>
      <c r="GX65" s="147">
        <f t="shared" si="193"/>
        <v>0</v>
      </c>
      <c r="GY65" s="147">
        <f t="shared" si="194"/>
        <v>0</v>
      </c>
      <c r="GZ65" s="147">
        <f t="shared" si="130"/>
        <v>0</v>
      </c>
      <c r="HA65" s="147">
        <f t="shared" si="131"/>
        <v>0</v>
      </c>
      <c r="HB65" s="147">
        <f t="shared" si="195"/>
        <v>0</v>
      </c>
      <c r="HC65" s="147">
        <f t="shared" si="196"/>
        <v>0</v>
      </c>
      <c r="HD65" s="147"/>
      <c r="HE65" s="147">
        <f t="shared" si="197"/>
        <v>0</v>
      </c>
      <c r="HF65" s="147">
        <f t="shared" si="198"/>
        <v>0</v>
      </c>
      <c r="HG65" s="147">
        <f t="shared" si="199"/>
        <v>0</v>
      </c>
      <c r="HH65" s="147">
        <f t="shared" si="200"/>
        <v>0</v>
      </c>
      <c r="HI65" s="147">
        <f t="shared" si="201"/>
        <v>0</v>
      </c>
      <c r="HJ65" s="147">
        <f t="shared" si="202"/>
        <v>0</v>
      </c>
      <c r="HK65" s="147">
        <f t="shared" si="203"/>
        <v>0</v>
      </c>
      <c r="HL65" s="147">
        <f t="shared" si="204"/>
        <v>0</v>
      </c>
      <c r="HM65" s="147">
        <f t="shared" si="205"/>
        <v>0</v>
      </c>
      <c r="HN65" s="147">
        <f t="shared" si="206"/>
        <v>0</v>
      </c>
      <c r="HO65" s="147">
        <f t="shared" si="207"/>
        <v>0</v>
      </c>
      <c r="HQ65" s="147">
        <f t="shared" si="248"/>
        <v>0</v>
      </c>
      <c r="HR65" s="147">
        <f t="shared" si="208"/>
        <v>0</v>
      </c>
      <c r="HS65" s="147">
        <f t="shared" si="209"/>
        <v>0</v>
      </c>
      <c r="HT65" s="147">
        <f t="shared" si="210"/>
        <v>0</v>
      </c>
      <c r="HU65" s="147">
        <f t="shared" si="211"/>
        <v>0</v>
      </c>
      <c r="HV65" s="147">
        <f t="shared" si="212"/>
        <v>0</v>
      </c>
      <c r="HW65" s="147">
        <f t="shared" si="213"/>
        <v>0</v>
      </c>
      <c r="HX65" s="147">
        <f t="shared" si="214"/>
        <v>0</v>
      </c>
      <c r="HY65" s="147">
        <f t="shared" si="215"/>
        <v>0</v>
      </c>
      <c r="HZ65" s="147">
        <f t="shared" si="216"/>
        <v>0</v>
      </c>
      <c r="IB65" s="147">
        <f>IF('River loads'!CI65&gt;0.99,1,0)</f>
        <v>0</v>
      </c>
      <c r="IC65">
        <f t="shared" si="144"/>
        <v>0</v>
      </c>
      <c r="ID65">
        <f t="shared" si="145"/>
        <v>0</v>
      </c>
      <c r="IE65">
        <f t="shared" si="146"/>
        <v>0</v>
      </c>
      <c r="IF65">
        <f t="shared" si="147"/>
        <v>0</v>
      </c>
      <c r="IG65">
        <f t="shared" si="148"/>
        <v>0</v>
      </c>
      <c r="IH65">
        <f t="shared" si="149"/>
        <v>0</v>
      </c>
      <c r="II65">
        <f t="shared" si="150"/>
        <v>0</v>
      </c>
      <c r="IJ65">
        <f t="shared" si="151"/>
        <v>0</v>
      </c>
      <c r="IK65">
        <f t="shared" si="132"/>
        <v>0</v>
      </c>
      <c r="IL65">
        <f t="shared" si="133"/>
        <v>0</v>
      </c>
      <c r="IM65">
        <f t="shared" si="249"/>
        <v>0</v>
      </c>
      <c r="IN65">
        <f t="shared" si="250"/>
        <v>0</v>
      </c>
      <c r="IP65">
        <f t="shared" si="251"/>
        <v>0</v>
      </c>
      <c r="IQ65">
        <f t="shared" si="217"/>
        <v>0</v>
      </c>
      <c r="IR65">
        <f t="shared" si="218"/>
        <v>0</v>
      </c>
      <c r="IS65">
        <f t="shared" si="219"/>
        <v>0</v>
      </c>
      <c r="IT65">
        <f t="shared" si="220"/>
        <v>0</v>
      </c>
      <c r="IU65">
        <f t="shared" si="221"/>
        <v>0</v>
      </c>
      <c r="IV65">
        <f t="shared" si="222"/>
        <v>0</v>
      </c>
      <c r="IW65">
        <f t="shared" si="223"/>
        <v>0</v>
      </c>
      <c r="IX65">
        <f t="shared" si="224"/>
        <v>0</v>
      </c>
    </row>
    <row r="66" spans="1:258">
      <c r="A66" s="39" t="str">
        <f>Basicinfo!A66</f>
        <v>Donau</v>
      </c>
      <c r="B66" s="63">
        <f>Basicinfo!B66</f>
        <v>5010</v>
      </c>
      <c r="C66" s="63">
        <f>Basicinfo!C66</f>
        <v>5020</v>
      </c>
      <c r="D66" s="130">
        <f>Basicinfo!G66</f>
        <v>154.023055279</v>
      </c>
      <c r="E66" s="87">
        <f t="shared" si="153"/>
        <v>3.3099532626302395</v>
      </c>
      <c r="F66" s="19">
        <f>Intermediate!AR66</f>
        <v>3.0824449302106843E-2</v>
      </c>
      <c r="G66" s="19">
        <f>Intermediate!AU66</f>
        <v>0.1145389591918467</v>
      </c>
      <c r="H66" s="19">
        <f>Intermediate!AW66</f>
        <v>0</v>
      </c>
      <c r="I66" s="19">
        <f>Intermediate!AZ66</f>
        <v>9.4099881406501003E-3</v>
      </c>
      <c r="J66" s="19">
        <f>Intermediate!BA66</f>
        <v>1.0372867933450229</v>
      </c>
      <c r="K66" s="19">
        <f>Intermediate!AC66</f>
        <v>3.9647946091559298E-2</v>
      </c>
      <c r="L66" s="19">
        <f>Intermediate!AO66</f>
        <v>7.6932382725421813E-2</v>
      </c>
      <c r="M66" s="19">
        <f>Intermediate!AP66</f>
        <v>2.7246975452522582E-2</v>
      </c>
      <c r="N66" s="19">
        <f t="shared" si="119"/>
        <v>1.3358874942491303</v>
      </c>
      <c r="O66" s="19">
        <f>Basicinfo!CB66+Basicinfo!CG66</f>
        <v>1.9740657683811094</v>
      </c>
      <c r="P66" s="56">
        <f>Intermediate!BK66-Intermediate!BI66</f>
        <v>1188.4397699840881</v>
      </c>
      <c r="Q66" s="43">
        <f>Intermediate!BI66</f>
        <v>1112.033236583273</v>
      </c>
      <c r="R66" s="88">
        <f t="shared" si="134"/>
        <v>2300.4730065673612</v>
      </c>
      <c r="S66" s="61">
        <f>Intermediate!F66*Intermediate!BO66/1000</f>
        <v>13.378004368977392</v>
      </c>
      <c r="T66" s="19">
        <f>Intermediate!BU66*Intermediate!AU66*86.4*0.365</f>
        <v>6.7566706128469933</v>
      </c>
      <c r="U66" s="19">
        <f>Intermediate!AW66*Intermediate!BS66*0.365*86.4</f>
        <v>0</v>
      </c>
      <c r="V66" s="19">
        <f>(Basicinfo!BL66/1000000)*(Intermediate!BK66-Intermediate!BF66-Intermediate!BG66-Intermediate!BH66)*Intermediate!CV66</f>
        <v>4.3844870630552473</v>
      </c>
      <c r="W66" s="19">
        <f>Intermediate!BI66*Parameters!$C$51/1000000</f>
        <v>2.7800830914581829E-2</v>
      </c>
      <c r="X66" s="19">
        <f>Intermediate!AZ66*Intermediate!CG66*86.4*0.365</f>
        <v>3.5389075434718893</v>
      </c>
      <c r="Y66" s="19">
        <f>Intermediate!CM66*Intermediate!BA66*86.4*0.365+Parameters!$C$126*Intermediate!BB66*Basicinfo!P66/1000+Parameters!$C$127*Intermediate!BB66*Basicinfo!S66/1000</f>
        <v>91.091808237795604</v>
      </c>
      <c r="Z66" s="19">
        <f>Intermediate!DG66</f>
        <v>3.3536219284714499</v>
      </c>
      <c r="AA66" s="19">
        <f>Intermediate!DI66</f>
        <v>19.751052578070205</v>
      </c>
      <c r="AB66" s="19">
        <f>Intermediate!DK66</f>
        <v>2.1049398786913587</v>
      </c>
      <c r="AC66" s="19">
        <f t="shared" si="120"/>
        <v>144.38729304229474</v>
      </c>
      <c r="AD66" s="19">
        <f>Basicinfo!CC66+Basicinfo!CE66+Basicinfo!CH66+Basicinfo!CJ66</f>
        <v>1931.3589781666667</v>
      </c>
      <c r="AE66" s="87">
        <f t="shared" si="135"/>
        <v>2075.7462712089614</v>
      </c>
      <c r="AF66" s="56">
        <f>Intermediate!F66*Basicinfo!BD66/1000</f>
        <v>0.31098204751196473</v>
      </c>
      <c r="AG66" s="43">
        <f>Intermediate!CA66*Intermediate!AU66*86.4*0.365</f>
        <v>0.12366703412292387</v>
      </c>
      <c r="AH66" s="43">
        <f>Intermediate!AW66*Intermediate!BZ66*0.365*86.4</f>
        <v>0</v>
      </c>
      <c r="AI66" s="43">
        <f>(Intermediate!CU66/1000000)*(Intermediate!BK66-Intermediate!BF66-Intermediate!BG66-Intermediate!BH66)*Intermediate!CW66</f>
        <v>3.9852069770424885</v>
      </c>
      <c r="AJ66" s="43">
        <f>Intermediate!BF66*Parameters!$C$52/1000000+(Intermediate!BG66+Intermediate!BH66)*Intermediate!CX66/1000000</f>
        <v>0.5004149564624728</v>
      </c>
      <c r="AK66" s="43">
        <f>Intermediate!AZ66*Intermediate!CH66*86.4*0.365</f>
        <v>2.9760227026590487E-2</v>
      </c>
      <c r="AL66" s="58">
        <f>Intermediate!CR66*Intermediate!BA66*86.4*0.365</f>
        <v>0.5854651473605369</v>
      </c>
      <c r="AM66" s="43">
        <f>Intermediate!DH66</f>
        <v>0.7257962215599727</v>
      </c>
      <c r="AN66" s="42">
        <f>Intermediate!DJ66</f>
        <v>3.5414232507208165</v>
      </c>
      <c r="AO66" s="42">
        <f>Intermediate!DL66</f>
        <v>0.31601640458885449</v>
      </c>
      <c r="AP66" s="42">
        <f t="shared" si="122"/>
        <v>10.118732266396622</v>
      </c>
      <c r="AQ66" s="43">
        <f>Basicinfo!CD66+Basicinfo!CF66+Basicinfo!CI66+Basicinfo!CK66</f>
        <v>64.668573333333342</v>
      </c>
      <c r="AR66" s="83">
        <f t="shared" si="136"/>
        <v>74.787305599729962</v>
      </c>
      <c r="AS66" s="19">
        <f>F66*86400*365/(Basicinfo!G66*1000000)*1000</f>
        <v>6.3112618525220094</v>
      </c>
      <c r="AT66" s="19">
        <f>G66*86400*365/(Basicinfo!G66*1000000)*1000</f>
        <v>23.45168786926773</v>
      </c>
      <c r="AU66" s="19">
        <f>H66*86400*365/(Basicinfo!G66*1000000)*1000</f>
        <v>0</v>
      </c>
      <c r="AV66" s="19">
        <f>I66*86400*365/(Basicinfo!G66*1000000)*1000</f>
        <v>1.9266815962454282</v>
      </c>
      <c r="AW66" s="19">
        <f>J66*86400*365/(Basicinfo!G66*1000000)*1000</f>
        <v>212.38298549313794</v>
      </c>
      <c r="AX66" s="53">
        <f>K66*86400*365/(Basicinfo!G66*1000000)*1000</f>
        <v>8.1178601844933596</v>
      </c>
      <c r="AY66" s="53">
        <f>L66*86400*365/(Basicinfo!G66*1000000)*1000</f>
        <v>15.75179519218179</v>
      </c>
      <c r="AZ66" s="53">
        <f>M66*86400*365/(Basicinfo!G66*1000000)*1000</f>
        <v>5.5787792049331353</v>
      </c>
      <c r="BA66" s="19">
        <f t="shared" si="123"/>
        <v>273.52105139278143</v>
      </c>
      <c r="BB66" s="19">
        <f>O66*86400*365/(Basicinfo!G66*1000000)*1000</f>
        <v>404.18713911951983</v>
      </c>
      <c r="BC66" s="53">
        <f t="shared" si="137"/>
        <v>677.70819051230126</v>
      </c>
      <c r="BD66" s="56">
        <f>P66/(Basicinfo!G66*100)*1000</f>
        <v>77.159862062944271</v>
      </c>
      <c r="BE66" s="43">
        <f>Q66/(Basicinfo!G66*100)*1000</f>
        <v>72.199141522606268</v>
      </c>
      <c r="BF66" s="58">
        <f t="shared" si="138"/>
        <v>149.35900358555054</v>
      </c>
      <c r="BG66" s="61">
        <f>S66/(Basicinfo!G66*100)*1000000</f>
        <v>868.57154889858828</v>
      </c>
      <c r="BH66" s="19">
        <f>T66/(Basicinfo!G66*100)*1000000</f>
        <v>438.67917050521066</v>
      </c>
      <c r="BI66" s="19">
        <f>U66/(Basicinfo!G66*100)*1000000</f>
        <v>0</v>
      </c>
      <c r="BJ66" s="19">
        <f>V66/(Basicinfo!G66*100)*1000000</f>
        <v>284.66433516158423</v>
      </c>
      <c r="BK66" s="19">
        <f>W66/(Basicinfo!G66*100)*1000000</f>
        <v>1.8049785380651571</v>
      </c>
      <c r="BL66" s="19">
        <f>X66/(Basicinfo!G66*100)*1000000</f>
        <v>229.76479313836825</v>
      </c>
      <c r="BM66" s="19">
        <f>Y66/(Basicinfo!G66*100)*1000000</f>
        <v>5914.1670753635126</v>
      </c>
      <c r="BN66" s="53">
        <f>Z66/(Basicinfo!G66*100)*1000000</f>
        <v>217.7350606632651</v>
      </c>
      <c r="BO66" s="53">
        <f>AA66/(Basicinfo!G66*100)*1000000</f>
        <v>1282.3439024951692</v>
      </c>
      <c r="BP66" s="53">
        <f>AB66/(Basicinfo!G66*100)*1000000</f>
        <v>136.66394780173883</v>
      </c>
      <c r="BQ66" s="19">
        <f t="shared" si="125"/>
        <v>9374.3948125655024</v>
      </c>
      <c r="BR66" s="19">
        <f>AD66/(Basicinfo!G66*100)*1000000</f>
        <v>125394.14795195239</v>
      </c>
      <c r="BS66" s="53">
        <f t="shared" si="139"/>
        <v>134768.54276451789</v>
      </c>
      <c r="BT66" s="56">
        <f>AF66/(Basicinfo!G66*100)*1000000</f>
        <v>20.190616719597369</v>
      </c>
      <c r="BU66" s="43">
        <f>AG66/(Basicinfo!G66*100)*1000000</f>
        <v>8.0291248539974287</v>
      </c>
      <c r="BV66" s="43">
        <f>AH66/(Basicinfo!G66*100)*1000000</f>
        <v>0</v>
      </c>
      <c r="BW66" s="43">
        <f>AI66/(Basicinfo!G66*100)*1000000</f>
        <v>258.74093783061352</v>
      </c>
      <c r="BX66" s="43">
        <f>AJ66/(Basicinfo!G66*100)*1000000</f>
        <v>32.48961368517282</v>
      </c>
      <c r="BY66" s="58">
        <f>AK66/(Basicinfo!G66*100)*1000000</f>
        <v>1.9321930066042583</v>
      </c>
      <c r="BZ66" s="58">
        <f>AL66/(Basicinfo!G66*100)*1000000</f>
        <v>38.011526670472499</v>
      </c>
      <c r="CA66" s="58">
        <f>AM66/(Basicinfo!G66*100)*1000000</f>
        <v>47.122570075321065</v>
      </c>
      <c r="CB66" s="58">
        <f>AN66/(Basicinfo!G66*100)*1000000</f>
        <v>229.92812629939212</v>
      </c>
      <c r="CC66" s="58">
        <f>AO66/(Basicinfo!G66*100)*1000000</f>
        <v>20.517474089604114</v>
      </c>
      <c r="CD66" s="58">
        <f t="shared" si="126"/>
        <v>656.96218323077517</v>
      </c>
      <c r="CE66" s="58">
        <f>AQ66/(Basicinfo!G66*100)*1000000</f>
        <v>4198.6294335086122</v>
      </c>
      <c r="CF66" s="43">
        <f t="shared" si="140"/>
        <v>4855.5916167393871</v>
      </c>
      <c r="CG66" s="84"/>
      <c r="CH66" s="84">
        <f t="shared" si="154"/>
        <v>1931.3589781666667</v>
      </c>
      <c r="CI66" s="146">
        <f t="shared" si="152"/>
        <v>25.209614385233014</v>
      </c>
      <c r="CJ66" s="200">
        <f>Intermediate!EW66+Intermediate!EY66+Intermediate!FD66</f>
        <v>19.573250885936545</v>
      </c>
      <c r="CK66" s="180">
        <f>Intermediate!FA66+Intermediate!FF66</f>
        <v>7.5945796602984537</v>
      </c>
      <c r="CL66" s="180">
        <f t="shared" si="141"/>
        <v>3.5389075434718893</v>
      </c>
      <c r="CM66" s="180">
        <f t="shared" si="142"/>
        <v>50.091588315580402</v>
      </c>
      <c r="CN66" s="202">
        <f>Intermediate!EX66+Intermediate!EZ66+Intermediate!FE66</f>
        <v>11.360506057988562</v>
      </c>
      <c r="CO66" s="180">
        <f>Intermediate!FB66+Intermediate!FG66</f>
        <v>4.6352327517553764</v>
      </c>
      <c r="CP66" s="213">
        <f>Intermediate!EP66+Intermediate!EQ66+Intermediate!ER66+Intermediate!ES66+Intermediate!ET66+Intermediate!EU66+Intermediate!EV66+W66</f>
        <v>22.383613442030487</v>
      </c>
      <c r="CQ66" s="212">
        <f t="shared" si="155"/>
        <v>15.995738809743939</v>
      </c>
      <c r="CR66" s="212">
        <f t="shared" si="156"/>
        <v>80.798326405287298</v>
      </c>
      <c r="CS66" s="211">
        <f t="shared" si="143"/>
        <v>1934.7126000951382</v>
      </c>
      <c r="CT66" s="212">
        <f t="shared" si="157"/>
        <v>2053.8902787521997</v>
      </c>
      <c r="CU66" s="84"/>
      <c r="CV66" s="31">
        <f t="shared" si="158"/>
        <v>2075.7462712089614</v>
      </c>
      <c r="CW66" s="31">
        <f>CH66/Basicinfo!$G66*1000/100</f>
        <v>125.39414795195238</v>
      </c>
      <c r="CX66" s="31">
        <f>CI66/Basicinfo!$G66*1000/100</f>
        <v>1.636742910960173</v>
      </c>
      <c r="CY66" s="31">
        <f>CS66/Basicinfo!$G66*1000/100</f>
        <v>125.61188301261565</v>
      </c>
      <c r="CZ66" s="31">
        <f>CN66/Basicinfo!$G66*1000/100</f>
        <v>0.73758477504617392</v>
      </c>
      <c r="DA66" s="31">
        <f>CO66/Basicinfo!$G66*1000/100</f>
        <v>0.30094408550453933</v>
      </c>
      <c r="DB66" s="31">
        <f>CQ66/Basicinfo!$G66*1000/100</f>
        <v>1.0385288605507133</v>
      </c>
      <c r="DC66" s="31">
        <f>CJ66/Basicinfo!$G66*1000/100</f>
        <v>1.2708000662940508</v>
      </c>
      <c r="DD66" s="31">
        <f>CK66/Basicinfo!$G66*1000/100</f>
        <v>0.49308070447904712</v>
      </c>
      <c r="DE66" s="31">
        <f>CM66/Basicinfo!$G66*1000/100</f>
        <v>3.2522136523550738</v>
      </c>
      <c r="DF66" s="31">
        <f>CR66/Basicinfo!$G66*1000/100</f>
        <v>5.2458592162665409</v>
      </c>
      <c r="DG66" s="31">
        <f>CP66/Basicinfo!$G66*1000/100</f>
        <v>1.4532638247880763</v>
      </c>
      <c r="DH66" s="31">
        <f>CT66/Basicinfo!$G66*1000/100</f>
        <v>133.34953491422095</v>
      </c>
      <c r="DI66" s="31">
        <f>CV66/Basicinfo!$G66*1000/100</f>
        <v>134.76854276451789</v>
      </c>
      <c r="DJ66" s="31"/>
      <c r="DK66" s="188">
        <f t="shared" si="159"/>
        <v>94.034184695592671</v>
      </c>
      <c r="DL66" s="188">
        <f t="shared" si="160"/>
        <v>1.2274080385904849</v>
      </c>
      <c r="DM66" s="188">
        <f t="shared" si="161"/>
        <v>94.197466150457387</v>
      </c>
      <c r="DN66" s="188">
        <f t="shared" si="162"/>
        <v>0.55312137047994658</v>
      </c>
      <c r="DO66" s="188">
        <f t="shared" si="163"/>
        <v>0.22568064125467405</v>
      </c>
      <c r="DP66" s="188">
        <f t="shared" si="164"/>
        <v>0.7788020117346206</v>
      </c>
      <c r="DQ66" s="188">
        <f t="shared" si="225"/>
        <v>0.95298425083485405</v>
      </c>
      <c r="DR66" s="188">
        <f t="shared" si="226"/>
        <v>0.36976559745501059</v>
      </c>
      <c r="DS66" s="188">
        <f t="shared" si="227"/>
        <v>2.4388638883870932</v>
      </c>
      <c r="DT66" s="188">
        <f t="shared" si="165"/>
        <v>3.9339163947148488</v>
      </c>
      <c r="DU66" s="188">
        <f t="shared" si="166"/>
        <v>1.0898154430931535</v>
      </c>
      <c r="DV66" s="188">
        <f t="shared" si="228"/>
        <v>100</v>
      </c>
      <c r="DW66" s="188">
        <f t="shared" si="229"/>
        <v>101.06412658372579</v>
      </c>
      <c r="DY66" s="181">
        <f t="shared" si="167"/>
        <v>64.668573333333342</v>
      </c>
      <c r="DZ66" s="181">
        <f t="shared" si="127"/>
        <v>4.5832358768696437</v>
      </c>
      <c r="EA66" s="185">
        <f t="shared" si="168"/>
        <v>2.9760227026590487E-2</v>
      </c>
      <c r="EB66" s="185">
        <f>AG66+AH66+AL66-Intermediate!FJ66-Intermediate!FM66</f>
        <v>0.57665392457787701</v>
      </c>
      <c r="EC66" s="185">
        <f>AI66+AJ66-Intermediate!FK66</f>
        <v>3.8981981937925068</v>
      </c>
      <c r="ED66" s="240">
        <f t="shared" si="169"/>
        <v>0.31098204751196473</v>
      </c>
      <c r="EE66" s="240">
        <f>Intermediate!FJ66+Intermediate!FK66+Intermediate!FM66</f>
        <v>0.71990199661803844</v>
      </c>
      <c r="EF66" s="240">
        <f t="shared" si="170"/>
        <v>4.5046123453969749</v>
      </c>
      <c r="EG66" s="240">
        <f t="shared" si="171"/>
        <v>69.251809210202993</v>
      </c>
      <c r="EH66" s="240">
        <f t="shared" si="172"/>
        <v>74.787305599729976</v>
      </c>
      <c r="EI66" s="181">
        <f t="shared" si="173"/>
        <v>74.787305599729962</v>
      </c>
      <c r="EK66" s="31">
        <f>DY66/Basicinfo!$G66*1000/100</f>
        <v>4.1986294335086116</v>
      </c>
      <c r="EL66" s="31">
        <f>DZ66/Basicinfo!$G66*1000/100</f>
        <v>0.29756817046431727</v>
      </c>
      <c r="EM66" s="220">
        <f>EG66/Basicinfo!$G66*1000/100</f>
        <v>4.4961976039729299</v>
      </c>
      <c r="EN66" s="220">
        <f>ED66/Basicinfo!$G66*1000/100</f>
        <v>2.0190616719597369E-2</v>
      </c>
      <c r="EO66" s="220">
        <f>EF66/Basicinfo!$G66*1000/100</f>
        <v>0.29246351055932779</v>
      </c>
      <c r="EP66" s="220">
        <f>EE66/Basicinfo!$G66*1000/100</f>
        <v>4.6739885487532738E-2</v>
      </c>
      <c r="EQ66" s="220">
        <f>EH66/Basicinfo!$G66*1000/100</f>
        <v>4.855591616739388</v>
      </c>
      <c r="ER66" s="31">
        <f>EI66/Basicinfo!$G66*1000/100</f>
        <v>4.8555916167393871</v>
      </c>
      <c r="ET66" s="188">
        <f t="shared" si="230"/>
        <v>86.469986871096523</v>
      </c>
      <c r="EU66" s="188">
        <f t="shared" si="231"/>
        <v>6.1283607426635145</v>
      </c>
      <c r="EV66" s="223">
        <f t="shared" si="232"/>
        <v>92.598347613760055</v>
      </c>
      <c r="EW66" s="223">
        <f t="shared" si="233"/>
        <v>0.41582197007654675</v>
      </c>
      <c r="EX66" s="223">
        <f t="shared" si="234"/>
        <v>6.0232312279120803</v>
      </c>
      <c r="EY66" s="223">
        <f t="shared" si="235"/>
        <v>0.96259918825132518</v>
      </c>
      <c r="EZ66" s="223">
        <f t="shared" si="236"/>
        <v>100.00000000000003</v>
      </c>
      <c r="FA66" s="188">
        <f t="shared" si="237"/>
        <v>100</v>
      </c>
      <c r="FC66" s="236">
        <f>Basicinfo!CT66</f>
        <v>7.1280148883374697</v>
      </c>
      <c r="FD66" s="181">
        <f>IF((Intermediate!CL66+Intermediate!CM66*3)/4&gt;11,(Intermediate!CL66+Intermediate!CM66*9)/10,(Intermediate!CL66+Intermediate!CM66*3)/4)</f>
        <v>4.0101514556306972</v>
      </c>
      <c r="FF66" s="31">
        <f t="shared" si="174"/>
        <v>0.31098204751196473</v>
      </c>
      <c r="FG66" s="31">
        <f t="shared" si="175"/>
        <v>0.12366703412292387</v>
      </c>
      <c r="FH66" s="31">
        <f t="shared" si="176"/>
        <v>0</v>
      </c>
      <c r="FI66" s="31">
        <f>(AI66-(P66*450/1000000))*Parameters!$C$153</f>
        <v>2.7603272644397192</v>
      </c>
      <c r="FJ66" s="31"/>
      <c r="FK66" s="31">
        <f t="shared" si="177"/>
        <v>2.9760227026590487E-2</v>
      </c>
      <c r="FL66" s="31">
        <f t="shared" si="178"/>
        <v>0.5854651473605369</v>
      </c>
      <c r="FM66" s="31">
        <f>AM66*Parameters!$C$154</f>
        <v>0.65321659940397547</v>
      </c>
      <c r="FN66" s="31">
        <f>AN66*Parameters!$C$154</f>
        <v>3.1872809256487349</v>
      </c>
      <c r="FO66" s="31">
        <f>AO66*Parameters!$C$154</f>
        <v>0.28441476412996908</v>
      </c>
      <c r="FP66" s="31">
        <f>AQ66*Parameters!$C$155</f>
        <v>64.668573333333342</v>
      </c>
      <c r="FQ66" s="31">
        <f t="shared" si="238"/>
        <v>72.60368734297775</v>
      </c>
      <c r="FS66" s="147">
        <f>DY66*Parameters!$C$155</f>
        <v>64.668573333333342</v>
      </c>
      <c r="FT66" s="147">
        <f>DZ66*Parameters!$C$154</f>
        <v>4.1249122891826797</v>
      </c>
      <c r="FU66" s="181">
        <f t="shared" si="239"/>
        <v>2.9760227026590487E-2</v>
      </c>
      <c r="FV66" s="181">
        <f t="shared" si="240"/>
        <v>0.57665392457787701</v>
      </c>
      <c r="FW66" s="31">
        <f t="shared" si="241"/>
        <v>2.7603272644397125</v>
      </c>
      <c r="FX66" s="181">
        <f t="shared" si="242"/>
        <v>0.31098204751196473</v>
      </c>
      <c r="FY66" s="147">
        <f>Intermediate!FJ66+Intermediate!FM66</f>
        <v>0.13247825690558385</v>
      </c>
      <c r="FZ66" s="181">
        <f t="shared" si="243"/>
        <v>3.3667414160441802</v>
      </c>
      <c r="GA66" s="147">
        <f t="shared" si="244"/>
        <v>68.793485622516016</v>
      </c>
      <c r="GB66" s="181">
        <f t="shared" si="245"/>
        <v>72.60368734297775</v>
      </c>
      <c r="GD66" s="147">
        <f>IF('River loads'!CH66&gt;0.99,1,0)</f>
        <v>0</v>
      </c>
      <c r="GE66" s="147">
        <f t="shared" si="179"/>
        <v>0</v>
      </c>
      <c r="GF66" s="147">
        <f t="shared" si="180"/>
        <v>0</v>
      </c>
      <c r="GG66" s="147">
        <f t="shared" si="181"/>
        <v>0</v>
      </c>
      <c r="GH66" s="147">
        <f t="shared" si="182"/>
        <v>0</v>
      </c>
      <c r="GI66" s="147">
        <f t="shared" si="183"/>
        <v>0</v>
      </c>
      <c r="GJ66" s="147">
        <f t="shared" si="184"/>
        <v>0</v>
      </c>
      <c r="GK66" s="147">
        <f t="shared" si="185"/>
        <v>0</v>
      </c>
      <c r="GL66" s="147">
        <f t="shared" si="186"/>
        <v>0</v>
      </c>
      <c r="GM66" s="270">
        <f t="shared" si="128"/>
        <v>0</v>
      </c>
      <c r="GN66" s="270">
        <f t="shared" si="129"/>
        <v>0</v>
      </c>
      <c r="GO66" s="147">
        <f t="shared" si="187"/>
        <v>0</v>
      </c>
      <c r="GP66" s="147">
        <f t="shared" si="246"/>
        <v>0</v>
      </c>
      <c r="GQ66" s="147"/>
      <c r="GR66" s="147">
        <f t="shared" si="247"/>
        <v>0</v>
      </c>
      <c r="GS66" s="147">
        <f t="shared" si="188"/>
        <v>0</v>
      </c>
      <c r="GT66" s="147">
        <f t="shared" si="189"/>
        <v>0</v>
      </c>
      <c r="GU66" s="147">
        <f t="shared" si="190"/>
        <v>0</v>
      </c>
      <c r="GV66" s="147">
        <f t="shared" si="191"/>
        <v>0</v>
      </c>
      <c r="GW66" s="147">
        <f t="shared" si="192"/>
        <v>0</v>
      </c>
      <c r="GX66" s="147">
        <f t="shared" si="193"/>
        <v>0</v>
      </c>
      <c r="GY66" s="147">
        <f t="shared" si="194"/>
        <v>0</v>
      </c>
      <c r="GZ66" s="147">
        <f t="shared" si="130"/>
        <v>0</v>
      </c>
      <c r="HA66" s="147">
        <f t="shared" si="131"/>
        <v>0</v>
      </c>
      <c r="HB66" s="147">
        <f t="shared" si="195"/>
        <v>0</v>
      </c>
      <c r="HC66" s="147">
        <f t="shared" si="196"/>
        <v>0</v>
      </c>
      <c r="HD66" s="147"/>
      <c r="HE66" s="147">
        <f t="shared" si="197"/>
        <v>0</v>
      </c>
      <c r="HF66" s="147">
        <f t="shared" si="198"/>
        <v>0</v>
      </c>
      <c r="HG66" s="147">
        <f t="shared" si="199"/>
        <v>0</v>
      </c>
      <c r="HH66" s="147">
        <f t="shared" si="200"/>
        <v>0</v>
      </c>
      <c r="HI66" s="147">
        <f t="shared" si="201"/>
        <v>0</v>
      </c>
      <c r="HJ66" s="147">
        <f t="shared" si="202"/>
        <v>0</v>
      </c>
      <c r="HK66" s="147">
        <f t="shared" si="203"/>
        <v>0</v>
      </c>
      <c r="HL66" s="147">
        <f t="shared" si="204"/>
        <v>0</v>
      </c>
      <c r="HM66" s="147">
        <f t="shared" si="205"/>
        <v>0</v>
      </c>
      <c r="HN66" s="147">
        <f t="shared" si="206"/>
        <v>0</v>
      </c>
      <c r="HO66" s="147">
        <f t="shared" si="207"/>
        <v>0</v>
      </c>
      <c r="HQ66" s="147">
        <f t="shared" si="248"/>
        <v>0</v>
      </c>
      <c r="HR66" s="147">
        <f t="shared" si="208"/>
        <v>0</v>
      </c>
      <c r="HS66" s="147">
        <f t="shared" si="209"/>
        <v>0</v>
      </c>
      <c r="HT66" s="147">
        <f t="shared" si="210"/>
        <v>0</v>
      </c>
      <c r="HU66" s="147">
        <f t="shared" si="211"/>
        <v>0</v>
      </c>
      <c r="HV66" s="147">
        <f t="shared" si="212"/>
        <v>0</v>
      </c>
      <c r="HW66" s="147">
        <f t="shared" si="213"/>
        <v>0</v>
      </c>
      <c r="HX66" s="147">
        <f t="shared" si="214"/>
        <v>0</v>
      </c>
      <c r="HY66" s="147">
        <f t="shared" si="215"/>
        <v>0</v>
      </c>
      <c r="HZ66" s="147">
        <f t="shared" si="216"/>
        <v>0</v>
      </c>
      <c r="IB66" s="147">
        <f>IF('River loads'!CI66&gt;0.99,1,0)</f>
        <v>0</v>
      </c>
      <c r="IC66">
        <f t="shared" si="144"/>
        <v>0</v>
      </c>
      <c r="ID66">
        <f t="shared" si="145"/>
        <v>0</v>
      </c>
      <c r="IE66">
        <f t="shared" si="146"/>
        <v>0</v>
      </c>
      <c r="IF66">
        <f t="shared" si="147"/>
        <v>0</v>
      </c>
      <c r="IG66">
        <f t="shared" si="148"/>
        <v>0</v>
      </c>
      <c r="IH66">
        <f t="shared" si="149"/>
        <v>0</v>
      </c>
      <c r="II66">
        <f t="shared" si="150"/>
        <v>0</v>
      </c>
      <c r="IJ66">
        <f t="shared" si="151"/>
        <v>0</v>
      </c>
      <c r="IK66">
        <f t="shared" si="132"/>
        <v>0</v>
      </c>
      <c r="IL66">
        <f t="shared" si="133"/>
        <v>0</v>
      </c>
      <c r="IM66">
        <f t="shared" si="249"/>
        <v>0</v>
      </c>
      <c r="IN66">
        <f t="shared" si="250"/>
        <v>0</v>
      </c>
      <c r="IP66">
        <f t="shared" si="251"/>
        <v>0</v>
      </c>
      <c r="IQ66">
        <f t="shared" si="217"/>
        <v>0</v>
      </c>
      <c r="IR66">
        <f t="shared" si="218"/>
        <v>0</v>
      </c>
      <c r="IS66">
        <f t="shared" si="219"/>
        <v>0</v>
      </c>
      <c r="IT66">
        <f t="shared" si="220"/>
        <v>0</v>
      </c>
      <c r="IU66">
        <f t="shared" si="221"/>
        <v>0</v>
      </c>
      <c r="IV66">
        <f t="shared" si="222"/>
        <v>0</v>
      </c>
      <c r="IW66">
        <f t="shared" si="223"/>
        <v>0</v>
      </c>
      <c r="IX66">
        <f t="shared" si="224"/>
        <v>0</v>
      </c>
    </row>
    <row r="67" spans="1:258">
      <c r="A67" s="39" t="str">
        <f>Basicinfo!A67</f>
        <v>Donau</v>
      </c>
      <c r="B67" s="63">
        <f>Basicinfo!B67</f>
        <v>5020</v>
      </c>
      <c r="C67" s="63">
        <f>Basicinfo!C67</f>
        <v>0</v>
      </c>
      <c r="D67" s="130">
        <f>Basicinfo!G67</f>
        <v>390.66922503799998</v>
      </c>
      <c r="E67" s="87">
        <f t="shared" si="153"/>
        <v>5.7336586747770806</v>
      </c>
      <c r="F67" s="19">
        <f>Intermediate!AR67</f>
        <v>0.11471544869547246</v>
      </c>
      <c r="G67" s="19">
        <f>Intermediate!AU67</f>
        <v>1.0595215645081135</v>
      </c>
      <c r="H67" s="19">
        <f>Intermediate!AW67</f>
        <v>0</v>
      </c>
      <c r="I67" s="19">
        <f>Intermediate!AZ67</f>
        <v>5.3697589934763841E-3</v>
      </c>
      <c r="J67" s="19">
        <f>Intermediate!BA67</f>
        <v>4.4310579896190889</v>
      </c>
      <c r="K67" s="19">
        <f>Intermediate!AC67</f>
        <v>7.5744655924573677E-3</v>
      </c>
      <c r="L67" s="19">
        <f>Intermediate!AO67</f>
        <v>1.9280156706309483E-2</v>
      </c>
      <c r="M67" s="19">
        <f>Intermediate!AP67</f>
        <v>9.415254692688467E-3</v>
      </c>
      <c r="N67" s="19">
        <f t="shared" si="119"/>
        <v>5.6469346388076067</v>
      </c>
      <c r="O67" s="19">
        <f>Basicinfo!CB67+Basicinfo!CG67</f>
        <v>8.6724035969474034E-2</v>
      </c>
      <c r="P67" s="56">
        <f>Intermediate!BK67-Intermediate!BI67</f>
        <v>2852.1768759073429</v>
      </c>
      <c r="Q67" s="43">
        <f>Intermediate!BI67</f>
        <v>3387.3354224047398</v>
      </c>
      <c r="R67" s="88">
        <f t="shared" si="134"/>
        <v>6239.5122983120827</v>
      </c>
      <c r="S67" s="61">
        <f>Intermediate!F67*Intermediate!BO67/1000</f>
        <v>24.019956672606764</v>
      </c>
      <c r="T67" s="19">
        <f>Intermediate!BU67*Intermediate!AU67*86.4*0.365</f>
        <v>53.656447932059429</v>
      </c>
      <c r="U67" s="19">
        <f>Intermediate!AW67*Intermediate!BS67*0.365*86.4</f>
        <v>0</v>
      </c>
      <c r="V67" s="19">
        <f>(Basicinfo!BL67/1000000)*(Intermediate!BK67-Intermediate!BF67-Intermediate!BG67-Intermediate!BH67)*Intermediate!CV67</f>
        <v>16.91509150018604</v>
      </c>
      <c r="W67" s="19">
        <f>Intermediate!BI67*Parameters!$C$51/1000000</f>
        <v>8.4683385560118493E-2</v>
      </c>
      <c r="X67" s="19">
        <f>Intermediate!AZ67*Intermediate!CG67*86.4*0.365</f>
        <v>2.8752387726990998</v>
      </c>
      <c r="Y67" s="19">
        <f>Intermediate!CM67*Intermediate!BA67*86.4*0.365+Parameters!$C$126*Intermediate!BB67*Basicinfo!P67/1000+Parameters!$C$127*Intermediate!BB67*Basicinfo!S67/1000</f>
        <v>286.8526395594784</v>
      </c>
      <c r="Z67" s="19">
        <f>Intermediate!DG67</f>
        <v>0.6609965983484265</v>
      </c>
      <c r="AA67" s="19">
        <f>Intermediate!DI67</f>
        <v>4.669728784588882</v>
      </c>
      <c r="AB67" s="19">
        <f>Intermediate!DK67</f>
        <v>0.95171179658443894</v>
      </c>
      <c r="AC67" s="19">
        <f t="shared" si="120"/>
        <v>390.6864950021116</v>
      </c>
      <c r="AD67" s="19">
        <f>Basicinfo!CC67+Basicinfo!CE67+Basicinfo!CH67+Basicinfo!CJ67</f>
        <v>19.492466363888894</v>
      </c>
      <c r="AE67" s="87">
        <f t="shared" si="135"/>
        <v>410.17896136600052</v>
      </c>
      <c r="AF67" s="56">
        <f>Intermediate!F67*Basicinfo!BD67/1000</f>
        <v>0.5941798552315859</v>
      </c>
      <c r="AG67" s="43">
        <f>Intermediate!CA67*Intermediate!AU67*86.4*0.365</f>
        <v>1.101112585277223</v>
      </c>
      <c r="AH67" s="43">
        <f>Intermediate!AW67*Intermediate!BZ67*0.365*86.4</f>
        <v>0</v>
      </c>
      <c r="AI67" s="43">
        <f>(Intermediate!CU67/1000000)*(Intermediate!BK67-Intermediate!BF67-Intermediate!BG67-Intermediate!BH67)*Intermediate!CW67</f>
        <v>9.7226405011584518</v>
      </c>
      <c r="AJ67" s="43">
        <f>Intermediate!BF67*Parameters!$C$52/1000000+(Intermediate!BG67+Intermediate!BH67)*Intermediate!CX67/1000000</f>
        <v>1.5243012724807059</v>
      </c>
      <c r="AK67" s="43">
        <f>Intermediate!AZ67*Intermediate!CH67*86.4*0.365</f>
        <v>1.5984076007184825E-2</v>
      </c>
      <c r="AL67" s="58">
        <f>Intermediate!CR67*Intermediate!BA67*86.4*0.365</f>
        <v>3.2965029084544875</v>
      </c>
      <c r="AM67" s="43">
        <f>Intermediate!DH67</f>
        <v>0.18674015633684266</v>
      </c>
      <c r="AN67" s="42">
        <f>Intermediate!DJ67</f>
        <v>0.95018649101297437</v>
      </c>
      <c r="AO67" s="42">
        <f>Intermediate!DL67</f>
        <v>0.16588567581315861</v>
      </c>
      <c r="AP67" s="42">
        <f t="shared" si="122"/>
        <v>17.557533521772612</v>
      </c>
      <c r="AQ67" s="43">
        <f>Basicinfo!CD67+Basicinfo!CF67+Basicinfo!CI67+Basicinfo!CK67</f>
        <v>2.1505147500000001</v>
      </c>
      <c r="AR67" s="83">
        <f t="shared" si="136"/>
        <v>19.708048271772611</v>
      </c>
      <c r="AS67" s="19">
        <f>F67*86400*365/(Basicinfo!G67*1000000)*1000</f>
        <v>9.2601775573915059</v>
      </c>
      <c r="AT67" s="19">
        <f>G67*86400*365/(Basicinfo!G67*1000000)*1000</f>
        <v>85.527781347706139</v>
      </c>
      <c r="AU67" s="19">
        <f>H67*86400*365/(Basicinfo!G67*1000000)*1000</f>
        <v>0</v>
      </c>
      <c r="AV67" s="19">
        <f>I67*86400*365/(Basicinfo!G67*1000000)*1000</f>
        <v>0.43346316721466777</v>
      </c>
      <c r="AW67" s="19">
        <f>J67*86400*365/(Basicinfo!G67*1000000)*1000</f>
        <v>357.68838650404427</v>
      </c>
      <c r="AX67" s="53">
        <f>K67*86400*365/(Basicinfo!G67*1000000)*1000</f>
        <v>0.61143374398252415</v>
      </c>
      <c r="AY67" s="53">
        <f>L67*86400*365/(Basicinfo!G67*1000000)*1000</f>
        <v>1.5563524918837273</v>
      </c>
      <c r="AZ67" s="53">
        <f>M67*86400*365/(Basicinfo!G67*1000000)*1000</f>
        <v>0.76002780090943289</v>
      </c>
      <c r="BA67" s="19">
        <f t="shared" si="123"/>
        <v>455.83762261313223</v>
      </c>
      <c r="BB67" s="19">
        <f>O67*86400*365/(Basicinfo!G67*1000000)*1000</f>
        <v>7.0006261641605096</v>
      </c>
      <c r="BC67" s="53">
        <f t="shared" si="137"/>
        <v>462.83824877729273</v>
      </c>
      <c r="BD67" s="56">
        <f>P67/(Basicinfo!G67*100)*1000</f>
        <v>73.007462403262366</v>
      </c>
      <c r="BE67" s="43">
        <f>Q67/(Basicinfo!G67*100)*1000</f>
        <v>86.705970301992863</v>
      </c>
      <c r="BF67" s="58">
        <f t="shared" si="138"/>
        <v>159.71343270525523</v>
      </c>
      <c r="BG67" s="61">
        <f>S67/(Basicinfo!G67*100)*1000000</f>
        <v>614.84128088846421</v>
      </c>
      <c r="BH67" s="19">
        <f>T67/(Basicinfo!G67*100)*1000000</f>
        <v>1373.4495704605429</v>
      </c>
      <c r="BI67" s="19">
        <f>U67/(Basicinfo!G67*100)*1000000</f>
        <v>0</v>
      </c>
      <c r="BJ67" s="19">
        <f>V67/(Basicinfo!G67*100)*1000000</f>
        <v>432.97732240210956</v>
      </c>
      <c r="BK67" s="19">
        <f>W67/(Basicinfo!G67*100)*1000000</f>
        <v>2.1676492575498219</v>
      </c>
      <c r="BL67" s="19">
        <f>X67/(Basicinfo!G67*100)*1000000</f>
        <v>73.597780127662432</v>
      </c>
      <c r="BM67" s="19">
        <f>Y67/(Basicinfo!G67*100)*1000000</f>
        <v>7342.5962726287571</v>
      </c>
      <c r="BN67" s="53">
        <f>Z67/(Basicinfo!G67*100)*1000000</f>
        <v>16.919597346940549</v>
      </c>
      <c r="BO67" s="53">
        <f>AA67/(Basicinfo!G67*100)*1000000</f>
        <v>119.53152399282699</v>
      </c>
      <c r="BP67" s="53">
        <f>AB67/(Basicinfo!G67*100)*1000000</f>
        <v>24.361063927978122</v>
      </c>
      <c r="BQ67" s="19">
        <f t="shared" si="125"/>
        <v>10000.442061032832</v>
      </c>
      <c r="BR67" s="19">
        <f>AD67/(Basicinfo!G67*100)*1000000</f>
        <v>498.95064967026468</v>
      </c>
      <c r="BS67" s="53">
        <f t="shared" si="139"/>
        <v>10499.392710703098</v>
      </c>
      <c r="BT67" s="56">
        <f>AF67/(Basicinfo!G67*100)*1000000</f>
        <v>15.209282358337559</v>
      </c>
      <c r="BU67" s="43">
        <f>AG67/(Basicinfo!G67*100)*1000000</f>
        <v>28.185291154431702</v>
      </c>
      <c r="BV67" s="43">
        <f>AH67/(Basicinfo!G67*100)*1000000</f>
        <v>0</v>
      </c>
      <c r="BW67" s="43">
        <f>AI67/(Basicinfo!G67*100)*1000000</f>
        <v>248.87142057869389</v>
      </c>
      <c r="BX67" s="43">
        <f>AJ67/(Basicinfo!G67*100)*1000000</f>
        <v>39.017695144336969</v>
      </c>
      <c r="BY67" s="58">
        <f>AK67/(Basicinfo!G67*100)*1000000</f>
        <v>0.40914602386789156</v>
      </c>
      <c r="BZ67" s="58">
        <f>AL67/(Basicinfo!G67*100)*1000000</f>
        <v>84.380921177854233</v>
      </c>
      <c r="CA67" s="58">
        <f>AM67/(Basicinfo!G67*100)*1000000</f>
        <v>4.7800068285050772</v>
      </c>
      <c r="CB67" s="58">
        <f>AN67/(Basicinfo!G67*100)*1000000</f>
        <v>24.32202052569026</v>
      </c>
      <c r="CC67" s="58">
        <f>AO67/(Basicinfo!G67*100)*1000000</f>
        <v>4.2461925634665247</v>
      </c>
      <c r="CD67" s="58">
        <f t="shared" si="126"/>
        <v>449.42197635518414</v>
      </c>
      <c r="CE67" s="58">
        <f>AQ67/(Basicinfo!G67*100)*1000000</f>
        <v>55.046945399674662</v>
      </c>
      <c r="CF67" s="43">
        <f t="shared" si="140"/>
        <v>504.4689217548588</v>
      </c>
      <c r="CG67" s="84"/>
      <c r="CH67" s="84">
        <f t="shared" si="154"/>
        <v>19.492466363888894</v>
      </c>
      <c r="CI67" s="146">
        <f t="shared" si="152"/>
        <v>6.2824371795217475</v>
      </c>
      <c r="CJ67" s="200">
        <f>Intermediate!EW67+Intermediate!EY67+Intermediate!FD67</f>
        <v>52.718616855506156</v>
      </c>
      <c r="CK67" s="180">
        <f>Intermediate!FA67+Intermediate!FF67</f>
        <v>26.084389617775706</v>
      </c>
      <c r="CL67" s="180">
        <f t="shared" si="141"/>
        <v>2.8752387726990998</v>
      </c>
      <c r="CM67" s="180">
        <f t="shared" si="142"/>
        <v>185.69273390255313</v>
      </c>
      <c r="CN67" s="202">
        <f>Intermediate!EX67+Intermediate!EZ67+Intermediate!FE67</f>
        <v>34.97883113175493</v>
      </c>
      <c r="CO67" s="180">
        <f>Intermediate!FB67+Intermediate!FG67</f>
        <v>17.494447410233619</v>
      </c>
      <c r="CP67" s="213">
        <f>Intermediate!EP67+Intermediate!EQ67+Intermediate!ER67+Intermediate!ES67+Intermediate!ET67+Intermediate!EU67+Intermediate!EV67+W67</f>
        <v>64.559800132067224</v>
      </c>
      <c r="CQ67" s="212">
        <f t="shared" si="155"/>
        <v>52.473278541988549</v>
      </c>
      <c r="CR67" s="212">
        <f t="shared" si="156"/>
        <v>267.3709791485341</v>
      </c>
      <c r="CS67" s="211">
        <f t="shared" si="143"/>
        <v>20.15346296223732</v>
      </c>
      <c r="CT67" s="212">
        <f t="shared" si="157"/>
        <v>404.5575207848272</v>
      </c>
      <c r="CU67" s="84"/>
      <c r="CV67" s="31">
        <f t="shared" si="158"/>
        <v>410.17896136600052</v>
      </c>
      <c r="CW67" s="31">
        <f>CH67/Basicinfo!$G67*1000/100</f>
        <v>0.49895064967026476</v>
      </c>
      <c r="CX67" s="31">
        <f>CI67/Basicinfo!$G67*1000/100</f>
        <v>0.16081218526774566</v>
      </c>
      <c r="CY67" s="31">
        <f>CS67/Basicinfo!$G67*1000/100</f>
        <v>0.51587024701720519</v>
      </c>
      <c r="CZ67" s="31">
        <f>CN67/Basicinfo!$G67*1000/100</f>
        <v>0.89535670818075264</v>
      </c>
      <c r="DA67" s="31">
        <f>CO67/Basicinfo!$G67*1000/100</f>
        <v>0.44780715472358879</v>
      </c>
      <c r="DB67" s="31">
        <f>CQ67/Basicinfo!$G67*1000/100</f>
        <v>1.3431638629043414</v>
      </c>
      <c r="DC67" s="31">
        <f>CJ67/Basicinfo!$G67*1000/100</f>
        <v>1.3494438127389807</v>
      </c>
      <c r="DD67" s="31">
        <f>CK67/Basicinfo!$G67*1000/100</f>
        <v>0.66768478154987776</v>
      </c>
      <c r="DE67" s="31">
        <f>CM67/Basicinfo!$G67*1000/100</f>
        <v>4.7531958496216591</v>
      </c>
      <c r="DF67" s="31">
        <f>CR67/Basicinfo!$G67*1000/100</f>
        <v>6.8439222240381801</v>
      </c>
      <c r="DG67" s="31">
        <f>CP67/Basicinfo!$G67*1000/100</f>
        <v>1.6525437888225665</v>
      </c>
      <c r="DH67" s="31">
        <f>CT67/Basicinfo!$G67*1000/100</f>
        <v>10.355500122782294</v>
      </c>
      <c r="DI67" s="31">
        <f>CV67/Basicinfo!$G67*1000/100</f>
        <v>10.499392710703098</v>
      </c>
      <c r="DJ67" s="31"/>
      <c r="DK67" s="188">
        <f t="shared" si="159"/>
        <v>4.8182187606039806</v>
      </c>
      <c r="DL67" s="188">
        <f t="shared" si="160"/>
        <v>1.552915681145673</v>
      </c>
      <c r="DM67" s="188">
        <f t="shared" si="161"/>
        <v>4.9816063048686674</v>
      </c>
      <c r="DN67" s="188">
        <f t="shared" si="162"/>
        <v>8.6461947522066183</v>
      </c>
      <c r="DO67" s="188">
        <f t="shared" si="163"/>
        <v>4.3243411657000008</v>
      </c>
      <c r="DP67" s="188">
        <f t="shared" si="164"/>
        <v>12.97053591790662</v>
      </c>
      <c r="DQ67" s="188">
        <f t="shared" si="225"/>
        <v>13.031179534923467</v>
      </c>
      <c r="DR67" s="188">
        <f t="shared" si="226"/>
        <v>6.4476343356991404</v>
      </c>
      <c r="DS67" s="188">
        <f t="shared" si="227"/>
        <v>45.90020562275442</v>
      </c>
      <c r="DT67" s="188">
        <f t="shared" si="165"/>
        <v>66.089731474981335</v>
      </c>
      <c r="DU67" s="188">
        <f t="shared" si="166"/>
        <v>15.958126302243375</v>
      </c>
      <c r="DV67" s="188">
        <f t="shared" si="228"/>
        <v>100</v>
      </c>
      <c r="DW67" s="188">
        <f t="shared" si="229"/>
        <v>101.38952813688098</v>
      </c>
      <c r="DY67" s="181">
        <f t="shared" si="167"/>
        <v>2.1505147500000001</v>
      </c>
      <c r="DZ67" s="181">
        <f t="shared" si="127"/>
        <v>1.3028123231629756</v>
      </c>
      <c r="EA67" s="185">
        <f t="shared" si="168"/>
        <v>1.5984076007184825E-2</v>
      </c>
      <c r="EB67" s="185">
        <f>AG67+AH67+AL67-Intermediate!FJ67-Intermediate!FM67</f>
        <v>3.3706135076343049</v>
      </c>
      <c r="EC67" s="185">
        <f>AI67+AJ67-Intermediate!FK67</f>
        <v>9.4456504212148928</v>
      </c>
      <c r="ED67" s="240">
        <f t="shared" si="169"/>
        <v>0.5941798552315859</v>
      </c>
      <c r="EE67" s="240">
        <f>Intermediate!FJ67+Intermediate!FK67+Intermediate!FM67</f>
        <v>2.8282933385216715</v>
      </c>
      <c r="EF67" s="240">
        <f t="shared" si="170"/>
        <v>12.83224800485638</v>
      </c>
      <c r="EG67" s="240">
        <f t="shared" si="171"/>
        <v>3.4533270731629759</v>
      </c>
      <c r="EH67" s="240">
        <f t="shared" si="172"/>
        <v>19.708048271772615</v>
      </c>
      <c r="EI67" s="181">
        <f t="shared" si="173"/>
        <v>19.708048271772611</v>
      </c>
      <c r="EK67" s="31">
        <f>DY67/Basicinfo!$G67*1000/100</f>
        <v>5.5046945399674668E-2</v>
      </c>
      <c r="EL67" s="31">
        <f>DZ67/Basicinfo!$G67*1000/100</f>
        <v>3.3348219917661862E-2</v>
      </c>
      <c r="EM67" s="220">
        <f>EG67/Basicinfo!$G67*1000/100</f>
        <v>8.8395165317336544E-2</v>
      </c>
      <c r="EN67" s="220">
        <f>ED67/Basicinfo!$G67*1000/100</f>
        <v>1.5209282358337559E-2</v>
      </c>
      <c r="EO67" s="220">
        <f>EF67/Basicinfo!$G67*1000/100</f>
        <v>0.32846836101840887</v>
      </c>
      <c r="EP67" s="220">
        <f>EE67/Basicinfo!$G67*1000/100</f>
        <v>7.2396113060775813E-2</v>
      </c>
      <c r="EQ67" s="220">
        <f>EH67/Basicinfo!$G67*1000/100</f>
        <v>0.5044689217548588</v>
      </c>
      <c r="ER67" s="31">
        <f>EI67/Basicinfo!$G67*1000/100</f>
        <v>0.5044689217548588</v>
      </c>
      <c r="ET67" s="188">
        <f t="shared" si="230"/>
        <v>10.91186057769167</v>
      </c>
      <c r="EU67" s="188">
        <f t="shared" si="231"/>
        <v>6.6105598342224665</v>
      </c>
      <c r="EV67" s="223">
        <f t="shared" si="232"/>
        <v>17.522420411914137</v>
      </c>
      <c r="EW67" s="223">
        <f t="shared" si="233"/>
        <v>3.0149096807450793</v>
      </c>
      <c r="EX67" s="223">
        <f t="shared" si="234"/>
        <v>65.111713894245497</v>
      </c>
      <c r="EY67" s="223">
        <f t="shared" si="235"/>
        <v>14.350956013095276</v>
      </c>
      <c r="EZ67" s="223">
        <f t="shared" si="236"/>
        <v>100</v>
      </c>
      <c r="FA67" s="188">
        <f t="shared" si="237"/>
        <v>100</v>
      </c>
      <c r="FC67" s="236">
        <f>Basicinfo!CT67</f>
        <v>5.4232123655913984</v>
      </c>
      <c r="FD67" s="181">
        <f>IF((Intermediate!CL67+Intermediate!CM67*3)/4&gt;11,(Intermediate!CL67+Intermediate!CM67*9)/10,(Intermediate!CL67+Intermediate!CM67*3)/4)</f>
        <v>2.8510465780332952</v>
      </c>
      <c r="FF67" s="31">
        <f t="shared" si="174"/>
        <v>0.5941798552315859</v>
      </c>
      <c r="FG67" s="31">
        <f t="shared" si="175"/>
        <v>1.101112585277223</v>
      </c>
      <c r="FH67" s="31">
        <f t="shared" si="176"/>
        <v>0</v>
      </c>
      <c r="FI67" s="31">
        <f>(AI67-(P67*450/1000000))*Parameters!$C$153</f>
        <v>6.7513287256001178</v>
      </c>
      <c r="FJ67" s="31"/>
      <c r="FK67" s="31">
        <f t="shared" si="177"/>
        <v>1.5984076007184825E-2</v>
      </c>
      <c r="FL67" s="31">
        <f t="shared" si="178"/>
        <v>3.2965029084544875</v>
      </c>
      <c r="FM67" s="31">
        <f>AM67*Parameters!$C$154</f>
        <v>0.1680661407031584</v>
      </c>
      <c r="FN67" s="31">
        <f>AN67*Parameters!$C$154</f>
        <v>0.85516784191167694</v>
      </c>
      <c r="FO67" s="31">
        <f>AO67*Parameters!$C$154</f>
        <v>0.14929710823184275</v>
      </c>
      <c r="FP67" s="31">
        <f>AQ67*Parameters!$C$155</f>
        <v>2.1505147500000001</v>
      </c>
      <c r="FQ67" s="31">
        <f t="shared" si="238"/>
        <v>15.082153991417275</v>
      </c>
      <c r="FS67" s="147">
        <f>DY67*Parameters!$C$155</f>
        <v>2.1505147500000001</v>
      </c>
      <c r="FT67" s="147">
        <f>DZ67*Parameters!$C$154</f>
        <v>1.1725310908466779</v>
      </c>
      <c r="FU67" s="181">
        <f t="shared" si="239"/>
        <v>1.5984076007184825E-2</v>
      </c>
      <c r="FV67" s="181">
        <f t="shared" si="240"/>
        <v>3.3706135076343049</v>
      </c>
      <c r="FW67" s="31">
        <f t="shared" si="241"/>
        <v>6.7513287256001169</v>
      </c>
      <c r="FX67" s="181">
        <f t="shared" si="242"/>
        <v>0.5941798552315859</v>
      </c>
      <c r="FY67" s="147">
        <f>Intermediate!FJ67+Intermediate!FM67</f>
        <v>1.0270019860974058</v>
      </c>
      <c r="FZ67" s="181">
        <f t="shared" si="243"/>
        <v>10.137926309241607</v>
      </c>
      <c r="GA67" s="147">
        <f t="shared" si="244"/>
        <v>3.3230458408466781</v>
      </c>
      <c r="GB67" s="181">
        <f t="shared" si="245"/>
        <v>15.082153991417277</v>
      </c>
      <c r="GD67" s="147">
        <f>IF('River loads'!CH67&gt;0.99,1,0)</f>
        <v>0</v>
      </c>
      <c r="GE67" s="147">
        <f t="shared" si="179"/>
        <v>0</v>
      </c>
      <c r="GF67" s="147">
        <f t="shared" si="180"/>
        <v>0</v>
      </c>
      <c r="GG67" s="147">
        <f t="shared" si="181"/>
        <v>0</v>
      </c>
      <c r="GH67" s="147">
        <f t="shared" si="182"/>
        <v>0</v>
      </c>
      <c r="GI67" s="147">
        <f t="shared" si="183"/>
        <v>0</v>
      </c>
      <c r="GJ67" s="147">
        <f t="shared" si="184"/>
        <v>0</v>
      </c>
      <c r="GK67" s="147">
        <f t="shared" si="185"/>
        <v>0</v>
      </c>
      <c r="GL67" s="147">
        <f t="shared" si="186"/>
        <v>0</v>
      </c>
      <c r="GM67" s="270">
        <f t="shared" si="128"/>
        <v>0</v>
      </c>
      <c r="GN67" s="270">
        <f t="shared" si="129"/>
        <v>0</v>
      </c>
      <c r="GO67" s="147">
        <f t="shared" si="187"/>
        <v>0</v>
      </c>
      <c r="GP67" s="147">
        <f t="shared" si="246"/>
        <v>0</v>
      </c>
      <c r="GQ67" s="147"/>
      <c r="GR67" s="147">
        <f t="shared" si="247"/>
        <v>0</v>
      </c>
      <c r="GS67" s="147">
        <f t="shared" si="188"/>
        <v>0</v>
      </c>
      <c r="GT67" s="147">
        <f t="shared" si="189"/>
        <v>0</v>
      </c>
      <c r="GU67" s="147">
        <f t="shared" si="190"/>
        <v>0</v>
      </c>
      <c r="GV67" s="147">
        <f t="shared" si="191"/>
        <v>0</v>
      </c>
      <c r="GW67" s="147">
        <f t="shared" si="192"/>
        <v>0</v>
      </c>
      <c r="GX67" s="147">
        <f t="shared" si="193"/>
        <v>0</v>
      </c>
      <c r="GY67" s="147">
        <f t="shared" si="194"/>
        <v>0</v>
      </c>
      <c r="GZ67" s="147">
        <f t="shared" si="130"/>
        <v>0</v>
      </c>
      <c r="HA67" s="147">
        <f t="shared" si="131"/>
        <v>0</v>
      </c>
      <c r="HB67" s="147">
        <f t="shared" si="195"/>
        <v>0</v>
      </c>
      <c r="HC67" s="147">
        <f t="shared" si="196"/>
        <v>0</v>
      </c>
      <c r="HD67" s="147"/>
      <c r="HE67" s="147">
        <f t="shared" si="197"/>
        <v>0</v>
      </c>
      <c r="HF67" s="147">
        <f t="shared" si="198"/>
        <v>0</v>
      </c>
      <c r="HG67" s="147">
        <f t="shared" si="199"/>
        <v>0</v>
      </c>
      <c r="HH67" s="147">
        <f t="shared" si="200"/>
        <v>0</v>
      </c>
      <c r="HI67" s="147">
        <f t="shared" si="201"/>
        <v>0</v>
      </c>
      <c r="HJ67" s="147">
        <f t="shared" si="202"/>
        <v>0</v>
      </c>
      <c r="HK67" s="147">
        <f t="shared" si="203"/>
        <v>0</v>
      </c>
      <c r="HL67" s="147">
        <f t="shared" si="204"/>
        <v>0</v>
      </c>
      <c r="HM67" s="147">
        <f t="shared" si="205"/>
        <v>0</v>
      </c>
      <c r="HN67" s="147">
        <f t="shared" si="206"/>
        <v>0</v>
      </c>
      <c r="HO67" s="147">
        <f t="shared" si="207"/>
        <v>0</v>
      </c>
      <c r="HQ67" s="147">
        <f t="shared" si="248"/>
        <v>0</v>
      </c>
      <c r="HR67" s="147">
        <f t="shared" si="208"/>
        <v>0</v>
      </c>
      <c r="HS67" s="147">
        <f t="shared" si="209"/>
        <v>0</v>
      </c>
      <c r="HT67" s="147">
        <f t="shared" si="210"/>
        <v>0</v>
      </c>
      <c r="HU67" s="147">
        <f t="shared" si="211"/>
        <v>0</v>
      </c>
      <c r="HV67" s="147">
        <f t="shared" si="212"/>
        <v>0</v>
      </c>
      <c r="HW67" s="147">
        <f t="shared" si="213"/>
        <v>0</v>
      </c>
      <c r="HX67" s="147">
        <f t="shared" si="214"/>
        <v>0</v>
      </c>
      <c r="HY67" s="147">
        <f t="shared" si="215"/>
        <v>0</v>
      </c>
      <c r="HZ67" s="147">
        <f t="shared" si="216"/>
        <v>0</v>
      </c>
      <c r="IB67" s="147">
        <f>IF('River loads'!CI67&gt;0.99,1,0)</f>
        <v>0</v>
      </c>
      <c r="IC67">
        <f t="shared" si="144"/>
        <v>0</v>
      </c>
      <c r="ID67">
        <f t="shared" si="145"/>
        <v>0</v>
      </c>
      <c r="IE67">
        <f t="shared" si="146"/>
        <v>0</v>
      </c>
      <c r="IF67">
        <f t="shared" si="147"/>
        <v>0</v>
      </c>
      <c r="IG67">
        <f t="shared" si="148"/>
        <v>0</v>
      </c>
      <c r="IH67">
        <f t="shared" si="149"/>
        <v>0</v>
      </c>
      <c r="II67">
        <f t="shared" si="150"/>
        <v>0</v>
      </c>
      <c r="IJ67">
        <f t="shared" si="151"/>
        <v>0</v>
      </c>
      <c r="IK67">
        <f t="shared" si="132"/>
        <v>0</v>
      </c>
      <c r="IL67">
        <f t="shared" si="133"/>
        <v>0</v>
      </c>
      <c r="IM67">
        <f t="shared" si="249"/>
        <v>0</v>
      </c>
      <c r="IN67">
        <f t="shared" si="250"/>
        <v>0</v>
      </c>
      <c r="IP67">
        <f t="shared" si="251"/>
        <v>0</v>
      </c>
      <c r="IQ67">
        <f t="shared" si="217"/>
        <v>0</v>
      </c>
      <c r="IR67">
        <f t="shared" si="218"/>
        <v>0</v>
      </c>
      <c r="IS67">
        <f t="shared" si="219"/>
        <v>0</v>
      </c>
      <c r="IT67">
        <f t="shared" si="220"/>
        <v>0</v>
      </c>
      <c r="IU67">
        <f t="shared" si="221"/>
        <v>0</v>
      </c>
      <c r="IV67">
        <f t="shared" si="222"/>
        <v>0</v>
      </c>
      <c r="IW67">
        <f t="shared" si="223"/>
        <v>0</v>
      </c>
      <c r="IX67">
        <f t="shared" si="224"/>
        <v>0</v>
      </c>
    </row>
    <row r="68" spans="1:258">
      <c r="A68" s="39" t="str">
        <f>Basicinfo!A68</f>
        <v>Talbach</v>
      </c>
      <c r="B68" s="63">
        <f>Basicinfo!B68</f>
        <v>1390</v>
      </c>
      <c r="C68" s="63">
        <f>Basicinfo!C68</f>
        <v>4050</v>
      </c>
      <c r="D68" s="130">
        <f>Basicinfo!G68</f>
        <v>134.82837281799999</v>
      </c>
      <c r="E68" s="87">
        <f t="shared" si="153"/>
        <v>5.2845489215161692</v>
      </c>
      <c r="F68" s="19">
        <f>Intermediate!AR68</f>
        <v>3.5798155581563733E-2</v>
      </c>
      <c r="G68" s="19">
        <f>Intermediate!AU68</f>
        <v>1.2964786652749751</v>
      </c>
      <c r="H68" s="19">
        <f>Intermediate!AW68</f>
        <v>1.8289391766463676E-3</v>
      </c>
      <c r="I68" s="19">
        <f>Intermediate!AZ68</f>
        <v>5.6753458126615561E-3</v>
      </c>
      <c r="J68" s="19">
        <f>Intermediate!BA68</f>
        <v>3.9417873422311991</v>
      </c>
      <c r="K68" s="19">
        <f>Intermediate!AC68</f>
        <v>8.7201601247279882E-4</v>
      </c>
      <c r="L68" s="19">
        <f>Intermediate!AO68</f>
        <v>1.0177531016791546E-3</v>
      </c>
      <c r="M68" s="19">
        <f>Intermediate!AP68</f>
        <v>1.0907043249719938E-3</v>
      </c>
      <c r="N68" s="19">
        <f t="shared" si="119"/>
        <v>5.2845489215161692</v>
      </c>
      <c r="O68" s="19">
        <f>Basicinfo!CB68+Basicinfo!CG68</f>
        <v>0</v>
      </c>
      <c r="P68" s="56">
        <f>Intermediate!BK68-Intermediate!BI68</f>
        <v>5.044026463406226</v>
      </c>
      <c r="Q68" s="43">
        <f>Intermediate!BI68</f>
        <v>737.84138048287889</v>
      </c>
      <c r="R68" s="88">
        <f t="shared" si="134"/>
        <v>742.88540694628512</v>
      </c>
      <c r="S68" s="61">
        <f>Intermediate!F68*Intermediate!BO68/1000</f>
        <v>1.1988626525230548</v>
      </c>
      <c r="T68" s="19">
        <f>Intermediate!BU68*Intermediate!AU68*86.4*0.365</f>
        <v>25.517553834187368</v>
      </c>
      <c r="U68" s="19">
        <f>Intermediate!AW68*Intermediate!BS68*0.365*86.4</f>
        <v>3.5988166229708747E-2</v>
      </c>
      <c r="V68" s="19">
        <f>(Basicinfo!BL68/1000000)*(Intermediate!BK68-Intermediate!BF68-Intermediate!BG68-Intermediate!BH68)*Intermediate!CV68</f>
        <v>3.4041485456532607E-2</v>
      </c>
      <c r="W68" s="19">
        <f>Intermediate!BI68*Parameters!$C$51/1000000</f>
        <v>1.8446034512071972E-2</v>
      </c>
      <c r="X68" s="19">
        <f>Intermediate!AZ68*Intermediate!CG68*86.4*0.365</f>
        <v>0.62032107742897691</v>
      </c>
      <c r="Y68" s="19">
        <f>Intermediate!CM68*Intermediate!BA68*86.4*0.365+Parameters!$C$126*Intermediate!BB68*Basicinfo!P68/1000+Parameters!$C$127*Intermediate!BB68*Basicinfo!S68/1000</f>
        <v>48.679128704913857</v>
      </c>
      <c r="Z68" s="19">
        <f>Intermediate!DG68</f>
        <v>4.6947388361244687E-2</v>
      </c>
      <c r="AA68" s="19">
        <f>Intermediate!DI68</f>
        <v>0.31907945018244221</v>
      </c>
      <c r="AB68" s="19">
        <f>Intermediate!DK68</f>
        <v>0.13242752124449148</v>
      </c>
      <c r="AC68" s="19">
        <f t="shared" si="120"/>
        <v>76.602796315039754</v>
      </c>
      <c r="AD68" s="19">
        <f>Basicinfo!CC68+Basicinfo!CE68+Basicinfo!CH68+Basicinfo!CJ68</f>
        <v>0</v>
      </c>
      <c r="AE68" s="87">
        <f t="shared" si="135"/>
        <v>76.602796315039754</v>
      </c>
      <c r="AF68" s="56">
        <f>Intermediate!F68*Basicinfo!BD68/1000</f>
        <v>5.1988997393268732E-2</v>
      </c>
      <c r="AG68" s="43">
        <f>Intermediate!CA68*Intermediate!AU68*86.4*0.365</f>
        <v>1.0892015772035755</v>
      </c>
      <c r="AH68" s="43">
        <f>Intermediate!AW68*Intermediate!BZ68*0.365*86.4</f>
        <v>1.4419356468679963E-3</v>
      </c>
      <c r="AI68" s="43">
        <f>(Intermediate!CU68/1000000)*(Intermediate!BK68-Intermediate!BF68-Intermediate!BG68-Intermediate!BH68)*Intermediate!CW68</f>
        <v>1.9103363961405478E-2</v>
      </c>
      <c r="AJ68" s="43">
        <f>Intermediate!BF68*Parameters!$C$52/1000000+(Intermediate!BG68+Intermediate!BH68)*Intermediate!CX68/1000000</f>
        <v>0.33416771124328087</v>
      </c>
      <c r="AK68" s="43">
        <f>Intermediate!AZ68*Intermediate!CH68*86.4*0.365</f>
        <v>0.12387360486409422</v>
      </c>
      <c r="AL68" s="58">
        <f>Intermediate!CR68*Intermediate!BA68*86.4*0.365</f>
        <v>4.5977466135302061</v>
      </c>
      <c r="AM68" s="43">
        <f>Intermediate!DH68</f>
        <v>1.4918119268506787E-2</v>
      </c>
      <c r="AN68" s="42">
        <f>Intermediate!DJ68</f>
        <v>5.9630177924089471E-2</v>
      </c>
      <c r="AO68" s="42">
        <f>Intermediate!DL68</f>
        <v>2.255700364856671E-2</v>
      </c>
      <c r="AP68" s="42">
        <f t="shared" si="122"/>
        <v>6.3146291046838616</v>
      </c>
      <c r="AQ68" s="43">
        <f>Basicinfo!CD68+Basicinfo!CF68+Basicinfo!CI68+Basicinfo!CK68</f>
        <v>0</v>
      </c>
      <c r="AR68" s="83">
        <f t="shared" si="136"/>
        <v>6.3146291046838616</v>
      </c>
      <c r="AS68" s="19">
        <f>F68*86400*365/(Basicinfo!G68*1000000)*1000</f>
        <v>8.3730939625304028</v>
      </c>
      <c r="AT68" s="19">
        <f>G68*86400*365/(Basicinfo!G68*1000000)*1000</f>
        <v>303.24293272679211</v>
      </c>
      <c r="AU68" s="19">
        <f>H68*86400*365/(Basicinfo!G68*1000000)*1000</f>
        <v>0.42778403884304489</v>
      </c>
      <c r="AV68" s="19">
        <f>I68*86400*365/(Basicinfo!G68*1000000)*1000</f>
        <v>1.3274483835067152</v>
      </c>
      <c r="AW68" s="19">
        <f>J68*86400*365/(Basicinfo!G68*1000000)*1000</f>
        <v>921.97363972049345</v>
      </c>
      <c r="AX68" s="53">
        <f>K68*86400*365/(Basicinfo!G68*1000000)*1000</f>
        <v>0.20396224025089521</v>
      </c>
      <c r="AY68" s="53">
        <f>L68*86400*365/(Basicinfo!G68*1000000)*1000</f>
        <v>0.23804976017828888</v>
      </c>
      <c r="AZ68" s="53">
        <f>M68*86400*365/(Basicinfo!G68*1000000)*1000</f>
        <v>0.25511285846894666</v>
      </c>
      <c r="BA68" s="19">
        <f t="shared" si="123"/>
        <v>1236.0420236910636</v>
      </c>
      <c r="BB68" s="19">
        <f>O68*86400*365/(Basicinfo!G68*1000000)*1000</f>
        <v>0</v>
      </c>
      <c r="BC68" s="53">
        <f t="shared" si="137"/>
        <v>1236.0420236910636</v>
      </c>
      <c r="BD68" s="56">
        <f>P68/(Basicinfo!G68*100)*1000</f>
        <v>0.37410719702261608</v>
      </c>
      <c r="BE68" s="43">
        <f>Q68/(Basicinfo!G68*100)*1000</f>
        <v>54.724488997494959</v>
      </c>
      <c r="BF68" s="58">
        <f t="shared" si="138"/>
        <v>55.098596194517576</v>
      </c>
      <c r="BG68" s="61">
        <f>S68/(Basicinfo!G68*100)*1000000</f>
        <v>88.917683085989381</v>
      </c>
      <c r="BH68" s="19">
        <f>T68/(Basicinfo!G68*100)*1000000</f>
        <v>1892.5952528280231</v>
      </c>
      <c r="BI68" s="19">
        <f>U68/(Basicinfo!G68*100)*1000000</f>
        <v>2.6691834572748192</v>
      </c>
      <c r="BJ68" s="19">
        <f>V68/(Basicinfo!G68*100)*1000000</f>
        <v>2.5248013266824776</v>
      </c>
      <c r="BK68" s="19">
        <f>W68/(Basicinfo!G68*100)*1000000</f>
        <v>1.3681122249373741</v>
      </c>
      <c r="BL68" s="19">
        <f>X68/(Basicinfo!G68*100)*1000000</f>
        <v>46.008200237373345</v>
      </c>
      <c r="BM68" s="19">
        <f>Y68/(Basicinfo!G68*100)*1000000</f>
        <v>3610.4513973942321</v>
      </c>
      <c r="BN68" s="53">
        <f>Z68/(Basicinfo!G68*100)*1000000</f>
        <v>3.4820110470825965</v>
      </c>
      <c r="BO68" s="53">
        <f>AA68/(Basicinfo!G68*100)*1000000</f>
        <v>23.66560120199301</v>
      </c>
      <c r="BP68" s="53">
        <f>AB68/(Basicinfo!G68*100)*1000000</f>
        <v>9.8219327636068599</v>
      </c>
      <c r="BQ68" s="19">
        <f t="shared" si="125"/>
        <v>5681.5041755671955</v>
      </c>
      <c r="BR68" s="19">
        <f>AD68/(Basicinfo!G68*100)*1000000</f>
        <v>0</v>
      </c>
      <c r="BS68" s="53">
        <f t="shared" si="139"/>
        <v>5681.5041755671955</v>
      </c>
      <c r="BT68" s="56">
        <f>AF68/(Basicinfo!G68*100)*1000000</f>
        <v>3.8559389471715146</v>
      </c>
      <c r="BU68" s="43">
        <f>AG68/(Basicinfo!G68*100)*1000000</f>
        <v>80.784300398985735</v>
      </c>
      <c r="BV68" s="43">
        <f>AH68/(Basicinfo!G68*100)*1000000</f>
        <v>0.10694600971076124</v>
      </c>
      <c r="BW68" s="43">
        <f>AI68/(Basicinfo!G68*100)*1000000</f>
        <v>1.4168652756191331</v>
      </c>
      <c r="BX68" s="43">
        <f>AJ68/(Basicinfo!G68*100)*1000000</f>
        <v>24.784672859203155</v>
      </c>
      <c r="BY68" s="58">
        <f>AK68/(Basicinfo!G68*100)*1000000</f>
        <v>9.187502769265544</v>
      </c>
      <c r="BZ68" s="58">
        <f>AL68/(Basicinfo!G68*100)*1000000</f>
        <v>341.00735011736293</v>
      </c>
      <c r="CA68" s="58">
        <f>AM68/(Basicinfo!G68*100)*1000000</f>
        <v>1.1064525186137359</v>
      </c>
      <c r="CB68" s="58">
        <f>AN68/(Basicinfo!G68*100)*1000000</f>
        <v>4.4226728156529873</v>
      </c>
      <c r="CC68" s="58">
        <f>AO68/(Basicinfo!G68*100)*1000000</f>
        <v>1.6730160853469325</v>
      </c>
      <c r="CD68" s="58">
        <f t="shared" si="126"/>
        <v>468.34571779693238</v>
      </c>
      <c r="CE68" s="58">
        <f>AQ68/(Basicinfo!G68*100)*1000000</f>
        <v>0</v>
      </c>
      <c r="CF68" s="43">
        <f t="shared" si="140"/>
        <v>468.34571779693238</v>
      </c>
      <c r="CG68" s="84"/>
      <c r="CH68" s="84">
        <f t="shared" si="154"/>
        <v>0</v>
      </c>
      <c r="CI68" s="146">
        <f t="shared" si="152"/>
        <v>0.49845435978817837</v>
      </c>
      <c r="CJ68" s="200">
        <f>Intermediate!EW68+Intermediate!EY68+Intermediate!FD68</f>
        <v>19.310438256517394</v>
      </c>
      <c r="CK68" s="180">
        <f>Intermediate!FA68+Intermediate!FF68</f>
        <v>2.5994600095541007</v>
      </c>
      <c r="CL68" s="180">
        <f t="shared" ref="CL68:CL84" si="252">X68</f>
        <v>0.62032107742897691</v>
      </c>
      <c r="CM68" s="180">
        <f t="shared" ref="CM68:CM84" si="253">S68+T68+U68+V68+Y68+W68-CN68-CO68-CJ68-CK68-CP68</f>
        <v>16.742482839495452</v>
      </c>
      <c r="CN68" s="202">
        <f>Intermediate!EX68+Intermediate!EZ68+Intermediate!FE68</f>
        <v>13.393454499635872</v>
      </c>
      <c r="CO68" s="180">
        <f>Intermediate!FB68+Intermediate!FG68</f>
        <v>1.6983867259753991</v>
      </c>
      <c r="CP68" s="213">
        <f>Intermediate!EP68+Intermediate!EQ68+Intermediate!ER68+Intermediate!ES68+Intermediate!ET68+Intermediate!EU68+Intermediate!EV68+W68</f>
        <v>21.739798546644373</v>
      </c>
      <c r="CQ68" s="212">
        <f t="shared" si="155"/>
        <v>15.091841225611272</v>
      </c>
      <c r="CR68" s="212">
        <f t="shared" si="156"/>
        <v>39.272702182995921</v>
      </c>
      <c r="CS68" s="211">
        <f t="shared" ref="CS68:CS84" si="254">Z68+AD68</f>
        <v>4.6947388361244687E-2</v>
      </c>
      <c r="CT68" s="212">
        <f t="shared" si="157"/>
        <v>76.151289343612802</v>
      </c>
      <c r="CU68" s="84"/>
      <c r="CV68" s="31">
        <f t="shared" si="158"/>
        <v>76.602796315039754</v>
      </c>
      <c r="CW68" s="31">
        <f>CH68/Basicinfo!$G68*1000/100</f>
        <v>0</v>
      </c>
      <c r="CX68" s="31">
        <f>CI68/Basicinfo!$G68*1000/100</f>
        <v>3.6969545012682466E-2</v>
      </c>
      <c r="CY68" s="31">
        <f>CS68/Basicinfo!$G68*1000/100</f>
        <v>3.4820110470825966E-3</v>
      </c>
      <c r="CZ68" s="31">
        <f>CN68/Basicinfo!$G68*1000/100</f>
        <v>0.99337062516620434</v>
      </c>
      <c r="DA68" s="31">
        <f>CO68/Basicinfo!$G68*1000/100</f>
        <v>0.12596656701241887</v>
      </c>
      <c r="DB68" s="31">
        <f>CQ68/Basicinfo!$G68*1000/100</f>
        <v>1.1193371921786233</v>
      </c>
      <c r="DC68" s="31">
        <f>CJ68/Basicinfo!$G68*1000/100</f>
        <v>1.4322236375709929</v>
      </c>
      <c r="DD68" s="31">
        <f>CK68/Basicinfo!$G68*1000/100</f>
        <v>0.19279769941769001</v>
      </c>
      <c r="DE68" s="31">
        <f>CM68/Basicinfo!$G68*1000/100</f>
        <v>1.2417625822789935</v>
      </c>
      <c r="DF68" s="31">
        <f>CR68/Basicinfo!$G68*1000/100</f>
        <v>2.9127921195050495</v>
      </c>
      <c r="DG68" s="31">
        <f>CP68/Basicinfo!$G68*1000/100</f>
        <v>1.6124053188708396</v>
      </c>
      <c r="DH68" s="31">
        <f>CT68/Basicinfo!$G68*1000/100</f>
        <v>5.6480166416015951</v>
      </c>
      <c r="DI68" s="31">
        <f>CV68/Basicinfo!$G68*1000/100</f>
        <v>5.6815041755671958</v>
      </c>
      <c r="DJ68" s="31"/>
      <c r="DK68" s="188">
        <f t="shared" si="159"/>
        <v>0</v>
      </c>
      <c r="DL68" s="188">
        <f t="shared" si="160"/>
        <v>0.65455800431563704</v>
      </c>
      <c r="DM68" s="188">
        <f t="shared" si="161"/>
        <v>6.1650155586213201E-2</v>
      </c>
      <c r="DN68" s="188">
        <f t="shared" si="162"/>
        <v>17.587954997323035</v>
      </c>
      <c r="DO68" s="188">
        <f t="shared" si="163"/>
        <v>2.2302796717096576</v>
      </c>
      <c r="DP68" s="188">
        <f t="shared" si="164"/>
        <v>19.818234669032694</v>
      </c>
      <c r="DQ68" s="188">
        <f t="shared" si="225"/>
        <v>25.357992521156252</v>
      </c>
      <c r="DR68" s="188">
        <f t="shared" si="226"/>
        <v>3.4135469431446084</v>
      </c>
      <c r="DS68" s="188">
        <f t="shared" si="227"/>
        <v>21.985816633976309</v>
      </c>
      <c r="DT68" s="188">
        <f t="shared" si="165"/>
        <v>51.571946478526598</v>
      </c>
      <c r="DU68" s="188">
        <f t="shared" si="166"/>
        <v>28.548168696854511</v>
      </c>
      <c r="DV68" s="188">
        <f t="shared" si="228"/>
        <v>100</v>
      </c>
      <c r="DW68" s="188">
        <f t="shared" si="229"/>
        <v>100.59290784872945</v>
      </c>
      <c r="DY68" s="181">
        <f t="shared" si="167"/>
        <v>0</v>
      </c>
      <c r="DZ68" s="181">
        <f t="shared" si="127"/>
        <v>9.7105300841162964E-2</v>
      </c>
      <c r="EA68" s="185">
        <f t="shared" si="168"/>
        <v>0.12387360486409422</v>
      </c>
      <c r="EB68" s="185">
        <f>AG68+AH68+AL68-Intermediate!FJ68-Intermediate!FM68</f>
        <v>4.6022974372969987</v>
      </c>
      <c r="EC68" s="185">
        <f>AI68+AJ68-Intermediate!FK68</f>
        <v>7.6139752687336415E-3</v>
      </c>
      <c r="ED68" s="240">
        <f t="shared" si="169"/>
        <v>5.1988997393268732E-2</v>
      </c>
      <c r="EE68" s="240">
        <f>Intermediate!FJ68+Intermediate!FK68+Intermediate!FM68</f>
        <v>1.431749789019604</v>
      </c>
      <c r="EF68" s="240">
        <f t="shared" si="170"/>
        <v>4.7337850174298257</v>
      </c>
      <c r="EG68" s="240">
        <f t="shared" si="171"/>
        <v>9.7105300841162964E-2</v>
      </c>
      <c r="EH68" s="240">
        <f t="shared" si="172"/>
        <v>6.3146291046838616</v>
      </c>
      <c r="EI68" s="181">
        <f t="shared" si="173"/>
        <v>6.3146291046838616</v>
      </c>
      <c r="EK68" s="31">
        <f>DY68/Basicinfo!$G68*1000/100</f>
        <v>0</v>
      </c>
      <c r="EL68" s="31">
        <f>DZ68/Basicinfo!$G68*1000/100</f>
        <v>7.2021414196136559E-3</v>
      </c>
      <c r="EM68" s="220">
        <f>EG68/Basicinfo!$G68*1000/100</f>
        <v>7.2021414196136559E-3</v>
      </c>
      <c r="EN68" s="220">
        <f>ED68/Basicinfo!$G68*1000/100</f>
        <v>3.8559389471715146E-3</v>
      </c>
      <c r="EO68" s="220">
        <f>EF68/Basicinfo!$G68*1000/100</f>
        <v>0.35109709614457729</v>
      </c>
      <c r="EP68" s="220">
        <f>EE68/Basicinfo!$G68*1000/100</f>
        <v>0.10619054128556991</v>
      </c>
      <c r="EQ68" s="220">
        <f>EH68/Basicinfo!$G68*1000/100</f>
        <v>0.4683457177969324</v>
      </c>
      <c r="ER68" s="31">
        <f>EI68/Basicinfo!$G68*1000/100</f>
        <v>0.4683457177969324</v>
      </c>
      <c r="ET68" s="188">
        <f t="shared" si="230"/>
        <v>0</v>
      </c>
      <c r="EU68" s="188">
        <f t="shared" si="231"/>
        <v>1.5377831259976193</v>
      </c>
      <c r="EV68" s="223">
        <f t="shared" si="232"/>
        <v>1.5377831259976193</v>
      </c>
      <c r="EW68" s="223">
        <f t="shared" si="233"/>
        <v>0.82331038817000379</v>
      </c>
      <c r="EX68" s="223">
        <f t="shared" si="234"/>
        <v>74.965369128624687</v>
      </c>
      <c r="EY68" s="223">
        <f t="shared" si="235"/>
        <v>22.673537357207678</v>
      </c>
      <c r="EZ68" s="223">
        <f t="shared" si="236"/>
        <v>100</v>
      </c>
      <c r="FA68" s="188">
        <f t="shared" si="237"/>
        <v>100</v>
      </c>
      <c r="FC68" s="236">
        <f>Basicinfo!CT68</f>
        <v>0.79032258064516125</v>
      </c>
      <c r="FD68" s="181">
        <f>IF((Intermediate!CL68+Intermediate!CM68*3)/4&gt;11,(Intermediate!CL68+Intermediate!CM68*9)/10,(Intermediate!CL68+Intermediate!CM68*3)/4)</f>
        <v>0.58085253812145821</v>
      </c>
      <c r="FF68" s="31">
        <f t="shared" si="174"/>
        <v>5.1988997393268732E-2</v>
      </c>
      <c r="FG68" s="31">
        <f t="shared" si="175"/>
        <v>1.0892015772035755</v>
      </c>
      <c r="FH68" s="31">
        <f t="shared" si="176"/>
        <v>1.4419356468679963E-3</v>
      </c>
      <c r="FI68" s="31">
        <f>(AI68-(P68*450/1000000))*Parameters!$C$153</f>
        <v>1.3466841642298142E-2</v>
      </c>
      <c r="FJ68" s="31"/>
      <c r="FK68" s="31">
        <f t="shared" si="177"/>
        <v>0.12387360486409422</v>
      </c>
      <c r="FL68" s="31">
        <f t="shared" si="178"/>
        <v>4.5977466135302061</v>
      </c>
      <c r="FM68" s="31">
        <f>AM68*Parameters!$C$154</f>
        <v>1.3426307341656108E-2</v>
      </c>
      <c r="FN68" s="31">
        <f>AN68*Parameters!$C$154</f>
        <v>5.3667160131680526E-2</v>
      </c>
      <c r="FO68" s="31">
        <f>AO68*Parameters!$C$154</f>
        <v>2.0301303283710038E-2</v>
      </c>
      <c r="FP68" s="31">
        <f>AQ68*Parameters!$C$155</f>
        <v>0</v>
      </c>
      <c r="FQ68" s="31">
        <f t="shared" si="238"/>
        <v>5.9651143410373573</v>
      </c>
      <c r="FS68" s="147">
        <f>DY68*Parameters!$C$155</f>
        <v>0</v>
      </c>
      <c r="FT68" s="147">
        <f>DZ68*Parameters!$C$154</f>
        <v>8.7394770757046672E-2</v>
      </c>
      <c r="FU68" s="181">
        <f t="shared" si="239"/>
        <v>0.12387360486409422</v>
      </c>
      <c r="FV68" s="181">
        <f t="shared" si="240"/>
        <v>4.6022974372969987</v>
      </c>
      <c r="FW68" s="31">
        <f t="shared" si="241"/>
        <v>1.3466841642297611E-2</v>
      </c>
      <c r="FX68" s="181">
        <f t="shared" si="242"/>
        <v>5.1988997393268732E-2</v>
      </c>
      <c r="FY68" s="147">
        <f>Intermediate!FJ68+Intermediate!FM68</f>
        <v>1.0860926890836513</v>
      </c>
      <c r="FZ68" s="181">
        <f t="shared" si="243"/>
        <v>4.7396378838033906</v>
      </c>
      <c r="GA68" s="147">
        <f t="shared" si="244"/>
        <v>8.7394770757046672E-2</v>
      </c>
      <c r="GB68" s="181">
        <f t="shared" si="245"/>
        <v>5.9651143410373573</v>
      </c>
      <c r="GD68" s="147">
        <f>IF('River loads'!CH68&gt;0.99,1,0)</f>
        <v>0</v>
      </c>
      <c r="GE68" s="147">
        <f t="shared" si="179"/>
        <v>0</v>
      </c>
      <c r="GF68" s="147">
        <f t="shared" si="180"/>
        <v>0</v>
      </c>
      <c r="GG68" s="147">
        <f t="shared" si="181"/>
        <v>0</v>
      </c>
      <c r="GH68" s="147">
        <f t="shared" si="182"/>
        <v>0</v>
      </c>
      <c r="GI68" s="147">
        <f t="shared" si="183"/>
        <v>0</v>
      </c>
      <c r="GJ68" s="147">
        <f t="shared" si="184"/>
        <v>0</v>
      </c>
      <c r="GK68" s="147">
        <f t="shared" si="185"/>
        <v>0</v>
      </c>
      <c r="GL68" s="147">
        <f t="shared" si="186"/>
        <v>0</v>
      </c>
      <c r="GM68" s="270">
        <f t="shared" si="128"/>
        <v>0</v>
      </c>
      <c r="GN68" s="270">
        <f t="shared" si="129"/>
        <v>0</v>
      </c>
      <c r="GO68" s="147">
        <f t="shared" si="187"/>
        <v>0</v>
      </c>
      <c r="GP68" s="147">
        <f t="shared" si="246"/>
        <v>0</v>
      </c>
      <c r="GQ68" s="147"/>
      <c r="GR68" s="147">
        <f t="shared" si="247"/>
        <v>0</v>
      </c>
      <c r="GS68" s="147">
        <f t="shared" si="188"/>
        <v>0</v>
      </c>
      <c r="GT68" s="147">
        <f t="shared" si="189"/>
        <v>0</v>
      </c>
      <c r="GU68" s="147">
        <f t="shared" si="190"/>
        <v>0</v>
      </c>
      <c r="GV68" s="147">
        <f t="shared" si="191"/>
        <v>0</v>
      </c>
      <c r="GW68" s="147">
        <f t="shared" si="192"/>
        <v>0</v>
      </c>
      <c r="GX68" s="147">
        <f t="shared" si="193"/>
        <v>0</v>
      </c>
      <c r="GY68" s="147">
        <f t="shared" si="194"/>
        <v>0</v>
      </c>
      <c r="GZ68" s="147">
        <f t="shared" si="130"/>
        <v>0</v>
      </c>
      <c r="HA68" s="147">
        <f t="shared" si="131"/>
        <v>0</v>
      </c>
      <c r="HB68" s="147">
        <f t="shared" si="195"/>
        <v>0</v>
      </c>
      <c r="HC68" s="147">
        <f t="shared" si="196"/>
        <v>0</v>
      </c>
      <c r="HD68" s="147"/>
      <c r="HE68" s="147">
        <f t="shared" si="197"/>
        <v>0</v>
      </c>
      <c r="HF68" s="147">
        <f t="shared" si="198"/>
        <v>0</v>
      </c>
      <c r="HG68" s="147">
        <f t="shared" si="199"/>
        <v>0</v>
      </c>
      <c r="HH68" s="147">
        <f t="shared" si="200"/>
        <v>0</v>
      </c>
      <c r="HI68" s="147">
        <f t="shared" si="201"/>
        <v>0</v>
      </c>
      <c r="HJ68" s="147">
        <f t="shared" si="202"/>
        <v>0</v>
      </c>
      <c r="HK68" s="147">
        <f t="shared" si="203"/>
        <v>0</v>
      </c>
      <c r="HL68" s="147">
        <f t="shared" si="204"/>
        <v>0</v>
      </c>
      <c r="HM68" s="147">
        <f t="shared" si="205"/>
        <v>0</v>
      </c>
      <c r="HN68" s="147">
        <f t="shared" si="206"/>
        <v>0</v>
      </c>
      <c r="HO68" s="147">
        <f t="shared" si="207"/>
        <v>0</v>
      </c>
      <c r="HQ68" s="147">
        <f t="shared" si="248"/>
        <v>0</v>
      </c>
      <c r="HR68" s="147">
        <f t="shared" si="208"/>
        <v>0</v>
      </c>
      <c r="HS68" s="147">
        <f t="shared" si="209"/>
        <v>0</v>
      </c>
      <c r="HT68" s="147">
        <f t="shared" si="210"/>
        <v>0</v>
      </c>
      <c r="HU68" s="147">
        <f t="shared" si="211"/>
        <v>0</v>
      </c>
      <c r="HV68" s="147">
        <f t="shared" si="212"/>
        <v>0</v>
      </c>
      <c r="HW68" s="147">
        <f t="shared" si="213"/>
        <v>0</v>
      </c>
      <c r="HX68" s="147">
        <f t="shared" si="214"/>
        <v>0</v>
      </c>
      <c r="HY68" s="147">
        <f t="shared" si="215"/>
        <v>0</v>
      </c>
      <c r="HZ68" s="147">
        <f t="shared" si="216"/>
        <v>0</v>
      </c>
      <c r="IB68" s="147">
        <f>IF('River loads'!CI68&gt;0.99,1,0)</f>
        <v>0</v>
      </c>
      <c r="IC68">
        <f t="shared" ref="IC68:IC84" si="255">$IB68*S68</f>
        <v>0</v>
      </c>
      <c r="ID68">
        <f t="shared" ref="ID68:ID84" si="256">$IB68*T68</f>
        <v>0</v>
      </c>
      <c r="IE68">
        <f t="shared" ref="IE68:IE84" si="257">$IB68*U68</f>
        <v>0</v>
      </c>
      <c r="IF68">
        <f t="shared" ref="IF68:IF84" si="258">$IB68*V68</f>
        <v>0</v>
      </c>
      <c r="IG68">
        <f t="shared" ref="IG68:IG84" si="259">$IB68*W68</f>
        <v>0</v>
      </c>
      <c r="IH68">
        <f t="shared" ref="IH68:IH84" si="260">$IB68*X68</f>
        <v>0</v>
      </c>
      <c r="II68">
        <f t="shared" ref="II68:II84" si="261">$IB68*Y68</f>
        <v>0</v>
      </c>
      <c r="IJ68">
        <f t="shared" ref="IJ68:IJ84" si="262">$IB68*Z68</f>
        <v>0</v>
      </c>
      <c r="IK68">
        <f t="shared" si="132"/>
        <v>0</v>
      </c>
      <c r="IL68">
        <f t="shared" si="133"/>
        <v>0</v>
      </c>
      <c r="IM68">
        <f t="shared" si="249"/>
        <v>0</v>
      </c>
      <c r="IN68">
        <f t="shared" si="250"/>
        <v>0</v>
      </c>
      <c r="IP68">
        <f t="shared" si="251"/>
        <v>0</v>
      </c>
      <c r="IQ68">
        <f t="shared" si="217"/>
        <v>0</v>
      </c>
      <c r="IR68">
        <f t="shared" si="218"/>
        <v>0</v>
      </c>
      <c r="IS68">
        <f t="shared" si="219"/>
        <v>0</v>
      </c>
      <c r="IT68">
        <f t="shared" si="220"/>
        <v>0</v>
      </c>
      <c r="IU68">
        <f t="shared" si="221"/>
        <v>0</v>
      </c>
      <c r="IV68">
        <f t="shared" si="222"/>
        <v>0</v>
      </c>
      <c r="IW68">
        <f t="shared" si="223"/>
        <v>0</v>
      </c>
      <c r="IX68">
        <f t="shared" si="224"/>
        <v>0</v>
      </c>
    </row>
    <row r="69" spans="1:258">
      <c r="A69" s="39" t="str">
        <f>Basicinfo!A69</f>
        <v>Kleinsölkbach</v>
      </c>
      <c r="B69" s="63">
        <f>Basicinfo!B69</f>
        <v>1400</v>
      </c>
      <c r="C69" s="63">
        <f>Basicinfo!C69</f>
        <v>1410</v>
      </c>
      <c r="D69" s="130">
        <f>Basicinfo!G69</f>
        <v>128.58915523600001</v>
      </c>
      <c r="E69" s="87">
        <f t="shared" si="153"/>
        <v>4.2157194562012608</v>
      </c>
      <c r="F69" s="19">
        <f>Intermediate!AR69</f>
        <v>2.025219512840834E-2</v>
      </c>
      <c r="G69" s="19">
        <f>Intermediate!AU69</f>
        <v>0.99042328251848055</v>
      </c>
      <c r="H69" s="19">
        <f>Intermediate!AW69</f>
        <v>7.0726302930674244E-4</v>
      </c>
      <c r="I69" s="19">
        <f>Intermediate!AZ69</f>
        <v>0</v>
      </c>
      <c r="J69" s="19">
        <f>Intermediate!BA69</f>
        <v>3.2028620966269217</v>
      </c>
      <c r="K69" s="19">
        <f>Intermediate!AC69</f>
        <v>3.4911747187012519E-4</v>
      </c>
      <c r="L69" s="19">
        <f>Intermediate!AO69</f>
        <v>4.2580208831366939E-4</v>
      </c>
      <c r="M69" s="19">
        <f>Intermediate!AP69</f>
        <v>6.9969933795870564E-4</v>
      </c>
      <c r="N69" s="19">
        <f t="shared" ref="N69:N88" si="263">SUM(F69:M69)</f>
        <v>4.2157194562012608</v>
      </c>
      <c r="O69" s="19">
        <f>Basicinfo!CB69+Basicinfo!CG69</f>
        <v>0</v>
      </c>
      <c r="P69" s="56">
        <f>Intermediate!BK69-Intermediate!BI69</f>
        <v>2.5562105532471833</v>
      </c>
      <c r="Q69" s="43">
        <f>Intermediate!BI69</f>
        <v>598.0561554571683</v>
      </c>
      <c r="R69" s="88">
        <f t="shared" si="134"/>
        <v>600.61236601041549</v>
      </c>
      <c r="S69" s="61">
        <f>Intermediate!F69*Intermediate!BO69/1000</f>
        <v>0.55330973365636582</v>
      </c>
      <c r="T69" s="19">
        <f>Intermediate!BU69*Intermediate!AU69*86.4*0.365</f>
        <v>16.27573458264024</v>
      </c>
      <c r="U69" s="19">
        <f>Intermediate!AW69*Intermediate!BS69*0.365*86.4</f>
        <v>1.1622483217928265E-2</v>
      </c>
      <c r="V69" s="19">
        <f>(Basicinfo!BL69/1000000)*(Intermediate!BK69-Intermediate!BF69-Intermediate!BG69-Intermediate!BH69)*Intermediate!CV69</f>
        <v>1.7021994255526578E-2</v>
      </c>
      <c r="W69" s="19">
        <f>Intermediate!BI69*Parameters!$C$51/1000000</f>
        <v>1.4951403886429206E-2</v>
      </c>
      <c r="X69" s="19">
        <f>Intermediate!AZ69*Intermediate!CG69*86.4*0.365</f>
        <v>0</v>
      </c>
      <c r="Y69" s="19">
        <f>Intermediate!CM69*Intermediate!BA69*86.4*0.365+Parameters!$C$126*Intermediate!BB69*Basicinfo!P69/1000+Parameters!$C$127*Intermediate!BB69*Basicinfo!S69/1000</f>
        <v>48.927124309917431</v>
      </c>
      <c r="Z69" s="19">
        <f>Intermediate!DG69</f>
        <v>1.7370240385638194E-2</v>
      </c>
      <c r="AA69" s="19">
        <f>Intermediate!DI69</f>
        <v>0.13284332001211815</v>
      </c>
      <c r="AB69" s="19">
        <f>Intermediate!DK69</f>
        <v>0.11307703834311827</v>
      </c>
      <c r="AC69" s="19">
        <f t="shared" ref="AC69:AC88" si="264">SUM(S69:AB69)</f>
        <v>66.063055106314792</v>
      </c>
      <c r="AD69" s="19">
        <f>Basicinfo!CC69+Basicinfo!CE69+Basicinfo!CH69+Basicinfo!CJ69</f>
        <v>0</v>
      </c>
      <c r="AE69" s="87">
        <f t="shared" si="135"/>
        <v>66.063055106314792</v>
      </c>
      <c r="AF69" s="56">
        <f>Intermediate!F69*Basicinfo!BD69/1000</f>
        <v>2.8063863759912971E-2</v>
      </c>
      <c r="AG69" s="43">
        <f>Intermediate!CA69*Intermediate!AU69*86.4*0.365</f>
        <v>0.82576395635812549</v>
      </c>
      <c r="AH69" s="43">
        <f>Intermediate!AW69*Intermediate!BZ69*0.365*86.4</f>
        <v>5.5760617230543586E-4</v>
      </c>
      <c r="AI69" s="43">
        <f>(Intermediate!CU69/1000000)*(Intermediate!BK69-Intermediate!BF69-Intermediate!BG69-Intermediate!BH69)*Intermediate!CW69</f>
        <v>1.2619345822009501E-2</v>
      </c>
      <c r="AJ69" s="43">
        <f>Intermediate!BF69*Parameters!$C$52/1000000+(Intermediate!BG69+Intermediate!BH69)*Intermediate!CX69/1000000</f>
        <v>0.26992243013138023</v>
      </c>
      <c r="AK69" s="43">
        <f>Intermediate!AZ69*Intermediate!CH69*86.4*0.365</f>
        <v>0</v>
      </c>
      <c r="AL69" s="58">
        <f>Intermediate!CR69*Intermediate!BA69*86.4*0.365</f>
        <v>2.4215271058802803</v>
      </c>
      <c r="AM69" s="43">
        <f>Intermediate!DH69</f>
        <v>6.0814465325287424E-3</v>
      </c>
      <c r="AN69" s="42">
        <f>Intermediate!DJ69</f>
        <v>2.5216424752242471E-2</v>
      </c>
      <c r="AO69" s="42">
        <f>Intermediate!DL69</f>
        <v>1.8334062297981325E-2</v>
      </c>
      <c r="AP69" s="42">
        <f t="shared" ref="AP69:AP88" si="265">SUM(AF69:AO69)</f>
        <v>3.6080862417067663</v>
      </c>
      <c r="AQ69" s="43">
        <f>Basicinfo!CD69+Basicinfo!CF69+Basicinfo!CI69+Basicinfo!CK69</f>
        <v>0</v>
      </c>
      <c r="AR69" s="83">
        <f t="shared" si="136"/>
        <v>3.6080862417067663</v>
      </c>
      <c r="AS69" s="19">
        <f>F69*86400*365/(Basicinfo!G69*1000000)*1000</f>
        <v>4.9667736318613089</v>
      </c>
      <c r="AT69" s="19">
        <f>G69*86400*365/(Basicinfo!G69*1000000)*1000</f>
        <v>242.8975334675695</v>
      </c>
      <c r="AU69" s="19">
        <f>H69*86400*365/(Basicinfo!G69*1000000)*1000</f>
        <v>0.1734535610820554</v>
      </c>
      <c r="AV69" s="19">
        <f>I69*86400*365/(Basicinfo!G69*1000000)*1000</f>
        <v>0</v>
      </c>
      <c r="AW69" s="19">
        <f>J69*86400*365/(Basicinfo!G69*1000000)*1000</f>
        <v>785.4897164061075</v>
      </c>
      <c r="AX69" s="53">
        <f>K69*86400*365/(Basicinfo!G69*1000000)*1000</f>
        <v>8.5619728760874189E-2</v>
      </c>
      <c r="AY69" s="53">
        <f>L69*86400*365/(Basicinfo!G69*1000000)*1000</f>
        <v>0.10442633853854362</v>
      </c>
      <c r="AZ69" s="53">
        <f>M69*86400*365/(Basicinfo!G69*1000000)*1000</f>
        <v>0.17159859461996207</v>
      </c>
      <c r="BA69" s="19">
        <f t="shared" ref="BA69:BA88" si="266">SUM(AS69:AZ69)</f>
        <v>1033.8891217285397</v>
      </c>
      <c r="BB69" s="19">
        <f>O69*86400*365/(Basicinfo!G69*1000000)*1000</f>
        <v>0</v>
      </c>
      <c r="BC69" s="53">
        <f t="shared" si="137"/>
        <v>1033.8891217285397</v>
      </c>
      <c r="BD69" s="56">
        <f>P69/(Basicinfo!G69*100)*1000</f>
        <v>0.19878896852193823</v>
      </c>
      <c r="BE69" s="43">
        <f>Q69/(Basicinfo!G69*100)*1000</f>
        <v>46.509066364076681</v>
      </c>
      <c r="BF69" s="58">
        <f t="shared" si="138"/>
        <v>46.707855332598619</v>
      </c>
      <c r="BG69" s="61">
        <f>S69/(Basicinfo!G69*100)*1000000</f>
        <v>43.029268886701608</v>
      </c>
      <c r="BH69" s="19">
        <f>T69/(Basicinfo!G69*100)*1000000</f>
        <v>1265.7159581435419</v>
      </c>
      <c r="BI69" s="19">
        <f>U69/(Basicinfo!G69*100)*1000000</f>
        <v>0.9038462999929886</v>
      </c>
      <c r="BJ69" s="19">
        <f>V69/(Basicinfo!G69*100)*1000000</f>
        <v>1.3237503757051727</v>
      </c>
      <c r="BK69" s="19">
        <f>W69/(Basicinfo!G69*100)*1000000</f>
        <v>1.162726659101917</v>
      </c>
      <c r="BL69" s="19">
        <f>X69/(Basicinfo!G69*100)*1000000</f>
        <v>0</v>
      </c>
      <c r="BM69" s="19">
        <f>Y69/(Basicinfo!G69*100)*1000000</f>
        <v>3804.9184023428224</v>
      </c>
      <c r="BN69" s="53">
        <f>Z69/(Basicinfo!G69*100)*1000000</f>
        <v>1.3508324519092256</v>
      </c>
      <c r="BO69" s="53">
        <f>AA69/(Basicinfo!G69*100)*1000000</f>
        <v>10.330833869178973</v>
      </c>
      <c r="BP69" s="53">
        <f>AB69/(Basicinfo!G69*100)*1000000</f>
        <v>8.793668341283345</v>
      </c>
      <c r="BQ69" s="19">
        <f t="shared" ref="BQ69:BQ88" si="267">SUM(BG69:BP69)</f>
        <v>5137.5292873702374</v>
      </c>
      <c r="BR69" s="19">
        <f>AD69/(Basicinfo!G69*100)*1000000</f>
        <v>0</v>
      </c>
      <c r="BS69" s="53">
        <f t="shared" si="139"/>
        <v>5137.5292873702374</v>
      </c>
      <c r="BT69" s="56">
        <f>AF69/(Basicinfo!G69*100)*1000000</f>
        <v>2.1824440566863741</v>
      </c>
      <c r="BU69" s="43">
        <f>AG69/(Basicinfo!G69*100)*1000000</f>
        <v>64.217231604220345</v>
      </c>
      <c r="BV69" s="43">
        <f>AH69/(Basicinfo!G69*100)*1000000</f>
        <v>4.3363390270513856E-2</v>
      </c>
      <c r="BW69" s="43">
        <f>AI69/(Basicinfo!G69*100)*1000000</f>
        <v>0.98136936966800847</v>
      </c>
      <c r="BX69" s="43">
        <f>AJ69/(Basicinfo!G69*100)*1000000</f>
        <v>20.991072663630995</v>
      </c>
      <c r="BY69" s="58">
        <f>AK69/(Basicinfo!G69*100)*1000000</f>
        <v>0</v>
      </c>
      <c r="BZ69" s="58">
        <f>AL69/(Basicinfo!G69*100)*1000000</f>
        <v>188.31503336623103</v>
      </c>
      <c r="CA69" s="58">
        <f>AM69/(Basicinfo!G69*100)*1000000</f>
        <v>0.47293619134268733</v>
      </c>
      <c r="CB69" s="58">
        <f>AN69/(Basicinfo!G69*100)*1000000</f>
        <v>1.9610071087225591</v>
      </c>
      <c r="CC69" s="58">
        <f>AO69/(Basicinfo!G69*100)*1000000</f>
        <v>1.425786044268879</v>
      </c>
      <c r="CD69" s="58">
        <f t="shared" ref="CD69:CD88" si="268">SUM(BT69:CC69)</f>
        <v>280.59024379504137</v>
      </c>
      <c r="CE69" s="58">
        <f>AQ69/(Basicinfo!G69*100)*1000000</f>
        <v>0</v>
      </c>
      <c r="CF69" s="43">
        <f t="shared" si="140"/>
        <v>280.59024379504137</v>
      </c>
      <c r="CG69" s="84"/>
      <c r="CH69" s="84">
        <f t="shared" si="154"/>
        <v>0</v>
      </c>
      <c r="CI69" s="146">
        <f t="shared" si="152"/>
        <v>0.26329059874087463</v>
      </c>
      <c r="CJ69" s="200">
        <f>Intermediate!EW69+Intermediate!EY69+Intermediate!FD69</f>
        <v>14.13062114642911</v>
      </c>
      <c r="CK69" s="180">
        <f>Intermediate!FA69+Intermediate!FF69</f>
        <v>1.517177233751434</v>
      </c>
      <c r="CL69" s="180">
        <f t="shared" si="252"/>
        <v>0</v>
      </c>
      <c r="CM69" s="180">
        <f t="shared" si="253"/>
        <v>19.896046700388794</v>
      </c>
      <c r="CN69" s="202">
        <f>Intermediate!EX69+Intermediate!EZ69+Intermediate!FE69</f>
        <v>10.058121439847907</v>
      </c>
      <c r="CO69" s="180">
        <f>Intermediate!FB69+Intermediate!FG69</f>
        <v>0.97787013309800075</v>
      </c>
      <c r="CP69" s="213">
        <f>Intermediate!EP69+Intermediate!EQ69+Intermediate!ER69+Intermediate!ES69+Intermediate!ET69+Intermediate!EU69+Intermediate!EV69+W69</f>
        <v>19.219927854058675</v>
      </c>
      <c r="CQ69" s="212">
        <f t="shared" si="155"/>
        <v>11.035991572945909</v>
      </c>
      <c r="CR69" s="212">
        <f t="shared" si="156"/>
        <v>35.543845080569341</v>
      </c>
      <c r="CS69" s="211">
        <f t="shared" si="254"/>
        <v>1.7370240385638194E-2</v>
      </c>
      <c r="CT69" s="212">
        <f t="shared" si="157"/>
        <v>65.817134747959557</v>
      </c>
      <c r="CU69" s="84"/>
      <c r="CV69" s="31">
        <f t="shared" si="158"/>
        <v>66.063055106314792</v>
      </c>
      <c r="CW69" s="31">
        <f>CH69/Basicinfo!$G69*1000/100</f>
        <v>0</v>
      </c>
      <c r="CX69" s="31">
        <f>CI69/Basicinfo!$G69*1000/100</f>
        <v>2.0475334662371544E-2</v>
      </c>
      <c r="CY69" s="31">
        <f>CS69/Basicinfo!$G69*1000/100</f>
        <v>1.3508324519092255E-3</v>
      </c>
      <c r="CZ69" s="31">
        <f>CN69/Basicinfo!$G69*1000/100</f>
        <v>0.7821904904335214</v>
      </c>
      <c r="DA69" s="31">
        <f>CO69/Basicinfo!$G69*1000/100</f>
        <v>7.6046081125839354E-2</v>
      </c>
      <c r="DB69" s="31">
        <f>CQ69/Basicinfo!$G69*1000/100</f>
        <v>0.85823657155936073</v>
      </c>
      <c r="DC69" s="31">
        <f>CJ69/Basicinfo!$G69*1000/100</f>
        <v>1.0988968020277561</v>
      </c>
      <c r="DD69" s="31">
        <f>CK69/Basicinfo!$G69*1000/100</f>
        <v>0.11798640647159978</v>
      </c>
      <c r="DE69" s="31">
        <f>CM69/Basicinfo!$G69*1000/100</f>
        <v>1.5472569723219292</v>
      </c>
      <c r="DF69" s="31">
        <f>CR69/Basicinfo!$G69*1000/100</f>
        <v>2.7641401808212858</v>
      </c>
      <c r="DG69" s="31">
        <f>CP69/Basicinfo!$G69*1000/100</f>
        <v>1.4946772003272195</v>
      </c>
      <c r="DH69" s="31">
        <f>CT69/Basicinfo!$G69*1000/100</f>
        <v>5.1184047851597745</v>
      </c>
      <c r="DI69" s="31">
        <f>CV69/Basicinfo!$G69*1000/100</f>
        <v>5.1375292873702367</v>
      </c>
      <c r="DJ69" s="31"/>
      <c r="DK69" s="188">
        <f t="shared" si="159"/>
        <v>0</v>
      </c>
      <c r="DL69" s="188">
        <f t="shared" si="160"/>
        <v>0.40003351672648901</v>
      </c>
      <c r="DM69" s="188">
        <f t="shared" si="161"/>
        <v>2.6391669057238477E-2</v>
      </c>
      <c r="DN69" s="188">
        <f t="shared" si="162"/>
        <v>15.28191933356644</v>
      </c>
      <c r="DO69" s="188">
        <f t="shared" si="163"/>
        <v>1.4857379265181647</v>
      </c>
      <c r="DP69" s="188">
        <f t="shared" si="164"/>
        <v>16.767657260084608</v>
      </c>
      <c r="DQ69" s="188">
        <f t="shared" si="225"/>
        <v>21.469517323324659</v>
      </c>
      <c r="DR69" s="188">
        <f t="shared" si="226"/>
        <v>2.3051402033244375</v>
      </c>
      <c r="DS69" s="188">
        <f t="shared" si="227"/>
        <v>30.229281138686463</v>
      </c>
      <c r="DT69" s="188">
        <f t="shared" si="165"/>
        <v>54.003938665335561</v>
      </c>
      <c r="DU69" s="188">
        <f t="shared" si="166"/>
        <v>29.202012405522598</v>
      </c>
      <c r="DV69" s="188">
        <f t="shared" si="228"/>
        <v>100</v>
      </c>
      <c r="DW69" s="188">
        <f t="shared" si="229"/>
        <v>100.37364184766926</v>
      </c>
      <c r="DY69" s="181">
        <f t="shared" si="167"/>
        <v>0</v>
      </c>
      <c r="DZ69" s="181">
        <f t="shared" ref="DZ69:DZ84" si="269">AM69+AN69+AO69</f>
        <v>4.9631933582752537E-2</v>
      </c>
      <c r="EA69" s="185">
        <f t="shared" si="168"/>
        <v>0</v>
      </c>
      <c r="EB69" s="185">
        <f>AG69+AH69+AL69-Intermediate!FJ69-Intermediate!FM69</f>
        <v>2.4159386167612222</v>
      </c>
      <c r="EC69" s="185">
        <f>AI69+AJ69-Intermediate!FK69</f>
        <v>1.5421471444369561E-3</v>
      </c>
      <c r="ED69" s="240">
        <f t="shared" si="169"/>
        <v>2.8063863759912971E-2</v>
      </c>
      <c r="EE69" s="240">
        <f>Intermediate!FJ69+Intermediate!FK69+Intermediate!FM69</f>
        <v>1.1129096804584417</v>
      </c>
      <c r="EF69" s="240">
        <f t="shared" si="170"/>
        <v>2.417480763905659</v>
      </c>
      <c r="EG69" s="240">
        <f t="shared" si="171"/>
        <v>4.9631933582752537E-2</v>
      </c>
      <c r="EH69" s="240">
        <f t="shared" si="172"/>
        <v>3.6080862417067663</v>
      </c>
      <c r="EI69" s="181">
        <f t="shared" si="173"/>
        <v>3.6080862417067663</v>
      </c>
      <c r="EK69" s="31">
        <f>DY69/Basicinfo!$G69*1000/100</f>
        <v>0</v>
      </c>
      <c r="EL69" s="31">
        <f>DZ69/Basicinfo!$G69*1000/100</f>
        <v>3.8597293443341251E-3</v>
      </c>
      <c r="EM69" s="220">
        <f>EG69/Basicinfo!$G69*1000/100</f>
        <v>3.8597293443341251E-3</v>
      </c>
      <c r="EN69" s="220">
        <f>ED69/Basicinfo!$G69*1000/100</f>
        <v>2.1824440566863739E-3</v>
      </c>
      <c r="EO69" s="220">
        <f>EF69/Basicinfo!$G69*1000/100</f>
        <v>0.18800036126443559</v>
      </c>
      <c r="EP69" s="220">
        <f>EE69/Basicinfo!$G69*1000/100</f>
        <v>8.6547709129585287E-2</v>
      </c>
      <c r="EQ69" s="220">
        <f>EH69/Basicinfo!$G69*1000/100</f>
        <v>0.28059024379504133</v>
      </c>
      <c r="ER69" s="31">
        <f>EI69/Basicinfo!$G69*1000/100</f>
        <v>0.28059024379504133</v>
      </c>
      <c r="ET69" s="188">
        <f t="shared" si="230"/>
        <v>0</v>
      </c>
      <c r="EU69" s="188">
        <f t="shared" si="231"/>
        <v>1.3755750350156457</v>
      </c>
      <c r="EV69" s="223">
        <f t="shared" si="232"/>
        <v>1.3755750350156457</v>
      </c>
      <c r="EW69" s="223">
        <f t="shared" si="233"/>
        <v>0.77780468314520301</v>
      </c>
      <c r="EX69" s="223">
        <f t="shared" si="234"/>
        <v>67.001745578068451</v>
      </c>
      <c r="EY69" s="223">
        <f t="shared" si="235"/>
        <v>30.844874703770721</v>
      </c>
      <c r="EZ69" s="223">
        <f t="shared" si="236"/>
        <v>100</v>
      </c>
      <c r="FA69" s="188">
        <f t="shared" si="237"/>
        <v>100</v>
      </c>
      <c r="FC69" s="236"/>
      <c r="FD69" s="181">
        <f>IF((Intermediate!CL69+Intermediate!CM69*3)/4&gt;11,(Intermediate!CL69+Intermediate!CM69*9)/10,(Intermediate!CL69+Intermediate!CM69*3)/4)</f>
        <v>0.72470775759117756</v>
      </c>
      <c r="FF69" s="31">
        <f t="shared" si="174"/>
        <v>2.8063863759912971E-2</v>
      </c>
      <c r="FG69" s="31">
        <f t="shared" si="175"/>
        <v>0.82576395635812549</v>
      </c>
      <c r="FH69" s="31">
        <f t="shared" si="176"/>
        <v>5.5760617230543586E-4</v>
      </c>
      <c r="FI69" s="31">
        <f>(AI69-(P69*450/1000000))*Parameters!$C$153</f>
        <v>9.1752408584386148E-3</v>
      </c>
      <c r="FJ69" s="31"/>
      <c r="FK69" s="31">
        <f t="shared" si="177"/>
        <v>0</v>
      </c>
      <c r="FL69" s="31">
        <f t="shared" si="178"/>
        <v>2.4215271058802803</v>
      </c>
      <c r="FM69" s="31">
        <f>AM69*Parameters!$C$154</f>
        <v>5.4733018792758681E-3</v>
      </c>
      <c r="FN69" s="31">
        <f>AN69*Parameters!$C$154</f>
        <v>2.2694782277018224E-2</v>
      </c>
      <c r="FO69" s="31">
        <f>AO69*Parameters!$C$154</f>
        <v>1.6500656068183194E-2</v>
      </c>
      <c r="FP69" s="31">
        <f>AQ69*Parameters!$C$155</f>
        <v>0</v>
      </c>
      <c r="FQ69" s="31">
        <f t="shared" si="238"/>
        <v>3.3297565132535403</v>
      </c>
      <c r="FS69" s="147">
        <f>DY69*Parameters!$C$155</f>
        <v>0</v>
      </c>
      <c r="FT69" s="147">
        <f>DZ69*Parameters!$C$154</f>
        <v>4.4668740224477282E-2</v>
      </c>
      <c r="FU69" s="181">
        <f t="shared" si="239"/>
        <v>0</v>
      </c>
      <c r="FV69" s="181">
        <f t="shared" si="240"/>
        <v>2.4159386167612222</v>
      </c>
      <c r="FW69" s="31">
        <f t="shared" si="241"/>
        <v>9.1752408584386824E-3</v>
      </c>
      <c r="FX69" s="181">
        <f t="shared" si="242"/>
        <v>2.8063863759912971E-2</v>
      </c>
      <c r="FY69" s="147">
        <f>Intermediate!FJ69+Intermediate!FM69</f>
        <v>0.83191005164948895</v>
      </c>
      <c r="FZ69" s="181">
        <f t="shared" si="243"/>
        <v>2.4251138576196611</v>
      </c>
      <c r="GA69" s="147">
        <f t="shared" si="244"/>
        <v>4.4668740224477282E-2</v>
      </c>
      <c r="GB69" s="181">
        <f t="shared" si="245"/>
        <v>3.3297565132535403</v>
      </c>
      <c r="GD69" s="147">
        <f>IF('River loads'!CH69&gt;0.99,1,0)</f>
        <v>0</v>
      </c>
      <c r="GE69" s="147">
        <f t="shared" si="179"/>
        <v>0</v>
      </c>
      <c r="GF69" s="147">
        <f t="shared" si="180"/>
        <v>0</v>
      </c>
      <c r="GG69" s="147">
        <f t="shared" si="181"/>
        <v>0</v>
      </c>
      <c r="GH69" s="147">
        <f t="shared" si="182"/>
        <v>0</v>
      </c>
      <c r="GI69" s="147">
        <f t="shared" si="183"/>
        <v>0</v>
      </c>
      <c r="GJ69" s="147">
        <f t="shared" si="184"/>
        <v>0</v>
      </c>
      <c r="GK69" s="147">
        <f t="shared" si="185"/>
        <v>0</v>
      </c>
      <c r="GL69" s="147">
        <f t="shared" si="186"/>
        <v>0</v>
      </c>
      <c r="GM69" s="270">
        <f t="shared" ref="GM69:GM84" si="270">AN69*GD69</f>
        <v>0</v>
      </c>
      <c r="GN69" s="270">
        <f t="shared" ref="GN69:GN84" si="271">AO69*GD69</f>
        <v>0</v>
      </c>
      <c r="GO69" s="147">
        <f t="shared" si="187"/>
        <v>0</v>
      </c>
      <c r="GP69" s="147">
        <f t="shared" si="246"/>
        <v>0</v>
      </c>
      <c r="GQ69" s="147"/>
      <c r="GR69" s="147">
        <f t="shared" si="247"/>
        <v>0</v>
      </c>
      <c r="GS69" s="147">
        <f t="shared" si="188"/>
        <v>0</v>
      </c>
      <c r="GT69" s="147">
        <f t="shared" si="189"/>
        <v>0</v>
      </c>
      <c r="GU69" s="147">
        <f t="shared" si="190"/>
        <v>0</v>
      </c>
      <c r="GV69" s="147">
        <f t="shared" si="191"/>
        <v>0</v>
      </c>
      <c r="GW69" s="147">
        <f t="shared" si="192"/>
        <v>0</v>
      </c>
      <c r="GX69" s="147">
        <f t="shared" si="193"/>
        <v>0</v>
      </c>
      <c r="GY69" s="147">
        <f t="shared" si="194"/>
        <v>0</v>
      </c>
      <c r="GZ69" s="147">
        <f t="shared" ref="GZ69:GZ84" si="272">$GD69*FN69</f>
        <v>0</v>
      </c>
      <c r="HA69" s="147">
        <f t="shared" ref="HA69:HA84" si="273">$GD69*FO69</f>
        <v>0</v>
      </c>
      <c r="HB69" s="147">
        <f t="shared" si="195"/>
        <v>0</v>
      </c>
      <c r="HC69" s="147">
        <f t="shared" si="196"/>
        <v>0</v>
      </c>
      <c r="HD69" s="147"/>
      <c r="HE69" s="147">
        <f t="shared" si="197"/>
        <v>0</v>
      </c>
      <c r="HF69" s="147">
        <f t="shared" si="198"/>
        <v>0</v>
      </c>
      <c r="HG69" s="147">
        <f t="shared" si="199"/>
        <v>0</v>
      </c>
      <c r="HH69" s="147">
        <f t="shared" si="200"/>
        <v>0</v>
      </c>
      <c r="HI69" s="147">
        <f t="shared" si="201"/>
        <v>0</v>
      </c>
      <c r="HJ69" s="147">
        <f t="shared" si="202"/>
        <v>0</v>
      </c>
      <c r="HK69" s="147">
        <f t="shared" si="203"/>
        <v>0</v>
      </c>
      <c r="HL69" s="147">
        <f t="shared" si="204"/>
        <v>0</v>
      </c>
      <c r="HM69" s="147">
        <f t="shared" si="205"/>
        <v>0</v>
      </c>
      <c r="HN69" s="147">
        <f t="shared" si="206"/>
        <v>0</v>
      </c>
      <c r="HO69" s="147">
        <f t="shared" si="207"/>
        <v>0</v>
      </c>
      <c r="HQ69" s="147">
        <f t="shared" si="248"/>
        <v>0</v>
      </c>
      <c r="HR69" s="147">
        <f t="shared" si="208"/>
        <v>0</v>
      </c>
      <c r="HS69" s="147">
        <f t="shared" si="209"/>
        <v>0</v>
      </c>
      <c r="HT69" s="147">
        <f t="shared" si="210"/>
        <v>0</v>
      </c>
      <c r="HU69" s="147">
        <f t="shared" si="211"/>
        <v>0</v>
      </c>
      <c r="HV69" s="147">
        <f t="shared" si="212"/>
        <v>0</v>
      </c>
      <c r="HW69" s="147">
        <f t="shared" si="213"/>
        <v>0</v>
      </c>
      <c r="HX69" s="147">
        <f t="shared" si="214"/>
        <v>0</v>
      </c>
      <c r="HY69" s="147">
        <f t="shared" si="215"/>
        <v>0</v>
      </c>
      <c r="HZ69" s="147">
        <f t="shared" si="216"/>
        <v>0</v>
      </c>
      <c r="IB69" s="147">
        <f>IF('River loads'!CI69&gt;0.99,1,0)</f>
        <v>0</v>
      </c>
      <c r="IC69">
        <f t="shared" si="255"/>
        <v>0</v>
      </c>
      <c r="ID69">
        <f t="shared" si="256"/>
        <v>0</v>
      </c>
      <c r="IE69">
        <f t="shared" si="257"/>
        <v>0</v>
      </c>
      <c r="IF69">
        <f t="shared" si="258"/>
        <v>0</v>
      </c>
      <c r="IG69">
        <f t="shared" si="259"/>
        <v>0</v>
      </c>
      <c r="IH69">
        <f t="shared" si="260"/>
        <v>0</v>
      </c>
      <c r="II69">
        <f t="shared" si="261"/>
        <v>0</v>
      </c>
      <c r="IJ69">
        <f t="shared" si="262"/>
        <v>0</v>
      </c>
      <c r="IK69">
        <f t="shared" ref="IK69:IK84" si="274">$IB69*AA69</f>
        <v>0</v>
      </c>
      <c r="IL69">
        <f t="shared" ref="IL69:IL84" si="275">$IB69*AB69</f>
        <v>0</v>
      </c>
      <c r="IM69">
        <f t="shared" si="249"/>
        <v>0</v>
      </c>
      <c r="IN69">
        <f t="shared" si="250"/>
        <v>0</v>
      </c>
      <c r="IP69">
        <f t="shared" si="251"/>
        <v>0</v>
      </c>
      <c r="IQ69">
        <f t="shared" si="217"/>
        <v>0</v>
      </c>
      <c r="IR69">
        <f t="shared" si="218"/>
        <v>0</v>
      </c>
      <c r="IS69">
        <f t="shared" si="219"/>
        <v>0</v>
      </c>
      <c r="IT69">
        <f t="shared" si="220"/>
        <v>0</v>
      </c>
      <c r="IU69">
        <f t="shared" si="221"/>
        <v>0</v>
      </c>
      <c r="IV69">
        <f t="shared" si="222"/>
        <v>0</v>
      </c>
      <c r="IW69">
        <f t="shared" si="223"/>
        <v>0</v>
      </c>
      <c r="IX69">
        <f t="shared" si="224"/>
        <v>0</v>
      </c>
    </row>
    <row r="70" spans="1:258">
      <c r="A70" s="39" t="str">
        <f>Basicinfo!A70</f>
        <v>Sölkbach</v>
      </c>
      <c r="B70" s="63">
        <f>Basicinfo!B70</f>
        <v>1410</v>
      </c>
      <c r="C70" s="63">
        <f>Basicinfo!C70</f>
        <v>4060</v>
      </c>
      <c r="D70" s="130">
        <f>Basicinfo!G70</f>
        <v>157.60621012799999</v>
      </c>
      <c r="E70" s="87">
        <f t="shared" si="153"/>
        <v>3.6158779087197495</v>
      </c>
      <c r="F70" s="19">
        <f>Intermediate!AR70</f>
        <v>3.4384814672907361E-2</v>
      </c>
      <c r="G70" s="19">
        <f>Intermediate!AU70</f>
        <v>0.77704805874069927</v>
      </c>
      <c r="H70" s="19">
        <f>Intermediate!AW70</f>
        <v>2.1438971351942258E-2</v>
      </c>
      <c r="I70" s="19">
        <f>Intermediate!AZ70</f>
        <v>1.9068359423369179E-3</v>
      </c>
      <c r="J70" s="19">
        <f>Intermediate!BA70</f>
        <v>2.7785917210840148</v>
      </c>
      <c r="K70" s="19">
        <f>Intermediate!AC70</f>
        <v>6.6806414168638247E-4</v>
      </c>
      <c r="L70" s="19">
        <f>Intermediate!AO70</f>
        <v>1.0143618508812013E-3</v>
      </c>
      <c r="M70" s="19">
        <f>Intermediate!AP70</f>
        <v>8.2508093528150476E-4</v>
      </c>
      <c r="N70" s="19">
        <f t="shared" si="263"/>
        <v>3.6158779087197495</v>
      </c>
      <c r="O70" s="19">
        <f>Basicinfo!CB70+Basicinfo!CG70</f>
        <v>0</v>
      </c>
      <c r="P70" s="56">
        <f>Intermediate!BK70-Intermediate!BI70</f>
        <v>2.7813597927032561</v>
      </c>
      <c r="Q70" s="43">
        <f>Intermediate!BI70</f>
        <v>805.2537931453686</v>
      </c>
      <c r="R70" s="88">
        <f t="shared" si="134"/>
        <v>808.03515293807186</v>
      </c>
      <c r="S70" s="61">
        <f>Intermediate!F70*Intermediate!BO70/1000</f>
        <v>0.66095362063942098</v>
      </c>
      <c r="T70" s="19">
        <f>Intermediate!BU70*Intermediate!AU70*86.4*0.365</f>
        <v>9.4006340085056195</v>
      </c>
      <c r="U70" s="19">
        <f>Intermediate!AW70*Intermediate!BS70*0.365*86.4</f>
        <v>0.25936534600963074</v>
      </c>
      <c r="V70" s="19">
        <f>(Basicinfo!BL70/1000000)*(Intermediate!BK70-Intermediate!BF70-Intermediate!BG70-Intermediate!BH70)*Intermediate!CV70</f>
        <v>1.7727663404084389E-2</v>
      </c>
      <c r="W70" s="19">
        <f>Intermediate!BI70*Parameters!$C$51/1000000</f>
        <v>2.0131344828634212E-2</v>
      </c>
      <c r="X70" s="19">
        <f>Intermediate!AZ70*Intermediate!CG70*86.4*0.365</f>
        <v>0.37245814981019987</v>
      </c>
      <c r="Y70" s="19">
        <f>Intermediate!CM70*Intermediate!BA70*86.4*0.365+Parameters!$C$126*Intermediate!BB70*Basicinfo!P70/1000+Parameters!$C$127*Intermediate!BB70*Basicinfo!S70/1000</f>
        <v>44.070917620979536</v>
      </c>
      <c r="Z70" s="19">
        <f>Intermediate!DG70</f>
        <v>3.5038094464286414E-2</v>
      </c>
      <c r="AA70" s="19">
        <f>Intermediate!DI70</f>
        <v>0.32809110544228376</v>
      </c>
      <c r="AB70" s="19">
        <f>Intermediate!DK70</f>
        <v>3.5251234935589432E-2</v>
      </c>
      <c r="AC70" s="19">
        <f t="shared" si="264"/>
        <v>55.200568189019279</v>
      </c>
      <c r="AD70" s="19">
        <f>Basicinfo!CC70+Basicinfo!CE70+Basicinfo!CH70+Basicinfo!CJ70</f>
        <v>0</v>
      </c>
      <c r="AE70" s="87">
        <f t="shared" si="135"/>
        <v>55.200568189019279</v>
      </c>
      <c r="AF70" s="56">
        <f>Intermediate!F70*Basicinfo!BD70/1000</f>
        <v>4.0897960549505986E-2</v>
      </c>
      <c r="AG70" s="43">
        <f>Intermediate!CA70*Intermediate!AU70*86.4*0.365</f>
        <v>0.64414450871792772</v>
      </c>
      <c r="AH70" s="43">
        <f>Intermediate!AW70*Intermediate!BZ70*0.365*86.4</f>
        <v>1.6902485013871274E-2</v>
      </c>
      <c r="AI70" s="43">
        <f>(Intermediate!CU70/1000000)*(Intermediate!BK70-Intermediate!BF70-Intermediate!BG70-Intermediate!BH70)*Intermediate!CW70</f>
        <v>1.3222222089818287E-2</v>
      </c>
      <c r="AJ70" s="43">
        <f>Intermediate!BF70*Parameters!$C$52/1000000+(Intermediate!BG70+Intermediate!BH70)*Intermediate!CX70/1000000</f>
        <v>0.38308106943945686</v>
      </c>
      <c r="AK70" s="43">
        <f>Intermediate!AZ70*Intermediate!CH70*86.4*0.365</f>
        <v>1.4262168839309719E-2</v>
      </c>
      <c r="AL70" s="58">
        <f>Intermediate!CR70*Intermediate!BA70*86.4*0.365</f>
        <v>1.4338712917150815</v>
      </c>
      <c r="AM70" s="43">
        <f>Intermediate!DH70</f>
        <v>1.250813142558678E-2</v>
      </c>
      <c r="AN70" s="42">
        <f>Intermediate!DJ70</f>
        <v>6.2726746201213102E-2</v>
      </c>
      <c r="AO70" s="42">
        <f>Intermediate!DL70</f>
        <v>9.4493738223016856E-3</v>
      </c>
      <c r="AP70" s="42">
        <f t="shared" si="265"/>
        <v>2.6310659578140725</v>
      </c>
      <c r="AQ70" s="43">
        <f>Basicinfo!CD70+Basicinfo!CF70+Basicinfo!CI70+Basicinfo!CK70</f>
        <v>0</v>
      </c>
      <c r="AR70" s="83">
        <f t="shared" si="136"/>
        <v>2.6310659578140725</v>
      </c>
      <c r="AS70" s="19">
        <f>F70*86400*365/(Basicinfo!G70*1000000)*1000</f>
        <v>6.8801826694782084</v>
      </c>
      <c r="AT70" s="19">
        <f>G70*86400*365/(Basicinfo!G70*1000000)*1000</f>
        <v>155.48237319167148</v>
      </c>
      <c r="AU70" s="19">
        <f>H70*86400*365/(Basicinfo!G70*1000000)*1000</f>
        <v>4.2898017787862317</v>
      </c>
      <c r="AV70" s="19">
        <f>I70*86400*365/(Basicinfo!G70*1000000)*1000</f>
        <v>0.38154574130485841</v>
      </c>
      <c r="AW70" s="19">
        <f>J70*86400*365/(Basicinfo!G70*1000000)*1000</f>
        <v>555.97852676579328</v>
      </c>
      <c r="AX70" s="53">
        <f>K70*86400*365/(Basicinfo!G70*1000000)*1000</f>
        <v>0.13367538471429083</v>
      </c>
      <c r="AY70" s="53">
        <f>L70*86400*365/(Basicinfo!G70*1000000)*1000</f>
        <v>0.20296735327503748</v>
      </c>
      <c r="AZ70" s="53">
        <f>M70*86400*365/(Basicinfo!G70*1000000)*1000</f>
        <v>0.16509344621576505</v>
      </c>
      <c r="BA70" s="19">
        <f t="shared" si="266"/>
        <v>723.51416633123915</v>
      </c>
      <c r="BB70" s="19">
        <f>O70*86400*365/(Basicinfo!G70*1000000)*1000</f>
        <v>0</v>
      </c>
      <c r="BC70" s="53">
        <f t="shared" si="137"/>
        <v>723.51416633123915</v>
      </c>
      <c r="BD70" s="56">
        <f>P70/(Basicinfo!G70*100)*1000</f>
        <v>0.17647526645329351</v>
      </c>
      <c r="BE70" s="43">
        <f>Q70/(Basicinfo!G70*100)*1000</f>
        <v>51.092770550816567</v>
      </c>
      <c r="BF70" s="58">
        <f t="shared" si="138"/>
        <v>51.269245817269862</v>
      </c>
      <c r="BG70" s="61">
        <f>S70/(Basicinfo!G70*100)*1000000</f>
        <v>41.937029010635243</v>
      </c>
      <c r="BH70" s="19">
        <f>T70/(Basicinfo!G70*100)*1000000</f>
        <v>596.46342621086364</v>
      </c>
      <c r="BI70" s="19">
        <f>U70/(Basicinfo!G70*100)*1000000</f>
        <v>16.456543546030769</v>
      </c>
      <c r="BJ70" s="19">
        <f>V70/(Basicinfo!G70*100)*1000000</f>
        <v>1.1248074165153046</v>
      </c>
      <c r="BK70" s="19">
        <f>W70/(Basicinfo!G70*100)*1000000</f>
        <v>1.277319263770414</v>
      </c>
      <c r="BL70" s="19">
        <f>X70/(Basicinfo!G70*100)*1000000</f>
        <v>23.63220012128378</v>
      </c>
      <c r="BM70" s="19">
        <f>Y70/(Basicinfo!G70*100)*1000000</f>
        <v>2796.2678364759431</v>
      </c>
      <c r="BN70" s="53">
        <f>Z70/(Basicinfo!G70*100)*1000000</f>
        <v>2.2231417426908626</v>
      </c>
      <c r="BO70" s="53">
        <f>AA70/(Basicinfo!G70*100)*1000000</f>
        <v>20.817143256970926</v>
      </c>
      <c r="BP70" s="53">
        <f>AB70/(Basicinfo!G70*100)*1000000</f>
        <v>2.2366653513817836</v>
      </c>
      <c r="BQ70" s="19">
        <f t="shared" si="267"/>
        <v>3502.4361123960862</v>
      </c>
      <c r="BR70" s="19">
        <f>AD70/(Basicinfo!G70*100)*1000000</f>
        <v>0</v>
      </c>
      <c r="BS70" s="53">
        <f t="shared" si="139"/>
        <v>3502.4361123960862</v>
      </c>
      <c r="BT70" s="56">
        <f>AF70/(Basicinfo!G70*100)*1000000</f>
        <v>2.5949460060165577</v>
      </c>
      <c r="BU70" s="43">
        <f>AG70/(Basicinfo!G70*100)*1000000</f>
        <v>40.870503021091956</v>
      </c>
      <c r="BV70" s="43">
        <f>AH70/(Basicinfo!G70*100)*1000000</f>
        <v>1.0724504446965579</v>
      </c>
      <c r="BW70" s="43">
        <f>AI70/(Basicinfo!G70*100)*1000000</f>
        <v>0.83894042494136822</v>
      </c>
      <c r="BX70" s="43">
        <f>AJ70/(Basicinfo!G70*100)*1000000</f>
        <v>24.306216685772554</v>
      </c>
      <c r="BY70" s="58">
        <f>AK70/(Basicinfo!G70*100)*1000000</f>
        <v>0.90492429376524508</v>
      </c>
      <c r="BZ70" s="58">
        <f>AL70/(Basicinfo!G70*100)*1000000</f>
        <v>90.97809601224229</v>
      </c>
      <c r="CA70" s="58">
        <f>AM70/(Basicinfo!G70*100)*1000000</f>
        <v>0.7936318889609929</v>
      </c>
      <c r="CB70" s="58">
        <f>AN70/(Basicinfo!G70*100)*1000000</f>
        <v>3.9799666618637382</v>
      </c>
      <c r="CC70" s="58">
        <f>AO70/(Basicinfo!G70*100)*1000000</f>
        <v>0.59955593213156833</v>
      </c>
      <c r="CD70" s="58">
        <f t="shared" si="268"/>
        <v>166.93923137148283</v>
      </c>
      <c r="CE70" s="58">
        <f>AQ70/(Basicinfo!G70*100)*1000000</f>
        <v>0</v>
      </c>
      <c r="CF70" s="43">
        <f t="shared" si="140"/>
        <v>166.93923137148283</v>
      </c>
      <c r="CG70" s="84"/>
      <c r="CH70" s="84">
        <f t="shared" si="154"/>
        <v>0</v>
      </c>
      <c r="CI70" s="146">
        <f t="shared" si="152"/>
        <v>0.39838043484215957</v>
      </c>
      <c r="CJ70" s="200">
        <f>Intermediate!EW70+Intermediate!EY70+Intermediate!FD70</f>
        <v>12.247428010276753</v>
      </c>
      <c r="CK70" s="180">
        <f>Intermediate!FA70+Intermediate!FF70</f>
        <v>0.97902993507530844</v>
      </c>
      <c r="CL70" s="180">
        <f t="shared" si="252"/>
        <v>0.37245814981019987</v>
      </c>
      <c r="CM70" s="180">
        <f t="shared" si="253"/>
        <v>12.466821084078095</v>
      </c>
      <c r="CN70" s="202">
        <f>Intermediate!EX70+Intermediate!EZ70+Intermediate!FE70</f>
        <v>8.9114170374258546</v>
      </c>
      <c r="CO70" s="180">
        <f>Intermediate!FB70+Intermediate!FG70</f>
        <v>0.63728224530718314</v>
      </c>
      <c r="CP70" s="213">
        <f>Intermediate!EP70+Intermediate!EQ70+Intermediate!ER70+Intermediate!ES70+Intermediate!ET70+Intermediate!EU70+Intermediate!EV70+W70</f>
        <v>19.187751292203732</v>
      </c>
      <c r="CQ70" s="212">
        <f t="shared" si="155"/>
        <v>9.5486992827330379</v>
      </c>
      <c r="CR70" s="212">
        <f t="shared" si="156"/>
        <v>26.065737179240358</v>
      </c>
      <c r="CS70" s="211">
        <f t="shared" si="254"/>
        <v>3.5038094464286414E-2</v>
      </c>
      <c r="CT70" s="212">
        <f t="shared" si="157"/>
        <v>54.83722584864141</v>
      </c>
      <c r="CU70" s="84"/>
      <c r="CV70" s="31">
        <f t="shared" si="158"/>
        <v>55.200568189019279</v>
      </c>
      <c r="CW70" s="31">
        <f>CH70/Basicinfo!$G70*1000/100</f>
        <v>0</v>
      </c>
      <c r="CX70" s="31">
        <f>CI70/Basicinfo!$G70*1000/100</f>
        <v>2.5276950351043569E-2</v>
      </c>
      <c r="CY70" s="31">
        <f>CS70/Basicinfo!$G70*1000/100</f>
        <v>2.2231417426908625E-3</v>
      </c>
      <c r="CZ70" s="31">
        <f>CN70/Basicinfo!$G70*1000/100</f>
        <v>0.56542296335838804</v>
      </c>
      <c r="DA70" s="31">
        <f>CO70/Basicinfo!$G70*1000/100</f>
        <v>4.0435097372724965E-2</v>
      </c>
      <c r="DB70" s="31">
        <f>CQ70/Basicinfo!$G70*1000/100</f>
        <v>0.60585806073111304</v>
      </c>
      <c r="DC70" s="31">
        <f>CJ70/Basicinfo!$G70*1000/100</f>
        <v>0.77709044588598364</v>
      </c>
      <c r="DD70" s="31">
        <f>CK70/Basicinfo!$G70*1000/100</f>
        <v>6.2118741024239379E-2</v>
      </c>
      <c r="DE70" s="31">
        <f>CM70/Basicinfo!$G70*1000/100</f>
        <v>0.79101077768148598</v>
      </c>
      <c r="DF70" s="31">
        <f>CR70/Basicinfo!$G70*1000/100</f>
        <v>1.6538521647129929</v>
      </c>
      <c r="DG70" s="31">
        <f>CP70/Basicinfo!$G70*1000/100</f>
        <v>1.2174489366009364</v>
      </c>
      <c r="DH70" s="31">
        <f>CT70/Basicinfo!$G70*1000/100</f>
        <v>3.4793823037877329</v>
      </c>
      <c r="DI70" s="31">
        <f>CV70/Basicinfo!$G70*1000/100</f>
        <v>3.5024361123960852</v>
      </c>
      <c r="DJ70" s="31"/>
      <c r="DK70" s="188">
        <f t="shared" si="159"/>
        <v>0</v>
      </c>
      <c r="DL70" s="188">
        <f t="shared" si="160"/>
        <v>0.7264780970900071</v>
      </c>
      <c r="DM70" s="188">
        <f t="shared" si="161"/>
        <v>6.3894724654738319E-2</v>
      </c>
      <c r="DN70" s="188">
        <f t="shared" si="162"/>
        <v>16.250670779777664</v>
      </c>
      <c r="DO70" s="188">
        <f t="shared" si="163"/>
        <v>1.1621343630076644</v>
      </c>
      <c r="DP70" s="188">
        <f t="shared" si="164"/>
        <v>17.412805142785331</v>
      </c>
      <c r="DQ70" s="188">
        <f t="shared" si="225"/>
        <v>22.334149513838295</v>
      </c>
      <c r="DR70" s="188">
        <f t="shared" si="226"/>
        <v>1.7853381893853844</v>
      </c>
      <c r="DS70" s="188">
        <f t="shared" si="227"/>
        <v>22.734230062053658</v>
      </c>
      <c r="DT70" s="188">
        <f t="shared" si="165"/>
        <v>47.532924534121264</v>
      </c>
      <c r="DU70" s="188">
        <f t="shared" si="166"/>
        <v>34.990375598438675</v>
      </c>
      <c r="DV70" s="188">
        <f t="shared" si="228"/>
        <v>100</v>
      </c>
      <c r="DW70" s="188">
        <f t="shared" si="229"/>
        <v>100.66258337243525</v>
      </c>
      <c r="DY70" s="181">
        <f t="shared" si="167"/>
        <v>0</v>
      </c>
      <c r="DZ70" s="181">
        <f t="shared" si="269"/>
        <v>8.4684251449101564E-2</v>
      </c>
      <c r="EA70" s="185">
        <f t="shared" si="168"/>
        <v>1.4262168839309719E-2</v>
      </c>
      <c r="EB70" s="185">
        <f>AG70+AH70+AL70-Intermediate!FJ70-Intermediate!FM70</f>
        <v>1.4209697617736454</v>
      </c>
      <c r="EC70" s="185">
        <f>AI70+AJ70-Intermediate!FK70</f>
        <v>1.9778418868118819E-3</v>
      </c>
      <c r="ED70" s="240">
        <f t="shared" si="169"/>
        <v>4.0897960549505986E-2</v>
      </c>
      <c r="EE70" s="240">
        <f>Intermediate!FJ70+Intermediate!FK70+Intermediate!FM70</f>
        <v>1.0682739733156985</v>
      </c>
      <c r="EF70" s="240">
        <f t="shared" si="170"/>
        <v>1.4372097724997668</v>
      </c>
      <c r="EG70" s="240">
        <f t="shared" si="171"/>
        <v>8.4684251449101564E-2</v>
      </c>
      <c r="EH70" s="240">
        <f t="shared" si="172"/>
        <v>2.6310659578140729</v>
      </c>
      <c r="EI70" s="181">
        <f t="shared" si="173"/>
        <v>2.6310659578140725</v>
      </c>
      <c r="EK70" s="31">
        <f>DY70/Basicinfo!$G70*1000/100</f>
        <v>0</v>
      </c>
      <c r="EL70" s="31">
        <f>DZ70/Basicinfo!$G70*1000/100</f>
        <v>5.3731544829562997E-3</v>
      </c>
      <c r="EM70" s="220">
        <f>EG70/Basicinfo!$G70*1000/100</f>
        <v>5.3731544829562997E-3</v>
      </c>
      <c r="EN70" s="220">
        <f>ED70/Basicinfo!$G70*1000/100</f>
        <v>2.5949460060165574E-3</v>
      </c>
      <c r="EO70" s="220">
        <f>EF70/Basicinfo!$G70*1000/100</f>
        <v>9.1189920202543795E-2</v>
      </c>
      <c r="EP70" s="220">
        <f>EE70/Basicinfo!$G70*1000/100</f>
        <v>6.7781210679966175E-2</v>
      </c>
      <c r="EQ70" s="220">
        <f>EH70/Basicinfo!$G70*1000/100</f>
        <v>0.16693923137148281</v>
      </c>
      <c r="ER70" s="31">
        <f>EI70/Basicinfo!$G70*1000/100</f>
        <v>0.16693923137148278</v>
      </c>
      <c r="ET70" s="188">
        <f t="shared" si="230"/>
        <v>0</v>
      </c>
      <c r="EU70" s="188">
        <f t="shared" si="231"/>
        <v>3.2186289818237195</v>
      </c>
      <c r="EV70" s="223">
        <f t="shared" si="232"/>
        <v>3.2186289818237195</v>
      </c>
      <c r="EW70" s="223">
        <f t="shared" si="233"/>
        <v>1.5544255144209536</v>
      </c>
      <c r="EX70" s="223">
        <f t="shared" si="234"/>
        <v>54.624619661523866</v>
      </c>
      <c r="EY70" s="223">
        <f t="shared" si="235"/>
        <v>40.602325842231494</v>
      </c>
      <c r="EZ70" s="223">
        <f t="shared" si="236"/>
        <v>100.00000000000003</v>
      </c>
      <c r="FA70" s="188">
        <f t="shared" si="237"/>
        <v>100</v>
      </c>
      <c r="FC70" s="236"/>
      <c r="FD70" s="181">
        <f>IF((Intermediate!CL70+Intermediate!CM70*3)/4&gt;11,(Intermediate!CL70+Intermediate!CM70*9)/10,(Intermediate!CL70+Intermediate!CM70*3)/4)</f>
        <v>0.7621292874234189</v>
      </c>
      <c r="FF70" s="31">
        <f t="shared" si="174"/>
        <v>4.0897960549505986E-2</v>
      </c>
      <c r="FG70" s="31">
        <f t="shared" si="175"/>
        <v>0.64414450871792772</v>
      </c>
      <c r="FH70" s="31">
        <f t="shared" si="176"/>
        <v>1.6902485013871274E-2</v>
      </c>
      <c r="FI70" s="31">
        <f>(AI70-(P70*450/1000000))*Parameters!$C$153</f>
        <v>9.5764881464814582E-3</v>
      </c>
      <c r="FJ70" s="31"/>
      <c r="FK70" s="31">
        <f t="shared" si="177"/>
        <v>1.4262168839309719E-2</v>
      </c>
      <c r="FL70" s="31">
        <f t="shared" si="178"/>
        <v>1.4338712917150815</v>
      </c>
      <c r="FM70" s="31">
        <f>AM70*Parameters!$C$154</f>
        <v>1.1257318283028101E-2</v>
      </c>
      <c r="FN70" s="31">
        <f>AN70*Parameters!$C$154</f>
        <v>5.6454071581091794E-2</v>
      </c>
      <c r="FO70" s="31">
        <f>AO70*Parameters!$C$154</f>
        <v>8.5044364400715181E-3</v>
      </c>
      <c r="FP70" s="31">
        <f>AQ70*Parameters!$C$155</f>
        <v>0</v>
      </c>
      <c r="FQ70" s="31">
        <f t="shared" si="238"/>
        <v>2.2358707292863689</v>
      </c>
      <c r="FS70" s="147">
        <f>DY70*Parameters!$C$155</f>
        <v>0</v>
      </c>
      <c r="FT70" s="147">
        <f>DZ70*Parameters!$C$154</f>
        <v>7.6215826304191409E-2</v>
      </c>
      <c r="FU70" s="181">
        <f t="shared" si="239"/>
        <v>1.4262168839309719E-2</v>
      </c>
      <c r="FV70" s="181">
        <f t="shared" si="240"/>
        <v>1.4209697617736454</v>
      </c>
      <c r="FW70" s="31">
        <f t="shared" si="241"/>
        <v>9.5764881464813767E-3</v>
      </c>
      <c r="FX70" s="181">
        <f t="shared" si="242"/>
        <v>4.0897960549505986E-2</v>
      </c>
      <c r="FY70" s="147">
        <f>Intermediate!FJ70+Intermediate!FM70</f>
        <v>0.67394852367323521</v>
      </c>
      <c r="FZ70" s="181">
        <f t="shared" si="243"/>
        <v>1.4448084187594366</v>
      </c>
      <c r="GA70" s="147">
        <f t="shared" si="244"/>
        <v>7.6215826304191409E-2</v>
      </c>
      <c r="GB70" s="181">
        <f t="shared" si="245"/>
        <v>2.2358707292863689</v>
      </c>
      <c r="GD70" s="147">
        <f>IF('River loads'!CH70&gt;0.99,1,0)</f>
        <v>0</v>
      </c>
      <c r="GE70" s="147">
        <f t="shared" si="179"/>
        <v>0</v>
      </c>
      <c r="GF70" s="147">
        <f t="shared" si="180"/>
        <v>0</v>
      </c>
      <c r="GG70" s="147">
        <f t="shared" si="181"/>
        <v>0</v>
      </c>
      <c r="GH70" s="147">
        <f t="shared" si="182"/>
        <v>0</v>
      </c>
      <c r="GI70" s="147">
        <f t="shared" si="183"/>
        <v>0</v>
      </c>
      <c r="GJ70" s="147">
        <f t="shared" si="184"/>
        <v>0</v>
      </c>
      <c r="GK70" s="147">
        <f t="shared" si="185"/>
        <v>0</v>
      </c>
      <c r="GL70" s="147">
        <f t="shared" si="186"/>
        <v>0</v>
      </c>
      <c r="GM70" s="270">
        <f t="shared" si="270"/>
        <v>0</v>
      </c>
      <c r="GN70" s="270">
        <f t="shared" si="271"/>
        <v>0</v>
      </c>
      <c r="GO70" s="147">
        <f t="shared" si="187"/>
        <v>0</v>
      </c>
      <c r="GP70" s="147">
        <f t="shared" si="246"/>
        <v>0</v>
      </c>
      <c r="GQ70" s="147"/>
      <c r="GR70" s="147">
        <f t="shared" si="247"/>
        <v>0</v>
      </c>
      <c r="GS70" s="147">
        <f t="shared" si="188"/>
        <v>0</v>
      </c>
      <c r="GT70" s="147">
        <f t="shared" si="189"/>
        <v>0</v>
      </c>
      <c r="GU70" s="147">
        <f t="shared" si="190"/>
        <v>0</v>
      </c>
      <c r="GV70" s="147">
        <f t="shared" si="191"/>
        <v>0</v>
      </c>
      <c r="GW70" s="147">
        <f t="shared" si="192"/>
        <v>0</v>
      </c>
      <c r="GX70" s="147">
        <f t="shared" si="193"/>
        <v>0</v>
      </c>
      <c r="GY70" s="147">
        <f t="shared" si="194"/>
        <v>0</v>
      </c>
      <c r="GZ70" s="147">
        <f t="shared" si="272"/>
        <v>0</v>
      </c>
      <c r="HA70" s="147">
        <f t="shared" si="273"/>
        <v>0</v>
      </c>
      <c r="HB70" s="147">
        <f t="shared" si="195"/>
        <v>0</v>
      </c>
      <c r="HC70" s="147">
        <f t="shared" si="196"/>
        <v>0</v>
      </c>
      <c r="HD70" s="147"/>
      <c r="HE70" s="147">
        <f t="shared" si="197"/>
        <v>0</v>
      </c>
      <c r="HF70" s="147">
        <f t="shared" si="198"/>
        <v>0</v>
      </c>
      <c r="HG70" s="147">
        <f t="shared" si="199"/>
        <v>0</v>
      </c>
      <c r="HH70" s="147">
        <f t="shared" si="200"/>
        <v>0</v>
      </c>
      <c r="HI70" s="147">
        <f t="shared" si="201"/>
        <v>0</v>
      </c>
      <c r="HJ70" s="147">
        <f t="shared" si="202"/>
        <v>0</v>
      </c>
      <c r="HK70" s="147">
        <f t="shared" si="203"/>
        <v>0</v>
      </c>
      <c r="HL70" s="147">
        <f t="shared" si="204"/>
        <v>0</v>
      </c>
      <c r="HM70" s="147">
        <f t="shared" si="205"/>
        <v>0</v>
      </c>
      <c r="HN70" s="147">
        <f t="shared" si="206"/>
        <v>0</v>
      </c>
      <c r="HO70" s="147">
        <f t="shared" si="207"/>
        <v>0</v>
      </c>
      <c r="HQ70" s="147">
        <f t="shared" si="248"/>
        <v>0</v>
      </c>
      <c r="HR70" s="147">
        <f t="shared" si="208"/>
        <v>0</v>
      </c>
      <c r="HS70" s="147">
        <f t="shared" si="209"/>
        <v>0</v>
      </c>
      <c r="HT70" s="147">
        <f t="shared" si="210"/>
        <v>0</v>
      </c>
      <c r="HU70" s="147">
        <f t="shared" si="211"/>
        <v>0</v>
      </c>
      <c r="HV70" s="147">
        <f t="shared" si="212"/>
        <v>0</v>
      </c>
      <c r="HW70" s="147">
        <f t="shared" si="213"/>
        <v>0</v>
      </c>
      <c r="HX70" s="147">
        <f t="shared" si="214"/>
        <v>0</v>
      </c>
      <c r="HY70" s="147">
        <f t="shared" si="215"/>
        <v>0</v>
      </c>
      <c r="HZ70" s="147">
        <f t="shared" si="216"/>
        <v>0</v>
      </c>
      <c r="IB70" s="147">
        <f>IF('River loads'!CI70&gt;0.99,1,0)</f>
        <v>0</v>
      </c>
      <c r="IC70">
        <f t="shared" si="255"/>
        <v>0</v>
      </c>
      <c r="ID70">
        <f t="shared" si="256"/>
        <v>0</v>
      </c>
      <c r="IE70">
        <f t="shared" si="257"/>
        <v>0</v>
      </c>
      <c r="IF70">
        <f t="shared" si="258"/>
        <v>0</v>
      </c>
      <c r="IG70">
        <f t="shared" si="259"/>
        <v>0</v>
      </c>
      <c r="IH70">
        <f t="shared" si="260"/>
        <v>0</v>
      </c>
      <c r="II70">
        <f t="shared" si="261"/>
        <v>0</v>
      </c>
      <c r="IJ70">
        <f t="shared" si="262"/>
        <v>0</v>
      </c>
      <c r="IK70">
        <f t="shared" si="274"/>
        <v>0</v>
      </c>
      <c r="IL70">
        <f t="shared" si="275"/>
        <v>0</v>
      </c>
      <c r="IM70">
        <f t="shared" si="249"/>
        <v>0</v>
      </c>
      <c r="IN70">
        <f t="shared" si="250"/>
        <v>0</v>
      </c>
      <c r="IP70">
        <f t="shared" si="251"/>
        <v>0</v>
      </c>
      <c r="IQ70">
        <f t="shared" si="217"/>
        <v>0</v>
      </c>
      <c r="IR70">
        <f t="shared" si="218"/>
        <v>0</v>
      </c>
      <c r="IS70">
        <f t="shared" si="219"/>
        <v>0</v>
      </c>
      <c r="IT70">
        <f t="shared" si="220"/>
        <v>0</v>
      </c>
      <c r="IU70">
        <f t="shared" si="221"/>
        <v>0</v>
      </c>
      <c r="IV70">
        <f t="shared" si="222"/>
        <v>0</v>
      </c>
      <c r="IW70">
        <f t="shared" si="223"/>
        <v>0</v>
      </c>
      <c r="IX70">
        <f t="shared" si="224"/>
        <v>0</v>
      </c>
    </row>
    <row r="71" spans="1:258">
      <c r="A71" s="39" t="str">
        <f>Basicinfo!A71</f>
        <v>Salza</v>
      </c>
      <c r="B71" s="63">
        <f>Basicinfo!B71</f>
        <v>1420</v>
      </c>
      <c r="C71" s="63">
        <f>Basicinfo!C71</f>
        <v>4060</v>
      </c>
      <c r="D71" s="130">
        <f>Basicinfo!G71</f>
        <v>231.82725680600001</v>
      </c>
      <c r="E71" s="87">
        <f t="shared" si="153"/>
        <v>11.4431978844206</v>
      </c>
      <c r="F71" s="19">
        <f>Intermediate!AR71</f>
        <v>3.5092419679616488E-2</v>
      </c>
      <c r="G71" s="19">
        <f>Intermediate!AU71</f>
        <v>2.9608405154939739</v>
      </c>
      <c r="H71" s="19">
        <f>Intermediate!AW71</f>
        <v>8.287345898296114E-2</v>
      </c>
      <c r="I71" s="19">
        <f>Intermediate!AZ71</f>
        <v>4.7863040637903018E-2</v>
      </c>
      <c r="J71" s="19">
        <f>Intermediate!BA71</f>
        <v>8.2863880230215106</v>
      </c>
      <c r="K71" s="19">
        <f>Intermediate!AC71</f>
        <v>4.7299389894231826E-3</v>
      </c>
      <c r="L71" s="19">
        <f>Intermediate!AO71</f>
        <v>5.9211610722619337E-3</v>
      </c>
      <c r="M71" s="19">
        <f>Intermediate!AP71</f>
        <v>5.2252051155870002E-3</v>
      </c>
      <c r="N71" s="19">
        <f t="shared" si="263"/>
        <v>11.428933762993237</v>
      </c>
      <c r="O71" s="19">
        <f>Basicinfo!CB71+Basicinfo!CG71</f>
        <v>1.4264121427363436E-2</v>
      </c>
      <c r="P71" s="56">
        <f>Intermediate!BK71-Intermediate!BI71</f>
        <v>13.937382330959736</v>
      </c>
      <c r="Q71" s="43">
        <f>Intermediate!BI71</f>
        <v>1572.5576174234793</v>
      </c>
      <c r="R71" s="88">
        <f t="shared" si="134"/>
        <v>1586.494999754439</v>
      </c>
      <c r="S71" s="61">
        <f>Intermediate!F71*Intermediate!BO71/1000</f>
        <v>1.5192413975970496</v>
      </c>
      <c r="T71" s="19">
        <f>Intermediate!BU71*Intermediate!AU71*86.4*0.365</f>
        <v>75.420559079044111</v>
      </c>
      <c r="U71" s="19">
        <f>Intermediate!AW71*Intermediate!BS71*0.365*86.4</f>
        <v>2.1099862650924748</v>
      </c>
      <c r="V71" s="19">
        <f>(Basicinfo!BL71/1000000)*(Intermediate!BK71-Intermediate!BF71-Intermediate!BG71-Intermediate!BH71)*Intermediate!CV71</f>
        <v>7.7558502653244155E-2</v>
      </c>
      <c r="W71" s="19">
        <f>Intermediate!BI71*Parameters!$C$51/1000000</f>
        <v>3.9313940435586982E-2</v>
      </c>
      <c r="X71" s="19">
        <f>Intermediate!AZ71*Intermediate!CG71*86.4*0.365</f>
        <v>11.938641035858346</v>
      </c>
      <c r="Y71" s="19">
        <f>Intermediate!CM71*Intermediate!BA71*86.4*0.365+Parameters!$C$126*Intermediate!BB71*Basicinfo!P71/1000+Parameters!$C$127*Intermediate!BB71*Basicinfo!S71/1000</f>
        <v>261.45211953038825</v>
      </c>
      <c r="Z71" s="19">
        <f>Intermediate!DG71</f>
        <v>0.25679140894941366</v>
      </c>
      <c r="AA71" s="19">
        <f>Intermediate!DI71</f>
        <v>2.165408899046172</v>
      </c>
      <c r="AB71" s="19">
        <f>Intermediate!DK71</f>
        <v>0.39817019263388165</v>
      </c>
      <c r="AC71" s="19">
        <f t="shared" si="264"/>
        <v>355.37779025169851</v>
      </c>
      <c r="AD71" s="19">
        <f>Basicinfo!CC71+Basicinfo!CE71+Basicinfo!CH71+Basicinfo!CJ71</f>
        <v>6.2333333333333334</v>
      </c>
      <c r="AE71" s="87">
        <f t="shared" si="135"/>
        <v>361.61112358503186</v>
      </c>
      <c r="AF71" s="56">
        <f>Intermediate!F71*Basicinfo!BD71/1000</f>
        <v>4.5158216935970441E-2</v>
      </c>
      <c r="AG71" s="43">
        <f>Intermediate!CA71*Intermediate!AU71*86.4*0.365</f>
        <v>1.7346783036800399</v>
      </c>
      <c r="AH71" s="43">
        <f>Intermediate!AW71*Intermediate!BZ71*0.365*86.4</f>
        <v>1.220623746259048E-2</v>
      </c>
      <c r="AI71" s="43">
        <f>(Intermediate!CU71/1000000)*(Intermediate!BK71-Intermediate!BF71-Intermediate!BG71-Intermediate!BH71)*Intermediate!CW71</f>
        <v>6.6641056076203922E-2</v>
      </c>
      <c r="AJ71" s="43">
        <f>Intermediate!BF71*Parameters!$C$52/1000000+(Intermediate!BG71+Intermediate!BH71)*Intermediate!CX71/1000000</f>
        <v>0.73970397580663239</v>
      </c>
      <c r="AK71" s="43">
        <f>Intermediate!AZ71*Intermediate!CH71*86.4*0.365</f>
        <v>0.84847989022960402</v>
      </c>
      <c r="AL71" s="58">
        <f>Intermediate!CR71*Intermediate!BA71*86.4*0.365</f>
        <v>6.0321197573130814</v>
      </c>
      <c r="AM71" s="43">
        <f>Intermediate!DH71</f>
        <v>7.0761942509197817E-2</v>
      </c>
      <c r="AN71" s="42">
        <f>Intermediate!DJ71</f>
        <v>0.38458520297361809</v>
      </c>
      <c r="AO71" s="42">
        <f>Intermediate!DL71</f>
        <v>6.7325389541410957E-2</v>
      </c>
      <c r="AP71" s="42">
        <f t="shared" si="265"/>
        <v>10.001659972528348</v>
      </c>
      <c r="AQ71" s="43">
        <f>Basicinfo!CD71+Basicinfo!CF71+Basicinfo!CI71+Basicinfo!CK71</f>
        <v>0.28333333333333338</v>
      </c>
      <c r="AR71" s="83">
        <f t="shared" si="136"/>
        <v>10.284993305861681</v>
      </c>
      <c r="AS71" s="19">
        <f>F71*86400*365/(Basicinfo!G71*1000000)*1000</f>
        <v>4.7737033266217015</v>
      </c>
      <c r="AT71" s="19">
        <f>G71*86400*365/(Basicinfo!G71*1000000)*1000</f>
        <v>402.77000980413334</v>
      </c>
      <c r="AU71" s="19">
        <f>H71*86400*365/(Basicinfo!G71*1000000)*1000</f>
        <v>11.273469041104669</v>
      </c>
      <c r="AV71" s="19">
        <f>I71*86400*365/(Basicinfo!G71*1000000)*1000</f>
        <v>6.5109205464136952</v>
      </c>
      <c r="AW71" s="19">
        <f>J71*86400*365/(Basicinfo!G71*1000000)*1000</f>
        <v>1127.2166021128671</v>
      </c>
      <c r="AX71" s="53">
        <f>K71*86400*365/(Basicinfo!G71*1000000)*1000</f>
        <v>0.64342458270674296</v>
      </c>
      <c r="AY71" s="53">
        <f>L71*86400*365/(Basicinfo!G71*1000000)*1000</f>
        <v>0.80546928841552656</v>
      </c>
      <c r="AZ71" s="53">
        <f>M71*86400*365/(Basicinfo!G71*1000000)*1000</f>
        <v>0.7107967837580299</v>
      </c>
      <c r="BA71" s="19">
        <f t="shared" si="266"/>
        <v>1554.7043954860208</v>
      </c>
      <c r="BB71" s="19">
        <f>O71*86400*365/(Basicinfo!G71*1000000)*1000</f>
        <v>1.9403815562109135</v>
      </c>
      <c r="BC71" s="53">
        <f t="shared" si="137"/>
        <v>1556.6447770422317</v>
      </c>
      <c r="BD71" s="56">
        <f>P71/(Basicinfo!G71*100)*1000</f>
        <v>0.60119687921869147</v>
      </c>
      <c r="BE71" s="43">
        <f>Q71/(Basicinfo!G71*100)*1000</f>
        <v>67.833163325546423</v>
      </c>
      <c r="BF71" s="58">
        <f t="shared" si="138"/>
        <v>68.434360204765113</v>
      </c>
      <c r="BG71" s="61">
        <f>S71/(Basicinfo!G71*100)*1000000</f>
        <v>65.533337991761528</v>
      </c>
      <c r="BH71" s="19">
        <f>T71/(Basicinfo!G71*100)*1000000</f>
        <v>3253.3085245518951</v>
      </c>
      <c r="BI71" s="19">
        <f>U71/(Basicinfo!G71*100)*1000000</f>
        <v>91.015452374445104</v>
      </c>
      <c r="BJ71" s="19">
        <f>V71/(Basicinfo!G71*100)*1000000</f>
        <v>3.3455299312861828</v>
      </c>
      <c r="BK71" s="19">
        <f>W71/(Basicinfo!G71*100)*1000000</f>
        <v>1.6958290831386607</v>
      </c>
      <c r="BL71" s="19">
        <f>X71/(Basicinfo!G71*100)*1000000</f>
        <v>514.98004161991003</v>
      </c>
      <c r="BM71" s="19">
        <f>Y71/(Basicinfo!G71*100)*1000000</f>
        <v>11277.885229396439</v>
      </c>
      <c r="BN71" s="53">
        <f>Z71/(Basicinfo!G71*100)*1000000</f>
        <v>11.07684283924838</v>
      </c>
      <c r="BO71" s="53">
        <f>AA71/(Basicinfo!G71*100)*1000000</f>
        <v>93.406139074416558</v>
      </c>
      <c r="BP71" s="53">
        <f>AB71/(Basicinfo!G71*100)*1000000</f>
        <v>17.175296732561627</v>
      </c>
      <c r="BQ71" s="19">
        <f t="shared" si="267"/>
        <v>15329.422223595102</v>
      </c>
      <c r="BR71" s="19">
        <f>AD71/(Basicinfo!G71*100)*1000000</f>
        <v>268.87836310592132</v>
      </c>
      <c r="BS71" s="53">
        <f t="shared" si="139"/>
        <v>15598.300586701023</v>
      </c>
      <c r="BT71" s="56">
        <f>AF71/(Basicinfo!G71*100)*1000000</f>
        <v>1.9479252594426457</v>
      </c>
      <c r="BU71" s="43">
        <f>AG71/(Basicinfo!G71*100)*1000000</f>
        <v>74.82633093190033</v>
      </c>
      <c r="BV71" s="43">
        <f>AH71/(Basicinfo!G71*100)*1000000</f>
        <v>0.52652296501981322</v>
      </c>
      <c r="BW71" s="43">
        <f>AI71/(Basicinfo!G71*100)*1000000</f>
        <v>2.8745996909229339</v>
      </c>
      <c r="BX71" s="43">
        <f>AJ71/(Basicinfo!G71*100)*1000000</f>
        <v>31.907549871309513</v>
      </c>
      <c r="BY71" s="58">
        <f>AK71/(Basicinfo!G71*100)*1000000</f>
        <v>36.599660536881451</v>
      </c>
      <c r="BZ71" s="58">
        <f>AL71/(Basicinfo!G71*100)*1000000</f>
        <v>260.19890156233612</v>
      </c>
      <c r="CA71" s="58">
        <f>AM71/(Basicinfo!G71*100)*1000000</f>
        <v>3.0523564607596394</v>
      </c>
      <c r="CB71" s="58">
        <f>AN71/(Basicinfo!G71*100)*1000000</f>
        <v>16.589300510744106</v>
      </c>
      <c r="CC71" s="58">
        <f>AO71/(Basicinfo!G71*100)*1000000</f>
        <v>2.9041188024646671</v>
      </c>
      <c r="CD71" s="58">
        <f t="shared" si="268"/>
        <v>431.42726659178123</v>
      </c>
      <c r="CE71" s="58">
        <f>AQ71/(Basicinfo!G71*100)*1000000</f>
        <v>12.22174377754188</v>
      </c>
      <c r="CF71" s="43">
        <f t="shared" si="140"/>
        <v>443.64901036932309</v>
      </c>
      <c r="CG71" s="84"/>
      <c r="CH71" s="84">
        <f t="shared" si="154"/>
        <v>6.2333333333333334</v>
      </c>
      <c r="CI71" s="146">
        <f t="shared" si="152"/>
        <v>2.8203705006294673</v>
      </c>
      <c r="CJ71" s="200">
        <f>Intermediate!EW71+Intermediate!EY71+Intermediate!FD71</f>
        <v>86.089363629482222</v>
      </c>
      <c r="CK71" s="180">
        <f>Intermediate!FA71+Intermediate!FF71</f>
        <v>14.57342690671501</v>
      </c>
      <c r="CL71" s="180">
        <f t="shared" si="252"/>
        <v>11.938641035858346</v>
      </c>
      <c r="CM71" s="180">
        <f t="shared" si="253"/>
        <v>102.42090485076525</v>
      </c>
      <c r="CN71" s="202">
        <f>Intermediate!EX71+Intermediate!EZ71+Intermediate!FE71</f>
        <v>66.477670670066573</v>
      </c>
      <c r="CO71" s="180">
        <f>Intermediate!FB71+Intermediate!FG71</f>
        <v>11.084311959435126</v>
      </c>
      <c r="CP71" s="213">
        <f>Intermediate!EP71+Intermediate!EQ71+Intermediate!ER71+Intermediate!ES71+Intermediate!ET71+Intermediate!EU71+Intermediate!EV71+W71</f>
        <v>59.973100698746556</v>
      </c>
      <c r="CQ71" s="212">
        <f t="shared" si="155"/>
        <v>77.561982629501699</v>
      </c>
      <c r="CR71" s="212">
        <f t="shared" si="156"/>
        <v>215.02233642282084</v>
      </c>
      <c r="CS71" s="211">
        <f t="shared" si="254"/>
        <v>6.4901247422827471</v>
      </c>
      <c r="CT71" s="212">
        <f t="shared" si="157"/>
        <v>359.04754449335184</v>
      </c>
      <c r="CU71" s="84"/>
      <c r="CV71" s="31">
        <f t="shared" si="158"/>
        <v>361.61112358503186</v>
      </c>
      <c r="CW71" s="31">
        <f>CH71/Basicinfo!$G71*1000/100</f>
        <v>0.26887836310592134</v>
      </c>
      <c r="CX71" s="31">
        <f>CI71/Basicinfo!$G71*1000/100</f>
        <v>0.12165827864622657</v>
      </c>
      <c r="CY71" s="31">
        <f>CS71/Basicinfo!$G71*1000/100</f>
        <v>0.27995520594516971</v>
      </c>
      <c r="CZ71" s="31">
        <f>CN71/Basicinfo!$G71*1000/100</f>
        <v>2.8675519689083444</v>
      </c>
      <c r="DA71" s="31">
        <f>CO71/Basicinfo!$G71*1000/100</f>
        <v>0.47812807312432681</v>
      </c>
      <c r="DB71" s="31">
        <f>CQ71/Basicinfo!$G71*1000/100</f>
        <v>3.3456800420326713</v>
      </c>
      <c r="DC71" s="31">
        <f>CJ71/Basicinfo!$G71*1000/100</f>
        <v>3.713513450298227</v>
      </c>
      <c r="DD71" s="31">
        <f>CK71/Basicinfo!$G71*1000/100</f>
        <v>0.62863302216919603</v>
      </c>
      <c r="DE71" s="31">
        <f>CM71/Basicinfo!$G71*1000/100</f>
        <v>4.4179837290001727</v>
      </c>
      <c r="DF71" s="31">
        <f>CR71/Basicinfo!$G71*1000/100</f>
        <v>9.2751102430875054</v>
      </c>
      <c r="DG71" s="31">
        <f>CP71/Basicinfo!$G71*1000/100</f>
        <v>2.5869736598286988</v>
      </c>
      <c r="DH71" s="31">
        <f>CT71/Basicinfo!$G71*1000/100</f>
        <v>15.487719150894044</v>
      </c>
      <c r="DI71" s="31">
        <f>CV71/Basicinfo!$G71*1000/100</f>
        <v>15.598300586701022</v>
      </c>
      <c r="DJ71" s="31"/>
      <c r="DK71" s="188">
        <f t="shared" si="159"/>
        <v>1.7360746310433965</v>
      </c>
      <c r="DL71" s="188">
        <f t="shared" si="160"/>
        <v>0.78551449352181524</v>
      </c>
      <c r="DM71" s="188">
        <f t="shared" si="161"/>
        <v>1.8075947995803434</v>
      </c>
      <c r="DN71" s="188">
        <f t="shared" si="162"/>
        <v>18.515004959544427</v>
      </c>
      <c r="DO71" s="188">
        <f t="shared" si="163"/>
        <v>3.0871432291999326</v>
      </c>
      <c r="DP71" s="188">
        <f t="shared" si="164"/>
        <v>21.602148188744358</v>
      </c>
      <c r="DQ71" s="188">
        <f t="shared" si="225"/>
        <v>23.977148695157354</v>
      </c>
      <c r="DR71" s="188">
        <f t="shared" si="226"/>
        <v>4.0589128460074608</v>
      </c>
      <c r="DS71" s="188">
        <f t="shared" si="227"/>
        <v>28.52572212832991</v>
      </c>
      <c r="DT71" s="188">
        <f t="shared" si="165"/>
        <v>59.886870059572907</v>
      </c>
      <c r="DU71" s="188">
        <f t="shared" si="166"/>
        <v>16.703386952102392</v>
      </c>
      <c r="DV71" s="188">
        <f t="shared" si="228"/>
        <v>100</v>
      </c>
      <c r="DW71" s="188">
        <f t="shared" si="229"/>
        <v>100.71399432498487</v>
      </c>
      <c r="DY71" s="181">
        <f t="shared" si="167"/>
        <v>0.28333333333333338</v>
      </c>
      <c r="DZ71" s="181">
        <f t="shared" si="269"/>
        <v>0.52267253502422684</v>
      </c>
      <c r="EA71" s="185">
        <f t="shared" si="168"/>
        <v>0.84847989022960402</v>
      </c>
      <c r="EB71" s="185">
        <f>AG71+AH71+AL71-Intermediate!FJ71-Intermediate!FM71</f>
        <v>6.3282230006878128</v>
      </c>
      <c r="EC71" s="185">
        <f>AI71+AJ71-Intermediate!FK71</f>
        <v>3.1265741265330105E-2</v>
      </c>
      <c r="ED71" s="240">
        <f t="shared" si="169"/>
        <v>4.5158216935970441E-2</v>
      </c>
      <c r="EE71" s="240">
        <f>Intermediate!FJ71+Intermediate!FK71+Intermediate!FM71</f>
        <v>2.2258605883854057</v>
      </c>
      <c r="EF71" s="240">
        <f t="shared" si="170"/>
        <v>7.2079686321827463</v>
      </c>
      <c r="EG71" s="240">
        <f t="shared" si="171"/>
        <v>0.80600586835756016</v>
      </c>
      <c r="EH71" s="240">
        <f t="shared" si="172"/>
        <v>10.284993305861683</v>
      </c>
      <c r="EI71" s="181">
        <f t="shared" si="173"/>
        <v>10.284993305861681</v>
      </c>
      <c r="EK71" s="31">
        <f>DY71/Basicinfo!$G71*1000/100</f>
        <v>1.2221743777541878E-2</v>
      </c>
      <c r="EL71" s="31">
        <f>DZ71/Basicinfo!$G71*1000/100</f>
        <v>2.2545775773968414E-2</v>
      </c>
      <c r="EM71" s="220">
        <f>EG71/Basicinfo!$G71*1000/100</f>
        <v>3.4767519551510286E-2</v>
      </c>
      <c r="EN71" s="220">
        <f>ED71/Basicinfo!$G71*1000/100</f>
        <v>1.9479252594426458E-3</v>
      </c>
      <c r="EO71" s="220">
        <f>EF71/Basicinfo!$G71*1000/100</f>
        <v>0.31091980863210533</v>
      </c>
      <c r="EP71" s="220">
        <f>EE71/Basicinfo!$G71*1000/100</f>
        <v>9.6013756926264834E-2</v>
      </c>
      <c r="EQ71" s="220">
        <f>EH71/Basicinfo!$G71*1000/100</f>
        <v>0.44364901036932308</v>
      </c>
      <c r="ER71" s="31">
        <f>EI71/Basicinfo!$G71*1000/100</f>
        <v>0.44364901036932303</v>
      </c>
      <c r="ET71" s="188">
        <f t="shared" si="230"/>
        <v>2.7548227296546166</v>
      </c>
      <c r="EU71" s="188">
        <f t="shared" si="231"/>
        <v>5.0818947517091964</v>
      </c>
      <c r="EV71" s="223">
        <f t="shared" si="232"/>
        <v>7.8367174813638112</v>
      </c>
      <c r="EW71" s="223">
        <f t="shared" si="233"/>
        <v>0.43906899686783091</v>
      </c>
      <c r="EX71" s="223">
        <f t="shared" si="234"/>
        <v>70.082385256145386</v>
      </c>
      <c r="EY71" s="223">
        <f t="shared" si="235"/>
        <v>21.641828265622991</v>
      </c>
      <c r="EZ71" s="223">
        <f t="shared" si="236"/>
        <v>100.00000000000003</v>
      </c>
      <c r="FA71" s="188">
        <f t="shared" si="237"/>
        <v>100</v>
      </c>
      <c r="FC71" s="236">
        <f>Basicinfo!CT71</f>
        <v>1.0748387096774195</v>
      </c>
      <c r="FD71" s="181">
        <f>IF((Intermediate!CL71+Intermediate!CM71*3)/4&gt;11,(Intermediate!CL71+Intermediate!CM71*9)/10,(Intermediate!CL71+Intermediate!CM71*3)/4)</f>
        <v>1.0161480622323469</v>
      </c>
      <c r="FF71" s="31">
        <f t="shared" si="174"/>
        <v>4.5158216935970441E-2</v>
      </c>
      <c r="FG71" s="31">
        <f t="shared" si="175"/>
        <v>1.7346783036800399</v>
      </c>
      <c r="FH71" s="31">
        <f t="shared" si="176"/>
        <v>1.220623746259048E-2</v>
      </c>
      <c r="FI71" s="31">
        <f>(AI71-(P71*450/1000000))*Parameters!$C$153</f>
        <v>4.8295387221817636E-2</v>
      </c>
      <c r="FJ71" s="31"/>
      <c r="FK71" s="31">
        <f t="shared" si="177"/>
        <v>0.84847989022960402</v>
      </c>
      <c r="FL71" s="31">
        <f t="shared" si="178"/>
        <v>6.0321197573130814</v>
      </c>
      <c r="FM71" s="31">
        <f>AM71*Parameters!$C$154</f>
        <v>6.3685748258278038E-2</v>
      </c>
      <c r="FN71" s="31">
        <f>AN71*Parameters!$C$154</f>
        <v>0.34612668267625629</v>
      </c>
      <c r="FO71" s="31">
        <f>AO71*Parameters!$C$154</f>
        <v>6.0592850587269861E-2</v>
      </c>
      <c r="FP71" s="31">
        <f>AQ71*Parameters!$C$155</f>
        <v>0.28333333333333338</v>
      </c>
      <c r="FQ71" s="31">
        <f t="shared" si="238"/>
        <v>9.4746764076982419</v>
      </c>
      <c r="FS71" s="147">
        <f>DY71*Parameters!$C$155</f>
        <v>0.28333333333333338</v>
      </c>
      <c r="FT71" s="147">
        <f>DZ71*Parameters!$C$154</f>
        <v>0.47040528152180416</v>
      </c>
      <c r="FU71" s="181">
        <f t="shared" si="239"/>
        <v>0.84847989022960402</v>
      </c>
      <c r="FV71" s="181">
        <f t="shared" si="240"/>
        <v>6.3282230006878128</v>
      </c>
      <c r="FW71" s="31">
        <f t="shared" si="241"/>
        <v>4.8295387221817476E-2</v>
      </c>
      <c r="FX71" s="181">
        <f t="shared" si="242"/>
        <v>4.5158216935970441E-2</v>
      </c>
      <c r="FY71" s="147">
        <f>Intermediate!FJ71+Intermediate!FM71</f>
        <v>1.4507812977678995</v>
      </c>
      <c r="FZ71" s="181">
        <f t="shared" si="243"/>
        <v>7.2249982781392346</v>
      </c>
      <c r="GA71" s="147">
        <f t="shared" si="244"/>
        <v>0.75373861485513749</v>
      </c>
      <c r="GB71" s="181">
        <f t="shared" si="245"/>
        <v>9.4746764076982419</v>
      </c>
      <c r="GD71" s="147">
        <f>IF('River loads'!CH71&gt;0.99,1,0)</f>
        <v>0</v>
      </c>
      <c r="GE71" s="147">
        <f t="shared" si="179"/>
        <v>0</v>
      </c>
      <c r="GF71" s="147">
        <f t="shared" si="180"/>
        <v>0</v>
      </c>
      <c r="GG71" s="147">
        <f t="shared" si="181"/>
        <v>0</v>
      </c>
      <c r="GH71" s="147">
        <f t="shared" si="182"/>
        <v>0</v>
      </c>
      <c r="GI71" s="147">
        <f t="shared" si="183"/>
        <v>0</v>
      </c>
      <c r="GJ71" s="147">
        <f t="shared" si="184"/>
        <v>0</v>
      </c>
      <c r="GK71" s="147">
        <f t="shared" si="185"/>
        <v>0</v>
      </c>
      <c r="GL71" s="147">
        <f t="shared" si="186"/>
        <v>0</v>
      </c>
      <c r="GM71" s="270">
        <f t="shared" si="270"/>
        <v>0</v>
      </c>
      <c r="GN71" s="270">
        <f t="shared" si="271"/>
        <v>0</v>
      </c>
      <c r="GO71" s="147">
        <f t="shared" si="187"/>
        <v>0</v>
      </c>
      <c r="GP71" s="147">
        <f t="shared" si="246"/>
        <v>0</v>
      </c>
      <c r="GQ71" s="147"/>
      <c r="GR71" s="147">
        <f t="shared" si="247"/>
        <v>0</v>
      </c>
      <c r="GS71" s="147">
        <f t="shared" si="188"/>
        <v>0</v>
      </c>
      <c r="GT71" s="147">
        <f t="shared" si="189"/>
        <v>0</v>
      </c>
      <c r="GU71" s="147">
        <f t="shared" si="190"/>
        <v>0</v>
      </c>
      <c r="GV71" s="147">
        <f t="shared" si="191"/>
        <v>0</v>
      </c>
      <c r="GW71" s="147">
        <f t="shared" si="192"/>
        <v>0</v>
      </c>
      <c r="GX71" s="147">
        <f t="shared" si="193"/>
        <v>0</v>
      </c>
      <c r="GY71" s="147">
        <f t="shared" si="194"/>
        <v>0</v>
      </c>
      <c r="GZ71" s="147">
        <f t="shared" si="272"/>
        <v>0</v>
      </c>
      <c r="HA71" s="147">
        <f t="shared" si="273"/>
        <v>0</v>
      </c>
      <c r="HB71" s="147">
        <f t="shared" si="195"/>
        <v>0</v>
      </c>
      <c r="HC71" s="147">
        <f t="shared" si="196"/>
        <v>0</v>
      </c>
      <c r="HD71" s="147"/>
      <c r="HE71" s="147">
        <f t="shared" si="197"/>
        <v>0</v>
      </c>
      <c r="HF71" s="147">
        <f t="shared" si="198"/>
        <v>0</v>
      </c>
      <c r="HG71" s="147">
        <f t="shared" si="199"/>
        <v>0</v>
      </c>
      <c r="HH71" s="147">
        <f t="shared" si="200"/>
        <v>0</v>
      </c>
      <c r="HI71" s="147">
        <f t="shared" si="201"/>
        <v>0</v>
      </c>
      <c r="HJ71" s="147">
        <f t="shared" si="202"/>
        <v>0</v>
      </c>
      <c r="HK71" s="147">
        <f t="shared" si="203"/>
        <v>0</v>
      </c>
      <c r="HL71" s="147">
        <f t="shared" si="204"/>
        <v>0</v>
      </c>
      <c r="HM71" s="147">
        <f t="shared" si="205"/>
        <v>0</v>
      </c>
      <c r="HN71" s="147">
        <f t="shared" si="206"/>
        <v>0</v>
      </c>
      <c r="HO71" s="147">
        <f t="shared" si="207"/>
        <v>0</v>
      </c>
      <c r="HQ71" s="147">
        <f t="shared" si="248"/>
        <v>0</v>
      </c>
      <c r="HR71" s="147">
        <f t="shared" si="208"/>
        <v>0</v>
      </c>
      <c r="HS71" s="147">
        <f t="shared" si="209"/>
        <v>0</v>
      </c>
      <c r="HT71" s="147">
        <f t="shared" si="210"/>
        <v>0</v>
      </c>
      <c r="HU71" s="147">
        <f t="shared" si="211"/>
        <v>0</v>
      </c>
      <c r="HV71" s="147">
        <f t="shared" si="212"/>
        <v>0</v>
      </c>
      <c r="HW71" s="147">
        <f t="shared" si="213"/>
        <v>0</v>
      </c>
      <c r="HX71" s="147">
        <f t="shared" si="214"/>
        <v>0</v>
      </c>
      <c r="HY71" s="147">
        <f t="shared" si="215"/>
        <v>0</v>
      </c>
      <c r="HZ71" s="147">
        <f t="shared" si="216"/>
        <v>0</v>
      </c>
      <c r="IB71" s="147">
        <f>IF('River loads'!CI71&gt;0.99,1,0)</f>
        <v>0</v>
      </c>
      <c r="IC71">
        <f t="shared" si="255"/>
        <v>0</v>
      </c>
      <c r="ID71">
        <f t="shared" si="256"/>
        <v>0</v>
      </c>
      <c r="IE71">
        <f t="shared" si="257"/>
        <v>0</v>
      </c>
      <c r="IF71">
        <f t="shared" si="258"/>
        <v>0</v>
      </c>
      <c r="IG71">
        <f t="shared" si="259"/>
        <v>0</v>
      </c>
      <c r="IH71">
        <f t="shared" si="260"/>
        <v>0</v>
      </c>
      <c r="II71">
        <f t="shared" si="261"/>
        <v>0</v>
      </c>
      <c r="IJ71">
        <f t="shared" si="262"/>
        <v>0</v>
      </c>
      <c r="IK71">
        <f t="shared" si="274"/>
        <v>0</v>
      </c>
      <c r="IL71">
        <f t="shared" si="275"/>
        <v>0</v>
      </c>
      <c r="IM71">
        <f t="shared" si="249"/>
        <v>0</v>
      </c>
      <c r="IN71">
        <f t="shared" si="250"/>
        <v>0</v>
      </c>
      <c r="IP71">
        <f t="shared" si="251"/>
        <v>0</v>
      </c>
      <c r="IQ71">
        <f t="shared" si="217"/>
        <v>0</v>
      </c>
      <c r="IR71">
        <f t="shared" si="218"/>
        <v>0</v>
      </c>
      <c r="IS71">
        <f t="shared" si="219"/>
        <v>0</v>
      </c>
      <c r="IT71">
        <f t="shared" si="220"/>
        <v>0</v>
      </c>
      <c r="IU71">
        <f t="shared" si="221"/>
        <v>0</v>
      </c>
      <c r="IV71">
        <f t="shared" si="222"/>
        <v>0</v>
      </c>
      <c r="IW71">
        <f t="shared" si="223"/>
        <v>0</v>
      </c>
      <c r="IX71">
        <f t="shared" si="224"/>
        <v>0</v>
      </c>
    </row>
    <row r="72" spans="1:258">
      <c r="A72" s="39" t="str">
        <f>Basicinfo!A72</f>
        <v>Donnersbach</v>
      </c>
      <c r="B72" s="63">
        <f>Basicinfo!B72</f>
        <v>1430</v>
      </c>
      <c r="C72" s="63">
        <f>Basicinfo!C72</f>
        <v>4060</v>
      </c>
      <c r="D72" s="130">
        <f>Basicinfo!G72</f>
        <v>196.227323807</v>
      </c>
      <c r="E72" s="87">
        <f t="shared" ref="E72:E84" si="276">N72+O72</f>
        <v>2.6732958287508302</v>
      </c>
      <c r="F72" s="19">
        <f>Intermediate!AR72</f>
        <v>3.1966635122782333E-2</v>
      </c>
      <c r="G72" s="19">
        <f>Intermediate!AU72</f>
        <v>0.50045916253193434</v>
      </c>
      <c r="H72" s="19">
        <f>Intermediate!AW72</f>
        <v>2.464476474394587E-2</v>
      </c>
      <c r="I72" s="19">
        <f>Intermediate!AZ72</f>
        <v>4.0906226765707265E-2</v>
      </c>
      <c r="J72" s="19">
        <f>Intermediate!BA72</f>
        <v>2.054250149917642</v>
      </c>
      <c r="K72" s="19">
        <f>Intermediate!AC72</f>
        <v>1.5355668678210164E-3</v>
      </c>
      <c r="L72" s="19">
        <f>Intermediate!AO72</f>
        <v>2.1289781069845919E-3</v>
      </c>
      <c r="M72" s="19">
        <f>Intermediate!AP72</f>
        <v>6.9189734780479252E-3</v>
      </c>
      <c r="N72" s="19">
        <f t="shared" si="263"/>
        <v>2.6628104575348654</v>
      </c>
      <c r="O72" s="19">
        <f>Basicinfo!CB72+Basicinfo!CG72</f>
        <v>1.0485371215964824E-2</v>
      </c>
      <c r="P72" s="56">
        <f>Intermediate!BK72-Intermediate!BI72</f>
        <v>10.710980311798721</v>
      </c>
      <c r="Q72" s="43">
        <f>Intermediate!BI72</f>
        <v>1017.0839274625419</v>
      </c>
      <c r="R72" s="88">
        <f>P72+Q72</f>
        <v>1027.7949077743406</v>
      </c>
      <c r="S72" s="61">
        <f>Intermediate!F72*Intermediate!BO72/1000</f>
        <v>0.92564097539337153</v>
      </c>
      <c r="T72" s="19">
        <f>Intermediate!BU72*Intermediate!AU72*86.4*0.365</f>
        <v>9.1232415252100445</v>
      </c>
      <c r="U72" s="19">
        <f>Intermediate!AW72*Intermediate!BS72*0.365*86.4</f>
        <v>0.44839739201025358</v>
      </c>
      <c r="V72" s="19">
        <f>(Basicinfo!BL72/1000000)*(Intermediate!BK72-Intermediate!BF72-Intermediate!BG72-Intermediate!BH72)*Intermediate!CV72</f>
        <v>6.7586074329194876E-2</v>
      </c>
      <c r="W72" s="19">
        <f>Intermediate!BI72*Parameters!$C$51/1000000</f>
        <v>2.5427098186563548E-2</v>
      </c>
      <c r="X72" s="19">
        <f>Intermediate!AZ72*Intermediate!CG72*86.4*0.365</f>
        <v>10.182541557154192</v>
      </c>
      <c r="Y72" s="19">
        <f>Intermediate!CM72*Intermediate!BA72*86.4*0.365+Parameters!$C$126*Intermediate!BB72*Basicinfo!P72/1000+Parameters!$C$127*Intermediate!BB72*Basicinfo!S72/1000</f>
        <v>75.351868966806364</v>
      </c>
      <c r="Z72" s="19">
        <f>Intermediate!DG72</f>
        <v>7.324463842111778E-2</v>
      </c>
      <c r="AA72" s="19">
        <f>Intermediate!DI72</f>
        <v>0.77291612538238352</v>
      </c>
      <c r="AB72" s="19">
        <f>Intermediate!DK72</f>
        <v>1.2414659855262722</v>
      </c>
      <c r="AC72" s="19">
        <f t="shared" si="264"/>
        <v>98.212330338419761</v>
      </c>
      <c r="AD72" s="19">
        <f>Basicinfo!CC72+Basicinfo!CE72+Basicinfo!CH72+Basicinfo!CJ72</f>
        <v>6.2</v>
      </c>
      <c r="AE72" s="87">
        <f>AC72+AD72</f>
        <v>104.41233033841976</v>
      </c>
      <c r="AF72" s="56">
        <f>Intermediate!F72*Basicinfo!BD72/1000</f>
        <v>3.6664063717193114E-2</v>
      </c>
      <c r="AG72" s="43">
        <f>Intermediate!CA72*Intermediate!AU72*86.4*0.365</f>
        <v>0.42799696852098668</v>
      </c>
      <c r="AH72" s="43">
        <f>Intermediate!AW72*Intermediate!BZ72*0.365*86.4</f>
        <v>1.9429932524126926E-2</v>
      </c>
      <c r="AI72" s="43">
        <f>(Intermediate!CU72/1000000)*(Intermediate!BK72-Intermediate!BF72-Intermediate!BG72-Intermediate!BH72)*Intermediate!CW72</f>
        <v>5.3012897241475926E-2</v>
      </c>
      <c r="AJ72" s="43">
        <f>Intermediate!BF72*Parameters!$C$52/1000000+(Intermediate!BG72+Intermediate!BH72)*Intermediate!CX72/1000000</f>
        <v>0.48035198326114265</v>
      </c>
      <c r="AK72" s="43">
        <f>Intermediate!AZ72*Intermediate!CH72*86.4*0.365</f>
        <v>0.34245861859909421</v>
      </c>
      <c r="AL72" s="58">
        <f>Intermediate!CR72*Intermediate!BA72*86.4*0.365</f>
        <v>1.9015921804809823</v>
      </c>
      <c r="AM72" s="43">
        <f>Intermediate!DH72</f>
        <v>2.4100505310069867E-2</v>
      </c>
      <c r="AN72" s="42">
        <f>Intermediate!DJ72</f>
        <v>0.14076407032278843</v>
      </c>
      <c r="AO72" s="42">
        <f>Intermediate!DL72</f>
        <v>0.19170651467266692</v>
      </c>
      <c r="AP72" s="42">
        <f t="shared" si="265"/>
        <v>3.6180777346505275</v>
      </c>
      <c r="AQ72" s="43">
        <f>Basicinfo!CD72+Basicinfo!CF72+Basicinfo!CI72+Basicinfo!CK72</f>
        <v>0.55000000000000004</v>
      </c>
      <c r="AR72" s="83">
        <f>AP72+AQ72</f>
        <v>4.1680777346505273</v>
      </c>
      <c r="AS72" s="19">
        <f>F72*86400*365/(Basicinfo!G72*1000000)*1000</f>
        <v>5.1374079087150131</v>
      </c>
      <c r="AT72" s="19">
        <f>G72*86400*365/(Basicinfo!G72*1000000)*1000</f>
        <v>80.429574451772012</v>
      </c>
      <c r="AU72" s="19">
        <f>H72*86400*365/(Basicinfo!G72*1000000)*1000</f>
        <v>3.9606986727775579</v>
      </c>
      <c r="AV72" s="19">
        <f>I72*86400*365/(Basicinfo!G72*1000000)*1000</f>
        <v>6.5741036582252228</v>
      </c>
      <c r="AW72" s="19">
        <f>J72*86400*365/(Basicinfo!G72*1000000)*1000</f>
        <v>330.14175330404095</v>
      </c>
      <c r="AX72" s="53">
        <f>K72*86400*365/(Basicinfo!G72*1000000)*1000</f>
        <v>0.24678335210458641</v>
      </c>
      <c r="AY72" s="53">
        <f>L72*86400*365/(Basicinfo!G72*1000000)*1000</f>
        <v>0.34215140011745415</v>
      </c>
      <c r="AZ72" s="53">
        <f>M72*86400*365/(Basicinfo!G72*1000000)*1000</f>
        <v>1.1119590451038686</v>
      </c>
      <c r="BA72" s="19">
        <f t="shared" si="266"/>
        <v>427.94443179285668</v>
      </c>
      <c r="BB72" s="19">
        <f>O72*86400*365/(Basicinfo!G72*1000000)*1000</f>
        <v>1.6851204014375438</v>
      </c>
      <c r="BC72" s="53">
        <f>BA72+BB72</f>
        <v>429.62955219429421</v>
      </c>
      <c r="BD72" s="56">
        <f>P72/(Basicinfo!G72*100)*1000</f>
        <v>0.54584550734298043</v>
      </c>
      <c r="BE72" s="43">
        <f>Q72/(Basicinfo!G72*100)*1000</f>
        <v>51.831921657500565</v>
      </c>
      <c r="BF72" s="58">
        <f>SUM(BD72:BE72)</f>
        <v>52.377767164843547</v>
      </c>
      <c r="BG72" s="61">
        <f>S72/(Basicinfo!G72*100)*1000000</f>
        <v>47.171869719009607</v>
      </c>
      <c r="BH72" s="19">
        <f>T72/(Basicinfo!G72*100)*1000000</f>
        <v>464.93227080766985</v>
      </c>
      <c r="BI72" s="19">
        <f>U72/(Basicinfo!G72*100)*1000000</f>
        <v>22.850915117778211</v>
      </c>
      <c r="BJ72" s="19">
        <f>V72/(Basicinfo!G72*100)*1000000</f>
        <v>3.4442743761653385</v>
      </c>
      <c r="BK72" s="19">
        <f>W72/(Basicinfo!G72*100)*1000000</f>
        <v>1.2957980414375141</v>
      </c>
      <c r="BL72" s="19">
        <f>X72/(Basicinfo!G72*100)*1000000</f>
        <v>518.9155801344599</v>
      </c>
      <c r="BM72" s="19">
        <f>Y72/(Basicinfo!G72*100)*1000000</f>
        <v>3840.0293855568725</v>
      </c>
      <c r="BN72" s="53">
        <f>Z72/(Basicinfo!G72*100)*1000000</f>
        <v>3.7326421723591245</v>
      </c>
      <c r="BO72" s="53">
        <f>AA72/(Basicinfo!G72*100)*1000000</f>
        <v>39.38881244400946</v>
      </c>
      <c r="BP72" s="53">
        <f>AB72/(Basicinfo!G72*100)*1000000</f>
        <v>63.26672358571836</v>
      </c>
      <c r="BQ72" s="19">
        <f t="shared" si="267"/>
        <v>5005.0282719554789</v>
      </c>
      <c r="BR72" s="19">
        <f>AD72/(Basicinfo!G72*100)*1000000</f>
        <v>315.9600752695394</v>
      </c>
      <c r="BS72" s="53">
        <f>BQ72+BR72</f>
        <v>5320.9883472250185</v>
      </c>
      <c r="BT72" s="56">
        <f>AF72/(Basicinfo!G72*100)*1000000</f>
        <v>1.8684484406083104</v>
      </c>
      <c r="BU72" s="43">
        <f>AG72/(Basicinfo!G72*100)*1000000</f>
        <v>21.811282965971877</v>
      </c>
      <c r="BV72" s="43">
        <f>AH72/(Basicinfo!G72*100)*1000000</f>
        <v>0.99017466819438971</v>
      </c>
      <c r="BW72" s="43">
        <f>AI72/(Basicinfo!G72*100)*1000000</f>
        <v>2.7016062907537246</v>
      </c>
      <c r="BX72" s="43">
        <f>AJ72/(Basicinfo!G72*100)*1000000</f>
        <v>24.479362707590834</v>
      </c>
      <c r="BY72" s="58">
        <f>AK72/(Basicinfo!G72*100)*1000000</f>
        <v>17.452137243431014</v>
      </c>
      <c r="BZ72" s="58">
        <f>AL72/(Basicinfo!G72*100)*1000000</f>
        <v>96.907614270441741</v>
      </c>
      <c r="CA72" s="58">
        <f>AM72/(Basicinfo!G72*100)*1000000</f>
        <v>1.2281931406134854</v>
      </c>
      <c r="CB72" s="58">
        <f>AN72/(Basicinfo!G72*100)*1000000</f>
        <v>7.1735203636185432</v>
      </c>
      <c r="CC72" s="58">
        <f>AO72/(Basicinfo!G72*100)*1000000</f>
        <v>9.7696136783285326</v>
      </c>
      <c r="CD72" s="58">
        <f t="shared" si="268"/>
        <v>184.38195376955247</v>
      </c>
      <c r="CE72" s="58">
        <f>AQ72/(Basicinfo!G72*100)*1000000</f>
        <v>28.028716354555918</v>
      </c>
      <c r="CF72" s="43">
        <f>CD72+CE72</f>
        <v>212.41067012410838</v>
      </c>
      <c r="CG72" s="84"/>
      <c r="CH72" s="84">
        <f t="shared" ref="CH72:CH84" si="277">AD72</f>
        <v>6.2</v>
      </c>
      <c r="CI72" s="146">
        <f t="shared" si="152"/>
        <v>2.0876267493297735</v>
      </c>
      <c r="CJ72" s="200">
        <f>Intermediate!EW72+Intermediate!EY72+Intermediate!FD72</f>
        <v>20.262637871916606</v>
      </c>
      <c r="CK72" s="180">
        <f>Intermediate!FA72+Intermediate!FF72</f>
        <v>2.302833084789496</v>
      </c>
      <c r="CL72" s="180">
        <f t="shared" si="252"/>
        <v>10.182541557154192</v>
      </c>
      <c r="CM72" s="180">
        <f t="shared" si="253"/>
        <v>24.472109032803726</v>
      </c>
      <c r="CN72" s="202">
        <f>Intermediate!EX72+Intermediate!EZ72+Intermediate!FE72</f>
        <v>16.737801827882251</v>
      </c>
      <c r="CO72" s="180">
        <f>Intermediate!FB72+Intermediate!FG72</f>
        <v>1.8683722122556596</v>
      </c>
      <c r="CP72" s="213">
        <f>Intermediate!EP72+Intermediate!EQ72+Intermediate!ER72+Intermediate!ES72+Intermediate!ET72+Intermediate!EU72+Intermediate!EV72+W72</f>
        <v>20.298408002288046</v>
      </c>
      <c r="CQ72" s="212">
        <f t="shared" ref="CQ72:CQ84" si="278">CN72+CO72</f>
        <v>18.606174040137912</v>
      </c>
      <c r="CR72" s="212">
        <f t="shared" ref="CR72:CR84" si="279">CM72+CK72+CJ72+CL72</f>
        <v>57.220121546664018</v>
      </c>
      <c r="CS72" s="211">
        <f t="shared" si="254"/>
        <v>6.2732446384211178</v>
      </c>
      <c r="CT72" s="212">
        <f t="shared" ref="CT72:CT84" si="280">CS72+CQ72+CR72+CP72</f>
        <v>102.39794822751109</v>
      </c>
      <c r="CU72" s="84"/>
      <c r="CV72" s="31">
        <f t="shared" ref="CV72:CV84" si="281">AE72</f>
        <v>104.41233033841976</v>
      </c>
      <c r="CW72" s="31">
        <f>CH72/Basicinfo!$G72*1000/100</f>
        <v>0.3159600752695394</v>
      </c>
      <c r="CX72" s="31">
        <f>CI72/Basicinfo!$G72*1000/100</f>
        <v>0.10638817820208696</v>
      </c>
      <c r="CY72" s="31">
        <f>CS72/Basicinfo!$G72*1000/100</f>
        <v>0.31969271744189848</v>
      </c>
      <c r="CZ72" s="31">
        <f>CN72/Basicinfo!$G72*1000/100</f>
        <v>0.85298018151359845</v>
      </c>
      <c r="DA72" s="31">
        <f>CO72/Basicinfo!$G72*1000/100</f>
        <v>9.5214681421905492E-2</v>
      </c>
      <c r="DB72" s="31">
        <f>CQ72/Basicinfo!$G72*1000/100</f>
        <v>0.94819486293550392</v>
      </c>
      <c r="DC72" s="31">
        <f>CJ72/Basicinfo!$G72*1000/100</f>
        <v>1.0326104172855144</v>
      </c>
      <c r="DD72" s="31">
        <f>CK72/Basicinfo!$G72*1000/100</f>
        <v>0.11735537335536689</v>
      </c>
      <c r="DE72" s="31">
        <f>CM72/Basicinfo!$G72*1000/100</f>
        <v>1.2471305503240386</v>
      </c>
      <c r="DF72" s="31">
        <f>CR72/Basicinfo!$G72*1000/100</f>
        <v>2.9160119210993805</v>
      </c>
      <c r="DG72" s="31">
        <f>CP72/Basicinfo!$G72*1000/100</f>
        <v>1.0344333097185083</v>
      </c>
      <c r="DH72" s="31">
        <f>CT72/Basicinfo!$G72*1000/100</f>
        <v>5.2183328111952916</v>
      </c>
      <c r="DI72" s="31">
        <f>CV72/Basicinfo!$G72*1000/100</f>
        <v>5.3209883472250192</v>
      </c>
      <c r="DJ72" s="31"/>
      <c r="DK72" s="188">
        <f t="shared" ref="DK72:DK84" si="282">CH72/$CT72*100</f>
        <v>6.0548088192398524</v>
      </c>
      <c r="DL72" s="188">
        <f t="shared" ref="DL72:DL84" si="283">CI72/$CT72*100</f>
        <v>2.0387388472778936</v>
      </c>
      <c r="DM72" s="188">
        <f t="shared" ref="DM72:DM84" si="284">CS72/$CT72*100</f>
        <v>6.1263382196711786</v>
      </c>
      <c r="DN72" s="188">
        <f t="shared" ref="DN72:DN84" si="285">CN72/$CT72*100</f>
        <v>16.345837116475867</v>
      </c>
      <c r="DO72" s="188">
        <f t="shared" ref="DO72:DO84" si="286">CO72/$CT72*100</f>
        <v>1.8246187981271356</v>
      </c>
      <c r="DP72" s="188">
        <f t="shared" ref="DP72:DP84" si="287">CQ72/$CT72*100</f>
        <v>18.170455914603004</v>
      </c>
      <c r="DQ72" s="188">
        <f t="shared" ref="DQ72:DQ84" si="288">CJ72/$CT72*100</f>
        <v>19.788128788378081</v>
      </c>
      <c r="DR72" s="188">
        <f t="shared" ref="DR72:DR84" si="289">CK72/$CT72*100</f>
        <v>2.248905495325928</v>
      </c>
      <c r="DS72" s="188">
        <f t="shared" ref="DS72:DS84" si="290">CM72/$CT72*100</f>
        <v>23.899022838261168</v>
      </c>
      <c r="DT72" s="188">
        <f t="shared" ref="DT72:DT84" si="291">CR72/$CT72*100</f>
        <v>55.880144609470584</v>
      </c>
      <c r="DU72" s="188">
        <f t="shared" ref="DU72:DU84" si="292">CP72/$CT72*100</f>
        <v>19.823061256255233</v>
      </c>
      <c r="DV72" s="188">
        <f t="shared" ref="DV72:DV84" si="293">CT72/$CT72*100</f>
        <v>100</v>
      </c>
      <c r="DW72" s="188">
        <f t="shared" ref="DW72:DW84" si="294">CV72/$CT72*100</f>
        <v>101.96720944684658</v>
      </c>
      <c r="DY72" s="181">
        <f t="shared" ref="DY72:DY84" si="295">AQ72</f>
        <v>0.55000000000000004</v>
      </c>
      <c r="DZ72" s="181">
        <f t="shared" si="269"/>
        <v>0.3565710903055252</v>
      </c>
      <c r="EA72" s="185">
        <f t="shared" ref="EA72:EA84" si="296">AK72</f>
        <v>0.34245861859909421</v>
      </c>
      <c r="EB72" s="185">
        <f>AG72+AH72+AL72-Intermediate!FJ72-Intermediate!FM72</f>
        <v>1.8955645783930968</v>
      </c>
      <c r="EC72" s="185">
        <f>AI72+AJ72-Intermediate!FK72</f>
        <v>3.0798633491669114E-2</v>
      </c>
      <c r="ED72" s="240">
        <f t="shared" ref="ED72:ED84" si="297">AF72</f>
        <v>3.6664063717193114E-2</v>
      </c>
      <c r="EE72" s="240">
        <f>Intermediate!FJ72+Intermediate!FK72+Intermediate!FM72</f>
        <v>0.95602075014394872</v>
      </c>
      <c r="EF72" s="240">
        <f t="shared" ref="EF72:EF84" si="298">AG72+AH72+AI72+AJ72+AK72+AL72-EE72</f>
        <v>2.2688218304838599</v>
      </c>
      <c r="EG72" s="240">
        <f t="shared" ref="EG72:EG84" si="299">DZ72+DY72</f>
        <v>0.9065710903055253</v>
      </c>
      <c r="EH72" s="240">
        <f t="shared" ref="EH72:EH84" si="300">EG72+ED72+EF72+EE72</f>
        <v>4.1680777346505264</v>
      </c>
      <c r="EI72" s="181">
        <f t="shared" ref="EI72:EI84" si="301">AR72</f>
        <v>4.1680777346505273</v>
      </c>
      <c r="EK72" s="31">
        <f>DY72/Basicinfo!$G72*1000/100</f>
        <v>2.8028716354555915E-2</v>
      </c>
      <c r="EL72" s="31">
        <f>DZ72/Basicinfo!$G72*1000/100</f>
        <v>1.8171327182560558E-2</v>
      </c>
      <c r="EM72" s="220">
        <f>EG72/Basicinfo!$G72*1000/100</f>
        <v>4.6200043537116479E-2</v>
      </c>
      <c r="EN72" s="220">
        <f>ED72/Basicinfo!$G72*1000/100</f>
        <v>1.8684484406083105E-3</v>
      </c>
      <c r="EO72" s="220">
        <f>EF72/Basicinfo!$G72*1000/100</f>
        <v>0.11562211553755718</v>
      </c>
      <c r="EP72" s="220">
        <f>EE72/Basicinfo!$G72*1000/100</f>
        <v>4.8720062608826373E-2</v>
      </c>
      <c r="EQ72" s="220">
        <f>EH72/Basicinfo!$G72*1000/100</f>
        <v>0.2124106701241083</v>
      </c>
      <c r="ER72" s="31">
        <f>EI72/Basicinfo!$G72*1000/100</f>
        <v>0.21241067012410833</v>
      </c>
      <c r="ET72" s="188">
        <f t="shared" ref="ET72:ET84" si="302">EK72/$ER72*100</f>
        <v>13.195531249997543</v>
      </c>
      <c r="EU72" s="188">
        <f t="shared" ref="EU72:EU84" si="303">EL72/$ER72*100</f>
        <v>8.5548090272222801</v>
      </c>
      <c r="EV72" s="223">
        <f t="shared" ref="EV72:EV84" si="304">EM72/$ER72*100</f>
        <v>21.750340277219831</v>
      </c>
      <c r="EW72" s="223">
        <f t="shared" ref="EW72:EW84" si="305">EN72/$ER72*100</f>
        <v>0.87963963369476883</v>
      </c>
      <c r="EX72" s="223">
        <f t="shared" ref="EX72:EX84" si="306">EO72/$ER72*100</f>
        <v>54.433289754229833</v>
      </c>
      <c r="EY72" s="223">
        <f t="shared" ref="EY72:EY84" si="307">EP72/$ER72*100</f>
        <v>22.936730334855579</v>
      </c>
      <c r="EZ72" s="223">
        <f t="shared" ref="EZ72:EZ84" si="308">EQ72/$ER72*100</f>
        <v>99.999999999999986</v>
      </c>
      <c r="FA72" s="188">
        <f t="shared" ref="FA72:FA84" si="309">ER72/$ER72*100</f>
        <v>100</v>
      </c>
      <c r="FC72" s="236">
        <f>Basicinfo!CT72</f>
        <v>0.74892473118279568</v>
      </c>
      <c r="FD72" s="181">
        <f>IF((Intermediate!CL72+Intermediate!CM72*3)/4&gt;11,(Intermediate!CL72+Intermediate!CM72*9)/10,(Intermediate!CL72+Intermediate!CM72*3)/4)</f>
        <v>1.7709665406427364</v>
      </c>
      <c r="FF72" s="31">
        <f t="shared" ref="FF72:FF84" si="310">AF72</f>
        <v>3.6664063717193114E-2</v>
      </c>
      <c r="FG72" s="31">
        <f t="shared" ref="FG72:FG84" si="311">AG72</f>
        <v>0.42799696852098668</v>
      </c>
      <c r="FH72" s="31">
        <f t="shared" ref="FH72:FH84" si="312">AH72</f>
        <v>1.9429932524126926E-2</v>
      </c>
      <c r="FI72" s="31">
        <f>(AI72-(P72*450/1000000))*Parameters!$C$153</f>
        <v>3.8554364880933202E-2</v>
      </c>
      <c r="FJ72" s="31"/>
      <c r="FK72" s="31">
        <f t="shared" ref="FK72:FK84" si="313">AK72</f>
        <v>0.34245861859909421</v>
      </c>
      <c r="FL72" s="31">
        <f t="shared" ref="FL72:FL84" si="314">AL72</f>
        <v>1.9015921804809823</v>
      </c>
      <c r="FM72" s="31">
        <f>AM72*Parameters!$C$154</f>
        <v>2.1690454779062882E-2</v>
      </c>
      <c r="FN72" s="31">
        <f>AN72*Parameters!$C$154</f>
        <v>0.12668766329050959</v>
      </c>
      <c r="FO72" s="31">
        <f>AO72*Parameters!$C$154</f>
        <v>0.17253586320540024</v>
      </c>
      <c r="FP72" s="31">
        <f>AQ72*Parameters!$C$155</f>
        <v>0.55000000000000004</v>
      </c>
      <c r="FQ72" s="31">
        <f t="shared" ref="FQ72:FQ84" si="315">SUM(FF72:FP72)</f>
        <v>3.6376101099982892</v>
      </c>
      <c r="FS72" s="147">
        <f>DY72*Parameters!$C$155</f>
        <v>0.55000000000000004</v>
      </c>
      <c r="FT72" s="147">
        <f>DZ72*Parameters!$C$154</f>
        <v>0.32091398127497267</v>
      </c>
      <c r="FU72" s="181">
        <f t="shared" ref="FU72:FU84" si="316">EA72</f>
        <v>0.34245861859909421</v>
      </c>
      <c r="FV72" s="181">
        <f t="shared" ref="FV72:FV84" si="317">EB72</f>
        <v>1.8955645783930968</v>
      </c>
      <c r="FW72" s="31">
        <f t="shared" ref="FW72:FW84" si="318">FQ72-FS72-FT72-FU72-FV72-FX72-FY72</f>
        <v>3.8554364880933056E-2</v>
      </c>
      <c r="FX72" s="181">
        <f t="shared" ref="FX72:FX84" si="319">ED72</f>
        <v>3.6664063717193114E-2</v>
      </c>
      <c r="FY72" s="147">
        <f>Intermediate!FJ72+Intermediate!FM72</f>
        <v>0.45345450313299923</v>
      </c>
      <c r="FZ72" s="181">
        <f t="shared" ref="FZ72:FZ84" si="320">SUM(FU72:FW72)</f>
        <v>2.2765775618731241</v>
      </c>
      <c r="GA72" s="147">
        <f t="shared" ref="GA72:GA84" si="321">SUM(FS72:FT72)</f>
        <v>0.87091398127497266</v>
      </c>
      <c r="GB72" s="181">
        <f t="shared" ref="GB72:GB84" si="322">SUM(FX72:GA72)</f>
        <v>3.6376101099982892</v>
      </c>
      <c r="GD72" s="147">
        <f>IF('River loads'!CH72&gt;0.99,1,0)</f>
        <v>0</v>
      </c>
      <c r="GE72" s="147">
        <f t="shared" ref="GE72:GE84" si="323">AF72*$GD72</f>
        <v>0</v>
      </c>
      <c r="GF72" s="147">
        <f t="shared" ref="GF72:GF84" si="324">AG72*$GD72</f>
        <v>0</v>
      </c>
      <c r="GG72" s="147">
        <f t="shared" ref="GG72:GG84" si="325">AH72*$GD72</f>
        <v>0</v>
      </c>
      <c r="GH72" s="147">
        <f t="shared" ref="GH72:GH84" si="326">AI72*$GD72</f>
        <v>0</v>
      </c>
      <c r="GI72" s="147">
        <f t="shared" ref="GI72:GI84" si="327">AJ72*$GD72</f>
        <v>0</v>
      </c>
      <c r="GJ72" s="147">
        <f t="shared" ref="GJ72:GJ84" si="328">AK72*$GD72</f>
        <v>0</v>
      </c>
      <c r="GK72" s="147">
        <f t="shared" ref="GK72:GK84" si="329">AL72*$GD72</f>
        <v>0</v>
      </c>
      <c r="GL72" s="147">
        <f t="shared" ref="GL72:GL84" si="330">AM72*$GD72</f>
        <v>0</v>
      </c>
      <c r="GM72" s="270">
        <f t="shared" si="270"/>
        <v>0</v>
      </c>
      <c r="GN72" s="270">
        <f t="shared" si="271"/>
        <v>0</v>
      </c>
      <c r="GO72" s="147">
        <f t="shared" ref="GO72:GO84" si="331">AQ72*$GD72</f>
        <v>0</v>
      </c>
      <c r="GP72" s="147">
        <f t="shared" ref="GP72:GP84" si="332">SUM(GE72:GO72)</f>
        <v>0</v>
      </c>
      <c r="GQ72" s="147"/>
      <c r="GR72" s="147">
        <f t="shared" ref="GR72:GR84" si="333">$GD72*FF72</f>
        <v>0</v>
      </c>
      <c r="GS72" s="147">
        <f t="shared" ref="GS72:GS84" si="334">$GD72*FG72</f>
        <v>0</v>
      </c>
      <c r="GT72" s="147">
        <f t="shared" ref="GT72:GT84" si="335">$GD72*FH72</f>
        <v>0</v>
      </c>
      <c r="GU72" s="147">
        <f t="shared" ref="GU72:GU84" si="336">$GD72*FI72</f>
        <v>0</v>
      </c>
      <c r="GV72" s="147">
        <f t="shared" ref="GV72:GV84" si="337">$GD72*FJ72</f>
        <v>0</v>
      </c>
      <c r="GW72" s="147">
        <f t="shared" ref="GW72:GW84" si="338">$GD72*FK72</f>
        <v>0</v>
      </c>
      <c r="GX72" s="147">
        <f t="shared" ref="GX72:GX84" si="339">$GD72*FL72</f>
        <v>0</v>
      </c>
      <c r="GY72" s="147">
        <f t="shared" ref="GY72:GY84" si="340">$GD72*FM72</f>
        <v>0</v>
      </c>
      <c r="GZ72" s="147">
        <f t="shared" si="272"/>
        <v>0</v>
      </c>
      <c r="HA72" s="147">
        <f t="shared" si="273"/>
        <v>0</v>
      </c>
      <c r="HB72" s="147">
        <f t="shared" ref="HB72:HB84" si="341">$GD72*FP72</f>
        <v>0</v>
      </c>
      <c r="HC72" s="147">
        <f t="shared" ref="HC72:HC84" si="342">$GD72*FQ72</f>
        <v>0</v>
      </c>
      <c r="HD72" s="147"/>
      <c r="HE72" s="147">
        <f t="shared" ref="HE72:HE84" si="343">DY72*$GD72</f>
        <v>0</v>
      </c>
      <c r="HF72" s="147">
        <f t="shared" ref="HF72:HF84" si="344">DZ72*$GD72</f>
        <v>0</v>
      </c>
      <c r="HG72" s="147">
        <f t="shared" ref="HG72:HG84" si="345">EA72*$GD72</f>
        <v>0</v>
      </c>
      <c r="HH72" s="147">
        <f t="shared" ref="HH72:HH84" si="346">EB72*$GD72</f>
        <v>0</v>
      </c>
      <c r="HI72" s="147">
        <f t="shared" ref="HI72:HI84" si="347">EC72*$GD72</f>
        <v>0</v>
      </c>
      <c r="HJ72" s="147">
        <f t="shared" ref="HJ72:HJ84" si="348">ED72*$GD72</f>
        <v>0</v>
      </c>
      <c r="HK72" s="147">
        <f t="shared" ref="HK72:HK84" si="349">EE72*$GD72</f>
        <v>0</v>
      </c>
      <c r="HL72" s="147">
        <f t="shared" ref="HL72:HL84" si="350">EF72*$GD72</f>
        <v>0</v>
      </c>
      <c r="HM72" s="147">
        <f t="shared" ref="HM72:HM84" si="351">EG72*$GD72</f>
        <v>0</v>
      </c>
      <c r="HN72" s="147">
        <f t="shared" ref="HN72:HN84" si="352">EH72*$GD72</f>
        <v>0</v>
      </c>
      <c r="HO72" s="147">
        <f t="shared" ref="HO72:HO84" si="353">EI72*$GD72</f>
        <v>0</v>
      </c>
      <c r="HQ72" s="147">
        <f t="shared" ref="HQ72:HQ84" si="354">FS72*$GD72</f>
        <v>0</v>
      </c>
      <c r="HR72" s="147">
        <f t="shared" ref="HR72:HR84" si="355">FT72*$GD72</f>
        <v>0</v>
      </c>
      <c r="HS72" s="147">
        <f t="shared" ref="HS72:HS84" si="356">FU72*$GD72</f>
        <v>0</v>
      </c>
      <c r="HT72" s="147">
        <f t="shared" ref="HT72:HT84" si="357">FV72*$GD72</f>
        <v>0</v>
      </c>
      <c r="HU72" s="147">
        <f t="shared" ref="HU72:HU84" si="358">FW72*$GD72</f>
        <v>0</v>
      </c>
      <c r="HV72" s="147">
        <f t="shared" ref="HV72:HV84" si="359">FX72*$GD72</f>
        <v>0</v>
      </c>
      <c r="HW72" s="147">
        <f t="shared" ref="HW72:HW84" si="360">FY72*$GD72</f>
        <v>0</v>
      </c>
      <c r="HX72" s="147">
        <f t="shared" ref="HX72:HX84" si="361">FZ72*$GD72</f>
        <v>0</v>
      </c>
      <c r="HY72" s="147">
        <f t="shared" ref="HY72:HY84" si="362">GA72*$GD72</f>
        <v>0</v>
      </c>
      <c r="HZ72" s="147">
        <f t="shared" ref="HZ72:HZ84" si="363">GB72*$GD72</f>
        <v>0</v>
      </c>
      <c r="IB72" s="147">
        <f>IF('River loads'!CI72&gt;0.99,1,0)</f>
        <v>0</v>
      </c>
      <c r="IC72">
        <f t="shared" si="255"/>
        <v>0</v>
      </c>
      <c r="ID72">
        <f t="shared" si="256"/>
        <v>0</v>
      </c>
      <c r="IE72">
        <f t="shared" si="257"/>
        <v>0</v>
      </c>
      <c r="IF72">
        <f t="shared" si="258"/>
        <v>0</v>
      </c>
      <c r="IG72">
        <f t="shared" si="259"/>
        <v>0</v>
      </c>
      <c r="IH72">
        <f t="shared" si="260"/>
        <v>0</v>
      </c>
      <c r="II72">
        <f t="shared" si="261"/>
        <v>0</v>
      </c>
      <c r="IJ72">
        <f t="shared" si="262"/>
        <v>0</v>
      </c>
      <c r="IK72">
        <f t="shared" si="274"/>
        <v>0</v>
      </c>
      <c r="IL72">
        <f t="shared" si="275"/>
        <v>0</v>
      </c>
      <c r="IM72">
        <f t="shared" ref="IM72:IM84" si="364">$IB72*AD72</f>
        <v>0</v>
      </c>
      <c r="IN72">
        <f t="shared" ref="IN72:IN84" si="365">$IB72*AE72</f>
        <v>0</v>
      </c>
      <c r="IP72">
        <f t="shared" ref="IP72:IP84" si="366">CH72*$IB72</f>
        <v>0</v>
      </c>
      <c r="IQ72">
        <f t="shared" ref="IQ72:IQ84" si="367">CI72*$IB72</f>
        <v>0</v>
      </c>
      <c r="IR72">
        <f t="shared" ref="IR72:IR84" si="368">CJ72*$IB72</f>
        <v>0</v>
      </c>
      <c r="IS72">
        <f t="shared" ref="IS72:IS84" si="369">CK72*$IB72</f>
        <v>0</v>
      </c>
      <c r="IT72">
        <f t="shared" ref="IT72:IT84" si="370">CL72*$IB72</f>
        <v>0</v>
      </c>
      <c r="IU72">
        <f t="shared" ref="IU72:IU84" si="371">CM72*$IB72</f>
        <v>0</v>
      </c>
      <c r="IV72">
        <f t="shared" ref="IV72:IV84" si="372">CN72*$IB72</f>
        <v>0</v>
      </c>
      <c r="IW72">
        <f t="shared" ref="IW72:IW84" si="373">CO72*$IB72</f>
        <v>0</v>
      </c>
      <c r="IX72">
        <f t="shared" ref="IX72:IX84" si="374">CP72*$IB72</f>
        <v>0</v>
      </c>
    </row>
    <row r="73" spans="1:258">
      <c r="A73" s="39" t="str">
        <f>Basicinfo!A73</f>
        <v>Gufling</v>
      </c>
      <c r="B73" s="63">
        <f>Basicinfo!B73</f>
        <v>1440</v>
      </c>
      <c r="C73" s="63">
        <f>Basicinfo!C73</f>
        <v>4060</v>
      </c>
      <c r="D73" s="130">
        <f>Basicinfo!G73</f>
        <v>168.19289652500001</v>
      </c>
      <c r="E73" s="87">
        <f t="shared" si="276"/>
        <v>5.1171615004434203</v>
      </c>
      <c r="F73" s="19">
        <f>Intermediate!AR73</f>
        <v>2.5046090657325736E-2</v>
      </c>
      <c r="G73" s="19">
        <f>Intermediate!AU73</f>
        <v>1.1771646767443646</v>
      </c>
      <c r="H73" s="19">
        <f>Intermediate!AW73</f>
        <v>5.0369487506823542E-3</v>
      </c>
      <c r="I73" s="19">
        <f>Intermediate!AZ73</f>
        <v>1.8492124779826331E-2</v>
      </c>
      <c r="J73" s="19">
        <f>Intermediate!BA73</f>
        <v>3.8846487381859189</v>
      </c>
      <c r="K73" s="19">
        <f>Intermediate!AC73</f>
        <v>1.8116753980466612E-3</v>
      </c>
      <c r="L73" s="19">
        <f>Intermediate!AO73</f>
        <v>2.4866898795709831E-3</v>
      </c>
      <c r="M73" s="19">
        <f>Intermediate!AP73</f>
        <v>2.4745560476846333E-3</v>
      </c>
      <c r="N73" s="19">
        <f t="shared" si="263"/>
        <v>5.1171615004434203</v>
      </c>
      <c r="O73" s="19">
        <f>Basicinfo!CB73+Basicinfo!CG73</f>
        <v>0</v>
      </c>
      <c r="P73" s="56">
        <f>Intermediate!BK73-Intermediate!BI73</f>
        <v>10.583983175942421</v>
      </c>
      <c r="Q73" s="43">
        <f>Intermediate!BI73</f>
        <v>1202.8111940687697</v>
      </c>
      <c r="R73" s="88">
        <f>P73+Q73</f>
        <v>1213.3951772447122</v>
      </c>
      <c r="S73" s="61">
        <f>Intermediate!F73*Intermediate!BO73/1000</f>
        <v>0.72440470680619007</v>
      </c>
      <c r="T73" s="19">
        <f>Intermediate!BU73*Intermediate!AU73*86.4*0.365</f>
        <v>21.426005574859232</v>
      </c>
      <c r="U73" s="19">
        <f>Intermediate!AW73*Intermediate!BS73*0.365*86.4</f>
        <v>9.1476809111911597E-2</v>
      </c>
      <c r="V73" s="19">
        <f>(Basicinfo!BL73/1000000)*(Intermediate!BK73-Intermediate!BF73-Intermediate!BG73-Intermediate!BH73)*Intermediate!CV73</f>
        <v>5.7454593128598325E-2</v>
      </c>
      <c r="W73" s="19">
        <f>Intermediate!BI73*Parameters!$C$51/1000000</f>
        <v>3.0070279851719242E-2</v>
      </c>
      <c r="X73" s="19">
        <f>Intermediate!AZ73*Intermediate!CG73*86.4*0.365</f>
        <v>4.9553052634020158</v>
      </c>
      <c r="Y73" s="19">
        <f>Intermediate!CM73*Intermediate!BA73*86.4*0.365+Parameters!$C$126*Intermediate!BB73*Basicinfo!P73/1000+Parameters!$C$127*Intermediate!BB73*Basicinfo!S73/1000</f>
        <v>60.324747562820477</v>
      </c>
      <c r="Z73" s="19">
        <f>Intermediate!DG73</f>
        <v>8.4351524136530673E-2</v>
      </c>
      <c r="AA73" s="19">
        <f>Intermediate!DI73</f>
        <v>0.9254500973074945</v>
      </c>
      <c r="AB73" s="19">
        <f>Intermediate!DK73</f>
        <v>0.24654616933481005</v>
      </c>
      <c r="AC73" s="19">
        <f t="shared" si="264"/>
        <v>88.86581258075897</v>
      </c>
      <c r="AD73" s="19">
        <f>Basicinfo!CC73+Basicinfo!CE73+Basicinfo!CH73+Basicinfo!CJ73</f>
        <v>0</v>
      </c>
      <c r="AE73" s="87">
        <f>AC73+AD73</f>
        <v>88.86581258075897</v>
      </c>
      <c r="AF73" s="56">
        <f>Intermediate!F73*Basicinfo!BD73/1000</f>
        <v>2.8422973044515291E-2</v>
      </c>
      <c r="AG73" s="43">
        <f>Intermediate!CA73*Intermediate!AU73*86.4*0.365</f>
        <v>0.98581883346852273</v>
      </c>
      <c r="AH73" s="43">
        <f>Intermediate!AW73*Intermediate!BZ73*0.365*86.4</f>
        <v>3.9711303950379683E-3</v>
      </c>
      <c r="AI73" s="43">
        <f>(Intermediate!CU73/1000000)*(Intermediate!BK73-Intermediate!BF73-Intermediate!BG73-Intermediate!BH73)*Intermediate!CW73</f>
        <v>4.5175688479792447E-2</v>
      </c>
      <c r="AJ73" s="43">
        <f>Intermediate!BF73*Parameters!$C$52/1000000+(Intermediate!BG73+Intermediate!BH73)*Intermediate!CX73/1000000</f>
        <v>0.54583140397330021</v>
      </c>
      <c r="AK73" s="43">
        <f>Intermediate!AZ73*Intermediate!CH73*86.4*0.365</f>
        <v>0.22059150109623907</v>
      </c>
      <c r="AL73" s="58">
        <f>Intermediate!CR73*Intermediate!BA73*86.4*0.365</f>
        <v>2.6522029139242762</v>
      </c>
      <c r="AM73" s="43">
        <f>Intermediate!DH73</f>
        <v>2.7431787278920705E-2</v>
      </c>
      <c r="AN73" s="42">
        <f>Intermediate!DJ73</f>
        <v>0.16722251112668152</v>
      </c>
      <c r="AO73" s="42">
        <f>Intermediate!DL73</f>
        <v>4.2851267992542123E-2</v>
      </c>
      <c r="AP73" s="42">
        <f t="shared" si="265"/>
        <v>4.719520010779827</v>
      </c>
      <c r="AQ73" s="43">
        <f>Basicinfo!CD73+Basicinfo!CF73+Basicinfo!CI73+Basicinfo!CK73</f>
        <v>0</v>
      </c>
      <c r="AR73" s="83">
        <f>AP73+AQ73</f>
        <v>4.719520010779827</v>
      </c>
      <c r="AS73" s="19">
        <f>F73*86400*365/(Basicinfo!G73*1000000)*1000</f>
        <v>4.6961169662240856</v>
      </c>
      <c r="AT73" s="19">
        <f>G73*86400*365/(Basicinfo!G73*1000000)*1000</f>
        <v>220.71720038600057</v>
      </c>
      <c r="AU73" s="19">
        <f>H73*86400*365/(Basicinfo!G73*1000000)*1000</f>
        <v>0.94442285663299796</v>
      </c>
      <c r="AV73" s="19">
        <f>I73*86400*365/(Basicinfo!G73*1000000)*1000</f>
        <v>3.4672549144780431</v>
      </c>
      <c r="AW73" s="19">
        <f>J73*86400*365/(Basicinfo!G73*1000000)*1000</f>
        <v>728.36775594278413</v>
      </c>
      <c r="AX73" s="53">
        <f>K73*86400*365/(Basicinfo!G73*1000000)*1000</f>
        <v>0.33968732647580824</v>
      </c>
      <c r="AY73" s="53">
        <f>L73*86400*365/(Basicinfo!G73*1000000)*1000</f>
        <v>0.46625186712623284</v>
      </c>
      <c r="AZ73" s="53">
        <f>M73*86400*365/(Basicinfo!G73*1000000)*1000</f>
        <v>0.46397678577455964</v>
      </c>
      <c r="BA73" s="19">
        <f t="shared" si="266"/>
        <v>959.46266704549646</v>
      </c>
      <c r="BB73" s="19">
        <f>O73*86400*365/(Basicinfo!G73*1000000)*1000</f>
        <v>0</v>
      </c>
      <c r="BC73" s="53">
        <f>BA73+BB73</f>
        <v>959.46266704549646</v>
      </c>
      <c r="BD73" s="56">
        <f>P73/(Basicinfo!G73*100)*1000</f>
        <v>0.62927646735480469</v>
      </c>
      <c r="BE73" s="43">
        <f>Q73/(Basicinfo!G73*100)*1000</f>
        <v>71.513792729646298</v>
      </c>
      <c r="BF73" s="58">
        <f>SUM(BD73:BE73)</f>
        <v>72.143069197001097</v>
      </c>
      <c r="BG73" s="61">
        <f>S73/(Basicinfo!G73*100)*1000000</f>
        <v>43.069875230938507</v>
      </c>
      <c r="BH73" s="19">
        <f>T73/(Basicinfo!G73*100)*1000000</f>
        <v>1273.8947968396808</v>
      </c>
      <c r="BI73" s="19">
        <f>U73/(Basicinfo!G73*100)*1000000</f>
        <v>5.438803362204693</v>
      </c>
      <c r="BJ73" s="19">
        <f>V73/(Basicinfo!G73*100)*1000000</f>
        <v>3.4159940351617846</v>
      </c>
      <c r="BK73" s="19">
        <f>W73/(Basicinfo!G73*100)*1000000</f>
        <v>1.7878448182411575</v>
      </c>
      <c r="BL73" s="19">
        <f>X73/(Basicinfo!G73*100)*1000000</f>
        <v>294.62036541272511</v>
      </c>
      <c r="BM73" s="19">
        <f>Y73/(Basicinfo!G73*100)*1000000</f>
        <v>3586.6406256850373</v>
      </c>
      <c r="BN73" s="53">
        <f>Z73/(Basicinfo!G73*100)*1000000</f>
        <v>5.0151656746093769</v>
      </c>
      <c r="BO73" s="53">
        <f>AA73/(Basicinfo!G73*100)*1000000</f>
        <v>55.023138100837492</v>
      </c>
      <c r="BP73" s="53">
        <f>AB73/(Basicinfo!G73*100)*1000000</f>
        <v>14.658536384630473</v>
      </c>
      <c r="BQ73" s="19">
        <f t="shared" si="267"/>
        <v>5283.5651455440666</v>
      </c>
      <c r="BR73" s="19">
        <f>AD73/(Basicinfo!G73*100)*1000000</f>
        <v>0</v>
      </c>
      <c r="BS73" s="53">
        <f>BQ73+BR73</f>
        <v>5283.5651455440666</v>
      </c>
      <c r="BT73" s="56">
        <f>AF73/(Basicinfo!G73*100)*1000000</f>
        <v>1.6899032974493386</v>
      </c>
      <c r="BU73" s="43">
        <f>AG73/(Basicinfo!G73*100)*1000000</f>
        <v>58.612394092516972</v>
      </c>
      <c r="BV73" s="43">
        <f>AH73/(Basicinfo!G73*100)*1000000</f>
        <v>0.23610571415824946</v>
      </c>
      <c r="BW73" s="43">
        <f>AI73/(Basicinfo!G73*100)*1000000</f>
        <v>2.6859450912112441</v>
      </c>
      <c r="BX73" s="43">
        <f>AJ73/(Basicinfo!G73*100)*1000000</f>
        <v>32.452702536826131</v>
      </c>
      <c r="BY73" s="58">
        <f>AK73/(Basicinfo!G73*100)*1000000</f>
        <v>13.115387489830798</v>
      </c>
      <c r="BZ73" s="58">
        <f>AL73/(Basicinfo!G73*100)*1000000</f>
        <v>157.68816452542964</v>
      </c>
      <c r="CA73" s="58">
        <f>AM73/(Basicinfo!G73*100)*1000000</f>
        <v>1.6309718094927554</v>
      </c>
      <c r="CB73" s="58">
        <f>AN73/(Basicinfo!G73*100)*1000000</f>
        <v>9.9423052091754514</v>
      </c>
      <c r="CC73" s="58">
        <f>AO73/(Basicinfo!G73*100)*1000000</f>
        <v>2.5477454088658709</v>
      </c>
      <c r="CD73" s="58">
        <f t="shared" si="268"/>
        <v>280.60162517495644</v>
      </c>
      <c r="CE73" s="58">
        <f>AQ73/(Basicinfo!G73*100)*1000000</f>
        <v>0</v>
      </c>
      <c r="CF73" s="43">
        <f>CD73+CE73</f>
        <v>280.60162517495644</v>
      </c>
      <c r="CG73" s="84"/>
      <c r="CH73" s="84">
        <f t="shared" si="277"/>
        <v>0</v>
      </c>
      <c r="CI73" s="146">
        <f t="shared" si="152"/>
        <v>1.2563477907788352</v>
      </c>
      <c r="CJ73" s="200">
        <f>Intermediate!EW73+Intermediate!EY73+Intermediate!FD73</f>
        <v>23.192847967343873</v>
      </c>
      <c r="CK73" s="180">
        <f>Intermediate!FA73+Intermediate!FF73</f>
        <v>2.1750428226311125</v>
      </c>
      <c r="CL73" s="180">
        <f t="shared" si="252"/>
        <v>4.9553052634020158</v>
      </c>
      <c r="CM73" s="180">
        <f t="shared" si="253"/>
        <v>13.966879839324758</v>
      </c>
      <c r="CN73" s="202">
        <f>Intermediate!EX73+Intermediate!EZ73+Intermediate!FE73</f>
        <v>18.085945381114627</v>
      </c>
      <c r="CO73" s="180">
        <f>Intermediate!FB73+Intermediate!FG73</f>
        <v>1.6122871356364294</v>
      </c>
      <c r="CP73" s="213">
        <f>Intermediate!EP73+Intermediate!EQ73+Intermediate!ER73+Intermediate!ES73+Intermediate!ET73+Intermediate!EU73+Intermediate!EV73+W73</f>
        <v>23.621156380527328</v>
      </c>
      <c r="CQ73" s="212">
        <f t="shared" si="278"/>
        <v>19.698232516751055</v>
      </c>
      <c r="CR73" s="212">
        <f t="shared" si="279"/>
        <v>44.290075892701758</v>
      </c>
      <c r="CS73" s="211">
        <f t="shared" si="254"/>
        <v>8.4351524136530673E-2</v>
      </c>
      <c r="CT73" s="212">
        <f t="shared" si="280"/>
        <v>87.69381631411666</v>
      </c>
      <c r="CU73" s="84"/>
      <c r="CV73" s="31">
        <f t="shared" si="281"/>
        <v>88.86581258075897</v>
      </c>
      <c r="CW73" s="31">
        <f>CH73/Basicinfo!$G73*1000/100</f>
        <v>0</v>
      </c>
      <c r="CX73" s="31">
        <f>CI73/Basicinfo!$G73*1000/100</f>
        <v>7.4696840160077327E-2</v>
      </c>
      <c r="CY73" s="31">
        <f>CS73/Basicinfo!$G73*1000/100</f>
        <v>5.0151656746093764E-3</v>
      </c>
      <c r="CZ73" s="31">
        <f>CN73/Basicinfo!$G73*1000/100</f>
        <v>1.0753097042018271</v>
      </c>
      <c r="DA73" s="31">
        <f>CO73/Basicinfo!$G73*1000/100</f>
        <v>9.5859407201348765E-2</v>
      </c>
      <c r="DB73" s="31">
        <f>CQ73/Basicinfo!$G73*1000/100</f>
        <v>1.1711691114031759</v>
      </c>
      <c r="DC73" s="31">
        <f>CJ73/Basicinfo!$G73*1000/100</f>
        <v>1.3789433707681296</v>
      </c>
      <c r="DD73" s="31">
        <f>CK73/Basicinfo!$G73*1000/100</f>
        <v>0.12931835217593846</v>
      </c>
      <c r="DE73" s="31">
        <f>CM73/Basicinfo!$G73*1000/100</f>
        <v>0.83040842555730265</v>
      </c>
      <c r="DF73" s="31">
        <f>CR73/Basicinfo!$G73*1000/100</f>
        <v>2.6332905139140959</v>
      </c>
      <c r="DG73" s="31">
        <f>CP73/Basicinfo!$G73*1000/100</f>
        <v>1.4044086800667177</v>
      </c>
      <c r="DH73" s="31">
        <f>CT73/Basicinfo!$G73*1000/100</f>
        <v>5.2138834710585975</v>
      </c>
      <c r="DI73" s="31">
        <f>CV73/Basicinfo!$G73*1000/100</f>
        <v>5.2835651455440651</v>
      </c>
      <c r="DJ73" s="31"/>
      <c r="DK73" s="188">
        <f t="shared" si="282"/>
        <v>0</v>
      </c>
      <c r="DL73" s="188">
        <f t="shared" si="283"/>
        <v>1.432652658516576</v>
      </c>
      <c r="DM73" s="188">
        <f t="shared" si="284"/>
        <v>9.6188679751815109E-2</v>
      </c>
      <c r="DN73" s="188">
        <f t="shared" si="285"/>
        <v>20.623968874078081</v>
      </c>
      <c r="DO73" s="188">
        <f t="shared" si="286"/>
        <v>1.8385414199118266</v>
      </c>
      <c r="DP73" s="188">
        <f t="shared" si="287"/>
        <v>22.462510293989908</v>
      </c>
      <c r="DQ73" s="188">
        <f t="shared" si="288"/>
        <v>26.447529531920217</v>
      </c>
      <c r="DR73" s="188">
        <f t="shared" si="289"/>
        <v>2.4802693212029605</v>
      </c>
      <c r="DS73" s="188">
        <f t="shared" si="290"/>
        <v>15.926869677213961</v>
      </c>
      <c r="DT73" s="188">
        <f t="shared" si="291"/>
        <v>50.505358022116418</v>
      </c>
      <c r="DU73" s="188">
        <f t="shared" si="292"/>
        <v>26.935943004141873</v>
      </c>
      <c r="DV73" s="188">
        <f t="shared" si="293"/>
        <v>100</v>
      </c>
      <c r="DW73" s="188">
        <f t="shared" si="294"/>
        <v>101.33646397876477</v>
      </c>
      <c r="DY73" s="181">
        <f t="shared" si="295"/>
        <v>0</v>
      </c>
      <c r="DZ73" s="181">
        <f t="shared" si="269"/>
        <v>0.23750556639814435</v>
      </c>
      <c r="EA73" s="185">
        <f t="shared" si="296"/>
        <v>0.22059150109623907</v>
      </c>
      <c r="EB73" s="185">
        <f>AG73+AH73+AL73-Intermediate!FJ73-Intermediate!FM73</f>
        <v>2.6388151455818232</v>
      </c>
      <c r="EC73" s="185">
        <f>AI73+AJ73-Intermediate!FK73</f>
        <v>3.2425870662212808E-2</v>
      </c>
      <c r="ED73" s="240">
        <f t="shared" si="297"/>
        <v>2.8422973044515291E-2</v>
      </c>
      <c r="EE73" s="240">
        <f>Intermediate!FJ73+Intermediate!FK73+Intermediate!FM73</f>
        <v>1.5617589539968935</v>
      </c>
      <c r="EF73" s="240">
        <f t="shared" si="298"/>
        <v>2.8918325173402755</v>
      </c>
      <c r="EG73" s="240">
        <f t="shared" si="299"/>
        <v>0.23750556639814435</v>
      </c>
      <c r="EH73" s="240">
        <f t="shared" si="300"/>
        <v>4.7195200107798287</v>
      </c>
      <c r="EI73" s="181">
        <f t="shared" si="301"/>
        <v>4.719520010779827</v>
      </c>
      <c r="EK73" s="31">
        <f>DY73/Basicinfo!$G73*1000/100</f>
        <v>0</v>
      </c>
      <c r="EL73" s="31">
        <f>DZ73/Basicinfo!$G73*1000/100</f>
        <v>1.4121022427534078E-2</v>
      </c>
      <c r="EM73" s="220">
        <f>EG73/Basicinfo!$G73*1000/100</f>
        <v>1.4121022427534078E-2</v>
      </c>
      <c r="EN73" s="220">
        <f>ED73/Basicinfo!$G73*1000/100</f>
        <v>1.6899032974493386E-3</v>
      </c>
      <c r="EO73" s="220">
        <f>EF73/Basicinfo!$G73*1000/100</f>
        <v>0.17193547272731799</v>
      </c>
      <c r="EP73" s="220">
        <f>EE73/Basicinfo!$G73*1000/100</f>
        <v>9.2855226722655046E-2</v>
      </c>
      <c r="EQ73" s="220">
        <f>EH73/Basicinfo!$G73*1000/100</f>
        <v>0.28060162517495646</v>
      </c>
      <c r="ER73" s="31">
        <f>EI73/Basicinfo!$G73*1000/100</f>
        <v>0.28060162517495635</v>
      </c>
      <c r="ET73" s="188">
        <f t="shared" si="302"/>
        <v>0</v>
      </c>
      <c r="EU73" s="188">
        <f t="shared" si="303"/>
        <v>5.0324093521302879</v>
      </c>
      <c r="EV73" s="223">
        <f t="shared" si="304"/>
        <v>5.0324093521302879</v>
      </c>
      <c r="EW73" s="223">
        <f t="shared" si="305"/>
        <v>0.60224287596184678</v>
      </c>
      <c r="EX73" s="223">
        <f t="shared" si="306"/>
        <v>61.273869180235671</v>
      </c>
      <c r="EY73" s="223">
        <f t="shared" si="307"/>
        <v>33.091478591672235</v>
      </c>
      <c r="EZ73" s="223">
        <f t="shared" si="308"/>
        <v>100.00000000000004</v>
      </c>
      <c r="FA73" s="188">
        <f t="shared" si="309"/>
        <v>100</v>
      </c>
      <c r="FC73" s="236">
        <f>Basicinfo!CT73</f>
        <v>1.0906451612903227</v>
      </c>
      <c r="FD73" s="181">
        <f>IF((Intermediate!CL73+Intermediate!CM73*3)/4&gt;11,(Intermediate!CL73+Intermediate!CM73*9)/10,(Intermediate!CL73+Intermediate!CM73*3)/4)</f>
        <v>0.71788184522083864</v>
      </c>
      <c r="FF73" s="31">
        <f t="shared" si="310"/>
        <v>2.8422973044515291E-2</v>
      </c>
      <c r="FG73" s="31">
        <f t="shared" si="311"/>
        <v>0.98581883346852273</v>
      </c>
      <c r="FH73" s="31">
        <f t="shared" si="312"/>
        <v>3.9711303950379683E-3</v>
      </c>
      <c r="FI73" s="31">
        <f>(AI73-(P73*450/1000000))*Parameters!$C$153</f>
        <v>3.2330316840494693E-2</v>
      </c>
      <c r="FJ73" s="31"/>
      <c r="FK73" s="31">
        <f t="shared" si="313"/>
        <v>0.22059150109623907</v>
      </c>
      <c r="FL73" s="31">
        <f t="shared" si="314"/>
        <v>2.6522029139242762</v>
      </c>
      <c r="FM73" s="31">
        <f>AM73*Parameters!$C$154</f>
        <v>2.4688608551028637E-2</v>
      </c>
      <c r="FN73" s="31">
        <f>AN73*Parameters!$C$154</f>
        <v>0.15050026001401337</v>
      </c>
      <c r="FO73" s="31">
        <f>AO73*Parameters!$C$154</f>
        <v>3.8566141193287912E-2</v>
      </c>
      <c r="FP73" s="31">
        <f>AQ73*Parameters!$C$155</f>
        <v>0</v>
      </c>
      <c r="FQ73" s="31">
        <f t="shared" si="315"/>
        <v>4.1370926785274156</v>
      </c>
      <c r="FS73" s="147">
        <f>DY73*Parameters!$C$155</f>
        <v>0</v>
      </c>
      <c r="FT73" s="147">
        <f>DZ73*Parameters!$C$154</f>
        <v>0.21375500975832992</v>
      </c>
      <c r="FU73" s="181">
        <f t="shared" si="316"/>
        <v>0.22059150109623907</v>
      </c>
      <c r="FV73" s="181">
        <f t="shared" si="317"/>
        <v>2.6388151455818232</v>
      </c>
      <c r="FW73" s="31">
        <f t="shared" si="318"/>
        <v>3.2330316840494477E-2</v>
      </c>
      <c r="FX73" s="181">
        <f t="shared" si="319"/>
        <v>2.8422973044515291E-2</v>
      </c>
      <c r="FY73" s="147">
        <f>Intermediate!FJ73+Intermediate!FM73</f>
        <v>1.0031777322060136</v>
      </c>
      <c r="FZ73" s="181">
        <f t="shared" si="320"/>
        <v>2.8917369635185564</v>
      </c>
      <c r="GA73" s="147">
        <f t="shared" si="321"/>
        <v>0.21375500975832992</v>
      </c>
      <c r="GB73" s="181">
        <f t="shared" si="322"/>
        <v>4.1370926785274156</v>
      </c>
      <c r="GD73" s="147">
        <f>IF('River loads'!CH73&gt;0.99,1,0)</f>
        <v>0</v>
      </c>
      <c r="GE73" s="147">
        <f t="shared" si="323"/>
        <v>0</v>
      </c>
      <c r="GF73" s="147">
        <f t="shared" si="324"/>
        <v>0</v>
      </c>
      <c r="GG73" s="147">
        <f t="shared" si="325"/>
        <v>0</v>
      </c>
      <c r="GH73" s="147">
        <f t="shared" si="326"/>
        <v>0</v>
      </c>
      <c r="GI73" s="147">
        <f t="shared" si="327"/>
        <v>0</v>
      </c>
      <c r="GJ73" s="147">
        <f t="shared" si="328"/>
        <v>0</v>
      </c>
      <c r="GK73" s="147">
        <f t="shared" si="329"/>
        <v>0</v>
      </c>
      <c r="GL73" s="147">
        <f t="shared" si="330"/>
        <v>0</v>
      </c>
      <c r="GM73" s="270">
        <f t="shared" si="270"/>
        <v>0</v>
      </c>
      <c r="GN73" s="270">
        <f t="shared" si="271"/>
        <v>0</v>
      </c>
      <c r="GO73" s="147">
        <f t="shared" si="331"/>
        <v>0</v>
      </c>
      <c r="GP73" s="147">
        <f t="shared" si="332"/>
        <v>0</v>
      </c>
      <c r="GQ73" s="147"/>
      <c r="GR73" s="147">
        <f t="shared" si="333"/>
        <v>0</v>
      </c>
      <c r="GS73" s="147">
        <f t="shared" si="334"/>
        <v>0</v>
      </c>
      <c r="GT73" s="147">
        <f t="shared" si="335"/>
        <v>0</v>
      </c>
      <c r="GU73" s="147">
        <f t="shared" si="336"/>
        <v>0</v>
      </c>
      <c r="GV73" s="147">
        <f t="shared" si="337"/>
        <v>0</v>
      </c>
      <c r="GW73" s="147">
        <f t="shared" si="338"/>
        <v>0</v>
      </c>
      <c r="GX73" s="147">
        <f t="shared" si="339"/>
        <v>0</v>
      </c>
      <c r="GY73" s="147">
        <f t="shared" si="340"/>
        <v>0</v>
      </c>
      <c r="GZ73" s="147">
        <f t="shared" si="272"/>
        <v>0</v>
      </c>
      <c r="HA73" s="147">
        <f t="shared" si="273"/>
        <v>0</v>
      </c>
      <c r="HB73" s="147">
        <f t="shared" si="341"/>
        <v>0</v>
      </c>
      <c r="HC73" s="147">
        <f t="shared" si="342"/>
        <v>0</v>
      </c>
      <c r="HD73" s="147"/>
      <c r="HE73" s="147">
        <f t="shared" si="343"/>
        <v>0</v>
      </c>
      <c r="HF73" s="147">
        <f t="shared" si="344"/>
        <v>0</v>
      </c>
      <c r="HG73" s="147">
        <f t="shared" si="345"/>
        <v>0</v>
      </c>
      <c r="HH73" s="147">
        <f t="shared" si="346"/>
        <v>0</v>
      </c>
      <c r="HI73" s="147">
        <f t="shared" si="347"/>
        <v>0</v>
      </c>
      <c r="HJ73" s="147">
        <f t="shared" si="348"/>
        <v>0</v>
      </c>
      <c r="HK73" s="147">
        <f t="shared" si="349"/>
        <v>0</v>
      </c>
      <c r="HL73" s="147">
        <f t="shared" si="350"/>
        <v>0</v>
      </c>
      <c r="HM73" s="147">
        <f t="shared" si="351"/>
        <v>0</v>
      </c>
      <c r="HN73" s="147">
        <f t="shared" si="352"/>
        <v>0</v>
      </c>
      <c r="HO73" s="147">
        <f t="shared" si="353"/>
        <v>0</v>
      </c>
      <c r="HQ73" s="147">
        <f t="shared" si="354"/>
        <v>0</v>
      </c>
      <c r="HR73" s="147">
        <f t="shared" si="355"/>
        <v>0</v>
      </c>
      <c r="HS73" s="147">
        <f t="shared" si="356"/>
        <v>0</v>
      </c>
      <c r="HT73" s="147">
        <f t="shared" si="357"/>
        <v>0</v>
      </c>
      <c r="HU73" s="147">
        <f t="shared" si="358"/>
        <v>0</v>
      </c>
      <c r="HV73" s="147">
        <f t="shared" si="359"/>
        <v>0</v>
      </c>
      <c r="HW73" s="147">
        <f t="shared" si="360"/>
        <v>0</v>
      </c>
      <c r="HX73" s="147">
        <f t="shared" si="361"/>
        <v>0</v>
      </c>
      <c r="HY73" s="147">
        <f t="shared" si="362"/>
        <v>0</v>
      </c>
      <c r="HZ73" s="147">
        <f t="shared" si="363"/>
        <v>0</v>
      </c>
      <c r="IB73" s="147">
        <f>IF('River loads'!CI73&gt;0.99,1,0)</f>
        <v>0</v>
      </c>
      <c r="IC73">
        <f t="shared" si="255"/>
        <v>0</v>
      </c>
      <c r="ID73">
        <f t="shared" si="256"/>
        <v>0</v>
      </c>
      <c r="IE73">
        <f t="shared" si="257"/>
        <v>0</v>
      </c>
      <c r="IF73">
        <f t="shared" si="258"/>
        <v>0</v>
      </c>
      <c r="IG73">
        <f t="shared" si="259"/>
        <v>0</v>
      </c>
      <c r="IH73">
        <f t="shared" si="260"/>
        <v>0</v>
      </c>
      <c r="II73">
        <f t="shared" si="261"/>
        <v>0</v>
      </c>
      <c r="IJ73">
        <f t="shared" si="262"/>
        <v>0</v>
      </c>
      <c r="IK73">
        <f t="shared" si="274"/>
        <v>0</v>
      </c>
      <c r="IL73">
        <f t="shared" si="275"/>
        <v>0</v>
      </c>
      <c r="IM73">
        <f t="shared" si="364"/>
        <v>0</v>
      </c>
      <c r="IN73">
        <f t="shared" si="365"/>
        <v>0</v>
      </c>
      <c r="IP73">
        <f t="shared" si="366"/>
        <v>0</v>
      </c>
      <c r="IQ73">
        <f t="shared" si="367"/>
        <v>0</v>
      </c>
      <c r="IR73">
        <f t="shared" si="368"/>
        <v>0</v>
      </c>
      <c r="IS73">
        <f t="shared" si="369"/>
        <v>0</v>
      </c>
      <c r="IT73">
        <f t="shared" si="370"/>
        <v>0</v>
      </c>
      <c r="IU73">
        <f t="shared" si="371"/>
        <v>0</v>
      </c>
      <c r="IV73">
        <f t="shared" si="372"/>
        <v>0</v>
      </c>
      <c r="IW73">
        <f t="shared" si="373"/>
        <v>0</v>
      </c>
      <c r="IX73">
        <f t="shared" si="374"/>
        <v>0</v>
      </c>
    </row>
    <row r="74" spans="1:258">
      <c r="A74" s="39" t="str">
        <f>Basicinfo!A74</f>
        <v>Triebenbach</v>
      </c>
      <c r="B74" s="63">
        <f>Basicinfo!B74</f>
        <v>1450</v>
      </c>
      <c r="C74" s="63">
        <f>Basicinfo!C74</f>
        <v>1460</v>
      </c>
      <c r="D74" s="130">
        <f>Basicinfo!G74</f>
        <v>111.643536563</v>
      </c>
      <c r="E74" s="87">
        <f t="shared" si="276"/>
        <v>3.1563719445488303</v>
      </c>
      <c r="F74" s="19">
        <f>Intermediate!AR74</f>
        <v>1.4865625142644945E-2</v>
      </c>
      <c r="G74" s="19">
        <f>Intermediate!AU74</f>
        <v>0.71327706888468756</v>
      </c>
      <c r="H74" s="19">
        <f>Intermediate!AW74</f>
        <v>7.9259430493966859E-2</v>
      </c>
      <c r="I74" s="19">
        <f>Intermediate!AZ74</f>
        <v>2.9116538105641518E-4</v>
      </c>
      <c r="J74" s="19">
        <f>Intermediate!BA74</f>
        <v>2.3437475971561206</v>
      </c>
      <c r="K74" s="19">
        <f>Intermediate!AC74</f>
        <v>1.0723984404331268E-3</v>
      </c>
      <c r="L74" s="19">
        <f>Intermediate!AO74</f>
        <v>1.3226858209744478E-3</v>
      </c>
      <c r="M74" s="19">
        <f>Intermediate!AP74</f>
        <v>2.5359732289463839E-3</v>
      </c>
      <c r="N74" s="19">
        <f t="shared" si="263"/>
        <v>3.1563719445488303</v>
      </c>
      <c r="O74" s="19">
        <f>Basicinfo!CB74+Basicinfo!CG74</f>
        <v>0</v>
      </c>
      <c r="P74" s="56">
        <f>Intermediate!BK74-Intermediate!BI74</f>
        <v>6.4438239338179528</v>
      </c>
      <c r="Q74" s="43">
        <f>Intermediate!BI74</f>
        <v>966.94460007574287</v>
      </c>
      <c r="R74" s="88">
        <f>P74+Q74</f>
        <v>973.38842400956082</v>
      </c>
      <c r="S74" s="61">
        <f>Intermediate!F74*Intermediate!BO74/1000</f>
        <v>0.48713412427255981</v>
      </c>
      <c r="T74" s="19">
        <f>Intermediate!BU74*Intermediate!AU74*86.4*0.365</f>
        <v>14.015469756689336</v>
      </c>
      <c r="U74" s="19">
        <f>Intermediate!AW74*Intermediate!BS74*0.365*86.4</f>
        <v>1.5533006426645555</v>
      </c>
      <c r="V74" s="19">
        <f>(Basicinfo!BL74/1000000)*(Intermediate!BK74-Intermediate!BF74-Intermediate!BG74-Intermediate!BH74)*Intermediate!CV74</f>
        <v>3.2000593199022043E-2</v>
      </c>
      <c r="W74" s="19">
        <f>Intermediate!BI74*Parameters!$C$51/1000000</f>
        <v>2.4173615001893575E-2</v>
      </c>
      <c r="X74" s="19">
        <f>Intermediate!AZ74*Intermediate!CG74*86.4*0.365</f>
        <v>6.8334057882434671E-2</v>
      </c>
      <c r="Y74" s="19">
        <f>Intermediate!CM74*Intermediate!BA74*86.4*0.365+Parameters!$C$126*Intermediate!BB74*Basicinfo!P74/1000+Parameters!$C$127*Intermediate!BB74*Basicinfo!S74/1000</f>
        <v>43.69665883029419</v>
      </c>
      <c r="Z74" s="19">
        <f>Intermediate!DG74</f>
        <v>5.3842709307960673E-2</v>
      </c>
      <c r="AA74" s="19">
        <f>Intermediate!DI74</f>
        <v>0.45008992819433874</v>
      </c>
      <c r="AB74" s="19">
        <f>Intermediate!DK74</f>
        <v>0.44278193863382204</v>
      </c>
      <c r="AC74" s="19">
        <f t="shared" si="264"/>
        <v>60.823786196140105</v>
      </c>
      <c r="AD74" s="19">
        <f>Basicinfo!CC74+Basicinfo!CE74+Basicinfo!CH74+Basicinfo!CJ74</f>
        <v>0</v>
      </c>
      <c r="AE74" s="87">
        <f>AC74+AD74</f>
        <v>60.823786196140105</v>
      </c>
      <c r="AF74" s="56">
        <f>Intermediate!F74*Basicinfo!BD74/1000</f>
        <v>1.9615250207826732E-2</v>
      </c>
      <c r="AG74" s="43">
        <f>Intermediate!CA74*Intermediate!AU74*86.4*0.365</f>
        <v>0.5155670497475211</v>
      </c>
      <c r="AH74" s="43">
        <f>Intermediate!AW74*Intermediate!BZ74*0.365*86.4</f>
        <v>5.2582276018608223E-2</v>
      </c>
      <c r="AI74" s="43">
        <f>(Intermediate!CU74/1000000)*(Intermediate!BK74-Intermediate!BF74-Intermediate!BG74-Intermediate!BH74)*Intermediate!CW74</f>
        <v>2.4121882933128416E-2</v>
      </c>
      <c r="AJ74" s="43">
        <f>Intermediate!BF74*Parameters!$C$52/1000000+(Intermediate!BG74+Intermediate!BH74)*Intermediate!CX74/1000000</f>
        <v>0.50776860656629585</v>
      </c>
      <c r="AK74" s="43">
        <f>Intermediate!AZ74*Intermediate!CH74*86.4*0.365</f>
        <v>1.200639357775267E-3</v>
      </c>
      <c r="AL74" s="58">
        <f>Intermediate!CR74*Intermediate!BA74*86.4*0.365</f>
        <v>0.8105917242336057</v>
      </c>
      <c r="AM74" s="43">
        <f>Intermediate!DH74</f>
        <v>1.7074637170392173E-2</v>
      </c>
      <c r="AN74" s="42">
        <f>Intermediate!DJ74</f>
        <v>8.2433021542947349E-2</v>
      </c>
      <c r="AO74" s="42">
        <f>Intermediate!DL74</f>
        <v>6.8834259141743528E-2</v>
      </c>
      <c r="AP74" s="42">
        <f t="shared" si="265"/>
        <v>2.0997893469198443</v>
      </c>
      <c r="AQ74" s="43">
        <f>Basicinfo!CD74+Basicinfo!CF74+Basicinfo!CI74+Basicinfo!CK74</f>
        <v>0</v>
      </c>
      <c r="AR74" s="83">
        <f>AP74+AQ74</f>
        <v>2.0997893469198443</v>
      </c>
      <c r="AS74" s="19">
        <f>F74*86400*365/(Basicinfo!G74*1000000)*1000</f>
        <v>4.1990998219042242</v>
      </c>
      <c r="AT74" s="19">
        <f>G74*86400*365/(Basicinfo!G74*1000000)*1000</f>
        <v>201.47969454240899</v>
      </c>
      <c r="AU74" s="19">
        <f>H74*86400*365/(Basicinfo!G74*1000000)*1000</f>
        <v>22.388446989470516</v>
      </c>
      <c r="AV74" s="19">
        <f>I74*86400*365/(Basicinfo!G74*1000000)*1000</f>
        <v>8.2245616178717493E-2</v>
      </c>
      <c r="AW74" s="19">
        <f>J74*86400*365/(Basicinfo!G74*1000000)*1000</f>
        <v>662.03943819181086</v>
      </c>
      <c r="AX74" s="53">
        <f>K74*86400*365/(Basicinfo!G74*1000000)*1000</f>
        <v>0.30292086992797002</v>
      </c>
      <c r="AY74" s="53">
        <f>L74*86400*365/(Basicinfo!G74*1000000)*1000</f>
        <v>0.37361965891068089</v>
      </c>
      <c r="AZ74" s="53">
        <f>M74*86400*365/(Basicinfo!G74*1000000)*1000</f>
        <v>0.71633749888354625</v>
      </c>
      <c r="BA74" s="19">
        <f t="shared" si="266"/>
        <v>891.58180318949553</v>
      </c>
      <c r="BB74" s="19">
        <f>O74*86400*365/(Basicinfo!G74*1000000)*1000</f>
        <v>0</v>
      </c>
      <c r="BC74" s="53">
        <f>BA74+BB74</f>
        <v>891.58180318949553</v>
      </c>
      <c r="BD74" s="56">
        <f>P74/(Basicinfo!G74*100)*1000</f>
        <v>0.57717841374379331</v>
      </c>
      <c r="BE74" s="43">
        <f>Q74/(Basicinfo!G74*100)*1000</f>
        <v>86.609993721409907</v>
      </c>
      <c r="BF74" s="58">
        <f>SUM(BD74:BE74)</f>
        <v>87.187172135153702</v>
      </c>
      <c r="BG74" s="61">
        <f>S74/(Basicinfo!G74*100)*1000000</f>
        <v>43.632989357845354</v>
      </c>
      <c r="BH74" s="19">
        <f>T74/(Basicinfo!G74*100)*1000000</f>
        <v>1255.3767274096035</v>
      </c>
      <c r="BI74" s="19">
        <f>U74/(Basicinfo!G74*100)*1000000</f>
        <v>139.13036889404111</v>
      </c>
      <c r="BJ74" s="19">
        <f>V74/(Basicinfo!G74*100)*1000000</f>
        <v>2.8663184797056509</v>
      </c>
      <c r="BK74" s="19">
        <f>W74/(Basicinfo!G74*100)*1000000</f>
        <v>2.165249843035248</v>
      </c>
      <c r="BL74" s="19">
        <f>X74/(Basicinfo!G74*100)*1000000</f>
        <v>6.1207356902272654</v>
      </c>
      <c r="BM74" s="19">
        <f>Y74/(Basicinfo!G74*100)*1000000</f>
        <v>3913.9443424596589</v>
      </c>
      <c r="BN74" s="53">
        <f>Z74/(Basicinfo!G74*100)*1000000</f>
        <v>4.8227341201769836</v>
      </c>
      <c r="BO74" s="53">
        <f>AA74/(Basicinfo!G74*100)*1000000</f>
        <v>40.314911373338191</v>
      </c>
      <c r="BP74" s="53">
        <f>AB74/(Basicinfo!G74*100)*1000000</f>
        <v>39.660328959927021</v>
      </c>
      <c r="BQ74" s="19">
        <f t="shared" si="267"/>
        <v>5448.0347065875594</v>
      </c>
      <c r="BR74" s="19">
        <f>AD74/(Basicinfo!G74*100)*1000000</f>
        <v>0</v>
      </c>
      <c r="BS74" s="53">
        <f>BQ74+BR74</f>
        <v>5448.0347065875594</v>
      </c>
      <c r="BT74" s="56">
        <f>AF74/(Basicinfo!G74*100)*1000000</f>
        <v>1.756953497863974</v>
      </c>
      <c r="BU74" s="43">
        <f>AG74/(Basicinfo!G74*100)*1000000</f>
        <v>46.179749013646543</v>
      </c>
      <c r="BV74" s="43">
        <f>AH74/(Basicinfo!G74*100)*1000000</f>
        <v>4.7098361120920114</v>
      </c>
      <c r="BW74" s="43">
        <f>AI74/(Basicinfo!G74*100)*1000000</f>
        <v>2.1606161606602754</v>
      </c>
      <c r="BX74" s="43">
        <f>AJ74/(Basicinfo!G74*100)*1000000</f>
        <v>45.481236280952466</v>
      </c>
      <c r="BY74" s="58">
        <f>AK74/(Basicinfo!G74*100)*1000000</f>
        <v>0.10754221827232703</v>
      </c>
      <c r="BZ74" s="58">
        <f>AL74/(Basicinfo!G74*100)*1000000</f>
        <v>72.605342789028555</v>
      </c>
      <c r="CA74" s="58">
        <f>AM74/(Basicinfo!G74*100)*1000000</f>
        <v>1.5293887757449376</v>
      </c>
      <c r="CB74" s="58">
        <f>AN74/(Basicinfo!G74*100)*1000000</f>
        <v>7.3835910327357581</v>
      </c>
      <c r="CC74" s="58">
        <f>AO74/(Basicinfo!G74*100)*1000000</f>
        <v>6.1655391132204631</v>
      </c>
      <c r="CD74" s="58">
        <f t="shared" si="268"/>
        <v>188.07979499421731</v>
      </c>
      <c r="CE74" s="58">
        <f>AQ74/(Basicinfo!G74*100)*1000000</f>
        <v>0</v>
      </c>
      <c r="CF74" s="43">
        <f>CD74+CE74</f>
        <v>188.07979499421731</v>
      </c>
      <c r="CG74" s="84"/>
      <c r="CH74" s="84">
        <f t="shared" si="277"/>
        <v>0</v>
      </c>
      <c r="CI74" s="146">
        <f t="shared" si="152"/>
        <v>0.94671457613612153</v>
      </c>
      <c r="CJ74" s="200">
        <f>Intermediate!EW74+Intermediate!EY74+Intermediate!FD74</f>
        <v>18.630920028547695</v>
      </c>
      <c r="CK74" s="180">
        <f>Intermediate!FA74+Intermediate!FF74</f>
        <v>1.2789451751066607</v>
      </c>
      <c r="CL74" s="180">
        <f t="shared" si="252"/>
        <v>6.8334057882434671E-2</v>
      </c>
      <c r="CM74" s="180">
        <f t="shared" si="253"/>
        <v>9.9306421959966205</v>
      </c>
      <c r="CN74" s="202">
        <f>Intermediate!EX74+Intermediate!EZ74+Intermediate!FE74</f>
        <v>14.819846320366832</v>
      </c>
      <c r="CO74" s="180">
        <f>Intermediate!FB74+Intermediate!FG74</f>
        <v>0.95995979526987996</v>
      </c>
      <c r="CP74" s="213">
        <f>Intermediate!EP74+Intermediate!EQ74+Intermediate!ER74+Intermediate!ES74+Intermediate!ET74+Intermediate!EU74+Intermediate!EV74+W74</f>
        <v>14.188424046833871</v>
      </c>
      <c r="CQ74" s="212">
        <f t="shared" si="278"/>
        <v>15.779806115636712</v>
      </c>
      <c r="CR74" s="212">
        <f t="shared" si="279"/>
        <v>29.908841457533409</v>
      </c>
      <c r="CS74" s="211">
        <f t="shared" si="254"/>
        <v>5.3842709307960673E-2</v>
      </c>
      <c r="CT74" s="212">
        <f t="shared" si="280"/>
        <v>59.930914329311953</v>
      </c>
      <c r="CU74" s="84"/>
      <c r="CV74" s="31">
        <f t="shared" si="281"/>
        <v>60.823786196140105</v>
      </c>
      <c r="CW74" s="31">
        <f>CH74/Basicinfo!$G74*1000/100</f>
        <v>0</v>
      </c>
      <c r="CX74" s="31">
        <f>CI74/Basicinfo!$G74*1000/100</f>
        <v>8.4797974453442199E-2</v>
      </c>
      <c r="CY74" s="31">
        <f>CS74/Basicinfo!$G74*1000/100</f>
        <v>4.8227341201769842E-3</v>
      </c>
      <c r="CZ74" s="31">
        <f>CN74/Basicinfo!$G74*1000/100</f>
        <v>1.3274253733447483</v>
      </c>
      <c r="DA74" s="31">
        <f>CO74/Basicinfo!$G74*1000/100</f>
        <v>8.5984359222459658E-2</v>
      </c>
      <c r="DB74" s="31">
        <f>CQ74/Basicinfo!$G74*1000/100</f>
        <v>1.4134097325672079</v>
      </c>
      <c r="DC74" s="31">
        <f>CJ74/Basicinfo!$G74*1000/100</f>
        <v>1.6687862640426425</v>
      </c>
      <c r="DD74" s="31">
        <f>CK74/Basicinfo!$G74*1000/100</f>
        <v>0.11455613235477874</v>
      </c>
      <c r="DE74" s="31">
        <f>CM74/Basicinfo!$G74*1000/100</f>
        <v>0.88949548730864492</v>
      </c>
      <c r="DF74" s="31">
        <f>CR74/Basicinfo!$G74*1000/100</f>
        <v>2.6789586193962935</v>
      </c>
      <c r="DG74" s="31">
        <f>CP74/Basicinfo!$G74*1000/100</f>
        <v>1.2708683801706158</v>
      </c>
      <c r="DH74" s="31">
        <f>CT74/Basicinfo!$G74*1000/100</f>
        <v>5.3680594662542935</v>
      </c>
      <c r="DI74" s="31">
        <f>CV74/Basicinfo!$G74*1000/100</f>
        <v>5.4480347065875598</v>
      </c>
      <c r="DJ74" s="31"/>
      <c r="DK74" s="188">
        <f t="shared" si="282"/>
        <v>0</v>
      </c>
      <c r="DL74" s="188">
        <f t="shared" si="283"/>
        <v>1.5796765104134036</v>
      </c>
      <c r="DM74" s="188">
        <f t="shared" si="284"/>
        <v>8.9841294614833589E-2</v>
      </c>
      <c r="DN74" s="188">
        <f t="shared" si="285"/>
        <v>24.728216624451711</v>
      </c>
      <c r="DO74" s="188">
        <f t="shared" si="286"/>
        <v>1.6017773231274859</v>
      </c>
      <c r="DP74" s="188">
        <f t="shared" si="287"/>
        <v>26.329993947579201</v>
      </c>
      <c r="DQ74" s="188">
        <f t="shared" si="288"/>
        <v>31.087328196218412</v>
      </c>
      <c r="DR74" s="188">
        <f t="shared" si="289"/>
        <v>2.1340324762593088</v>
      </c>
      <c r="DS74" s="188">
        <f t="shared" si="290"/>
        <v>16.570149658370198</v>
      </c>
      <c r="DT74" s="188">
        <f t="shared" si="291"/>
        <v>49.905531714714932</v>
      </c>
      <c r="DU74" s="188">
        <f t="shared" si="292"/>
        <v>23.674633043091042</v>
      </c>
      <c r="DV74" s="188">
        <f t="shared" si="293"/>
        <v>100</v>
      </c>
      <c r="DW74" s="188">
        <f t="shared" si="294"/>
        <v>101.48983521579855</v>
      </c>
      <c r="DY74" s="181">
        <f t="shared" si="295"/>
        <v>0</v>
      </c>
      <c r="DZ74" s="181">
        <f t="shared" si="269"/>
        <v>0.16834191785508307</v>
      </c>
      <c r="EA74" s="185">
        <f t="shared" si="296"/>
        <v>1.200639357775267E-3</v>
      </c>
      <c r="EB74" s="185">
        <f>AG74+AH74+AL74-Intermediate!FJ74-Intermediate!FM74</f>
        <v>0.80995438233949357</v>
      </c>
      <c r="EC74" s="185">
        <f>AI74+AJ74-Intermediate!FK74</f>
        <v>1.7031025892516483E-2</v>
      </c>
      <c r="ED74" s="240">
        <f t="shared" si="297"/>
        <v>1.9615250207826732E-2</v>
      </c>
      <c r="EE74" s="240">
        <f>Intermediate!FJ74+Intermediate!FK74+Intermediate!FM74</f>
        <v>1.083646131267149</v>
      </c>
      <c r="EF74" s="240">
        <f t="shared" si="298"/>
        <v>0.82818604758978553</v>
      </c>
      <c r="EG74" s="240">
        <f t="shared" si="299"/>
        <v>0.16834191785508307</v>
      </c>
      <c r="EH74" s="240">
        <f t="shared" si="300"/>
        <v>2.0997893469198443</v>
      </c>
      <c r="EI74" s="181">
        <f t="shared" si="301"/>
        <v>2.0997893469198443</v>
      </c>
      <c r="EK74" s="31">
        <f>DY74/Basicinfo!$G74*1000/100</f>
        <v>0</v>
      </c>
      <c r="EL74" s="31">
        <f>DZ74/Basicinfo!$G74*1000/100</f>
        <v>1.5078518921701159E-2</v>
      </c>
      <c r="EM74" s="220">
        <f>EG74/Basicinfo!$G74*1000/100</f>
        <v>1.5078518921701159E-2</v>
      </c>
      <c r="EN74" s="220">
        <f>ED74/Basicinfo!$G74*1000/100</f>
        <v>1.7569534978639739E-3</v>
      </c>
      <c r="EO74" s="220">
        <f>EF74/Basicinfo!$G74*1000/100</f>
        <v>7.418128026806492E-2</v>
      </c>
      <c r="EP74" s="220">
        <f>EE74/Basicinfo!$G74*1000/100</f>
        <v>9.7063042306587258E-2</v>
      </c>
      <c r="EQ74" s="220">
        <f>EH74/Basicinfo!$G74*1000/100</f>
        <v>0.18807979499421731</v>
      </c>
      <c r="ER74" s="31">
        <f>EI74/Basicinfo!$G74*1000/100</f>
        <v>0.18807979499421731</v>
      </c>
      <c r="ET74" s="188">
        <f t="shared" si="302"/>
        <v>0</v>
      </c>
      <c r="EU74" s="188">
        <f t="shared" si="303"/>
        <v>8.0170860044614383</v>
      </c>
      <c r="EV74" s="223">
        <f t="shared" si="304"/>
        <v>8.0170860044614383</v>
      </c>
      <c r="EW74" s="223">
        <f t="shared" si="305"/>
        <v>0.93415323954281915</v>
      </c>
      <c r="EX74" s="223">
        <f t="shared" si="306"/>
        <v>39.441387242231784</v>
      </c>
      <c r="EY74" s="223">
        <f t="shared" si="307"/>
        <v>51.607373513763953</v>
      </c>
      <c r="EZ74" s="223">
        <f t="shared" si="308"/>
        <v>100</v>
      </c>
      <c r="FA74" s="188">
        <f t="shared" si="309"/>
        <v>100</v>
      </c>
      <c r="FC74" s="236">
        <f>Basicinfo!CT74</f>
        <v>0.69379032258064521</v>
      </c>
      <c r="FD74" s="181">
        <f>IF((Intermediate!CL74+Intermediate!CM74*3)/4&gt;11,(Intermediate!CL74+Intermediate!CM74*9)/10,(Intermediate!CL74+Intermediate!CM74*3)/4)</f>
        <v>0.80974534923593988</v>
      </c>
      <c r="FF74" s="31">
        <f t="shared" si="310"/>
        <v>1.9615250207826732E-2</v>
      </c>
      <c r="FG74" s="31">
        <f t="shared" si="311"/>
        <v>0.5155670497475211</v>
      </c>
      <c r="FH74" s="31">
        <f t="shared" si="312"/>
        <v>5.2582276018608223E-2</v>
      </c>
      <c r="FI74" s="31">
        <f>(AI74-(P74*450/1000000))*Parameters!$C$153</f>
        <v>1.6977729730328271E-2</v>
      </c>
      <c r="FJ74" s="31"/>
      <c r="FK74" s="31">
        <f t="shared" si="313"/>
        <v>1.200639357775267E-3</v>
      </c>
      <c r="FL74" s="31">
        <f t="shared" si="314"/>
        <v>0.8105917242336057</v>
      </c>
      <c r="FM74" s="31">
        <f>AM74*Parameters!$C$154</f>
        <v>1.5367173453352955E-2</v>
      </c>
      <c r="FN74" s="31">
        <f>AN74*Parameters!$C$154</f>
        <v>7.4189719388652611E-2</v>
      </c>
      <c r="FO74" s="31">
        <f>AO74*Parameters!$C$154</f>
        <v>6.1950833227569176E-2</v>
      </c>
      <c r="FP74" s="31">
        <f>AQ74*Parameters!$C$155</f>
        <v>0</v>
      </c>
      <c r="FQ74" s="31">
        <f t="shared" si="315"/>
        <v>1.56804239536524</v>
      </c>
      <c r="FS74" s="147">
        <f>DY74*Parameters!$C$155</f>
        <v>0</v>
      </c>
      <c r="FT74" s="147">
        <f>DZ74*Parameters!$C$154</f>
        <v>0.15150772606957477</v>
      </c>
      <c r="FU74" s="181">
        <f t="shared" si="316"/>
        <v>1.200639357775267E-3</v>
      </c>
      <c r="FV74" s="181">
        <f t="shared" si="317"/>
        <v>0.80995438233949357</v>
      </c>
      <c r="FW74" s="31">
        <f t="shared" si="318"/>
        <v>1.6977729730328406E-2</v>
      </c>
      <c r="FX74" s="181">
        <f t="shared" si="319"/>
        <v>1.9615250207826732E-2</v>
      </c>
      <c r="FY74" s="147">
        <f>Intermediate!FJ74+Intermediate!FM74</f>
        <v>0.56878666766024133</v>
      </c>
      <c r="FZ74" s="181">
        <f t="shared" si="320"/>
        <v>0.82813275142759724</v>
      </c>
      <c r="GA74" s="147">
        <f t="shared" si="321"/>
        <v>0.15150772606957477</v>
      </c>
      <c r="GB74" s="181">
        <f t="shared" si="322"/>
        <v>1.56804239536524</v>
      </c>
      <c r="GD74" s="147">
        <f>IF('River loads'!CH74&gt;0.99,1,0)</f>
        <v>0</v>
      </c>
      <c r="GE74" s="147">
        <f t="shared" si="323"/>
        <v>0</v>
      </c>
      <c r="GF74" s="147">
        <f t="shared" si="324"/>
        <v>0</v>
      </c>
      <c r="GG74" s="147">
        <f t="shared" si="325"/>
        <v>0</v>
      </c>
      <c r="GH74" s="147">
        <f t="shared" si="326"/>
        <v>0</v>
      </c>
      <c r="GI74" s="147">
        <f t="shared" si="327"/>
        <v>0</v>
      </c>
      <c r="GJ74" s="147">
        <f t="shared" si="328"/>
        <v>0</v>
      </c>
      <c r="GK74" s="147">
        <f t="shared" si="329"/>
        <v>0</v>
      </c>
      <c r="GL74" s="147">
        <f t="shared" si="330"/>
        <v>0</v>
      </c>
      <c r="GM74" s="270">
        <f t="shared" si="270"/>
        <v>0</v>
      </c>
      <c r="GN74" s="270">
        <f t="shared" si="271"/>
        <v>0</v>
      </c>
      <c r="GO74" s="147">
        <f t="shared" si="331"/>
        <v>0</v>
      </c>
      <c r="GP74" s="147">
        <f t="shared" si="332"/>
        <v>0</v>
      </c>
      <c r="GQ74" s="147"/>
      <c r="GR74" s="147">
        <f t="shared" si="333"/>
        <v>0</v>
      </c>
      <c r="GS74" s="147">
        <f t="shared" si="334"/>
        <v>0</v>
      </c>
      <c r="GT74" s="147">
        <f t="shared" si="335"/>
        <v>0</v>
      </c>
      <c r="GU74" s="147">
        <f t="shared" si="336"/>
        <v>0</v>
      </c>
      <c r="GV74" s="147">
        <f t="shared" si="337"/>
        <v>0</v>
      </c>
      <c r="GW74" s="147">
        <f t="shared" si="338"/>
        <v>0</v>
      </c>
      <c r="GX74" s="147">
        <f t="shared" si="339"/>
        <v>0</v>
      </c>
      <c r="GY74" s="147">
        <f t="shared" si="340"/>
        <v>0</v>
      </c>
      <c r="GZ74" s="147">
        <f t="shared" si="272"/>
        <v>0</v>
      </c>
      <c r="HA74" s="147">
        <f t="shared" si="273"/>
        <v>0</v>
      </c>
      <c r="HB74" s="147">
        <f t="shared" si="341"/>
        <v>0</v>
      </c>
      <c r="HC74" s="147">
        <f t="shared" si="342"/>
        <v>0</v>
      </c>
      <c r="HD74" s="147"/>
      <c r="HE74" s="147">
        <f t="shared" si="343"/>
        <v>0</v>
      </c>
      <c r="HF74" s="147">
        <f t="shared" si="344"/>
        <v>0</v>
      </c>
      <c r="HG74" s="147">
        <f t="shared" si="345"/>
        <v>0</v>
      </c>
      <c r="HH74" s="147">
        <f t="shared" si="346"/>
        <v>0</v>
      </c>
      <c r="HI74" s="147">
        <f t="shared" si="347"/>
        <v>0</v>
      </c>
      <c r="HJ74" s="147">
        <f t="shared" si="348"/>
        <v>0</v>
      </c>
      <c r="HK74" s="147">
        <f t="shared" si="349"/>
        <v>0</v>
      </c>
      <c r="HL74" s="147">
        <f t="shared" si="350"/>
        <v>0</v>
      </c>
      <c r="HM74" s="147">
        <f t="shared" si="351"/>
        <v>0</v>
      </c>
      <c r="HN74" s="147">
        <f t="shared" si="352"/>
        <v>0</v>
      </c>
      <c r="HO74" s="147">
        <f t="shared" si="353"/>
        <v>0</v>
      </c>
      <c r="HQ74" s="147">
        <f t="shared" si="354"/>
        <v>0</v>
      </c>
      <c r="HR74" s="147">
        <f t="shared" si="355"/>
        <v>0</v>
      </c>
      <c r="HS74" s="147">
        <f t="shared" si="356"/>
        <v>0</v>
      </c>
      <c r="HT74" s="147">
        <f t="shared" si="357"/>
        <v>0</v>
      </c>
      <c r="HU74" s="147">
        <f t="shared" si="358"/>
        <v>0</v>
      </c>
      <c r="HV74" s="147">
        <f t="shared" si="359"/>
        <v>0</v>
      </c>
      <c r="HW74" s="147">
        <f t="shared" si="360"/>
        <v>0</v>
      </c>
      <c r="HX74" s="147">
        <f t="shared" si="361"/>
        <v>0</v>
      </c>
      <c r="HY74" s="147">
        <f t="shared" si="362"/>
        <v>0</v>
      </c>
      <c r="HZ74" s="147">
        <f t="shared" si="363"/>
        <v>0</v>
      </c>
      <c r="IB74" s="147">
        <f>IF('River loads'!CI74&gt;0.99,1,0)</f>
        <v>0</v>
      </c>
      <c r="IC74">
        <f t="shared" si="255"/>
        <v>0</v>
      </c>
      <c r="ID74">
        <f t="shared" si="256"/>
        <v>0</v>
      </c>
      <c r="IE74">
        <f t="shared" si="257"/>
        <v>0</v>
      </c>
      <c r="IF74">
        <f t="shared" si="258"/>
        <v>0</v>
      </c>
      <c r="IG74">
        <f t="shared" si="259"/>
        <v>0</v>
      </c>
      <c r="IH74">
        <f t="shared" si="260"/>
        <v>0</v>
      </c>
      <c r="II74">
        <f t="shared" si="261"/>
        <v>0</v>
      </c>
      <c r="IJ74">
        <f t="shared" si="262"/>
        <v>0</v>
      </c>
      <c r="IK74">
        <f t="shared" si="274"/>
        <v>0</v>
      </c>
      <c r="IL74">
        <f t="shared" si="275"/>
        <v>0</v>
      </c>
      <c r="IM74">
        <f t="shared" si="364"/>
        <v>0</v>
      </c>
      <c r="IN74">
        <f t="shared" si="365"/>
        <v>0</v>
      </c>
      <c r="IP74">
        <f t="shared" si="366"/>
        <v>0</v>
      </c>
      <c r="IQ74">
        <f t="shared" si="367"/>
        <v>0</v>
      </c>
      <c r="IR74">
        <f t="shared" si="368"/>
        <v>0</v>
      </c>
      <c r="IS74">
        <f t="shared" si="369"/>
        <v>0</v>
      </c>
      <c r="IT74">
        <f t="shared" si="370"/>
        <v>0</v>
      </c>
      <c r="IU74">
        <f t="shared" si="371"/>
        <v>0</v>
      </c>
      <c r="IV74">
        <f t="shared" si="372"/>
        <v>0</v>
      </c>
      <c r="IW74">
        <f t="shared" si="373"/>
        <v>0</v>
      </c>
      <c r="IX74">
        <f t="shared" si="374"/>
        <v>0</v>
      </c>
    </row>
    <row r="75" spans="1:258">
      <c r="A75" s="39" t="str">
        <f>Basicinfo!A75</f>
        <v>Patten</v>
      </c>
      <c r="B75" s="63">
        <f>Basicinfo!B75</f>
        <v>1460</v>
      </c>
      <c r="C75" s="63">
        <f>Basicinfo!C75</f>
        <v>4070</v>
      </c>
      <c r="D75" s="130">
        <f>Basicinfo!G75</f>
        <v>259.98821759800001</v>
      </c>
      <c r="E75" s="87">
        <f t="shared" si="276"/>
        <v>8.4248884290224186</v>
      </c>
      <c r="F75" s="19">
        <f>Intermediate!AR75</f>
        <v>3.228411604695669E-2</v>
      </c>
      <c r="G75" s="19">
        <f>Intermediate!AU75</f>
        <v>1.9406104484239246</v>
      </c>
      <c r="H75" s="19">
        <f>Intermediate!AW75</f>
        <v>1.7163781088532844E-2</v>
      </c>
      <c r="I75" s="19">
        <f>Intermediate!AZ75</f>
        <v>7.499161172295761E-2</v>
      </c>
      <c r="J75" s="19">
        <f>Intermediate!BA75</f>
        <v>6.2663748362548173</v>
      </c>
      <c r="K75" s="19">
        <f>Intermediate!AC75</f>
        <v>6.7684175927745826E-3</v>
      </c>
      <c r="L75" s="19">
        <f>Intermediate!AO75</f>
        <v>8.6046305557108856E-3</v>
      </c>
      <c r="M75" s="19">
        <f>Intermediate!AP75</f>
        <v>9.5921516864836721E-3</v>
      </c>
      <c r="N75" s="19">
        <f t="shared" si="263"/>
        <v>8.3563899933721562</v>
      </c>
      <c r="O75" s="19">
        <f>Basicinfo!CB75+Basicinfo!CG75</f>
        <v>6.8498435650262118E-2</v>
      </c>
      <c r="P75" s="56">
        <f>Intermediate!BK75-Intermediate!BI75</f>
        <v>19.796902830682484</v>
      </c>
      <c r="Q75" s="43">
        <f>Intermediate!BI75</f>
        <v>2103.2237352233956</v>
      </c>
      <c r="R75" s="88">
        <f>P75+Q75</f>
        <v>2123.0206380540781</v>
      </c>
      <c r="S75" s="61">
        <f>Intermediate!F75*Intermediate!BO75/1000</f>
        <v>1.0063916323698536</v>
      </c>
      <c r="T75" s="19">
        <f>Intermediate!BU75*Intermediate!AU75*86.4*0.365</f>
        <v>33.386170607188426</v>
      </c>
      <c r="U75" s="19">
        <f>Intermediate!AW75*Intermediate!BS75*0.365*86.4</f>
        <v>0.29445234165849771</v>
      </c>
      <c r="V75" s="19">
        <f>(Basicinfo!BL75/1000000)*(Intermediate!BK75-Intermediate!BF75-Intermediate!BG75-Intermediate!BH75)*Intermediate!CV75</f>
        <v>0.101387420710885</v>
      </c>
      <c r="W75" s="19">
        <f>Intermediate!BI75*Parameters!$C$51/1000000</f>
        <v>5.2580593380584892E-2</v>
      </c>
      <c r="X75" s="19">
        <f>Intermediate!AZ75*Intermediate!CG75*86.4*0.365</f>
        <v>25.625074118783136</v>
      </c>
      <c r="Y75" s="19">
        <f>Intermediate!CM75*Intermediate!BA75*86.4*0.365+Parameters!$C$126*Intermediate!BB75*Basicinfo!P75/1000+Parameters!$C$127*Intermediate!BB75*Basicinfo!S75/1000</f>
        <v>114.68315042909975</v>
      </c>
      <c r="Z75" s="19">
        <f>Intermediate!DG75</f>
        <v>0.34638233408148861</v>
      </c>
      <c r="AA75" s="19">
        <f>Intermediate!DI75</f>
        <v>2.9021518714628609</v>
      </c>
      <c r="AB75" s="19">
        <f>Intermediate!DK75</f>
        <v>0.90536459727231011</v>
      </c>
      <c r="AC75" s="19">
        <f t="shared" si="264"/>
        <v>179.30310594600775</v>
      </c>
      <c r="AD75" s="19">
        <f>Basicinfo!CC75+Basicinfo!CE75+Basicinfo!CH75+Basicinfo!CJ75</f>
        <v>27.638053333333332</v>
      </c>
      <c r="AE75" s="87">
        <f>AC75+AD75</f>
        <v>206.94115927934109</v>
      </c>
      <c r="AF75" s="56">
        <f>Intermediate!F75*Basicinfo!BD75/1000</f>
        <v>4.5990626879109257E-2</v>
      </c>
      <c r="AG75" s="43">
        <f>Intermediate!CA75*Intermediate!AU75*86.4*0.365</f>
        <v>1.7033893086480107</v>
      </c>
      <c r="AH75" s="43">
        <f>Intermediate!AW75*Intermediate!BZ75*0.365*86.4</f>
        <v>1.2870122610708171E-2</v>
      </c>
      <c r="AI75" s="43">
        <f>(Intermediate!CU75/1000000)*(Intermediate!BK75-Intermediate!BF75-Intermediate!BG75-Intermediate!BH75)*Intermediate!CW75</f>
        <v>7.1980757330611017E-2</v>
      </c>
      <c r="AJ75" s="43">
        <f>Intermediate!BF75*Parameters!$C$52/1000000+(Intermediate!BG75+Intermediate!BH75)*Intermediate!CX75/1000000</f>
        <v>0.96347853471193701</v>
      </c>
      <c r="AK75" s="43">
        <f>Intermediate!AZ75*Intermediate!CH75*86.4*0.365</f>
        <v>0.47967570705527557</v>
      </c>
      <c r="AL75" s="58">
        <f>Intermediate!CR75*Intermediate!BA75*86.4*0.365</f>
        <v>1.6053270388045477</v>
      </c>
      <c r="AM75" s="43">
        <f>Intermediate!DH75</f>
        <v>0.11110952988373141</v>
      </c>
      <c r="AN75" s="42">
        <f>Intermediate!DJ75</f>
        <v>0.53474693491947023</v>
      </c>
      <c r="AO75" s="42">
        <f>Intermediate!DL75</f>
        <v>0.15388477879652288</v>
      </c>
      <c r="AP75" s="42">
        <f t="shared" si="265"/>
        <v>5.6824533396399239</v>
      </c>
      <c r="AQ75" s="43">
        <f>Basicinfo!CD75+Basicinfo!CF75+Basicinfo!CI75+Basicinfo!CK75</f>
        <v>4.3166666666666673</v>
      </c>
      <c r="AR75" s="83">
        <f>AP75+AQ75</f>
        <v>9.9991200063065904</v>
      </c>
      <c r="AS75" s="19">
        <f>F75*86400*365/(Basicinfo!G75*1000000)*1000</f>
        <v>3.9159923978980271</v>
      </c>
      <c r="AT75" s="19">
        <f>G75*86400*365/(Basicinfo!G75*1000000)*1000</f>
        <v>235.39178685445037</v>
      </c>
      <c r="AU75" s="19">
        <f>H75*86400*365/(Basicinfo!G75*1000000)*1000</f>
        <v>2.0819289635844469</v>
      </c>
      <c r="AV75" s="19">
        <f>I75*86400*365/(Basicinfo!G75*1000000)*1000</f>
        <v>9.0963178606497888</v>
      </c>
      <c r="AW75" s="19">
        <f>J75*86400*365/(Basicinfo!G75*1000000)*1000</f>
        <v>760.09751004059376</v>
      </c>
      <c r="AX75" s="53">
        <f>K75*86400*365/(Basicinfo!G75*1000000)*1000</f>
        <v>0.82099419418990327</v>
      </c>
      <c r="AY75" s="53">
        <f>L75*86400*365/(Basicinfo!G75*1000000)*1000</f>
        <v>1.0437227952555721</v>
      </c>
      <c r="AZ75" s="53">
        <f>M75*86400*365/(Basicinfo!G75*1000000)*1000</f>
        <v>1.1635069403517311</v>
      </c>
      <c r="BA75" s="19">
        <f t="shared" si="266"/>
        <v>1013.6117600469736</v>
      </c>
      <c r="BB75" s="19">
        <f>O75*86400*365/(Basicinfo!G75*1000000)*1000</f>
        <v>8.3087098585627714</v>
      </c>
      <c r="BC75" s="53">
        <f>BA75+BB75</f>
        <v>1021.9204699055364</v>
      </c>
      <c r="BD75" s="56">
        <f>P75/(Basicinfo!G75*100)*1000</f>
        <v>0.76145384639287483</v>
      </c>
      <c r="BE75" s="43">
        <f>Q75/(Basicinfo!G75*100)*1000</f>
        <v>80.89688658412399</v>
      </c>
      <c r="BF75" s="58">
        <f>SUM(BD75:BE75)</f>
        <v>81.658340430516859</v>
      </c>
      <c r="BG75" s="61">
        <f>S75/(Basicinfo!G75*100)*1000000</f>
        <v>38.709124654485706</v>
      </c>
      <c r="BH75" s="19">
        <f>T75/(Basicinfo!G75*100)*1000000</f>
        <v>1284.1416782513938</v>
      </c>
      <c r="BI75" s="19">
        <f>U75/(Basicinfo!G75*100)*1000000</f>
        <v>11.325603305369283</v>
      </c>
      <c r="BJ75" s="19">
        <f>V75/(Basicinfo!G75*100)*1000000</f>
        <v>3.8996929033012044</v>
      </c>
      <c r="BK75" s="19">
        <f>W75/(Basicinfo!G75*100)*1000000</f>
        <v>2.0224221646031002</v>
      </c>
      <c r="BL75" s="19">
        <f>X75/(Basicinfo!G75*100)*1000000</f>
        <v>985.62443927383049</v>
      </c>
      <c r="BM75" s="19">
        <f>Y75/(Basicinfo!G75*100)*1000000</f>
        <v>4411.0902981928812</v>
      </c>
      <c r="BN75" s="53">
        <f>Z75/(Basicinfo!G75*100)*1000000</f>
        <v>13.323001222196662</v>
      </c>
      <c r="BO75" s="53">
        <f>AA75/(Basicinfo!G75*100)*1000000</f>
        <v>111.62628438609619</v>
      </c>
      <c r="BP75" s="53">
        <f>AB75/(Basicinfo!G75*100)*1000000</f>
        <v>34.823293364478786</v>
      </c>
      <c r="BQ75" s="19">
        <f t="shared" si="267"/>
        <v>6896.585837718636</v>
      </c>
      <c r="BR75" s="19">
        <f>AD75/(Basicinfo!G75*100)*1000000</f>
        <v>1063.0502254555224</v>
      </c>
      <c r="BS75" s="53">
        <f>BQ75+BR75</f>
        <v>7959.6360631741582</v>
      </c>
      <c r="BT75" s="56">
        <f>AF75/(Basicinfo!G75*100)*1000000</f>
        <v>1.7689504279852044</v>
      </c>
      <c r="BU75" s="43">
        <f>AG75/(Basicinfo!G75*100)*1000000</f>
        <v>65.517942481602446</v>
      </c>
      <c r="BV75" s="43">
        <f>AH75/(Basicinfo!G75*100)*1000000</f>
        <v>0.49502714890750404</v>
      </c>
      <c r="BW75" s="43">
        <f>AI75/(Basicinfo!G75*100)*1000000</f>
        <v>2.7686161317475309</v>
      </c>
      <c r="BX75" s="43">
        <f>AJ75/(Basicinfo!G75*100)*1000000</f>
        <v>37.058546099257875</v>
      </c>
      <c r="BY75" s="58">
        <f>AK75/(Basicinfo!G75*100)*1000000</f>
        <v>18.44990174889239</v>
      </c>
      <c r="BZ75" s="58">
        <f>AL75/(Basicinfo!G75*100)*1000000</f>
        <v>61.746145792142883</v>
      </c>
      <c r="CA75" s="58">
        <f>AM75/(Basicinfo!G75*100)*1000000</f>
        <v>4.2736371251843268</v>
      </c>
      <c r="CB75" s="58">
        <f>AN75/(Basicinfo!G75*100)*1000000</f>
        <v>20.568121888750692</v>
      </c>
      <c r="CC75" s="58">
        <f>AO75/(Basicinfo!G75*100)*1000000</f>
        <v>5.9189135653240719</v>
      </c>
      <c r="CD75" s="58">
        <f t="shared" si="268"/>
        <v>218.56580240979494</v>
      </c>
      <c r="CE75" s="58">
        <f>AQ75/(Basicinfo!G75*100)*1000000</f>
        <v>166.03316513909104</v>
      </c>
      <c r="CF75" s="43">
        <f>CD75+CE75</f>
        <v>384.59896754888598</v>
      </c>
      <c r="CG75" s="84"/>
      <c r="CH75" s="84">
        <f t="shared" si="277"/>
        <v>27.638053333333332</v>
      </c>
      <c r="CI75" s="146">
        <f t="shared" si="152"/>
        <v>4.1538988028166592</v>
      </c>
      <c r="CJ75" s="200">
        <f>Intermediate!EW75+Intermediate!EY75+Intermediate!FD75</f>
        <v>39.003852063993079</v>
      </c>
      <c r="CK75" s="180">
        <f>Intermediate!FA75+Intermediate!FF75</f>
        <v>3.8750558752078144</v>
      </c>
      <c r="CL75" s="180">
        <f t="shared" si="252"/>
        <v>25.625074118783136</v>
      </c>
      <c r="CM75" s="180">
        <f t="shared" si="253"/>
        <v>18.425317453945148</v>
      </c>
      <c r="CN75" s="202">
        <f>Intermediate!EX75+Intermediate!EZ75+Intermediate!FE75</f>
        <v>30.287810262293821</v>
      </c>
      <c r="CO75" s="180">
        <f>Intermediate!FB75+Intermediate!FG75</f>
        <v>2.8292002908484699</v>
      </c>
      <c r="CP75" s="213">
        <f>Intermediate!EP75+Intermediate!EQ75+Intermediate!ER75+Intermediate!ES75+Intermediate!ET75+Intermediate!EU75+Intermediate!EV75+W75</f>
        <v>55.102897078119661</v>
      </c>
      <c r="CQ75" s="212">
        <f t="shared" si="278"/>
        <v>33.117010553142293</v>
      </c>
      <c r="CR75" s="212">
        <f t="shared" si="279"/>
        <v>86.929299511929173</v>
      </c>
      <c r="CS75" s="211">
        <f t="shared" si="254"/>
        <v>27.984435667414822</v>
      </c>
      <c r="CT75" s="212">
        <f t="shared" si="280"/>
        <v>203.13364281060595</v>
      </c>
      <c r="CU75" s="84"/>
      <c r="CV75" s="31">
        <f t="shared" si="281"/>
        <v>206.94115927934109</v>
      </c>
      <c r="CW75" s="31">
        <f>CH75/Basicinfo!$G75*1000/100</f>
        <v>1.0630502254555225</v>
      </c>
      <c r="CX75" s="31">
        <f>CI75/Basicinfo!$G75*1000/100</f>
        <v>0.15977257897277164</v>
      </c>
      <c r="CY75" s="31">
        <f>CS75/Basicinfo!$G75*1000/100</f>
        <v>1.0763732266777191</v>
      </c>
      <c r="CZ75" s="31">
        <f>CN75/Basicinfo!$G75*1000/100</f>
        <v>1.1649685721191241</v>
      </c>
      <c r="DA75" s="31">
        <f>CO75/Basicinfo!$G75*1000/100</f>
        <v>0.10882032720509846</v>
      </c>
      <c r="DB75" s="31">
        <f>CQ75/Basicinfo!$G75*1000/100</f>
        <v>1.2737888993242228</v>
      </c>
      <c r="DC75" s="31">
        <f>CJ75/Basicinfo!$G75*1000/100</f>
        <v>1.5002161414984494</v>
      </c>
      <c r="DD75" s="31">
        <f>CK75/Basicinfo!$G75*1000/100</f>
        <v>0.14904736495403489</v>
      </c>
      <c r="DE75" s="31">
        <f>CM75/Basicinfo!$G75*1000/100</f>
        <v>0.70869817194696172</v>
      </c>
      <c r="DF75" s="31">
        <f>CR75/Basicinfo!$G75*1000/100</f>
        <v>3.3435861176732762</v>
      </c>
      <c r="DG75" s="31">
        <f>CP75/Basicinfo!$G75*1000/100</f>
        <v>2.1194382417483659</v>
      </c>
      <c r="DH75" s="31">
        <f>CT75/Basicinfo!$G75*1000/100</f>
        <v>7.8131864854235831</v>
      </c>
      <c r="DI75" s="31">
        <f>CV75/Basicinfo!$G75*1000/100</f>
        <v>7.9596360631741572</v>
      </c>
      <c r="DJ75" s="31"/>
      <c r="DK75" s="188">
        <f t="shared" si="282"/>
        <v>13.60584733819892</v>
      </c>
      <c r="DL75" s="188">
        <f t="shared" si="283"/>
        <v>2.0449093243946774</v>
      </c>
      <c r="DM75" s="188">
        <f t="shared" si="284"/>
        <v>13.776366770277654</v>
      </c>
      <c r="DN75" s="188">
        <f t="shared" si="285"/>
        <v>14.910287554156165</v>
      </c>
      <c r="DO75" s="188">
        <f t="shared" si="286"/>
        <v>1.3927778046526289</v>
      </c>
      <c r="DP75" s="188">
        <f t="shared" si="287"/>
        <v>16.303065358808798</v>
      </c>
      <c r="DQ75" s="188">
        <f t="shared" si="288"/>
        <v>19.201079409755273</v>
      </c>
      <c r="DR75" s="188">
        <f t="shared" si="289"/>
        <v>1.9076386469476985</v>
      </c>
      <c r="DS75" s="188">
        <f t="shared" si="290"/>
        <v>9.0705395713915351</v>
      </c>
      <c r="DT75" s="188">
        <f t="shared" si="291"/>
        <v>42.794141979218445</v>
      </c>
      <c r="DU75" s="188">
        <f t="shared" si="292"/>
        <v>27.126425891695106</v>
      </c>
      <c r="DV75" s="188">
        <f t="shared" si="293"/>
        <v>100</v>
      </c>
      <c r="DW75" s="188">
        <f t="shared" si="294"/>
        <v>101.87438989231595</v>
      </c>
      <c r="DY75" s="181">
        <f t="shared" si="295"/>
        <v>4.3166666666666673</v>
      </c>
      <c r="DZ75" s="181">
        <f t="shared" si="269"/>
        <v>0.79974124359972454</v>
      </c>
      <c r="EA75" s="185">
        <f t="shared" si="296"/>
        <v>0.47967570705527557</v>
      </c>
      <c r="EB75" s="185">
        <f>AG75+AH75+AL75-Intermediate!FJ75-Intermediate!FM75</f>
        <v>1.5769652927658564</v>
      </c>
      <c r="EC75" s="185">
        <f>AI75+AJ75-Intermediate!FK75</f>
        <v>4.9628357031898385E-2</v>
      </c>
      <c r="ED75" s="240">
        <f t="shared" si="297"/>
        <v>4.5990626879109257E-2</v>
      </c>
      <c r="EE75" s="240">
        <f>Intermediate!FJ75+Intermediate!FK75+Intermediate!FM75</f>
        <v>2.7304521123080594</v>
      </c>
      <c r="EF75" s="240">
        <f t="shared" si="298"/>
        <v>2.1062693568530308</v>
      </c>
      <c r="EG75" s="240">
        <f t="shared" si="299"/>
        <v>5.1164079102663917</v>
      </c>
      <c r="EH75" s="240">
        <f t="shared" si="300"/>
        <v>9.9991200063065904</v>
      </c>
      <c r="EI75" s="181">
        <f t="shared" si="301"/>
        <v>9.9991200063065904</v>
      </c>
      <c r="EK75" s="31">
        <f>DY75/Basicinfo!$G75*1000/100</f>
        <v>0.16603316513909105</v>
      </c>
      <c r="EL75" s="31">
        <f>DZ75/Basicinfo!$G75*1000/100</f>
        <v>3.0760672579259091E-2</v>
      </c>
      <c r="EM75" s="220">
        <f>EG75/Basicinfo!$G75*1000/100</f>
        <v>0.19679383771835013</v>
      </c>
      <c r="EN75" s="220">
        <f>ED75/Basicinfo!$G75*1000/100</f>
        <v>1.7689504279852044E-3</v>
      </c>
      <c r="EO75" s="220">
        <f>EF75/Basicinfo!$G75*1000/100</f>
        <v>8.1014031186205315E-2</v>
      </c>
      <c r="EP75" s="220">
        <f>EE75/Basicinfo!$G75*1000/100</f>
        <v>0.10502214821634531</v>
      </c>
      <c r="EQ75" s="220">
        <f>EH75/Basicinfo!$G75*1000/100</f>
        <v>0.38459896754888595</v>
      </c>
      <c r="ER75" s="31">
        <f>EI75/Basicinfo!$G75*1000/100</f>
        <v>0.38459896754888595</v>
      </c>
      <c r="ET75" s="188">
        <f t="shared" si="302"/>
        <v>43.170465640417191</v>
      </c>
      <c r="EU75" s="188">
        <f t="shared" si="303"/>
        <v>7.9981162651844961</v>
      </c>
      <c r="EV75" s="223">
        <f t="shared" si="304"/>
        <v>51.16858190560167</v>
      </c>
      <c r="EW75" s="223">
        <f t="shared" si="305"/>
        <v>0.45994674381447864</v>
      </c>
      <c r="EX75" s="223">
        <f t="shared" si="306"/>
        <v>21.064547235402475</v>
      </c>
      <c r="EY75" s="223">
        <f t="shared" si="307"/>
        <v>27.306924115181371</v>
      </c>
      <c r="EZ75" s="223">
        <f t="shared" si="308"/>
        <v>100</v>
      </c>
      <c r="FA75" s="188">
        <f t="shared" si="309"/>
        <v>100</v>
      </c>
      <c r="FC75" s="236">
        <f>Basicinfo!CT75</f>
        <v>0.90294354838709678</v>
      </c>
      <c r="FD75" s="181">
        <f>IF((Intermediate!CL75+Intermediate!CM75*3)/4&gt;11,(Intermediate!CL75+Intermediate!CM75*9)/10,(Intermediate!CL75+Intermediate!CM75*3)/4)</f>
        <v>0.68653429306013636</v>
      </c>
      <c r="FF75" s="31">
        <f t="shared" si="310"/>
        <v>4.5990626879109257E-2</v>
      </c>
      <c r="FG75" s="31">
        <f t="shared" si="311"/>
        <v>1.7033893086480107</v>
      </c>
      <c r="FH75" s="31">
        <f t="shared" si="312"/>
        <v>1.2870122610708171E-2</v>
      </c>
      <c r="FI75" s="31">
        <f>(AI75-(P75*450/1000000))*Parameters!$C$153</f>
        <v>5.0457720845443123E-2</v>
      </c>
      <c r="FJ75" s="31"/>
      <c r="FK75" s="31">
        <f t="shared" si="313"/>
        <v>0.47967570705527557</v>
      </c>
      <c r="FL75" s="31">
        <f t="shared" si="314"/>
        <v>1.6053270388045477</v>
      </c>
      <c r="FM75" s="31">
        <f>AM75*Parameters!$C$154</f>
        <v>9.9998576895358265E-2</v>
      </c>
      <c r="FN75" s="31">
        <f>AN75*Parameters!$C$154</f>
        <v>0.48127224142752323</v>
      </c>
      <c r="FO75" s="31">
        <f>AO75*Parameters!$C$154</f>
        <v>0.1384963009168706</v>
      </c>
      <c r="FP75" s="31">
        <f>AQ75*Parameters!$C$155</f>
        <v>4.3166666666666673</v>
      </c>
      <c r="FQ75" s="31">
        <f t="shared" si="315"/>
        <v>8.9341443107495131</v>
      </c>
      <c r="FS75" s="147">
        <f>DY75*Parameters!$C$155</f>
        <v>4.3166666666666673</v>
      </c>
      <c r="FT75" s="147">
        <f>DZ75*Parameters!$C$154</f>
        <v>0.71976711923975212</v>
      </c>
      <c r="FU75" s="181">
        <f t="shared" si="316"/>
        <v>0.47967570705527557</v>
      </c>
      <c r="FV75" s="181">
        <f t="shared" si="317"/>
        <v>1.5769652927658564</v>
      </c>
      <c r="FW75" s="31">
        <f t="shared" si="318"/>
        <v>5.04577208454422E-2</v>
      </c>
      <c r="FX75" s="181">
        <f t="shared" si="319"/>
        <v>4.5990626879109257E-2</v>
      </c>
      <c r="FY75" s="147">
        <f>Intermediate!FJ75+Intermediate!FM75</f>
        <v>1.7446211772974101</v>
      </c>
      <c r="FZ75" s="181">
        <f t="shared" si="320"/>
        <v>2.1070987206665741</v>
      </c>
      <c r="GA75" s="147">
        <f t="shared" si="321"/>
        <v>5.0364337859064197</v>
      </c>
      <c r="GB75" s="181">
        <f t="shared" si="322"/>
        <v>8.9341443107495131</v>
      </c>
      <c r="GD75" s="147">
        <f>IF('River loads'!CH75&gt;0.99,1,0)</f>
        <v>0</v>
      </c>
      <c r="GE75" s="147">
        <f t="shared" si="323"/>
        <v>0</v>
      </c>
      <c r="GF75" s="147">
        <f t="shared" si="324"/>
        <v>0</v>
      </c>
      <c r="GG75" s="147">
        <f t="shared" si="325"/>
        <v>0</v>
      </c>
      <c r="GH75" s="147">
        <f t="shared" si="326"/>
        <v>0</v>
      </c>
      <c r="GI75" s="147">
        <f t="shared" si="327"/>
        <v>0</v>
      </c>
      <c r="GJ75" s="147">
        <f t="shared" si="328"/>
        <v>0</v>
      </c>
      <c r="GK75" s="147">
        <f t="shared" si="329"/>
        <v>0</v>
      </c>
      <c r="GL75" s="147">
        <f t="shared" si="330"/>
        <v>0</v>
      </c>
      <c r="GM75" s="270">
        <f t="shared" si="270"/>
        <v>0</v>
      </c>
      <c r="GN75" s="270">
        <f t="shared" si="271"/>
        <v>0</v>
      </c>
      <c r="GO75" s="147">
        <f t="shared" si="331"/>
        <v>0</v>
      </c>
      <c r="GP75" s="147">
        <f t="shared" si="332"/>
        <v>0</v>
      </c>
      <c r="GQ75" s="147"/>
      <c r="GR75" s="147">
        <f t="shared" si="333"/>
        <v>0</v>
      </c>
      <c r="GS75" s="147">
        <f t="shared" si="334"/>
        <v>0</v>
      </c>
      <c r="GT75" s="147">
        <f t="shared" si="335"/>
        <v>0</v>
      </c>
      <c r="GU75" s="147">
        <f t="shared" si="336"/>
        <v>0</v>
      </c>
      <c r="GV75" s="147">
        <f t="shared" si="337"/>
        <v>0</v>
      </c>
      <c r="GW75" s="147">
        <f t="shared" si="338"/>
        <v>0</v>
      </c>
      <c r="GX75" s="147">
        <f t="shared" si="339"/>
        <v>0</v>
      </c>
      <c r="GY75" s="147">
        <f t="shared" si="340"/>
        <v>0</v>
      </c>
      <c r="GZ75" s="147">
        <f t="shared" si="272"/>
        <v>0</v>
      </c>
      <c r="HA75" s="147">
        <f t="shared" si="273"/>
        <v>0</v>
      </c>
      <c r="HB75" s="147">
        <f t="shared" si="341"/>
        <v>0</v>
      </c>
      <c r="HC75" s="147">
        <f t="shared" si="342"/>
        <v>0</v>
      </c>
      <c r="HD75" s="147"/>
      <c r="HE75" s="147">
        <f t="shared" si="343"/>
        <v>0</v>
      </c>
      <c r="HF75" s="147">
        <f t="shared" si="344"/>
        <v>0</v>
      </c>
      <c r="HG75" s="147">
        <f t="shared" si="345"/>
        <v>0</v>
      </c>
      <c r="HH75" s="147">
        <f t="shared" si="346"/>
        <v>0</v>
      </c>
      <c r="HI75" s="147">
        <f t="shared" si="347"/>
        <v>0</v>
      </c>
      <c r="HJ75" s="147">
        <f t="shared" si="348"/>
        <v>0</v>
      </c>
      <c r="HK75" s="147">
        <f t="shared" si="349"/>
        <v>0</v>
      </c>
      <c r="HL75" s="147">
        <f t="shared" si="350"/>
        <v>0</v>
      </c>
      <c r="HM75" s="147">
        <f t="shared" si="351"/>
        <v>0</v>
      </c>
      <c r="HN75" s="147">
        <f t="shared" si="352"/>
        <v>0</v>
      </c>
      <c r="HO75" s="147">
        <f t="shared" si="353"/>
        <v>0</v>
      </c>
      <c r="HQ75" s="147">
        <f t="shared" si="354"/>
        <v>0</v>
      </c>
      <c r="HR75" s="147">
        <f t="shared" si="355"/>
        <v>0</v>
      </c>
      <c r="HS75" s="147">
        <f t="shared" si="356"/>
        <v>0</v>
      </c>
      <c r="HT75" s="147">
        <f t="shared" si="357"/>
        <v>0</v>
      </c>
      <c r="HU75" s="147">
        <f t="shared" si="358"/>
        <v>0</v>
      </c>
      <c r="HV75" s="147">
        <f t="shared" si="359"/>
        <v>0</v>
      </c>
      <c r="HW75" s="147">
        <f t="shared" si="360"/>
        <v>0</v>
      </c>
      <c r="HX75" s="147">
        <f t="shared" si="361"/>
        <v>0</v>
      </c>
      <c r="HY75" s="147">
        <f t="shared" si="362"/>
        <v>0</v>
      </c>
      <c r="HZ75" s="147">
        <f t="shared" si="363"/>
        <v>0</v>
      </c>
      <c r="IB75" s="147">
        <f>IF('River loads'!CI75&gt;0.99,1,0)</f>
        <v>0</v>
      </c>
      <c r="IC75">
        <f t="shared" si="255"/>
        <v>0</v>
      </c>
      <c r="ID75">
        <f t="shared" si="256"/>
        <v>0</v>
      </c>
      <c r="IE75">
        <f t="shared" si="257"/>
        <v>0</v>
      </c>
      <c r="IF75">
        <f t="shared" si="258"/>
        <v>0</v>
      </c>
      <c r="IG75">
        <f t="shared" si="259"/>
        <v>0</v>
      </c>
      <c r="IH75">
        <f t="shared" si="260"/>
        <v>0</v>
      </c>
      <c r="II75">
        <f t="shared" si="261"/>
        <v>0</v>
      </c>
      <c r="IJ75">
        <f t="shared" si="262"/>
        <v>0</v>
      </c>
      <c r="IK75">
        <f t="shared" si="274"/>
        <v>0</v>
      </c>
      <c r="IL75">
        <f t="shared" si="275"/>
        <v>0</v>
      </c>
      <c r="IM75">
        <f t="shared" si="364"/>
        <v>0</v>
      </c>
      <c r="IN75">
        <f t="shared" si="365"/>
        <v>0</v>
      </c>
      <c r="IP75">
        <f t="shared" si="366"/>
        <v>0</v>
      </c>
      <c r="IQ75">
        <f t="shared" si="367"/>
        <v>0</v>
      </c>
      <c r="IR75">
        <f t="shared" si="368"/>
        <v>0</v>
      </c>
      <c r="IS75">
        <f t="shared" si="369"/>
        <v>0</v>
      </c>
      <c r="IT75">
        <f t="shared" si="370"/>
        <v>0</v>
      </c>
      <c r="IU75">
        <f t="shared" si="371"/>
        <v>0</v>
      </c>
      <c r="IV75">
        <f t="shared" si="372"/>
        <v>0</v>
      </c>
      <c r="IW75">
        <f t="shared" si="373"/>
        <v>0</v>
      </c>
      <c r="IX75">
        <f t="shared" si="374"/>
        <v>0</v>
      </c>
    </row>
    <row r="76" spans="1:258">
      <c r="A76" s="39" t="str">
        <f>Basicinfo!A76</f>
        <v>Erzbach</v>
      </c>
      <c r="B76" s="63">
        <f>Basicinfo!B76</f>
        <v>1470</v>
      </c>
      <c r="C76" s="63">
        <f>Basicinfo!C76</f>
        <v>4070</v>
      </c>
      <c r="D76" s="130">
        <f>Basicinfo!G76</f>
        <v>255.00777515999999</v>
      </c>
      <c r="E76" s="87">
        <f t="shared" si="276"/>
        <v>9.8404752907949007</v>
      </c>
      <c r="F76" s="19">
        <f>Intermediate!AR76</f>
        <v>5.9201922944170801E-2</v>
      </c>
      <c r="G76" s="19">
        <f>Intermediate!AU76</f>
        <v>2.3849025820822849</v>
      </c>
      <c r="H76" s="19">
        <f>Intermediate!AW76</f>
        <v>0.13575513773233411</v>
      </c>
      <c r="I76" s="19">
        <f>Intermediate!AZ76</f>
        <v>0</v>
      </c>
      <c r="J76" s="19">
        <f>Intermediate!BA76</f>
        <v>7.2071762420907657</v>
      </c>
      <c r="K76" s="19">
        <f>Intermediate!AC76</f>
        <v>5.3799812166182527E-3</v>
      </c>
      <c r="L76" s="19">
        <f>Intermediate!AO76</f>
        <v>9.2477569328487212E-3</v>
      </c>
      <c r="M76" s="19">
        <f>Intermediate!AP76</f>
        <v>6.5522394177277383E-3</v>
      </c>
      <c r="N76" s="19">
        <f t="shared" si="263"/>
        <v>9.8082158624167501</v>
      </c>
      <c r="O76" s="19">
        <f>Basicinfo!CB76+Basicinfo!CG76</f>
        <v>3.2259428378149838E-2</v>
      </c>
      <c r="P76" s="56">
        <f>Intermediate!BK76-Intermediate!BI76</f>
        <v>2.5290460988999257</v>
      </c>
      <c r="Q76" s="43">
        <f>Intermediate!BI76</f>
        <v>2471.6275306233429</v>
      </c>
      <c r="R76" s="88">
        <f>P76+Q76</f>
        <v>2474.1565767222428</v>
      </c>
      <c r="S76" s="61">
        <f>Intermediate!F76*Intermediate!BO76/1000</f>
        <v>2.1434601708896475</v>
      </c>
      <c r="T76" s="19">
        <f>Intermediate!BU76*Intermediate!AU76*86.4*0.365</f>
        <v>55.36078156851989</v>
      </c>
      <c r="U76" s="19">
        <f>Intermediate!AW76*Intermediate!BS76*0.365*86.4</f>
        <v>3.1512793190292716</v>
      </c>
      <c r="V76" s="19">
        <f>(Basicinfo!BL76/1000000)*(Intermediate!BK76-Intermediate!BF76-Intermediate!BG76-Intermediate!BH76)*Intermediate!CV76</f>
        <v>1.4966733617112192E-2</v>
      </c>
      <c r="W76" s="19">
        <f>Intermediate!BI76*Parameters!$C$51/1000000</f>
        <v>6.1790688265583572E-2</v>
      </c>
      <c r="X76" s="19">
        <f>Intermediate!AZ76*Intermediate!CG76*86.4*0.365</f>
        <v>0</v>
      </c>
      <c r="Y76" s="19">
        <f>Intermediate!CM76*Intermediate!BA76*86.4*0.365+Parameters!$C$126*Intermediate!BB76*Basicinfo!P76/1000+Parameters!$C$127*Intermediate!BB76*Basicinfo!S76/1000</f>
        <v>188.31146316956244</v>
      </c>
      <c r="Z76" s="19">
        <f>Intermediate!DG76</f>
        <v>0.29036054617061852</v>
      </c>
      <c r="AA76" s="19">
        <f>Intermediate!DI76</f>
        <v>3.5262571841087835</v>
      </c>
      <c r="AB76" s="19">
        <f>Intermediate!DK76</f>
        <v>0.16612395680126085</v>
      </c>
      <c r="AC76" s="19">
        <f t="shared" si="264"/>
        <v>253.02648333696462</v>
      </c>
      <c r="AD76" s="19">
        <f>Basicinfo!CC76+Basicinfo!CE76+Basicinfo!CH76+Basicinfo!CJ76</f>
        <v>5.3166666666666673</v>
      </c>
      <c r="AE76" s="87">
        <f>AC76+AD76</f>
        <v>258.34315000363131</v>
      </c>
      <c r="AF76" s="56">
        <f>Intermediate!F76*Basicinfo!BD76/1000</f>
        <v>5.9873263529983317E-2</v>
      </c>
      <c r="AG76" s="43">
        <f>Intermediate!CA76*Intermediate!AU76*86.4*0.365</f>
        <v>1.3623753089630299</v>
      </c>
      <c r="AH76" s="43">
        <f>Intermediate!AW76*Intermediate!BZ76*0.365*86.4</f>
        <v>4.6425701546539723E-2</v>
      </c>
      <c r="AI76" s="43">
        <f>(Intermediate!CU76/1000000)*(Intermediate!BK76-Intermediate!BF76-Intermediate!BG76-Intermediate!BH76)*Intermediate!CW76</f>
        <v>1.0474087978075803E-2</v>
      </c>
      <c r="AJ76" s="43">
        <f>Intermediate!BF76*Parameters!$C$52/1000000+(Intermediate!BG76+Intermediate!BH76)*Intermediate!CX76/1000000</f>
        <v>1.1757803536291176</v>
      </c>
      <c r="AK76" s="43">
        <f>Intermediate!AZ76*Intermediate!CH76*86.4*0.365</f>
        <v>0</v>
      </c>
      <c r="AL76" s="58">
        <f>Intermediate!CR76*Intermediate!BA76*86.4*0.365</f>
        <v>0.25844204184598096</v>
      </c>
      <c r="AM76" s="43">
        <f>Intermediate!DH76</f>
        <v>8.9274172927100381E-2</v>
      </c>
      <c r="AN76" s="42">
        <f>Intermediate!DJ76</f>
        <v>0.63759741520030966</v>
      </c>
      <c r="AO76" s="42">
        <f>Intermediate!DL76</f>
        <v>4.6282301622005556E-2</v>
      </c>
      <c r="AP76" s="42">
        <f t="shared" si="265"/>
        <v>3.6865246472421429</v>
      </c>
      <c r="AQ76" s="43">
        <f>Basicinfo!CD76+Basicinfo!CF76+Basicinfo!CI76+Basicinfo!CK76</f>
        <v>0.66666666666666663</v>
      </c>
      <c r="AR76" s="83">
        <f>AP76+AQ76</f>
        <v>4.3531913139088099</v>
      </c>
      <c r="AS76" s="19">
        <f>F76*86400*365/(Basicinfo!G76*1000000)*1000</f>
        <v>7.3213134022912056</v>
      </c>
      <c r="AT76" s="19">
        <f>G76*86400*365/(Basicinfo!G76*1000000)*1000</f>
        <v>294.93331245040514</v>
      </c>
      <c r="AU76" s="19">
        <f>H76*86400*365/(Basicinfo!G76*1000000)*1000</f>
        <v>16.788405847001112</v>
      </c>
      <c r="AV76" s="19">
        <f>I76*86400*365/(Basicinfo!G76*1000000)*1000</f>
        <v>0</v>
      </c>
      <c r="AW76" s="19">
        <f>J76*86400*365/(Basicinfo!G76*1000000)*1000</f>
        <v>891.2885492529324</v>
      </c>
      <c r="AX76" s="53">
        <f>K76*86400*365/(Basicinfo!G76*1000000)*1000</f>
        <v>0.66532515544210846</v>
      </c>
      <c r="AY76" s="53">
        <f>L76*86400*365/(Basicinfo!G76*1000000)*1000</f>
        <v>1.143640669196595</v>
      </c>
      <c r="AZ76" s="53">
        <f>M76*86400*365/(Basicinfo!G76*1000000)*1000</f>
        <v>0.81029459649932178</v>
      </c>
      <c r="BA76" s="19">
        <f t="shared" si="266"/>
        <v>1212.9508413737678</v>
      </c>
      <c r="BB76" s="19">
        <f>O76*86400*365/(Basicinfo!G76*1000000)*1000</f>
        <v>3.9894208429332245</v>
      </c>
      <c r="BC76" s="53">
        <f>BA76+BB76</f>
        <v>1216.9402622167011</v>
      </c>
      <c r="BD76" s="56">
        <f>P76/(Basicinfo!G76*100)*1000</f>
        <v>9.9175254453050365E-2</v>
      </c>
      <c r="BE76" s="43">
        <f>Q76/(Basicinfo!G76*100)*1000</f>
        <v>96.923614547539387</v>
      </c>
      <c r="BF76" s="58">
        <f>SUM(BD76:BE76)</f>
        <v>97.022789801992431</v>
      </c>
      <c r="BG76" s="61">
        <f>S76/(Basicinfo!G76*100)*1000000</f>
        <v>84.054698706530516</v>
      </c>
      <c r="BH76" s="19">
        <f>T76/(Basicinfo!G76*100)*1000000</f>
        <v>2170.944848006488</v>
      </c>
      <c r="BI76" s="19">
        <f>U76/(Basicinfo!G76*100)*1000000</f>
        <v>123.57581321008972</v>
      </c>
      <c r="BJ76" s="19">
        <f>V76/(Basicinfo!G76*100)*1000000</f>
        <v>0.58691283462716337</v>
      </c>
      <c r="BK76" s="19">
        <f>W76/(Basicinfo!G76*100)*1000000</f>
        <v>2.4230903636884848</v>
      </c>
      <c r="BL76" s="19">
        <f>X76/(Basicinfo!G76*100)*1000000</f>
        <v>0</v>
      </c>
      <c r="BM76" s="19">
        <f>Y76/(Basicinfo!G76*100)*1000000</f>
        <v>7384.5381009033872</v>
      </c>
      <c r="BN76" s="53">
        <f>Z76/(Basicinfo!G76*100)*1000000</f>
        <v>11.386340906211078</v>
      </c>
      <c r="BO76" s="53">
        <f>AA76/(Basicinfo!G76*100)*1000000</f>
        <v>138.2803791726075</v>
      </c>
      <c r="BP76" s="53">
        <f>AB76/(Basicinfo!G76*100)*1000000</f>
        <v>6.5144663411548684</v>
      </c>
      <c r="BQ76" s="19">
        <f t="shared" si="267"/>
        <v>9922.3046504447848</v>
      </c>
      <c r="BR76" s="19">
        <f>AD76/(Basicinfo!G76*100)*1000000</f>
        <v>208.49037498291264</v>
      </c>
      <c r="BS76" s="53">
        <f>BQ76+BR76</f>
        <v>10130.795025427697</v>
      </c>
      <c r="BT76" s="56">
        <f>AF76/(Basicinfo!G76*100)*1000000</f>
        <v>2.347899529432659</v>
      </c>
      <c r="BU76" s="43">
        <f>AG76/(Basicinfo!G76*100)*1000000</f>
        <v>53.424853736645183</v>
      </c>
      <c r="BV76" s="43">
        <f>AH76/(Basicinfo!G76*100)*1000000</f>
        <v>1.8205602365422293</v>
      </c>
      <c r="BW76" s="43">
        <f>AI76/(Basicinfo!G76*100)*1000000</f>
        <v>0.4107360244801958</v>
      </c>
      <c r="BX76" s="43">
        <f>AJ76/(Basicinfo!G76*100)*1000000</f>
        <v>46.107627616114669</v>
      </c>
      <c r="BY76" s="58">
        <f>AK76/(Basicinfo!G76*100)*1000000</f>
        <v>0</v>
      </c>
      <c r="BZ76" s="58">
        <f>AL76/(Basicinfo!G76*100)*1000000</f>
        <v>10.134673018649185</v>
      </c>
      <c r="CA76" s="58">
        <f>AM76/(Basicinfo!G76*100)*1000000</f>
        <v>3.5008412143938328</v>
      </c>
      <c r="CB76" s="58">
        <f>AN76/(Basicinfo!G76*100)*1000000</f>
        <v>25.003057840109417</v>
      </c>
      <c r="CC76" s="58">
        <f>AO76/(Basicinfo!G76*100)*1000000</f>
        <v>1.8149368815506339</v>
      </c>
      <c r="CD76" s="58">
        <f t="shared" si="268"/>
        <v>144.565186097918</v>
      </c>
      <c r="CE76" s="58">
        <f>AQ76/(Basicinfo!G76*100)*1000000</f>
        <v>26.142993728264901</v>
      </c>
      <c r="CF76" s="43">
        <f>CD76+CE76</f>
        <v>170.70817982618291</v>
      </c>
      <c r="CG76" s="84"/>
      <c r="CH76" s="84">
        <f t="shared" si="277"/>
        <v>5.3166666666666673</v>
      </c>
      <c r="CI76" s="146">
        <f t="shared" si="152"/>
        <v>3.9827416870806629</v>
      </c>
      <c r="CJ76" s="200">
        <f>Intermediate!EW76+Intermediate!EY76+Intermediate!FD76</f>
        <v>91.626346327852914</v>
      </c>
      <c r="CK76" s="180">
        <f>Intermediate!FA76+Intermediate!FF76</f>
        <v>2.3623988968532021</v>
      </c>
      <c r="CL76" s="180">
        <f t="shared" si="252"/>
        <v>0</v>
      </c>
      <c r="CM76" s="180">
        <f t="shared" si="253"/>
        <v>19.361093630907433</v>
      </c>
      <c r="CN76" s="202">
        <f>Intermediate!EX76+Intermediate!EZ76+Intermediate!FE76</f>
        <v>80.552209699426598</v>
      </c>
      <c r="CO76" s="180">
        <f>Intermediate!FB76+Intermediate!FG76</f>
        <v>2.0572544338012353</v>
      </c>
      <c r="CP76" s="213">
        <f>Intermediate!EP76+Intermediate!EQ76+Intermediate!ER76+Intermediate!ES76+Intermediate!ET76+Intermediate!EU76+Intermediate!EV76+W76</f>
        <v>53.08443866104254</v>
      </c>
      <c r="CQ76" s="212">
        <f t="shared" si="278"/>
        <v>82.609464133227831</v>
      </c>
      <c r="CR76" s="212">
        <f t="shared" si="279"/>
        <v>113.34983885561354</v>
      </c>
      <c r="CS76" s="211">
        <f t="shared" si="254"/>
        <v>5.607027212837286</v>
      </c>
      <c r="CT76" s="212">
        <f t="shared" si="280"/>
        <v>254.65076886272118</v>
      </c>
      <c r="CU76" s="84"/>
      <c r="CV76" s="31">
        <f t="shared" si="281"/>
        <v>258.34315000363131</v>
      </c>
      <c r="CW76" s="31">
        <f>CH76/Basicinfo!$G76*1000/100</f>
        <v>0.20849037498291265</v>
      </c>
      <c r="CX76" s="31">
        <f>CI76/Basicinfo!$G76*1000/100</f>
        <v>0.15618118641997344</v>
      </c>
      <c r="CY76" s="31">
        <f>CS76/Basicinfo!$G76*1000/100</f>
        <v>0.21987671588912369</v>
      </c>
      <c r="CZ76" s="31">
        <f>CN76/Basicinfo!$G76*1000/100</f>
        <v>3.158813869454983</v>
      </c>
      <c r="DA76" s="31">
        <f>CO76/Basicinfo!$G76*1000/100</f>
        <v>8.0674184640466287E-2</v>
      </c>
      <c r="DB76" s="31">
        <f>CQ76/Basicinfo!$G76*1000/100</f>
        <v>3.2394880540954496</v>
      </c>
      <c r="DC76" s="31">
        <f>CJ76/Basicinfo!$G76*1000/100</f>
        <v>3.5930804960893306</v>
      </c>
      <c r="DD76" s="31">
        <f>CK76/Basicinfo!$G76*1000/100</f>
        <v>9.2640269316139778E-2</v>
      </c>
      <c r="DE76" s="31">
        <f>CM76/Basicinfo!$G76*1000/100</f>
        <v>0.75923542404774391</v>
      </c>
      <c r="DF76" s="31">
        <f>CR76/Basicinfo!$G76*1000/100</f>
        <v>4.4449561894532135</v>
      </c>
      <c r="DG76" s="31">
        <f>CP76/Basicinfo!$G76*1000/100</f>
        <v>2.0816792204761474</v>
      </c>
      <c r="DH76" s="31">
        <f>CT76/Basicinfo!$G76*1000/100</f>
        <v>9.9860001799139333</v>
      </c>
      <c r="DI76" s="31">
        <f>CV76/Basicinfo!$G76*1000/100</f>
        <v>10.130795025427698</v>
      </c>
      <c r="DJ76" s="31"/>
      <c r="DK76" s="188">
        <f t="shared" si="282"/>
        <v>2.0878266696036607</v>
      </c>
      <c r="DL76" s="188">
        <f t="shared" si="283"/>
        <v>1.5640014380744736</v>
      </c>
      <c r="DM76" s="188">
        <f t="shared" si="284"/>
        <v>2.2018497088693101</v>
      </c>
      <c r="DN76" s="188">
        <f t="shared" si="285"/>
        <v>31.63242351836417</v>
      </c>
      <c r="DO76" s="188">
        <f t="shared" si="286"/>
        <v>0.80787285386531604</v>
      </c>
      <c r="DP76" s="188">
        <f t="shared" si="287"/>
        <v>32.44029637222949</v>
      </c>
      <c r="DQ76" s="188">
        <f t="shared" si="288"/>
        <v>35.981177962689543</v>
      </c>
      <c r="DR76" s="188">
        <f t="shared" si="289"/>
        <v>0.92770145851267372</v>
      </c>
      <c r="DS76" s="188">
        <f t="shared" si="290"/>
        <v>7.6029983013107412</v>
      </c>
      <c r="DT76" s="188">
        <f t="shared" si="291"/>
        <v>44.511877722512956</v>
      </c>
      <c r="DU76" s="188">
        <f t="shared" si="292"/>
        <v>20.845976196388257</v>
      </c>
      <c r="DV76" s="188">
        <f t="shared" si="293"/>
        <v>100</v>
      </c>
      <c r="DW76" s="188">
        <f t="shared" si="294"/>
        <v>101.44997839880885</v>
      </c>
      <c r="DY76" s="181">
        <f t="shared" si="295"/>
        <v>0.66666666666666663</v>
      </c>
      <c r="DZ76" s="181">
        <f t="shared" si="269"/>
        <v>0.77315388974941557</v>
      </c>
      <c r="EA76" s="185">
        <f t="shared" si="296"/>
        <v>0</v>
      </c>
      <c r="EB76" s="185">
        <f>AG76+AH76+AL76-Intermediate!FJ76-Intermediate!FM76</f>
        <v>0.18250191106033387</v>
      </c>
      <c r="EC76" s="185">
        <f>AI76+AJ76-Intermediate!FK76</f>
        <v>3.8951866801322232E-3</v>
      </c>
      <c r="ED76" s="240">
        <f t="shared" si="297"/>
        <v>5.9873263529983317E-2</v>
      </c>
      <c r="EE76" s="240">
        <f>Intermediate!FJ76+Intermediate!FK76+Intermediate!FM76</f>
        <v>2.6671003962222777</v>
      </c>
      <c r="EF76" s="240">
        <f t="shared" si="298"/>
        <v>0.18639709774046631</v>
      </c>
      <c r="EG76" s="240">
        <f t="shared" si="299"/>
        <v>1.4398205564160822</v>
      </c>
      <c r="EH76" s="240">
        <f t="shared" si="300"/>
        <v>4.353191313908809</v>
      </c>
      <c r="EI76" s="181">
        <f t="shared" si="301"/>
        <v>4.3531913139088099</v>
      </c>
      <c r="EK76" s="31">
        <f>DY76/Basicinfo!$G76*1000/100</f>
        <v>2.61429937282649E-2</v>
      </c>
      <c r="EL76" s="31">
        <f>DZ76/Basicinfo!$G76*1000/100</f>
        <v>3.0318835936053879E-2</v>
      </c>
      <c r="EM76" s="220">
        <f>EG76/Basicinfo!$G76*1000/100</f>
        <v>5.6461829664318779E-2</v>
      </c>
      <c r="EN76" s="220">
        <f>ED76/Basicinfo!$G76*1000/100</f>
        <v>2.3478995294326584E-3</v>
      </c>
      <c r="EO76" s="220">
        <f>EF76/Basicinfo!$G76*1000/100</f>
        <v>7.3094672357936867E-3</v>
      </c>
      <c r="EP76" s="220">
        <f>EE76/Basicinfo!$G76*1000/100</f>
        <v>0.10458898339663777</v>
      </c>
      <c r="EQ76" s="220">
        <f>EH76/Basicinfo!$G76*1000/100</f>
        <v>0.17070817982618286</v>
      </c>
      <c r="ER76" s="31">
        <f>EI76/Basicinfo!$G76*1000/100</f>
        <v>0.17070817982618292</v>
      </c>
      <c r="ET76" s="188">
        <f t="shared" si="302"/>
        <v>15.314435286512929</v>
      </c>
      <c r="EU76" s="188">
        <f t="shared" si="303"/>
        <v>17.760622816624767</v>
      </c>
      <c r="EV76" s="223">
        <f t="shared" si="304"/>
        <v>33.075058103137692</v>
      </c>
      <c r="EW76" s="223">
        <f t="shared" si="305"/>
        <v>1.3753878295833963</v>
      </c>
      <c r="EX76" s="223">
        <f t="shared" si="306"/>
        <v>4.2818494364102957</v>
      </c>
      <c r="EY76" s="223">
        <f t="shared" si="307"/>
        <v>61.2677046308686</v>
      </c>
      <c r="EZ76" s="223">
        <f t="shared" si="308"/>
        <v>99.999999999999972</v>
      </c>
      <c r="FA76" s="188">
        <f t="shared" si="309"/>
        <v>100</v>
      </c>
      <c r="FC76" s="236">
        <f>Basicinfo!CT76</f>
        <v>0.74064516129032254</v>
      </c>
      <c r="FD76" s="181">
        <f>IF((Intermediate!CL76+Intermediate!CM76*3)/4&gt;11,(Intermediate!CL76+Intermediate!CM76*9)/10,(Intermediate!CL76+Intermediate!CM76*3)/4)</f>
        <v>0.89682531616071648</v>
      </c>
      <c r="FF76" s="31">
        <f t="shared" si="310"/>
        <v>5.9873263529983317E-2</v>
      </c>
      <c r="FG76" s="31">
        <f t="shared" si="311"/>
        <v>1.3623753089630299</v>
      </c>
      <c r="FH76" s="31">
        <f t="shared" si="312"/>
        <v>4.6425701546539723E-2</v>
      </c>
      <c r="FI76" s="31">
        <f>(AI76-(P76*450/1000000))*Parameters!$C$153</f>
        <v>7.4688137868566696E-3</v>
      </c>
      <c r="FJ76" s="31"/>
      <c r="FK76" s="31">
        <f t="shared" si="313"/>
        <v>0</v>
      </c>
      <c r="FL76" s="31">
        <f t="shared" si="314"/>
        <v>0.25844204184598096</v>
      </c>
      <c r="FM76" s="31">
        <f>AM76*Parameters!$C$154</f>
        <v>8.0346755634390352E-2</v>
      </c>
      <c r="FN76" s="31">
        <f>AN76*Parameters!$C$154</f>
        <v>0.57383767368027871</v>
      </c>
      <c r="FO76" s="31">
        <f>AO76*Parameters!$C$154</f>
        <v>4.1654071459805E-2</v>
      </c>
      <c r="FP76" s="31">
        <f>AQ76*Parameters!$C$155</f>
        <v>0.66666666666666663</v>
      </c>
      <c r="FQ76" s="31">
        <f t="shared" si="315"/>
        <v>3.0970902971135312</v>
      </c>
      <c r="FS76" s="147">
        <f>DY76*Parameters!$C$155</f>
        <v>0.66666666666666663</v>
      </c>
      <c r="FT76" s="147">
        <f>DZ76*Parameters!$C$154</f>
        <v>0.69583850077447407</v>
      </c>
      <c r="FU76" s="181">
        <f t="shared" si="316"/>
        <v>0</v>
      </c>
      <c r="FV76" s="181">
        <f t="shared" si="317"/>
        <v>0.18250191106033387</v>
      </c>
      <c r="FW76" s="31">
        <f t="shared" si="318"/>
        <v>7.4688137868568205E-3</v>
      </c>
      <c r="FX76" s="181">
        <f t="shared" si="319"/>
        <v>5.9873263529983317E-2</v>
      </c>
      <c r="FY76" s="147">
        <f>Intermediate!FJ76+Intermediate!FM76</f>
        <v>1.4847411412952167</v>
      </c>
      <c r="FZ76" s="181">
        <f t="shared" si="320"/>
        <v>0.18997072484719069</v>
      </c>
      <c r="GA76" s="147">
        <f t="shared" si="321"/>
        <v>1.3625051674411406</v>
      </c>
      <c r="GB76" s="181">
        <f t="shared" si="322"/>
        <v>3.0970902971135312</v>
      </c>
      <c r="GD76" s="147">
        <f>IF('River loads'!CH76&gt;0.99,1,0)</f>
        <v>0</v>
      </c>
      <c r="GE76" s="147">
        <f t="shared" si="323"/>
        <v>0</v>
      </c>
      <c r="GF76" s="147">
        <f t="shared" si="324"/>
        <v>0</v>
      </c>
      <c r="GG76" s="147">
        <f t="shared" si="325"/>
        <v>0</v>
      </c>
      <c r="GH76" s="147">
        <f t="shared" si="326"/>
        <v>0</v>
      </c>
      <c r="GI76" s="147">
        <f t="shared" si="327"/>
        <v>0</v>
      </c>
      <c r="GJ76" s="147">
        <f t="shared" si="328"/>
        <v>0</v>
      </c>
      <c r="GK76" s="147">
        <f t="shared" si="329"/>
        <v>0</v>
      </c>
      <c r="GL76" s="147">
        <f t="shared" si="330"/>
        <v>0</v>
      </c>
      <c r="GM76" s="270">
        <f t="shared" si="270"/>
        <v>0</v>
      </c>
      <c r="GN76" s="270">
        <f t="shared" si="271"/>
        <v>0</v>
      </c>
      <c r="GO76" s="147">
        <f t="shared" si="331"/>
        <v>0</v>
      </c>
      <c r="GP76" s="147">
        <f t="shared" si="332"/>
        <v>0</v>
      </c>
      <c r="GQ76" s="147"/>
      <c r="GR76" s="147">
        <f t="shared" si="333"/>
        <v>0</v>
      </c>
      <c r="GS76" s="147">
        <f t="shared" si="334"/>
        <v>0</v>
      </c>
      <c r="GT76" s="147">
        <f t="shared" si="335"/>
        <v>0</v>
      </c>
      <c r="GU76" s="147">
        <f t="shared" si="336"/>
        <v>0</v>
      </c>
      <c r="GV76" s="147">
        <f t="shared" si="337"/>
        <v>0</v>
      </c>
      <c r="GW76" s="147">
        <f t="shared" si="338"/>
        <v>0</v>
      </c>
      <c r="GX76" s="147">
        <f t="shared" si="339"/>
        <v>0</v>
      </c>
      <c r="GY76" s="147">
        <f t="shared" si="340"/>
        <v>0</v>
      </c>
      <c r="GZ76" s="147">
        <f t="shared" si="272"/>
        <v>0</v>
      </c>
      <c r="HA76" s="147">
        <f t="shared" si="273"/>
        <v>0</v>
      </c>
      <c r="HB76" s="147">
        <f t="shared" si="341"/>
        <v>0</v>
      </c>
      <c r="HC76" s="147">
        <f t="shared" si="342"/>
        <v>0</v>
      </c>
      <c r="HD76" s="147"/>
      <c r="HE76" s="147">
        <f t="shared" si="343"/>
        <v>0</v>
      </c>
      <c r="HF76" s="147">
        <f t="shared" si="344"/>
        <v>0</v>
      </c>
      <c r="HG76" s="147">
        <f t="shared" si="345"/>
        <v>0</v>
      </c>
      <c r="HH76" s="147">
        <f t="shared" si="346"/>
        <v>0</v>
      </c>
      <c r="HI76" s="147">
        <f t="shared" si="347"/>
        <v>0</v>
      </c>
      <c r="HJ76" s="147">
        <f t="shared" si="348"/>
        <v>0</v>
      </c>
      <c r="HK76" s="147">
        <f t="shared" si="349"/>
        <v>0</v>
      </c>
      <c r="HL76" s="147">
        <f t="shared" si="350"/>
        <v>0</v>
      </c>
      <c r="HM76" s="147">
        <f t="shared" si="351"/>
        <v>0</v>
      </c>
      <c r="HN76" s="147">
        <f t="shared" si="352"/>
        <v>0</v>
      </c>
      <c r="HO76" s="147">
        <f t="shared" si="353"/>
        <v>0</v>
      </c>
      <c r="HQ76" s="147">
        <f t="shared" si="354"/>
        <v>0</v>
      </c>
      <c r="HR76" s="147">
        <f t="shared" si="355"/>
        <v>0</v>
      </c>
      <c r="HS76" s="147">
        <f t="shared" si="356"/>
        <v>0</v>
      </c>
      <c r="HT76" s="147">
        <f t="shared" si="357"/>
        <v>0</v>
      </c>
      <c r="HU76" s="147">
        <f t="shared" si="358"/>
        <v>0</v>
      </c>
      <c r="HV76" s="147">
        <f t="shared" si="359"/>
        <v>0</v>
      </c>
      <c r="HW76" s="147">
        <f t="shared" si="360"/>
        <v>0</v>
      </c>
      <c r="HX76" s="147">
        <f t="shared" si="361"/>
        <v>0</v>
      </c>
      <c r="HY76" s="147">
        <f t="shared" si="362"/>
        <v>0</v>
      </c>
      <c r="HZ76" s="147">
        <f t="shared" si="363"/>
        <v>0</v>
      </c>
      <c r="IB76" s="147">
        <f>IF('River loads'!CI76&gt;0.99,1,0)</f>
        <v>0</v>
      </c>
      <c r="IC76">
        <f t="shared" si="255"/>
        <v>0</v>
      </c>
      <c r="ID76">
        <f t="shared" si="256"/>
        <v>0</v>
      </c>
      <c r="IE76">
        <f t="shared" si="257"/>
        <v>0</v>
      </c>
      <c r="IF76">
        <f t="shared" si="258"/>
        <v>0</v>
      </c>
      <c r="IG76">
        <f t="shared" si="259"/>
        <v>0</v>
      </c>
      <c r="IH76">
        <f t="shared" si="260"/>
        <v>0</v>
      </c>
      <c r="II76">
        <f t="shared" si="261"/>
        <v>0</v>
      </c>
      <c r="IJ76">
        <f t="shared" si="262"/>
        <v>0</v>
      </c>
      <c r="IK76">
        <f t="shared" si="274"/>
        <v>0</v>
      </c>
      <c r="IL76">
        <f t="shared" si="275"/>
        <v>0</v>
      </c>
      <c r="IM76">
        <f t="shared" si="364"/>
        <v>0</v>
      </c>
      <c r="IN76">
        <f t="shared" si="365"/>
        <v>0</v>
      </c>
      <c r="IP76">
        <f t="shared" si="366"/>
        <v>0</v>
      </c>
      <c r="IQ76">
        <f t="shared" si="367"/>
        <v>0</v>
      </c>
      <c r="IR76">
        <f t="shared" si="368"/>
        <v>0</v>
      </c>
      <c r="IS76">
        <f t="shared" si="369"/>
        <v>0</v>
      </c>
      <c r="IT76">
        <f t="shared" si="370"/>
        <v>0</v>
      </c>
      <c r="IU76">
        <f t="shared" si="371"/>
        <v>0</v>
      </c>
      <c r="IV76">
        <f t="shared" si="372"/>
        <v>0</v>
      </c>
      <c r="IW76">
        <f t="shared" si="373"/>
        <v>0</v>
      </c>
      <c r="IX76">
        <f t="shared" si="374"/>
        <v>0</v>
      </c>
    </row>
    <row r="77" spans="1:258">
      <c r="A77" s="39" t="str">
        <f>Basicinfo!A77</f>
        <v>Aschbach</v>
      </c>
      <c r="B77" s="63">
        <f>Basicinfo!B77</f>
        <v>1480</v>
      </c>
      <c r="C77" s="63">
        <f>Basicinfo!C77</f>
        <v>1510</v>
      </c>
      <c r="D77" s="130">
        <f>Basicinfo!G77</f>
        <v>114.208372387</v>
      </c>
      <c r="E77" s="87">
        <f t="shared" si="276"/>
        <v>2.91064352195446</v>
      </c>
      <c r="F77" s="19">
        <f>Intermediate!AR77</f>
        <v>8.1741640501786384E-3</v>
      </c>
      <c r="G77" s="19">
        <f>Intermediate!AU77</f>
        <v>0.6420467527443523</v>
      </c>
      <c r="H77" s="19">
        <f>Intermediate!AW77</f>
        <v>9.9559928257796568E-3</v>
      </c>
      <c r="I77" s="19">
        <f>Intermediate!AZ77</f>
        <v>0</v>
      </c>
      <c r="J77" s="19">
        <f>Intermediate!BA77</f>
        <v>2.2483541917879188</v>
      </c>
      <c r="K77" s="19">
        <f>Intermediate!AC77</f>
        <v>4.6409294931730048E-4</v>
      </c>
      <c r="L77" s="19">
        <f>Intermediate!AO77</f>
        <v>7.7592294263145484E-4</v>
      </c>
      <c r="M77" s="19">
        <f>Intermediate!AP77</f>
        <v>8.7240465428205195E-4</v>
      </c>
      <c r="N77" s="19">
        <f t="shared" si="263"/>
        <v>2.91064352195446</v>
      </c>
      <c r="O77" s="19">
        <f>Basicinfo!CB77+Basicinfo!CG77</f>
        <v>0</v>
      </c>
      <c r="P77" s="56">
        <f>Intermediate!BK77-Intermediate!BI77</f>
        <v>2.3216180635779438</v>
      </c>
      <c r="Q77" s="43">
        <f>Intermediate!BI77</f>
        <v>1175.7563382146957</v>
      </c>
      <c r="R77" s="88">
        <f t="shared" ref="R77:R84" si="375">P77+Q77</f>
        <v>1178.0779562782736</v>
      </c>
      <c r="S77" s="61">
        <f>Intermediate!F77*Intermediate!BO77/1000</f>
        <v>0.30417730975529172</v>
      </c>
      <c r="T77" s="19">
        <f>Intermediate!BU77*Intermediate!AU77*86.4*0.365</f>
        <v>15.317568567255773</v>
      </c>
      <c r="U77" s="19">
        <f>Intermediate!AW77*Intermediate!BS77*0.365*86.4</f>
        <v>0.23751061689702568</v>
      </c>
      <c r="V77" s="19">
        <f>(Basicinfo!BL77/1000000)*(Intermediate!BK77-Intermediate!BF77-Intermediate!BG77-Intermediate!BH77)*Intermediate!CV77</f>
        <v>1.334928370051155E-2</v>
      </c>
      <c r="W77" s="19">
        <f>Intermediate!BI77*Parameters!$C$51/1000000</f>
        <v>2.9393908455367393E-2</v>
      </c>
      <c r="X77" s="19">
        <f>Intermediate!AZ77*Intermediate!CG77*86.4*0.365</f>
        <v>0</v>
      </c>
      <c r="Y77" s="19">
        <f>Intermediate!CM77*Intermediate!BA77*86.4*0.365+Parameters!$C$126*Intermediate!BB77*Basicinfo!P77/1000+Parameters!$C$127*Intermediate!BB77*Basicinfo!S77/1000</f>
        <v>88.913411173498829</v>
      </c>
      <c r="Z77" s="19">
        <f>Intermediate!DG77</f>
        <v>2.490824361073753E-2</v>
      </c>
      <c r="AA77" s="19">
        <f>Intermediate!DI77</f>
        <v>0.30046097357261853</v>
      </c>
      <c r="AB77" s="19">
        <f>Intermediate!DK77</f>
        <v>8.3423343131958844E-2</v>
      </c>
      <c r="AC77" s="19">
        <f t="shared" si="264"/>
        <v>105.22420341987811</v>
      </c>
      <c r="AD77" s="19">
        <f>Basicinfo!CC77+Basicinfo!CE77+Basicinfo!CH77+Basicinfo!CJ77</f>
        <v>0</v>
      </c>
      <c r="AE77" s="87">
        <f t="shared" ref="AE77:AE84" si="376">AC77+AD77</f>
        <v>105.22420341987811</v>
      </c>
      <c r="AF77" s="56">
        <f>Intermediate!F77*Basicinfo!BD77/1000</f>
        <v>8.2782733707301472E-3</v>
      </c>
      <c r="AG77" s="43">
        <f>Intermediate!CA77*Intermediate!AU77*86.4*0.365</f>
        <v>8.5260282230756587E-2</v>
      </c>
      <c r="AH77" s="43">
        <f>Intermediate!AW77*Intermediate!BZ77*0.365*86.4</f>
        <v>4.7095828463068095E-4</v>
      </c>
      <c r="AI77" s="43">
        <f>(Intermediate!CU77/1000000)*(Intermediate!BK77-Intermediate!BF77-Intermediate!BG77-Intermediate!BH77)*Intermediate!CW77</f>
        <v>9.6347612728365974E-3</v>
      </c>
      <c r="AJ77" s="43">
        <f>Intermediate!BF77*Parameters!$C$52/1000000+(Intermediate!BG77+Intermediate!BH77)*Intermediate!CX77/1000000</f>
        <v>0.53151147137142574</v>
      </c>
      <c r="AK77" s="43">
        <f>Intermediate!AZ77*Intermediate!CH77*86.4*0.365</f>
        <v>0</v>
      </c>
      <c r="AL77" s="58">
        <f>Intermediate!CR77*Intermediate!BA77*86.4*0.365</f>
        <v>0.24611000298137439</v>
      </c>
      <c r="AM77" s="43">
        <f>Intermediate!DH77</f>
        <v>7.4988927600137525E-3</v>
      </c>
      <c r="AN77" s="42">
        <f>Intermediate!DJ77</f>
        <v>5.3966230666034246E-2</v>
      </c>
      <c r="AO77" s="42">
        <f>Intermediate!DL77</f>
        <v>1.4781374820424673E-2</v>
      </c>
      <c r="AP77" s="42">
        <f t="shared" si="265"/>
        <v>0.95751224775822674</v>
      </c>
      <c r="AQ77" s="43">
        <f>Basicinfo!CD77+Basicinfo!CF77+Basicinfo!CI77+Basicinfo!CK77</f>
        <v>0</v>
      </c>
      <c r="AR77" s="83">
        <f t="shared" ref="AR77:AR84" si="377">AP77+AQ77</f>
        <v>0.95751224775822674</v>
      </c>
      <c r="AS77" s="19">
        <f>F77*86400*365/(Basicinfo!G77*1000000)*1000</f>
        <v>2.2571063057700655</v>
      </c>
      <c r="AT77" s="19">
        <f>G77*86400*365/(Basicinfo!G77*1000000)*1000</f>
        <v>177.28635800829099</v>
      </c>
      <c r="AU77" s="19">
        <f>H77*86400*365/(Basicinfo!G77*1000000)*1000</f>
        <v>2.74911710228983</v>
      </c>
      <c r="AV77" s="19">
        <f>I77*86400*365/(Basicinfo!G77*1000000)*1000</f>
        <v>0</v>
      </c>
      <c r="AW77" s="19">
        <f>J77*86400*365/(Basicinfo!G77*1000000)*1000</f>
        <v>620.8309978533116</v>
      </c>
      <c r="AX77" s="53">
        <f>K77*86400*365/(Basicinfo!G77*1000000)*1000</f>
        <v>0.12814853187887931</v>
      </c>
      <c r="AY77" s="53">
        <f>L77*86400*365/(Basicinfo!G77*1000000)*1000</f>
        <v>0.21425317082629969</v>
      </c>
      <c r="AZ77" s="53">
        <f>M77*86400*365/(Basicinfo!G77*1000000)*1000</f>
        <v>0.24089436354291677</v>
      </c>
      <c r="BA77" s="19">
        <f t="shared" si="266"/>
        <v>803.70687533591058</v>
      </c>
      <c r="BB77" s="19">
        <f>O77*86400*365/(Basicinfo!G77*1000000)*1000</f>
        <v>0</v>
      </c>
      <c r="BC77" s="53">
        <f t="shared" ref="BC77:BC84" si="378">BA77+BB77</f>
        <v>803.70687533591058</v>
      </c>
      <c r="BD77" s="56">
        <f>P77/(Basicinfo!G77*100)*1000</f>
        <v>0.20327914802174404</v>
      </c>
      <c r="BE77" s="43">
        <f>Q77/(Basicinfo!G77*100)*1000</f>
        <v>102.94834902563839</v>
      </c>
      <c r="BF77" s="58">
        <f t="shared" ref="BF77:BF84" si="379">SUM(BD77:BE77)</f>
        <v>103.15162817366014</v>
      </c>
      <c r="BG77" s="61">
        <f>S77/(Basicinfo!G77*100)*1000000</f>
        <v>26.633538627498673</v>
      </c>
      <c r="BH77" s="19">
        <f>T77/(Basicinfo!G77*100)*1000000</f>
        <v>1341.194892030466</v>
      </c>
      <c r="BI77" s="19">
        <f>U77/(Basicinfo!G77*100)*1000000</f>
        <v>20.796252668080299</v>
      </c>
      <c r="BJ77" s="19">
        <f>V77/(Basicinfo!G77*100)*1000000</f>
        <v>1.1688533354872552</v>
      </c>
      <c r="BK77" s="19">
        <f>W77/(Basicinfo!G77*100)*1000000</f>
        <v>2.5737087256409596</v>
      </c>
      <c r="BL77" s="19">
        <f>X77/(Basicinfo!G77*100)*1000000</f>
        <v>0</v>
      </c>
      <c r="BM77" s="19">
        <f>Y77/(Basicinfo!G77*100)*1000000</f>
        <v>7785.1920411063993</v>
      </c>
      <c r="BN77" s="53">
        <f>Z77/(Basicinfo!G77*100)*1000000</f>
        <v>2.1809472537035086</v>
      </c>
      <c r="BO77" s="53">
        <f>AA77/(Basicinfo!G77*100)*1000000</f>
        <v>26.30813900004577</v>
      </c>
      <c r="BP77" s="53">
        <f>AB77/(Basicinfo!G77*100)*1000000</f>
        <v>7.3044857735363955</v>
      </c>
      <c r="BQ77" s="19">
        <f t="shared" si="267"/>
        <v>9213.3528585208587</v>
      </c>
      <c r="BR77" s="19">
        <f>AD77/(Basicinfo!G77*100)*1000000</f>
        <v>0</v>
      </c>
      <c r="BS77" s="53">
        <f t="shared" ref="BS77:BS84" si="380">BQ77+BR77</f>
        <v>9213.3528585208587</v>
      </c>
      <c r="BT77" s="56">
        <f>AF77/(Basicinfo!G77*100)*1000000</f>
        <v>0.7248394489572848</v>
      </c>
      <c r="BU77" s="43">
        <f>AG77/(Basicinfo!G77*100)*1000000</f>
        <v>7.4653267924919238</v>
      </c>
      <c r="BV77" s="43">
        <f>AH77/(Basicinfo!G77*100)*1000000</f>
        <v>4.1236756534347455E-2</v>
      </c>
      <c r="BW77" s="43">
        <f>AI77/(Basicinfo!G77*100)*1000000</f>
        <v>0.84361251907073787</v>
      </c>
      <c r="BX77" s="43">
        <f>AJ77/(Basicinfo!G77*100)*1000000</f>
        <v>46.538748452729557</v>
      </c>
      <c r="BY77" s="58">
        <f>AK77/(Basicinfo!G77*100)*1000000</f>
        <v>0</v>
      </c>
      <c r="BZ77" s="58">
        <f>AL77/(Basicinfo!G77*100)*1000000</f>
        <v>21.549208507010331</v>
      </c>
      <c r="CA77" s="58">
        <f>AM77/(Basicinfo!G77*100)*1000000</f>
        <v>0.65659746332812008</v>
      </c>
      <c r="CB77" s="58">
        <f>AN77/(Basicinfo!G77*100)*1000000</f>
        <v>4.7252429518185703</v>
      </c>
      <c r="CC77" s="58">
        <f>AO77/(Basicinfo!G77*100)*1000000</f>
        <v>1.2942461670268222</v>
      </c>
      <c r="CD77" s="58">
        <f t="shared" si="268"/>
        <v>83.839059058967706</v>
      </c>
      <c r="CE77" s="58">
        <f>AQ77/(Basicinfo!G77*100)*1000000</f>
        <v>0</v>
      </c>
      <c r="CF77" s="43">
        <f t="shared" ref="CF77:CF84" si="381">CD77+CE77</f>
        <v>83.839059058967706</v>
      </c>
      <c r="CG77" s="84"/>
      <c r="CH77" s="84">
        <f t="shared" si="277"/>
        <v>0</v>
      </c>
      <c r="CI77" s="146">
        <f t="shared" si="152"/>
        <v>0.40879256031531486</v>
      </c>
      <c r="CJ77" s="200">
        <f>Intermediate!EW77+Intermediate!EY77+Intermediate!FD77</f>
        <v>44.071199252913338</v>
      </c>
      <c r="CK77" s="180">
        <f>Intermediate!FA77+Intermediate!FF77</f>
        <v>2.0519617122090748</v>
      </c>
      <c r="CL77" s="180">
        <f t="shared" si="252"/>
        <v>0</v>
      </c>
      <c r="CM77" s="180">
        <f t="shared" si="253"/>
        <v>10.25259489451682</v>
      </c>
      <c r="CN77" s="202">
        <f>Intermediate!EX77+Intermediate!EZ77+Intermediate!FE77</f>
        <v>40.338421242924923</v>
      </c>
      <c r="CO77" s="180">
        <f>Intermediate!FB77+Intermediate!FG77</f>
        <v>1.8962386388325272</v>
      </c>
      <c r="CP77" s="213">
        <f>Intermediate!EP77+Intermediate!EQ77+Intermediate!ER77+Intermediate!ES77+Intermediate!ET77+Intermediate!EU77+Intermediate!EV77+W77</f>
        <v>6.2049951181661047</v>
      </c>
      <c r="CQ77" s="212">
        <f t="shared" si="278"/>
        <v>42.234659881757452</v>
      </c>
      <c r="CR77" s="212">
        <f t="shared" si="279"/>
        <v>56.375755859639234</v>
      </c>
      <c r="CS77" s="211">
        <f t="shared" si="254"/>
        <v>2.490824361073753E-2</v>
      </c>
      <c r="CT77" s="212">
        <f t="shared" si="280"/>
        <v>104.84031910317354</v>
      </c>
      <c r="CU77" s="84"/>
      <c r="CV77" s="31">
        <f t="shared" si="281"/>
        <v>105.22420341987811</v>
      </c>
      <c r="CW77" s="31">
        <f>CH77/Basicinfo!$G77*1000/100</f>
        <v>0</v>
      </c>
      <c r="CX77" s="31">
        <f>CI77/Basicinfo!$G77*1000/100</f>
        <v>3.5793572027285676E-2</v>
      </c>
      <c r="CY77" s="31">
        <f>CS77/Basicinfo!$G77*1000/100</f>
        <v>2.1809472537035086E-3</v>
      </c>
      <c r="CZ77" s="31">
        <f>CN77/Basicinfo!$G77*1000/100</f>
        <v>3.5320021115646796</v>
      </c>
      <c r="DA77" s="31">
        <f>CO77/Basicinfo!$G77*1000/100</f>
        <v>0.16603324250231327</v>
      </c>
      <c r="DB77" s="31">
        <f>CQ77/Basicinfo!$G77*1000/100</f>
        <v>3.6980353540669935</v>
      </c>
      <c r="DC77" s="31">
        <f>CJ77/Basicinfo!$G77*1000/100</f>
        <v>3.8588413731679996</v>
      </c>
      <c r="DD77" s="31">
        <f>CK77/Basicinfo!$G77*1000/100</f>
        <v>0.17966823879215388</v>
      </c>
      <c r="DE77" s="31">
        <f>CM77/Basicinfo!$G77*1000/100</f>
        <v>0.89770957069377189</v>
      </c>
      <c r="DF77" s="31">
        <f>CR77/Basicinfo!$G77*1000/100</f>
        <v>4.9362191826539261</v>
      </c>
      <c r="DG77" s="31">
        <f>CP77/Basicinfo!$G77*1000/100</f>
        <v>0.54330474977265331</v>
      </c>
      <c r="DH77" s="31">
        <f>CT77/Basicinfo!$G77*1000/100</f>
        <v>9.1797402337472764</v>
      </c>
      <c r="DI77" s="31">
        <f>CV77/Basicinfo!$G77*1000/100</f>
        <v>9.2133528585208584</v>
      </c>
      <c r="DJ77" s="31"/>
      <c r="DK77" s="188">
        <f t="shared" si="282"/>
        <v>0</v>
      </c>
      <c r="DL77" s="188">
        <f t="shared" si="283"/>
        <v>0.38991922555388386</v>
      </c>
      <c r="DM77" s="188">
        <f t="shared" si="284"/>
        <v>2.3758267643410436E-2</v>
      </c>
      <c r="DN77" s="188">
        <f t="shared" si="285"/>
        <v>38.476057291687383</v>
      </c>
      <c r="DO77" s="188">
        <f t="shared" si="286"/>
        <v>1.8086921663853728</v>
      </c>
      <c r="DP77" s="188">
        <f t="shared" si="287"/>
        <v>40.284749458072753</v>
      </c>
      <c r="DQ77" s="188">
        <f t="shared" si="288"/>
        <v>42.03649858175536</v>
      </c>
      <c r="DR77" s="188">
        <f t="shared" si="289"/>
        <v>1.9572257407855995</v>
      </c>
      <c r="DS77" s="188">
        <f t="shared" si="290"/>
        <v>9.779248081482109</v>
      </c>
      <c r="DT77" s="188">
        <f t="shared" si="291"/>
        <v>53.772972404023065</v>
      </c>
      <c r="DU77" s="188">
        <f t="shared" si="292"/>
        <v>5.9185198702607513</v>
      </c>
      <c r="DV77" s="188">
        <f t="shared" si="293"/>
        <v>100</v>
      </c>
      <c r="DW77" s="188">
        <f t="shared" si="294"/>
        <v>100.36616095791047</v>
      </c>
      <c r="DY77" s="181">
        <f t="shared" si="295"/>
        <v>0</v>
      </c>
      <c r="DZ77" s="181">
        <f t="shared" si="269"/>
        <v>7.6246498246472671E-2</v>
      </c>
      <c r="EA77" s="185">
        <f t="shared" si="296"/>
        <v>0</v>
      </c>
      <c r="EB77" s="185">
        <f>AG77+AH77+AL77-Intermediate!FJ77-Intermediate!FM77</f>
        <v>0.26554685697967056</v>
      </c>
      <c r="EC77" s="185">
        <f>AI77+AJ77-Intermediate!FK77</f>
        <v>4.1871543020871593E-3</v>
      </c>
      <c r="ED77" s="240">
        <f t="shared" si="297"/>
        <v>8.2782733707301472E-3</v>
      </c>
      <c r="EE77" s="240">
        <f>Intermediate!FJ77+Intermediate!FK77+Intermediate!FM77</f>
        <v>0.60325346485926623</v>
      </c>
      <c r="EF77" s="240">
        <f t="shared" si="298"/>
        <v>0.26973401128175778</v>
      </c>
      <c r="EG77" s="240">
        <f t="shared" si="299"/>
        <v>7.6246498246472671E-2</v>
      </c>
      <c r="EH77" s="240">
        <f t="shared" si="300"/>
        <v>0.95751224775822685</v>
      </c>
      <c r="EI77" s="181">
        <f t="shared" si="301"/>
        <v>0.95751224775822674</v>
      </c>
      <c r="EK77" s="31">
        <f>DY77/Basicinfo!$G77*1000/100</f>
        <v>0</v>
      </c>
      <c r="EL77" s="31">
        <f>DZ77/Basicinfo!$G77*1000/100</f>
        <v>6.6760865821735137E-3</v>
      </c>
      <c r="EM77" s="220">
        <f>EG77/Basicinfo!$G77*1000/100</f>
        <v>6.6760865821735137E-3</v>
      </c>
      <c r="EN77" s="220">
        <f>ED77/Basicinfo!$G77*1000/100</f>
        <v>7.2483944895728489E-4</v>
      </c>
      <c r="EO77" s="220">
        <f>EF77/Basicinfo!$G77*1000/100</f>
        <v>2.3617709073705428E-2</v>
      </c>
      <c r="EP77" s="220">
        <f>EE77/Basicinfo!$G77*1000/100</f>
        <v>5.2820423954131474E-2</v>
      </c>
      <c r="EQ77" s="220">
        <f>EH77/Basicinfo!$G77*1000/100</f>
        <v>8.3839059058967699E-2</v>
      </c>
      <c r="ER77" s="31">
        <f>EI77/Basicinfo!$G77*1000/100</f>
        <v>8.3839059058967699E-2</v>
      </c>
      <c r="ET77" s="188">
        <f t="shared" si="302"/>
        <v>0</v>
      </c>
      <c r="EU77" s="188">
        <f t="shared" si="303"/>
        <v>7.9629788992239616</v>
      </c>
      <c r="EV77" s="223">
        <f t="shared" si="304"/>
        <v>7.9629788992239616</v>
      </c>
      <c r="EW77" s="223">
        <f t="shared" si="305"/>
        <v>0.86456057247430873</v>
      </c>
      <c r="EX77" s="223">
        <f t="shared" si="306"/>
        <v>28.170293582486476</v>
      </c>
      <c r="EY77" s="223">
        <f t="shared" si="307"/>
        <v>63.002166945815254</v>
      </c>
      <c r="EZ77" s="223">
        <f t="shared" si="308"/>
        <v>100</v>
      </c>
      <c r="FA77" s="188">
        <f t="shared" si="309"/>
        <v>100</v>
      </c>
      <c r="FC77" s="236">
        <f>Basicinfo!CT77</f>
        <v>1.4293548387096775</v>
      </c>
      <c r="FD77" s="181">
        <f>IF((Intermediate!CL77+Intermediate!CM77*3)/4&gt;11,(Intermediate!CL77+Intermediate!CM77*9)/10,(Intermediate!CL77+Intermediate!CM77*3)/4)</f>
        <v>1.4281724412904402</v>
      </c>
      <c r="FF77" s="31">
        <f t="shared" si="310"/>
        <v>8.2782733707301472E-3</v>
      </c>
      <c r="FG77" s="31">
        <f t="shared" si="311"/>
        <v>8.5260282230756587E-2</v>
      </c>
      <c r="FH77" s="31">
        <f t="shared" si="312"/>
        <v>4.7095828463068095E-4</v>
      </c>
      <c r="FI77" s="31">
        <f>(AI77-(P77*450/1000000))*Parameters!$C$153</f>
        <v>6.8720265153812193E-3</v>
      </c>
      <c r="FJ77" s="31"/>
      <c r="FK77" s="31">
        <f t="shared" si="313"/>
        <v>0</v>
      </c>
      <c r="FL77" s="31">
        <f t="shared" si="314"/>
        <v>0.24611000298137439</v>
      </c>
      <c r="FM77" s="31">
        <f>AM77*Parameters!$C$154</f>
        <v>6.749003484012377E-3</v>
      </c>
      <c r="FN77" s="31">
        <f>AN77*Parameters!$C$154</f>
        <v>4.8569607599430825E-2</v>
      </c>
      <c r="FO77" s="31">
        <f>AO77*Parameters!$C$154</f>
        <v>1.3303237338382205E-2</v>
      </c>
      <c r="FP77" s="31">
        <f>AQ77*Parameters!$C$155</f>
        <v>0</v>
      </c>
      <c r="FQ77" s="31">
        <f t="shared" si="315"/>
        <v>0.41561339180469842</v>
      </c>
      <c r="FS77" s="147">
        <f>DY77*Parameters!$C$155</f>
        <v>0</v>
      </c>
      <c r="FT77" s="147">
        <f>DZ77*Parameters!$C$154</f>
        <v>6.8621848421825407E-2</v>
      </c>
      <c r="FU77" s="181">
        <f t="shared" si="316"/>
        <v>0</v>
      </c>
      <c r="FV77" s="181">
        <f t="shared" si="317"/>
        <v>0.26554685697967056</v>
      </c>
      <c r="FW77" s="31">
        <f t="shared" si="318"/>
        <v>6.8720265153812271E-3</v>
      </c>
      <c r="FX77" s="181">
        <f t="shared" si="319"/>
        <v>8.2782733707301472E-3</v>
      </c>
      <c r="FY77" s="147">
        <f>Intermediate!FJ77+Intermediate!FM77</f>
        <v>6.6294386517091089E-2</v>
      </c>
      <c r="FZ77" s="181">
        <f t="shared" si="320"/>
        <v>0.27241888349505178</v>
      </c>
      <c r="GA77" s="147">
        <f t="shared" si="321"/>
        <v>6.8621848421825407E-2</v>
      </c>
      <c r="GB77" s="181">
        <f t="shared" si="322"/>
        <v>0.41561339180469842</v>
      </c>
      <c r="GD77" s="147">
        <f>IF('River loads'!CH77&gt;0.99,1,0)</f>
        <v>0</v>
      </c>
      <c r="GE77" s="147">
        <f t="shared" si="323"/>
        <v>0</v>
      </c>
      <c r="GF77" s="147">
        <f t="shared" si="324"/>
        <v>0</v>
      </c>
      <c r="GG77" s="147">
        <f t="shared" si="325"/>
        <v>0</v>
      </c>
      <c r="GH77" s="147">
        <f t="shared" si="326"/>
        <v>0</v>
      </c>
      <c r="GI77" s="147">
        <f t="shared" si="327"/>
        <v>0</v>
      </c>
      <c r="GJ77" s="147">
        <f t="shared" si="328"/>
        <v>0</v>
      </c>
      <c r="GK77" s="147">
        <f t="shared" si="329"/>
        <v>0</v>
      </c>
      <c r="GL77" s="147">
        <f t="shared" si="330"/>
        <v>0</v>
      </c>
      <c r="GM77" s="270">
        <f t="shared" si="270"/>
        <v>0</v>
      </c>
      <c r="GN77" s="270">
        <f t="shared" si="271"/>
        <v>0</v>
      </c>
      <c r="GO77" s="147">
        <f t="shared" si="331"/>
        <v>0</v>
      </c>
      <c r="GP77" s="147">
        <f t="shared" si="332"/>
        <v>0</v>
      </c>
      <c r="GQ77" s="147"/>
      <c r="GR77" s="147">
        <f t="shared" si="333"/>
        <v>0</v>
      </c>
      <c r="GS77" s="147">
        <f t="shared" si="334"/>
        <v>0</v>
      </c>
      <c r="GT77" s="147">
        <f t="shared" si="335"/>
        <v>0</v>
      </c>
      <c r="GU77" s="147">
        <f t="shared" si="336"/>
        <v>0</v>
      </c>
      <c r="GV77" s="147">
        <f t="shared" si="337"/>
        <v>0</v>
      </c>
      <c r="GW77" s="147">
        <f t="shared" si="338"/>
        <v>0</v>
      </c>
      <c r="GX77" s="147">
        <f t="shared" si="339"/>
        <v>0</v>
      </c>
      <c r="GY77" s="147">
        <f t="shared" si="340"/>
        <v>0</v>
      </c>
      <c r="GZ77" s="147">
        <f t="shared" si="272"/>
        <v>0</v>
      </c>
      <c r="HA77" s="147">
        <f t="shared" si="273"/>
        <v>0</v>
      </c>
      <c r="HB77" s="147">
        <f t="shared" si="341"/>
        <v>0</v>
      </c>
      <c r="HC77" s="147">
        <f t="shared" si="342"/>
        <v>0</v>
      </c>
      <c r="HD77" s="147"/>
      <c r="HE77" s="147">
        <f t="shared" si="343"/>
        <v>0</v>
      </c>
      <c r="HF77" s="147">
        <f t="shared" si="344"/>
        <v>0</v>
      </c>
      <c r="HG77" s="147">
        <f t="shared" si="345"/>
        <v>0</v>
      </c>
      <c r="HH77" s="147">
        <f t="shared" si="346"/>
        <v>0</v>
      </c>
      <c r="HI77" s="147">
        <f t="shared" si="347"/>
        <v>0</v>
      </c>
      <c r="HJ77" s="147">
        <f t="shared" si="348"/>
        <v>0</v>
      </c>
      <c r="HK77" s="147">
        <f t="shared" si="349"/>
        <v>0</v>
      </c>
      <c r="HL77" s="147">
        <f t="shared" si="350"/>
        <v>0</v>
      </c>
      <c r="HM77" s="147">
        <f t="shared" si="351"/>
        <v>0</v>
      </c>
      <c r="HN77" s="147">
        <f t="shared" si="352"/>
        <v>0</v>
      </c>
      <c r="HO77" s="147">
        <f t="shared" si="353"/>
        <v>0</v>
      </c>
      <c r="HQ77" s="147">
        <f t="shared" si="354"/>
        <v>0</v>
      </c>
      <c r="HR77" s="147">
        <f t="shared" si="355"/>
        <v>0</v>
      </c>
      <c r="HS77" s="147">
        <f t="shared" si="356"/>
        <v>0</v>
      </c>
      <c r="HT77" s="147">
        <f t="shared" si="357"/>
        <v>0</v>
      </c>
      <c r="HU77" s="147">
        <f t="shared" si="358"/>
        <v>0</v>
      </c>
      <c r="HV77" s="147">
        <f t="shared" si="359"/>
        <v>0</v>
      </c>
      <c r="HW77" s="147">
        <f t="shared" si="360"/>
        <v>0</v>
      </c>
      <c r="HX77" s="147">
        <f t="shared" si="361"/>
        <v>0</v>
      </c>
      <c r="HY77" s="147">
        <f t="shared" si="362"/>
        <v>0</v>
      </c>
      <c r="HZ77" s="147">
        <f t="shared" si="363"/>
        <v>0</v>
      </c>
      <c r="IB77" s="147">
        <f>IF('River loads'!CI77&gt;0.99,1,0)</f>
        <v>0</v>
      </c>
      <c r="IC77">
        <f t="shared" si="255"/>
        <v>0</v>
      </c>
      <c r="ID77">
        <f t="shared" si="256"/>
        <v>0</v>
      </c>
      <c r="IE77">
        <f t="shared" si="257"/>
        <v>0</v>
      </c>
      <c r="IF77">
        <f t="shared" si="258"/>
        <v>0</v>
      </c>
      <c r="IG77">
        <f t="shared" si="259"/>
        <v>0</v>
      </c>
      <c r="IH77">
        <f t="shared" si="260"/>
        <v>0</v>
      </c>
      <c r="II77">
        <f t="shared" si="261"/>
        <v>0</v>
      </c>
      <c r="IJ77">
        <f t="shared" si="262"/>
        <v>0</v>
      </c>
      <c r="IK77">
        <f t="shared" si="274"/>
        <v>0</v>
      </c>
      <c r="IL77">
        <f t="shared" si="275"/>
        <v>0</v>
      </c>
      <c r="IM77">
        <f t="shared" si="364"/>
        <v>0</v>
      </c>
      <c r="IN77">
        <f t="shared" si="365"/>
        <v>0</v>
      </c>
      <c r="IP77">
        <f t="shared" si="366"/>
        <v>0</v>
      </c>
      <c r="IQ77">
        <f t="shared" si="367"/>
        <v>0</v>
      </c>
      <c r="IR77">
        <f t="shared" si="368"/>
        <v>0</v>
      </c>
      <c r="IS77">
        <f t="shared" si="369"/>
        <v>0</v>
      </c>
      <c r="IT77">
        <f t="shared" si="370"/>
        <v>0</v>
      </c>
      <c r="IU77">
        <f t="shared" si="371"/>
        <v>0</v>
      </c>
      <c r="IV77">
        <f t="shared" si="372"/>
        <v>0</v>
      </c>
      <c r="IW77">
        <f t="shared" si="373"/>
        <v>0</v>
      </c>
      <c r="IX77">
        <f t="shared" si="374"/>
        <v>0</v>
      </c>
    </row>
    <row r="78" spans="1:258">
      <c r="A78" s="39" t="str">
        <f>Basicinfo!A78</f>
        <v>Lassingbach</v>
      </c>
      <c r="B78" s="63">
        <f>Basicinfo!B78</f>
        <v>1490</v>
      </c>
      <c r="C78" s="63">
        <f>Basicinfo!C78</f>
        <v>1500</v>
      </c>
      <c r="D78" s="130">
        <f>Basicinfo!G78</f>
        <v>106.197558699</v>
      </c>
      <c r="E78" s="87">
        <f t="shared" si="276"/>
        <v>4.5282511779965295</v>
      </c>
      <c r="F78" s="19">
        <f>Intermediate!AR78</f>
        <v>2.7039822816929182E-2</v>
      </c>
      <c r="G78" s="19">
        <f>Intermediate!AU78</f>
        <v>1.1345227815774777</v>
      </c>
      <c r="H78" s="19">
        <f>Intermediate!AW78</f>
        <v>7.8458253452223046E-3</v>
      </c>
      <c r="I78" s="19">
        <f>Intermediate!AZ78</f>
        <v>0</v>
      </c>
      <c r="J78" s="19">
        <f>Intermediate!BA78</f>
        <v>3.3569794152069696</v>
      </c>
      <c r="K78" s="19">
        <f>Intermediate!AC78</f>
        <v>5.8553744841190875E-4</v>
      </c>
      <c r="L78" s="19">
        <f>Intermediate!AO78</f>
        <v>7.9841557688617839E-4</v>
      </c>
      <c r="M78" s="19">
        <f>Intermediate!AP78</f>
        <v>4.7938002463262906E-4</v>
      </c>
      <c r="N78" s="19">
        <f t="shared" si="263"/>
        <v>4.5282511779965295</v>
      </c>
      <c r="O78" s="19">
        <f>Basicinfo!CB78+Basicinfo!CG78</f>
        <v>0</v>
      </c>
      <c r="P78" s="56">
        <f>Intermediate!BK78-Intermediate!BI78</f>
        <v>0.58391116891561978</v>
      </c>
      <c r="Q78" s="43">
        <f>Intermediate!BI78</f>
        <v>1155.1882222607624</v>
      </c>
      <c r="R78" s="88">
        <f t="shared" si="375"/>
        <v>1155.772133429678</v>
      </c>
      <c r="S78" s="61">
        <f>Intermediate!F78*Intermediate!BO78/1000</f>
        <v>0.96925688685523592</v>
      </c>
      <c r="T78" s="19">
        <f>Intermediate!BU78*Intermediate!AU78*86.4*0.365</f>
        <v>26.341247501208063</v>
      </c>
      <c r="U78" s="19">
        <f>Intermediate!AW78*Intermediate!BS78*0.365*86.4</f>
        <v>0.18216119794443697</v>
      </c>
      <c r="V78" s="19">
        <f>(Basicinfo!BL78/1000000)*(Intermediate!BK78-Intermediate!BF78-Intermediate!BG78-Intermediate!BH78)*Intermediate!CV78</f>
        <v>3.2739468128220204E-3</v>
      </c>
      <c r="W78" s="19">
        <f>Intermediate!BI78*Parameters!$C$51/1000000</f>
        <v>2.8879705556519062E-2</v>
      </c>
      <c r="X78" s="19">
        <f>Intermediate!AZ78*Intermediate!CG78*86.4*0.365</f>
        <v>0</v>
      </c>
      <c r="Y78" s="19">
        <f>Intermediate!CM78*Intermediate!BA78*86.4*0.365+Parameters!$C$126*Intermediate!BB78*Basicinfo!P78/1000+Parameters!$C$127*Intermediate!BB78*Basicinfo!S78/1000</f>
        <v>86.500259711736561</v>
      </c>
      <c r="Z78" s="19">
        <f>Intermediate!DG78</f>
        <v>2.5141144121972478E-2</v>
      </c>
      <c r="AA78" s="19">
        <f>Intermediate!DI78</f>
        <v>0.39747917442501507</v>
      </c>
      <c r="AB78" s="19">
        <f>Intermediate!DK78</f>
        <v>3.7205449742866908E-2</v>
      </c>
      <c r="AC78" s="19">
        <f t="shared" si="264"/>
        <v>114.4849047184035</v>
      </c>
      <c r="AD78" s="19">
        <f>Basicinfo!CC78+Basicinfo!CE78+Basicinfo!CH78+Basicinfo!CJ78</f>
        <v>0</v>
      </c>
      <c r="AE78" s="87">
        <f t="shared" si="376"/>
        <v>114.4849047184035</v>
      </c>
      <c r="AF78" s="56">
        <f>Intermediate!F78*Basicinfo!BD78/1000</f>
        <v>2.5458229904106365E-2</v>
      </c>
      <c r="AG78" s="43">
        <f>Intermediate!CA78*Intermediate!AU78*86.4*0.365</f>
        <v>9.3163833370663029E-2</v>
      </c>
      <c r="AH78" s="43">
        <f>Intermediate!AW78*Intermediate!BZ78*0.365*86.4</f>
        <v>3.7113892213039594E-4</v>
      </c>
      <c r="AI78" s="43">
        <f>(Intermediate!CU78/1000000)*(Intermediate!BK78-Intermediate!BF78-Intermediate!BG78-Intermediate!BH78)*Intermediate!CW78</f>
        <v>2.4715010684985884E-3</v>
      </c>
      <c r="AJ78" s="43">
        <f>Intermediate!BF78*Parameters!$C$52/1000000+(Intermediate!BG78+Intermediate!BH78)*Intermediate!CX78/1000000</f>
        <v>0.52161385978202413</v>
      </c>
      <c r="AK78" s="43">
        <f>Intermediate!AZ78*Intermediate!CH78*86.4*0.365</f>
        <v>0</v>
      </c>
      <c r="AL78" s="58">
        <f>Intermediate!CR78*Intermediate!BA78*86.4*0.365</f>
        <v>0.11318622243360471</v>
      </c>
      <c r="AM78" s="43">
        <f>Intermediate!DH78</f>
        <v>6.1862815871420477E-3</v>
      </c>
      <c r="AN78" s="42">
        <f>Intermediate!DJ78</f>
        <v>6.7064938376169128E-2</v>
      </c>
      <c r="AO78" s="42">
        <f>Intermediate!DL78</f>
        <v>6.0594328008764121E-3</v>
      </c>
      <c r="AP78" s="42">
        <f t="shared" si="265"/>
        <v>0.83557543824521474</v>
      </c>
      <c r="AQ78" s="43">
        <f>Basicinfo!CD78+Basicinfo!CF78+Basicinfo!CI78+Basicinfo!CK78</f>
        <v>0</v>
      </c>
      <c r="AR78" s="83">
        <f t="shared" si="377"/>
        <v>0.83557543824521474</v>
      </c>
      <c r="AS78" s="19">
        <f>F78*86400*365/(Basicinfo!G78*1000000)*1000</f>
        <v>8.0296370538196591</v>
      </c>
      <c r="AT78" s="19">
        <f>G78*86400*365/(Basicinfo!G78*1000000)*1000</f>
        <v>336.90332318500128</v>
      </c>
      <c r="AU78" s="19">
        <f>H78*86400*365/(Basicinfo!G78*1000000)*1000</f>
        <v>2.3298647456503203</v>
      </c>
      <c r="AV78" s="19">
        <f>I78*86400*365/(Basicinfo!G78*1000000)*1000</f>
        <v>0</v>
      </c>
      <c r="AW78" s="19">
        <f>J78*86400*365/(Basicinfo!G78*1000000)*1000</f>
        <v>996.87510838197716</v>
      </c>
      <c r="AX78" s="53">
        <f>K78*86400*365/(Basicinfo!G78*1000000)*1000</f>
        <v>0.17387884617437852</v>
      </c>
      <c r="AY78" s="53">
        <f>L78*86400*365/(Basicinfo!G78*1000000)*1000</f>
        <v>0.23709427920135057</v>
      </c>
      <c r="AZ78" s="53">
        <f>M78*86400*365/(Basicinfo!G78*1000000)*1000</f>
        <v>0.14235476447875203</v>
      </c>
      <c r="BA78" s="19">
        <f t="shared" si="266"/>
        <v>1344.6912612563028</v>
      </c>
      <c r="BB78" s="19">
        <f>O78*86400*365/(Basicinfo!G78*1000000)*1000</f>
        <v>0</v>
      </c>
      <c r="BC78" s="53">
        <f t="shared" si="378"/>
        <v>1344.6912612563028</v>
      </c>
      <c r="BD78" s="56">
        <f>P78/(Basicinfo!G78*100)*1000</f>
        <v>5.4983483242832594E-2</v>
      </c>
      <c r="BE78" s="43">
        <f>Q78/(Basicinfo!G78*100)*1000</f>
        <v>108.77728607066747</v>
      </c>
      <c r="BF78" s="58">
        <f t="shared" si="379"/>
        <v>108.83226955391031</v>
      </c>
      <c r="BG78" s="61">
        <f>S78/(Basicinfo!G78*100)*1000000</f>
        <v>91.269224898327423</v>
      </c>
      <c r="BH78" s="19">
        <f>T78/(Basicinfo!G78*100)*1000000</f>
        <v>2480.4004747291901</v>
      </c>
      <c r="BI78" s="19">
        <f>U78/(Basicinfo!G78*100)*1000000</f>
        <v>17.153049484004029</v>
      </c>
      <c r="BJ78" s="19">
        <f>V78/(Basicinfo!G78*100)*1000000</f>
        <v>0.30828833100594139</v>
      </c>
      <c r="BK78" s="19">
        <f>W78/(Basicinfo!G78*100)*1000000</f>
        <v>2.7194321517666866</v>
      </c>
      <c r="BL78" s="19">
        <f>X78/(Basicinfo!G78*100)*1000000</f>
        <v>0</v>
      </c>
      <c r="BM78" s="19">
        <f>Y78/(Basicinfo!G78*100)*1000000</f>
        <v>8145.2211116178032</v>
      </c>
      <c r="BN78" s="53">
        <f>Z78/(Basicinfo!G78*100)*1000000</f>
        <v>2.3673937922839667</v>
      </c>
      <c r="BO78" s="53">
        <f>AA78/(Basicinfo!G78*100)*1000000</f>
        <v>37.428277946728159</v>
      </c>
      <c r="BP78" s="53">
        <f>AB78/(Basicinfo!G78*100)*1000000</f>
        <v>3.503418552993276</v>
      </c>
      <c r="BQ78" s="19">
        <f t="shared" si="267"/>
        <v>10780.370671504103</v>
      </c>
      <c r="BR78" s="19">
        <f>AD78/(Basicinfo!G78*100)*1000000</f>
        <v>0</v>
      </c>
      <c r="BS78" s="53">
        <f t="shared" si="380"/>
        <v>10780.370671504103</v>
      </c>
      <c r="BT78" s="56">
        <f>AF78/(Basicinfo!G78*100)*1000000</f>
        <v>2.3972518969351873</v>
      </c>
      <c r="BU78" s="43">
        <f>AG78/(Basicinfo!G78*100)*1000000</f>
        <v>8.7726906825345221</v>
      </c>
      <c r="BV78" s="43">
        <f>AH78/(Basicinfo!G78*100)*1000000</f>
        <v>3.494797118475481E-2</v>
      </c>
      <c r="BW78" s="43">
        <f>AI78/(Basicinfo!G78*100)*1000000</f>
        <v>0.232726731082742</v>
      </c>
      <c r="BX78" s="43">
        <f>AJ78/(Basicinfo!G78*100)*1000000</f>
        <v>49.117311751059667</v>
      </c>
      <c r="BY78" s="58">
        <f>AK78/(Basicinfo!G78*100)*1000000</f>
        <v>0</v>
      </c>
      <c r="BZ78" s="58">
        <f>AL78/(Basicinfo!G78*100)*1000000</f>
        <v>10.658081392851315</v>
      </c>
      <c r="CA78" s="58">
        <f>AM78/(Basicinfo!G78*100)*1000000</f>
        <v>0.58252578147074674</v>
      </c>
      <c r="CB78" s="58">
        <f>AN78/(Basicinfo!G78*100)*1000000</f>
        <v>6.3151111191034035</v>
      </c>
      <c r="CC78" s="58">
        <f>AO78/(Basicinfo!G78*100)*1000000</f>
        <v>0.57058117673410036</v>
      </c>
      <c r="CD78" s="58">
        <f t="shared" si="268"/>
        <v>78.681228502956429</v>
      </c>
      <c r="CE78" s="58">
        <f>AQ78/(Basicinfo!G78*100)*1000000</f>
        <v>0</v>
      </c>
      <c r="CF78" s="43">
        <f t="shared" si="381"/>
        <v>78.681228502956429</v>
      </c>
      <c r="CG78" s="84"/>
      <c r="CH78" s="84">
        <f t="shared" si="277"/>
        <v>0</v>
      </c>
      <c r="CI78" s="146">
        <f t="shared" si="152"/>
        <v>0.45982576828985444</v>
      </c>
      <c r="CJ78" s="200">
        <f>Intermediate!EW78+Intermediate!EY78+Intermediate!FD78</f>
        <v>51.991991238997095</v>
      </c>
      <c r="CK78" s="180">
        <f>Intermediate!FA78+Intermediate!FF78</f>
        <v>1.021679824056247</v>
      </c>
      <c r="CL78" s="180">
        <f t="shared" si="252"/>
        <v>0</v>
      </c>
      <c r="CM78" s="180">
        <f t="shared" si="253"/>
        <v>7.1936925425587539</v>
      </c>
      <c r="CN78" s="202">
        <f>Intermediate!EX78+Intermediate!EZ78+Intermediate!FE78</f>
        <v>44.346840136911673</v>
      </c>
      <c r="CO78" s="180">
        <f>Intermediate!FB78+Intermediate!FG78</f>
        <v>0.86866595737152674</v>
      </c>
      <c r="CP78" s="213">
        <f>Intermediate!EP78+Intermediate!EQ78+Intermediate!ER78+Intermediate!ES78+Intermediate!ET78+Intermediate!EU78+Intermediate!EV78+W78</f>
        <v>8.602209250218344</v>
      </c>
      <c r="CQ78" s="212">
        <f t="shared" si="278"/>
        <v>45.215506094283199</v>
      </c>
      <c r="CR78" s="212">
        <f t="shared" si="279"/>
        <v>60.207363605612095</v>
      </c>
      <c r="CS78" s="211">
        <f t="shared" si="254"/>
        <v>2.5141144121972478E-2</v>
      </c>
      <c r="CT78" s="212">
        <f t="shared" si="280"/>
        <v>114.05022009423561</v>
      </c>
      <c r="CU78" s="84"/>
      <c r="CV78" s="31">
        <f t="shared" si="281"/>
        <v>114.4849047184035</v>
      </c>
      <c r="CW78" s="31">
        <f>CH78/Basicinfo!$G78*1000/100</f>
        <v>0</v>
      </c>
      <c r="CX78" s="31">
        <f>CI78/Basicinfo!$G78*1000/100</f>
        <v>4.3299090292005404E-2</v>
      </c>
      <c r="CY78" s="31">
        <f>CS78/Basicinfo!$G78*1000/100</f>
        <v>2.3673937922839665E-3</v>
      </c>
      <c r="CZ78" s="31">
        <f>CN78/Basicinfo!$G78*1000/100</f>
        <v>4.1758813178187744</v>
      </c>
      <c r="DA78" s="31">
        <f>CO78/Basicinfo!$G78*1000/100</f>
        <v>8.1797168222446773E-2</v>
      </c>
      <c r="DB78" s="31">
        <f>CQ78/Basicinfo!$G78*1000/100</f>
        <v>4.2576784860412209</v>
      </c>
      <c r="DC78" s="31">
        <f>CJ78/Basicinfo!$G78*1000/100</f>
        <v>4.8957802680153968</v>
      </c>
      <c r="DD78" s="31">
        <f>CK78/Basicinfo!$G78*1000/100</f>
        <v>9.6205584814998912E-2</v>
      </c>
      <c r="DE78" s="31">
        <f>CM78/Basicinfo!$G78*1000/100</f>
        <v>0.67738775078136459</v>
      </c>
      <c r="DF78" s="31">
        <f>CR78/Basicinfo!$G78*1000/100</f>
        <v>5.669373603611759</v>
      </c>
      <c r="DG78" s="31">
        <f>CP78/Basicinfo!$G78*1000/100</f>
        <v>0.81001949155911679</v>
      </c>
      <c r="DH78" s="31">
        <f>CT78/Basicinfo!$G78*1000/100</f>
        <v>10.739438975004379</v>
      </c>
      <c r="DI78" s="31">
        <f>CV78/Basicinfo!$G78*1000/100</f>
        <v>10.780370671504102</v>
      </c>
      <c r="DJ78" s="31"/>
      <c r="DK78" s="188">
        <f t="shared" si="282"/>
        <v>0</v>
      </c>
      <c r="DL78" s="188">
        <f t="shared" si="283"/>
        <v>0.40317832610048171</v>
      </c>
      <c r="DM78" s="188">
        <f t="shared" si="284"/>
        <v>2.2043924247756162E-2</v>
      </c>
      <c r="DN78" s="188">
        <f t="shared" si="285"/>
        <v>38.883607677626109</v>
      </c>
      <c r="DO78" s="188">
        <f t="shared" si="286"/>
        <v>0.76165215345816883</v>
      </c>
      <c r="DP78" s="188">
        <f t="shared" si="287"/>
        <v>39.645259831084282</v>
      </c>
      <c r="DQ78" s="188">
        <f t="shared" si="288"/>
        <v>45.586927579831041</v>
      </c>
      <c r="DR78" s="188">
        <f t="shared" si="289"/>
        <v>0.89581574083072313</v>
      </c>
      <c r="DS78" s="188">
        <f t="shared" si="290"/>
        <v>6.3074780010199571</v>
      </c>
      <c r="DT78" s="188">
        <f t="shared" si="291"/>
        <v>52.79022132168172</v>
      </c>
      <c r="DU78" s="188">
        <f t="shared" si="292"/>
        <v>7.5424749229862478</v>
      </c>
      <c r="DV78" s="188">
        <f t="shared" si="293"/>
        <v>100</v>
      </c>
      <c r="DW78" s="188">
        <f t="shared" si="294"/>
        <v>100.38113440185272</v>
      </c>
      <c r="DY78" s="181">
        <f t="shared" si="295"/>
        <v>0</v>
      </c>
      <c r="DZ78" s="181">
        <f t="shared" si="269"/>
        <v>7.9310652764187584E-2</v>
      </c>
      <c r="EA78" s="185">
        <f t="shared" si="296"/>
        <v>0</v>
      </c>
      <c r="EB78" s="185">
        <f>AG78+AH78+AL78-Intermediate!FJ78-Intermediate!FM78</f>
        <v>9.9749738725543241E-2</v>
      </c>
      <c r="EC78" s="185">
        <f>AI78+AJ78-Intermediate!FK78</f>
        <v>8.6732702803904438E-5</v>
      </c>
      <c r="ED78" s="240">
        <f t="shared" si="297"/>
        <v>2.5458229904106365E-2</v>
      </c>
      <c r="EE78" s="240">
        <f>Intermediate!FJ78+Intermediate!FK78+Intermediate!FM78</f>
        <v>0.6309700841485737</v>
      </c>
      <c r="EF78" s="240">
        <f t="shared" si="298"/>
        <v>9.9836471428347062E-2</v>
      </c>
      <c r="EG78" s="240">
        <f t="shared" si="299"/>
        <v>7.9310652764187584E-2</v>
      </c>
      <c r="EH78" s="240">
        <f t="shared" si="300"/>
        <v>0.83557543824521474</v>
      </c>
      <c r="EI78" s="181">
        <f t="shared" si="301"/>
        <v>0.83557543824521474</v>
      </c>
      <c r="EK78" s="31">
        <f>DY78/Basicinfo!$G78*1000/100</f>
        <v>0</v>
      </c>
      <c r="EL78" s="31">
        <f>DZ78/Basicinfo!$G78*1000/100</f>
        <v>7.4682180773082505E-3</v>
      </c>
      <c r="EM78" s="220">
        <f>EG78/Basicinfo!$G78*1000/100</f>
        <v>7.4682180773082505E-3</v>
      </c>
      <c r="EN78" s="220">
        <f>ED78/Basicinfo!$G78*1000/100</f>
        <v>2.3972518969351876E-3</v>
      </c>
      <c r="EO78" s="220">
        <f>EF78/Basicinfo!$G78*1000/100</f>
        <v>9.4010137946125075E-3</v>
      </c>
      <c r="EP78" s="220">
        <f>EE78/Basicinfo!$G78*1000/100</f>
        <v>5.9414744734100487E-2</v>
      </c>
      <c r="EQ78" s="220">
        <f>EH78/Basicinfo!$G78*1000/100</f>
        <v>7.8681228502956432E-2</v>
      </c>
      <c r="ER78" s="31">
        <f>EI78/Basicinfo!$G78*1000/100</f>
        <v>7.8681228502956432E-2</v>
      </c>
      <c r="ET78" s="188">
        <f t="shared" si="302"/>
        <v>0</v>
      </c>
      <c r="EU78" s="188">
        <f t="shared" si="303"/>
        <v>9.49174055794977</v>
      </c>
      <c r="EV78" s="223">
        <f t="shared" si="304"/>
        <v>9.49174055794977</v>
      </c>
      <c r="EW78" s="223">
        <f t="shared" si="305"/>
        <v>3.0467901207784411</v>
      </c>
      <c r="EX78" s="223">
        <f t="shared" si="306"/>
        <v>11.948229550405744</v>
      </c>
      <c r="EY78" s="223">
        <f t="shared" si="307"/>
        <v>75.513239770866051</v>
      </c>
      <c r="EZ78" s="223">
        <f t="shared" si="308"/>
        <v>100</v>
      </c>
      <c r="FA78" s="188">
        <f t="shared" si="309"/>
        <v>100</v>
      </c>
      <c r="FC78" s="236"/>
      <c r="FD78" s="181">
        <f>IF((Intermediate!CL78+Intermediate!CM78*3)/4&gt;11,(Intermediate!CL78+Intermediate!CM78*9)/10,(Intermediate!CL78+Intermediate!CM78*3)/4)</f>
        <v>0.86492168164686767</v>
      </c>
      <c r="FF78" s="31">
        <f t="shared" si="310"/>
        <v>2.5458229904106365E-2</v>
      </c>
      <c r="FG78" s="31">
        <f t="shared" si="311"/>
        <v>9.3163833370663029E-2</v>
      </c>
      <c r="FH78" s="31">
        <f t="shared" si="312"/>
        <v>3.7113892213039594E-4</v>
      </c>
      <c r="FI78" s="31">
        <f>(AI78-(P78*450/1000000))*Parameters!$C$153</f>
        <v>1.7669928339892477E-3</v>
      </c>
      <c r="FJ78" s="31"/>
      <c r="FK78" s="31">
        <f t="shared" si="313"/>
        <v>0</v>
      </c>
      <c r="FL78" s="31">
        <f t="shared" si="314"/>
        <v>0.11318622243360471</v>
      </c>
      <c r="FM78" s="31">
        <f>AM78*Parameters!$C$154</f>
        <v>5.5676534284278432E-3</v>
      </c>
      <c r="FN78" s="31">
        <f>AN78*Parameters!$C$154</f>
        <v>6.0358444538552214E-2</v>
      </c>
      <c r="FO78" s="31">
        <f>AO78*Parameters!$C$154</f>
        <v>5.4534895207887712E-3</v>
      </c>
      <c r="FP78" s="31">
        <f>AQ78*Parameters!$C$155</f>
        <v>0</v>
      </c>
      <c r="FQ78" s="31">
        <f t="shared" si="315"/>
        <v>0.30532600495226259</v>
      </c>
      <c r="FS78" s="147">
        <f>DY78*Parameters!$C$155</f>
        <v>0</v>
      </c>
      <c r="FT78" s="147">
        <f>DZ78*Parameters!$C$154</f>
        <v>7.1379587487768834E-2</v>
      </c>
      <c r="FU78" s="181">
        <f t="shared" si="316"/>
        <v>0</v>
      </c>
      <c r="FV78" s="181">
        <f t="shared" si="317"/>
        <v>9.9749738725543241E-2</v>
      </c>
      <c r="FW78" s="31">
        <f t="shared" si="318"/>
        <v>1.7669928339892199E-3</v>
      </c>
      <c r="FX78" s="181">
        <f t="shared" si="319"/>
        <v>2.5458229904106365E-2</v>
      </c>
      <c r="FY78" s="147">
        <f>Intermediate!FJ78+Intermediate!FM78</f>
        <v>0.10697145600085491</v>
      </c>
      <c r="FZ78" s="181">
        <f t="shared" si="320"/>
        <v>0.10151673155953246</v>
      </c>
      <c r="GA78" s="147">
        <f t="shared" si="321"/>
        <v>7.1379587487768834E-2</v>
      </c>
      <c r="GB78" s="181">
        <f t="shared" si="322"/>
        <v>0.30532600495226259</v>
      </c>
      <c r="GD78" s="147">
        <f>IF('River loads'!CH78&gt;0.99,1,0)</f>
        <v>0</v>
      </c>
      <c r="GE78" s="147">
        <f t="shared" si="323"/>
        <v>0</v>
      </c>
      <c r="GF78" s="147">
        <f t="shared" si="324"/>
        <v>0</v>
      </c>
      <c r="GG78" s="147">
        <f t="shared" si="325"/>
        <v>0</v>
      </c>
      <c r="GH78" s="147">
        <f t="shared" si="326"/>
        <v>0</v>
      </c>
      <c r="GI78" s="147">
        <f t="shared" si="327"/>
        <v>0</v>
      </c>
      <c r="GJ78" s="147">
        <f t="shared" si="328"/>
        <v>0</v>
      </c>
      <c r="GK78" s="147">
        <f t="shared" si="329"/>
        <v>0</v>
      </c>
      <c r="GL78" s="147">
        <f t="shared" si="330"/>
        <v>0</v>
      </c>
      <c r="GM78" s="270">
        <f t="shared" si="270"/>
        <v>0</v>
      </c>
      <c r="GN78" s="270">
        <f t="shared" si="271"/>
        <v>0</v>
      </c>
      <c r="GO78" s="147">
        <f t="shared" si="331"/>
        <v>0</v>
      </c>
      <c r="GP78" s="147">
        <f t="shared" si="332"/>
        <v>0</v>
      </c>
      <c r="GQ78" s="147"/>
      <c r="GR78" s="147">
        <f t="shared" si="333"/>
        <v>0</v>
      </c>
      <c r="GS78" s="147">
        <f t="shared" si="334"/>
        <v>0</v>
      </c>
      <c r="GT78" s="147">
        <f t="shared" si="335"/>
        <v>0</v>
      </c>
      <c r="GU78" s="147">
        <f t="shared" si="336"/>
        <v>0</v>
      </c>
      <c r="GV78" s="147">
        <f t="shared" si="337"/>
        <v>0</v>
      </c>
      <c r="GW78" s="147">
        <f t="shared" si="338"/>
        <v>0</v>
      </c>
      <c r="GX78" s="147">
        <f t="shared" si="339"/>
        <v>0</v>
      </c>
      <c r="GY78" s="147">
        <f t="shared" si="340"/>
        <v>0</v>
      </c>
      <c r="GZ78" s="147">
        <f t="shared" si="272"/>
        <v>0</v>
      </c>
      <c r="HA78" s="147">
        <f t="shared" si="273"/>
        <v>0</v>
      </c>
      <c r="HB78" s="147">
        <f t="shared" si="341"/>
        <v>0</v>
      </c>
      <c r="HC78" s="147">
        <f t="shared" si="342"/>
        <v>0</v>
      </c>
      <c r="HD78" s="147"/>
      <c r="HE78" s="147">
        <f t="shared" si="343"/>
        <v>0</v>
      </c>
      <c r="HF78" s="147">
        <f t="shared" si="344"/>
        <v>0</v>
      </c>
      <c r="HG78" s="147">
        <f t="shared" si="345"/>
        <v>0</v>
      </c>
      <c r="HH78" s="147">
        <f t="shared" si="346"/>
        <v>0</v>
      </c>
      <c r="HI78" s="147">
        <f t="shared" si="347"/>
        <v>0</v>
      </c>
      <c r="HJ78" s="147">
        <f t="shared" si="348"/>
        <v>0</v>
      </c>
      <c r="HK78" s="147">
        <f t="shared" si="349"/>
        <v>0</v>
      </c>
      <c r="HL78" s="147">
        <f t="shared" si="350"/>
        <v>0</v>
      </c>
      <c r="HM78" s="147">
        <f t="shared" si="351"/>
        <v>0</v>
      </c>
      <c r="HN78" s="147">
        <f t="shared" si="352"/>
        <v>0</v>
      </c>
      <c r="HO78" s="147">
        <f t="shared" si="353"/>
        <v>0</v>
      </c>
      <c r="HQ78" s="147">
        <f t="shared" si="354"/>
        <v>0</v>
      </c>
      <c r="HR78" s="147">
        <f t="shared" si="355"/>
        <v>0</v>
      </c>
      <c r="HS78" s="147">
        <f t="shared" si="356"/>
        <v>0</v>
      </c>
      <c r="HT78" s="147">
        <f t="shared" si="357"/>
        <v>0</v>
      </c>
      <c r="HU78" s="147">
        <f t="shared" si="358"/>
        <v>0</v>
      </c>
      <c r="HV78" s="147">
        <f t="shared" si="359"/>
        <v>0</v>
      </c>
      <c r="HW78" s="147">
        <f t="shared" si="360"/>
        <v>0</v>
      </c>
      <c r="HX78" s="147">
        <f t="shared" si="361"/>
        <v>0</v>
      </c>
      <c r="HY78" s="147">
        <f t="shared" si="362"/>
        <v>0</v>
      </c>
      <c r="HZ78" s="147">
        <f t="shared" si="363"/>
        <v>0</v>
      </c>
      <c r="IB78" s="147">
        <f>IF('River loads'!CI78&gt;0.99,1,0)</f>
        <v>0</v>
      </c>
      <c r="IC78">
        <f t="shared" si="255"/>
        <v>0</v>
      </c>
      <c r="ID78">
        <f t="shared" si="256"/>
        <v>0</v>
      </c>
      <c r="IE78">
        <f t="shared" si="257"/>
        <v>0</v>
      </c>
      <c r="IF78">
        <f t="shared" si="258"/>
        <v>0</v>
      </c>
      <c r="IG78">
        <f t="shared" si="259"/>
        <v>0</v>
      </c>
      <c r="IH78">
        <f t="shared" si="260"/>
        <v>0</v>
      </c>
      <c r="II78">
        <f t="shared" si="261"/>
        <v>0</v>
      </c>
      <c r="IJ78">
        <f t="shared" si="262"/>
        <v>0</v>
      </c>
      <c r="IK78">
        <f t="shared" si="274"/>
        <v>0</v>
      </c>
      <c r="IL78">
        <f t="shared" si="275"/>
        <v>0</v>
      </c>
      <c r="IM78">
        <f t="shared" si="364"/>
        <v>0</v>
      </c>
      <c r="IN78">
        <f t="shared" si="365"/>
        <v>0</v>
      </c>
      <c r="IP78">
        <f t="shared" si="366"/>
        <v>0</v>
      </c>
      <c r="IQ78">
        <f t="shared" si="367"/>
        <v>0</v>
      </c>
      <c r="IR78">
        <f t="shared" si="368"/>
        <v>0</v>
      </c>
      <c r="IS78">
        <f t="shared" si="369"/>
        <v>0</v>
      </c>
      <c r="IT78">
        <f t="shared" si="370"/>
        <v>0</v>
      </c>
      <c r="IU78">
        <f t="shared" si="371"/>
        <v>0</v>
      </c>
      <c r="IV78">
        <f t="shared" si="372"/>
        <v>0</v>
      </c>
      <c r="IW78">
        <f t="shared" si="373"/>
        <v>0</v>
      </c>
      <c r="IX78">
        <f t="shared" si="374"/>
        <v>0</v>
      </c>
    </row>
    <row r="79" spans="1:258">
      <c r="A79" s="39" t="str">
        <f>Basicinfo!A79</f>
        <v>Salza</v>
      </c>
      <c r="B79" s="63">
        <f>Basicinfo!B79</f>
        <v>1500</v>
      </c>
      <c r="C79" s="63">
        <f>Basicinfo!C79</f>
        <v>1510</v>
      </c>
      <c r="D79" s="130">
        <f>Basicinfo!G79</f>
        <v>324.56349988800002</v>
      </c>
      <c r="E79" s="87">
        <f t="shared" si="276"/>
        <v>13.306742814273601</v>
      </c>
      <c r="F79" s="19">
        <f>Intermediate!AR79</f>
        <v>7.900374807547042E-2</v>
      </c>
      <c r="G79" s="19">
        <f>Intermediate!AU79</f>
        <v>3.3013971998608405</v>
      </c>
      <c r="H79" s="19">
        <f>Intermediate!AW79</f>
        <v>0.20610283824399314</v>
      </c>
      <c r="I79" s="19">
        <f>Intermediate!AZ79</f>
        <v>0</v>
      </c>
      <c r="J79" s="19">
        <f>Intermediate!BA79</f>
        <v>9.7124326568123536</v>
      </c>
      <c r="K79" s="19">
        <f>Intermediate!AC79</f>
        <v>1.6533101006964486E-3</v>
      </c>
      <c r="L79" s="19">
        <f>Intermediate!AO79</f>
        <v>2.8605480167835868E-3</v>
      </c>
      <c r="M79" s="19">
        <f>Intermediate!AP79</f>
        <v>3.2925131634625429E-3</v>
      </c>
      <c r="N79" s="19">
        <f t="shared" si="263"/>
        <v>13.306742814273601</v>
      </c>
      <c r="O79" s="19">
        <f>Basicinfo!CB79+Basicinfo!CG79</f>
        <v>0</v>
      </c>
      <c r="P79" s="56">
        <f>Intermediate!BK79-Intermediate!BI79</f>
        <v>14.15151412924115</v>
      </c>
      <c r="Q79" s="43">
        <f>Intermediate!BI79</f>
        <v>3528.7329220390461</v>
      </c>
      <c r="R79" s="88">
        <f t="shared" si="375"/>
        <v>3542.8844361682873</v>
      </c>
      <c r="S79" s="61">
        <f>Intermediate!F79*Intermediate!BO79/1000</f>
        <v>2.7313110500870703</v>
      </c>
      <c r="T79" s="19">
        <f>Intermediate!BU79*Intermediate!AU79*86.4*0.365</f>
        <v>73.509697076146665</v>
      </c>
      <c r="U79" s="19">
        <f>Intermediate!AW79*Intermediate!BS79*0.365*86.4</f>
        <v>4.5890710198215352</v>
      </c>
      <c r="V79" s="19">
        <f>(Basicinfo!BL79/1000000)*(Intermediate!BK79-Intermediate!BF79-Intermediate!BG79-Intermediate!BH79)*Intermediate!CV79</f>
        <v>7.9234974773676553E-2</v>
      </c>
      <c r="W79" s="19">
        <f>Intermediate!BI79*Parameters!$C$51/1000000</f>
        <v>8.8218323050976155E-2</v>
      </c>
      <c r="X79" s="19">
        <f>Intermediate!AZ79*Intermediate!CG79*86.4*0.365</f>
        <v>0</v>
      </c>
      <c r="Y79" s="19">
        <f>Intermediate!CM79*Intermediate!BA79*86.4*0.365+Parameters!$C$126*Intermediate!BB79*Basicinfo!P79/1000+Parameters!$C$127*Intermediate!BB79*Basicinfo!S79/1000</f>
        <v>270.58782761992495</v>
      </c>
      <c r="Z79" s="19">
        <f>Intermediate!DG79</f>
        <v>8.0101646303678581E-2</v>
      </c>
      <c r="AA79" s="19">
        <f>Intermediate!DI79</f>
        <v>1.2291451922499679</v>
      </c>
      <c r="AB79" s="19">
        <f>Intermediate!DK79</f>
        <v>0.33049132305545292</v>
      </c>
      <c r="AC79" s="19">
        <f t="shared" si="264"/>
        <v>353.225098225414</v>
      </c>
      <c r="AD79" s="19">
        <f>Basicinfo!CC79+Basicinfo!CE79+Basicinfo!CH79+Basicinfo!CJ79</f>
        <v>0</v>
      </c>
      <c r="AE79" s="87">
        <f t="shared" si="376"/>
        <v>353.225098225414</v>
      </c>
      <c r="AF79" s="56">
        <f>Intermediate!F79*Basicinfo!BD79/1000</f>
        <v>7.3583108831983934E-2</v>
      </c>
      <c r="AG79" s="43">
        <f>Intermediate!CA79*Intermediate!AU79*86.4*0.365</f>
        <v>0.34322353938072031</v>
      </c>
      <c r="AH79" s="43">
        <f>Intermediate!AW79*Intermediate!BZ79*0.365*86.4</f>
        <v>9.7494886602938514E-3</v>
      </c>
      <c r="AI79" s="43">
        <f>(Intermediate!CU79/1000000)*(Intermediate!BK79-Intermediate!BF79-Intermediate!BG79-Intermediate!BH79)*Intermediate!CW79</f>
        <v>5.5452594850750568E-2</v>
      </c>
      <c r="AJ79" s="43">
        <f>Intermediate!BF79*Parameters!$C$52/1000000+(Intermediate!BG79+Intermediate!BH79)*Intermediate!CX79/1000000</f>
        <v>1.6338425156452412</v>
      </c>
      <c r="AK79" s="43">
        <f>Intermediate!AZ79*Intermediate!CH79*86.4*0.365</f>
        <v>0</v>
      </c>
      <c r="AL79" s="58">
        <f>Intermediate!CR79*Intermediate!BA79*86.4*0.365</f>
        <v>0.39438462768808619</v>
      </c>
      <c r="AM79" s="43">
        <f>Intermediate!DH79</f>
        <v>2.396992155592087E-2</v>
      </c>
      <c r="AN79" s="42">
        <f>Intermediate!DJ79</f>
        <v>0.21635310507538852</v>
      </c>
      <c r="AO79" s="42">
        <f>Intermediate!DL79</f>
        <v>5.6290783077152177E-2</v>
      </c>
      <c r="AP79" s="42">
        <f t="shared" si="265"/>
        <v>2.8068496847655378</v>
      </c>
      <c r="AQ79" s="43">
        <f>Basicinfo!CD79+Basicinfo!CF79+Basicinfo!CI79+Basicinfo!CK79</f>
        <v>0</v>
      </c>
      <c r="AR79" s="83">
        <f t="shared" si="377"/>
        <v>2.8068496847655378</v>
      </c>
      <c r="AS79" s="19">
        <f>F79*86400*365/(Basicinfo!G79*1000000)*1000</f>
        <v>7.6763474641103695</v>
      </c>
      <c r="AT79" s="19">
        <f>G79*86400*365/(Basicinfo!G79*1000000)*1000</f>
        <v>320.77809775510366</v>
      </c>
      <c r="AU79" s="19">
        <f>H79*86400*365/(Basicinfo!G79*1000000)*1000</f>
        <v>20.025847358391999</v>
      </c>
      <c r="AV79" s="19">
        <f>I79*86400*365/(Basicinfo!G79*1000000)*1000</f>
        <v>0</v>
      </c>
      <c r="AW79" s="19">
        <f>J79*86400*365/(Basicinfo!G79*1000000)*1000</f>
        <v>943.70216112079459</v>
      </c>
      <c r="AX79" s="53">
        <f>K79*86400*365/(Basicinfo!G79*1000000)*1000</f>
        <v>0.16064279363993547</v>
      </c>
      <c r="AY79" s="53">
        <f>L79*86400*365/(Basicinfo!G79*1000000)*1000</f>
        <v>0.27794327547126169</v>
      </c>
      <c r="AZ79" s="53">
        <f>M79*86400*365/(Basicinfo!G79*1000000)*1000</f>
        <v>0.31991488617415459</v>
      </c>
      <c r="BA79" s="19">
        <f t="shared" si="266"/>
        <v>1292.9409546536858</v>
      </c>
      <c r="BB79" s="19">
        <f>O79*86400*365/(Basicinfo!G79*1000000)*1000</f>
        <v>0</v>
      </c>
      <c r="BC79" s="53">
        <f t="shared" si="378"/>
        <v>1292.9409546536858</v>
      </c>
      <c r="BD79" s="56">
        <f>P79/(Basicinfo!G79*100)*1000</f>
        <v>0.43601680824012984</v>
      </c>
      <c r="BE79" s="43">
        <f>Q79/(Basicinfo!G79*100)*1000</f>
        <v>108.72242021227702</v>
      </c>
      <c r="BF79" s="58">
        <f t="shared" si="379"/>
        <v>109.15843702051714</v>
      </c>
      <c r="BG79" s="61">
        <f>S79/(Basicinfo!G79*100)*1000000</f>
        <v>84.153364473503274</v>
      </c>
      <c r="BH79" s="19">
        <f>T79/(Basicinfo!G79*100)*1000000</f>
        <v>2264.8787402623311</v>
      </c>
      <c r="BI79" s="19">
        <f>U79/(Basicinfo!G79*100)*1000000</f>
        <v>141.39208572144207</v>
      </c>
      <c r="BJ79" s="19">
        <f>V79/(Basicinfo!G79*100)*1000000</f>
        <v>2.4412780488569683</v>
      </c>
      <c r="BK79" s="19">
        <f>W79/(Basicinfo!G79*100)*1000000</f>
        <v>2.7180605053069256</v>
      </c>
      <c r="BL79" s="19">
        <f>X79/(Basicinfo!G79*100)*1000000</f>
        <v>0</v>
      </c>
      <c r="BM79" s="19">
        <f>Y79/(Basicinfo!G79*100)*1000000</f>
        <v>8336.9765150209168</v>
      </c>
      <c r="BN79" s="53">
        <f>Z79/(Basicinfo!G79*100)*1000000</f>
        <v>2.4679807289273121</v>
      </c>
      <c r="BO79" s="53">
        <f>AA79/(Basicinfo!G79*100)*1000000</f>
        <v>37.870715366149298</v>
      </c>
      <c r="BP79" s="53">
        <f>AB79/(Basicinfo!G79*100)*1000000</f>
        <v>10.182639858440597</v>
      </c>
      <c r="BQ79" s="19">
        <f t="shared" si="267"/>
        <v>10883.081379985873</v>
      </c>
      <c r="BR79" s="19">
        <f>AD79/(Basicinfo!G79*100)*1000000</f>
        <v>0</v>
      </c>
      <c r="BS79" s="53">
        <f t="shared" si="380"/>
        <v>10883.081379985873</v>
      </c>
      <c r="BT79" s="56">
        <f>AF79/(Basicinfo!G79*100)*1000000</f>
        <v>2.2671406013731028</v>
      </c>
      <c r="BU79" s="43">
        <f>AG79/(Basicinfo!G79*100)*1000000</f>
        <v>10.574927233011707</v>
      </c>
      <c r="BV79" s="43">
        <f>AH79/(Basicinfo!G79*100)*1000000</f>
        <v>0.30038771037588002</v>
      </c>
      <c r="BW79" s="43">
        <f>AI79/(Basicinfo!G79*100)*1000000</f>
        <v>1.7085283733348355</v>
      </c>
      <c r="BX79" s="43">
        <f>AJ79/(Basicinfo!G79*100)*1000000</f>
        <v>50.339687494405425</v>
      </c>
      <c r="BY79" s="58">
        <f>AK79/(Basicinfo!G79*100)*1000000</f>
        <v>0</v>
      </c>
      <c r="BZ79" s="58">
        <f>AL79/(Basicinfo!G79*100)*1000000</f>
        <v>12.151231664194526</v>
      </c>
      <c r="CA79" s="58">
        <f>AM79/(Basicinfo!G79*100)*1000000</f>
        <v>0.73852794797296628</v>
      </c>
      <c r="CB79" s="58">
        <f>AN79/(Basicinfo!G79*100)*1000000</f>
        <v>6.6659715325366964</v>
      </c>
      <c r="CC79" s="58">
        <f>AO79/(Basicinfo!G79*100)*1000000</f>
        <v>1.7343534653951209</v>
      </c>
      <c r="CD79" s="58">
        <f t="shared" si="268"/>
        <v>86.480756022600261</v>
      </c>
      <c r="CE79" s="58">
        <f>AQ79/(Basicinfo!G79*100)*1000000</f>
        <v>0</v>
      </c>
      <c r="CF79" s="43">
        <f t="shared" si="381"/>
        <v>86.480756022600261</v>
      </c>
      <c r="CG79" s="84"/>
      <c r="CH79" s="84">
        <f t="shared" si="277"/>
        <v>0</v>
      </c>
      <c r="CI79" s="146">
        <f t="shared" si="152"/>
        <v>1.6397381616090994</v>
      </c>
      <c r="CJ79" s="200">
        <f>Intermediate!EW79+Intermediate!EY79+Intermediate!FD79</f>
        <v>145.3643114446125</v>
      </c>
      <c r="CK79" s="180">
        <f>Intermediate!FA79+Intermediate!FF79</f>
        <v>4.2165102941683115</v>
      </c>
      <c r="CL79" s="180">
        <f t="shared" si="252"/>
        <v>0</v>
      </c>
      <c r="CM79" s="180">
        <f t="shared" si="253"/>
        <v>31.389899691274493</v>
      </c>
      <c r="CN79" s="202">
        <f>Intermediate!EX79+Intermediate!EZ79+Intermediate!FE79</f>
        <v>129.00278518752444</v>
      </c>
      <c r="CO79" s="180">
        <f>Intermediate!FB79+Intermediate!FG79</f>
        <v>3.7247247766179998</v>
      </c>
      <c r="CP79" s="213">
        <f>Intermediate!EP79+Intermediate!EQ79+Intermediate!ER79+Intermediate!ES79+Intermediate!ET79+Intermediate!EU79+Intermediate!EV79+W79</f>
        <v>37.887128669607165</v>
      </c>
      <c r="CQ79" s="212">
        <f t="shared" si="278"/>
        <v>132.72750996414243</v>
      </c>
      <c r="CR79" s="212">
        <f t="shared" si="279"/>
        <v>180.97072143005531</v>
      </c>
      <c r="CS79" s="211">
        <f t="shared" si="254"/>
        <v>8.0101646303678581E-2</v>
      </c>
      <c r="CT79" s="212">
        <f t="shared" si="280"/>
        <v>351.66546171010862</v>
      </c>
      <c r="CU79" s="84"/>
      <c r="CV79" s="31">
        <f t="shared" si="281"/>
        <v>353.225098225414</v>
      </c>
      <c r="CW79" s="31">
        <f>CH79/Basicinfo!$G79*1000/100</f>
        <v>0</v>
      </c>
      <c r="CX79" s="31">
        <f>CI79/Basicinfo!$G79*1000/100</f>
        <v>5.0521335953517203E-2</v>
      </c>
      <c r="CY79" s="31">
        <f>CS79/Basicinfo!$G79*1000/100</f>
        <v>2.467980728927312E-3</v>
      </c>
      <c r="CZ79" s="31">
        <f>CN79/Basicinfo!$G79*1000/100</f>
        <v>3.9746547357309301</v>
      </c>
      <c r="DA79" s="31">
        <f>CO79/Basicinfo!$G79*1000/100</f>
        <v>0.11476104915997404</v>
      </c>
      <c r="DB79" s="31">
        <f>CQ79/Basicinfo!$G79*1000/100</f>
        <v>4.0894157848909041</v>
      </c>
      <c r="DC79" s="31">
        <f>CJ79/Basicinfo!$G79*1000/100</f>
        <v>4.4787633697188571</v>
      </c>
      <c r="DD79" s="31">
        <f>CK79/Basicinfo!$G79*1000/100</f>
        <v>0.12991326183083862</v>
      </c>
      <c r="DE79" s="31">
        <f>CM79/Basicinfo!$G79*1000/100</f>
        <v>0.96714201387729926</v>
      </c>
      <c r="DF79" s="31">
        <f>CR79/Basicinfo!$G79*1000/100</f>
        <v>5.5758186454269953</v>
      </c>
      <c r="DG79" s="31">
        <f>CP79/Basicinfo!$G79*1000/100</f>
        <v>1.1673256137144568</v>
      </c>
      <c r="DH79" s="31">
        <f>CT79/Basicinfo!$G79*1000/100</f>
        <v>10.835028024761284</v>
      </c>
      <c r="DI79" s="31">
        <f>CV79/Basicinfo!$G79*1000/100</f>
        <v>10.883081379985873</v>
      </c>
      <c r="DJ79" s="31"/>
      <c r="DK79" s="188">
        <f t="shared" si="282"/>
        <v>0</v>
      </c>
      <c r="DL79" s="188">
        <f t="shared" si="283"/>
        <v>0.4662778521482438</v>
      </c>
      <c r="DM79" s="188">
        <f t="shared" si="284"/>
        <v>2.2777797374286774E-2</v>
      </c>
      <c r="DN79" s="188">
        <f t="shared" si="285"/>
        <v>36.683382143983877</v>
      </c>
      <c r="DO79" s="188">
        <f t="shared" si="286"/>
        <v>1.0591670727358586</v>
      </c>
      <c r="DP79" s="188">
        <f t="shared" si="287"/>
        <v>37.742549216719738</v>
      </c>
      <c r="DQ79" s="188">
        <f t="shared" si="288"/>
        <v>41.335964793847715</v>
      </c>
      <c r="DR79" s="188">
        <f t="shared" si="289"/>
        <v>1.1990117749021776</v>
      </c>
      <c r="DS79" s="188">
        <f t="shared" si="290"/>
        <v>8.9260684113330413</v>
      </c>
      <c r="DT79" s="188">
        <f t="shared" si="291"/>
        <v>51.461044980082924</v>
      </c>
      <c r="DU79" s="188">
        <f t="shared" si="292"/>
        <v>10.77362800582304</v>
      </c>
      <c r="DV79" s="188">
        <f t="shared" si="293"/>
        <v>100</v>
      </c>
      <c r="DW79" s="188">
        <f t="shared" si="294"/>
        <v>100.44350005477393</v>
      </c>
      <c r="DY79" s="181">
        <f t="shared" si="295"/>
        <v>0</v>
      </c>
      <c r="DZ79" s="181">
        <f t="shared" si="269"/>
        <v>0.29661380970846157</v>
      </c>
      <c r="EA79" s="185">
        <f t="shared" si="296"/>
        <v>0</v>
      </c>
      <c r="EB79" s="185">
        <f>AG79+AH79+AL79-Intermediate!FJ79-Intermediate!FM79</f>
        <v>0.4230766185216891</v>
      </c>
      <c r="EC79" s="185">
        <f>AI79+AJ79-Intermediate!FK79</f>
        <v>4.3503813371765343E-2</v>
      </c>
      <c r="ED79" s="240">
        <f t="shared" si="297"/>
        <v>7.3583108831983934E-2</v>
      </c>
      <c r="EE79" s="240">
        <f>Intermediate!FJ79+Intermediate!FK79+Intermediate!FM79</f>
        <v>1.9700723343316378</v>
      </c>
      <c r="EF79" s="240">
        <f t="shared" si="298"/>
        <v>0.46658043189345411</v>
      </c>
      <c r="EG79" s="240">
        <f t="shared" si="299"/>
        <v>0.29661380970846157</v>
      </c>
      <c r="EH79" s="240">
        <f t="shared" si="300"/>
        <v>2.8068496847655373</v>
      </c>
      <c r="EI79" s="181">
        <f t="shared" si="301"/>
        <v>2.8068496847655378</v>
      </c>
      <c r="EK79" s="31">
        <f>DY79/Basicinfo!$G79*1000/100</f>
        <v>0</v>
      </c>
      <c r="EL79" s="31">
        <f>DZ79/Basicinfo!$G79*1000/100</f>
        <v>9.1388529459047827E-3</v>
      </c>
      <c r="EM79" s="220">
        <f>EG79/Basicinfo!$G79*1000/100</f>
        <v>9.1388529459047827E-3</v>
      </c>
      <c r="EN79" s="220">
        <f>ED79/Basicinfo!$G79*1000/100</f>
        <v>2.2671406013731027E-3</v>
      </c>
      <c r="EO79" s="220">
        <f>EF79/Basicinfo!$G79*1000/100</f>
        <v>1.4375628561266474E-2</v>
      </c>
      <c r="EP79" s="220">
        <f>EE79/Basicinfo!$G79*1000/100</f>
        <v>6.0699133914055896E-2</v>
      </c>
      <c r="EQ79" s="220">
        <f>EH79/Basicinfo!$G79*1000/100</f>
        <v>8.6480756022600247E-2</v>
      </c>
      <c r="ER79" s="31">
        <f>EI79/Basicinfo!$G79*1000/100</f>
        <v>8.6480756022600275E-2</v>
      </c>
      <c r="ET79" s="188">
        <f t="shared" si="302"/>
        <v>0</v>
      </c>
      <c r="EU79" s="188">
        <f t="shared" si="303"/>
        <v>10.567498905209037</v>
      </c>
      <c r="EV79" s="223">
        <f t="shared" si="304"/>
        <v>10.567498905209037</v>
      </c>
      <c r="EW79" s="223">
        <f t="shared" si="305"/>
        <v>2.6215550206113187</v>
      </c>
      <c r="EX79" s="223">
        <f t="shared" si="306"/>
        <v>16.622921933649202</v>
      </c>
      <c r="EY79" s="223">
        <f t="shared" si="307"/>
        <v>70.18802414053043</v>
      </c>
      <c r="EZ79" s="223">
        <f t="shared" si="308"/>
        <v>99.999999999999972</v>
      </c>
      <c r="FA79" s="188">
        <f t="shared" si="309"/>
        <v>100</v>
      </c>
      <c r="FC79" s="236">
        <f>Basicinfo!CT79</f>
        <v>0.85580645161290325</v>
      </c>
      <c r="FD79" s="181">
        <f>IF((Intermediate!CL79+Intermediate!CM79*3)/4&gt;11,(Intermediate!CL79+Intermediate!CM79*9)/10,(Intermediate!CL79+Intermediate!CM79*3)/4)</f>
        <v>0.94312771263549822</v>
      </c>
      <c r="FF79" s="31">
        <f t="shared" si="310"/>
        <v>7.3583108831983934E-2</v>
      </c>
      <c r="FG79" s="31">
        <f t="shared" si="311"/>
        <v>0.34322353938072031</v>
      </c>
      <c r="FH79" s="31">
        <f t="shared" si="312"/>
        <v>9.7494886602938514E-3</v>
      </c>
      <c r="FI79" s="31">
        <f>(AI79-(P79*450/1000000))*Parameters!$C$153</f>
        <v>3.9267530794073642E-2</v>
      </c>
      <c r="FJ79" s="31"/>
      <c r="FK79" s="31">
        <f t="shared" si="313"/>
        <v>0</v>
      </c>
      <c r="FL79" s="31">
        <f t="shared" si="314"/>
        <v>0.39438462768808619</v>
      </c>
      <c r="FM79" s="31">
        <f>AM79*Parameters!$C$154</f>
        <v>2.1572929400328785E-2</v>
      </c>
      <c r="FN79" s="31">
        <f>AN79*Parameters!$C$154</f>
        <v>0.19471779456784968</v>
      </c>
      <c r="FO79" s="31">
        <f>AO79*Parameters!$C$154</f>
        <v>5.066170476943696E-2</v>
      </c>
      <c r="FP79" s="31">
        <f>AQ79*Parameters!$C$155</f>
        <v>0</v>
      </c>
      <c r="FQ79" s="31">
        <f t="shared" si="315"/>
        <v>1.1271607240927732</v>
      </c>
      <c r="FS79" s="147">
        <f>DY79*Parameters!$C$155</f>
        <v>0</v>
      </c>
      <c r="FT79" s="147">
        <f>DZ79*Parameters!$C$154</f>
        <v>0.26695242873761543</v>
      </c>
      <c r="FU79" s="181">
        <f t="shared" si="316"/>
        <v>0</v>
      </c>
      <c r="FV79" s="181">
        <f t="shared" si="317"/>
        <v>0.4230766185216891</v>
      </c>
      <c r="FW79" s="31">
        <f t="shared" si="318"/>
        <v>3.9267530794073358E-2</v>
      </c>
      <c r="FX79" s="181">
        <f t="shared" si="319"/>
        <v>7.3583108831983934E-2</v>
      </c>
      <c r="FY79" s="147">
        <f>Intermediate!FJ79+Intermediate!FM79</f>
        <v>0.32428103720741136</v>
      </c>
      <c r="FZ79" s="181">
        <f t="shared" si="320"/>
        <v>0.46234414931576245</v>
      </c>
      <c r="GA79" s="147">
        <f t="shared" si="321"/>
        <v>0.26695242873761543</v>
      </c>
      <c r="GB79" s="181">
        <f t="shared" si="322"/>
        <v>1.1271607240927732</v>
      </c>
      <c r="GD79" s="147">
        <f>IF('River loads'!CH79&gt;0.99,1,0)</f>
        <v>0</v>
      </c>
      <c r="GE79" s="147">
        <f t="shared" si="323"/>
        <v>0</v>
      </c>
      <c r="GF79" s="147">
        <f t="shared" si="324"/>
        <v>0</v>
      </c>
      <c r="GG79" s="147">
        <f t="shared" si="325"/>
        <v>0</v>
      </c>
      <c r="GH79" s="147">
        <f t="shared" si="326"/>
        <v>0</v>
      </c>
      <c r="GI79" s="147">
        <f t="shared" si="327"/>
        <v>0</v>
      </c>
      <c r="GJ79" s="147">
        <f t="shared" si="328"/>
        <v>0</v>
      </c>
      <c r="GK79" s="147">
        <f t="shared" si="329"/>
        <v>0</v>
      </c>
      <c r="GL79" s="147">
        <f t="shared" si="330"/>
        <v>0</v>
      </c>
      <c r="GM79" s="270">
        <f t="shared" si="270"/>
        <v>0</v>
      </c>
      <c r="GN79" s="270">
        <f t="shared" si="271"/>
        <v>0</v>
      </c>
      <c r="GO79" s="147">
        <f t="shared" si="331"/>
        <v>0</v>
      </c>
      <c r="GP79" s="147">
        <f t="shared" si="332"/>
        <v>0</v>
      </c>
      <c r="GQ79" s="147"/>
      <c r="GR79" s="147">
        <f t="shared" si="333"/>
        <v>0</v>
      </c>
      <c r="GS79" s="147">
        <f t="shared" si="334"/>
        <v>0</v>
      </c>
      <c r="GT79" s="147">
        <f t="shared" si="335"/>
        <v>0</v>
      </c>
      <c r="GU79" s="147">
        <f t="shared" si="336"/>
        <v>0</v>
      </c>
      <c r="GV79" s="147">
        <f t="shared" si="337"/>
        <v>0</v>
      </c>
      <c r="GW79" s="147">
        <f t="shared" si="338"/>
        <v>0</v>
      </c>
      <c r="GX79" s="147">
        <f t="shared" si="339"/>
        <v>0</v>
      </c>
      <c r="GY79" s="147">
        <f t="shared" si="340"/>
        <v>0</v>
      </c>
      <c r="GZ79" s="147">
        <f t="shared" si="272"/>
        <v>0</v>
      </c>
      <c r="HA79" s="147">
        <f t="shared" si="273"/>
        <v>0</v>
      </c>
      <c r="HB79" s="147">
        <f t="shared" si="341"/>
        <v>0</v>
      </c>
      <c r="HC79" s="147">
        <f t="shared" si="342"/>
        <v>0</v>
      </c>
      <c r="HD79" s="147"/>
      <c r="HE79" s="147">
        <f t="shared" si="343"/>
        <v>0</v>
      </c>
      <c r="HF79" s="147">
        <f t="shared" si="344"/>
        <v>0</v>
      </c>
      <c r="HG79" s="147">
        <f t="shared" si="345"/>
        <v>0</v>
      </c>
      <c r="HH79" s="147">
        <f t="shared" si="346"/>
        <v>0</v>
      </c>
      <c r="HI79" s="147">
        <f t="shared" si="347"/>
        <v>0</v>
      </c>
      <c r="HJ79" s="147">
        <f t="shared" si="348"/>
        <v>0</v>
      </c>
      <c r="HK79" s="147">
        <f t="shared" si="349"/>
        <v>0</v>
      </c>
      <c r="HL79" s="147">
        <f t="shared" si="350"/>
        <v>0</v>
      </c>
      <c r="HM79" s="147">
        <f t="shared" si="351"/>
        <v>0</v>
      </c>
      <c r="HN79" s="147">
        <f t="shared" si="352"/>
        <v>0</v>
      </c>
      <c r="HO79" s="147">
        <f t="shared" si="353"/>
        <v>0</v>
      </c>
      <c r="HQ79" s="147">
        <f t="shared" si="354"/>
        <v>0</v>
      </c>
      <c r="HR79" s="147">
        <f t="shared" si="355"/>
        <v>0</v>
      </c>
      <c r="HS79" s="147">
        <f t="shared" si="356"/>
        <v>0</v>
      </c>
      <c r="HT79" s="147">
        <f t="shared" si="357"/>
        <v>0</v>
      </c>
      <c r="HU79" s="147">
        <f t="shared" si="358"/>
        <v>0</v>
      </c>
      <c r="HV79" s="147">
        <f t="shared" si="359"/>
        <v>0</v>
      </c>
      <c r="HW79" s="147">
        <f t="shared" si="360"/>
        <v>0</v>
      </c>
      <c r="HX79" s="147">
        <f t="shared" si="361"/>
        <v>0</v>
      </c>
      <c r="HY79" s="147">
        <f t="shared" si="362"/>
        <v>0</v>
      </c>
      <c r="HZ79" s="147">
        <f t="shared" si="363"/>
        <v>0</v>
      </c>
      <c r="IB79" s="147">
        <f>IF('River loads'!CI79&gt;0.99,1,0)</f>
        <v>0</v>
      </c>
      <c r="IC79">
        <f t="shared" si="255"/>
        <v>0</v>
      </c>
      <c r="ID79">
        <f t="shared" si="256"/>
        <v>0</v>
      </c>
      <c r="IE79">
        <f t="shared" si="257"/>
        <v>0</v>
      </c>
      <c r="IF79">
        <f t="shared" si="258"/>
        <v>0</v>
      </c>
      <c r="IG79">
        <f t="shared" si="259"/>
        <v>0</v>
      </c>
      <c r="IH79">
        <f t="shared" si="260"/>
        <v>0</v>
      </c>
      <c r="II79">
        <f t="shared" si="261"/>
        <v>0</v>
      </c>
      <c r="IJ79">
        <f t="shared" si="262"/>
        <v>0</v>
      </c>
      <c r="IK79">
        <f t="shared" si="274"/>
        <v>0</v>
      </c>
      <c r="IL79">
        <f t="shared" si="275"/>
        <v>0</v>
      </c>
      <c r="IM79">
        <f t="shared" si="364"/>
        <v>0</v>
      </c>
      <c r="IN79">
        <f t="shared" si="365"/>
        <v>0</v>
      </c>
      <c r="IP79">
        <f t="shared" si="366"/>
        <v>0</v>
      </c>
      <c r="IQ79">
        <f t="shared" si="367"/>
        <v>0</v>
      </c>
      <c r="IR79">
        <f t="shared" si="368"/>
        <v>0</v>
      </c>
      <c r="IS79">
        <f t="shared" si="369"/>
        <v>0</v>
      </c>
      <c r="IT79">
        <f t="shared" si="370"/>
        <v>0</v>
      </c>
      <c r="IU79">
        <f t="shared" si="371"/>
        <v>0</v>
      </c>
      <c r="IV79">
        <f t="shared" si="372"/>
        <v>0</v>
      </c>
      <c r="IW79">
        <f t="shared" si="373"/>
        <v>0</v>
      </c>
      <c r="IX79">
        <f t="shared" si="374"/>
        <v>0</v>
      </c>
    </row>
    <row r="80" spans="1:258">
      <c r="A80" s="39" t="str">
        <f>Basicinfo!A80</f>
        <v>Salza</v>
      </c>
      <c r="B80" s="63">
        <f>Basicinfo!B80</f>
        <v>1510</v>
      </c>
      <c r="C80" s="63">
        <f>Basicinfo!C80</f>
        <v>4070</v>
      </c>
      <c r="D80" s="130">
        <f>Basicinfo!G80</f>
        <v>321.72712290599998</v>
      </c>
      <c r="E80" s="87">
        <f t="shared" si="276"/>
        <v>9.0472016785220593</v>
      </c>
      <c r="F80" s="19">
        <f>Intermediate!AR80</f>
        <v>6.5422403031976495E-2</v>
      </c>
      <c r="G80" s="19">
        <f>Intermediate!AU80</f>
        <v>2.0385796348667382</v>
      </c>
      <c r="H80" s="19">
        <f>Intermediate!AW80</f>
        <v>7.210593898048509E-2</v>
      </c>
      <c r="I80" s="19">
        <f>Intermediate!AZ80</f>
        <v>0</v>
      </c>
      <c r="J80" s="19">
        <f>Intermediate!BA80</f>
        <v>6.8482054231487046</v>
      </c>
      <c r="K80" s="19">
        <f>Intermediate!AC80</f>
        <v>2.8942378569258203E-3</v>
      </c>
      <c r="L80" s="19">
        <f>Intermediate!AO80</f>
        <v>4.5011782093473387E-3</v>
      </c>
      <c r="M80" s="19">
        <f>Intermediate!AP80</f>
        <v>5.3560875251260865E-3</v>
      </c>
      <c r="N80" s="19">
        <f t="shared" si="263"/>
        <v>9.0370649036193029</v>
      </c>
      <c r="O80" s="19">
        <f>Basicinfo!CB80+Basicinfo!CG80</f>
        <v>1.0136774902756638E-2</v>
      </c>
      <c r="P80" s="56">
        <f>Intermediate!BK80-Intermediate!BI80</f>
        <v>9.869990550332659</v>
      </c>
      <c r="Q80" s="43">
        <f>Intermediate!BI80</f>
        <v>3474.2466832226801</v>
      </c>
      <c r="R80" s="88">
        <f t="shared" si="375"/>
        <v>3484.1166737730127</v>
      </c>
      <c r="S80" s="61">
        <f>Intermediate!F80*Intermediate!BO80/1000</f>
        <v>2.466727205307309</v>
      </c>
      <c r="T80" s="19">
        <f>Intermediate!BU80*Intermediate!AU80*86.4*0.365</f>
        <v>48.783059816967352</v>
      </c>
      <c r="U80" s="19">
        <f>Intermediate!AW80*Intermediate!BS80*0.365*86.4</f>
        <v>1.7253967219187911</v>
      </c>
      <c r="V80" s="19">
        <f>(Basicinfo!BL80/1000000)*(Intermediate!BK80-Intermediate!BF80-Intermediate!BG80-Intermediate!BH80)*Intermediate!CV80</f>
        <v>5.5469382303827884E-2</v>
      </c>
      <c r="W80" s="19">
        <f>Intermediate!BI80*Parameters!$C$51/1000000</f>
        <v>8.6856167080566996E-2</v>
      </c>
      <c r="X80" s="19">
        <f>Intermediate!AZ80*Intermediate!CG80*86.4*0.365</f>
        <v>0</v>
      </c>
      <c r="Y80" s="19">
        <f>Intermediate!CM80*Intermediate!BA80*86.4*0.365+Parameters!$C$126*Intermediate!BB80*Basicinfo!P80/1000+Parameters!$C$127*Intermediate!BB80*Basicinfo!S80/1000</f>
        <v>258.13563384875192</v>
      </c>
      <c r="Z80" s="19">
        <f>Intermediate!DG80</f>
        <v>0.14615906868561823</v>
      </c>
      <c r="AA80" s="19">
        <f>Intermediate!DI80</f>
        <v>1.8562190434411263</v>
      </c>
      <c r="AB80" s="19">
        <f>Intermediate!DK80</f>
        <v>0.60845245975317197</v>
      </c>
      <c r="AC80" s="19">
        <f t="shared" si="264"/>
        <v>313.86397371420964</v>
      </c>
      <c r="AD80" s="19">
        <f>Basicinfo!CC80+Basicinfo!CE80+Basicinfo!CH80+Basicinfo!CJ80</f>
        <v>5.2816266666666669</v>
      </c>
      <c r="AE80" s="87">
        <f t="shared" si="376"/>
        <v>319.14560038087632</v>
      </c>
      <c r="AF80" s="56">
        <f>Intermediate!F80*Basicinfo!BD80/1000</f>
        <v>6.6185913348820055E-2</v>
      </c>
      <c r="AG80" s="43">
        <f>Intermediate!CA80*Intermediate!AU80*86.4*0.365</f>
        <v>0.27531204195940029</v>
      </c>
      <c r="AH80" s="43">
        <f>Intermediate!AW80*Intermediate!BZ80*0.365*86.4</f>
        <v>3.4108993375328669E-3</v>
      </c>
      <c r="AI80" s="43">
        <f>(Intermediate!CU80/1000000)*(Intermediate!BK80-Intermediate!BF80-Intermediate!BG80-Intermediate!BH80)*Intermediate!CW80</f>
        <v>4.6111132143913491E-2</v>
      </c>
      <c r="AJ80" s="43">
        <f>Intermediate!BF80*Parameters!$C$52/1000000+(Intermediate!BG80+Intermediate!BH80)*Intermediate!CX80/1000000</f>
        <v>1.5807239210543207</v>
      </c>
      <c r="AK80" s="43">
        <f>Intermediate!AZ80*Intermediate!CH80*86.4*0.365</f>
        <v>0</v>
      </c>
      <c r="AL80" s="58">
        <f>Intermediate!CR80*Intermediate!BA80*86.4*0.365</f>
        <v>0.61385318520925825</v>
      </c>
      <c r="AM80" s="43">
        <f>Intermediate!DH80</f>
        <v>4.2073227750565427E-2</v>
      </c>
      <c r="AN80" s="42">
        <f>Intermediate!DJ80</f>
        <v>0.32681019962416263</v>
      </c>
      <c r="AO80" s="42">
        <f>Intermediate!DL80</f>
        <v>0.10020815077965842</v>
      </c>
      <c r="AP80" s="42">
        <f t="shared" si="265"/>
        <v>3.0546886712076318</v>
      </c>
      <c r="AQ80" s="43">
        <f>Basicinfo!CD80+Basicinfo!CF80+Basicinfo!CI80+Basicinfo!CK80</f>
        <v>0.9754666666666667</v>
      </c>
      <c r="AR80" s="83">
        <f t="shared" si="377"/>
        <v>4.030155337874298</v>
      </c>
      <c r="AS80" s="19">
        <f>F80*86400*365/(Basicinfo!G80*1000000)*1000</f>
        <v>6.4127664568063505</v>
      </c>
      <c r="AT80" s="19">
        <f>G80*86400*365/(Basicinfo!G80*1000000)*1000</f>
        <v>199.82352368824331</v>
      </c>
      <c r="AU80" s="19">
        <f>H80*86400*365/(Basicinfo!G80*1000000)*1000</f>
        <v>7.0678930366494468</v>
      </c>
      <c r="AV80" s="19">
        <f>I80*86400*365/(Basicinfo!G80*1000000)*1000</f>
        <v>0</v>
      </c>
      <c r="AW80" s="19">
        <f>J80*86400*365/(Basicinfo!G80*1000000)*1000</f>
        <v>671.26763909027579</v>
      </c>
      <c r="AX80" s="53">
        <f>K80*86400*365/(Basicinfo!G80*1000000)*1000</f>
        <v>0.28369596020252263</v>
      </c>
      <c r="AY80" s="53">
        <f>L80*86400*365/(Basicinfo!G80*1000000)*1000</f>
        <v>0.44120978899081326</v>
      </c>
      <c r="AZ80" s="53">
        <f>M80*86400*365/(Basicinfo!G80*1000000)*1000</f>
        <v>0.5250088169959084</v>
      </c>
      <c r="BA80" s="19">
        <f t="shared" si="266"/>
        <v>885.82173683816416</v>
      </c>
      <c r="BB80" s="19">
        <f>O80*86400*365/(Basicinfo!G80*1000000)*1000</f>
        <v>0.993616361735014</v>
      </c>
      <c r="BC80" s="53">
        <f t="shared" si="378"/>
        <v>886.81535319989916</v>
      </c>
      <c r="BD80" s="56">
        <f>P80/(Basicinfo!G80*100)*1000</f>
        <v>0.30678142586120744</v>
      </c>
      <c r="BE80" s="43">
        <f>Q80/(Basicinfo!G80*100)*1000</f>
        <v>107.98737302101078</v>
      </c>
      <c r="BF80" s="58">
        <f t="shared" si="379"/>
        <v>108.29415444687199</v>
      </c>
      <c r="BG80" s="61">
        <f>S80/(Basicinfo!G80*100)*1000000</f>
        <v>76.671409703558652</v>
      </c>
      <c r="BH80" s="19">
        <f>T80/(Basicinfo!G80*100)*1000000</f>
        <v>1516.2868264364658</v>
      </c>
      <c r="BI80" s="19">
        <f>U80/(Basicinfo!G80*100)*1000000</f>
        <v>53.629196890027387</v>
      </c>
      <c r="BJ80" s="19">
        <f>V80/(Basicinfo!G80*100)*1000000</f>
        <v>1.7241127139919299</v>
      </c>
      <c r="BK80" s="19">
        <f>W80/(Basicinfo!G80*100)*1000000</f>
        <v>2.6996843255252694</v>
      </c>
      <c r="BL80" s="19">
        <f>X80/(Basicinfo!G80*100)*1000000</f>
        <v>0</v>
      </c>
      <c r="BM80" s="19">
        <f>Y80/(Basicinfo!G80*100)*1000000</f>
        <v>8023.4340057232976</v>
      </c>
      <c r="BN80" s="53">
        <f>Z80/(Basicinfo!G80*100)*1000000</f>
        <v>4.5429514106686613</v>
      </c>
      <c r="BO80" s="53">
        <f>AA80/(Basicinfo!G80*100)*1000000</f>
        <v>57.695447827799825</v>
      </c>
      <c r="BP80" s="53">
        <f>AB80/(Basicinfo!G80*100)*1000000</f>
        <v>18.912066047068883</v>
      </c>
      <c r="BQ80" s="19">
        <f t="shared" si="267"/>
        <v>9755.5957010784041</v>
      </c>
      <c r="BR80" s="19">
        <f>AD80/(Basicinfo!G80*100)*1000000</f>
        <v>164.16479341127283</v>
      </c>
      <c r="BS80" s="53">
        <f t="shared" si="380"/>
        <v>9919.7604944896775</v>
      </c>
      <c r="BT80" s="56">
        <f>AF80/(Basicinfo!G80*100)*1000000</f>
        <v>2.0572065156022856</v>
      </c>
      <c r="BU80" s="43">
        <f>AG80/(Basicinfo!G80*100)*1000000</f>
        <v>8.5573152637130647</v>
      </c>
      <c r="BV80" s="43">
        <f>AH80/(Basicinfo!G80*100)*1000000</f>
        <v>0.1060183955497417</v>
      </c>
      <c r="BW80" s="43">
        <f>AI80/(Basicinfo!G80*100)*1000000</f>
        <v>1.4332373263222176</v>
      </c>
      <c r="BX80" s="43">
        <f>AJ80/(Basicinfo!G80*100)*1000000</f>
        <v>49.132442014102921</v>
      </c>
      <c r="BY80" s="58">
        <f>AK80/(Basicinfo!G80*100)*1000000</f>
        <v>0</v>
      </c>
      <c r="BZ80" s="58">
        <f>AL80/(Basicinfo!G80*100)*1000000</f>
        <v>19.079932697766662</v>
      </c>
      <c r="CA80" s="58">
        <f>AM80/(Basicinfo!G80*100)*1000000</f>
        <v>1.3077302084617248</v>
      </c>
      <c r="CB80" s="58">
        <f>AN80/(Basicinfo!G80*100)*1000000</f>
        <v>10.157993416043068</v>
      </c>
      <c r="CC80" s="58">
        <f>AO80/(Basicinfo!G80*100)*1000000</f>
        <v>3.1146939019168909</v>
      </c>
      <c r="CD80" s="58">
        <f t="shared" si="268"/>
        <v>94.946569739478576</v>
      </c>
      <c r="CE80" s="58">
        <f>AQ80/(Basicinfo!G80*100)*1000000</f>
        <v>30.319690110543522</v>
      </c>
      <c r="CF80" s="43">
        <f t="shared" si="381"/>
        <v>125.2662598500221</v>
      </c>
      <c r="CG80" s="84"/>
      <c r="CH80" s="84">
        <f t="shared" si="277"/>
        <v>5.2816266666666669</v>
      </c>
      <c r="CI80" s="146">
        <f t="shared" si="152"/>
        <v>2.6108305718799167</v>
      </c>
      <c r="CJ80" s="200">
        <f>Intermediate!EW80+Intermediate!EY80+Intermediate!FD80</f>
        <v>122.59182605546751</v>
      </c>
      <c r="CK80" s="180">
        <f>Intermediate!FA80+Intermediate!FF80</f>
        <v>5.2611945542717597</v>
      </c>
      <c r="CL80" s="180">
        <f t="shared" si="252"/>
        <v>0</v>
      </c>
      <c r="CM80" s="180">
        <f t="shared" si="253"/>
        <v>44.878514411858035</v>
      </c>
      <c r="CN80" s="202">
        <f>Intermediate!EX80+Intermediate!EZ80+Intermediate!FE80</f>
        <v>104.23772388477664</v>
      </c>
      <c r="CO80" s="180">
        <f>Intermediate!FB80+Intermediate!FG80</f>
        <v>4.4662443220763448</v>
      </c>
      <c r="CP80" s="213">
        <f>Intermediate!EP80+Intermediate!EQ80+Intermediate!ER80+Intermediate!ES80+Intermediate!ET80+Intermediate!EU80+Intermediate!EV80+W80</f>
        <v>29.817639913879471</v>
      </c>
      <c r="CQ80" s="212">
        <f t="shared" si="278"/>
        <v>108.70396820685299</v>
      </c>
      <c r="CR80" s="212">
        <f t="shared" si="279"/>
        <v>172.7315350215973</v>
      </c>
      <c r="CS80" s="211">
        <f t="shared" si="254"/>
        <v>5.4277857353522849</v>
      </c>
      <c r="CT80" s="212">
        <f t="shared" si="280"/>
        <v>316.68092887768205</v>
      </c>
      <c r="CU80" s="84"/>
      <c r="CV80" s="31">
        <f t="shared" si="281"/>
        <v>319.14560038087632</v>
      </c>
      <c r="CW80" s="31">
        <f>CH80/Basicinfo!$G80*1000/100</f>
        <v>0.16416479341127285</v>
      </c>
      <c r="CX80" s="31">
        <f>CI80/Basicinfo!$G80*1000/100</f>
        <v>8.1150465285537376E-2</v>
      </c>
      <c r="CY80" s="31">
        <f>CS80/Basicinfo!$G80*1000/100</f>
        <v>0.16870774482194148</v>
      </c>
      <c r="CZ80" s="31">
        <f>CN80/Basicinfo!$G80*1000/100</f>
        <v>3.2399420646680168</v>
      </c>
      <c r="DA80" s="31">
        <f>CO80/Basicinfo!$G80*1000/100</f>
        <v>0.13882088279455573</v>
      </c>
      <c r="DB80" s="31">
        <f>CQ80/Basicinfo!$G80*1000/100</f>
        <v>3.3787629474625733</v>
      </c>
      <c r="DC80" s="31">
        <f>CJ80/Basicinfo!$G80*1000/100</f>
        <v>3.8104286933646421</v>
      </c>
      <c r="DD80" s="31">
        <f>CK80/Basicinfo!$G80*1000/100</f>
        <v>0.16352971756779547</v>
      </c>
      <c r="DE80" s="31">
        <f>CM80/Basicinfo!$G80*1000/100</f>
        <v>1.394924804800195</v>
      </c>
      <c r="DF80" s="31">
        <f>CR80/Basicinfo!$G80*1000/100</f>
        <v>5.3688832157326329</v>
      </c>
      <c r="DG80" s="31">
        <f>CP80/Basicinfo!$G80*1000/100</f>
        <v>0.9267990725976617</v>
      </c>
      <c r="DH80" s="31">
        <f>CT80/Basicinfo!$G80*1000/100</f>
        <v>9.8431529806148088</v>
      </c>
      <c r="DI80" s="31">
        <f>CV80/Basicinfo!$G80*1000/100</f>
        <v>9.919760494489676</v>
      </c>
      <c r="DJ80" s="31"/>
      <c r="DK80" s="188">
        <f t="shared" si="282"/>
        <v>1.6678069896361503</v>
      </c>
      <c r="DL80" s="188">
        <f t="shared" si="283"/>
        <v>0.82443568077582263</v>
      </c>
      <c r="DM80" s="188">
        <f t="shared" si="284"/>
        <v>1.7139604063270784</v>
      </c>
      <c r="DN80" s="188">
        <f t="shared" si="285"/>
        <v>32.915693488141322</v>
      </c>
      <c r="DO80" s="188">
        <f t="shared" si="286"/>
        <v>1.4103294246056197</v>
      </c>
      <c r="DP80" s="188">
        <f t="shared" si="287"/>
        <v>34.326022912746943</v>
      </c>
      <c r="DQ80" s="188">
        <f t="shared" si="288"/>
        <v>38.711464719373289</v>
      </c>
      <c r="DR80" s="188">
        <f t="shared" si="289"/>
        <v>1.6613550342034946</v>
      </c>
      <c r="DS80" s="188">
        <f t="shared" si="290"/>
        <v>14.171524180792192</v>
      </c>
      <c r="DT80" s="188">
        <f t="shared" si="291"/>
        <v>54.544343934368975</v>
      </c>
      <c r="DU80" s="188">
        <f t="shared" si="292"/>
        <v>9.4156727465570018</v>
      </c>
      <c r="DV80" s="188">
        <f t="shared" si="293"/>
        <v>100</v>
      </c>
      <c r="DW80" s="188">
        <f t="shared" si="294"/>
        <v>100.77828226408489</v>
      </c>
      <c r="DY80" s="181">
        <f t="shared" si="295"/>
        <v>0.9754666666666667</v>
      </c>
      <c r="DZ80" s="181">
        <f t="shared" si="269"/>
        <v>0.46909157815438651</v>
      </c>
      <c r="EA80" s="185">
        <f t="shared" si="296"/>
        <v>0</v>
      </c>
      <c r="EB80" s="185">
        <f>AG80+AH80+AL80-Intermediate!FJ80-Intermediate!FM80</f>
        <v>0.68474975300871344</v>
      </c>
      <c r="EC80" s="185">
        <f>AI80+AJ80-Intermediate!FK80</f>
        <v>3.0521723975027948E-2</v>
      </c>
      <c r="ED80" s="240">
        <f t="shared" si="297"/>
        <v>6.6185913348820055E-2</v>
      </c>
      <c r="EE80" s="240">
        <f>Intermediate!FJ80+Intermediate!FK80+Intermediate!FM80</f>
        <v>1.804139702720684</v>
      </c>
      <c r="EF80" s="240">
        <f t="shared" si="298"/>
        <v>0.71527147698374138</v>
      </c>
      <c r="EG80" s="240">
        <f t="shared" si="299"/>
        <v>1.4445582448210532</v>
      </c>
      <c r="EH80" s="240">
        <f t="shared" si="300"/>
        <v>4.030155337874298</v>
      </c>
      <c r="EI80" s="181">
        <f t="shared" si="301"/>
        <v>4.030155337874298</v>
      </c>
      <c r="EK80" s="31">
        <f>DY80/Basicinfo!$G80*1000/100</f>
        <v>3.0319690110543522E-2</v>
      </c>
      <c r="EL80" s="31">
        <f>DZ80/Basicinfo!$G80*1000/100</f>
        <v>1.4580417526421686E-2</v>
      </c>
      <c r="EM80" s="220">
        <f>EG80/Basicinfo!$G80*1000/100</f>
        <v>4.4900107636965197E-2</v>
      </c>
      <c r="EN80" s="220">
        <f>ED80/Basicinfo!$G80*1000/100</f>
        <v>2.0572065156022855E-3</v>
      </c>
      <c r="EO80" s="220">
        <f>EF80/Basicinfo!$G80*1000/100</f>
        <v>2.2232240493840011E-2</v>
      </c>
      <c r="EP80" s="220">
        <f>EE80/Basicinfo!$G80*1000/100</f>
        <v>5.6076705203614595E-2</v>
      </c>
      <c r="EQ80" s="220">
        <f>EH80/Basicinfo!$G80*1000/100</f>
        <v>0.12526625985002204</v>
      </c>
      <c r="ER80" s="31">
        <f>EI80/Basicinfo!$G80*1000/100</f>
        <v>0.12526625985002204</v>
      </c>
      <c r="ET80" s="188">
        <f t="shared" si="302"/>
        <v>24.204195245267542</v>
      </c>
      <c r="EU80" s="188">
        <f t="shared" si="303"/>
        <v>11.639540881861111</v>
      </c>
      <c r="EV80" s="223">
        <f t="shared" si="304"/>
        <v>35.843736127128643</v>
      </c>
      <c r="EW80" s="223">
        <f t="shared" si="305"/>
        <v>1.6422670542453524</v>
      </c>
      <c r="EX80" s="223">
        <f t="shared" si="306"/>
        <v>17.747987782550609</v>
      </c>
      <c r="EY80" s="223">
        <f t="shared" si="307"/>
        <v>44.766009036075424</v>
      </c>
      <c r="EZ80" s="223">
        <f t="shared" si="308"/>
        <v>100</v>
      </c>
      <c r="FA80" s="188">
        <f t="shared" si="309"/>
        <v>100</v>
      </c>
      <c r="FC80" s="236">
        <f>Basicinfo!CT80</f>
        <v>1.2170967741935483</v>
      </c>
      <c r="FD80" s="181">
        <f>IF((Intermediate!CL80+Intermediate!CM80*3)/4&gt;11,(Intermediate!CL80+Intermediate!CM80*9)/10,(Intermediate!CL80+Intermediate!CM80*3)/4)</f>
        <v>1.3412650080397417</v>
      </c>
      <c r="FF80" s="31">
        <f t="shared" si="310"/>
        <v>6.6185913348820055E-2</v>
      </c>
      <c r="FG80" s="31">
        <f t="shared" si="311"/>
        <v>0.27531204195940029</v>
      </c>
      <c r="FH80" s="31">
        <f t="shared" si="312"/>
        <v>3.4108993375328669E-3</v>
      </c>
      <c r="FI80" s="31">
        <f>(AI80-(P80*450/1000000))*Parameters!$C$153</f>
        <v>3.3335709117011038E-2</v>
      </c>
      <c r="FJ80" s="31"/>
      <c r="FK80" s="31">
        <f t="shared" si="313"/>
        <v>0</v>
      </c>
      <c r="FL80" s="31">
        <f t="shared" si="314"/>
        <v>0.61385318520925825</v>
      </c>
      <c r="FM80" s="31">
        <f>AM80*Parameters!$C$154</f>
        <v>3.7865904975508888E-2</v>
      </c>
      <c r="FN80" s="31">
        <f>AN80*Parameters!$C$154</f>
        <v>0.2941291796617464</v>
      </c>
      <c r="FO80" s="31">
        <f>AO80*Parameters!$C$154</f>
        <v>9.0187335701692573E-2</v>
      </c>
      <c r="FP80" s="31">
        <f>AQ80*Parameters!$C$155</f>
        <v>0.9754666666666667</v>
      </c>
      <c r="FQ80" s="31">
        <f t="shared" si="315"/>
        <v>2.389746835977637</v>
      </c>
      <c r="FS80" s="147">
        <f>DY80*Parameters!$C$155</f>
        <v>0.9754666666666667</v>
      </c>
      <c r="FT80" s="147">
        <f>DZ80*Parameters!$C$154</f>
        <v>0.42218242033894787</v>
      </c>
      <c r="FU80" s="181">
        <f t="shared" si="316"/>
        <v>0</v>
      </c>
      <c r="FV80" s="181">
        <f t="shared" si="317"/>
        <v>0.68474975300871344</v>
      </c>
      <c r="FW80" s="31">
        <f t="shared" si="318"/>
        <v>3.3335709117011086E-2</v>
      </c>
      <c r="FX80" s="181">
        <f t="shared" si="319"/>
        <v>6.6185913348820055E-2</v>
      </c>
      <c r="FY80" s="147">
        <f>Intermediate!FJ80+Intermediate!FM80</f>
        <v>0.20782637349747782</v>
      </c>
      <c r="FZ80" s="181">
        <f t="shared" si="320"/>
        <v>0.71808546212572455</v>
      </c>
      <c r="GA80" s="147">
        <f t="shared" si="321"/>
        <v>1.3976490870056146</v>
      </c>
      <c r="GB80" s="181">
        <f t="shared" si="322"/>
        <v>2.389746835977637</v>
      </c>
      <c r="GD80" s="147">
        <f>IF('River loads'!CH80&gt;0.99,1,0)</f>
        <v>0</v>
      </c>
      <c r="GE80" s="147">
        <f t="shared" si="323"/>
        <v>0</v>
      </c>
      <c r="GF80" s="147">
        <f t="shared" si="324"/>
        <v>0</v>
      </c>
      <c r="GG80" s="147">
        <f t="shared" si="325"/>
        <v>0</v>
      </c>
      <c r="GH80" s="147">
        <f t="shared" si="326"/>
        <v>0</v>
      </c>
      <c r="GI80" s="147">
        <f t="shared" si="327"/>
        <v>0</v>
      </c>
      <c r="GJ80" s="147">
        <f t="shared" si="328"/>
        <v>0</v>
      </c>
      <c r="GK80" s="147">
        <f t="shared" si="329"/>
        <v>0</v>
      </c>
      <c r="GL80" s="147">
        <f t="shared" si="330"/>
        <v>0</v>
      </c>
      <c r="GM80" s="270">
        <f t="shared" si="270"/>
        <v>0</v>
      </c>
      <c r="GN80" s="270">
        <f t="shared" si="271"/>
        <v>0</v>
      </c>
      <c r="GO80" s="147">
        <f t="shared" si="331"/>
        <v>0</v>
      </c>
      <c r="GP80" s="147">
        <f t="shared" si="332"/>
        <v>0</v>
      </c>
      <c r="GQ80" s="147"/>
      <c r="GR80" s="147">
        <f t="shared" si="333"/>
        <v>0</v>
      </c>
      <c r="GS80" s="147">
        <f t="shared" si="334"/>
        <v>0</v>
      </c>
      <c r="GT80" s="147">
        <f t="shared" si="335"/>
        <v>0</v>
      </c>
      <c r="GU80" s="147">
        <f t="shared" si="336"/>
        <v>0</v>
      </c>
      <c r="GV80" s="147">
        <f t="shared" si="337"/>
        <v>0</v>
      </c>
      <c r="GW80" s="147">
        <f t="shared" si="338"/>
        <v>0</v>
      </c>
      <c r="GX80" s="147">
        <f t="shared" si="339"/>
        <v>0</v>
      </c>
      <c r="GY80" s="147">
        <f t="shared" si="340"/>
        <v>0</v>
      </c>
      <c r="GZ80" s="147">
        <f t="shared" si="272"/>
        <v>0</v>
      </c>
      <c r="HA80" s="147">
        <f t="shared" si="273"/>
        <v>0</v>
      </c>
      <c r="HB80" s="147">
        <f t="shared" si="341"/>
        <v>0</v>
      </c>
      <c r="HC80" s="147">
        <f t="shared" si="342"/>
        <v>0</v>
      </c>
      <c r="HD80" s="147"/>
      <c r="HE80" s="147">
        <f t="shared" si="343"/>
        <v>0</v>
      </c>
      <c r="HF80" s="147">
        <f t="shared" si="344"/>
        <v>0</v>
      </c>
      <c r="HG80" s="147">
        <f t="shared" si="345"/>
        <v>0</v>
      </c>
      <c r="HH80" s="147">
        <f t="shared" si="346"/>
        <v>0</v>
      </c>
      <c r="HI80" s="147">
        <f t="shared" si="347"/>
        <v>0</v>
      </c>
      <c r="HJ80" s="147">
        <f t="shared" si="348"/>
        <v>0</v>
      </c>
      <c r="HK80" s="147">
        <f t="shared" si="349"/>
        <v>0</v>
      </c>
      <c r="HL80" s="147">
        <f t="shared" si="350"/>
        <v>0</v>
      </c>
      <c r="HM80" s="147">
        <f t="shared" si="351"/>
        <v>0</v>
      </c>
      <c r="HN80" s="147">
        <f t="shared" si="352"/>
        <v>0</v>
      </c>
      <c r="HO80" s="147">
        <f t="shared" si="353"/>
        <v>0</v>
      </c>
      <c r="HQ80" s="147">
        <f t="shared" si="354"/>
        <v>0</v>
      </c>
      <c r="HR80" s="147">
        <f t="shared" si="355"/>
        <v>0</v>
      </c>
      <c r="HS80" s="147">
        <f t="shared" si="356"/>
        <v>0</v>
      </c>
      <c r="HT80" s="147">
        <f t="shared" si="357"/>
        <v>0</v>
      </c>
      <c r="HU80" s="147">
        <f t="shared" si="358"/>
        <v>0</v>
      </c>
      <c r="HV80" s="147">
        <f t="shared" si="359"/>
        <v>0</v>
      </c>
      <c r="HW80" s="147">
        <f t="shared" si="360"/>
        <v>0</v>
      </c>
      <c r="HX80" s="147">
        <f t="shared" si="361"/>
        <v>0</v>
      </c>
      <c r="HY80" s="147">
        <f t="shared" si="362"/>
        <v>0</v>
      </c>
      <c r="HZ80" s="147">
        <f t="shared" si="363"/>
        <v>0</v>
      </c>
      <c r="IB80" s="147">
        <f>IF('River loads'!CI80&gt;0.99,1,0)</f>
        <v>0</v>
      </c>
      <c r="IC80">
        <f t="shared" si="255"/>
        <v>0</v>
      </c>
      <c r="ID80">
        <f t="shared" si="256"/>
        <v>0</v>
      </c>
      <c r="IE80">
        <f t="shared" si="257"/>
        <v>0</v>
      </c>
      <c r="IF80">
        <f t="shared" si="258"/>
        <v>0</v>
      </c>
      <c r="IG80">
        <f t="shared" si="259"/>
        <v>0</v>
      </c>
      <c r="IH80">
        <f t="shared" si="260"/>
        <v>0</v>
      </c>
      <c r="II80">
        <f t="shared" si="261"/>
        <v>0</v>
      </c>
      <c r="IJ80">
        <f t="shared" si="262"/>
        <v>0</v>
      </c>
      <c r="IK80">
        <f t="shared" si="274"/>
        <v>0</v>
      </c>
      <c r="IL80">
        <f t="shared" si="275"/>
        <v>0</v>
      </c>
      <c r="IM80">
        <f t="shared" si="364"/>
        <v>0</v>
      </c>
      <c r="IN80">
        <f t="shared" si="365"/>
        <v>0</v>
      </c>
      <c r="IP80">
        <f t="shared" si="366"/>
        <v>0</v>
      </c>
      <c r="IQ80">
        <f t="shared" si="367"/>
        <v>0</v>
      </c>
      <c r="IR80">
        <f t="shared" si="368"/>
        <v>0</v>
      </c>
      <c r="IS80">
        <f t="shared" si="369"/>
        <v>0</v>
      </c>
      <c r="IT80">
        <f t="shared" si="370"/>
        <v>0</v>
      </c>
      <c r="IU80">
        <f t="shared" si="371"/>
        <v>0</v>
      </c>
      <c r="IV80">
        <f t="shared" si="372"/>
        <v>0</v>
      </c>
      <c r="IW80">
        <f t="shared" si="373"/>
        <v>0</v>
      </c>
      <c r="IX80">
        <f t="shared" si="374"/>
        <v>0</v>
      </c>
    </row>
    <row r="81" spans="1:259">
      <c r="A81" s="39" t="str">
        <f>Basicinfo!A81</f>
        <v>Traun</v>
      </c>
      <c r="B81" s="63">
        <f>Basicinfo!B81</f>
        <v>4000</v>
      </c>
      <c r="C81" s="63">
        <f>Basicinfo!C81</f>
        <v>4010</v>
      </c>
      <c r="D81" s="130">
        <f>Basicinfo!G81</f>
        <v>317.43871244799999</v>
      </c>
      <c r="E81" s="87">
        <f t="shared" si="276"/>
        <v>19.924093844269802</v>
      </c>
      <c r="F81" s="19">
        <f>Intermediate!AR81</f>
        <v>0.31784277314272658</v>
      </c>
      <c r="G81" s="19">
        <f>Intermediate!AU81</f>
        <v>5.4672883031328814</v>
      </c>
      <c r="H81" s="19">
        <f>Intermediate!AW81</f>
        <v>0.47205779900578593</v>
      </c>
      <c r="I81" s="19">
        <f>Intermediate!AZ81</f>
        <v>7.8608838818759966E-3</v>
      </c>
      <c r="J81" s="19">
        <f>Intermediate!BA81</f>
        <v>13.595950385791546</v>
      </c>
      <c r="K81" s="19">
        <f>Intermediate!AC81</f>
        <v>6.6976103522789366E-3</v>
      </c>
      <c r="L81" s="19">
        <f>Intermediate!AO81</f>
        <v>1.0538064808435913E-2</v>
      </c>
      <c r="M81" s="19">
        <f>Intermediate!AP81</f>
        <v>7.3775573861318521E-3</v>
      </c>
      <c r="N81" s="19">
        <f t="shared" si="263"/>
        <v>19.885613377501663</v>
      </c>
      <c r="O81" s="19">
        <f>Basicinfo!CB81+Basicinfo!CG81</f>
        <v>3.8480466768138002E-2</v>
      </c>
      <c r="P81" s="56">
        <f>Intermediate!BK81-Intermediate!BI81</f>
        <v>15.226485082087947</v>
      </c>
      <c r="Q81" s="43">
        <f>Intermediate!BI81</f>
        <v>2549.2513108260528</v>
      </c>
      <c r="R81" s="88">
        <f t="shared" si="375"/>
        <v>2564.4777959081407</v>
      </c>
      <c r="S81" s="61">
        <f>Intermediate!F81*Intermediate!BO81/1000</f>
        <v>9.8363393083918798</v>
      </c>
      <c r="T81" s="19">
        <f>Intermediate!BU81*Intermediate!AU81*86.4*0.365</f>
        <v>113.23199792400619</v>
      </c>
      <c r="U81" s="19">
        <f>Intermediate!AW81*Intermediate!BS81*0.365*86.4</f>
        <v>9.7760190855335285</v>
      </c>
      <c r="V81" s="19">
        <f>(Basicinfo!BL81/1000000)*(Intermediate!BK81-Intermediate!BF81-Intermediate!BG81-Intermediate!BH81)*Intermediate!CV81</f>
        <v>9.4670323250876182E-2</v>
      </c>
      <c r="W81" s="19">
        <f>Intermediate!BI81*Parameters!$C$51/1000000</f>
        <v>6.3731282770651321E-2</v>
      </c>
      <c r="X81" s="19">
        <f>Intermediate!AZ81*Intermediate!CG81*86.4*0.365</f>
        <v>1.2364838935724365</v>
      </c>
      <c r="Y81" s="19">
        <f>Intermediate!CM81*Intermediate!BA81*86.4*0.365+Parameters!$C$126*Intermediate!BB81*Basicinfo!P81/1000+Parameters!$C$127*Intermediate!BB81*Basicinfo!S81/1000</f>
        <v>298.02166178277974</v>
      </c>
      <c r="Z81" s="19">
        <f>Intermediate!DG81</f>
        <v>0.29715993559401738</v>
      </c>
      <c r="AA81" s="19">
        <f>Intermediate!DI81</f>
        <v>4.8725002180536432</v>
      </c>
      <c r="AB81" s="19">
        <f>Intermediate!DK81</f>
        <v>0.51894274995581147</v>
      </c>
      <c r="AC81" s="19">
        <f t="shared" si="264"/>
        <v>437.94950650390876</v>
      </c>
      <c r="AD81" s="19">
        <f>Basicinfo!CC81+Basicinfo!CE81+Basicinfo!CH81+Basicinfo!CJ81</f>
        <v>12.402042666666667</v>
      </c>
      <c r="AE81" s="87">
        <f t="shared" si="376"/>
        <v>450.35154917057542</v>
      </c>
      <c r="AF81" s="56">
        <f>Intermediate!F81*Basicinfo!BD81/1000</f>
        <v>0.29168690194751928</v>
      </c>
      <c r="AG81" s="43">
        <f>Intermediate!CA81*Intermediate!AU81*86.4*0.365</f>
        <v>2.4550666929757248</v>
      </c>
      <c r="AH81" s="43">
        <f>Intermediate!AW81*Intermediate!BZ81*0.365*86.4</f>
        <v>4.8027434078652571E-2</v>
      </c>
      <c r="AI81" s="43">
        <f>(Intermediate!CU81/1000000)*(Intermediate!BK81-Intermediate!BF81-Intermediate!BG81-Intermediate!BH81)*Intermediate!CW81</f>
        <v>6.8457755852892349E-2</v>
      </c>
      <c r="AJ81" s="43">
        <f>Intermediate!BF81*Parameters!$C$52/1000000+(Intermediate!BG81+Intermediate!BH81)*Intermediate!CX81/1000000</f>
        <v>1.2741179597597778</v>
      </c>
      <c r="AK81" s="43">
        <f>Intermediate!AZ81*Intermediate!CH81*86.4*0.365</f>
        <v>0.16597621853376118</v>
      </c>
      <c r="AL81" s="58">
        <f>Intermediate!CR81*Intermediate!BA81*86.4*0.365</f>
        <v>6.067715712972892</v>
      </c>
      <c r="AM81" s="43">
        <f>Intermediate!DH81</f>
        <v>8.1105058912876365E-2</v>
      </c>
      <c r="AN81" s="42">
        <f>Intermediate!DJ81</f>
        <v>0.83666141892353063</v>
      </c>
      <c r="AO81" s="42">
        <f>Intermediate!DL81</f>
        <v>8.6732313628002364E-2</v>
      </c>
      <c r="AP81" s="42">
        <f t="shared" si="265"/>
        <v>11.37554746758563</v>
      </c>
      <c r="AQ81" s="43">
        <f>Basicinfo!CD81+Basicinfo!CF81+Basicinfo!CI81+Basicinfo!CK81</f>
        <v>1.0529599999999999</v>
      </c>
      <c r="AR81" s="83">
        <f t="shared" si="377"/>
        <v>12.42850746758563</v>
      </c>
      <c r="AS81" s="19">
        <f>F81*86400*365/(Basicinfo!G81*1000000)*1000</f>
        <v>31.576141474776755</v>
      </c>
      <c r="AT81" s="19">
        <f>G81*86400*365/(Basicinfo!G81*1000000)*1000</f>
        <v>543.14863678084714</v>
      </c>
      <c r="AU81" s="19">
        <f>H81*86400*365/(Basicinfo!G81*1000000)*1000</f>
        <v>46.896658049812025</v>
      </c>
      <c r="AV81" s="19">
        <f>I81*86400*365/(Basicinfo!G81*1000000)*1000</f>
        <v>0.78094077495179592</v>
      </c>
      <c r="AW81" s="19">
        <f>J81*86400*365/(Basicinfo!G81*1000000)*1000</f>
        <v>1350.691880205248</v>
      </c>
      <c r="AX81" s="53">
        <f>K81*86400*365/(Basicinfo!G81*1000000)*1000</f>
        <v>0.66537517885147057</v>
      </c>
      <c r="AY81" s="53">
        <f>L81*86400*365/(Basicinfo!G81*1000000)*1000</f>
        <v>1.0469057451626165</v>
      </c>
      <c r="AZ81" s="53">
        <f>M81*86400*365/(Basicinfo!G81*1000000)*1000</f>
        <v>0.73292462641010159</v>
      </c>
      <c r="BA81" s="19">
        <f t="shared" si="266"/>
        <v>1975.5394628360598</v>
      </c>
      <c r="BB81" s="19">
        <f>O81*86400*365/(Basicinfo!G81*1000000)*1000</f>
        <v>3.8228481669474639</v>
      </c>
      <c r="BC81" s="53">
        <f t="shared" si="378"/>
        <v>1979.3623110030073</v>
      </c>
      <c r="BD81" s="56">
        <f>P81/(Basicinfo!G81*100)*1000</f>
        <v>0.4796669241966578</v>
      </c>
      <c r="BE81" s="43">
        <f>Q81/(Basicinfo!G81*100)*1000</f>
        <v>80.306881639196675</v>
      </c>
      <c r="BF81" s="58">
        <f t="shared" si="379"/>
        <v>80.786548563393339</v>
      </c>
      <c r="BG81" s="61">
        <f>S81/(Basicinfo!G81*100)*1000000</f>
        <v>309.86577637417753</v>
      </c>
      <c r="BH81" s="19">
        <f>T81/(Basicinfo!G81*100)*1000000</f>
        <v>3567.0506930548008</v>
      </c>
      <c r="BI81" s="19">
        <f>U81/(Basicinfo!G81*100)*1000000</f>
        <v>307.96556003341743</v>
      </c>
      <c r="BJ81" s="19">
        <f>V81/(Basicinfo!G81*100)*1000000</f>
        <v>2.9823181464165067</v>
      </c>
      <c r="BK81" s="19">
        <f>W81/(Basicinfo!G81*100)*1000000</f>
        <v>2.0076720409799171</v>
      </c>
      <c r="BL81" s="19">
        <f>X81/(Basicinfo!G81*100)*1000000</f>
        <v>38.951893549372507</v>
      </c>
      <c r="BM81" s="19">
        <f>Y81/(Basicinfo!G81*100)*1000000</f>
        <v>9388.3212757674919</v>
      </c>
      <c r="BN81" s="53">
        <f>Z81/(Basicinfo!G81*100)*1000000</f>
        <v>9.3611750533638975</v>
      </c>
      <c r="BO81" s="53">
        <f>AA81/(Basicinfo!G81*100)*1000000</f>
        <v>153.49420303775372</v>
      </c>
      <c r="BP81" s="53">
        <f>AB81/(Basicinfo!G81*100)*1000000</f>
        <v>16.347809186657411</v>
      </c>
      <c r="BQ81" s="19">
        <f t="shared" si="267"/>
        <v>13796.348376244432</v>
      </c>
      <c r="BR81" s="19">
        <f>AD81/(Basicinfo!G81*100)*1000000</f>
        <v>390.69093277960729</v>
      </c>
      <c r="BS81" s="53">
        <f t="shared" si="380"/>
        <v>14187.03930902404</v>
      </c>
      <c r="BT81" s="56">
        <f>AF81/(Basicinfo!G81*100)*1000000</f>
        <v>9.1887627598445754</v>
      </c>
      <c r="BU81" s="43">
        <f>AG81/(Basicinfo!G81*100)*1000000</f>
        <v>77.339864254202837</v>
      </c>
      <c r="BV81" s="43">
        <f>AH81/(Basicinfo!G81*100)*1000000</f>
        <v>1.5129671396496733</v>
      </c>
      <c r="BW81" s="43">
        <f>AI81/(Basicinfo!G81*100)*1000000</f>
        <v>2.1565660761715222</v>
      </c>
      <c r="BX81" s="43">
        <f>AJ81/(Basicinfo!G81*100)*1000000</f>
        <v>40.137447318070649</v>
      </c>
      <c r="BY81" s="58">
        <f>AK81/(Basicinfo!G81*100)*1000000</f>
        <v>5.2286067207681848</v>
      </c>
      <c r="BZ81" s="58">
        <f>AL81/(Basicinfo!G81*100)*1000000</f>
        <v>191.14605355409674</v>
      </c>
      <c r="CA81" s="58">
        <f>AM81/(Basicinfo!G81*100)*1000000</f>
        <v>2.5549832371551808</v>
      </c>
      <c r="CB81" s="58">
        <f>AN81/(Basicinfo!G81*100)*1000000</f>
        <v>26.356628417228258</v>
      </c>
      <c r="CC81" s="58">
        <f>AO81/(Basicinfo!G81*100)*1000000</f>
        <v>2.7322538249713344</v>
      </c>
      <c r="CD81" s="58">
        <f t="shared" si="268"/>
        <v>358.35413330215897</v>
      </c>
      <c r="CE81" s="58">
        <f>AQ81/(Basicinfo!G81*100)*1000000</f>
        <v>33.170497444368465</v>
      </c>
      <c r="CF81" s="43">
        <f t="shared" si="381"/>
        <v>391.52463074652746</v>
      </c>
      <c r="CG81" s="84"/>
      <c r="CH81" s="84">
        <f t="shared" si="277"/>
        <v>12.402042666666667</v>
      </c>
      <c r="CI81" s="146">
        <f t="shared" si="152"/>
        <v>5.6886029036034715</v>
      </c>
      <c r="CJ81" s="200">
        <f>Intermediate!EW81+Intermediate!EY81+Intermediate!FD81</f>
        <v>141.8615076990996</v>
      </c>
      <c r="CK81" s="180">
        <f>Intermediate!FA81+Intermediate!FF81</f>
        <v>12.041078157432853</v>
      </c>
      <c r="CL81" s="180">
        <f t="shared" si="252"/>
        <v>1.2364838935724365</v>
      </c>
      <c r="CM81" s="180">
        <f t="shared" si="253"/>
        <v>78.746660685949664</v>
      </c>
      <c r="CN81" s="202">
        <f>Intermediate!EX81+Intermediate!EZ81+Intermediate!FE81</f>
        <v>110.7542378400921</v>
      </c>
      <c r="CO81" s="180">
        <f>Intermediate!FB81+Intermediate!FG81</f>
        <v>9.2136544308661783</v>
      </c>
      <c r="CP81" s="213">
        <f>Intermediate!EP81+Intermediate!EQ81+Intermediate!ER81+Intermediate!ES81+Intermediate!ET81+Intermediate!EU81+Intermediate!EV81+W81</f>
        <v>78.407280893292452</v>
      </c>
      <c r="CQ81" s="212">
        <f t="shared" si="278"/>
        <v>119.96789227095829</v>
      </c>
      <c r="CR81" s="212">
        <f t="shared" si="279"/>
        <v>233.88573043605453</v>
      </c>
      <c r="CS81" s="211">
        <f t="shared" si="254"/>
        <v>12.699202602260684</v>
      </c>
      <c r="CT81" s="212">
        <f t="shared" si="280"/>
        <v>444.96010620256595</v>
      </c>
      <c r="CU81" s="84"/>
      <c r="CV81" s="31">
        <f t="shared" si="281"/>
        <v>450.35154917057542</v>
      </c>
      <c r="CW81" s="31">
        <f>CH81/Basicinfo!$G81*1000/100</f>
        <v>0.39069093277960731</v>
      </c>
      <c r="CX81" s="31">
        <f>CI81/Basicinfo!$G81*1000/100</f>
        <v>0.17920318727777501</v>
      </c>
      <c r="CY81" s="31">
        <f>CS81/Basicinfo!$G81*1000/100</f>
        <v>0.40005210783297124</v>
      </c>
      <c r="CZ81" s="31">
        <f>CN81/Basicinfo!$G81*1000/100</f>
        <v>3.4889959383336042</v>
      </c>
      <c r="DA81" s="31">
        <f>CO81/Basicinfo!$G81*1000/100</f>
        <v>0.29024986775598388</v>
      </c>
      <c r="DB81" s="31">
        <f>CQ81/Basicinfo!$G81*1000/100</f>
        <v>3.7792458060895888</v>
      </c>
      <c r="DC81" s="31">
        <f>CJ81/Basicinfo!$G81*1000/100</f>
        <v>4.4689416298693594</v>
      </c>
      <c r="DD81" s="31">
        <f>CK81/Basicinfo!$G81*1000/100</f>
        <v>0.37931977686575691</v>
      </c>
      <c r="DE81" s="31">
        <f>CM81/Basicinfo!$G81*1000/100</f>
        <v>2.480688636829361</v>
      </c>
      <c r="DF81" s="31">
        <f>CR81/Basicinfo!$G81*1000/100</f>
        <v>7.3679019371138486</v>
      </c>
      <c r="DG81" s="31">
        <f>CP81/Basicinfo!$G81*1000/100</f>
        <v>2.4699974457632177</v>
      </c>
      <c r="DH81" s="31">
        <f>CT81/Basicinfo!$G81*1000/100</f>
        <v>14.017197296799628</v>
      </c>
      <c r="DI81" s="31">
        <f>CV81/Basicinfo!$G81*1000/100</f>
        <v>14.187039309024039</v>
      </c>
      <c r="DJ81" s="31"/>
      <c r="DK81" s="188">
        <f t="shared" si="282"/>
        <v>2.7872257521038741</v>
      </c>
      <c r="DL81" s="188">
        <f t="shared" si="283"/>
        <v>1.2784523430992176</v>
      </c>
      <c r="DM81" s="188">
        <f t="shared" si="284"/>
        <v>2.8540092527934253</v>
      </c>
      <c r="DN81" s="188">
        <f t="shared" si="285"/>
        <v>24.89082421013082</v>
      </c>
      <c r="DO81" s="188">
        <f t="shared" si="286"/>
        <v>2.0706697752071523</v>
      </c>
      <c r="DP81" s="188">
        <f t="shared" si="287"/>
        <v>26.961493985337974</v>
      </c>
      <c r="DQ81" s="188">
        <f t="shared" si="288"/>
        <v>31.881848669488999</v>
      </c>
      <c r="DR81" s="188">
        <f t="shared" si="289"/>
        <v>2.7061028594665091</v>
      </c>
      <c r="DS81" s="188">
        <f t="shared" si="290"/>
        <v>17.697465365603051</v>
      </c>
      <c r="DT81" s="188">
        <f t="shared" si="291"/>
        <v>52.563303355914606</v>
      </c>
      <c r="DU81" s="188">
        <f t="shared" si="292"/>
        <v>17.621193405953996</v>
      </c>
      <c r="DV81" s="188">
        <f t="shared" si="293"/>
        <v>100</v>
      </c>
      <c r="DW81" s="188">
        <f t="shared" si="294"/>
        <v>101.21166884240967</v>
      </c>
      <c r="DY81" s="181">
        <f t="shared" si="295"/>
        <v>1.0529599999999999</v>
      </c>
      <c r="DZ81" s="181">
        <f t="shared" si="269"/>
        <v>1.0044987914644092</v>
      </c>
      <c r="EA81" s="185">
        <f t="shared" si="296"/>
        <v>0.16597621853376118</v>
      </c>
      <c r="EB81" s="185">
        <f>AG81+AH81+AL81-Intermediate!FJ81-Intermediate!FM81</f>
        <v>6.398793906104828</v>
      </c>
      <c r="EC81" s="185">
        <f>AI81+AJ81-Intermediate!FK81</f>
        <v>3.9606233630572696E-2</v>
      </c>
      <c r="ED81" s="240">
        <f t="shared" si="297"/>
        <v>0.29168690194751928</v>
      </c>
      <c r="EE81" s="240">
        <f>Intermediate!FJ81+Intermediate!FK81+Intermediate!FM81</f>
        <v>3.4749854159045404</v>
      </c>
      <c r="EF81" s="240">
        <f t="shared" si="298"/>
        <v>6.6043763582691613</v>
      </c>
      <c r="EG81" s="240">
        <f t="shared" si="299"/>
        <v>2.0574587914644091</v>
      </c>
      <c r="EH81" s="240">
        <f t="shared" si="300"/>
        <v>12.428507467585629</v>
      </c>
      <c r="EI81" s="181">
        <f t="shared" si="301"/>
        <v>12.42850746758563</v>
      </c>
      <c r="EK81" s="31">
        <f>DY81/Basicinfo!$G81*1000/100</f>
        <v>3.3170497444368466E-2</v>
      </c>
      <c r="EL81" s="31">
        <f>DZ81/Basicinfo!$G81*1000/100</f>
        <v>3.1643865479354771E-2</v>
      </c>
      <c r="EM81" s="220">
        <f>EG81/Basicinfo!$G81*1000/100</f>
        <v>6.4814362923723237E-2</v>
      </c>
      <c r="EN81" s="220">
        <f>ED81/Basicinfo!$G81*1000/100</f>
        <v>9.1887627598445758E-3</v>
      </c>
      <c r="EO81" s="220">
        <f>EF81/Basicinfo!$G81*1000/100</f>
        <v>0.208052014429432</v>
      </c>
      <c r="EP81" s="220">
        <f>EE81/Basicinfo!$G81*1000/100</f>
        <v>0.10946949063352761</v>
      </c>
      <c r="EQ81" s="220">
        <f>EH81/Basicinfo!$G81*1000/100</f>
        <v>0.39152463074652744</v>
      </c>
      <c r="ER81" s="31">
        <f>EI81/Basicinfo!$G81*1000/100</f>
        <v>0.39152463074652749</v>
      </c>
      <c r="ET81" s="188">
        <f t="shared" si="302"/>
        <v>8.4721355540573899</v>
      </c>
      <c r="EU81" s="188">
        <f t="shared" si="303"/>
        <v>8.0822157775920278</v>
      </c>
      <c r="EV81" s="223">
        <f t="shared" si="304"/>
        <v>16.554351331649418</v>
      </c>
      <c r="EW81" s="223">
        <f t="shared" si="305"/>
        <v>2.3469181855364214</v>
      </c>
      <c r="EX81" s="223">
        <f t="shared" si="306"/>
        <v>53.138933822052337</v>
      </c>
      <c r="EY81" s="223">
        <f t="shared" si="307"/>
        <v>27.95979666076181</v>
      </c>
      <c r="EZ81" s="223">
        <f t="shared" si="308"/>
        <v>99.999999999999986</v>
      </c>
      <c r="FA81" s="188">
        <f t="shared" si="309"/>
        <v>100</v>
      </c>
      <c r="FC81" s="236">
        <f>Basicinfo!CT81</f>
        <v>0.58483870967741935</v>
      </c>
      <c r="FD81" s="181">
        <f>IF((Intermediate!CL81+Intermediate!CM81*3)/4&gt;11,(Intermediate!CL81+Intermediate!CM81*9)/10,(Intermediate!CL81+Intermediate!CM81*3)/4)</f>
        <v>0.69401499374495856</v>
      </c>
      <c r="FF81" s="31">
        <f t="shared" si="310"/>
        <v>0.29168690194751928</v>
      </c>
      <c r="FG81" s="31">
        <f t="shared" si="311"/>
        <v>2.4550666929757248</v>
      </c>
      <c r="FH81" s="31">
        <f t="shared" si="312"/>
        <v>4.8027434078652571E-2</v>
      </c>
      <c r="FI81" s="31">
        <f>(AI81-(P81*450/1000000))*Parameters!$C$153</f>
        <v>4.9284670052762221E-2</v>
      </c>
      <c r="FJ81" s="31"/>
      <c r="FK81" s="31">
        <f t="shared" si="313"/>
        <v>0.16597621853376118</v>
      </c>
      <c r="FL81" s="31">
        <f t="shared" si="314"/>
        <v>6.067715712972892</v>
      </c>
      <c r="FM81" s="31">
        <f>AM81*Parameters!$C$154</f>
        <v>7.2994553021588734E-2</v>
      </c>
      <c r="FN81" s="31">
        <f>AN81*Parameters!$C$154</f>
        <v>0.75299527703117763</v>
      </c>
      <c r="FO81" s="31">
        <f>AO81*Parameters!$C$154</f>
        <v>7.8059082265202126E-2</v>
      </c>
      <c r="FP81" s="31">
        <f>AQ81*Parameters!$C$155</f>
        <v>1.0529599999999999</v>
      </c>
      <c r="FQ81" s="31">
        <f t="shared" si="315"/>
        <v>11.03476654287928</v>
      </c>
      <c r="FS81" s="147">
        <f>DY81*Parameters!$C$155</f>
        <v>1.0529599999999999</v>
      </c>
      <c r="FT81" s="147">
        <f>DZ81*Parameters!$C$154</f>
        <v>0.90404891231796836</v>
      </c>
      <c r="FU81" s="181">
        <f t="shared" si="316"/>
        <v>0.16597621853376118</v>
      </c>
      <c r="FV81" s="181">
        <f t="shared" si="317"/>
        <v>6.398793906104828</v>
      </c>
      <c r="FW81" s="31">
        <f t="shared" si="318"/>
        <v>4.9284670052761381E-2</v>
      </c>
      <c r="FX81" s="181">
        <f t="shared" si="319"/>
        <v>0.29168690194751928</v>
      </c>
      <c r="FY81" s="147">
        <f>Intermediate!FJ81+Intermediate!FM81</f>
        <v>2.1720159339224425</v>
      </c>
      <c r="FZ81" s="181">
        <f t="shared" si="320"/>
        <v>6.6140547946913504</v>
      </c>
      <c r="GA81" s="147">
        <f t="shared" si="321"/>
        <v>1.9570089123179684</v>
      </c>
      <c r="GB81" s="181">
        <f t="shared" si="322"/>
        <v>11.03476654287928</v>
      </c>
      <c r="GD81" s="147">
        <f>IF('River loads'!CH81&gt;0.99,1,0)</f>
        <v>0</v>
      </c>
      <c r="GE81" s="147">
        <f t="shared" si="323"/>
        <v>0</v>
      </c>
      <c r="GF81" s="147">
        <f t="shared" si="324"/>
        <v>0</v>
      </c>
      <c r="GG81" s="147">
        <f t="shared" si="325"/>
        <v>0</v>
      </c>
      <c r="GH81" s="147">
        <f t="shared" si="326"/>
        <v>0</v>
      </c>
      <c r="GI81" s="147">
        <f t="shared" si="327"/>
        <v>0</v>
      </c>
      <c r="GJ81" s="147">
        <f t="shared" si="328"/>
        <v>0</v>
      </c>
      <c r="GK81" s="147">
        <f t="shared" si="329"/>
        <v>0</v>
      </c>
      <c r="GL81" s="147">
        <f t="shared" si="330"/>
        <v>0</v>
      </c>
      <c r="GM81" s="270">
        <f t="shared" si="270"/>
        <v>0</v>
      </c>
      <c r="GN81" s="270">
        <f t="shared" si="271"/>
        <v>0</v>
      </c>
      <c r="GO81" s="147">
        <f t="shared" si="331"/>
        <v>0</v>
      </c>
      <c r="GP81" s="147">
        <f t="shared" si="332"/>
        <v>0</v>
      </c>
      <c r="GQ81" s="147"/>
      <c r="GR81" s="147">
        <f t="shared" si="333"/>
        <v>0</v>
      </c>
      <c r="GS81" s="147">
        <f t="shared" si="334"/>
        <v>0</v>
      </c>
      <c r="GT81" s="147">
        <f t="shared" si="335"/>
        <v>0</v>
      </c>
      <c r="GU81" s="147">
        <f t="shared" si="336"/>
        <v>0</v>
      </c>
      <c r="GV81" s="147">
        <f t="shared" si="337"/>
        <v>0</v>
      </c>
      <c r="GW81" s="147">
        <f t="shared" si="338"/>
        <v>0</v>
      </c>
      <c r="GX81" s="147">
        <f t="shared" si="339"/>
        <v>0</v>
      </c>
      <c r="GY81" s="147">
        <f t="shared" si="340"/>
        <v>0</v>
      </c>
      <c r="GZ81" s="147">
        <f t="shared" si="272"/>
        <v>0</v>
      </c>
      <c r="HA81" s="147">
        <f t="shared" si="273"/>
        <v>0</v>
      </c>
      <c r="HB81" s="147">
        <f t="shared" si="341"/>
        <v>0</v>
      </c>
      <c r="HC81" s="147">
        <f t="shared" si="342"/>
        <v>0</v>
      </c>
      <c r="HD81" s="147"/>
      <c r="HE81" s="147">
        <f t="shared" si="343"/>
        <v>0</v>
      </c>
      <c r="HF81" s="147">
        <f t="shared" si="344"/>
        <v>0</v>
      </c>
      <c r="HG81" s="147">
        <f t="shared" si="345"/>
        <v>0</v>
      </c>
      <c r="HH81" s="147">
        <f t="shared" si="346"/>
        <v>0</v>
      </c>
      <c r="HI81" s="147">
        <f t="shared" si="347"/>
        <v>0</v>
      </c>
      <c r="HJ81" s="147">
        <f t="shared" si="348"/>
        <v>0</v>
      </c>
      <c r="HK81" s="147">
        <f t="shared" si="349"/>
        <v>0</v>
      </c>
      <c r="HL81" s="147">
        <f t="shared" si="350"/>
        <v>0</v>
      </c>
      <c r="HM81" s="147">
        <f t="shared" si="351"/>
        <v>0</v>
      </c>
      <c r="HN81" s="147">
        <f t="shared" si="352"/>
        <v>0</v>
      </c>
      <c r="HO81" s="147">
        <f t="shared" si="353"/>
        <v>0</v>
      </c>
      <c r="HQ81" s="147">
        <f t="shared" si="354"/>
        <v>0</v>
      </c>
      <c r="HR81" s="147">
        <f t="shared" si="355"/>
        <v>0</v>
      </c>
      <c r="HS81" s="147">
        <f t="shared" si="356"/>
        <v>0</v>
      </c>
      <c r="HT81" s="147">
        <f t="shared" si="357"/>
        <v>0</v>
      </c>
      <c r="HU81" s="147">
        <f t="shared" si="358"/>
        <v>0</v>
      </c>
      <c r="HV81" s="147">
        <f t="shared" si="359"/>
        <v>0</v>
      </c>
      <c r="HW81" s="147">
        <f t="shared" si="360"/>
        <v>0</v>
      </c>
      <c r="HX81" s="147">
        <f t="shared" si="361"/>
        <v>0</v>
      </c>
      <c r="HY81" s="147">
        <f t="shared" si="362"/>
        <v>0</v>
      </c>
      <c r="HZ81" s="147">
        <f t="shared" si="363"/>
        <v>0</v>
      </c>
      <c r="IB81" s="147">
        <f>IF('River loads'!CI81&gt;0.99,1,0)</f>
        <v>0</v>
      </c>
      <c r="IC81">
        <f t="shared" si="255"/>
        <v>0</v>
      </c>
      <c r="ID81">
        <f t="shared" si="256"/>
        <v>0</v>
      </c>
      <c r="IE81">
        <f t="shared" si="257"/>
        <v>0</v>
      </c>
      <c r="IF81">
        <f t="shared" si="258"/>
        <v>0</v>
      </c>
      <c r="IG81">
        <f t="shared" si="259"/>
        <v>0</v>
      </c>
      <c r="IH81">
        <f t="shared" si="260"/>
        <v>0</v>
      </c>
      <c r="II81">
        <f t="shared" si="261"/>
        <v>0</v>
      </c>
      <c r="IJ81">
        <f t="shared" si="262"/>
        <v>0</v>
      </c>
      <c r="IK81">
        <f t="shared" si="274"/>
        <v>0</v>
      </c>
      <c r="IL81">
        <f t="shared" si="275"/>
        <v>0</v>
      </c>
      <c r="IM81">
        <f t="shared" si="364"/>
        <v>0</v>
      </c>
      <c r="IN81">
        <f t="shared" si="365"/>
        <v>0</v>
      </c>
      <c r="IP81">
        <f t="shared" si="366"/>
        <v>0</v>
      </c>
      <c r="IQ81">
        <f t="shared" si="367"/>
        <v>0</v>
      </c>
      <c r="IR81">
        <f t="shared" si="368"/>
        <v>0</v>
      </c>
      <c r="IS81">
        <f t="shared" si="369"/>
        <v>0</v>
      </c>
      <c r="IT81">
        <f t="shared" si="370"/>
        <v>0</v>
      </c>
      <c r="IU81">
        <f t="shared" si="371"/>
        <v>0</v>
      </c>
      <c r="IV81">
        <f t="shared" si="372"/>
        <v>0</v>
      </c>
      <c r="IW81">
        <f t="shared" si="373"/>
        <v>0</v>
      </c>
      <c r="IX81">
        <f t="shared" si="374"/>
        <v>0</v>
      </c>
    </row>
    <row r="82" spans="1:259">
      <c r="A82" s="39" t="str">
        <f>Basicinfo!A82</f>
        <v>Enns</v>
      </c>
      <c r="B82" s="63">
        <f>Basicinfo!B82</f>
        <v>4050</v>
      </c>
      <c r="C82" s="63">
        <f>Basicinfo!C82</f>
        <v>4060</v>
      </c>
      <c r="D82" s="130">
        <f>Basicinfo!G82</f>
        <v>527.62716845499995</v>
      </c>
      <c r="E82" s="87">
        <f t="shared" si="276"/>
        <v>18.711668016538901</v>
      </c>
      <c r="F82" s="19">
        <f>Intermediate!AR82</f>
        <v>8.1127783345469745E-2</v>
      </c>
      <c r="G82" s="19">
        <f>Intermediate!AU82</f>
        <v>4.4243907470353792</v>
      </c>
      <c r="H82" s="19">
        <f>Intermediate!AW82</f>
        <v>0.16761282712457437</v>
      </c>
      <c r="I82" s="19">
        <f>Intermediate!AZ82</f>
        <v>7.5284446567845612E-3</v>
      </c>
      <c r="J82" s="19">
        <f>Intermediate!BA82</f>
        <v>13.869502117132576</v>
      </c>
      <c r="K82" s="19">
        <f>Intermediate!AC82</f>
        <v>1.2983255899795222E-2</v>
      </c>
      <c r="L82" s="19">
        <f>Intermediate!AO82</f>
        <v>1.6702960096807263E-2</v>
      </c>
      <c r="M82" s="19">
        <f>Intermediate!AP82</f>
        <v>2.1586074381289552E-2</v>
      </c>
      <c r="N82" s="19">
        <f t="shared" si="263"/>
        <v>18.601434209672675</v>
      </c>
      <c r="O82" s="19">
        <f>Basicinfo!CB82+Basicinfo!CG82</f>
        <v>0.11023380686622695</v>
      </c>
      <c r="P82" s="56">
        <f>Intermediate!BK82-Intermediate!BI82</f>
        <v>24.24006606333478</v>
      </c>
      <c r="Q82" s="43">
        <f>Intermediate!BI82</f>
        <v>4341.0868189095045</v>
      </c>
      <c r="R82" s="88">
        <f t="shared" si="375"/>
        <v>4365.3268849728393</v>
      </c>
      <c r="S82" s="61">
        <f>Intermediate!F82*Intermediate!BO82/1000</f>
        <v>3.6562490329094501</v>
      </c>
      <c r="T82" s="19">
        <f>Intermediate!BU82*Intermediate!AU82*86.4*0.365</f>
        <v>122.05489080900971</v>
      </c>
      <c r="U82" s="19">
        <f>Intermediate!AW82*Intermediate!BS82*0.365*86.4</f>
        <v>4.6238298081120988</v>
      </c>
      <c r="V82" s="19">
        <f>(Basicinfo!BL82/1000000)*(Intermediate!BK82-Intermediate!BF82-Intermediate!BG82-Intermediate!BH82)*Intermediate!CV82</f>
        <v>0.13514092126092778</v>
      </c>
      <c r="W82" s="19">
        <f>Intermediate!BI82*Parameters!$C$51/1000000</f>
        <v>0.10852717047273761</v>
      </c>
      <c r="X82" s="19">
        <f>Intermediate!AZ82*Intermediate!CG82*86.4*0.365</f>
        <v>1.2537722640639126</v>
      </c>
      <c r="Y82" s="19">
        <f>Intermediate!CM82*Intermediate!BA82*86.4*0.365+Parameters!$C$126*Intermediate!BB82*Basicinfo!P82/1000+Parameters!$C$127*Intermediate!BB82*Basicinfo!S82/1000</f>
        <v>534.53237659039632</v>
      </c>
      <c r="Z82" s="19">
        <f>Intermediate!DG82</f>
        <v>0.68027953385107864</v>
      </c>
      <c r="AA82" s="19">
        <f>Intermediate!DI82</f>
        <v>5.9782606959795173</v>
      </c>
      <c r="AB82" s="19">
        <f>Intermediate!DK82</f>
        <v>2.9796296358843959</v>
      </c>
      <c r="AC82" s="19">
        <f t="shared" si="264"/>
        <v>676.00295646194013</v>
      </c>
      <c r="AD82" s="19">
        <f>Basicinfo!CC82+Basicinfo!CE82+Basicinfo!CH82+Basicinfo!CJ82</f>
        <v>41.538333333333341</v>
      </c>
      <c r="AE82" s="87">
        <f t="shared" si="376"/>
        <v>717.54128979527343</v>
      </c>
      <c r="AF82" s="56">
        <f>Intermediate!F82*Basicinfo!BD82/1000</f>
        <v>0.10007757597911952</v>
      </c>
      <c r="AG82" s="43">
        <f>Intermediate!CA82*Intermediate!AU82*86.4*0.365</f>
        <v>1.7853246112321168</v>
      </c>
      <c r="AH82" s="43">
        <f>Intermediate!AW82*Intermediate!BZ82*0.365*86.4</f>
        <v>2.0849835397895936E-2</v>
      </c>
      <c r="AI82" s="43">
        <f>(Intermediate!CU82/1000000)*(Intermediate!BK82-Intermediate!BF82-Intermediate!BG82-Intermediate!BH82)*Intermediate!CW82</f>
        <v>8.5724390803674042E-2</v>
      </c>
      <c r="AJ82" s="43">
        <f>Intermediate!BF82*Parameters!$C$52/1000000+(Intermediate!BG82+Intermediate!BH82)*Intermediate!CX82/1000000</f>
        <v>2.1372607723168344</v>
      </c>
      <c r="AK82" s="43">
        <f>Intermediate!AZ82*Intermediate!CH82*86.4*0.365</f>
        <v>8.6240040855069491E-2</v>
      </c>
      <c r="AL82" s="58">
        <f>Intermediate!CR82*Intermediate!BA82*86.4*0.365</f>
        <v>8.504847068140478</v>
      </c>
      <c r="AM82" s="43">
        <f>Intermediate!DH82</f>
        <v>0.20132412892473156</v>
      </c>
      <c r="AN82" s="42">
        <f>Intermediate!DJ82</f>
        <v>1.0766600903437091</v>
      </c>
      <c r="AO82" s="42">
        <f>Intermediate!DL82</f>
        <v>0.47823093476739659</v>
      </c>
      <c r="AP82" s="42">
        <f t="shared" si="265"/>
        <v>14.476539448761025</v>
      </c>
      <c r="AQ82" s="43">
        <f>Basicinfo!CD82+Basicinfo!CF82+Basicinfo!CI82+Basicinfo!CK82</f>
        <v>3.3533333333333335</v>
      </c>
      <c r="AR82" s="83">
        <f t="shared" si="377"/>
        <v>17.829872782094359</v>
      </c>
      <c r="AS82" s="19">
        <f>F82*86400*365/(Basicinfo!G82*1000000)*1000</f>
        <v>4.848965194636178</v>
      </c>
      <c r="AT82" s="19">
        <f>G82*86400*365/(Basicinfo!G82*1000000)*1000</f>
        <v>264.44352175243921</v>
      </c>
      <c r="AU82" s="19">
        <f>H82*86400*365/(Basicinfo!G82*1000000)*1000</f>
        <v>10.018131044461926</v>
      </c>
      <c r="AV82" s="19">
        <f>I82*86400*365/(Basicinfo!G82*1000000)*1000</f>
        <v>0.44997120105009653</v>
      </c>
      <c r="AW82" s="19">
        <f>J82*86400*365/(Basicinfo!G82*1000000)*1000</f>
        <v>828.97289016912464</v>
      </c>
      <c r="AX82" s="53">
        <f>K82*86400*365/(Basicinfo!G82*1000000)*1000</f>
        <v>0.77600241711370921</v>
      </c>
      <c r="AY82" s="53">
        <f>L82*86400*365/(Basicinfo!G82*1000000)*1000</f>
        <v>0.99832719220151123</v>
      </c>
      <c r="AZ82" s="53">
        <f>M82*86400*365/(Basicinfo!G82*1000000)*1000</f>
        <v>1.2901883799533838</v>
      </c>
      <c r="BA82" s="19">
        <f t="shared" si="266"/>
        <v>1111.7979973509805</v>
      </c>
      <c r="BB82" s="19">
        <f>O82*86400*365/(Basicinfo!G82*1000000)*1000</f>
        <v>6.5886170030113247</v>
      </c>
      <c r="BC82" s="53">
        <f t="shared" si="378"/>
        <v>1118.3866143539917</v>
      </c>
      <c r="BD82" s="56">
        <f>P82/(Basicinfo!G82*100)*1000</f>
        <v>0.45941656367534373</v>
      </c>
      <c r="BE82" s="43">
        <f>Q82/(Basicinfo!G82*100)*1000</f>
        <v>82.275649899172052</v>
      </c>
      <c r="BF82" s="58">
        <f t="shared" si="379"/>
        <v>82.735066462847399</v>
      </c>
      <c r="BG82" s="61">
        <f>S82/(Basicinfo!G82*100)*1000000</f>
        <v>69.296072141540662</v>
      </c>
      <c r="BH82" s="19">
        <f>T82/(Basicinfo!G82*100)*1000000</f>
        <v>2313.2791127191449</v>
      </c>
      <c r="BI82" s="19">
        <f>U82/(Basicinfo!G82*100)*1000000</f>
        <v>87.634414688152177</v>
      </c>
      <c r="BJ82" s="19">
        <f>V82/(Basicinfo!G82*100)*1000000</f>
        <v>2.5612957281303004</v>
      </c>
      <c r="BK82" s="19">
        <f>W82/(Basicinfo!G82*100)*1000000</f>
        <v>2.0568912474793009</v>
      </c>
      <c r="BL82" s="19">
        <f>X82/(Basicinfo!G82*100)*1000000</f>
        <v>23.762465980196087</v>
      </c>
      <c r="BM82" s="19">
        <f>Y82/(Basicinfo!G82*100)*1000000</f>
        <v>10130.872869105968</v>
      </c>
      <c r="BN82" s="53">
        <f>Z82/(Basicinfo!G82*100)*1000000</f>
        <v>12.893186221685211</v>
      </c>
      <c r="BO82" s="53">
        <f>AA82/(Basicinfo!G82*100)*1000000</f>
        <v>113.30464110642909</v>
      </c>
      <c r="BP82" s="53">
        <f>AB82/(Basicinfo!G82*100)*1000000</f>
        <v>56.472255676472457</v>
      </c>
      <c r="BQ82" s="19">
        <f t="shared" si="267"/>
        <v>12812.133204615197</v>
      </c>
      <c r="BR82" s="19">
        <f>AD82/(Basicinfo!G82*100)*1000000</f>
        <v>787.26676366886227</v>
      </c>
      <c r="BS82" s="53">
        <f t="shared" si="380"/>
        <v>13599.399968284059</v>
      </c>
      <c r="BT82" s="56">
        <f>AF82/(Basicinfo!G82*100)*1000000</f>
        <v>1.896747968308135</v>
      </c>
      <c r="BU82" s="43">
        <f>AG82/(Basicinfo!G82*100)*1000000</f>
        <v>33.836859016564894</v>
      </c>
      <c r="BV82" s="43">
        <f>AH82/(Basicinfo!G82*100)*1000000</f>
        <v>0.39516227829868028</v>
      </c>
      <c r="BW82" s="43">
        <f>AI82/(Basicinfo!G82*100)*1000000</f>
        <v>1.6247152521484547</v>
      </c>
      <c r="BX82" s="43">
        <f>AJ82/(Basicinfo!G82*100)*1000000</f>
        <v>40.507026553904922</v>
      </c>
      <c r="BY82" s="58">
        <f>AK82/(Basicinfo!G82*100)*1000000</f>
        <v>1.6344882525211495</v>
      </c>
      <c r="BZ82" s="58">
        <f>AL82/(Basicinfo!G82*100)*1000000</f>
        <v>161.19046888818116</v>
      </c>
      <c r="CA82" s="58">
        <f>AM82/(Basicinfo!G82*100)*1000000</f>
        <v>3.8156512962410503</v>
      </c>
      <c r="CB82" s="58">
        <f>AN82/(Basicinfo!G82*100)*1000000</f>
        <v>20.405698468795489</v>
      </c>
      <c r="CC82" s="58">
        <f>AO82/(Basicinfo!G82*100)*1000000</f>
        <v>9.0638042041647413</v>
      </c>
      <c r="CD82" s="58">
        <f t="shared" si="268"/>
        <v>274.37062217912865</v>
      </c>
      <c r="CE82" s="58">
        <f>AQ82/(Basicinfo!G82*100)*1000000</f>
        <v>63.554978473769232</v>
      </c>
      <c r="CF82" s="43">
        <f t="shared" si="381"/>
        <v>337.92560065289786</v>
      </c>
      <c r="CG82" s="84"/>
      <c r="CH82" s="84">
        <f t="shared" si="277"/>
        <v>41.538333333333341</v>
      </c>
      <c r="CI82" s="146">
        <f t="shared" si="152"/>
        <v>9.6381698657149926</v>
      </c>
      <c r="CJ82" s="200">
        <f>Intermediate!EW82+Intermediate!EY82+Intermediate!FD82</f>
        <v>175.526054507928</v>
      </c>
      <c r="CK82" s="180">
        <f>Intermediate!FA82+Intermediate!FF82</f>
        <v>36.583154996640999</v>
      </c>
      <c r="CL82" s="180">
        <f t="shared" si="252"/>
        <v>1.2537722640639126</v>
      </c>
      <c r="CM82" s="180">
        <f t="shared" si="253"/>
        <v>203.31376723055885</v>
      </c>
      <c r="CN82" s="202">
        <f>Intermediate!EX82+Intermediate!EZ82+Intermediate!FE82</f>
        <v>135.06571336020582</v>
      </c>
      <c r="CO82" s="180">
        <f>Intermediate!FB82+Intermediate!FG82</f>
        <v>28.00693786400165</v>
      </c>
      <c r="CP82" s="213">
        <f>Intermediate!EP82+Intermediate!EQ82+Intermediate!ER82+Intermediate!ES82+Intermediate!ET82+Intermediate!EU82+Intermediate!EV82+W82</f>
        <v>86.615386372826009</v>
      </c>
      <c r="CQ82" s="212">
        <f t="shared" si="278"/>
        <v>163.07265122420748</v>
      </c>
      <c r="CR82" s="212">
        <f t="shared" si="279"/>
        <v>416.67674899919177</v>
      </c>
      <c r="CS82" s="211">
        <f t="shared" si="254"/>
        <v>42.218612867184419</v>
      </c>
      <c r="CT82" s="212">
        <f t="shared" si="280"/>
        <v>708.58339946340971</v>
      </c>
      <c r="CU82" s="84"/>
      <c r="CV82" s="31">
        <f t="shared" si="281"/>
        <v>717.54128979527343</v>
      </c>
      <c r="CW82" s="31">
        <f>CH82/Basicinfo!$G82*1000/100</f>
        <v>0.78726676366886228</v>
      </c>
      <c r="CX82" s="31">
        <f>CI82/Basicinfo!$G82*1000/100</f>
        <v>0.18267008300458676</v>
      </c>
      <c r="CY82" s="31">
        <f>CS82/Basicinfo!$G82*1000/100</f>
        <v>0.80015994989054751</v>
      </c>
      <c r="CZ82" s="31">
        <f>CN82/Basicinfo!$G82*1000/100</f>
        <v>2.5598703295682399</v>
      </c>
      <c r="DA82" s="31">
        <f>CO82/Basicinfo!$G82*1000/100</f>
        <v>0.5308092444521324</v>
      </c>
      <c r="DB82" s="31">
        <f>CQ82/Basicinfo!$G82*1000/100</f>
        <v>3.0906795740203727</v>
      </c>
      <c r="DC82" s="31">
        <f>CJ82/Basicinfo!$G82*1000/100</f>
        <v>3.326706147863919</v>
      </c>
      <c r="DD82" s="31">
        <f>CK82/Basicinfo!$G82*1000/100</f>
        <v>0.69335237424873208</v>
      </c>
      <c r="DE82" s="31">
        <f>CM82/Basicinfo!$G82*1000/100</f>
        <v>3.8533604671249786</v>
      </c>
      <c r="DF82" s="31">
        <f>CR82/Basicinfo!$G82*1000/100</f>
        <v>7.8971814552178259</v>
      </c>
      <c r="DG82" s="31">
        <f>CP82/Basicinfo!$G82*1000/100</f>
        <v>1.6416020923724139</v>
      </c>
      <c r="DH82" s="31">
        <f>CT82/Basicinfo!$G82*1000/100</f>
        <v>13.429623071501162</v>
      </c>
      <c r="DI82" s="31">
        <f>CV82/Basicinfo!$G82*1000/100</f>
        <v>13.599399968284057</v>
      </c>
      <c r="DJ82" s="31"/>
      <c r="DK82" s="188">
        <f t="shared" si="282"/>
        <v>5.8621657471497572</v>
      </c>
      <c r="DL82" s="188">
        <f t="shared" si="283"/>
        <v>1.36020260607484</v>
      </c>
      <c r="DM82" s="188">
        <f t="shared" si="284"/>
        <v>5.9581713174702351</v>
      </c>
      <c r="DN82" s="188">
        <f t="shared" si="285"/>
        <v>19.061371387261865</v>
      </c>
      <c r="DO82" s="188">
        <f t="shared" si="286"/>
        <v>3.9525252616996838</v>
      </c>
      <c r="DP82" s="188">
        <f t="shared" si="287"/>
        <v>23.013896648961548</v>
      </c>
      <c r="DQ82" s="188">
        <f t="shared" si="288"/>
        <v>24.771403710678086</v>
      </c>
      <c r="DR82" s="188">
        <f t="shared" si="289"/>
        <v>5.1628580382132006</v>
      </c>
      <c r="DS82" s="188">
        <f t="shared" si="290"/>
        <v>28.69299046301715</v>
      </c>
      <c r="DT82" s="188">
        <f t="shared" si="291"/>
        <v>58.804192888900495</v>
      </c>
      <c r="DU82" s="188">
        <f t="shared" si="292"/>
        <v>12.223739144667714</v>
      </c>
      <c r="DV82" s="188">
        <f t="shared" si="293"/>
        <v>100</v>
      </c>
      <c r="DW82" s="188">
        <f t="shared" si="294"/>
        <v>101.26419703575434</v>
      </c>
      <c r="DY82" s="181">
        <f t="shared" si="295"/>
        <v>3.3533333333333335</v>
      </c>
      <c r="DZ82" s="181">
        <f t="shared" si="269"/>
        <v>1.7562151540358373</v>
      </c>
      <c r="EA82" s="185">
        <f t="shared" si="296"/>
        <v>8.6240040855069491E-2</v>
      </c>
      <c r="EB82" s="185">
        <f>AG82+AH82+AL82-Intermediate!FJ82-Intermediate!FM82</f>
        <v>9.4717679234799412</v>
      </c>
      <c r="EC82" s="185">
        <f>AI82+AJ82-Intermediate!FK82</f>
        <v>9.0735285069856175E-3</v>
      </c>
      <c r="ED82" s="240">
        <f t="shared" si="297"/>
        <v>0.10007757597911952</v>
      </c>
      <c r="EE82" s="240">
        <f>Intermediate!FJ82+Intermediate!FK82+Intermediate!FM82</f>
        <v>3.0531652259040722</v>
      </c>
      <c r="EF82" s="240">
        <f t="shared" si="298"/>
        <v>9.5670814928419965</v>
      </c>
      <c r="EG82" s="240">
        <f t="shared" si="299"/>
        <v>5.109548487369171</v>
      </c>
      <c r="EH82" s="240">
        <f t="shared" si="300"/>
        <v>17.829872782094359</v>
      </c>
      <c r="EI82" s="181">
        <f t="shared" si="301"/>
        <v>17.829872782094359</v>
      </c>
      <c r="EK82" s="31">
        <f>DY82/Basicinfo!$G82*1000/100</f>
        <v>6.3554978473769244E-2</v>
      </c>
      <c r="EL82" s="31">
        <f>DZ82/Basicinfo!$G82*1000/100</f>
        <v>3.328515396920128E-2</v>
      </c>
      <c r="EM82" s="220">
        <f>EG82/Basicinfo!$G82*1000/100</f>
        <v>9.6840132442970517E-2</v>
      </c>
      <c r="EN82" s="220">
        <f>ED82/Basicinfo!$G82*1000/100</f>
        <v>1.8967479683081349E-3</v>
      </c>
      <c r="EO82" s="220">
        <f>EF82/Basicinfo!$G82*1000/100</f>
        <v>0.18132276093470254</v>
      </c>
      <c r="EP82" s="220">
        <f>EE82/Basicinfo!$G82*1000/100</f>
        <v>5.7865959306916723E-2</v>
      </c>
      <c r="EQ82" s="220">
        <f>EH82/Basicinfo!$G82*1000/100</f>
        <v>0.33792560065289784</v>
      </c>
      <c r="ER82" s="31">
        <f>EI82/Basicinfo!$G82*1000/100</f>
        <v>0.33792560065289784</v>
      </c>
      <c r="ET82" s="188">
        <f t="shared" si="302"/>
        <v>18.807387883894034</v>
      </c>
      <c r="EU82" s="188">
        <f t="shared" si="303"/>
        <v>9.8498468020451373</v>
      </c>
      <c r="EV82" s="223">
        <f t="shared" si="304"/>
        <v>28.657234685939169</v>
      </c>
      <c r="EW82" s="223">
        <f t="shared" si="305"/>
        <v>0.56129158745104668</v>
      </c>
      <c r="EX82" s="223">
        <f t="shared" si="306"/>
        <v>53.657598176750511</v>
      </c>
      <c r="EY82" s="223">
        <f t="shared" si="307"/>
        <v>17.123875549859292</v>
      </c>
      <c r="EZ82" s="223">
        <f t="shared" si="308"/>
        <v>100</v>
      </c>
      <c r="FA82" s="188">
        <f t="shared" si="309"/>
        <v>100</v>
      </c>
      <c r="FC82" s="236">
        <f>Basicinfo!CT82</f>
        <v>0.8030806451612903</v>
      </c>
      <c r="FD82" s="181">
        <f>IF((Intermediate!CL82+Intermediate!CM82*3)/4&gt;11,(Intermediate!CL82+Intermediate!CM82*9)/10,(Intermediate!CL82+Intermediate!CM82*3)/4)</f>
        <v>1.3512307892960402</v>
      </c>
      <c r="FF82" s="31">
        <f t="shared" si="310"/>
        <v>0.10007757597911952</v>
      </c>
      <c r="FG82" s="31">
        <f t="shared" si="311"/>
        <v>1.7853246112321168</v>
      </c>
      <c r="FH82" s="31">
        <f t="shared" si="312"/>
        <v>2.0849835397895936E-2</v>
      </c>
      <c r="FI82" s="31">
        <f>(AI82-(P82*450/1000000))*Parameters!$C$153</f>
        <v>5.9853088860138716E-2</v>
      </c>
      <c r="FJ82" s="31"/>
      <c r="FK82" s="31">
        <f t="shared" si="313"/>
        <v>8.6240040855069491E-2</v>
      </c>
      <c r="FL82" s="31">
        <f t="shared" si="314"/>
        <v>8.504847068140478</v>
      </c>
      <c r="FM82" s="31">
        <f>AM82*Parameters!$C$154</f>
        <v>0.18119171603225842</v>
      </c>
      <c r="FN82" s="31">
        <f>AN82*Parameters!$C$154</f>
        <v>0.96899408130933828</v>
      </c>
      <c r="FO82" s="31">
        <f>AO82*Parameters!$C$154</f>
        <v>0.43040784129065696</v>
      </c>
      <c r="FP82" s="31">
        <f>AQ82*Parameters!$C$155</f>
        <v>3.3533333333333335</v>
      </c>
      <c r="FQ82" s="31">
        <f t="shared" si="315"/>
        <v>15.491119192430405</v>
      </c>
      <c r="FS82" s="147">
        <f>DY82*Parameters!$C$155</f>
        <v>3.3533333333333335</v>
      </c>
      <c r="FT82" s="147">
        <f>DZ82*Parameters!$C$154</f>
        <v>1.5805936386322537</v>
      </c>
      <c r="FU82" s="181">
        <f t="shared" si="316"/>
        <v>8.6240040855069491E-2</v>
      </c>
      <c r="FV82" s="181">
        <f t="shared" si="317"/>
        <v>9.4717679234799412</v>
      </c>
      <c r="FW82" s="31">
        <f t="shared" si="318"/>
        <v>5.9853088860139847E-2</v>
      </c>
      <c r="FX82" s="181">
        <f t="shared" si="319"/>
        <v>0.10007757597911952</v>
      </c>
      <c r="FY82" s="147">
        <f>Intermediate!FJ82+Intermediate!FM82</f>
        <v>0.83925359129054922</v>
      </c>
      <c r="FZ82" s="181">
        <f t="shared" si="320"/>
        <v>9.6178610531951492</v>
      </c>
      <c r="GA82" s="147">
        <f t="shared" si="321"/>
        <v>4.9339269719655867</v>
      </c>
      <c r="GB82" s="181">
        <f t="shared" si="322"/>
        <v>15.491119192430405</v>
      </c>
      <c r="GD82" s="147">
        <f>IF('River loads'!CH82&gt;0.99,1,0)</f>
        <v>0</v>
      </c>
      <c r="GE82" s="147">
        <f t="shared" si="323"/>
        <v>0</v>
      </c>
      <c r="GF82" s="147">
        <f t="shared" si="324"/>
        <v>0</v>
      </c>
      <c r="GG82" s="147">
        <f t="shared" si="325"/>
        <v>0</v>
      </c>
      <c r="GH82" s="147">
        <f t="shared" si="326"/>
        <v>0</v>
      </c>
      <c r="GI82" s="147">
        <f t="shared" si="327"/>
        <v>0</v>
      </c>
      <c r="GJ82" s="147">
        <f t="shared" si="328"/>
        <v>0</v>
      </c>
      <c r="GK82" s="147">
        <f t="shared" si="329"/>
        <v>0</v>
      </c>
      <c r="GL82" s="147">
        <f t="shared" si="330"/>
        <v>0</v>
      </c>
      <c r="GM82" s="270">
        <f t="shared" si="270"/>
        <v>0</v>
      </c>
      <c r="GN82" s="270">
        <f t="shared" si="271"/>
        <v>0</v>
      </c>
      <c r="GO82" s="147">
        <f t="shared" si="331"/>
        <v>0</v>
      </c>
      <c r="GP82" s="147">
        <f t="shared" si="332"/>
        <v>0</v>
      </c>
      <c r="GQ82" s="147"/>
      <c r="GR82" s="147">
        <f t="shared" si="333"/>
        <v>0</v>
      </c>
      <c r="GS82" s="147">
        <f t="shared" si="334"/>
        <v>0</v>
      </c>
      <c r="GT82" s="147">
        <f t="shared" si="335"/>
        <v>0</v>
      </c>
      <c r="GU82" s="147">
        <f t="shared" si="336"/>
        <v>0</v>
      </c>
      <c r="GV82" s="147">
        <f t="shared" si="337"/>
        <v>0</v>
      </c>
      <c r="GW82" s="147">
        <f t="shared" si="338"/>
        <v>0</v>
      </c>
      <c r="GX82" s="147">
        <f t="shared" si="339"/>
        <v>0</v>
      </c>
      <c r="GY82" s="147">
        <f t="shared" si="340"/>
        <v>0</v>
      </c>
      <c r="GZ82" s="147">
        <f t="shared" si="272"/>
        <v>0</v>
      </c>
      <c r="HA82" s="147">
        <f t="shared" si="273"/>
        <v>0</v>
      </c>
      <c r="HB82" s="147">
        <f t="shared" si="341"/>
        <v>0</v>
      </c>
      <c r="HC82" s="147">
        <f t="shared" si="342"/>
        <v>0</v>
      </c>
      <c r="HD82" s="147"/>
      <c r="HE82" s="147">
        <f t="shared" si="343"/>
        <v>0</v>
      </c>
      <c r="HF82" s="147">
        <f t="shared" si="344"/>
        <v>0</v>
      </c>
      <c r="HG82" s="147">
        <f t="shared" si="345"/>
        <v>0</v>
      </c>
      <c r="HH82" s="147">
        <f t="shared" si="346"/>
        <v>0</v>
      </c>
      <c r="HI82" s="147">
        <f t="shared" si="347"/>
        <v>0</v>
      </c>
      <c r="HJ82" s="147">
        <f t="shared" si="348"/>
        <v>0</v>
      </c>
      <c r="HK82" s="147">
        <f t="shared" si="349"/>
        <v>0</v>
      </c>
      <c r="HL82" s="147">
        <f t="shared" si="350"/>
        <v>0</v>
      </c>
      <c r="HM82" s="147">
        <f t="shared" si="351"/>
        <v>0</v>
      </c>
      <c r="HN82" s="147">
        <f t="shared" si="352"/>
        <v>0</v>
      </c>
      <c r="HO82" s="147">
        <f t="shared" si="353"/>
        <v>0</v>
      </c>
      <c r="HQ82" s="147">
        <f t="shared" si="354"/>
        <v>0</v>
      </c>
      <c r="HR82" s="147">
        <f t="shared" si="355"/>
        <v>0</v>
      </c>
      <c r="HS82" s="147">
        <f t="shared" si="356"/>
        <v>0</v>
      </c>
      <c r="HT82" s="147">
        <f t="shared" si="357"/>
        <v>0</v>
      </c>
      <c r="HU82" s="147">
        <f t="shared" si="358"/>
        <v>0</v>
      </c>
      <c r="HV82" s="147">
        <f t="shared" si="359"/>
        <v>0</v>
      </c>
      <c r="HW82" s="147">
        <f t="shared" si="360"/>
        <v>0</v>
      </c>
      <c r="HX82" s="147">
        <f t="shared" si="361"/>
        <v>0</v>
      </c>
      <c r="HY82" s="147">
        <f t="shared" si="362"/>
        <v>0</v>
      </c>
      <c r="HZ82" s="147">
        <f t="shared" si="363"/>
        <v>0</v>
      </c>
      <c r="IB82" s="147">
        <f>IF('River loads'!CI82&gt;0.99,1,0)</f>
        <v>0</v>
      </c>
      <c r="IC82">
        <f t="shared" si="255"/>
        <v>0</v>
      </c>
      <c r="ID82">
        <f t="shared" si="256"/>
        <v>0</v>
      </c>
      <c r="IE82">
        <f t="shared" si="257"/>
        <v>0</v>
      </c>
      <c r="IF82">
        <f t="shared" si="258"/>
        <v>0</v>
      </c>
      <c r="IG82">
        <f t="shared" si="259"/>
        <v>0</v>
      </c>
      <c r="IH82">
        <f t="shared" si="260"/>
        <v>0</v>
      </c>
      <c r="II82">
        <f t="shared" si="261"/>
        <v>0</v>
      </c>
      <c r="IJ82">
        <f t="shared" si="262"/>
        <v>0</v>
      </c>
      <c r="IK82">
        <f t="shared" si="274"/>
        <v>0</v>
      </c>
      <c r="IL82">
        <f t="shared" si="275"/>
        <v>0</v>
      </c>
      <c r="IM82">
        <f t="shared" si="364"/>
        <v>0</v>
      </c>
      <c r="IN82">
        <f t="shared" si="365"/>
        <v>0</v>
      </c>
      <c r="IP82">
        <f t="shared" si="366"/>
        <v>0</v>
      </c>
      <c r="IQ82">
        <f t="shared" si="367"/>
        <v>0</v>
      </c>
      <c r="IR82">
        <f t="shared" si="368"/>
        <v>0</v>
      </c>
      <c r="IS82">
        <f t="shared" si="369"/>
        <v>0</v>
      </c>
      <c r="IT82">
        <f t="shared" si="370"/>
        <v>0</v>
      </c>
      <c r="IU82">
        <f t="shared" si="371"/>
        <v>0</v>
      </c>
      <c r="IV82">
        <f t="shared" si="372"/>
        <v>0</v>
      </c>
      <c r="IW82">
        <f t="shared" si="373"/>
        <v>0</v>
      </c>
      <c r="IX82">
        <f t="shared" si="374"/>
        <v>0</v>
      </c>
    </row>
    <row r="83" spans="1:259">
      <c r="A83" s="39" t="str">
        <f>Basicinfo!A83</f>
        <v>Enns</v>
      </c>
      <c r="B83" s="63">
        <f>Basicinfo!B83</f>
        <v>4060</v>
      </c>
      <c r="C83" s="63">
        <f>Basicinfo!C83</f>
        <v>4070</v>
      </c>
      <c r="D83" s="130">
        <f>Basicinfo!G83</f>
        <v>608.94817049599999</v>
      </c>
      <c r="E83" s="87">
        <f t="shared" si="276"/>
        <v>20.104414834707299</v>
      </c>
      <c r="F83" s="19">
        <f>Intermediate!AR83</f>
        <v>0.12635315549669804</v>
      </c>
      <c r="G83" s="19">
        <f>Intermediate!AU83</f>
        <v>4.6729862625032688</v>
      </c>
      <c r="H83" s="19">
        <f>Intermediate!AW83</f>
        <v>0.10195002255362724</v>
      </c>
      <c r="I83" s="19">
        <f>Intermediate!AZ83</f>
        <v>0.1332605712474082</v>
      </c>
      <c r="J83" s="19">
        <f>Intermediate!BA83</f>
        <v>14.911015774520861</v>
      </c>
      <c r="K83" s="19">
        <f>Intermediate!AC83</f>
        <v>1.4466880462160044E-2</v>
      </c>
      <c r="L83" s="19">
        <f>Intermediate!AO83</f>
        <v>1.7725042447928042E-2</v>
      </c>
      <c r="M83" s="19">
        <f>Intermediate!AP83</f>
        <v>1.9601375433068727E-2</v>
      </c>
      <c r="N83" s="19">
        <f t="shared" si="263"/>
        <v>19.997359084665021</v>
      </c>
      <c r="O83" s="19">
        <f>Basicinfo!CB83+Basicinfo!CG83</f>
        <v>0.10705575004227971</v>
      </c>
      <c r="P83" s="56">
        <f>Intermediate!BK83-Intermediate!BI83</f>
        <v>57.869831619337219</v>
      </c>
      <c r="Q83" s="43">
        <f>Intermediate!BI83</f>
        <v>3763.4918982582963</v>
      </c>
      <c r="R83" s="88">
        <f t="shared" si="375"/>
        <v>3821.3617298776335</v>
      </c>
      <c r="S83" s="61">
        <f>Intermediate!F83*Intermediate!BO83/1000</f>
        <v>4.340624231373706</v>
      </c>
      <c r="T83" s="19">
        <f>Intermediate!BU83*Intermediate!AU83*86.4*0.365</f>
        <v>88.788832096421331</v>
      </c>
      <c r="U83" s="19">
        <f>Intermediate!AW83*Intermediate!BS83*0.365*86.4</f>
        <v>1.929697788078226</v>
      </c>
      <c r="V83" s="19">
        <f>(Basicinfo!BL83/1000000)*(Intermediate!BK83-Intermediate!BF83-Intermediate!BG83-Intermediate!BH83)*Intermediate!CV83</f>
        <v>0.33542044046709651</v>
      </c>
      <c r="W83" s="19">
        <f>Intermediate!BI83*Parameters!$C$51/1000000</f>
        <v>9.4087297456457414E-2</v>
      </c>
      <c r="X83" s="19">
        <f>Intermediate!AZ83*Intermediate!CG83*86.4*0.365</f>
        <v>36.824997764607367</v>
      </c>
      <c r="Y83" s="19">
        <f>Intermediate!CM83*Intermediate!BA83*86.4*0.365+Parameters!$C$126*Intermediate!BB83*Basicinfo!P83/1000+Parameters!$C$127*Intermediate!BB83*Basicinfo!S83/1000</f>
        <v>414.74124619263318</v>
      </c>
      <c r="Z83" s="19">
        <f>Intermediate!DG83</f>
        <v>0.8004202746221446</v>
      </c>
      <c r="AA83" s="19">
        <f>Intermediate!DI83</f>
        <v>5.707858603740207</v>
      </c>
      <c r="AB83" s="19">
        <f>Intermediate!DK83</f>
        <v>2.1162536025362728</v>
      </c>
      <c r="AC83" s="19">
        <f t="shared" si="264"/>
        <v>555.67943829193598</v>
      </c>
      <c r="AD83" s="19">
        <f>Basicinfo!CC83+Basicinfo!CE83+Basicinfo!CH83+Basicinfo!CJ83</f>
        <v>45.952582506666658</v>
      </c>
      <c r="AE83" s="87">
        <f t="shared" si="376"/>
        <v>601.63202079860264</v>
      </c>
      <c r="AF83" s="56">
        <f>Intermediate!F83*Basicinfo!BD83/1000</f>
        <v>0.18898985560189499</v>
      </c>
      <c r="AG83" s="43">
        <f>Intermediate!CA83*Intermediate!AU83*86.4*0.365</f>
        <v>2.7801750059663655</v>
      </c>
      <c r="AH83" s="43">
        <f>Intermediate!AW83*Intermediate!BZ83*0.365*86.4</f>
        <v>3.4963165379701441E-2</v>
      </c>
      <c r="AI83" s="43">
        <f>(Intermediate!CU83/1000000)*(Intermediate!BK83-Intermediate!BF83-Intermediate!BG83-Intermediate!BH83)*Intermediate!CW83</f>
        <v>0.25979247251625476</v>
      </c>
      <c r="AJ83" s="43">
        <f>Intermediate!BF83*Parameters!$C$52/1000000+(Intermediate!BG83+Intermediate!BH83)*Intermediate!CX83/1000000</f>
        <v>1.7589879152592782</v>
      </c>
      <c r="AK83" s="43">
        <f>Intermediate!AZ83*Intermediate!CH83*86.4*0.365</f>
        <v>2.0336871069529519</v>
      </c>
      <c r="AL83" s="58">
        <f>Intermediate!CR83*Intermediate!BA83*86.4*0.365</f>
        <v>8.7284448070306588</v>
      </c>
      <c r="AM83" s="43">
        <f>Intermediate!DH83</f>
        <v>0.24822866200127799</v>
      </c>
      <c r="AN83" s="42">
        <f>Intermediate!DJ83</f>
        <v>1.0595943751345502</v>
      </c>
      <c r="AO83" s="42">
        <f>Intermediate!DL83</f>
        <v>0.3605275773336577</v>
      </c>
      <c r="AP83" s="42">
        <f t="shared" si="265"/>
        <v>17.453390943176593</v>
      </c>
      <c r="AQ83" s="43">
        <f>Basicinfo!CD83+Basicinfo!CF83+Basicinfo!CI83+Basicinfo!CK83</f>
        <v>6.3315072333333333</v>
      </c>
      <c r="AR83" s="83">
        <f t="shared" si="377"/>
        <v>23.784898176509927</v>
      </c>
      <c r="AS83" s="19">
        <f>F83*86400*365/(Basicinfo!G83*1000000)*1000</f>
        <v>6.54353408845662</v>
      </c>
      <c r="AT83" s="19">
        <f>G83*86400*365/(Basicinfo!G83*1000000)*1000</f>
        <v>242.0030175216219</v>
      </c>
      <c r="AU83" s="19">
        <f>H83*86400*365/(Basicinfo!G83*1000000)*1000</f>
        <v>5.2797529691770517</v>
      </c>
      <c r="AV83" s="19">
        <f>I83*86400*365/(Basicinfo!G83*1000000)*1000</f>
        <v>6.9012529776306639</v>
      </c>
      <c r="AW83" s="19">
        <f>J83*86400*365/(Basicinfo!G83*1000000)*1000</f>
        <v>772.20659532037917</v>
      </c>
      <c r="AX83" s="53">
        <f>K83*86400*365/(Basicinfo!G83*1000000)*1000</f>
        <v>0.74920586736154104</v>
      </c>
      <c r="AY83" s="53">
        <f>L83*86400*365/(Basicinfo!G83*1000000)*1000</f>
        <v>0.91793844816474501</v>
      </c>
      <c r="AZ83" s="53">
        <f>M83*86400*365/(Basicinfo!G83*1000000)*1000</f>
        <v>1.0151093403462585</v>
      </c>
      <c r="BA83" s="19">
        <f t="shared" si="266"/>
        <v>1035.6164065331379</v>
      </c>
      <c r="BB83" s="19">
        <f>O83*86400*365/(Basicinfo!G83*1000000)*1000</f>
        <v>5.5441666416099524</v>
      </c>
      <c r="BC83" s="53">
        <f t="shared" si="378"/>
        <v>1041.1605731747479</v>
      </c>
      <c r="BD83" s="56">
        <f>P83/(Basicinfo!G83*100)*1000</f>
        <v>0.95032441877937046</v>
      </c>
      <c r="BE83" s="43">
        <f>Q83/(Basicinfo!G83*100)*1000</f>
        <v>61.803156337473837</v>
      </c>
      <c r="BF83" s="58">
        <f t="shared" si="379"/>
        <v>62.753480756253211</v>
      </c>
      <c r="BG83" s="61">
        <f>S83/(Basicinfo!G83*100)*1000000</f>
        <v>71.280684328818722</v>
      </c>
      <c r="BH83" s="19">
        <f>T83/(Basicinfo!G83*100)*1000000</f>
        <v>1458.0687880891589</v>
      </c>
      <c r="BI83" s="19">
        <f>U83/(Basicinfo!G83*100)*1000000</f>
        <v>31.689031703740071</v>
      </c>
      <c r="BJ83" s="19">
        <f>V83/(Basicinfo!G83*100)*1000000</f>
        <v>5.5081935822861592</v>
      </c>
      <c r="BK83" s="19">
        <f>W83/(Basicinfo!G83*100)*1000000</f>
        <v>1.5450789084368459</v>
      </c>
      <c r="BL83" s="19">
        <f>X83/(Basicinfo!G83*100)*1000000</f>
        <v>604.73123245633042</v>
      </c>
      <c r="BM83" s="19">
        <f>Y83/(Basicinfo!G83*100)*1000000</f>
        <v>6810.7807246521234</v>
      </c>
      <c r="BN83" s="53">
        <f>Z83/(Basicinfo!G83*100)*1000000</f>
        <v>13.1443087179355</v>
      </c>
      <c r="BO83" s="53">
        <f>AA83/(Basicinfo!G83*100)*1000000</f>
        <v>93.733077465214265</v>
      </c>
      <c r="BP83" s="53">
        <f>AB83/(Basicinfo!G83*100)*1000000</f>
        <v>34.752606298374182</v>
      </c>
      <c r="BQ83" s="19">
        <f t="shared" si="267"/>
        <v>9125.2337262024193</v>
      </c>
      <c r="BR83" s="19">
        <f>AD83/(Basicinfo!G83*100)*1000000</f>
        <v>754.62222785294512</v>
      </c>
      <c r="BS83" s="53">
        <f t="shared" si="380"/>
        <v>9879.8559540553651</v>
      </c>
      <c r="BT83" s="56">
        <f>AF83/(Basicinfo!G83*100)*1000000</f>
        <v>3.1035458312972533</v>
      </c>
      <c r="BU83" s="43">
        <f>AG83/(Basicinfo!G83*100)*1000000</f>
        <v>45.655363472097463</v>
      </c>
      <c r="BV83" s="43">
        <f>AH83/(Basicinfo!G83*100)*1000000</f>
        <v>0.57415667003684845</v>
      </c>
      <c r="BW83" s="43">
        <f>AI83/(Basicinfo!G83*100)*1000000</f>
        <v>4.2662493312796848</v>
      </c>
      <c r="BX83" s="43">
        <f>AJ83/(Basicinfo!G83*100)*1000000</f>
        <v>28.885675341245356</v>
      </c>
      <c r="BY83" s="58">
        <f>AK83/(Basicinfo!G83*100)*1000000</f>
        <v>33.396719219904618</v>
      </c>
      <c r="BZ83" s="58">
        <f>AL83/(Basicinfo!G83*100)*1000000</f>
        <v>143.33641564143582</v>
      </c>
      <c r="CA83" s="58">
        <f>AM83/(Basicinfo!G83*100)*1000000</f>
        <v>4.0763512237682056</v>
      </c>
      <c r="CB83" s="58">
        <f>AN83/(Basicinfo!G83*100)*1000000</f>
        <v>17.400403293296542</v>
      </c>
      <c r="CC83" s="58">
        <f>AO83/(Basicinfo!G83*100)*1000000</f>
        <v>5.9204969289915264</v>
      </c>
      <c r="CD83" s="58">
        <f t="shared" si="268"/>
        <v>286.61537695335335</v>
      </c>
      <c r="CE83" s="58">
        <f>AQ83/(Basicinfo!G83*100)*1000000</f>
        <v>103.97448485929762</v>
      </c>
      <c r="CF83" s="43">
        <f t="shared" si="381"/>
        <v>390.58986181265095</v>
      </c>
      <c r="CG83" s="84"/>
      <c r="CH83" s="84">
        <f t="shared" si="277"/>
        <v>45.952582506666658</v>
      </c>
      <c r="CI83" s="146">
        <f t="shared" si="152"/>
        <v>8.6245324808986243</v>
      </c>
      <c r="CJ83" s="200">
        <f>Intermediate!EW83+Intermediate!EY83+Intermediate!FD83</f>
        <v>112.4718236777526</v>
      </c>
      <c r="CK83" s="180">
        <f>Intermediate!FA83+Intermediate!FF83</f>
        <v>19.661672005689461</v>
      </c>
      <c r="CL83" s="180">
        <f t="shared" si="252"/>
        <v>36.824997764607367</v>
      </c>
      <c r="CM83" s="180">
        <f t="shared" si="253"/>
        <v>154.8675905653993</v>
      </c>
      <c r="CN83" s="202">
        <f>Intermediate!EX83+Intermediate!EZ83+Intermediate!FE83</f>
        <v>86.382331343757841</v>
      </c>
      <c r="CO83" s="180">
        <f>Intermediate!FB83+Intermediate!FG83</f>
        <v>14.501511132663037</v>
      </c>
      <c r="CP83" s="213">
        <f>Intermediate!EP83+Intermediate!EQ83+Intermediate!ER83+Intermediate!ES83+Intermediate!ET83+Intermediate!EU83+Intermediate!EV83+W83</f>
        <v>122.3449793211677</v>
      </c>
      <c r="CQ83" s="212">
        <f t="shared" si="278"/>
        <v>100.88384247642088</v>
      </c>
      <c r="CR83" s="212">
        <f t="shared" si="279"/>
        <v>323.82608401344874</v>
      </c>
      <c r="CS83" s="211">
        <f t="shared" si="254"/>
        <v>46.753002781288806</v>
      </c>
      <c r="CT83" s="212">
        <f t="shared" si="280"/>
        <v>593.80790859232616</v>
      </c>
      <c r="CU83" s="84"/>
      <c r="CV83" s="31">
        <f t="shared" si="281"/>
        <v>601.63202079860264</v>
      </c>
      <c r="CW83" s="31">
        <f>CH83/Basicinfo!$G83*1000/100</f>
        <v>0.75462222785294519</v>
      </c>
      <c r="CX83" s="31">
        <f>CI83/Basicinfo!$G83*1000/100</f>
        <v>0.14162999248152397</v>
      </c>
      <c r="CY83" s="31">
        <f>CS83/Basicinfo!$G83*1000/100</f>
        <v>0.76776653657088056</v>
      </c>
      <c r="CZ83" s="31">
        <f>CN83/Basicinfo!$G83*1000/100</f>
        <v>1.4185498130883252</v>
      </c>
      <c r="DA83" s="31">
        <f>CO83/Basicinfo!$G83*1000/100</f>
        <v>0.2381403185898609</v>
      </c>
      <c r="DB83" s="31">
        <f>CQ83/Basicinfo!$G83*1000/100</f>
        <v>1.6566901316781864</v>
      </c>
      <c r="DC83" s="31">
        <f>CJ83/Basicinfo!$G83*1000/100</f>
        <v>1.846985164371906</v>
      </c>
      <c r="DD83" s="31">
        <f>CK83/Basicinfo!$G83*1000/100</f>
        <v>0.32287923600582707</v>
      </c>
      <c r="DE83" s="31">
        <f>CM83/Basicinfo!$G83*1000/100</f>
        <v>2.5431982239023174</v>
      </c>
      <c r="DF83" s="31">
        <f>CR83/Basicinfo!$G83*1000/100</f>
        <v>5.3177938567363814</v>
      </c>
      <c r="DG83" s="31">
        <f>CP83/Basicinfo!$G83*1000/100</f>
        <v>2.0091197453063265</v>
      </c>
      <c r="DH83" s="31">
        <f>CT83/Basicinfo!$G83*1000/100</f>
        <v>9.7513702702917762</v>
      </c>
      <c r="DI83" s="31">
        <f>CV83/Basicinfo!$G83*1000/100</f>
        <v>9.8798559540553637</v>
      </c>
      <c r="DJ83" s="31"/>
      <c r="DK83" s="188">
        <f t="shared" si="282"/>
        <v>7.7386275665477902</v>
      </c>
      <c r="DL83" s="188">
        <f t="shared" si="283"/>
        <v>1.4524111848466006</v>
      </c>
      <c r="DM83" s="188">
        <f t="shared" si="284"/>
        <v>7.8734220452066577</v>
      </c>
      <c r="DN83" s="188">
        <f t="shared" si="285"/>
        <v>14.547184382999337</v>
      </c>
      <c r="DO83" s="188">
        <f t="shared" si="286"/>
        <v>2.4421215889562911</v>
      </c>
      <c r="DP83" s="188">
        <f t="shared" si="287"/>
        <v>16.989305971955627</v>
      </c>
      <c r="DQ83" s="188">
        <f t="shared" si="288"/>
        <v>18.940775636413623</v>
      </c>
      <c r="DR83" s="188">
        <f t="shared" si="289"/>
        <v>3.3111165616334044</v>
      </c>
      <c r="DS83" s="188">
        <f t="shared" si="290"/>
        <v>26.080418991475966</v>
      </c>
      <c r="DT83" s="188">
        <f t="shared" si="291"/>
        <v>54.533811242276464</v>
      </c>
      <c r="DU83" s="188">
        <f t="shared" si="292"/>
        <v>20.603460740561243</v>
      </c>
      <c r="DV83" s="188">
        <f t="shared" si="293"/>
        <v>100</v>
      </c>
      <c r="DW83" s="188">
        <f t="shared" si="294"/>
        <v>101.31761670618774</v>
      </c>
      <c r="DY83" s="181">
        <f t="shared" si="295"/>
        <v>6.3315072333333333</v>
      </c>
      <c r="DZ83" s="181">
        <f t="shared" si="269"/>
        <v>1.6683506144694857</v>
      </c>
      <c r="EA83" s="185">
        <f t="shared" si="296"/>
        <v>2.0336871069529519</v>
      </c>
      <c r="EB83" s="185">
        <f>AG83+AH83+AL83-Intermediate!FJ83-Intermediate!FM83</f>
        <v>9.2185379762694701</v>
      </c>
      <c r="EC83" s="185">
        <f>AI83+AJ83-Intermediate!FK83</f>
        <v>0.16666308840456212</v>
      </c>
      <c r="ED83" s="240">
        <f t="shared" si="297"/>
        <v>0.18898985560189499</v>
      </c>
      <c r="EE83" s="240">
        <f>Intermediate!FJ83+Intermediate!FK83+Intermediate!FM83</f>
        <v>4.1771623014782264</v>
      </c>
      <c r="EF83" s="240">
        <f t="shared" si="298"/>
        <v>11.418888171626984</v>
      </c>
      <c r="EG83" s="240">
        <f t="shared" si="299"/>
        <v>7.9998578478028186</v>
      </c>
      <c r="EH83" s="240">
        <f t="shared" si="300"/>
        <v>23.784898176509923</v>
      </c>
      <c r="EI83" s="181">
        <f t="shared" si="301"/>
        <v>23.784898176509927</v>
      </c>
      <c r="EK83" s="31">
        <f>DY83/Basicinfo!$G83*1000/100</f>
        <v>0.10397448485929761</v>
      </c>
      <c r="EL83" s="31">
        <f>DZ83/Basicinfo!$G83*1000/100</f>
        <v>2.7397251446056269E-2</v>
      </c>
      <c r="EM83" s="220">
        <f>EG83/Basicinfo!$G83*1000/100</f>
        <v>0.13137173630535387</v>
      </c>
      <c r="EN83" s="220">
        <f>ED83/Basicinfo!$G83*1000/100</f>
        <v>3.1035458312972529E-3</v>
      </c>
      <c r="EO83" s="220">
        <f>EF83/Basicinfo!$G83*1000/100</f>
        <v>0.18751822773892365</v>
      </c>
      <c r="EP83" s="220">
        <f>EE83/Basicinfo!$G83*1000/100</f>
        <v>6.8596351937076139E-2</v>
      </c>
      <c r="EQ83" s="220">
        <f>EH83/Basicinfo!$G83*1000/100</f>
        <v>0.39058986181265093</v>
      </c>
      <c r="ER83" s="31">
        <f>EI83/Basicinfo!$G83*1000/100</f>
        <v>0.39058986181265098</v>
      </c>
      <c r="ET83" s="188">
        <f t="shared" si="302"/>
        <v>26.61986268070871</v>
      </c>
      <c r="EU83" s="188">
        <f t="shared" si="303"/>
        <v>7.0143273353053761</v>
      </c>
      <c r="EV83" s="223">
        <f t="shared" si="304"/>
        <v>33.634190016014088</v>
      </c>
      <c r="EW83" s="223">
        <f t="shared" si="305"/>
        <v>0.79457920819918493</v>
      </c>
      <c r="EX83" s="223">
        <f t="shared" si="306"/>
        <v>48.008984889850524</v>
      </c>
      <c r="EY83" s="223">
        <f t="shared" si="307"/>
        <v>17.562245885936186</v>
      </c>
      <c r="EZ83" s="223">
        <f t="shared" si="308"/>
        <v>99.999999999999986</v>
      </c>
      <c r="FA83" s="188">
        <f t="shared" si="309"/>
        <v>100</v>
      </c>
      <c r="FC83" s="236">
        <f>Basicinfo!CT83</f>
        <v>0.81078629032258065</v>
      </c>
      <c r="FD83" s="181">
        <f>IF((Intermediate!CL83+Intermediate!CM83*3)/4&gt;11,(Intermediate!CL83+Intermediate!CM83*9)/10,(Intermediate!CL83+Intermediate!CM83*3)/4)</f>
        <v>0.98805172943390973</v>
      </c>
      <c r="FF83" s="31">
        <f t="shared" si="310"/>
        <v>0.18898985560189499</v>
      </c>
      <c r="FG83" s="31">
        <f t="shared" si="311"/>
        <v>2.7801750059663655</v>
      </c>
      <c r="FH83" s="31">
        <f t="shared" si="312"/>
        <v>3.4963165379701441E-2</v>
      </c>
      <c r="FI83" s="31">
        <f>(AI83-(P83*450/1000000))*Parameters!$C$153</f>
        <v>0.18700083863004241</v>
      </c>
      <c r="FJ83" s="31"/>
      <c r="FK83" s="31">
        <f t="shared" si="313"/>
        <v>2.0336871069529519</v>
      </c>
      <c r="FL83" s="31">
        <f t="shared" si="314"/>
        <v>8.7284448070306588</v>
      </c>
      <c r="FM83" s="31">
        <f>AM83*Parameters!$C$154</f>
        <v>0.22340579580115019</v>
      </c>
      <c r="FN83" s="31">
        <f>AN83*Parameters!$C$154</f>
        <v>0.95363493762109519</v>
      </c>
      <c r="FO83" s="31">
        <f>AO83*Parameters!$C$154</f>
        <v>0.32447481960029195</v>
      </c>
      <c r="FP83" s="31">
        <f>AQ83*Parameters!$C$155</f>
        <v>6.3315072333333333</v>
      </c>
      <c r="FQ83" s="31">
        <f t="shared" si="315"/>
        <v>21.786283565917486</v>
      </c>
      <c r="FS83" s="147">
        <f>DY83*Parameters!$C$155</f>
        <v>6.3315072333333333</v>
      </c>
      <c r="FT83" s="147">
        <f>DZ83*Parameters!$C$154</f>
        <v>1.5015155530225373</v>
      </c>
      <c r="FU83" s="181">
        <f t="shared" si="316"/>
        <v>2.0336871069529519</v>
      </c>
      <c r="FV83" s="181">
        <f t="shared" si="317"/>
        <v>9.2185379762694701</v>
      </c>
      <c r="FW83" s="31">
        <f t="shared" si="318"/>
        <v>0.18700083863004258</v>
      </c>
      <c r="FX83" s="181">
        <f t="shared" si="319"/>
        <v>0.18898985560189499</v>
      </c>
      <c r="FY83" s="147">
        <f>Intermediate!FJ83+Intermediate!FM83</f>
        <v>2.325045002107256</v>
      </c>
      <c r="FZ83" s="181">
        <f t="shared" si="320"/>
        <v>11.439225921852465</v>
      </c>
      <c r="GA83" s="147">
        <f t="shared" si="321"/>
        <v>7.8330227863558708</v>
      </c>
      <c r="GB83" s="181">
        <f t="shared" si="322"/>
        <v>21.786283565917486</v>
      </c>
      <c r="GD83" s="147">
        <f>IF('River loads'!CH83&gt;0.99,1,0)</f>
        <v>0</v>
      </c>
      <c r="GE83" s="147">
        <f t="shared" si="323"/>
        <v>0</v>
      </c>
      <c r="GF83" s="147">
        <f t="shared" si="324"/>
        <v>0</v>
      </c>
      <c r="GG83" s="147">
        <f t="shared" si="325"/>
        <v>0</v>
      </c>
      <c r="GH83" s="147">
        <f t="shared" si="326"/>
        <v>0</v>
      </c>
      <c r="GI83" s="147">
        <f t="shared" si="327"/>
        <v>0</v>
      </c>
      <c r="GJ83" s="147">
        <f t="shared" si="328"/>
        <v>0</v>
      </c>
      <c r="GK83" s="147">
        <f t="shared" si="329"/>
        <v>0</v>
      </c>
      <c r="GL83" s="147">
        <f t="shared" si="330"/>
        <v>0</v>
      </c>
      <c r="GM83" s="270">
        <f t="shared" si="270"/>
        <v>0</v>
      </c>
      <c r="GN83" s="270">
        <f t="shared" si="271"/>
        <v>0</v>
      </c>
      <c r="GO83" s="147">
        <f t="shared" si="331"/>
        <v>0</v>
      </c>
      <c r="GP83" s="147">
        <f t="shared" si="332"/>
        <v>0</v>
      </c>
      <c r="GQ83" s="147"/>
      <c r="GR83" s="147">
        <f t="shared" si="333"/>
        <v>0</v>
      </c>
      <c r="GS83" s="147">
        <f t="shared" si="334"/>
        <v>0</v>
      </c>
      <c r="GT83" s="147">
        <f t="shared" si="335"/>
        <v>0</v>
      </c>
      <c r="GU83" s="147">
        <f t="shared" si="336"/>
        <v>0</v>
      </c>
      <c r="GV83" s="147">
        <f t="shared" si="337"/>
        <v>0</v>
      </c>
      <c r="GW83" s="147">
        <f t="shared" si="338"/>
        <v>0</v>
      </c>
      <c r="GX83" s="147">
        <f t="shared" si="339"/>
        <v>0</v>
      </c>
      <c r="GY83" s="147">
        <f t="shared" si="340"/>
        <v>0</v>
      </c>
      <c r="GZ83" s="147">
        <f t="shared" si="272"/>
        <v>0</v>
      </c>
      <c r="HA83" s="147">
        <f t="shared" si="273"/>
        <v>0</v>
      </c>
      <c r="HB83" s="147">
        <f t="shared" si="341"/>
        <v>0</v>
      </c>
      <c r="HC83" s="147">
        <f t="shared" si="342"/>
        <v>0</v>
      </c>
      <c r="HD83" s="147"/>
      <c r="HE83" s="147">
        <f t="shared" si="343"/>
        <v>0</v>
      </c>
      <c r="HF83" s="147">
        <f t="shared" si="344"/>
        <v>0</v>
      </c>
      <c r="HG83" s="147">
        <f t="shared" si="345"/>
        <v>0</v>
      </c>
      <c r="HH83" s="147">
        <f t="shared" si="346"/>
        <v>0</v>
      </c>
      <c r="HI83" s="147">
        <f t="shared" si="347"/>
        <v>0</v>
      </c>
      <c r="HJ83" s="147">
        <f t="shared" si="348"/>
        <v>0</v>
      </c>
      <c r="HK83" s="147">
        <f t="shared" si="349"/>
        <v>0</v>
      </c>
      <c r="HL83" s="147">
        <f t="shared" si="350"/>
        <v>0</v>
      </c>
      <c r="HM83" s="147">
        <f t="shared" si="351"/>
        <v>0</v>
      </c>
      <c r="HN83" s="147">
        <f t="shared" si="352"/>
        <v>0</v>
      </c>
      <c r="HO83" s="147">
        <f t="shared" si="353"/>
        <v>0</v>
      </c>
      <c r="HQ83" s="147">
        <f t="shared" si="354"/>
        <v>0</v>
      </c>
      <c r="HR83" s="147">
        <f t="shared" si="355"/>
        <v>0</v>
      </c>
      <c r="HS83" s="147">
        <f t="shared" si="356"/>
        <v>0</v>
      </c>
      <c r="HT83" s="147">
        <f t="shared" si="357"/>
        <v>0</v>
      </c>
      <c r="HU83" s="147">
        <f t="shared" si="358"/>
        <v>0</v>
      </c>
      <c r="HV83" s="147">
        <f t="shared" si="359"/>
        <v>0</v>
      </c>
      <c r="HW83" s="147">
        <f t="shared" si="360"/>
        <v>0</v>
      </c>
      <c r="HX83" s="147">
        <f t="shared" si="361"/>
        <v>0</v>
      </c>
      <c r="HY83" s="147">
        <f t="shared" si="362"/>
        <v>0</v>
      </c>
      <c r="HZ83" s="147">
        <f t="shared" si="363"/>
        <v>0</v>
      </c>
      <c r="IB83" s="147">
        <f>IF('River loads'!CI83&gt;0.99,1,0)</f>
        <v>0</v>
      </c>
      <c r="IC83">
        <f t="shared" si="255"/>
        <v>0</v>
      </c>
      <c r="ID83">
        <f t="shared" si="256"/>
        <v>0</v>
      </c>
      <c r="IE83">
        <f t="shared" si="257"/>
        <v>0</v>
      </c>
      <c r="IF83">
        <f t="shared" si="258"/>
        <v>0</v>
      </c>
      <c r="IG83">
        <f t="shared" si="259"/>
        <v>0</v>
      </c>
      <c r="IH83">
        <f t="shared" si="260"/>
        <v>0</v>
      </c>
      <c r="II83">
        <f t="shared" si="261"/>
        <v>0</v>
      </c>
      <c r="IJ83">
        <f t="shared" si="262"/>
        <v>0</v>
      </c>
      <c r="IK83">
        <f t="shared" si="274"/>
        <v>0</v>
      </c>
      <c r="IL83">
        <f t="shared" si="275"/>
        <v>0</v>
      </c>
      <c r="IM83">
        <f t="shared" si="364"/>
        <v>0</v>
      </c>
      <c r="IN83">
        <f t="shared" si="365"/>
        <v>0</v>
      </c>
      <c r="IP83">
        <f t="shared" si="366"/>
        <v>0</v>
      </c>
      <c r="IQ83">
        <f t="shared" si="367"/>
        <v>0</v>
      </c>
      <c r="IR83">
        <f t="shared" si="368"/>
        <v>0</v>
      </c>
      <c r="IS83">
        <f t="shared" si="369"/>
        <v>0</v>
      </c>
      <c r="IT83">
        <f t="shared" si="370"/>
        <v>0</v>
      </c>
      <c r="IU83">
        <f t="shared" si="371"/>
        <v>0</v>
      </c>
      <c r="IV83">
        <f t="shared" si="372"/>
        <v>0</v>
      </c>
      <c r="IW83">
        <f t="shared" si="373"/>
        <v>0</v>
      </c>
      <c r="IX83">
        <f t="shared" si="374"/>
        <v>0</v>
      </c>
    </row>
    <row r="84" spans="1:259">
      <c r="A84" s="39" t="str">
        <f>Basicinfo!A84</f>
        <v>Enns</v>
      </c>
      <c r="B84" s="63">
        <f>Basicinfo!B84</f>
        <v>4070</v>
      </c>
      <c r="C84" s="63">
        <f>Basicinfo!C84</f>
        <v>4080</v>
      </c>
      <c r="D84" s="130">
        <f>Basicinfo!G84</f>
        <v>710.80972870100004</v>
      </c>
      <c r="E84" s="87">
        <f t="shared" si="276"/>
        <v>14.1417914487664</v>
      </c>
      <c r="F84" s="19">
        <f>Intermediate!AR84</f>
        <v>0.1989311356659095</v>
      </c>
      <c r="G84" s="19">
        <f>Intermediate!AU84</f>
        <v>2.914405016544551</v>
      </c>
      <c r="H84" s="19">
        <f>Intermediate!AW84</f>
        <v>0.22756596633246068</v>
      </c>
      <c r="I84" s="19">
        <f>Intermediate!AZ84</f>
        <v>2.327294311241826E-2</v>
      </c>
      <c r="J84" s="19">
        <f>Intermediate!BA84</f>
        <v>10.720547902524755</v>
      </c>
      <c r="K84" s="19">
        <f>Intermediate!AC84</f>
        <v>9.2532709743833146E-3</v>
      </c>
      <c r="L84" s="19">
        <f>Intermediate!AO84</f>
        <v>1.2923667115881689E-2</v>
      </c>
      <c r="M84" s="19">
        <f>Intermediate!AP84</f>
        <v>1.4502150250478147E-2</v>
      </c>
      <c r="N84" s="19">
        <f t="shared" si="263"/>
        <v>14.121402052520839</v>
      </c>
      <c r="O84" s="19">
        <f>Basicinfo!CB84+Basicinfo!CG84</f>
        <v>2.0389396245560628E-2</v>
      </c>
      <c r="P84" s="56">
        <f>Intermediate!BK84-Intermediate!BI84</f>
        <v>39.965322136920804</v>
      </c>
      <c r="Q84" s="43">
        <f>Intermediate!BI84</f>
        <v>6893.4078622576717</v>
      </c>
      <c r="R84" s="88">
        <f t="shared" si="375"/>
        <v>6933.3731843945925</v>
      </c>
      <c r="S84" s="61">
        <f>Intermediate!F84*Intermediate!BO84/1000</f>
        <v>8.2861830913866328</v>
      </c>
      <c r="T84" s="19">
        <f>Intermediate!BU84*Intermediate!AU84*86.4*0.365</f>
        <v>72.073704955692463</v>
      </c>
      <c r="U84" s="19">
        <f>Intermediate!AW84*Intermediate!BS84*0.365*86.4</f>
        <v>5.623541821191087</v>
      </c>
      <c r="V84" s="19">
        <f>(Basicinfo!BL84/1000000)*(Intermediate!BK84-Intermediate!BF84-Intermediate!BG84-Intermediate!BH84)*Intermediate!CV84</f>
        <v>0.78788608686176809</v>
      </c>
      <c r="W84" s="19">
        <f>Intermediate!BI84*Parameters!$C$51/1000000</f>
        <v>0.17233519655644181</v>
      </c>
      <c r="X84" s="19">
        <f>Intermediate!AZ84*Intermediate!CG84*86.4*0.365</f>
        <v>5.6740378069225548</v>
      </c>
      <c r="Y84" s="19">
        <f>Intermediate!CM84*Intermediate!BA84*86.4*0.365+Parameters!$C$126*Intermediate!BB84*Basicinfo!P84/1000+Parameters!$C$127*Intermediate!BB84*Basicinfo!S84/1000</f>
        <v>529.90320193753757</v>
      </c>
      <c r="Z84" s="19">
        <f>Intermediate!DG84</f>
        <v>0.47216683188102576</v>
      </c>
      <c r="AA84" s="19">
        <f>Intermediate!DI84</f>
        <v>5.0891888082133843</v>
      </c>
      <c r="AB84" s="19">
        <f>Intermediate!DK84</f>
        <v>1.3260959578092333</v>
      </c>
      <c r="AC84" s="19">
        <f t="shared" si="264"/>
        <v>629.40834249405225</v>
      </c>
      <c r="AD84" s="19">
        <f>Basicinfo!CC84+Basicinfo!CE84+Basicinfo!CH84+Basicinfo!CJ84</f>
        <v>6.4</v>
      </c>
      <c r="AE84" s="87">
        <f t="shared" si="376"/>
        <v>635.80834249405223</v>
      </c>
      <c r="AF84" s="56">
        <f>Intermediate!F84*Basicinfo!BD84/1000</f>
        <v>0.23116267951392797</v>
      </c>
      <c r="AG84" s="43">
        <f>Intermediate!CA84*Intermediate!AU84*86.4*0.365</f>
        <v>1.6777459499673246</v>
      </c>
      <c r="AH84" s="43">
        <f>Intermediate!AW84*Intermediate!BZ84*0.365*86.4</f>
        <v>6.248560246698194E-2</v>
      </c>
      <c r="AI84" s="43">
        <f>(Intermediate!CU84/1000000)*(Intermediate!BK84-Intermediate!BF84-Intermediate!BG84-Intermediate!BH84)*Intermediate!CW84</f>
        <v>0.15402607021604553</v>
      </c>
      <c r="AJ84" s="43">
        <f>Intermediate!BF84*Parameters!$C$52/1000000+(Intermediate!BG84+Intermediate!BH84)*Intermediate!CX84/1000000</f>
        <v>3.2039380761057088</v>
      </c>
      <c r="AK84" s="43">
        <f>Intermediate!AZ84*Intermediate!CH84*86.4*0.365</f>
        <v>0.16536738123197953</v>
      </c>
      <c r="AL84" s="58">
        <f>Intermediate!CR84*Intermediate!BA84*86.4*0.365</f>
        <v>1.2956336062578477</v>
      </c>
      <c r="AM84" s="43">
        <f>Intermediate!DH84</f>
        <v>0.13426396985901298</v>
      </c>
      <c r="AN84" s="42">
        <f>Intermediate!DJ84</f>
        <v>0.8984960540445871</v>
      </c>
      <c r="AO84" s="42">
        <f>Intermediate!DL84</f>
        <v>0.21565441597287446</v>
      </c>
      <c r="AP84" s="42">
        <f t="shared" si="265"/>
        <v>8.038773805636291</v>
      </c>
      <c r="AQ84" s="43">
        <f>Basicinfo!CD84+Basicinfo!CF84+Basicinfo!CI84+Basicinfo!CK84</f>
        <v>0.71666666666666667</v>
      </c>
      <c r="AR84" s="83">
        <f t="shared" si="377"/>
        <v>8.7554404723029577</v>
      </c>
      <c r="AS84" s="19">
        <f>F84*86400*365/(Basicinfo!G84*1000000)*1000</f>
        <v>8.8258390973698226</v>
      </c>
      <c r="AT84" s="19">
        <f>G84*86400*365/(Basicinfo!G84*1000000)*1000</f>
        <v>129.30137685328455</v>
      </c>
      <c r="AU84" s="19">
        <f>H84*86400*365/(Basicinfo!G84*1000000)*1000</f>
        <v>10.096260679177142</v>
      </c>
      <c r="AV84" s="19">
        <f>I84*86400*365/(Basicinfo!G84*1000000)*1000</f>
        <v>1.0325344524117366</v>
      </c>
      <c r="AW84" s="19">
        <f>J84*86400*365/(Basicinfo!G84*1000000)*1000</f>
        <v>475.63107960250545</v>
      </c>
      <c r="AX84" s="53">
        <f>K84*86400*365/(Basicinfo!G84*1000000)*1000</f>
        <v>0.41053342640854829</v>
      </c>
      <c r="AY84" s="53">
        <f>L84*86400*365/(Basicinfo!G84*1000000)*1000</f>
        <v>0.57337533479073155</v>
      </c>
      <c r="AZ84" s="53">
        <f>M84*86400*365/(Basicinfo!G84*1000000)*1000</f>
        <v>0.6434067962672152</v>
      </c>
      <c r="BA84" s="19">
        <f t="shared" si="266"/>
        <v>626.51440624221516</v>
      </c>
      <c r="BB84" s="19">
        <f>O84*86400*365/(Basicinfo!G84*1000000)*1000</f>
        <v>0.90460213758621189</v>
      </c>
      <c r="BC84" s="53">
        <f t="shared" si="378"/>
        <v>627.41900837980143</v>
      </c>
      <c r="BD84" s="56">
        <f>P84/(Basicinfo!G84*100)*1000</f>
        <v>0.56225063506034401</v>
      </c>
      <c r="BE84" s="43">
        <f>Q84/(Basicinfo!G84*100)*1000</f>
        <v>96.979649882611042</v>
      </c>
      <c r="BF84" s="58">
        <f t="shared" si="379"/>
        <v>97.54190051767138</v>
      </c>
      <c r="BG84" s="61">
        <f>S84/(Basicinfo!G84*100)*1000000</f>
        <v>116.57385593933242</v>
      </c>
      <c r="BH84" s="19">
        <f>T84/(Basicinfo!G84*100)*1000000</f>
        <v>1013.9662141007366</v>
      </c>
      <c r="BI84" s="19">
        <f>U84/(Basicinfo!G84*100)*1000000</f>
        <v>79.114587126826081</v>
      </c>
      <c r="BJ84" s="19">
        <f>V84/(Basicinfo!G84*100)*1000000</f>
        <v>11.084345853026303</v>
      </c>
      <c r="BK84" s="19">
        <f>W84/(Basicinfo!G84*100)*1000000</f>
        <v>2.424491247065276</v>
      </c>
      <c r="BL84" s="19">
        <f>X84/(Basicinfo!G84*100)*1000000</f>
        <v>79.824988007575811</v>
      </c>
      <c r="BM84" s="19">
        <f>Y84/(Basicinfo!G84*100)*1000000</f>
        <v>7454.9233154972726</v>
      </c>
      <c r="BN84" s="53">
        <f>Z84/(Basicinfo!G84*100)*1000000</f>
        <v>6.6426613595161044</v>
      </c>
      <c r="BO84" s="53">
        <f>AA84/(Basicinfo!G84*100)*1000000</f>
        <v>71.597061811658691</v>
      </c>
      <c r="BP84" s="53">
        <f>AB84/(Basicinfo!G84*100)*1000000</f>
        <v>18.65613122983931</v>
      </c>
      <c r="BQ84" s="19">
        <f t="shared" si="267"/>
        <v>8854.807652172849</v>
      </c>
      <c r="BR84" s="19">
        <f>AD84/(Basicinfo!G84*100)*1000000</f>
        <v>90.038159884164187</v>
      </c>
      <c r="BS84" s="53">
        <f t="shared" si="380"/>
        <v>8944.845812057014</v>
      </c>
      <c r="BT84" s="56">
        <f>AF84/(Basicinfo!G84*100)*1000000</f>
        <v>3.2521034839573204</v>
      </c>
      <c r="BU84" s="43">
        <f>AG84/(Basicinfo!G84*100)*1000000</f>
        <v>23.603305951276077</v>
      </c>
      <c r="BV84" s="43">
        <f>AH84/(Basicinfo!G84*100)*1000000</f>
        <v>0.87907635396569428</v>
      </c>
      <c r="BW84" s="43">
        <f>AI84/(Basicinfo!G84*100)*1000000</f>
        <v>2.1669099900690325</v>
      </c>
      <c r="BX84" s="43">
        <f>AJ84/(Basicinfo!G84*100)*1000000</f>
        <v>45.074482618026124</v>
      </c>
      <c r="BY84" s="58">
        <f>AK84/(Basicinfo!G84*100)*1000000</f>
        <v>2.3264647985922662</v>
      </c>
      <c r="BZ84" s="58">
        <f>AL84/(Basicinfo!G84*100)*1000000</f>
        <v>18.227572779928174</v>
      </c>
      <c r="CA84" s="58">
        <f>AM84/(Basicinfo!G84*100)*1000000</f>
        <v>1.8888876226325642</v>
      </c>
      <c r="CB84" s="58">
        <f>AN84/(Basicinfo!G84*100)*1000000</f>
        <v>12.640458026462055</v>
      </c>
      <c r="CC84" s="58">
        <f>AO84/(Basicinfo!G84*100)*1000000</f>
        <v>3.0339260601705815</v>
      </c>
      <c r="CD84" s="58">
        <f t="shared" si="268"/>
        <v>113.09318768507991</v>
      </c>
      <c r="CE84" s="58">
        <f>AQ84/(Basicinfo!G84*100)*1000000</f>
        <v>10.082398112028802</v>
      </c>
      <c r="CF84" s="43">
        <f t="shared" si="381"/>
        <v>123.17558579710871</v>
      </c>
      <c r="CG84" s="84"/>
      <c r="CH84" s="84">
        <f t="shared" si="277"/>
        <v>6.4</v>
      </c>
      <c r="CI84" s="146">
        <f t="shared" si="152"/>
        <v>6.8874515979036435</v>
      </c>
      <c r="CJ84" s="200">
        <f>Intermediate!EW84+Intermediate!EY84+Intermediate!FD84</f>
        <v>185.1418968299798</v>
      </c>
      <c r="CK84" s="180">
        <f>Intermediate!FA84+Intermediate!FF84</f>
        <v>10.515915765171354</v>
      </c>
      <c r="CL84" s="180">
        <f t="shared" si="252"/>
        <v>5.6740378069225548</v>
      </c>
      <c r="CM84" s="180">
        <f t="shared" si="253"/>
        <v>119.45870058346108</v>
      </c>
      <c r="CN84" s="202">
        <f>Intermediate!EX84+Intermediate!EZ84+Intermediate!FE84</f>
        <v>163.22531988146582</v>
      </c>
      <c r="CO84" s="180">
        <f>Intermediate!FB84+Intermediate!FG84</f>
        <v>9.3153365648975566</v>
      </c>
      <c r="CP84" s="213">
        <f>Intermediate!EP84+Intermediate!EQ84+Intermediate!ER84+Intermediate!ES84+Intermediate!ET84+Intermediate!EU84+Intermediate!EV84+W84</f>
        <v>129.18968346425044</v>
      </c>
      <c r="CQ84" s="212">
        <f t="shared" si="278"/>
        <v>172.54065644636339</v>
      </c>
      <c r="CR84" s="212">
        <f t="shared" si="279"/>
        <v>320.79055098553476</v>
      </c>
      <c r="CS84" s="211">
        <f t="shared" si="254"/>
        <v>6.8721668318810263</v>
      </c>
      <c r="CT84" s="212">
        <f t="shared" si="280"/>
        <v>629.39305772802959</v>
      </c>
      <c r="CU84" s="84"/>
      <c r="CV84" s="31">
        <f t="shared" si="281"/>
        <v>635.80834249405223</v>
      </c>
      <c r="CW84" s="31">
        <f>CH84/Basicinfo!$G84*1000/100</f>
        <v>9.0038159884164179E-2</v>
      </c>
      <c r="CX84" s="31">
        <f>CI84/Basicinfo!$G84*1000/100</f>
        <v>9.68958544010141E-2</v>
      </c>
      <c r="CY84" s="31">
        <f>CS84/Basicinfo!$G84*1000/100</f>
        <v>9.6680821243680271E-2</v>
      </c>
      <c r="CZ84" s="31">
        <f>CN84/Basicinfo!$G84*1000/100</f>
        <v>2.2963292888486344</v>
      </c>
      <c r="DA84" s="31">
        <f>CO84/Basicinfo!$G84*1000/100</f>
        <v>0.13105246296953857</v>
      </c>
      <c r="DB84" s="31">
        <f>CQ84/Basicinfo!$G84*1000/100</f>
        <v>2.4273817518181731</v>
      </c>
      <c r="DC84" s="31">
        <f>CJ84/Basicinfo!$G84*1000/100</f>
        <v>2.604661829380492</v>
      </c>
      <c r="DD84" s="31">
        <f>CK84/Basicinfo!$G84*1000/100</f>
        <v>0.14794276640514079</v>
      </c>
      <c r="DE84" s="31">
        <f>CM84/Basicinfo!$G84*1000/100</f>
        <v>1.6806002472950257</v>
      </c>
      <c r="DF84" s="31">
        <f>CR84/Basicinfo!$G84*1000/100</f>
        <v>4.5130298310882342</v>
      </c>
      <c r="DG84" s="31">
        <f>CP84/Basicinfo!$G84*1000/100</f>
        <v>1.817500214865428</v>
      </c>
      <c r="DH84" s="31">
        <f>CT84/Basicinfo!$G84*1000/100</f>
        <v>8.8545926190155164</v>
      </c>
      <c r="DI84" s="31">
        <f>CV84/Basicinfo!$G84*1000/100</f>
        <v>8.9448458120570145</v>
      </c>
      <c r="DJ84" s="31"/>
      <c r="DK84" s="188">
        <f t="shared" si="282"/>
        <v>1.0168526521570784</v>
      </c>
      <c r="DL84" s="188">
        <f t="shared" si="283"/>
        <v>1.094300534989348</v>
      </c>
      <c r="DM84" s="188">
        <f t="shared" si="284"/>
        <v>1.0918720420412702</v>
      </c>
      <c r="DN84" s="188">
        <f t="shared" si="285"/>
        <v>25.933765534477498</v>
      </c>
      <c r="DO84" s="188">
        <f t="shared" si="286"/>
        <v>1.4800507330862325</v>
      </c>
      <c r="DP84" s="188">
        <f t="shared" si="287"/>
        <v>27.413816267563735</v>
      </c>
      <c r="DQ84" s="188">
        <f t="shared" si="288"/>
        <v>29.415942002649555</v>
      </c>
      <c r="DR84" s="188">
        <f t="shared" si="289"/>
        <v>1.6708026305742067</v>
      </c>
      <c r="DS84" s="188">
        <f t="shared" si="290"/>
        <v>18.979983829926674</v>
      </c>
      <c r="DT84" s="188">
        <f t="shared" si="291"/>
        <v>50.968237899464299</v>
      </c>
      <c r="DU84" s="188">
        <f t="shared" si="292"/>
        <v>20.526073790930706</v>
      </c>
      <c r="DV84" s="188">
        <f t="shared" si="293"/>
        <v>100</v>
      </c>
      <c r="DW84" s="188">
        <f t="shared" si="294"/>
        <v>101.01928114510517</v>
      </c>
      <c r="DY84" s="181">
        <f t="shared" si="295"/>
        <v>0.71666666666666667</v>
      </c>
      <c r="DZ84" s="181">
        <f t="shared" si="269"/>
        <v>1.2484144398764745</v>
      </c>
      <c r="EA84" s="185">
        <f t="shared" si="296"/>
        <v>0.16536738123197953</v>
      </c>
      <c r="EB84" s="185">
        <f>AG84+AH84+AL84-Intermediate!FJ84-Intermediate!FM84</f>
        <v>1.2415081588006991</v>
      </c>
      <c r="EC84" s="185">
        <f>AI84+AJ84-Intermediate!FK84</f>
        <v>0.10626417088695739</v>
      </c>
      <c r="ED84" s="240">
        <f t="shared" si="297"/>
        <v>0.23116267951392797</v>
      </c>
      <c r="EE84" s="240">
        <f>Intermediate!FJ84+Intermediate!FK84+Intermediate!FM84</f>
        <v>5.0460569753262519</v>
      </c>
      <c r="EF84" s="240">
        <f t="shared" si="298"/>
        <v>1.5131397109196367</v>
      </c>
      <c r="EG84" s="240">
        <f t="shared" si="299"/>
        <v>1.9650811065431411</v>
      </c>
      <c r="EH84" s="240">
        <f t="shared" si="300"/>
        <v>8.7554404723029577</v>
      </c>
      <c r="EI84" s="181">
        <f t="shared" si="301"/>
        <v>8.7554404723029577</v>
      </c>
      <c r="EK84" s="31">
        <f>DY84/Basicinfo!$G84*1000/100</f>
        <v>1.0082398112028801E-2</v>
      </c>
      <c r="EL84" s="31">
        <f>DZ84/Basicinfo!$G84*1000/100</f>
        <v>1.75632717092652E-2</v>
      </c>
      <c r="EM84" s="220">
        <f>EG84/Basicinfo!$G84*1000/100</f>
        <v>2.7645669821293999E-2</v>
      </c>
      <c r="EN84" s="220">
        <f>ED84/Basicinfo!$G84*1000/100</f>
        <v>3.2521034839573196E-3</v>
      </c>
      <c r="EO84" s="220">
        <f>EF84/Basicinfo!$G84*1000/100</f>
        <v>2.1287549252946909E-2</v>
      </c>
      <c r="EP84" s="220">
        <f>EE84/Basicinfo!$G84*1000/100</f>
        <v>7.0990263238910459E-2</v>
      </c>
      <c r="EQ84" s="220">
        <f>EH84/Basicinfo!$G84*1000/100</f>
        <v>0.12317558579710869</v>
      </c>
      <c r="ER84" s="31">
        <f>EI84/Basicinfo!$G84*1000/100</f>
        <v>0.12317558579710869</v>
      </c>
      <c r="ET84" s="188">
        <f t="shared" si="302"/>
        <v>8.1853867767564257</v>
      </c>
      <c r="EU84" s="188">
        <f t="shared" si="303"/>
        <v>14.258727974060479</v>
      </c>
      <c r="EV84" s="223">
        <f t="shared" si="304"/>
        <v>22.444114750816901</v>
      </c>
      <c r="EW84" s="223">
        <f t="shared" si="305"/>
        <v>2.6402175909389149</v>
      </c>
      <c r="EX84" s="223">
        <f t="shared" si="306"/>
        <v>17.282279694623213</v>
      </c>
      <c r="EY84" s="223">
        <f t="shared" si="307"/>
        <v>57.633387963620976</v>
      </c>
      <c r="EZ84" s="223">
        <f t="shared" si="308"/>
        <v>100</v>
      </c>
      <c r="FA84" s="188">
        <f t="shared" si="309"/>
        <v>100</v>
      </c>
      <c r="FC84" s="236">
        <f>Basicinfo!CT84</f>
        <v>1.0436363636363635</v>
      </c>
      <c r="FD84" s="181">
        <f>IF((Intermediate!CL84+Intermediate!CM84*3)/4&gt;11,(Intermediate!CL84+Intermediate!CM84*9)/10,(Intermediate!CL84+Intermediate!CM84*3)/4)</f>
        <v>1.8506268902280079</v>
      </c>
      <c r="FF84" s="31">
        <f t="shared" si="310"/>
        <v>0.23116267951392797</v>
      </c>
      <c r="FG84" s="31">
        <f t="shared" si="311"/>
        <v>1.6777459499673246</v>
      </c>
      <c r="FH84" s="31">
        <f t="shared" si="312"/>
        <v>6.248560246698194E-2</v>
      </c>
      <c r="FI84" s="31">
        <f>(AI84-(P84*450/1000000))*Parameters!$C$153</f>
        <v>0.10883334020354495</v>
      </c>
      <c r="FJ84" s="31"/>
      <c r="FK84" s="31">
        <f t="shared" si="313"/>
        <v>0.16536738123197953</v>
      </c>
      <c r="FL84" s="31">
        <f t="shared" si="314"/>
        <v>1.2956336062578477</v>
      </c>
      <c r="FM84" s="31">
        <f>AM84*Parameters!$C$154</f>
        <v>0.12083757287311168</v>
      </c>
      <c r="FN84" s="31">
        <f>AN84*Parameters!$C$154</f>
        <v>0.80864644864012836</v>
      </c>
      <c r="FO84" s="31">
        <f>AO84*Parameters!$C$154</f>
        <v>0.19408897437558703</v>
      </c>
      <c r="FP84" s="31">
        <f>AQ84*Parameters!$C$155</f>
        <v>0.71666666666666667</v>
      </c>
      <c r="FQ84" s="31">
        <f t="shared" si="315"/>
        <v>5.3814682221971006</v>
      </c>
      <c r="FS84" s="147">
        <f>DY84*Parameters!$C$155</f>
        <v>0.71666666666666667</v>
      </c>
      <c r="FT84" s="147">
        <f>DZ84*Parameters!$C$154</f>
        <v>1.123572995888827</v>
      </c>
      <c r="FU84" s="181">
        <f t="shared" si="316"/>
        <v>0.16536738123197953</v>
      </c>
      <c r="FV84" s="181">
        <f t="shared" si="317"/>
        <v>1.2415081588006991</v>
      </c>
      <c r="FW84" s="31">
        <f t="shared" si="318"/>
        <v>0.10883334020354551</v>
      </c>
      <c r="FX84" s="181">
        <f t="shared" si="319"/>
        <v>0.23116267951392797</v>
      </c>
      <c r="FY84" s="147">
        <f>Intermediate!FJ84+Intermediate!FM84</f>
        <v>1.7943569998914553</v>
      </c>
      <c r="FZ84" s="181">
        <f t="shared" si="320"/>
        <v>1.5157088802362242</v>
      </c>
      <c r="GA84" s="147">
        <f t="shared" si="321"/>
        <v>1.8402396625554935</v>
      </c>
      <c r="GB84" s="181">
        <f t="shared" si="322"/>
        <v>5.3814682221971006</v>
      </c>
      <c r="GD84" s="147">
        <f>IF('River loads'!CH84&gt;0.99,1,0)</f>
        <v>0</v>
      </c>
      <c r="GE84" s="147">
        <f t="shared" si="323"/>
        <v>0</v>
      </c>
      <c r="GF84" s="147">
        <f t="shared" si="324"/>
        <v>0</v>
      </c>
      <c r="GG84" s="147">
        <f t="shared" si="325"/>
        <v>0</v>
      </c>
      <c r="GH84" s="147">
        <f t="shared" si="326"/>
        <v>0</v>
      </c>
      <c r="GI84" s="147">
        <f t="shared" si="327"/>
        <v>0</v>
      </c>
      <c r="GJ84" s="147">
        <f t="shared" si="328"/>
        <v>0</v>
      </c>
      <c r="GK84" s="147">
        <f t="shared" si="329"/>
        <v>0</v>
      </c>
      <c r="GL84" s="147">
        <f t="shared" si="330"/>
        <v>0</v>
      </c>
      <c r="GM84" s="270">
        <f t="shared" si="270"/>
        <v>0</v>
      </c>
      <c r="GN84" s="270">
        <f t="shared" si="271"/>
        <v>0</v>
      </c>
      <c r="GO84" s="147">
        <f t="shared" si="331"/>
        <v>0</v>
      </c>
      <c r="GP84" s="147">
        <f t="shared" si="332"/>
        <v>0</v>
      </c>
      <c r="GQ84" s="147"/>
      <c r="GR84" s="147">
        <f t="shared" si="333"/>
        <v>0</v>
      </c>
      <c r="GS84" s="147">
        <f t="shared" si="334"/>
        <v>0</v>
      </c>
      <c r="GT84" s="147">
        <f t="shared" si="335"/>
        <v>0</v>
      </c>
      <c r="GU84" s="147">
        <f t="shared" si="336"/>
        <v>0</v>
      </c>
      <c r="GV84" s="147">
        <f t="shared" si="337"/>
        <v>0</v>
      </c>
      <c r="GW84" s="147">
        <f t="shared" si="338"/>
        <v>0</v>
      </c>
      <c r="GX84" s="147">
        <f t="shared" si="339"/>
        <v>0</v>
      </c>
      <c r="GY84" s="147">
        <f t="shared" si="340"/>
        <v>0</v>
      </c>
      <c r="GZ84" s="147">
        <f t="shared" si="272"/>
        <v>0</v>
      </c>
      <c r="HA84" s="147">
        <f t="shared" si="273"/>
        <v>0</v>
      </c>
      <c r="HB84" s="147">
        <f t="shared" si="341"/>
        <v>0</v>
      </c>
      <c r="HC84" s="147">
        <f t="shared" si="342"/>
        <v>0</v>
      </c>
      <c r="HD84" s="147"/>
      <c r="HE84" s="147">
        <f t="shared" si="343"/>
        <v>0</v>
      </c>
      <c r="HF84" s="147">
        <f t="shared" si="344"/>
        <v>0</v>
      </c>
      <c r="HG84" s="147">
        <f t="shared" si="345"/>
        <v>0</v>
      </c>
      <c r="HH84" s="147">
        <f t="shared" si="346"/>
        <v>0</v>
      </c>
      <c r="HI84" s="147">
        <f t="shared" si="347"/>
        <v>0</v>
      </c>
      <c r="HJ84" s="147">
        <f t="shared" si="348"/>
        <v>0</v>
      </c>
      <c r="HK84" s="147">
        <f t="shared" si="349"/>
        <v>0</v>
      </c>
      <c r="HL84" s="147">
        <f t="shared" si="350"/>
        <v>0</v>
      </c>
      <c r="HM84" s="147">
        <f t="shared" si="351"/>
        <v>0</v>
      </c>
      <c r="HN84" s="147">
        <f t="shared" si="352"/>
        <v>0</v>
      </c>
      <c r="HO84" s="147">
        <f t="shared" si="353"/>
        <v>0</v>
      </c>
      <c r="HQ84" s="147">
        <f t="shared" si="354"/>
        <v>0</v>
      </c>
      <c r="HR84" s="147">
        <f t="shared" si="355"/>
        <v>0</v>
      </c>
      <c r="HS84" s="147">
        <f t="shared" si="356"/>
        <v>0</v>
      </c>
      <c r="HT84" s="147">
        <f t="shared" si="357"/>
        <v>0</v>
      </c>
      <c r="HU84" s="147">
        <f t="shared" si="358"/>
        <v>0</v>
      </c>
      <c r="HV84" s="147">
        <f t="shared" si="359"/>
        <v>0</v>
      </c>
      <c r="HW84" s="147">
        <f t="shared" si="360"/>
        <v>0</v>
      </c>
      <c r="HX84" s="147">
        <f t="shared" si="361"/>
        <v>0</v>
      </c>
      <c r="HY84" s="147">
        <f t="shared" si="362"/>
        <v>0</v>
      </c>
      <c r="HZ84" s="147">
        <f t="shared" si="363"/>
        <v>0</v>
      </c>
      <c r="IB84" s="147">
        <f>IF('River loads'!CI84&gt;0.99,1,0)</f>
        <v>0</v>
      </c>
      <c r="IC84">
        <f t="shared" si="255"/>
        <v>0</v>
      </c>
      <c r="ID84">
        <f t="shared" si="256"/>
        <v>0</v>
      </c>
      <c r="IE84">
        <f t="shared" si="257"/>
        <v>0</v>
      </c>
      <c r="IF84">
        <f t="shared" si="258"/>
        <v>0</v>
      </c>
      <c r="IG84">
        <f t="shared" si="259"/>
        <v>0</v>
      </c>
      <c r="IH84">
        <f t="shared" si="260"/>
        <v>0</v>
      </c>
      <c r="II84">
        <f t="shared" si="261"/>
        <v>0</v>
      </c>
      <c r="IJ84">
        <f t="shared" si="262"/>
        <v>0</v>
      </c>
      <c r="IK84">
        <f t="shared" si="274"/>
        <v>0</v>
      </c>
      <c r="IL84">
        <f t="shared" si="275"/>
        <v>0</v>
      </c>
      <c r="IM84">
        <f t="shared" si="364"/>
        <v>0</v>
      </c>
      <c r="IN84">
        <f t="shared" si="365"/>
        <v>0</v>
      </c>
      <c r="IP84">
        <f t="shared" si="366"/>
        <v>0</v>
      </c>
      <c r="IQ84">
        <f t="shared" si="367"/>
        <v>0</v>
      </c>
      <c r="IR84">
        <f t="shared" si="368"/>
        <v>0</v>
      </c>
      <c r="IS84">
        <f t="shared" si="369"/>
        <v>0</v>
      </c>
      <c r="IT84">
        <f t="shared" si="370"/>
        <v>0</v>
      </c>
      <c r="IU84">
        <f t="shared" si="371"/>
        <v>0</v>
      </c>
      <c r="IV84">
        <f t="shared" si="372"/>
        <v>0</v>
      </c>
      <c r="IW84">
        <f t="shared" si="373"/>
        <v>0</v>
      </c>
      <c r="IX84">
        <f t="shared" si="374"/>
        <v>0</v>
      </c>
    </row>
    <row r="85" spans="1:259">
      <c r="A85" s="39" t="str">
        <f>Basicinfo!A85</f>
        <v>EZG_restlich1</v>
      </c>
      <c r="B85" s="63">
        <f>Basicinfo!B85</f>
        <v>61141</v>
      </c>
      <c r="C85" s="63">
        <f>Basicinfo!C85</f>
        <v>1100</v>
      </c>
      <c r="D85" s="130">
        <f>Basicinfo!G85</f>
        <v>131.97466666666665</v>
      </c>
      <c r="E85" s="87">
        <f>N85+O85</f>
        <v>2.5747195238153675</v>
      </c>
      <c r="F85" s="19">
        <f>Intermediate!AR85</f>
        <v>4.4513651650286189E-3</v>
      </c>
      <c r="G85" s="19">
        <f>Intermediate!AU85</f>
        <v>0.52067612000845098</v>
      </c>
      <c r="H85" s="19">
        <f>Intermediate!AW85</f>
        <v>0</v>
      </c>
      <c r="I85" s="19">
        <f>Intermediate!AZ85</f>
        <v>0.20721045242267108</v>
      </c>
      <c r="J85" s="19">
        <f>Intermediate!BA85</f>
        <v>1.8130163620496893</v>
      </c>
      <c r="K85" s="19">
        <f>Intermediate!AC85</f>
        <v>2.1515773677922785E-4</v>
      </c>
      <c r="L85" s="19">
        <f>Intermediate!AO85</f>
        <v>7.6275175575640152E-3</v>
      </c>
      <c r="M85" s="19">
        <f>Intermediate!AP85</f>
        <v>2.38844816488439E-3</v>
      </c>
      <c r="N85" s="19">
        <f t="shared" si="263"/>
        <v>2.5555854231050681</v>
      </c>
      <c r="O85" s="19">
        <f>Basicinfo!CB85+Basicinfo!CG85</f>
        <v>1.9134100710299341E-2</v>
      </c>
      <c r="P85" s="56">
        <f>Intermediate!BK85-Intermediate!BI85</f>
        <v>16.473699150393145</v>
      </c>
      <c r="Q85" s="43">
        <f>Intermediate!BI85</f>
        <v>562.11696239115349</v>
      </c>
      <c r="R85" s="88">
        <f>P85+Q85</f>
        <v>578.59066154154664</v>
      </c>
      <c r="S85" s="61">
        <f>Intermediate!F85*Intermediate!BO85/1000</f>
        <v>0.43804980767169716</v>
      </c>
      <c r="T85" s="19">
        <f>Intermediate!BU85*Intermediate!AU85*86.4*0.365</f>
        <v>26.949617076534203</v>
      </c>
      <c r="U85" s="19">
        <f>Intermediate!AW85*Intermediate!BS85*0.365*86.4</f>
        <v>0</v>
      </c>
      <c r="V85" s="19">
        <f>(Basicinfo!BL85/1000000)*(Intermediate!BK85-Intermediate!BF85-Intermediate!BG85-Intermediate!BH85)*Intermediate!CV85</f>
        <v>0.22954979085876334</v>
      </c>
      <c r="W85" s="19">
        <f>Intermediate!BI85*Parameters!$C$51/1000000</f>
        <v>1.4052924059778838E-2</v>
      </c>
      <c r="X85" s="19">
        <f>Intermediate!AZ85*Intermediate!CG85*86.4*0.365</f>
        <v>64.430816986709871</v>
      </c>
      <c r="Y85" s="19">
        <f>Intermediate!CM85*Intermediate!BA85*86.4*0.365+Parameters!$C$126*Intermediate!BB85*Basicinfo!P85/1000+Parameters!$C$127*Intermediate!BB85*Basicinfo!S85/1000</f>
        <v>113.57244043258754</v>
      </c>
      <c r="Z85" s="19">
        <f>Intermediate!DG85</f>
        <v>1.6079985841796401E-2</v>
      </c>
      <c r="AA85" s="19">
        <f>Intermediate!DI85</f>
        <v>2.5447323911906885</v>
      </c>
      <c r="AB85" s="19">
        <f>Intermediate!DK85</f>
        <v>1.5097752683974526</v>
      </c>
      <c r="AC85" s="19">
        <f t="shared" si="264"/>
        <v>209.70511466385179</v>
      </c>
      <c r="AD85" s="19">
        <f>Basicinfo!CC85+Basicinfo!CE85+Basicinfo!CH85+Basicinfo!CJ85</f>
        <v>7.4260000000000002</v>
      </c>
      <c r="AE85" s="87">
        <f>AC85+AD85</f>
        <v>217.13111466385178</v>
      </c>
      <c r="AF85" s="56">
        <f>Intermediate!F85*Basicinfo!BD85/1000</f>
        <v>7.0165008770241765E-3</v>
      </c>
      <c r="AG85" s="43">
        <f>Intermediate!CA85*Intermediate!AU85*86.4*0.365</f>
        <v>0.33598276719800524</v>
      </c>
      <c r="AH85" s="43">
        <f>Intermediate!AW85*Intermediate!BZ85*0.365*86.4</f>
        <v>0</v>
      </c>
      <c r="AI85" s="43">
        <f>(Intermediate!CU85/1000000)*(Intermediate!BK85-Intermediate!BF85-Intermediate!BG85-Intermediate!BH85)*Intermediate!CW85</f>
        <v>9.0472971156343659E-2</v>
      </c>
      <c r="AJ85" s="43">
        <f>Intermediate!BF85*Parameters!$C$52/1000000+(Intermediate!BG85+Intermediate!BH85)*Intermediate!CX85/1000000</f>
        <v>0.25295263307601906</v>
      </c>
      <c r="AK85" s="43">
        <f>Intermediate!AZ85*Intermediate!CH85*86.4*0.365</f>
        <v>0.39207532965608127</v>
      </c>
      <c r="AL85" s="58">
        <f>Intermediate!CR85*Intermediate!BA85*86.4*0.365</f>
        <v>0.28016300576400621</v>
      </c>
      <c r="AM85" s="43">
        <f>Intermediate!DH85</f>
        <v>3.2189245067572292E-3</v>
      </c>
      <c r="AN85" s="42">
        <f>Intermediate!DJ85</f>
        <v>0.43339196328909207</v>
      </c>
      <c r="AO85" s="42">
        <f>Intermediate!DL85</f>
        <v>0.21096434575095896</v>
      </c>
      <c r="AP85" s="42">
        <f t="shared" si="265"/>
        <v>2.006238441274288</v>
      </c>
      <c r="AQ85" s="43">
        <f>Basicinfo!CD85+Basicinfo!CF85+Basicinfo!CI85+Basicinfo!CK85</f>
        <v>1.444</v>
      </c>
      <c r="AR85" s="83">
        <f>AP85+AQ85</f>
        <v>3.4502384412742879</v>
      </c>
      <c r="AS85" s="19">
        <f>F85*86400*365/(Basicinfo!G85*1000000)*1000</f>
        <v>1.0636757446707641</v>
      </c>
      <c r="AT85" s="19">
        <f>G85*86400*365/(Basicinfo!G85*1000000)*1000</f>
        <v>124.41813671755068</v>
      </c>
      <c r="AU85" s="19">
        <f>H85*86400*365/(Basicinfo!G85*1000000)*1000</f>
        <v>0</v>
      </c>
      <c r="AV85" s="19">
        <f>I85*86400*365/(Basicinfo!G85*1000000)*1000</f>
        <v>49.51396349502447</v>
      </c>
      <c r="AW85" s="19">
        <f>J85*86400*365/(Basicinfo!G85*1000000)*1000</f>
        <v>433.22923586546159</v>
      </c>
      <c r="AX85" s="53">
        <f>K85*86400*365/(Basicinfo!G85*1000000)*1000</f>
        <v>5.1413006438632634E-2</v>
      </c>
      <c r="AY85" s="53">
        <f>L85*86400*365/(Basicinfo!G85*1000000)*1000</f>
        <v>1.8226330838393643</v>
      </c>
      <c r="AZ85" s="53">
        <f>M85*86400*365/(Basicinfo!G85*1000000)*1000</f>
        <v>0.57073151408700251</v>
      </c>
      <c r="BA85" s="19">
        <f t="shared" si="266"/>
        <v>610.6697894270726</v>
      </c>
      <c r="BB85" s="19">
        <f>O85*86400*365/(Basicinfo!G85*1000000)*1000</f>
        <v>4.5721880967054291</v>
      </c>
      <c r="BC85" s="53">
        <f>BA85+BB85</f>
        <v>615.24197752377802</v>
      </c>
      <c r="BD85" s="56">
        <f>P85/(Basicinfo!G85*100)*1000</f>
        <v>1.2482470739631708</v>
      </c>
      <c r="BE85" s="43">
        <f>Q85/(Basicinfo!G85*100)*1000</f>
        <v>42.592792737329908</v>
      </c>
      <c r="BF85" s="58">
        <f>SUM(BD85:BE85)</f>
        <v>43.841039811293079</v>
      </c>
      <c r="BG85" s="61">
        <f>S85/(Basicinfo!G85*100)*1000000</f>
        <v>33.191961664741001</v>
      </c>
      <c r="BH85" s="19">
        <f>T85/(Basicinfo!G85*100)*1000000</f>
        <v>2042.0295619766071</v>
      </c>
      <c r="BI85" s="19">
        <f>U85/(Basicinfo!G85*100)*1000000</f>
        <v>0</v>
      </c>
      <c r="BJ85" s="19">
        <f>V85/(Basicinfo!G85*100)*1000000</f>
        <v>17.393473812557211</v>
      </c>
      <c r="BK85" s="19">
        <f>W85/(Basicinfo!G85*100)*1000000</f>
        <v>1.0648198184332476</v>
      </c>
      <c r="BL85" s="19">
        <f>X85/(Basicinfo!G85*100)*1000000</f>
        <v>4882.0594598996177</v>
      </c>
      <c r="BM85" s="19">
        <f>Y85/(Basicinfo!G85*100)*1000000</f>
        <v>8605.624344514672</v>
      </c>
      <c r="BN85" s="53">
        <f>Z85/(Basicinfo!G85*100)*1000000</f>
        <v>1.2184145827327773</v>
      </c>
      <c r="BO85" s="53">
        <f>AA85/(Basicinfo!G85*100)*1000000</f>
        <v>192.81976272143305</v>
      </c>
      <c r="BP85" s="53">
        <f>AB85/(Basicinfo!G85*100)*1000000</f>
        <v>114.39886961114654</v>
      </c>
      <c r="BQ85" s="19">
        <f t="shared" si="267"/>
        <v>15889.80066860194</v>
      </c>
      <c r="BR85" s="19">
        <f>AD85/(Basicinfo!G85*100)*1000000</f>
        <v>562.68374738586203</v>
      </c>
      <c r="BS85" s="53">
        <f>BQ85+BR85</f>
        <v>16452.484415987801</v>
      </c>
      <c r="BT85" s="56">
        <f>AF85/(Basicinfo!G85*100)*1000000</f>
        <v>0.53165513156748589</v>
      </c>
      <c r="BU85" s="43">
        <f>AG85/(Basicinfo!G85*100)*1000000</f>
        <v>25.458125842182231</v>
      </c>
      <c r="BV85" s="43">
        <f>AH85/(Basicinfo!G85*100)*1000000</f>
        <v>0</v>
      </c>
      <c r="BW85" s="43">
        <f>AI85/(Basicinfo!G85*100)*1000000</f>
        <v>6.855328635521742</v>
      </c>
      <c r="BX85" s="43">
        <f>AJ85/(Basicinfo!G85*100)*1000000</f>
        <v>19.166756731798458</v>
      </c>
      <c r="BY85" s="58">
        <f>AK85/(Basicinfo!G85*100)*1000000</f>
        <v>29.70837809701468</v>
      </c>
      <c r="BZ85" s="58">
        <f>AL85/(Basicinfo!G85*100)*1000000</f>
        <v>21.228544298704264</v>
      </c>
      <c r="CA85" s="58">
        <f>AM85/(Basicinfo!G85*100)*1000000</f>
        <v>0.24390472717672304</v>
      </c>
      <c r="CB85" s="58">
        <f>AN85/(Basicinfo!G85*100)*1000000</f>
        <v>32.83902693110992</v>
      </c>
      <c r="CC85" s="58">
        <f>AO85/(Basicinfo!G85*100)*1000000</f>
        <v>15.985215274973907</v>
      </c>
      <c r="CD85" s="58">
        <f t="shared" si="268"/>
        <v>152.01693567004941</v>
      </c>
      <c r="CE85" s="58">
        <f>AQ85/(Basicinfo!G85*100)*1000000</f>
        <v>109.41493822046657</v>
      </c>
      <c r="CF85" s="43">
        <f>CD85+CE85</f>
        <v>261.43187389051599</v>
      </c>
      <c r="CG85" s="84"/>
      <c r="CH85" s="84"/>
      <c r="DY85" s="181"/>
      <c r="DZ85" s="181"/>
      <c r="EA85" s="185">
        <f>AK85</f>
        <v>0.39207532965608127</v>
      </c>
      <c r="EB85" s="185">
        <f>AG85+AH85+AL85-Intermediate!FJ85-Intermediate!FM85</f>
        <v>0.61614577296201145</v>
      </c>
      <c r="EC85" s="185">
        <f>AI85+AJ85-Intermediate!FK85</f>
        <v>0.34342560423236274</v>
      </c>
      <c r="ED85" s="240"/>
      <c r="EE85" s="240"/>
      <c r="EF85" s="240"/>
      <c r="EG85" s="240"/>
      <c r="EH85" s="240"/>
      <c r="EI85" s="181"/>
      <c r="ET85" s="188"/>
      <c r="EU85" s="188"/>
      <c r="EV85" s="223"/>
      <c r="EW85" s="223"/>
      <c r="EX85" s="223"/>
      <c r="EY85" s="223"/>
      <c r="EZ85" s="223"/>
      <c r="FA85" s="188"/>
    </row>
    <row r="86" spans="1:259">
      <c r="A86" s="39" t="str">
        <f>Basicinfo!A86</f>
        <v>EZG_restlich2</v>
      </c>
      <c r="B86" s="63">
        <f>Basicinfo!B86</f>
        <v>61142</v>
      </c>
      <c r="C86" s="63">
        <f>Basicinfo!C86</f>
        <v>1140</v>
      </c>
      <c r="D86" s="130">
        <f>Basicinfo!G86</f>
        <v>65.987333333333325</v>
      </c>
      <c r="E86" s="87">
        <f>N86+O86</f>
        <v>1.2873597619076835</v>
      </c>
      <c r="F86" s="19">
        <f>Intermediate!AR86</f>
        <v>2.2256825825143095E-3</v>
      </c>
      <c r="G86" s="19">
        <f>Intermediate!AU86</f>
        <v>0.26280254795230679</v>
      </c>
      <c r="H86" s="19">
        <f>Intermediate!AW86</f>
        <v>0</v>
      </c>
      <c r="I86" s="19">
        <f>Intermediate!AZ86</f>
        <v>0.10360522621133554</v>
      </c>
      <c r="J86" s="19">
        <f>Intermediate!BA86</f>
        <v>0.91361074343191306</v>
      </c>
      <c r="K86" s="19">
        <f>Intermediate!AC86</f>
        <v>1.0757886838961393E-4</v>
      </c>
      <c r="L86" s="19">
        <f>Intermediate!AO86</f>
        <v>3.8137587787820076E-3</v>
      </c>
      <c r="M86" s="19">
        <f>Intermediate!AP86</f>
        <v>1.194224082442195E-3</v>
      </c>
      <c r="N86" s="19">
        <f t="shared" si="263"/>
        <v>1.2873597619076835</v>
      </c>
      <c r="O86" s="19">
        <f>Basicinfo!CB86+Basicinfo!CG86</f>
        <v>0</v>
      </c>
      <c r="P86" s="56">
        <f>Intermediate!BK86-Intermediate!BI86</f>
        <v>9.6523882419210736</v>
      </c>
      <c r="Q86" s="43">
        <f>Intermediate!BI86</f>
        <v>310.45662302809598</v>
      </c>
      <c r="R86" s="88">
        <f>P86+Q86</f>
        <v>320.10901127001705</v>
      </c>
      <c r="S86" s="61">
        <f>Intermediate!F86*Intermediate!BO86/1000</f>
        <v>0.2162130613256871</v>
      </c>
      <c r="T86" s="19">
        <f>Intermediate!BU86*Intermediate!AU86*86.4*0.365</f>
        <v>13.430980407724295</v>
      </c>
      <c r="U86" s="19">
        <f>Intermediate!AW86*Intermediate!BS86*0.365*86.4</f>
        <v>0</v>
      </c>
      <c r="V86" s="19">
        <f>(Basicinfo!BL86/1000000)*(Intermediate!BK86-Intermediate!BF86-Intermediate!BG86-Intermediate!BH86)*Intermediate!CV86</f>
        <v>7.5935820139549456E-2</v>
      </c>
      <c r="W86" s="19">
        <f>Intermediate!BI86*Parameters!$C$51/1000000</f>
        <v>7.7614155757023988E-3</v>
      </c>
      <c r="X86" s="19">
        <f>Intermediate!AZ86*Intermediate!CG86*86.4*0.365</f>
        <v>28.424357966045886</v>
      </c>
      <c r="Y86" s="19">
        <f>Intermediate!CM86*Intermediate!BA86*86.4*0.365+Parameters!$C$126*Intermediate!BB86*Basicinfo!P86/1000+Parameters!$C$127*Intermediate!BB86*Basicinfo!S86/1000</f>
        <v>54.725054203514865</v>
      </c>
      <c r="Z86" s="19">
        <f>Intermediate!DG86</f>
        <v>7.9698351142050636E-3</v>
      </c>
      <c r="AA86" s="19">
        <f>Intermediate!DI86</f>
        <v>1.2701064595504978</v>
      </c>
      <c r="AB86" s="19">
        <f>Intermediate!DK86</f>
        <v>0.75465548575735086</v>
      </c>
      <c r="AC86" s="19">
        <f t="shared" si="264"/>
        <v>98.91303465474806</v>
      </c>
      <c r="AD86" s="19">
        <f>Basicinfo!CC86+Basicinfo!CE86+Basicinfo!CH86+Basicinfo!CJ86</f>
        <v>0</v>
      </c>
      <c r="AE86" s="87">
        <f>AC86+AD86</f>
        <v>98.91303465474806</v>
      </c>
      <c r="AF86" s="56">
        <f>Intermediate!F86*Basicinfo!BD86/1000</f>
        <v>3.5082504385120883E-3</v>
      </c>
      <c r="AG86" s="43">
        <f>Intermediate!CA86*Intermediate!AU86*86.4*0.365</f>
        <v>0.16954529804481869</v>
      </c>
      <c r="AH86" s="43">
        <f>Intermediate!AW86*Intermediate!BZ86*0.365*86.4</f>
        <v>0</v>
      </c>
      <c r="AI86" s="43">
        <f>(Intermediate!CU86/1000000)*(Intermediate!BK86-Intermediate!BF86-Intermediate!BG86-Intermediate!BH86)*Intermediate!CW86</f>
        <v>4.9392236233580807E-2</v>
      </c>
      <c r="AJ86" s="43">
        <f>Intermediate!BF86*Parameters!$C$52/1000000+(Intermediate!BG86+Intermediate!BH86)*Intermediate!CX86/1000000</f>
        <v>0.13970548036264319</v>
      </c>
      <c r="AK86" s="43">
        <f>Intermediate!AZ86*Intermediate!CH86*86.4*0.365</f>
        <v>0.19603766482804064</v>
      </c>
      <c r="AL86" s="58">
        <f>Intermediate!CR86*Intermediate!BA86*86.4*0.365</f>
        <v>0.14117905239906375</v>
      </c>
      <c r="AM86" s="43">
        <f>Intermediate!DH86</f>
        <v>1.6094622533786146E-3</v>
      </c>
      <c r="AN86" s="42">
        <f>Intermediate!DJ86</f>
        <v>0.21669598164454604</v>
      </c>
      <c r="AO86" s="42">
        <f>Intermediate!DL86</f>
        <v>0.10548217287547948</v>
      </c>
      <c r="AP86" s="42">
        <f t="shared" si="265"/>
        <v>1.0231555990800634</v>
      </c>
      <c r="AQ86" s="43">
        <f>Basicinfo!CD86+Basicinfo!CF86+Basicinfo!CI86+Basicinfo!CK86</f>
        <v>0</v>
      </c>
      <c r="AR86" s="83">
        <f>AP86+AQ86</f>
        <v>1.0231555990800634</v>
      </c>
      <c r="AS86" s="19">
        <f>F86*86400*365/(Basicinfo!G86*1000000)*1000</f>
        <v>1.0636757446707641</v>
      </c>
      <c r="AT86" s="19">
        <f>G86*86400*365/(Basicinfo!G86*1000000)*1000</f>
        <v>125.59593991105284</v>
      </c>
      <c r="AU86" s="19">
        <f>H86*86400*365/(Basicinfo!G86*1000000)*1000</f>
        <v>0</v>
      </c>
      <c r="AV86" s="19">
        <f>I86*86400*365/(Basicinfo!G86*1000000)*1000</f>
        <v>49.51396349502447</v>
      </c>
      <c r="AW86" s="19">
        <f>J86*86400*365/(Basicinfo!G86*1000000)*1000</f>
        <v>436.62362076866492</v>
      </c>
      <c r="AX86" s="53">
        <f>K86*86400*365/(Basicinfo!G86*1000000)*1000</f>
        <v>5.1413006438632634E-2</v>
      </c>
      <c r="AY86" s="53">
        <f>L86*86400*365/(Basicinfo!G86*1000000)*1000</f>
        <v>1.8226330838393643</v>
      </c>
      <c r="AZ86" s="53">
        <f>M86*86400*365/(Basicinfo!G86*1000000)*1000</f>
        <v>0.57073151408700251</v>
      </c>
      <c r="BA86" s="19">
        <f t="shared" si="266"/>
        <v>615.24197752377813</v>
      </c>
      <c r="BB86" s="19">
        <f>O86*86400*365/(Basicinfo!G86*1000000)*1000</f>
        <v>0</v>
      </c>
      <c r="BC86" s="53">
        <f>BA86+BB86</f>
        <v>615.24197752377813</v>
      </c>
      <c r="BD86" s="56">
        <f>P86/(Basicinfo!G86*100)*1000</f>
        <v>1.462763799404089</v>
      </c>
      <c r="BE86" s="43">
        <f>Q86/(Basicinfo!G86*100)*1000</f>
        <v>47.047911674174237</v>
      </c>
      <c r="BF86" s="58">
        <f>SUM(BD86:BE86)</f>
        <v>48.510675473578324</v>
      </c>
      <c r="BG86" s="61">
        <f>S86/(Basicinfo!G86*100)*1000000</f>
        <v>32.765843140454301</v>
      </c>
      <c r="BH86" s="19">
        <f>T86/(Basicinfo!G86*100)*1000000</f>
        <v>2035.3876614286021</v>
      </c>
      <c r="BI86" s="19">
        <f>U86/(Basicinfo!G86*100)*1000000</f>
        <v>0</v>
      </c>
      <c r="BJ86" s="19">
        <f>V86/(Basicinfo!G86*100)*1000000</f>
        <v>11.507635830040533</v>
      </c>
      <c r="BK86" s="19">
        <f>W86/(Basicinfo!G86*100)*1000000</f>
        <v>1.1761977918543558</v>
      </c>
      <c r="BL86" s="19">
        <f>X86/(Basicinfo!G86*100)*1000000</f>
        <v>4307.5476050018524</v>
      </c>
      <c r="BM86" s="19">
        <f>Y86/(Basicinfo!G86*100)*1000000</f>
        <v>8293.2665163286201</v>
      </c>
      <c r="BN86" s="53">
        <f>Z86/(Basicinfo!G86*100)*1000000</f>
        <v>1.2077825715346984</v>
      </c>
      <c r="BO86" s="53">
        <f>AA86/(Basicinfo!G86*100)*1000000</f>
        <v>192.47731274949203</v>
      </c>
      <c r="BP86" s="53">
        <f>AB86/(Basicinfo!G86*100)*1000000</f>
        <v>114.36368885301486</v>
      </c>
      <c r="BQ86" s="19">
        <f t="shared" si="267"/>
        <v>14989.700243695466</v>
      </c>
      <c r="BR86" s="19">
        <f>AD86/(Basicinfo!G86*100)*1000000</f>
        <v>0</v>
      </c>
      <c r="BS86" s="53">
        <f>BQ86+BR86</f>
        <v>14989.700243695466</v>
      </c>
      <c r="BT86" s="56">
        <f>AF86/(Basicinfo!G86*100)*1000000</f>
        <v>0.53165513156748589</v>
      </c>
      <c r="BU86" s="43">
        <f>AG86/(Basicinfo!G86*100)*1000000</f>
        <v>25.693612619313612</v>
      </c>
      <c r="BV86" s="43">
        <f>AH86/(Basicinfo!G86*100)*1000000</f>
        <v>0</v>
      </c>
      <c r="BW86" s="43">
        <f>AI86/(Basicinfo!G86*100)*1000000</f>
        <v>7.4851086926148671</v>
      </c>
      <c r="BX86" s="43">
        <f>AJ86/(Basicinfo!G86*100)*1000000</f>
        <v>21.171560253378406</v>
      </c>
      <c r="BY86" s="58">
        <f>AK86/(Basicinfo!G86*100)*1000000</f>
        <v>29.70837809701468</v>
      </c>
      <c r="BZ86" s="58">
        <f>AL86/(Basicinfo!G86*100)*1000000</f>
        <v>21.394871601478634</v>
      </c>
      <c r="CA86" s="58">
        <f>AM86/(Basicinfo!G86*100)*1000000</f>
        <v>0.24390472717672304</v>
      </c>
      <c r="CB86" s="58">
        <f>AN86/(Basicinfo!G86*100)*1000000</f>
        <v>32.83902693110992</v>
      </c>
      <c r="CC86" s="58">
        <f>AO86/(Basicinfo!G86*100)*1000000</f>
        <v>15.985215274973907</v>
      </c>
      <c r="CD86" s="58">
        <f t="shared" si="268"/>
        <v>155.05333332862824</v>
      </c>
      <c r="CE86" s="58">
        <f>AQ86/(Basicinfo!G86*100)*1000000</f>
        <v>0</v>
      </c>
      <c r="CF86" s="43">
        <f>CD86+CE86</f>
        <v>155.05333332862824</v>
      </c>
    </row>
    <row r="87" spans="1:259">
      <c r="A87" s="39" t="str">
        <f>Basicinfo!A87</f>
        <v>EZG_restlich3</v>
      </c>
      <c r="B87" s="63">
        <f>Basicinfo!B87</f>
        <v>61151</v>
      </c>
      <c r="C87" s="63">
        <f>Basicinfo!C87</f>
        <v>1130</v>
      </c>
      <c r="D87" s="130">
        <f>Basicinfo!G87</f>
        <v>26.457000000000001</v>
      </c>
      <c r="E87" s="87">
        <f>N87+O87</f>
        <v>0.28200135084805245</v>
      </c>
      <c r="F87" s="19">
        <f>Intermediate!AR87</f>
        <v>1.156335468843146E-4</v>
      </c>
      <c r="G87" s="19">
        <f>Intermediate!AU87</f>
        <v>5.0284793419463215E-2</v>
      </c>
      <c r="H87" s="19">
        <f>Intermediate!AW87</f>
        <v>0</v>
      </c>
      <c r="I87" s="19">
        <f>Intermediate!AZ87</f>
        <v>0</v>
      </c>
      <c r="J87" s="19">
        <f>Intermediate!BA87</f>
        <v>0.23060492867576729</v>
      </c>
      <c r="K87" s="19">
        <f>Intermediate!AC87</f>
        <v>0</v>
      </c>
      <c r="L87" s="19">
        <f>Intermediate!AO87</f>
        <v>0</v>
      </c>
      <c r="M87" s="19">
        <f>Intermediate!AP87</f>
        <v>9.9599520593763886E-4</v>
      </c>
      <c r="N87" s="19">
        <f t="shared" si="263"/>
        <v>0.28200135084805245</v>
      </c>
      <c r="O87" s="19">
        <f>Basicinfo!CB87+Basicinfo!CG87</f>
        <v>0</v>
      </c>
      <c r="P87" s="56">
        <f>Intermediate!BK87-Intermediate!BI87</f>
        <v>2.7406491886909521</v>
      </c>
      <c r="Q87" s="43">
        <f>Intermediate!BI87</f>
        <v>198.88932079540314</v>
      </c>
      <c r="R87" s="88">
        <f>P87+Q87</f>
        <v>201.62996998409409</v>
      </c>
      <c r="S87" s="61">
        <f>Intermediate!F87*Intermediate!BO87/1000</f>
        <v>1.2406912480713539E-2</v>
      </c>
      <c r="T87" s="19">
        <f>Intermediate!BU87*Intermediate!AU87*86.4*0.365</f>
        <v>2.6204089978110368</v>
      </c>
      <c r="U87" s="19">
        <f>Intermediate!AW87*Intermediate!BS87*0.365*86.4</f>
        <v>0</v>
      </c>
      <c r="V87" s="19">
        <f>(Basicinfo!BL87/1000000)*(Intermediate!BK87-Intermediate!BF87-Intermediate!BG87-Intermediate!BH87)*Intermediate!CV87</f>
        <v>1.6987057864487405E-2</v>
      </c>
      <c r="W87" s="19">
        <f>Intermediate!BI87*Parameters!$C$51/1000000</f>
        <v>4.9722330198850783E-3</v>
      </c>
      <c r="X87" s="19">
        <f>Intermediate!AZ87*Intermediate!CG87*86.4*0.365</f>
        <v>0</v>
      </c>
      <c r="Y87" s="19">
        <f>Intermediate!CM87*Intermediate!BA87*86.4*0.365+Parameters!$C$126*Intermediate!BB87*Basicinfo!P87/1000+Parameters!$C$127*Intermediate!BB87*Basicinfo!S87/1000</f>
        <v>18.138030000634878</v>
      </c>
      <c r="Z87" s="19">
        <f>Intermediate!DG87</f>
        <v>0</v>
      </c>
      <c r="AA87" s="19">
        <f>Intermediate!DI87</f>
        <v>0</v>
      </c>
      <c r="AB87" s="19">
        <f>Intermediate!DK87</f>
        <v>1.9342117029556123</v>
      </c>
      <c r="AC87" s="19">
        <f t="shared" si="264"/>
        <v>22.727016904766611</v>
      </c>
      <c r="AD87" s="19">
        <f>Basicinfo!CC87+Basicinfo!CE87+Basicinfo!CH87+Basicinfo!CJ87</f>
        <v>0</v>
      </c>
      <c r="AE87" s="87">
        <f>AC87+AD87</f>
        <v>22.727016904766611</v>
      </c>
      <c r="AF87" s="56">
        <f>Intermediate!F87*Basicinfo!BD87/1000</f>
        <v>2.1517596962434602E-4</v>
      </c>
      <c r="AG87" s="43">
        <f>Intermediate!CA87*Intermediate!AU87*86.4*0.365</f>
        <v>2.0504030566734097E-2</v>
      </c>
      <c r="AH87" s="43">
        <f>Intermediate!AW87*Intermediate!BZ87*0.365*86.4</f>
        <v>0</v>
      </c>
      <c r="AI87" s="43">
        <f>(Intermediate!CU87/1000000)*(Intermediate!BK87-Intermediate!BF87-Intermediate!BG87-Intermediate!BH87)*Intermediate!CW87</f>
        <v>1.1808358084524502E-2</v>
      </c>
      <c r="AJ87" s="43">
        <f>Intermediate!BF87*Parameters!$C$52/1000000+(Intermediate!BG87+Intermediate!BH87)*Intermediate!CX87/1000000</f>
        <v>8.9500194357931412E-2</v>
      </c>
      <c r="AK87" s="43">
        <f>Intermediate!AZ87*Intermediate!CH87*86.4*0.365</f>
        <v>0</v>
      </c>
      <c r="AL87" s="58">
        <f>Intermediate!CR87*Intermediate!BA87*86.4*0.365</f>
        <v>2.7153699304272236E-2</v>
      </c>
      <c r="AM87" s="43">
        <f>Intermediate!DH87</f>
        <v>0</v>
      </c>
      <c r="AN87" s="42">
        <f>Intermediate!DJ87</f>
        <v>0</v>
      </c>
      <c r="AO87" s="42">
        <f>Intermediate!DL87</f>
        <v>0.26917315519172363</v>
      </c>
      <c r="AP87" s="42">
        <f t="shared" si="265"/>
        <v>0.41835461347481023</v>
      </c>
      <c r="AQ87" s="43">
        <f>Basicinfo!CD87+Basicinfo!CF87+Basicinfo!CI87+Basicinfo!CK87</f>
        <v>0</v>
      </c>
      <c r="AR87" s="83">
        <f>AP87+AQ87</f>
        <v>0.41835461347481023</v>
      </c>
      <c r="AS87" s="19">
        <f>F87*86400*365/(Basicinfo!G87*1000000)*1000</f>
        <v>0.13783193614331729</v>
      </c>
      <c r="AT87" s="19">
        <f>G87*86400*365/(Basicinfo!G87*1000000)*1000</f>
        <v>59.938059692187011</v>
      </c>
      <c r="AU87" s="19">
        <f>H87*86400*365/(Basicinfo!G87*1000000)*1000</f>
        <v>0</v>
      </c>
      <c r="AV87" s="19">
        <f>I87*86400*365/(Basicinfo!G87*1000000)*1000</f>
        <v>0</v>
      </c>
      <c r="AW87" s="19">
        <f>J87*86400*365/(Basicinfo!G87*1000000)*1000</f>
        <v>274.87459011675543</v>
      </c>
      <c r="AX87" s="53">
        <f>K87*86400*365/(Basicinfo!G87*1000000)*1000</f>
        <v>0</v>
      </c>
      <c r="AY87" s="53">
        <f>L87*86400*365/(Basicinfo!G87*1000000)*1000</f>
        <v>0</v>
      </c>
      <c r="AZ87" s="53">
        <f>M87*86400*365/(Basicinfo!G87*1000000)*1000</f>
        <v>1.1871982769947229</v>
      </c>
      <c r="BA87" s="19">
        <f t="shared" si="266"/>
        <v>336.13768002208047</v>
      </c>
      <c r="BB87" s="19">
        <f>O87*86400*365/(Basicinfo!G87*1000000)*1000</f>
        <v>0</v>
      </c>
      <c r="BC87" s="53">
        <f>BA87+BB87</f>
        <v>336.13768002208047</v>
      </c>
      <c r="BD87" s="56">
        <f>P87/(Basicinfo!G87*100)*1000</f>
        <v>1.0358881160717208</v>
      </c>
      <c r="BE87" s="43">
        <f>Q87/(Basicinfo!G87*100)*1000</f>
        <v>75.174555238841563</v>
      </c>
      <c r="BF87" s="58">
        <f>SUM(BD87:BE87)</f>
        <v>76.210443354913281</v>
      </c>
      <c r="BG87" s="61">
        <f>S87/(Basicinfo!G87*100)*1000000</f>
        <v>4.6894630837636688</v>
      </c>
      <c r="BH87" s="19">
        <f>T87/(Basicinfo!G87*100)*1000000</f>
        <v>990.44071429528549</v>
      </c>
      <c r="BI87" s="19">
        <f>U87/(Basicinfo!G87*100)*1000000</f>
        <v>0</v>
      </c>
      <c r="BJ87" s="19">
        <f>V87/(Basicinfo!G87*100)*1000000</f>
        <v>6.4206288938607559</v>
      </c>
      <c r="BK87" s="19">
        <f>W87/(Basicinfo!G87*100)*1000000</f>
        <v>1.8793638809710389</v>
      </c>
      <c r="BL87" s="19">
        <f>X87/(Basicinfo!G87*100)*1000000</f>
        <v>0</v>
      </c>
      <c r="BM87" s="19">
        <f>Y87/(Basicinfo!G87*100)*1000000</f>
        <v>6855.6639077124673</v>
      </c>
      <c r="BN87" s="53">
        <f>Z87/(Basicinfo!G87*100)*1000000</f>
        <v>0</v>
      </c>
      <c r="BO87" s="53">
        <f>AA87/(Basicinfo!G87*100)*1000000</f>
        <v>0</v>
      </c>
      <c r="BP87" s="53">
        <f>AB87/(Basicinfo!G87*100)*1000000</f>
        <v>731.07748533681524</v>
      </c>
      <c r="BQ87" s="19">
        <f t="shared" si="267"/>
        <v>8590.1715632031628</v>
      </c>
      <c r="BR87" s="19">
        <f>AD87/(Basicinfo!G87*100)*1000000</f>
        <v>0</v>
      </c>
      <c r="BS87" s="53">
        <f>BQ87+BR87</f>
        <v>8590.1715632031628</v>
      </c>
      <c r="BT87" s="56">
        <f>AF87/(Basicinfo!G87*100)*1000000</f>
        <v>8.1330449266487512E-2</v>
      </c>
      <c r="BU87" s="43">
        <f>AG87/(Basicinfo!G87*100)*1000000</f>
        <v>7.7499454082980295</v>
      </c>
      <c r="BV87" s="43">
        <f>AH87/(Basicinfo!G87*100)*1000000</f>
        <v>0</v>
      </c>
      <c r="BW87" s="43">
        <f>AI87/(Basicinfo!G87*100)*1000000</f>
        <v>4.4632263992608765</v>
      </c>
      <c r="BX87" s="43">
        <f>AJ87/(Basicinfo!G87*100)*1000000</f>
        <v>33.828549857478706</v>
      </c>
      <c r="BY87" s="58">
        <f>AK87/(Basicinfo!G87*100)*1000000</f>
        <v>0</v>
      </c>
      <c r="BZ87" s="58">
        <f>AL87/(Basicinfo!G87*100)*1000000</f>
        <v>10.26333269239605</v>
      </c>
      <c r="CA87" s="58">
        <f>AM87/(Basicinfo!G87*100)*1000000</f>
        <v>0</v>
      </c>
      <c r="CB87" s="58">
        <f>AN87/(Basicinfo!G87*100)*1000000</f>
        <v>0</v>
      </c>
      <c r="CC87" s="58">
        <f>AO87/(Basicinfo!G87*100)*1000000</f>
        <v>101.73986286870152</v>
      </c>
      <c r="CD87" s="58">
        <f t="shared" si="268"/>
        <v>158.12624767540166</v>
      </c>
      <c r="CE87" s="58">
        <f>AQ87/(Basicinfo!G87*100)*1000000</f>
        <v>0</v>
      </c>
      <c r="CF87" s="43">
        <f>CD87+CE87</f>
        <v>158.12624767540166</v>
      </c>
    </row>
    <row r="88" spans="1:259">
      <c r="A88" s="39" t="str">
        <f>Basicinfo!A88</f>
        <v>EZG_restlich4</v>
      </c>
      <c r="B88" s="63">
        <f>Basicinfo!B88</f>
        <v>61152</v>
      </c>
      <c r="C88" s="63">
        <f>Basicinfo!C88</f>
        <v>1120</v>
      </c>
      <c r="D88" s="130">
        <f>Basicinfo!G88</f>
        <v>26.457000000000001</v>
      </c>
      <c r="E88" s="87">
        <f>N88+O88</f>
        <v>0.28200135084805245</v>
      </c>
      <c r="F88" s="19">
        <f>Intermediate!AR88</f>
        <v>1.156335468843146E-4</v>
      </c>
      <c r="G88" s="19">
        <f>Intermediate!AU88</f>
        <v>5.0284793419463215E-2</v>
      </c>
      <c r="H88" s="19">
        <f>Intermediate!AW88</f>
        <v>0</v>
      </c>
      <c r="I88" s="19">
        <f>Intermediate!AZ88</f>
        <v>0</v>
      </c>
      <c r="J88" s="19">
        <f>Intermediate!BA88</f>
        <v>0.23060492867576729</v>
      </c>
      <c r="K88" s="19">
        <f>Intermediate!AC88</f>
        <v>0</v>
      </c>
      <c r="L88" s="19">
        <f>Intermediate!AO88</f>
        <v>0</v>
      </c>
      <c r="M88" s="19">
        <f>Intermediate!AP88</f>
        <v>9.9599520593763886E-4</v>
      </c>
      <c r="N88" s="19">
        <f t="shared" si="263"/>
        <v>0.28200135084805245</v>
      </c>
      <c r="O88" s="19">
        <f>Basicinfo!CB88+Basicinfo!CG88</f>
        <v>0</v>
      </c>
      <c r="P88" s="56">
        <f>Intermediate!BK88-Intermediate!BI88</f>
        <v>2.4447177745938689</v>
      </c>
      <c r="Q88" s="43">
        <f>Intermediate!BI88</f>
        <v>185.92011774177854</v>
      </c>
      <c r="R88" s="88">
        <f>P88+Q88</f>
        <v>188.36483551637241</v>
      </c>
      <c r="S88" s="61">
        <f>Intermediate!F88*Intermediate!BO88/1000</f>
        <v>1.1375212491791161E-2</v>
      </c>
      <c r="T88" s="19">
        <f>Intermediate!BU88*Intermediate!AU88*86.4*0.365</f>
        <v>2.4071109924471914</v>
      </c>
      <c r="U88" s="19">
        <f>Intermediate!AW88*Intermediate!BS88*0.365*86.4</f>
        <v>0</v>
      </c>
      <c r="V88" s="19">
        <f>(Basicinfo!BL88/1000000)*(Intermediate!BK88-Intermediate!BF88-Intermediate!BG88-Intermediate!BH88)*Intermediate!CV88</f>
        <v>1.9241462588713586E-2</v>
      </c>
      <c r="W88" s="19">
        <f>Intermediate!BI88*Parameters!$C$51/1000000</f>
        <v>4.6480029435444631E-3</v>
      </c>
      <c r="X88" s="19">
        <f>Intermediate!AZ88*Intermediate!CG88*86.4*0.365</f>
        <v>0</v>
      </c>
      <c r="Y88" s="19">
        <f>Intermediate!CM88*Intermediate!BA88*86.4*0.365+Parameters!$C$126*Intermediate!BB88*Basicinfo!P88/1000+Parameters!$C$127*Intermediate!BB88*Basicinfo!S88/1000</f>
        <v>17.513736240725713</v>
      </c>
      <c r="Z88" s="19">
        <f>Intermediate!DG88</f>
        <v>0</v>
      </c>
      <c r="AA88" s="19">
        <f>Intermediate!DI88</f>
        <v>0</v>
      </c>
      <c r="AB88" s="19">
        <f>Intermediate!DK88</f>
        <v>1.9342117029556123</v>
      </c>
      <c r="AC88" s="19">
        <f t="shared" si="264"/>
        <v>21.890323614152564</v>
      </c>
      <c r="AD88" s="19">
        <f>Basicinfo!CC88+Basicinfo!CE88+Basicinfo!CH88+Basicinfo!CJ88</f>
        <v>0</v>
      </c>
      <c r="AE88" s="87">
        <f>AC88+AD88</f>
        <v>21.890323614152564</v>
      </c>
      <c r="AF88" s="56">
        <f>Intermediate!F88*Basicinfo!BD88/1000</f>
        <v>2.1517596962434602E-4</v>
      </c>
      <c r="AG88" s="43">
        <f>Intermediate!CA88*Intermediate!AU88*86.4*0.365</f>
        <v>2.0495416390518658E-2</v>
      </c>
      <c r="AH88" s="43">
        <f>Intermediate!AW88*Intermediate!BZ88*0.365*86.4</f>
        <v>0</v>
      </c>
      <c r="AI88" s="43">
        <f>(Intermediate!CU88/1000000)*(Intermediate!BK88-Intermediate!BF88-Intermediate!BG88-Intermediate!BH88)*Intermediate!CW88</f>
        <v>1.0538692038165248E-2</v>
      </c>
      <c r="AJ88" s="43">
        <f>Intermediate!BF88*Parameters!$C$52/1000000+(Intermediate!BG88+Intermediate!BH88)*Intermediate!CX88/1000000</f>
        <v>8.3664052983800336E-2</v>
      </c>
      <c r="AK88" s="43">
        <f>Intermediate!AZ88*Intermediate!CH88*86.4*0.365</f>
        <v>0</v>
      </c>
      <c r="AL88" s="58">
        <f>Intermediate!CR88*Intermediate!BA88*86.4*0.365</f>
        <v>2.7153699304272236E-2</v>
      </c>
      <c r="AM88" s="43">
        <f>Intermediate!DH88</f>
        <v>0</v>
      </c>
      <c r="AN88" s="42">
        <f>Intermediate!DJ88</f>
        <v>0</v>
      </c>
      <c r="AO88" s="42">
        <f>Intermediate!DL88</f>
        <v>0.26917315519172363</v>
      </c>
      <c r="AP88" s="42">
        <f t="shared" si="265"/>
        <v>0.41124019187810446</v>
      </c>
      <c r="AQ88" s="43">
        <f>Basicinfo!CD88+Basicinfo!CF88+Basicinfo!CI88+Basicinfo!CK88</f>
        <v>0</v>
      </c>
      <c r="AR88" s="83">
        <f>AP88+AQ88</f>
        <v>0.41124019187810446</v>
      </c>
      <c r="AS88" s="19">
        <f>F88*86400*365/(Basicinfo!G88*1000000)*1000</f>
        <v>0.13783193614331729</v>
      </c>
      <c r="AT88" s="19">
        <f>G88*86400*365/(Basicinfo!G88*1000000)*1000</f>
        <v>59.938059692187011</v>
      </c>
      <c r="AU88" s="19">
        <f>H88*86400*365/(Basicinfo!G88*1000000)*1000</f>
        <v>0</v>
      </c>
      <c r="AV88" s="19">
        <f>I88*86400*365/(Basicinfo!G88*1000000)*1000</f>
        <v>0</v>
      </c>
      <c r="AW88" s="19">
        <f>J88*86400*365/(Basicinfo!G88*1000000)*1000</f>
        <v>274.87459011675543</v>
      </c>
      <c r="AX88" s="53">
        <f>K88*86400*365/(Basicinfo!G88*1000000)*1000</f>
        <v>0</v>
      </c>
      <c r="AY88" s="53">
        <f>L88*86400*365/(Basicinfo!G88*1000000)*1000</f>
        <v>0</v>
      </c>
      <c r="AZ88" s="53">
        <f>M88*86400*365/(Basicinfo!G88*1000000)*1000</f>
        <v>1.1871982769947229</v>
      </c>
      <c r="BA88" s="19">
        <f t="shared" si="266"/>
        <v>336.13768002208047</v>
      </c>
      <c r="BB88" s="19">
        <f>O88*86400*365/(Basicinfo!G88*1000000)*1000</f>
        <v>0</v>
      </c>
      <c r="BC88" s="53">
        <f>BA88+BB88</f>
        <v>336.13768002208047</v>
      </c>
      <c r="BD88" s="56">
        <f>P88/(Basicinfo!G88*100)*1000</f>
        <v>0.92403438583129927</v>
      </c>
      <c r="BE88" s="43">
        <f>Q88/(Basicinfo!G88*100)*1000</f>
        <v>70.272562173254158</v>
      </c>
      <c r="BF88" s="58">
        <f>SUM(BD88:BE88)</f>
        <v>71.196596559085464</v>
      </c>
      <c r="BG88" s="61">
        <f>S88/(Basicinfo!G88*100)*1000000</f>
        <v>4.2995095784825041</v>
      </c>
      <c r="BH88" s="19">
        <f>T88/(Basicinfo!G88*100)*1000000</f>
        <v>909.8200825668788</v>
      </c>
      <c r="BI88" s="19">
        <f>U88/(Basicinfo!G88*100)*1000000</f>
        <v>0</v>
      </c>
      <c r="BJ88" s="19">
        <f>V88/(Basicinfo!G88*100)*1000000</f>
        <v>7.2727303128523957</v>
      </c>
      <c r="BK88" s="19">
        <f>W88/(Basicinfo!G88*100)*1000000</f>
        <v>1.7568140543313537</v>
      </c>
      <c r="BL88" s="19">
        <f>X88/(Basicinfo!G88*100)*1000000</f>
        <v>0</v>
      </c>
      <c r="BM88" s="19">
        <f>Y88/(Basicinfo!G88*100)*1000000</f>
        <v>6619.698469488495</v>
      </c>
      <c r="BN88" s="53">
        <f>Z88/(Basicinfo!G88*100)*1000000</f>
        <v>0</v>
      </c>
      <c r="BO88" s="53">
        <f>AA88/(Basicinfo!G88*100)*1000000</f>
        <v>0</v>
      </c>
      <c r="BP88" s="53">
        <f>AB88/(Basicinfo!G88*100)*1000000</f>
        <v>731.07748533681524</v>
      </c>
      <c r="BQ88" s="19">
        <f t="shared" si="267"/>
        <v>8273.9250913378546</v>
      </c>
      <c r="BR88" s="19">
        <f>AD88/(Basicinfo!G88*100)*1000000</f>
        <v>0</v>
      </c>
      <c r="BS88" s="53">
        <f>BQ88+BR88</f>
        <v>8273.9250913378546</v>
      </c>
      <c r="BT88" s="56">
        <f>AF88/(Basicinfo!G88*100)*1000000</f>
        <v>8.1330449266487512E-2</v>
      </c>
      <c r="BU88" s="43">
        <f>AG88/(Basicinfo!G88*100)*1000000</f>
        <v>7.7466894925799066</v>
      </c>
      <c r="BV88" s="43">
        <f>AH88/(Basicinfo!G88*100)*1000000</f>
        <v>0</v>
      </c>
      <c r="BW88" s="43">
        <f>AI88/(Basicinfo!G88*100)*1000000</f>
        <v>3.9833284341252773</v>
      </c>
      <c r="BX88" s="43">
        <f>AJ88/(Basicinfo!G88*100)*1000000</f>
        <v>31.622652977964368</v>
      </c>
      <c r="BY88" s="58">
        <f>AK88/(Basicinfo!G88*100)*1000000</f>
        <v>0</v>
      </c>
      <c r="BZ88" s="58">
        <f>AL88/(Basicinfo!G88*100)*1000000</f>
        <v>10.26333269239605</v>
      </c>
      <c r="CA88" s="58">
        <f>AM88/(Basicinfo!G88*100)*1000000</f>
        <v>0</v>
      </c>
      <c r="CB88" s="58">
        <f>AN88/(Basicinfo!G88*100)*1000000</f>
        <v>0</v>
      </c>
      <c r="CC88" s="58">
        <f>AO88/(Basicinfo!G88*100)*1000000</f>
        <v>101.73986286870152</v>
      </c>
      <c r="CD88" s="58">
        <f t="shared" si="268"/>
        <v>155.43719691503361</v>
      </c>
      <c r="CE88" s="58">
        <f>AQ88/(Basicinfo!G88*100)*1000000</f>
        <v>0</v>
      </c>
      <c r="CF88" s="43">
        <f>CD88+CE88</f>
        <v>155.43719691503361</v>
      </c>
    </row>
    <row r="90" spans="1:259">
      <c r="A90" s="137" t="s">
        <v>739</v>
      </c>
      <c r="B90" s="138"/>
      <c r="C90" s="138"/>
      <c r="D90" s="143">
        <f>SUM(D4:D67)</f>
        <v>12503.7053107055</v>
      </c>
      <c r="E90" s="143">
        <f t="shared" ref="E90:AR90" si="382">SUM(E4:E67)</f>
        <v>288.95689669135305</v>
      </c>
      <c r="F90" s="143">
        <f t="shared" si="382"/>
        <v>4.6547405046542405</v>
      </c>
      <c r="G90" s="143">
        <f t="shared" si="382"/>
        <v>62.333393694874566</v>
      </c>
      <c r="H90" s="143">
        <f t="shared" si="382"/>
        <v>0.93532911575389632</v>
      </c>
      <c r="I90" s="143">
        <f t="shared" si="382"/>
        <v>2.2513436761178887</v>
      </c>
      <c r="J90" s="143">
        <f t="shared" si="382"/>
        <v>210.78463609818715</v>
      </c>
      <c r="K90" s="143">
        <f t="shared" si="382"/>
        <v>0.80929550054673571</v>
      </c>
      <c r="L90" s="143">
        <f t="shared" si="382"/>
        <v>0.74498700530276929</v>
      </c>
      <c r="M90" s="143">
        <f t="shared" si="382"/>
        <v>0.95711147523540219</v>
      </c>
      <c r="N90" s="143">
        <f t="shared" si="382"/>
        <v>283.47083707067259</v>
      </c>
      <c r="O90" s="143">
        <f t="shared" si="382"/>
        <v>5.4860596206804217</v>
      </c>
      <c r="P90" s="143">
        <f t="shared" si="382"/>
        <v>115461.80804789638</v>
      </c>
      <c r="Q90" s="143">
        <f t="shared" si="382"/>
        <v>125194.30480036624</v>
      </c>
      <c r="R90" s="143">
        <f t="shared" si="382"/>
        <v>240656.11284826259</v>
      </c>
      <c r="S90" s="143">
        <f t="shared" si="382"/>
        <v>390.300207498384</v>
      </c>
      <c r="T90" s="143">
        <f t="shared" si="382"/>
        <v>2422.3154377528299</v>
      </c>
      <c r="U90" s="143">
        <f t="shared" si="382"/>
        <v>21.748232058566416</v>
      </c>
      <c r="V90" s="143">
        <f t="shared" si="382"/>
        <v>474.1724062023643</v>
      </c>
      <c r="W90" s="143">
        <f t="shared" si="382"/>
        <v>3.1298576200091559</v>
      </c>
      <c r="X90" s="143">
        <f t="shared" si="382"/>
        <v>827.1553605621267</v>
      </c>
      <c r="Y90" s="143">
        <f t="shared" si="382"/>
        <v>11388.191591876464</v>
      </c>
      <c r="Z90" s="143">
        <f t="shared" si="382"/>
        <v>62.350194802651394</v>
      </c>
      <c r="AA90" s="143">
        <f t="shared" si="382"/>
        <v>237.23756836122297</v>
      </c>
      <c r="AB90" s="143">
        <f t="shared" si="382"/>
        <v>81.870818038721737</v>
      </c>
      <c r="AC90" s="143">
        <f t="shared" si="382"/>
        <v>15908.471674773346</v>
      </c>
      <c r="AD90" s="143">
        <f t="shared" si="382"/>
        <v>3059.6327756946671</v>
      </c>
      <c r="AE90" s="143">
        <f t="shared" si="382"/>
        <v>18968.104450468007</v>
      </c>
      <c r="AF90" s="143">
        <f t="shared" si="382"/>
        <v>8.5529640888317378</v>
      </c>
      <c r="AG90" s="143">
        <f t="shared" si="382"/>
        <v>48.469031421151222</v>
      </c>
      <c r="AH90" s="143">
        <f t="shared" si="382"/>
        <v>0.17859468188438588</v>
      </c>
      <c r="AI90" s="143">
        <f t="shared" si="382"/>
        <v>285.94825568484214</v>
      </c>
      <c r="AJ90" s="143">
        <f t="shared" si="382"/>
        <v>59.122003958615679</v>
      </c>
      <c r="AK90" s="143">
        <f t="shared" si="382"/>
        <v>9.6846447518065446</v>
      </c>
      <c r="AL90" s="143">
        <f t="shared" si="382"/>
        <v>144.43997245806815</v>
      </c>
      <c r="AM90" s="143">
        <f t="shared" si="382"/>
        <v>14.667634124093656</v>
      </c>
      <c r="AN90" s="143">
        <f t="shared" si="382"/>
        <v>42.563633195845554</v>
      </c>
      <c r="AO90" s="143">
        <f t="shared" si="382"/>
        <v>12.763842646446768</v>
      </c>
      <c r="AP90" s="143">
        <f t="shared" si="382"/>
        <v>626.39057701158583</v>
      </c>
      <c r="AQ90" s="143">
        <f t="shared" si="382"/>
        <v>148.24607416333333</v>
      </c>
      <c r="AR90" s="143">
        <f t="shared" si="382"/>
        <v>774.63665117491928</v>
      </c>
      <c r="AS90" s="140">
        <f t="shared" ref="AS90:BB90" si="383">F90*86400*365/($D90*1000000)*1000</f>
        <v>11.739871734588542</v>
      </c>
      <c r="AT90" s="140">
        <f t="shared" si="383"/>
        <v>157.21307042309448</v>
      </c>
      <c r="AU90" s="140">
        <f t="shared" si="383"/>
        <v>2.3590238462482276</v>
      </c>
      <c r="AV90" s="140">
        <f t="shared" si="383"/>
        <v>5.6781867779038198</v>
      </c>
      <c r="AW90" s="140">
        <f t="shared" si="383"/>
        <v>531.62675533476465</v>
      </c>
      <c r="AX90" s="141">
        <f t="shared" si="383"/>
        <v>2.0411503847095886</v>
      </c>
      <c r="AY90" s="141">
        <f t="shared" si="383"/>
        <v>1.8789558467211291</v>
      </c>
      <c r="AZ90" s="141">
        <f t="shared" si="383"/>
        <v>2.4139618403499141</v>
      </c>
      <c r="BA90" s="140">
        <f t="shared" si="383"/>
        <v>714.9509761883802</v>
      </c>
      <c r="BB90" s="140">
        <f t="shared" si="383"/>
        <v>13.836568592963431</v>
      </c>
      <c r="BC90" s="141">
        <f>E90*86400*365/($D90*1000000)*1000</f>
        <v>728.78754478134374</v>
      </c>
      <c r="BD90" s="139">
        <f>P90/($D90*100)*1000</f>
        <v>92.342073952302428</v>
      </c>
      <c r="BE90" s="140">
        <f>Q90/($D90*100)*1000</f>
        <v>100.12576407505109</v>
      </c>
      <c r="BF90" s="141">
        <f>R90/($D90*100)*1000</f>
        <v>192.46783802735351</v>
      </c>
      <c r="BG90" s="139">
        <f t="shared" ref="BG90:CA90" si="384">S90/($D90*100)*1000000</f>
        <v>312.14763768001984</v>
      </c>
      <c r="BH90" s="140">
        <f t="shared" si="384"/>
        <v>1937.2780928217148</v>
      </c>
      <c r="BI90" s="140">
        <f t="shared" si="384"/>
        <v>17.393429801921098</v>
      </c>
      <c r="BJ90" s="140">
        <f t="shared" si="384"/>
        <v>379.22551309361427</v>
      </c>
      <c r="BK90" s="140">
        <f t="shared" si="384"/>
        <v>2.5031441018762774</v>
      </c>
      <c r="BL90" s="140">
        <f t="shared" si="384"/>
        <v>661.52819504945285</v>
      </c>
      <c r="BM90" s="140">
        <f t="shared" si="384"/>
        <v>9107.8534793410818</v>
      </c>
      <c r="BN90" s="141">
        <f t="shared" si="384"/>
        <v>49.86537450564196</v>
      </c>
      <c r="BO90" s="141">
        <f t="shared" si="384"/>
        <v>189.73381287073636</v>
      </c>
      <c r="BP90" s="141">
        <f t="shared" si="384"/>
        <v>65.477245347925049</v>
      </c>
      <c r="BQ90" s="140">
        <f t="shared" si="384"/>
        <v>12723.005924613988</v>
      </c>
      <c r="BR90" s="140">
        <f t="shared" si="384"/>
        <v>2446.9808746012686</v>
      </c>
      <c r="BS90" s="141">
        <f t="shared" si="384"/>
        <v>15169.98679921525</v>
      </c>
      <c r="BT90" s="139">
        <f t="shared" si="384"/>
        <v>6.840343623188887</v>
      </c>
      <c r="BU90" s="140">
        <f t="shared" si="384"/>
        <v>38.763734602456367</v>
      </c>
      <c r="BV90" s="140">
        <f t="shared" si="384"/>
        <v>0.14283340613560011</v>
      </c>
      <c r="BW90" s="140">
        <f t="shared" si="384"/>
        <v>228.69081490589608</v>
      </c>
      <c r="BX90" s="140">
        <f t="shared" si="384"/>
        <v>47.283587136363678</v>
      </c>
      <c r="BY90" s="141">
        <f t="shared" si="384"/>
        <v>7.7454198664732488</v>
      </c>
      <c r="BZ90" s="141">
        <f t="shared" si="384"/>
        <v>115.51773563825169</v>
      </c>
      <c r="CA90" s="141">
        <f t="shared" si="384"/>
        <v>11.730630048946715</v>
      </c>
      <c r="CB90" s="141">
        <f>AN90/($D90*100)*1000000</f>
        <v>34.040816012676785</v>
      </c>
      <c r="CC90" s="141">
        <f>AO90/($D90*100)*1000000</f>
        <v>10.208048197935808</v>
      </c>
      <c r="CD90" s="141">
        <f>AP90/($D90*100)*1000000</f>
        <v>500.96396343832487</v>
      </c>
      <c r="CE90" s="141">
        <f>AQ90/($D90*100)*1000000</f>
        <v>118.56171469140997</v>
      </c>
      <c r="CF90" s="140">
        <f>AR90/($D90*100)*1000000</f>
        <v>619.52567812973496</v>
      </c>
      <c r="CG90" s="84"/>
      <c r="CH90" s="143">
        <f t="shared" ref="CH90:CT90" si="385">SUM(CH4:CH67)</f>
        <v>3059.6327756946671</v>
      </c>
      <c r="CI90" s="143">
        <f t="shared" si="385"/>
        <v>381.45858120259612</v>
      </c>
      <c r="CJ90" s="143">
        <f t="shared" si="385"/>
        <v>2498.0545412819865</v>
      </c>
      <c r="CK90" s="143">
        <f t="shared" si="385"/>
        <v>1184.9528860356681</v>
      </c>
      <c r="CL90" s="143">
        <f t="shared" si="385"/>
        <v>827.1553605621267</v>
      </c>
      <c r="CM90" s="143">
        <f t="shared" si="385"/>
        <v>6227.9309206021244</v>
      </c>
      <c r="CN90" s="143">
        <f t="shared" si="385"/>
        <v>1597.3764922506989</v>
      </c>
      <c r="CO90" s="143">
        <f t="shared" si="385"/>
        <v>680.81197147796672</v>
      </c>
      <c r="CP90" s="143">
        <f t="shared" si="385"/>
        <v>2510.7309213601784</v>
      </c>
      <c r="CQ90" s="143">
        <f t="shared" si="385"/>
        <v>2278.1884637286662</v>
      </c>
      <c r="CR90" s="143">
        <f t="shared" si="385"/>
        <v>10738.093708481903</v>
      </c>
      <c r="CS90" s="143">
        <f t="shared" si="385"/>
        <v>3121.9829704973181</v>
      </c>
      <c r="CT90" s="143">
        <f t="shared" si="385"/>
        <v>18648.996064068062</v>
      </c>
      <c r="CU90" s="143"/>
      <c r="CV90" s="143">
        <f>SUM(CV4:CV67)</f>
        <v>18968.104450468007</v>
      </c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188">
        <f>CH90/$CT90*100</f>
        <v>16.406420834576785</v>
      </c>
      <c r="DL90" s="188">
        <f>CI90/$CT90*100</f>
        <v>2.0454644308578689</v>
      </c>
      <c r="DM90" s="188">
        <f>CS90/$CT90*100</f>
        <v>16.740756230372082</v>
      </c>
      <c r="DN90" s="188">
        <f>CN90/$CT90*100</f>
        <v>8.5654824890463814</v>
      </c>
      <c r="DO90" s="188">
        <f>CO90/$CT90*100</f>
        <v>3.6506628514428221</v>
      </c>
      <c r="DP90" s="188">
        <f>CQ90/$CT90*100</f>
        <v>12.216145340489208</v>
      </c>
      <c r="DQ90" s="188">
        <f>CJ90/$CT90*100</f>
        <v>13.39511538690874</v>
      </c>
      <c r="DR90" s="188">
        <f>CK90/$CT90*100</f>
        <v>6.3539768144343975</v>
      </c>
      <c r="DS90" s="188">
        <f>CM90/$CT90*100</f>
        <v>33.395529170611951</v>
      </c>
      <c r="DT90" s="188">
        <f>CR90/$CT90*100</f>
        <v>57.580009516820674</v>
      </c>
      <c r="DU90" s="188">
        <f>CP90/$CT90*100</f>
        <v>13.463088912318058</v>
      </c>
      <c r="DV90" s="188">
        <f>CT90/$CT90*100</f>
        <v>100</v>
      </c>
      <c r="DW90" s="188">
        <f>CV90/$CT90*100</f>
        <v>101.71112903506257</v>
      </c>
      <c r="DY90" s="238">
        <f t="shared" ref="DY90:EI90" si="386">SUM(DY4:DY67)</f>
        <v>148.24607416333333</v>
      </c>
      <c r="DZ90" s="238">
        <f t="shared" si="386"/>
        <v>69.995109966385968</v>
      </c>
      <c r="EA90" s="238">
        <f t="shared" si="386"/>
        <v>9.6846447518065446</v>
      </c>
      <c r="EB90" s="238">
        <f t="shared" si="386"/>
        <v>146.86961093439007</v>
      </c>
      <c r="EC90" s="238">
        <f t="shared" si="386"/>
        <v>277.2447283275792</v>
      </c>
      <c r="ED90" s="238">
        <f t="shared" si="386"/>
        <v>8.5529640888317378</v>
      </c>
      <c r="EE90" s="238">
        <f t="shared" si="386"/>
        <v>114.04351894259241</v>
      </c>
      <c r="EF90" s="238">
        <f t="shared" si="386"/>
        <v>433.79898401377574</v>
      </c>
      <c r="EG90" s="238">
        <f t="shared" si="386"/>
        <v>218.24118412971933</v>
      </c>
      <c r="EH90" s="238">
        <f t="shared" si="386"/>
        <v>774.63665117491939</v>
      </c>
      <c r="EI90" s="238">
        <f t="shared" si="386"/>
        <v>774.63665117491928</v>
      </c>
      <c r="EK90" s="31"/>
      <c r="EL90" s="31"/>
      <c r="EM90" s="220"/>
      <c r="EN90" s="220"/>
      <c r="EO90" s="220"/>
      <c r="EP90" s="220"/>
      <c r="EQ90" s="220"/>
      <c r="ER90" s="31"/>
      <c r="ET90" s="188"/>
      <c r="EU90" s="188"/>
      <c r="EV90" s="223"/>
      <c r="EW90" s="223"/>
      <c r="EX90" s="223"/>
      <c r="EY90" s="223"/>
      <c r="EZ90" s="223"/>
      <c r="FA90" s="188"/>
      <c r="FF90" s="238">
        <f t="shared" ref="FF90:GB90" si="387">SUM(FF4:FF67)</f>
        <v>8.5529640888317378</v>
      </c>
      <c r="FG90" s="238">
        <f t="shared" si="387"/>
        <v>48.469031421151222</v>
      </c>
      <c r="FH90" s="238">
        <f t="shared" si="387"/>
        <v>0.17859468188438588</v>
      </c>
      <c r="FI90" s="238">
        <f t="shared" si="387"/>
        <v>187.19235365063105</v>
      </c>
      <c r="FJ90" s="238">
        <f t="shared" si="387"/>
        <v>0</v>
      </c>
      <c r="FK90" s="238">
        <f t="shared" si="387"/>
        <v>9.6846447518065446</v>
      </c>
      <c r="FL90" s="238">
        <f t="shared" si="387"/>
        <v>144.43997245806815</v>
      </c>
      <c r="FM90" s="238">
        <f t="shared" si="387"/>
        <v>13.200870711684285</v>
      </c>
      <c r="FN90" s="238">
        <f t="shared" si="387"/>
        <v>38.307269876260996</v>
      </c>
      <c r="FO90" s="238">
        <f t="shared" si="387"/>
        <v>11.487458381802091</v>
      </c>
      <c r="FP90" s="238">
        <f t="shared" si="387"/>
        <v>148.24607416333333</v>
      </c>
      <c r="FQ90" s="238">
        <f t="shared" si="387"/>
        <v>609.75923418545403</v>
      </c>
      <c r="FR90" s="238">
        <f t="shared" si="387"/>
        <v>0</v>
      </c>
      <c r="FS90" s="238">
        <f t="shared" si="387"/>
        <v>148.24607416333333</v>
      </c>
      <c r="FT90" s="238">
        <f t="shared" si="387"/>
        <v>62.995598969747391</v>
      </c>
      <c r="FU90" s="238">
        <f t="shared" si="387"/>
        <v>9.6846447518065446</v>
      </c>
      <c r="FV90" s="238">
        <f t="shared" si="387"/>
        <v>146.86961093439007</v>
      </c>
      <c r="FW90" s="238">
        <f t="shared" si="387"/>
        <v>187.19235365063102</v>
      </c>
      <c r="FX90" s="238">
        <f t="shared" si="387"/>
        <v>8.5529640888317378</v>
      </c>
      <c r="FY90" s="238">
        <f t="shared" si="387"/>
        <v>46.217987626713743</v>
      </c>
      <c r="FZ90" s="238">
        <f t="shared" si="387"/>
        <v>343.7466093368277</v>
      </c>
      <c r="GA90" s="238">
        <f t="shared" si="387"/>
        <v>211.2416731330807</v>
      </c>
      <c r="GB90" s="238">
        <f t="shared" si="387"/>
        <v>609.75923418545392</v>
      </c>
      <c r="GE90" s="238">
        <f t="shared" ref="GE90:HN90" si="388">SUM(GE4:GE67)</f>
        <v>1.9868562766090685</v>
      </c>
      <c r="GF90" s="238">
        <f t="shared" si="388"/>
        <v>12.249510359960357</v>
      </c>
      <c r="GG90" s="238">
        <f t="shared" si="388"/>
        <v>0</v>
      </c>
      <c r="GH90" s="238">
        <f t="shared" si="388"/>
        <v>194.18827472753512</v>
      </c>
      <c r="GI90" s="238">
        <f t="shared" si="388"/>
        <v>19.20448001665148</v>
      </c>
      <c r="GJ90" s="238">
        <f t="shared" si="388"/>
        <v>5.4609009480140616</v>
      </c>
      <c r="GK90" s="238">
        <f t="shared" si="388"/>
        <v>62.170173791861131</v>
      </c>
      <c r="GL90" s="238">
        <f t="shared" si="388"/>
        <v>6.7779065848965292</v>
      </c>
      <c r="GM90" s="238">
        <f t="shared" si="388"/>
        <v>11.101629849281814</v>
      </c>
      <c r="GN90" s="238">
        <f t="shared" si="388"/>
        <v>5.8700773040885252</v>
      </c>
      <c r="GO90" s="238">
        <f t="shared" si="388"/>
        <v>42.190828954999986</v>
      </c>
      <c r="GP90" s="238">
        <f t="shared" si="388"/>
        <v>361.20063881389814</v>
      </c>
      <c r="GQ90" s="238">
        <f t="shared" si="388"/>
        <v>0</v>
      </c>
      <c r="GR90" s="238">
        <f t="shared" si="388"/>
        <v>1.9868562766090685</v>
      </c>
      <c r="GS90" s="238">
        <f t="shared" si="388"/>
        <v>12.249510359960357</v>
      </c>
      <c r="GT90" s="238">
        <f t="shared" si="388"/>
        <v>0</v>
      </c>
      <c r="GU90" s="238">
        <f t="shared" si="388"/>
        <v>125.39750062639912</v>
      </c>
      <c r="GV90" s="238">
        <f t="shared" si="388"/>
        <v>0</v>
      </c>
      <c r="GW90" s="238">
        <f t="shared" si="388"/>
        <v>5.4609009480140616</v>
      </c>
      <c r="GX90" s="238">
        <f t="shared" si="388"/>
        <v>62.170173791861131</v>
      </c>
      <c r="GY90" s="238">
        <f t="shared" si="388"/>
        <v>6.1001159264068772</v>
      </c>
      <c r="GZ90" s="238">
        <f t="shared" si="388"/>
        <v>9.9914668643536331</v>
      </c>
      <c r="HA90" s="238">
        <f t="shared" si="388"/>
        <v>5.2830695736796747</v>
      </c>
      <c r="HB90" s="238">
        <f t="shared" si="388"/>
        <v>42.190828954999986</v>
      </c>
      <c r="HC90" s="238">
        <f t="shared" si="388"/>
        <v>270.83042332228393</v>
      </c>
      <c r="HD90" s="238">
        <f t="shared" si="388"/>
        <v>0</v>
      </c>
      <c r="HE90" s="238">
        <f t="shared" si="388"/>
        <v>42.190828954999986</v>
      </c>
      <c r="HF90" s="238">
        <f t="shared" si="388"/>
        <v>23.749613738266873</v>
      </c>
      <c r="HG90" s="238">
        <f t="shared" si="388"/>
        <v>5.4609009480140616</v>
      </c>
      <c r="HH90" s="238">
        <f t="shared" si="388"/>
        <v>62.228093354281114</v>
      </c>
      <c r="HI90" s="238">
        <f t="shared" si="388"/>
        <v>188.57823371032393</v>
      </c>
      <c r="HJ90" s="238">
        <f t="shared" si="388"/>
        <v>1.9868562766090685</v>
      </c>
      <c r="HK90" s="238">
        <f t="shared" si="388"/>
        <v>37.006111831402983</v>
      </c>
      <c r="HL90" s="238">
        <f t="shared" si="388"/>
        <v>256.26722801261917</v>
      </c>
      <c r="HM90" s="238">
        <f t="shared" si="388"/>
        <v>65.940442693266888</v>
      </c>
      <c r="HN90" s="238">
        <f t="shared" si="388"/>
        <v>361.20063881389814</v>
      </c>
      <c r="HO90" s="238">
        <f t="shared" ref="HO90:IX90" si="389">SUM(HO4:HO67)</f>
        <v>361.20063881389814</v>
      </c>
      <c r="HP90" s="238">
        <f t="shared" si="389"/>
        <v>0</v>
      </c>
      <c r="HQ90" s="238">
        <f t="shared" si="389"/>
        <v>42.190828954999986</v>
      </c>
      <c r="HR90" s="238">
        <f t="shared" si="389"/>
        <v>21.37465236444018</v>
      </c>
      <c r="HS90" s="238">
        <f t="shared" si="389"/>
        <v>5.4609009480140616</v>
      </c>
      <c r="HT90" s="238">
        <f t="shared" si="389"/>
        <v>62.228093354281114</v>
      </c>
      <c r="HU90" s="238">
        <f t="shared" si="389"/>
        <v>125.39750062639912</v>
      </c>
      <c r="HV90" s="238">
        <f t="shared" si="389"/>
        <v>1.9868562766090685</v>
      </c>
      <c r="HW90" s="238">
        <f t="shared" si="389"/>
        <v>12.191590797540369</v>
      </c>
      <c r="HX90" s="238">
        <f t="shared" si="389"/>
        <v>193.08649492869426</v>
      </c>
      <c r="HY90" s="238">
        <f t="shared" si="389"/>
        <v>63.565481319440181</v>
      </c>
      <c r="HZ90" s="238">
        <f t="shared" si="389"/>
        <v>270.83042332228393</v>
      </c>
      <c r="IA90" s="238">
        <f t="shared" si="389"/>
        <v>0</v>
      </c>
      <c r="IB90" s="238">
        <f t="shared" si="389"/>
        <v>18</v>
      </c>
      <c r="IC90" s="238">
        <f t="shared" si="389"/>
        <v>33.070009253912467</v>
      </c>
      <c r="ID90" s="238">
        <f t="shared" si="389"/>
        <v>374.07097950793036</v>
      </c>
      <c r="IE90" s="238">
        <f t="shared" si="389"/>
        <v>0</v>
      </c>
      <c r="IF90" s="238">
        <f t="shared" si="389"/>
        <v>252.95186642502242</v>
      </c>
      <c r="IG90" s="238">
        <f t="shared" si="389"/>
        <v>0.76677543834340067</v>
      </c>
      <c r="IH90" s="238">
        <f t="shared" si="389"/>
        <v>414.39096346538071</v>
      </c>
      <c r="II90" s="238">
        <f t="shared" si="389"/>
        <v>3026.1976825224983</v>
      </c>
      <c r="IJ90" s="238">
        <f t="shared" si="389"/>
        <v>16.325858272350214</v>
      </c>
      <c r="IK90" s="238">
        <f t="shared" si="389"/>
        <v>33.827403558289006</v>
      </c>
      <c r="IL90" s="238">
        <f t="shared" si="389"/>
        <v>16.441272982384149</v>
      </c>
      <c r="IM90" s="238">
        <f t="shared" si="389"/>
        <v>183.57136820744444</v>
      </c>
      <c r="IN90" s="238">
        <f t="shared" si="389"/>
        <v>4351.6141796335569</v>
      </c>
      <c r="IO90" s="238">
        <f t="shared" si="389"/>
        <v>0</v>
      </c>
      <c r="IP90" s="238">
        <f t="shared" si="389"/>
        <v>183.57136820744444</v>
      </c>
      <c r="IQ90" s="238">
        <f t="shared" si="389"/>
        <v>66.594534813023358</v>
      </c>
      <c r="IR90" s="238">
        <f t="shared" si="389"/>
        <v>257.03367852881689</v>
      </c>
      <c r="IS90" s="238">
        <f t="shared" si="389"/>
        <v>345.73419558487353</v>
      </c>
      <c r="IT90" s="238">
        <f t="shared" si="389"/>
        <v>414.39096346538071</v>
      </c>
      <c r="IU90" s="238">
        <f t="shared" si="389"/>
        <v>2199.245303654287</v>
      </c>
      <c r="IV90" s="238">
        <f t="shared" si="389"/>
        <v>142.48456915354308</v>
      </c>
      <c r="IW90" s="238">
        <f t="shared" si="389"/>
        <v>190.72022514565322</v>
      </c>
      <c r="IX90" s="238">
        <f t="shared" si="389"/>
        <v>551.83934108053404</v>
      </c>
      <c r="IY90" s="181">
        <f>SUM(IP90:IX90)</f>
        <v>4351.614179633556</v>
      </c>
    </row>
    <row r="91" spans="1:259">
      <c r="A91" s="137" t="s">
        <v>60</v>
      </c>
      <c r="B91" s="138"/>
      <c r="C91" s="138"/>
      <c r="D91" s="143"/>
      <c r="E91" s="84"/>
      <c r="F91" s="142"/>
      <c r="G91" s="140"/>
      <c r="H91" s="140"/>
      <c r="I91" s="140"/>
      <c r="J91" s="140"/>
      <c r="K91" s="140"/>
      <c r="L91" s="140"/>
      <c r="M91" s="140"/>
      <c r="N91" s="140"/>
      <c r="O91" s="140"/>
      <c r="P91" s="139"/>
      <c r="Q91" s="140"/>
      <c r="R91" s="84"/>
      <c r="S91" s="139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84"/>
      <c r="AF91" s="139"/>
      <c r="AG91" s="140"/>
      <c r="AH91" s="140"/>
      <c r="AI91" s="140"/>
      <c r="AJ91" s="140"/>
      <c r="AK91" s="140"/>
      <c r="AL91" s="141"/>
      <c r="AM91" s="140"/>
      <c r="AN91" s="142"/>
      <c r="AO91" s="142"/>
      <c r="AP91" s="142"/>
      <c r="AQ91" s="140"/>
      <c r="AR91" s="144"/>
      <c r="AS91" s="140"/>
      <c r="AT91" s="140"/>
      <c r="AU91" s="140"/>
      <c r="AV91" s="140"/>
      <c r="AW91" s="140"/>
      <c r="AX91" s="141"/>
      <c r="AY91" s="141"/>
      <c r="AZ91" s="141"/>
      <c r="BA91" s="140"/>
      <c r="BB91" s="140"/>
      <c r="BC91" s="141"/>
      <c r="BD91" s="139"/>
      <c r="BE91" s="140"/>
      <c r="BF91" s="141"/>
      <c r="BG91" s="139"/>
      <c r="BH91" s="140"/>
      <c r="BI91" s="140"/>
      <c r="BJ91" s="140"/>
      <c r="BK91" s="140"/>
      <c r="BL91" s="140"/>
      <c r="BM91" s="140"/>
      <c r="BN91" s="141"/>
      <c r="BO91" s="141"/>
      <c r="BP91" s="141"/>
      <c r="BQ91" s="140"/>
      <c r="BR91" s="140"/>
      <c r="BS91" s="141"/>
      <c r="BT91" s="139"/>
      <c r="BU91" s="140"/>
      <c r="BV91" s="140"/>
      <c r="BW91" s="140"/>
      <c r="BX91" s="140"/>
      <c r="BY91" s="141"/>
      <c r="BZ91" s="141"/>
      <c r="CA91" s="141"/>
      <c r="CB91" s="141"/>
      <c r="CC91" s="141"/>
      <c r="CD91" s="141"/>
      <c r="CE91" s="141"/>
      <c r="CF91" s="140"/>
      <c r="CG91" s="84"/>
      <c r="CH91" s="84"/>
      <c r="CI91" s="84"/>
      <c r="CJ91" s="84"/>
      <c r="CK91" s="84"/>
      <c r="CL91" s="84"/>
      <c r="CM91" s="84"/>
      <c r="CN91" s="84"/>
      <c r="CO91" s="84"/>
      <c r="CP91" s="84"/>
      <c r="CQ91" s="84"/>
      <c r="CR91" s="84"/>
      <c r="CS91" s="84"/>
      <c r="CT91" s="84"/>
      <c r="CU91" s="84"/>
      <c r="CV91" s="84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Y91" s="238"/>
      <c r="DZ91" s="238"/>
      <c r="EA91" s="238"/>
      <c r="EB91" s="238"/>
      <c r="EC91" s="238"/>
      <c r="ED91" s="238"/>
      <c r="EE91" s="238"/>
      <c r="EF91" s="238"/>
      <c r="EG91" s="238"/>
      <c r="EH91" s="238"/>
      <c r="EI91" s="238"/>
      <c r="EK91" s="31"/>
      <c r="EL91" s="31"/>
      <c r="EM91" s="220"/>
      <c r="EN91" s="220"/>
      <c r="EO91" s="220"/>
      <c r="EP91" s="220"/>
      <c r="EQ91" s="220"/>
      <c r="ER91" s="31"/>
      <c r="ET91" s="188"/>
      <c r="EU91" s="188"/>
      <c r="EV91" s="223"/>
      <c r="EW91" s="223"/>
      <c r="EX91" s="223"/>
      <c r="EY91" s="223"/>
      <c r="EZ91" s="223"/>
      <c r="FA91" s="188"/>
    </row>
    <row r="92" spans="1:259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136"/>
      <c r="AC92" s="136"/>
      <c r="AD92" s="136"/>
      <c r="AE92" s="136"/>
      <c r="AF92" s="136"/>
      <c r="AG92" s="136"/>
      <c r="AH92" s="136"/>
      <c r="AI92" s="136"/>
      <c r="AJ92" s="136"/>
      <c r="AK92" s="136"/>
      <c r="AL92" s="136"/>
      <c r="AM92" s="136"/>
      <c r="AN92" s="136"/>
      <c r="AO92" s="136"/>
      <c r="AP92" s="136"/>
      <c r="AQ92" s="136"/>
      <c r="AR92" s="136"/>
      <c r="AS92" s="136"/>
      <c r="AT92" s="136"/>
      <c r="AU92" s="136"/>
      <c r="AV92" s="136"/>
      <c r="AW92" s="136"/>
      <c r="AX92" s="136"/>
      <c r="AY92" s="136"/>
      <c r="AZ92" s="136"/>
      <c r="BA92" s="136"/>
      <c r="BB92" s="136"/>
      <c r="BC92" s="136"/>
      <c r="BD92" s="136"/>
      <c r="BE92" s="136"/>
      <c r="BF92" s="136"/>
      <c r="BG92" s="136"/>
      <c r="BH92" s="136"/>
      <c r="BI92" s="136"/>
      <c r="BJ92" s="136"/>
      <c r="BK92" s="136"/>
      <c r="BL92" s="136"/>
      <c r="BM92" s="136"/>
      <c r="BN92" s="136"/>
      <c r="BO92" s="136"/>
      <c r="BP92" s="136"/>
      <c r="BQ92" s="136"/>
      <c r="BR92" s="136"/>
      <c r="BS92" s="136"/>
      <c r="BT92" s="136"/>
      <c r="BU92" s="136"/>
      <c r="BV92" s="136"/>
      <c r="BW92" s="136"/>
      <c r="BX92" s="136"/>
      <c r="BY92" s="136"/>
      <c r="BZ92" s="136"/>
      <c r="CA92" s="136"/>
      <c r="CB92" s="136"/>
      <c r="CC92" s="136"/>
      <c r="CD92" s="136"/>
      <c r="CE92" s="136"/>
      <c r="CF92" s="136"/>
      <c r="CH92" s="36"/>
      <c r="CI92" s="36"/>
    </row>
    <row r="93" spans="1:259">
      <c r="A93" s="136"/>
      <c r="B93" s="136"/>
      <c r="C93" s="136"/>
      <c r="D93" s="136"/>
      <c r="E93" s="136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  <c r="AH93" s="136"/>
      <c r="AI93" s="136"/>
      <c r="AJ93" s="136"/>
      <c r="AK93" s="136"/>
      <c r="AL93" s="136"/>
      <c r="AM93" s="136"/>
      <c r="AN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  <c r="AY93" s="136"/>
      <c r="AZ93" s="136"/>
      <c r="BA93" s="136"/>
      <c r="BB93" s="136"/>
      <c r="BC93" s="136"/>
      <c r="BD93" s="136"/>
      <c r="BE93" s="136"/>
      <c r="BF93" s="136"/>
      <c r="BG93" s="136"/>
      <c r="BH93" s="136"/>
      <c r="BI93" s="136"/>
      <c r="BJ93" s="136"/>
      <c r="BK93" s="136"/>
      <c r="BL93" s="136"/>
      <c r="BM93" s="136"/>
      <c r="BN93" s="136"/>
      <c r="BO93" s="136"/>
      <c r="BP93" s="136"/>
      <c r="BQ93" s="136"/>
      <c r="BR93" s="136"/>
      <c r="BS93" s="136"/>
      <c r="BT93" s="136"/>
      <c r="BU93" s="136"/>
      <c r="BV93" s="136"/>
      <c r="BW93" s="136"/>
      <c r="BX93" s="136"/>
      <c r="BY93" s="136"/>
      <c r="BZ93" s="136"/>
      <c r="CA93" s="136"/>
      <c r="CB93" s="136"/>
      <c r="CC93" s="136"/>
      <c r="CD93" s="136"/>
      <c r="CE93" s="136"/>
      <c r="CF93" s="136"/>
      <c r="CH93" s="203">
        <f t="shared" ref="CH93:CT93" si="390">CH90/$CT90*100</f>
        <v>16.406420834576785</v>
      </c>
      <c r="CI93" s="203">
        <f t="shared" si="390"/>
        <v>2.0454644308578689</v>
      </c>
      <c r="CJ93" s="203">
        <f t="shared" si="390"/>
        <v>13.39511538690874</v>
      </c>
      <c r="CK93" s="203">
        <f t="shared" si="390"/>
        <v>6.3539768144343975</v>
      </c>
      <c r="CL93" s="203">
        <f t="shared" si="390"/>
        <v>4.4353881448655974</v>
      </c>
      <c r="CM93" s="203">
        <f t="shared" si="390"/>
        <v>33.395529170611951</v>
      </c>
      <c r="CN93" s="203">
        <f t="shared" si="390"/>
        <v>8.5654824890463814</v>
      </c>
      <c r="CO93" s="203">
        <f t="shared" si="390"/>
        <v>3.6506628514428221</v>
      </c>
      <c r="CP93" s="203">
        <f t="shared" si="390"/>
        <v>13.463088912318058</v>
      </c>
      <c r="CQ93" s="203">
        <f t="shared" si="390"/>
        <v>12.216145340489208</v>
      </c>
      <c r="CR93" s="203">
        <f t="shared" si="390"/>
        <v>57.580009516820674</v>
      </c>
      <c r="CS93" s="203">
        <f t="shared" si="390"/>
        <v>16.740756230372082</v>
      </c>
      <c r="CT93" s="203">
        <f t="shared" si="390"/>
        <v>100</v>
      </c>
      <c r="CU93" s="203"/>
      <c r="CV93" s="203">
        <f>CV90/$CT90*100</f>
        <v>101.71112903506257</v>
      </c>
      <c r="CW93" s="203"/>
      <c r="CX93" s="203"/>
      <c r="DY93" s="188">
        <f t="shared" ref="DY93:EI93" si="391">DY90/$EI90*100</f>
        <v>19.137498069383003</v>
      </c>
      <c r="DZ93" s="188">
        <f t="shared" si="391"/>
        <v>9.0358634412949428</v>
      </c>
      <c r="EA93" s="181">
        <f t="shared" si="391"/>
        <v>1.2502177294499939</v>
      </c>
      <c r="EB93" s="188">
        <f t="shared" si="391"/>
        <v>18.959806602440981</v>
      </c>
      <c r="EC93" s="188">
        <f t="shared" si="391"/>
        <v>35.790293153192806</v>
      </c>
      <c r="ED93" s="188">
        <f t="shared" si="391"/>
        <v>1.1041259248267106</v>
      </c>
      <c r="EE93" s="188">
        <f t="shared" si="391"/>
        <v>14.722195079411554</v>
      </c>
      <c r="EF93" s="188">
        <f t="shared" si="391"/>
        <v>56.000317485083769</v>
      </c>
      <c r="EG93" s="188">
        <f t="shared" si="391"/>
        <v>28.173361510677953</v>
      </c>
      <c r="EH93" s="188">
        <f t="shared" si="391"/>
        <v>100.00000000000003</v>
      </c>
      <c r="EI93" s="188">
        <f t="shared" si="391"/>
        <v>100</v>
      </c>
      <c r="FF93" s="147">
        <f t="shared" ref="FF93:FM93" si="392">FF90/$FQ90*100</f>
        <v>1.4026788950981943</v>
      </c>
      <c r="FG93" s="147">
        <f t="shared" si="392"/>
        <v>7.9488802635188467</v>
      </c>
      <c r="FH93" s="147">
        <f t="shared" si="392"/>
        <v>2.9289377162604404E-2</v>
      </c>
      <c r="FI93" s="147">
        <f t="shared" si="392"/>
        <v>30.699388079082013</v>
      </c>
      <c r="FJ93" s="147">
        <f t="shared" si="392"/>
        <v>0</v>
      </c>
      <c r="FK93" s="147">
        <f t="shared" si="392"/>
        <v>1.5882735691151544</v>
      </c>
      <c r="FL93" s="147">
        <f t="shared" si="392"/>
        <v>23.688033630358724</v>
      </c>
      <c r="FM93" s="147">
        <f t="shared" si="392"/>
        <v>2.1649316601688939</v>
      </c>
      <c r="FN93" s="147">
        <f>FN90/$FQ90*100</f>
        <v>6.2823599428442778</v>
      </c>
      <c r="FO93" s="147">
        <f>FO90/$FQ90*100</f>
        <v>1.8839334835408592</v>
      </c>
      <c r="FP93" s="147">
        <f>FP90/$FQ90*100</f>
        <v>24.312231099110392</v>
      </c>
      <c r="FQ93" s="147">
        <f>FQ90/$FQ90*100</f>
        <v>100</v>
      </c>
      <c r="FS93" s="147">
        <f t="shared" ref="FS93:GB93" si="393">FS90/$GB90*100</f>
        <v>24.312231099110399</v>
      </c>
      <c r="FT93" s="147">
        <f t="shared" si="393"/>
        <v>10.331225086554037</v>
      </c>
      <c r="FU93" s="147">
        <f t="shared" si="393"/>
        <v>1.5882735691151548</v>
      </c>
      <c r="FV93" s="147">
        <f t="shared" si="393"/>
        <v>24.086492290778612</v>
      </c>
      <c r="FW93" s="147">
        <f t="shared" si="393"/>
        <v>30.699388079082013</v>
      </c>
      <c r="FX93" s="147">
        <f t="shared" si="393"/>
        <v>1.4026788950981945</v>
      </c>
      <c r="FY93" s="147">
        <f t="shared" si="393"/>
        <v>7.5797109802615754</v>
      </c>
      <c r="FZ93" s="147">
        <f t="shared" si="393"/>
        <v>56.374153938975788</v>
      </c>
      <c r="GA93" s="147">
        <f t="shared" si="393"/>
        <v>34.643456185664427</v>
      </c>
      <c r="GB93" s="147">
        <f t="shared" si="393"/>
        <v>100</v>
      </c>
      <c r="GE93" s="147">
        <f t="shared" ref="GE93:GL93" si="394">GE90/$GP90*100</f>
        <v>0.55006997859512619</v>
      </c>
      <c r="GF93" s="147">
        <f t="shared" si="394"/>
        <v>3.3913313110920851</v>
      </c>
      <c r="GG93" s="147">
        <f t="shared" si="394"/>
        <v>0</v>
      </c>
      <c r="GH93" s="147">
        <f t="shared" si="394"/>
        <v>53.76188573896377</v>
      </c>
      <c r="GI93" s="147">
        <f t="shared" si="394"/>
        <v>5.31684552931985</v>
      </c>
      <c r="GJ93" s="147">
        <f t="shared" si="394"/>
        <v>1.5118746649913009</v>
      </c>
      <c r="GK93" s="147">
        <f t="shared" si="394"/>
        <v>17.212088548905683</v>
      </c>
      <c r="GL93" s="147">
        <f t="shared" si="394"/>
        <v>1.8764935209288816</v>
      </c>
      <c r="GM93" s="147">
        <f>GM90/$GP90*100</f>
        <v>3.0735354969850208</v>
      </c>
      <c r="GN93" s="147">
        <f>GN90/$GP90*100</f>
        <v>1.6251569552491776</v>
      </c>
      <c r="GO93" s="147">
        <f>GO90/$GP90*100</f>
        <v>11.680718254969095</v>
      </c>
      <c r="GP93" s="147">
        <f>GP90/$GP90*100</f>
        <v>100</v>
      </c>
      <c r="GR93" s="147">
        <f t="shared" ref="GR93:GY93" si="395">GR90/$HC90*100</f>
        <v>0.73361635381883994</v>
      </c>
      <c r="GS93" s="147">
        <f t="shared" si="395"/>
        <v>4.5229447303945003</v>
      </c>
      <c r="GT93" s="147">
        <f t="shared" si="395"/>
        <v>0</v>
      </c>
      <c r="GU93" s="147">
        <f t="shared" si="395"/>
        <v>46.30111310544239</v>
      </c>
      <c r="GV93" s="147">
        <f t="shared" si="395"/>
        <v>0</v>
      </c>
      <c r="GW93" s="147">
        <f t="shared" si="395"/>
        <v>2.0163543227622087</v>
      </c>
      <c r="GX93" s="147">
        <f t="shared" si="395"/>
        <v>22.955387740128298</v>
      </c>
      <c r="GY93" s="147">
        <f t="shared" si="395"/>
        <v>2.2523746968957896</v>
      </c>
      <c r="GZ93" s="147">
        <f>GZ90/$HC90*100</f>
        <v>3.6891966352184684</v>
      </c>
      <c r="HA93" s="147">
        <f>HA90/$HC90*100</f>
        <v>1.9506928021128946</v>
      </c>
      <c r="HB93" s="147">
        <f>HB90/$HC90*100</f>
        <v>15.578319613226599</v>
      </c>
      <c r="HC93" s="147">
        <f>HC90/$HC90*100</f>
        <v>100</v>
      </c>
      <c r="HE93" s="181">
        <f t="shared" ref="HE93:HO93" si="396">HE90/$HO$90*100</f>
        <v>11.680718254969095</v>
      </c>
      <c r="HF93" s="181">
        <f t="shared" si="396"/>
        <v>6.5751859731630811</v>
      </c>
      <c r="HG93" s="181">
        <f t="shared" si="396"/>
        <v>1.5118746649913009</v>
      </c>
      <c r="HH93" s="181">
        <f t="shared" si="396"/>
        <v>17.22812383683047</v>
      </c>
      <c r="HI93" s="181">
        <f t="shared" si="396"/>
        <v>52.20872098387548</v>
      </c>
      <c r="HJ93" s="181">
        <f t="shared" si="396"/>
        <v>0.55006997859512619</v>
      </c>
      <c r="HK93" s="181">
        <f t="shared" si="396"/>
        <v>10.245306307575412</v>
      </c>
      <c r="HL93" s="181">
        <f t="shared" si="396"/>
        <v>70.948719485697282</v>
      </c>
      <c r="HM93" s="181">
        <f t="shared" si="396"/>
        <v>18.255904228132184</v>
      </c>
      <c r="HN93">
        <f t="shared" si="396"/>
        <v>100</v>
      </c>
      <c r="HO93">
        <f t="shared" si="396"/>
        <v>100</v>
      </c>
      <c r="HQ93" s="147">
        <f t="shared" ref="HQ93:HZ93" si="397">HQ90/$HZ90*100</f>
        <v>15.578319613226599</v>
      </c>
      <c r="HR93" s="147">
        <f t="shared" si="397"/>
        <v>7.8922641342271502</v>
      </c>
      <c r="HS93" s="147">
        <f t="shared" si="397"/>
        <v>2.0163543227622087</v>
      </c>
      <c r="HT93" s="147">
        <f t="shared" si="397"/>
        <v>22.976773654498434</v>
      </c>
      <c r="HU93" s="147">
        <f t="shared" si="397"/>
        <v>46.30111310544239</v>
      </c>
      <c r="HV93" s="147">
        <f t="shared" si="397"/>
        <v>0.73361635381883994</v>
      </c>
      <c r="HW93" s="147">
        <f t="shared" si="397"/>
        <v>4.5015588160243611</v>
      </c>
      <c r="HX93" s="147">
        <f t="shared" si="397"/>
        <v>71.294241082703024</v>
      </c>
      <c r="HY93" s="147">
        <f t="shared" si="397"/>
        <v>23.470583747453759</v>
      </c>
      <c r="HZ93" s="147">
        <f t="shared" si="397"/>
        <v>100</v>
      </c>
      <c r="IC93" s="181">
        <f t="shared" ref="IC93:IJ93" si="398">IC90/$IN90*100</f>
        <v>0.75994809945897457</v>
      </c>
      <c r="ID93" s="181">
        <f t="shared" si="398"/>
        <v>8.5961430417857123</v>
      </c>
      <c r="IE93" s="181">
        <f t="shared" si="398"/>
        <v>0</v>
      </c>
      <c r="IF93" s="181">
        <f t="shared" si="398"/>
        <v>5.8128284352249979</v>
      </c>
      <c r="IG93" s="181">
        <f t="shared" si="398"/>
        <v>1.7620483036664105E-2</v>
      </c>
      <c r="IH93" s="181">
        <f t="shared" si="398"/>
        <v>9.5226954035772522</v>
      </c>
      <c r="II93" s="181">
        <f t="shared" si="398"/>
        <v>69.541957480645266</v>
      </c>
      <c r="IJ93" s="181">
        <f t="shared" si="398"/>
        <v>0.37516787101114257</v>
      </c>
      <c r="IK93" s="181">
        <f>IK90/$IN90*100</f>
        <v>0.77735300423939613</v>
      </c>
      <c r="IL93" s="181">
        <f>IL90/$IN90*100</f>
        <v>0.3778200985586605</v>
      </c>
      <c r="IM93" s="181">
        <f>IM90/$IN90*100</f>
        <v>4.2184660824619042</v>
      </c>
      <c r="IN93" s="181">
        <f>IN90/$IN90*100</f>
        <v>100</v>
      </c>
      <c r="IP93" s="181">
        <f t="shared" ref="IP93:IY93" si="399">IP90/$IY90*100</f>
        <v>4.2184660824619051</v>
      </c>
      <c r="IQ93" s="181">
        <f t="shared" si="399"/>
        <v>1.5303409738091993</v>
      </c>
      <c r="IR93" s="181">
        <f t="shared" si="399"/>
        <v>5.9066283893408356</v>
      </c>
      <c r="IS93" s="181">
        <f t="shared" si="399"/>
        <v>7.9449643583519025</v>
      </c>
      <c r="IT93" s="181">
        <f t="shared" si="399"/>
        <v>9.5226954035772557</v>
      </c>
      <c r="IU93" s="181">
        <f t="shared" si="399"/>
        <v>50.538609648511688</v>
      </c>
      <c r="IV93" s="181">
        <f t="shared" si="399"/>
        <v>3.2742923262912416</v>
      </c>
      <c r="IW93" s="181">
        <f t="shared" si="399"/>
        <v>4.3827466607279399</v>
      </c>
      <c r="IX93" s="181">
        <f t="shared" si="399"/>
        <v>12.681256156928042</v>
      </c>
      <c r="IY93" s="181">
        <f t="shared" si="399"/>
        <v>100</v>
      </c>
    </row>
    <row r="94" spans="1:259">
      <c r="A94" s="136"/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136"/>
      <c r="AG94" s="136"/>
      <c r="AH94" s="136"/>
      <c r="AI94" s="136"/>
      <c r="AJ94" s="136"/>
      <c r="AK94" s="136"/>
      <c r="AL94" s="136"/>
      <c r="AM94" s="136"/>
      <c r="AN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  <c r="AY94" s="136"/>
      <c r="AZ94" s="136"/>
      <c r="BA94" s="136"/>
      <c r="BB94" s="136"/>
      <c r="BC94" s="136"/>
      <c r="BD94" s="136"/>
      <c r="BE94" s="136"/>
      <c r="BF94" s="136"/>
      <c r="BG94" s="136"/>
      <c r="BH94" s="136"/>
      <c r="BI94" s="136"/>
      <c r="BJ94" s="136"/>
      <c r="BK94" s="136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6"/>
      <c r="CF94" s="136"/>
    </row>
    <row r="95" spans="1:259">
      <c r="A95" s="136"/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136"/>
      <c r="AG95" s="136"/>
      <c r="AH95" s="136"/>
      <c r="AI95" s="136"/>
      <c r="AJ95" s="136"/>
      <c r="AK95" s="136"/>
      <c r="AL95" s="136"/>
      <c r="AM95" s="136"/>
      <c r="AN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  <c r="AY95" s="136"/>
      <c r="AZ95" s="136"/>
      <c r="BA95" s="136"/>
      <c r="BB95" s="136"/>
      <c r="BC95" s="136"/>
      <c r="BD95" s="136"/>
      <c r="BE95" s="136"/>
      <c r="BF95" s="136"/>
      <c r="BG95" s="136"/>
      <c r="BH95" s="136"/>
      <c r="BI95" s="136"/>
      <c r="BJ95" s="136"/>
      <c r="BK95" s="136"/>
      <c r="BL95" s="136"/>
      <c r="BM95" s="136"/>
      <c r="BN95" s="136"/>
      <c r="BO95" s="136"/>
      <c r="BP95" s="136"/>
      <c r="BQ95" s="136"/>
      <c r="BR95" s="136"/>
      <c r="BS95" s="136"/>
      <c r="BT95" s="136"/>
      <c r="BU95" s="136"/>
      <c r="BV95" s="136"/>
      <c r="BW95" s="136"/>
      <c r="BX95" s="136"/>
      <c r="BY95" s="136"/>
      <c r="BZ95" s="136"/>
      <c r="CA95" s="136"/>
      <c r="CB95" s="136"/>
      <c r="CC95" s="136"/>
      <c r="CD95" s="136"/>
      <c r="CE95" s="136"/>
      <c r="CF95" s="136"/>
    </row>
    <row r="96" spans="1:259">
      <c r="A96" s="136"/>
      <c r="B96" s="136"/>
      <c r="C96" s="136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  <c r="AH96" s="136"/>
      <c r="AI96" s="136"/>
      <c r="AJ96" s="136"/>
      <c r="AK96" s="136"/>
      <c r="AL96" s="136"/>
      <c r="AM96" s="136"/>
      <c r="AN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  <c r="AY96" s="136"/>
      <c r="AZ96" s="136"/>
      <c r="BA96" s="136"/>
      <c r="BB96" s="136"/>
      <c r="BC96" s="136"/>
      <c r="BD96" s="136"/>
      <c r="BE96" s="136"/>
      <c r="BF96" s="136"/>
      <c r="BG96" s="136"/>
      <c r="BH96" s="136"/>
      <c r="BI96" s="136"/>
      <c r="BJ96" s="136"/>
      <c r="BK96" s="136"/>
      <c r="BL96" s="136"/>
      <c r="BM96" s="136"/>
      <c r="BN96" s="136"/>
      <c r="BO96" s="136"/>
      <c r="BP96" s="136"/>
      <c r="BQ96" s="136"/>
      <c r="BR96" s="136"/>
      <c r="BS96" s="136"/>
      <c r="BT96" s="136"/>
      <c r="BU96" s="136"/>
      <c r="BV96" s="136"/>
      <c r="BW96" s="136"/>
      <c r="BX96" s="136"/>
      <c r="BY96" s="136"/>
      <c r="BZ96" s="136"/>
      <c r="CA96" s="136"/>
      <c r="CB96" s="136"/>
      <c r="CC96" s="136"/>
      <c r="CD96" s="136"/>
      <c r="CE96" s="136"/>
      <c r="CF96" s="136"/>
    </row>
    <row r="97" spans="1:84">
      <c r="A97" s="136"/>
      <c r="B97" s="136"/>
      <c r="C97" s="136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136"/>
      <c r="AG97" s="136"/>
      <c r="AH97" s="136"/>
      <c r="AI97" s="136"/>
      <c r="AJ97" s="136"/>
      <c r="AK97" s="136"/>
      <c r="AL97" s="136"/>
      <c r="AM97" s="136"/>
      <c r="AN97" s="136"/>
      <c r="AO97" s="136"/>
      <c r="AP97" s="136"/>
      <c r="AQ97" s="136"/>
      <c r="AR97" s="136"/>
      <c r="AS97" s="136"/>
      <c r="AT97" s="136"/>
      <c r="AU97" s="136"/>
      <c r="AV97" s="136"/>
      <c r="AW97" s="136"/>
      <c r="AX97" s="136"/>
      <c r="AY97" s="136"/>
      <c r="AZ97" s="136"/>
      <c r="BA97" s="136"/>
      <c r="BB97" s="136"/>
      <c r="BC97" s="136"/>
      <c r="BD97" s="136"/>
      <c r="BE97" s="136"/>
      <c r="BF97" s="136"/>
      <c r="BG97" s="136"/>
      <c r="BH97" s="136"/>
      <c r="BI97" s="136"/>
      <c r="BJ97" s="136"/>
      <c r="BK97" s="136"/>
      <c r="BL97" s="136"/>
      <c r="BM97" s="136"/>
      <c r="BN97" s="136"/>
      <c r="BO97" s="136"/>
      <c r="BP97" s="136"/>
      <c r="BQ97" s="136"/>
      <c r="BR97" s="136"/>
      <c r="BS97" s="136"/>
      <c r="BT97" s="136"/>
      <c r="BU97" s="136"/>
      <c r="BV97" s="136"/>
      <c r="BW97" s="136"/>
      <c r="BX97" s="136"/>
      <c r="BY97" s="136"/>
      <c r="BZ97" s="136"/>
      <c r="CA97" s="136"/>
      <c r="CB97" s="136"/>
      <c r="CC97" s="136"/>
      <c r="CD97" s="136"/>
      <c r="CE97" s="136"/>
      <c r="CF97" s="136"/>
    </row>
    <row r="98" spans="1:84">
      <c r="A98" s="136"/>
      <c r="B98" s="136"/>
      <c r="C98" s="136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  <c r="AH98" s="136"/>
      <c r="AI98" s="136"/>
      <c r="AJ98" s="136"/>
      <c r="AK98" s="136"/>
      <c r="AL98" s="136"/>
      <c r="AM98" s="136"/>
      <c r="AN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  <c r="AY98" s="136"/>
      <c r="AZ98" s="136"/>
      <c r="BA98" s="136"/>
      <c r="BB98" s="136"/>
      <c r="BC98" s="136"/>
      <c r="BD98" s="136"/>
      <c r="BE98" s="136"/>
      <c r="BF98" s="136"/>
      <c r="BG98" s="136"/>
      <c r="BH98" s="136"/>
      <c r="BI98" s="136"/>
      <c r="BJ98" s="136"/>
      <c r="BK98" s="136"/>
      <c r="BL98" s="136"/>
      <c r="BM98" s="136"/>
      <c r="BN98" s="136"/>
      <c r="BO98" s="136"/>
      <c r="BP98" s="136"/>
      <c r="BQ98" s="136"/>
      <c r="BR98" s="136"/>
      <c r="BS98" s="136"/>
      <c r="BT98" s="136"/>
      <c r="BU98" s="136"/>
      <c r="BV98" s="136"/>
      <c r="BW98" s="136"/>
      <c r="BX98" s="136"/>
      <c r="BY98" s="136"/>
      <c r="BZ98" s="136"/>
      <c r="CA98" s="136"/>
      <c r="CB98" s="136"/>
      <c r="CC98" s="136"/>
      <c r="CD98" s="136"/>
      <c r="CE98" s="136"/>
      <c r="CF98" s="136"/>
    </row>
    <row r="99" spans="1:84">
      <c r="A99" s="136"/>
      <c r="B99" s="136"/>
      <c r="C99" s="136"/>
      <c r="D99" s="136"/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  <c r="AH99" s="136"/>
      <c r="AI99" s="136"/>
      <c r="AJ99" s="136"/>
      <c r="AK99" s="136"/>
      <c r="AL99" s="136"/>
      <c r="AM99" s="136"/>
      <c r="AN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  <c r="AY99" s="136"/>
      <c r="AZ99" s="136"/>
      <c r="BA99" s="136"/>
      <c r="BB99" s="136"/>
      <c r="BC99" s="136"/>
      <c r="BD99" s="136"/>
      <c r="BE99" s="136"/>
      <c r="BF99" s="136"/>
      <c r="BG99" s="136"/>
      <c r="BH99" s="136"/>
      <c r="BI99" s="136"/>
      <c r="BJ99" s="136"/>
      <c r="BK99" s="136"/>
      <c r="BL99" s="136"/>
      <c r="BM99" s="136"/>
      <c r="BN99" s="136"/>
      <c r="BO99" s="136"/>
      <c r="BP99" s="136"/>
      <c r="BQ99" s="136"/>
      <c r="BR99" s="136"/>
      <c r="BS99" s="136"/>
      <c r="BT99" s="136"/>
      <c r="BU99" s="136"/>
      <c r="BV99" s="136"/>
      <c r="BW99" s="136"/>
      <c r="BX99" s="136"/>
      <c r="BY99" s="136"/>
      <c r="BZ99" s="136"/>
      <c r="CA99" s="136"/>
      <c r="CB99" s="136"/>
      <c r="CC99" s="136"/>
      <c r="CD99" s="136"/>
      <c r="CE99" s="136"/>
      <c r="CF99" s="136"/>
    </row>
    <row r="100" spans="1:84">
      <c r="A100" s="136"/>
      <c r="B100" s="136"/>
      <c r="C100" s="136"/>
      <c r="D100" s="136"/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136"/>
      <c r="AG100" s="136"/>
      <c r="AH100" s="136"/>
      <c r="AI100" s="136"/>
      <c r="AJ100" s="136"/>
      <c r="AK100" s="136"/>
      <c r="AL100" s="136"/>
      <c r="AM100" s="136"/>
      <c r="AN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  <c r="AY100" s="136"/>
      <c r="AZ100" s="136"/>
      <c r="BA100" s="136"/>
      <c r="BB100" s="136"/>
      <c r="BC100" s="136"/>
      <c r="BD100" s="136"/>
      <c r="BE100" s="136"/>
      <c r="BF100" s="136"/>
      <c r="BG100" s="136"/>
      <c r="BH100" s="136"/>
      <c r="BI100" s="136"/>
      <c r="BJ100" s="136"/>
      <c r="BK100" s="136"/>
      <c r="BL100" s="136"/>
      <c r="BM100" s="136"/>
      <c r="BN100" s="136"/>
      <c r="BO100" s="136"/>
      <c r="BP100" s="136"/>
      <c r="BQ100" s="136"/>
      <c r="BR100" s="136"/>
      <c r="BS100" s="136"/>
      <c r="BT100" s="136"/>
      <c r="BU100" s="136"/>
      <c r="BV100" s="136"/>
      <c r="BW100" s="136"/>
      <c r="BX100" s="136"/>
      <c r="BY100" s="136"/>
      <c r="BZ100" s="136"/>
      <c r="CA100" s="136"/>
      <c r="CB100" s="136"/>
      <c r="CC100" s="136"/>
      <c r="CD100" s="136"/>
      <c r="CE100" s="136"/>
      <c r="CF100" s="136"/>
    </row>
    <row r="101" spans="1:84">
      <c r="A101" s="136"/>
      <c r="B101" s="136"/>
      <c r="C101" s="136"/>
      <c r="D101" s="136"/>
      <c r="E101" s="136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136"/>
      <c r="AC101" s="136"/>
      <c r="AD101" s="136"/>
      <c r="AE101" s="136"/>
      <c r="AF101" s="136"/>
      <c r="AG101" s="136"/>
      <c r="AH101" s="136"/>
      <c r="AI101" s="136"/>
      <c r="AJ101" s="136"/>
      <c r="AK101" s="136"/>
      <c r="AL101" s="136"/>
      <c r="AM101" s="136"/>
      <c r="AN101" s="136"/>
      <c r="AO101" s="136"/>
      <c r="AP101" s="136"/>
      <c r="AQ101" s="136"/>
      <c r="AR101" s="136"/>
      <c r="AS101" s="136"/>
      <c r="AT101" s="136"/>
      <c r="AU101" s="136"/>
      <c r="AV101" s="136"/>
      <c r="AW101" s="136"/>
      <c r="AX101" s="136"/>
      <c r="AY101" s="136"/>
      <c r="AZ101" s="136"/>
      <c r="BA101" s="136"/>
      <c r="BB101" s="136"/>
      <c r="BC101" s="136"/>
      <c r="BD101" s="136"/>
      <c r="BE101" s="136"/>
      <c r="BF101" s="136"/>
      <c r="BG101" s="136"/>
      <c r="BH101" s="136"/>
      <c r="BI101" s="136"/>
      <c r="BJ101" s="136"/>
      <c r="BK101" s="136"/>
      <c r="BL101" s="136"/>
      <c r="BM101" s="136"/>
      <c r="BN101" s="136"/>
      <c r="BO101" s="136"/>
      <c r="BP101" s="136"/>
      <c r="BQ101" s="136"/>
      <c r="BR101" s="136"/>
      <c r="BS101" s="136"/>
      <c r="BT101" s="136"/>
      <c r="BU101" s="136"/>
      <c r="BV101" s="136"/>
      <c r="BW101" s="136"/>
      <c r="BX101" s="136"/>
      <c r="BY101" s="136"/>
      <c r="BZ101" s="136"/>
      <c r="CA101" s="136"/>
      <c r="CB101" s="136"/>
      <c r="CC101" s="136"/>
      <c r="CD101" s="136"/>
      <c r="CE101" s="136"/>
      <c r="CF101" s="136"/>
    </row>
    <row r="102" spans="1:84">
      <c r="A102" s="136"/>
      <c r="B102" s="136"/>
      <c r="C102" s="136"/>
      <c r="D102" s="136"/>
      <c r="E102" s="136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136"/>
      <c r="AC102" s="136"/>
      <c r="AD102" s="136"/>
      <c r="AE102" s="136"/>
      <c r="AF102" s="136"/>
      <c r="AG102" s="136"/>
      <c r="AH102" s="136"/>
      <c r="AI102" s="136"/>
      <c r="AJ102" s="136"/>
      <c r="AK102" s="136"/>
      <c r="AL102" s="136"/>
      <c r="AM102" s="136"/>
      <c r="AN102" s="136"/>
      <c r="AO102" s="136"/>
      <c r="AP102" s="136"/>
      <c r="AQ102" s="136"/>
      <c r="AR102" s="136"/>
      <c r="AS102" s="136"/>
      <c r="AT102" s="136"/>
      <c r="AU102" s="136"/>
      <c r="AV102" s="136"/>
      <c r="AW102" s="136"/>
      <c r="AX102" s="136"/>
      <c r="AY102" s="136"/>
      <c r="AZ102" s="136"/>
      <c r="BA102" s="136"/>
      <c r="BB102" s="136"/>
      <c r="BC102" s="136"/>
      <c r="BD102" s="136"/>
      <c r="BE102" s="136"/>
      <c r="BF102" s="136"/>
      <c r="BG102" s="136"/>
      <c r="BH102" s="136"/>
      <c r="BI102" s="136"/>
      <c r="BJ102" s="136"/>
      <c r="BK102" s="136"/>
      <c r="BL102" s="136"/>
      <c r="BM102" s="136"/>
      <c r="BN102" s="136"/>
      <c r="BO102" s="136"/>
      <c r="BP102" s="136"/>
      <c r="BQ102" s="136"/>
      <c r="BR102" s="136"/>
      <c r="BS102" s="136"/>
      <c r="BT102" s="136"/>
      <c r="BU102" s="136"/>
      <c r="BV102" s="136"/>
      <c r="BW102" s="136"/>
      <c r="BX102" s="136"/>
      <c r="BY102" s="136"/>
      <c r="BZ102" s="136"/>
      <c r="CA102" s="136"/>
      <c r="CB102" s="136"/>
      <c r="CC102" s="136"/>
      <c r="CD102" s="136"/>
      <c r="CE102" s="136"/>
      <c r="CF102" s="136"/>
    </row>
    <row r="103" spans="1:84">
      <c r="A103" s="136"/>
      <c r="B103" s="136"/>
      <c r="C103" s="136"/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  <c r="AY103" s="136"/>
      <c r="AZ103" s="136"/>
      <c r="BA103" s="136"/>
      <c r="BB103" s="136"/>
      <c r="BC103" s="136"/>
      <c r="BD103" s="136"/>
      <c r="BE103" s="136"/>
      <c r="BF103" s="136"/>
      <c r="BG103" s="136"/>
      <c r="BH103" s="136"/>
      <c r="BI103" s="136"/>
      <c r="BJ103" s="136"/>
      <c r="BK103" s="136"/>
      <c r="BL103" s="136"/>
      <c r="BM103" s="136"/>
      <c r="BN103" s="136"/>
      <c r="BO103" s="136"/>
      <c r="BP103" s="136"/>
      <c r="BQ103" s="136"/>
      <c r="BR103" s="136"/>
      <c r="BS103" s="136"/>
      <c r="BT103" s="136"/>
      <c r="BU103" s="136"/>
      <c r="BV103" s="136"/>
      <c r="BW103" s="136"/>
      <c r="BX103" s="136"/>
      <c r="BY103" s="136"/>
      <c r="BZ103" s="136"/>
      <c r="CA103" s="136"/>
      <c r="CB103" s="136"/>
      <c r="CC103" s="136"/>
      <c r="CD103" s="136"/>
      <c r="CE103" s="136"/>
      <c r="CF103" s="136"/>
    </row>
    <row r="104" spans="1:84">
      <c r="A104" s="136"/>
      <c r="B104" s="136"/>
      <c r="C104" s="136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  <c r="AY104" s="136"/>
      <c r="AZ104" s="136"/>
      <c r="BA104" s="136"/>
      <c r="BB104" s="136"/>
      <c r="BC104" s="136"/>
      <c r="BD104" s="136"/>
      <c r="BE104" s="136"/>
      <c r="BF104" s="136"/>
      <c r="BG104" s="136"/>
      <c r="BH104" s="136"/>
      <c r="BI104" s="136"/>
      <c r="BJ104" s="136"/>
      <c r="BK104" s="136"/>
      <c r="BL104" s="136"/>
      <c r="BM104" s="136"/>
      <c r="BN104" s="136"/>
      <c r="BO104" s="136"/>
      <c r="BP104" s="136"/>
      <c r="BQ104" s="136"/>
      <c r="BR104" s="136"/>
      <c r="BS104" s="136"/>
      <c r="BT104" s="136"/>
      <c r="BU104" s="136"/>
      <c r="BV104" s="136"/>
      <c r="BW104" s="136"/>
      <c r="BX104" s="136"/>
      <c r="BY104" s="136"/>
      <c r="BZ104" s="136"/>
      <c r="CA104" s="136"/>
      <c r="CB104" s="136"/>
      <c r="CC104" s="136"/>
      <c r="CD104" s="136"/>
      <c r="CE104" s="136"/>
      <c r="CF104" s="136"/>
    </row>
    <row r="105" spans="1:84">
      <c r="A105" s="136"/>
      <c r="B105" s="136"/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  <c r="AY105" s="136"/>
      <c r="AZ105" s="136"/>
      <c r="BA105" s="136"/>
      <c r="BB105" s="136"/>
      <c r="BC105" s="136"/>
      <c r="BD105" s="136"/>
      <c r="BE105" s="136"/>
      <c r="BF105" s="136"/>
      <c r="BG105" s="136"/>
      <c r="BH105" s="136"/>
      <c r="BI105" s="136"/>
      <c r="BJ105" s="136"/>
      <c r="BK105" s="136"/>
      <c r="BL105" s="136"/>
      <c r="BM105" s="136"/>
      <c r="BN105" s="136"/>
      <c r="BO105" s="136"/>
      <c r="BP105" s="136"/>
      <c r="BQ105" s="136"/>
      <c r="BR105" s="136"/>
      <c r="BS105" s="136"/>
      <c r="BT105" s="136"/>
      <c r="BU105" s="136"/>
      <c r="BV105" s="136"/>
      <c r="BW105" s="136"/>
      <c r="BX105" s="136"/>
      <c r="BY105" s="136"/>
      <c r="BZ105" s="136"/>
      <c r="CA105" s="136"/>
      <c r="CB105" s="136"/>
      <c r="CC105" s="136"/>
      <c r="CD105" s="136"/>
      <c r="CE105" s="136"/>
      <c r="CF105" s="136"/>
    </row>
    <row r="106" spans="1:84">
      <c r="A106" s="136"/>
      <c r="B106" s="136"/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136"/>
      <c r="AG106" s="136"/>
      <c r="AH106" s="136"/>
      <c r="AI106" s="136"/>
      <c r="AJ106" s="136"/>
      <c r="AK106" s="136"/>
      <c r="AL106" s="136"/>
      <c r="AM106" s="136"/>
      <c r="AN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  <c r="AY106" s="136"/>
      <c r="AZ106" s="136"/>
      <c r="BA106" s="136"/>
      <c r="BB106" s="136"/>
      <c r="BC106" s="136"/>
      <c r="BD106" s="136"/>
      <c r="BE106" s="136"/>
      <c r="BF106" s="136"/>
      <c r="BG106" s="136"/>
      <c r="BH106" s="136"/>
      <c r="BI106" s="136"/>
      <c r="BJ106" s="136"/>
      <c r="BK106" s="136"/>
      <c r="BL106" s="136"/>
      <c r="BM106" s="136"/>
      <c r="BN106" s="136"/>
      <c r="BO106" s="136"/>
      <c r="BP106" s="136"/>
      <c r="BQ106" s="136"/>
      <c r="BR106" s="136"/>
      <c r="BS106" s="136"/>
      <c r="BT106" s="136"/>
      <c r="BU106" s="136"/>
      <c r="BV106" s="136"/>
      <c r="BW106" s="136"/>
      <c r="BX106" s="136"/>
      <c r="BY106" s="136"/>
      <c r="BZ106" s="136"/>
      <c r="CA106" s="136"/>
      <c r="CB106" s="136"/>
      <c r="CC106" s="136"/>
      <c r="CD106" s="136"/>
      <c r="CE106" s="136"/>
      <c r="CF106" s="136"/>
    </row>
    <row r="107" spans="1:84">
      <c r="A107" s="136"/>
      <c r="B107" s="136"/>
      <c r="C107" s="136"/>
      <c r="D107" s="136"/>
      <c r="E107" s="136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136"/>
      <c r="AG107" s="136"/>
      <c r="AH107" s="136"/>
      <c r="AI107" s="136"/>
      <c r="AJ107" s="136"/>
      <c r="AK107" s="136"/>
      <c r="AL107" s="136"/>
      <c r="AM107" s="136"/>
      <c r="AN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  <c r="AY107" s="136"/>
      <c r="AZ107" s="136"/>
      <c r="BA107" s="136"/>
      <c r="BB107" s="136"/>
      <c r="BC107" s="136"/>
      <c r="BD107" s="136"/>
      <c r="BE107" s="136"/>
      <c r="BF107" s="136"/>
      <c r="BG107" s="136"/>
      <c r="BH107" s="136"/>
      <c r="BI107" s="136"/>
      <c r="BJ107" s="136"/>
      <c r="BK107" s="136"/>
      <c r="BL107" s="136"/>
      <c r="BM107" s="136"/>
      <c r="BN107" s="136"/>
      <c r="BO107" s="136"/>
      <c r="BP107" s="136"/>
      <c r="BQ107" s="136"/>
      <c r="BR107" s="136"/>
      <c r="BS107" s="136"/>
      <c r="BT107" s="136"/>
      <c r="BU107" s="136"/>
      <c r="BV107" s="136"/>
      <c r="BW107" s="136"/>
      <c r="BX107" s="136"/>
      <c r="BY107" s="136"/>
      <c r="BZ107" s="136"/>
      <c r="CA107" s="136"/>
      <c r="CB107" s="136"/>
      <c r="CC107" s="136"/>
      <c r="CD107" s="136"/>
      <c r="CE107" s="136"/>
      <c r="CF107" s="136"/>
    </row>
    <row r="108" spans="1:84">
      <c r="A108" s="136"/>
      <c r="B108" s="136"/>
      <c r="C108" s="136"/>
      <c r="D108" s="136"/>
      <c r="E108" s="136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  <c r="AH108" s="136"/>
      <c r="AI108" s="136"/>
      <c r="AJ108" s="136"/>
      <c r="AK108" s="136"/>
      <c r="AL108" s="136"/>
      <c r="AM108" s="136"/>
      <c r="AN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  <c r="AY108" s="136"/>
      <c r="AZ108" s="136"/>
      <c r="BA108" s="136"/>
      <c r="BB108" s="136"/>
      <c r="BC108" s="136"/>
      <c r="BD108" s="136"/>
      <c r="BE108" s="136"/>
      <c r="BF108" s="136"/>
      <c r="BG108" s="136"/>
      <c r="BH108" s="136"/>
      <c r="BI108" s="136"/>
      <c r="BJ108" s="136"/>
      <c r="BK108" s="136"/>
      <c r="BL108" s="136"/>
      <c r="BM108" s="136"/>
      <c r="BN108" s="136"/>
      <c r="BO108" s="136"/>
      <c r="BP108" s="136"/>
      <c r="BQ108" s="136"/>
      <c r="BR108" s="136"/>
      <c r="BS108" s="136"/>
      <c r="BT108" s="136"/>
      <c r="BU108" s="136"/>
      <c r="BV108" s="136"/>
      <c r="BW108" s="136"/>
      <c r="BX108" s="136"/>
      <c r="BY108" s="136"/>
      <c r="BZ108" s="136"/>
      <c r="CA108" s="136"/>
      <c r="CB108" s="136"/>
      <c r="CC108" s="136"/>
      <c r="CD108" s="136"/>
      <c r="CE108" s="136"/>
      <c r="CF108" s="136"/>
    </row>
    <row r="109" spans="1:84">
      <c r="A109" s="136"/>
      <c r="B109" s="136"/>
      <c r="C109" s="136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136"/>
      <c r="AG109" s="136"/>
      <c r="AH109" s="136"/>
      <c r="AI109" s="136"/>
      <c r="AJ109" s="136"/>
      <c r="AK109" s="136"/>
      <c r="AL109" s="136"/>
      <c r="AM109" s="136"/>
      <c r="AN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  <c r="AY109" s="136"/>
      <c r="AZ109" s="136"/>
      <c r="BA109" s="136"/>
      <c r="BB109" s="136"/>
      <c r="BC109" s="136"/>
      <c r="BD109" s="136"/>
      <c r="BE109" s="136"/>
      <c r="BF109" s="136"/>
      <c r="BG109" s="136"/>
      <c r="BH109" s="136"/>
      <c r="BI109" s="136"/>
      <c r="BJ109" s="136"/>
      <c r="BK109" s="136"/>
      <c r="BL109" s="136"/>
      <c r="BM109" s="136"/>
      <c r="BN109" s="136"/>
      <c r="BO109" s="136"/>
      <c r="BP109" s="136"/>
      <c r="BQ109" s="136"/>
      <c r="BR109" s="136"/>
      <c r="BS109" s="136"/>
      <c r="BT109" s="136"/>
      <c r="BU109" s="136"/>
      <c r="BV109" s="136"/>
      <c r="BW109" s="136"/>
      <c r="BX109" s="136"/>
      <c r="BY109" s="136"/>
      <c r="BZ109" s="136"/>
      <c r="CA109" s="136"/>
      <c r="CB109" s="136"/>
      <c r="CC109" s="136"/>
      <c r="CD109" s="136"/>
      <c r="CE109" s="136"/>
      <c r="CF109" s="136"/>
    </row>
    <row r="110" spans="1:84">
      <c r="A110" s="136"/>
      <c r="B110" s="136"/>
      <c r="C110" s="136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  <c r="AH110" s="136"/>
      <c r="AI110" s="136"/>
      <c r="AJ110" s="136"/>
      <c r="AK110" s="136"/>
      <c r="AL110" s="136"/>
      <c r="AM110" s="136"/>
      <c r="AN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  <c r="AY110" s="136"/>
      <c r="AZ110" s="136"/>
      <c r="BA110" s="136"/>
      <c r="BB110" s="136"/>
      <c r="BC110" s="136"/>
      <c r="BD110" s="136"/>
      <c r="BE110" s="136"/>
      <c r="BF110" s="136"/>
      <c r="BG110" s="136"/>
      <c r="BH110" s="136"/>
      <c r="BI110" s="136"/>
      <c r="BJ110" s="136"/>
      <c r="BK110" s="136"/>
      <c r="BL110" s="136"/>
      <c r="BM110" s="136"/>
      <c r="BN110" s="136"/>
      <c r="BO110" s="136"/>
      <c r="BP110" s="136"/>
      <c r="BQ110" s="136"/>
      <c r="BR110" s="136"/>
      <c r="BS110" s="136"/>
      <c r="BT110" s="136"/>
      <c r="BU110" s="136"/>
      <c r="BV110" s="136"/>
      <c r="BW110" s="136"/>
      <c r="BX110" s="136"/>
      <c r="BY110" s="136"/>
      <c r="BZ110" s="136"/>
      <c r="CA110" s="136"/>
      <c r="CB110" s="136"/>
      <c r="CC110" s="136"/>
      <c r="CD110" s="136"/>
      <c r="CE110" s="136"/>
      <c r="CF110" s="136"/>
    </row>
    <row r="111" spans="1:84">
      <c r="A111" s="136"/>
      <c r="B111" s="136"/>
      <c r="C111" s="136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136"/>
      <c r="AG111" s="136"/>
      <c r="AH111" s="136"/>
      <c r="AI111" s="136"/>
      <c r="AJ111" s="136"/>
      <c r="AK111" s="136"/>
      <c r="AL111" s="136"/>
      <c r="AM111" s="136"/>
      <c r="AN111" s="136"/>
      <c r="AO111" s="136"/>
      <c r="AP111" s="136"/>
      <c r="AQ111" s="136"/>
      <c r="AR111" s="136"/>
      <c r="AS111" s="136"/>
      <c r="AT111" s="136"/>
      <c r="AU111" s="136"/>
      <c r="AV111" s="136"/>
      <c r="AW111" s="136"/>
      <c r="AX111" s="136"/>
      <c r="AY111" s="136"/>
      <c r="AZ111" s="136"/>
      <c r="BA111" s="136"/>
      <c r="BB111" s="136"/>
      <c r="BC111" s="136"/>
      <c r="BD111" s="136"/>
      <c r="BE111" s="136"/>
      <c r="BF111" s="136"/>
      <c r="BG111" s="136"/>
      <c r="BH111" s="136"/>
      <c r="BI111" s="136"/>
      <c r="BJ111" s="136"/>
      <c r="BK111" s="136"/>
      <c r="BL111" s="136"/>
      <c r="BM111" s="136"/>
      <c r="BN111" s="136"/>
      <c r="BO111" s="136"/>
      <c r="BP111" s="136"/>
      <c r="BQ111" s="136"/>
      <c r="BR111" s="136"/>
      <c r="BS111" s="136"/>
      <c r="BT111" s="136"/>
      <c r="BU111" s="136"/>
      <c r="BV111" s="136"/>
      <c r="BW111" s="136"/>
      <c r="BX111" s="136"/>
      <c r="BY111" s="136"/>
      <c r="BZ111" s="136"/>
      <c r="CA111" s="136"/>
      <c r="CB111" s="136"/>
      <c r="CC111" s="136"/>
      <c r="CD111" s="136"/>
      <c r="CE111" s="136"/>
      <c r="CF111" s="136"/>
    </row>
    <row r="112" spans="1:84">
      <c r="A112" s="136"/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136"/>
      <c r="AG112" s="136"/>
      <c r="AH112" s="136"/>
      <c r="AI112" s="136"/>
      <c r="AJ112" s="136"/>
      <c r="AK112" s="136"/>
      <c r="AL112" s="136"/>
      <c r="AM112" s="136"/>
      <c r="AN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  <c r="AY112" s="136"/>
      <c r="AZ112" s="136"/>
      <c r="BA112" s="136"/>
      <c r="BB112" s="136"/>
      <c r="BC112" s="136"/>
      <c r="BD112" s="136"/>
      <c r="BE112" s="136"/>
      <c r="BF112" s="136"/>
      <c r="BG112" s="136"/>
      <c r="BH112" s="136"/>
      <c r="BI112" s="136"/>
      <c r="BJ112" s="136"/>
      <c r="BK112" s="136"/>
      <c r="BL112" s="136"/>
      <c r="BM112" s="136"/>
      <c r="BN112" s="136"/>
      <c r="BO112" s="136"/>
      <c r="BP112" s="136"/>
      <c r="BQ112" s="136"/>
      <c r="BR112" s="136"/>
      <c r="BS112" s="136"/>
      <c r="BT112" s="136"/>
      <c r="BU112" s="136"/>
      <c r="BV112" s="136"/>
      <c r="BW112" s="136"/>
      <c r="BX112" s="136"/>
      <c r="BY112" s="136"/>
      <c r="BZ112" s="136"/>
      <c r="CA112" s="136"/>
      <c r="CB112" s="136"/>
      <c r="CC112" s="136"/>
      <c r="CD112" s="136"/>
      <c r="CE112" s="136"/>
      <c r="CF112" s="136"/>
    </row>
    <row r="113" spans="1:84">
      <c r="A113" s="136"/>
      <c r="B113" s="136"/>
      <c r="C113" s="136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136"/>
      <c r="AG113" s="136"/>
      <c r="AH113" s="136"/>
      <c r="AI113" s="136"/>
      <c r="AJ113" s="136"/>
      <c r="AK113" s="136"/>
      <c r="AL113" s="136"/>
      <c r="AM113" s="136"/>
      <c r="AN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  <c r="AY113" s="136"/>
      <c r="AZ113" s="136"/>
      <c r="BA113" s="136"/>
      <c r="BB113" s="136"/>
      <c r="BC113" s="136"/>
      <c r="BD113" s="136"/>
      <c r="BE113" s="136"/>
      <c r="BF113" s="136"/>
      <c r="BG113" s="136"/>
      <c r="BH113" s="136"/>
      <c r="BI113" s="136"/>
      <c r="BJ113" s="136"/>
      <c r="BK113" s="136"/>
      <c r="BL113" s="136"/>
      <c r="BM113" s="136"/>
      <c r="BN113" s="136"/>
      <c r="BO113" s="136"/>
      <c r="BP113" s="136"/>
      <c r="BQ113" s="136"/>
      <c r="BR113" s="136"/>
      <c r="BS113" s="136"/>
      <c r="BT113" s="136"/>
      <c r="BU113" s="136"/>
      <c r="BV113" s="136"/>
      <c r="BW113" s="136"/>
      <c r="BX113" s="136"/>
      <c r="BY113" s="136"/>
      <c r="BZ113" s="136"/>
      <c r="CA113" s="136"/>
      <c r="CB113" s="136"/>
      <c r="CC113" s="136"/>
      <c r="CD113" s="136"/>
      <c r="CE113" s="136"/>
      <c r="CF113" s="136"/>
    </row>
    <row r="114" spans="1:84">
      <c r="A114" s="136"/>
      <c r="B114" s="136"/>
      <c r="C114" s="136"/>
      <c r="D114" s="136"/>
      <c r="E114" s="136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136"/>
      <c r="AG114" s="136"/>
      <c r="AH114" s="136"/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  <c r="AY114" s="136"/>
      <c r="AZ114" s="136"/>
      <c r="BA114" s="136"/>
      <c r="BB114" s="136"/>
      <c r="BC114" s="136"/>
      <c r="BD114" s="136"/>
      <c r="BE114" s="136"/>
      <c r="BF114" s="136"/>
      <c r="BG114" s="136"/>
      <c r="BH114" s="136"/>
      <c r="BI114" s="136"/>
      <c r="BJ114" s="136"/>
      <c r="BK114" s="136"/>
      <c r="BL114" s="136"/>
      <c r="BM114" s="136"/>
      <c r="BN114" s="136"/>
      <c r="BO114" s="136"/>
      <c r="BP114" s="136"/>
      <c r="BQ114" s="136"/>
      <c r="BR114" s="136"/>
      <c r="BS114" s="136"/>
      <c r="BT114" s="136"/>
      <c r="BU114" s="136"/>
      <c r="BV114" s="136"/>
      <c r="BW114" s="136"/>
      <c r="BX114" s="136"/>
      <c r="BY114" s="136"/>
      <c r="BZ114" s="136"/>
      <c r="CA114" s="136"/>
      <c r="CB114" s="136"/>
      <c r="CC114" s="136"/>
      <c r="CD114" s="136"/>
      <c r="CE114" s="136"/>
      <c r="CF114" s="136"/>
    </row>
    <row r="115" spans="1:84">
      <c r="A115" s="136"/>
      <c r="B115" s="136"/>
      <c r="C115" s="136"/>
      <c r="D115" s="136"/>
      <c r="E115" s="136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136"/>
      <c r="AG115" s="136"/>
      <c r="AH115" s="136"/>
      <c r="AI115" s="136"/>
      <c r="AJ115" s="136"/>
      <c r="AK115" s="136"/>
      <c r="AL115" s="136"/>
      <c r="AM115" s="136"/>
      <c r="AN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  <c r="AY115" s="136"/>
      <c r="AZ115" s="136"/>
      <c r="BA115" s="136"/>
      <c r="BB115" s="136"/>
      <c r="BC115" s="136"/>
      <c r="BD115" s="136"/>
      <c r="BE115" s="136"/>
      <c r="BF115" s="136"/>
      <c r="BG115" s="136"/>
      <c r="BH115" s="136"/>
      <c r="BI115" s="136"/>
      <c r="BJ115" s="136"/>
      <c r="BK115" s="136"/>
      <c r="BL115" s="136"/>
      <c r="BM115" s="136"/>
      <c r="BN115" s="136"/>
      <c r="BO115" s="136"/>
      <c r="BP115" s="136"/>
      <c r="BQ115" s="136"/>
      <c r="BR115" s="136"/>
      <c r="BS115" s="136"/>
      <c r="BT115" s="136"/>
      <c r="BU115" s="136"/>
      <c r="BV115" s="136"/>
      <c r="BW115" s="136"/>
      <c r="BX115" s="136"/>
      <c r="BY115" s="136"/>
      <c r="BZ115" s="136"/>
      <c r="CA115" s="136"/>
      <c r="CB115" s="136"/>
      <c r="CC115" s="136"/>
      <c r="CD115" s="136"/>
      <c r="CE115" s="136"/>
      <c r="CF115" s="136"/>
    </row>
    <row r="116" spans="1:84">
      <c r="A116" s="136"/>
      <c r="B116" s="136"/>
      <c r="C116" s="136"/>
      <c r="D116" s="136"/>
      <c r="E116" s="136"/>
      <c r="F116" s="136"/>
      <c r="G116" s="136"/>
      <c r="H116" s="136"/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  <c r="U116" s="136"/>
      <c r="V116" s="136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136"/>
      <c r="AG116" s="136"/>
      <c r="AH116" s="136"/>
      <c r="AI116" s="136"/>
      <c r="AJ116" s="136"/>
      <c r="AK116" s="136"/>
      <c r="AL116" s="136"/>
      <c r="AM116" s="136"/>
      <c r="AN116" s="136"/>
      <c r="AO116" s="136"/>
      <c r="AP116" s="136"/>
      <c r="AQ116" s="136"/>
      <c r="AR116" s="136"/>
      <c r="AS116" s="136"/>
      <c r="AT116" s="136"/>
      <c r="AU116" s="136"/>
      <c r="AV116" s="136"/>
      <c r="AW116" s="136"/>
      <c r="AX116" s="136"/>
      <c r="AY116" s="136"/>
      <c r="AZ116" s="136"/>
      <c r="BA116" s="136"/>
      <c r="BB116" s="136"/>
      <c r="BC116" s="136"/>
      <c r="BD116" s="136"/>
      <c r="BE116" s="136"/>
      <c r="BF116" s="136"/>
      <c r="BG116" s="136"/>
      <c r="BH116" s="136"/>
      <c r="BI116" s="136"/>
      <c r="BJ116" s="136"/>
      <c r="BK116" s="136"/>
      <c r="BL116" s="136"/>
      <c r="BM116" s="136"/>
      <c r="BN116" s="136"/>
      <c r="BO116" s="136"/>
      <c r="BP116" s="136"/>
      <c r="BQ116" s="136"/>
      <c r="BR116" s="136"/>
      <c r="BS116" s="136"/>
      <c r="BT116" s="136"/>
      <c r="BU116" s="136"/>
      <c r="BV116" s="136"/>
      <c r="BW116" s="136"/>
      <c r="BX116" s="136"/>
      <c r="BY116" s="136"/>
      <c r="BZ116" s="136"/>
      <c r="CA116" s="136"/>
      <c r="CB116" s="136"/>
      <c r="CC116" s="136"/>
      <c r="CD116" s="136"/>
      <c r="CE116" s="136"/>
      <c r="CF116" s="136"/>
    </row>
    <row r="117" spans="1:84">
      <c r="A117" s="136"/>
      <c r="B117" s="136"/>
      <c r="C117" s="136"/>
      <c r="D117" s="136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36"/>
      <c r="AC117" s="136"/>
      <c r="AD117" s="136"/>
      <c r="AE117" s="136"/>
      <c r="AF117" s="136"/>
      <c r="AG117" s="136"/>
      <c r="AH117" s="136"/>
      <c r="AI117" s="136"/>
      <c r="AJ117" s="136"/>
      <c r="AK117" s="136"/>
      <c r="AL117" s="136"/>
      <c r="AM117" s="136"/>
      <c r="AN117" s="136"/>
      <c r="AO117" s="136"/>
      <c r="AP117" s="136"/>
      <c r="AQ117" s="136"/>
      <c r="AR117" s="136"/>
      <c r="AS117" s="136"/>
      <c r="AT117" s="136"/>
      <c r="AU117" s="136"/>
      <c r="AV117" s="136"/>
      <c r="AW117" s="136"/>
      <c r="AX117" s="136"/>
      <c r="AY117" s="136"/>
      <c r="AZ117" s="136"/>
      <c r="BA117" s="136"/>
      <c r="BB117" s="136"/>
      <c r="BC117" s="136"/>
      <c r="BD117" s="136"/>
      <c r="BE117" s="136"/>
      <c r="BF117" s="136"/>
      <c r="BG117" s="136"/>
      <c r="BH117" s="136"/>
      <c r="BI117" s="136"/>
      <c r="BJ117" s="136"/>
      <c r="BK117" s="136"/>
      <c r="BL117" s="136"/>
      <c r="BM117" s="136"/>
      <c r="BN117" s="136"/>
      <c r="BO117" s="136"/>
      <c r="BP117" s="136"/>
      <c r="BQ117" s="136"/>
      <c r="BR117" s="136"/>
      <c r="BS117" s="136"/>
      <c r="BT117" s="136"/>
      <c r="BU117" s="136"/>
      <c r="BV117" s="136"/>
      <c r="BW117" s="136"/>
      <c r="BX117" s="136"/>
      <c r="BY117" s="136"/>
      <c r="BZ117" s="136"/>
      <c r="CA117" s="136"/>
      <c r="CB117" s="136"/>
      <c r="CC117" s="136"/>
      <c r="CD117" s="136"/>
      <c r="CE117" s="136"/>
      <c r="CF117" s="136"/>
    </row>
    <row r="118" spans="1:84">
      <c r="A118" s="136"/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  <c r="AH118" s="136"/>
      <c r="AI118" s="136"/>
      <c r="AJ118" s="136"/>
      <c r="AK118" s="136"/>
      <c r="AL118" s="136"/>
      <c r="AM118" s="136"/>
      <c r="AN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  <c r="AY118" s="136"/>
      <c r="AZ118" s="136"/>
      <c r="BA118" s="136"/>
      <c r="BB118" s="136"/>
      <c r="BC118" s="136"/>
      <c r="BD118" s="136"/>
      <c r="BE118" s="136"/>
      <c r="BF118" s="136"/>
      <c r="BG118" s="136"/>
      <c r="BH118" s="136"/>
      <c r="BI118" s="136"/>
      <c r="BJ118" s="136"/>
      <c r="BK118" s="136"/>
      <c r="BL118" s="136"/>
      <c r="BM118" s="136"/>
      <c r="BN118" s="136"/>
      <c r="BO118" s="136"/>
      <c r="BP118" s="136"/>
      <c r="BQ118" s="136"/>
      <c r="BR118" s="136"/>
      <c r="BS118" s="136"/>
      <c r="BT118" s="136"/>
      <c r="BU118" s="136"/>
      <c r="BV118" s="136"/>
      <c r="BW118" s="136"/>
      <c r="BX118" s="136"/>
      <c r="BY118" s="136"/>
      <c r="BZ118" s="136"/>
      <c r="CA118" s="136"/>
      <c r="CB118" s="136"/>
      <c r="CC118" s="136"/>
      <c r="CD118" s="136"/>
      <c r="CE118" s="136"/>
      <c r="CF118" s="136"/>
    </row>
    <row r="119" spans="1:84">
      <c r="A119" s="136"/>
      <c r="B119" s="136"/>
      <c r="C119" s="136"/>
      <c r="D119" s="136"/>
      <c r="E119" s="136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  <c r="AY119" s="136"/>
      <c r="AZ119" s="136"/>
      <c r="BA119" s="136"/>
      <c r="BB119" s="136"/>
      <c r="BC119" s="136"/>
      <c r="BD119" s="136"/>
      <c r="BE119" s="136"/>
      <c r="BF119" s="136"/>
      <c r="BG119" s="136"/>
      <c r="BH119" s="136"/>
      <c r="BI119" s="136"/>
      <c r="BJ119" s="136"/>
      <c r="BK119" s="136"/>
      <c r="BL119" s="136"/>
      <c r="BM119" s="136"/>
      <c r="BN119" s="136"/>
      <c r="BO119" s="136"/>
      <c r="BP119" s="136"/>
      <c r="BQ119" s="136"/>
      <c r="BR119" s="136"/>
      <c r="BS119" s="136"/>
      <c r="BT119" s="136"/>
      <c r="BU119" s="136"/>
      <c r="BV119" s="136"/>
      <c r="BW119" s="136"/>
      <c r="BX119" s="136"/>
      <c r="BY119" s="136"/>
      <c r="BZ119" s="136"/>
      <c r="CA119" s="136"/>
      <c r="CB119" s="136"/>
      <c r="CC119" s="136"/>
      <c r="CD119" s="136"/>
      <c r="CE119" s="136"/>
      <c r="CF119" s="136"/>
    </row>
    <row r="120" spans="1:84">
      <c r="A120" s="136"/>
      <c r="B120" s="136"/>
      <c r="C120" s="136"/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  <c r="AY120" s="136"/>
      <c r="AZ120" s="136"/>
      <c r="BA120" s="136"/>
      <c r="BB120" s="136"/>
      <c r="BC120" s="136"/>
      <c r="BD120" s="136"/>
      <c r="BE120" s="136"/>
      <c r="BF120" s="136"/>
      <c r="BG120" s="136"/>
      <c r="BH120" s="136"/>
      <c r="BI120" s="136"/>
      <c r="BJ120" s="136"/>
      <c r="BK120" s="136"/>
      <c r="BL120" s="136"/>
      <c r="BM120" s="136"/>
      <c r="BN120" s="136"/>
      <c r="BO120" s="136"/>
      <c r="BP120" s="136"/>
      <c r="BQ120" s="136"/>
      <c r="BR120" s="136"/>
      <c r="BS120" s="136"/>
      <c r="BT120" s="136"/>
      <c r="BU120" s="136"/>
      <c r="BV120" s="136"/>
      <c r="BW120" s="136"/>
      <c r="BX120" s="136"/>
      <c r="BY120" s="136"/>
      <c r="BZ120" s="136"/>
      <c r="CA120" s="136"/>
      <c r="CB120" s="136"/>
      <c r="CC120" s="136"/>
      <c r="CD120" s="136"/>
      <c r="CE120" s="136"/>
      <c r="CF120" s="136"/>
    </row>
    <row r="121" spans="1:84">
      <c r="A121" s="136"/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136"/>
      <c r="AG121" s="136"/>
      <c r="AH121" s="136"/>
      <c r="AI121" s="136"/>
      <c r="AJ121" s="136"/>
      <c r="AK121" s="136"/>
      <c r="AL121" s="136"/>
      <c r="AM121" s="136"/>
      <c r="AN121" s="136"/>
      <c r="AO121" s="136"/>
      <c r="AP121" s="136"/>
      <c r="AQ121" s="136"/>
      <c r="AR121" s="136"/>
      <c r="AS121" s="136"/>
      <c r="AT121" s="136"/>
      <c r="AU121" s="136"/>
      <c r="AV121" s="136"/>
      <c r="AW121" s="136"/>
      <c r="AX121" s="136"/>
      <c r="AY121" s="136"/>
      <c r="AZ121" s="136"/>
      <c r="BA121" s="136"/>
      <c r="BB121" s="136"/>
      <c r="BC121" s="136"/>
      <c r="BD121" s="136"/>
      <c r="BE121" s="136"/>
      <c r="BF121" s="136"/>
      <c r="BG121" s="136"/>
      <c r="BH121" s="136"/>
      <c r="BI121" s="136"/>
      <c r="BJ121" s="136"/>
      <c r="BK121" s="136"/>
      <c r="BL121" s="136"/>
      <c r="BM121" s="136"/>
      <c r="BN121" s="136"/>
      <c r="BO121" s="136"/>
      <c r="BP121" s="136"/>
      <c r="BQ121" s="136"/>
      <c r="BR121" s="136"/>
      <c r="BS121" s="136"/>
      <c r="BT121" s="136"/>
      <c r="BU121" s="136"/>
      <c r="BV121" s="136"/>
      <c r="BW121" s="136"/>
      <c r="BX121" s="136"/>
      <c r="BY121" s="136"/>
      <c r="BZ121" s="136"/>
      <c r="CA121" s="136"/>
      <c r="CB121" s="136"/>
      <c r="CC121" s="136"/>
      <c r="CD121" s="136"/>
      <c r="CE121" s="136"/>
      <c r="CF121" s="136"/>
    </row>
    <row r="122" spans="1:84">
      <c r="A122" s="136"/>
      <c r="B122" s="136"/>
      <c r="C122" s="136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  <c r="U122" s="136"/>
      <c r="V122" s="136"/>
      <c r="W122" s="136"/>
      <c r="X122" s="136"/>
      <c r="Y122" s="136"/>
      <c r="Z122" s="136"/>
      <c r="AA122" s="136"/>
      <c r="AB122" s="136"/>
      <c r="AC122" s="136"/>
      <c r="AD122" s="136"/>
      <c r="AE122" s="136"/>
      <c r="AF122" s="136"/>
      <c r="AG122" s="136"/>
      <c r="AH122" s="136"/>
      <c r="AI122" s="136"/>
      <c r="AJ122" s="136"/>
      <c r="AK122" s="136"/>
      <c r="AL122" s="136"/>
      <c r="AM122" s="136"/>
      <c r="AN122" s="136"/>
      <c r="AO122" s="136"/>
      <c r="AP122" s="136"/>
      <c r="AQ122" s="136"/>
      <c r="AR122" s="136"/>
      <c r="AS122" s="136"/>
      <c r="AT122" s="136"/>
      <c r="AU122" s="136"/>
      <c r="AV122" s="136"/>
      <c r="AW122" s="136"/>
      <c r="AX122" s="136"/>
      <c r="AY122" s="136"/>
      <c r="AZ122" s="136"/>
      <c r="BA122" s="136"/>
      <c r="BB122" s="136"/>
      <c r="BC122" s="136"/>
      <c r="BD122" s="136"/>
      <c r="BE122" s="136"/>
      <c r="BF122" s="136"/>
      <c r="BG122" s="136"/>
      <c r="BH122" s="136"/>
      <c r="BI122" s="136"/>
      <c r="BJ122" s="136"/>
      <c r="BK122" s="136"/>
      <c r="BL122" s="136"/>
      <c r="BM122" s="136"/>
      <c r="BN122" s="136"/>
      <c r="BO122" s="136"/>
      <c r="BP122" s="136"/>
      <c r="BQ122" s="136"/>
      <c r="BR122" s="136"/>
      <c r="BS122" s="136"/>
      <c r="BT122" s="136"/>
      <c r="BU122" s="136"/>
      <c r="BV122" s="136"/>
      <c r="BW122" s="136"/>
      <c r="BX122" s="136"/>
      <c r="BY122" s="136"/>
      <c r="BZ122" s="136"/>
      <c r="CA122" s="136"/>
      <c r="CB122" s="136"/>
      <c r="CC122" s="136"/>
      <c r="CD122" s="136"/>
      <c r="CE122" s="136"/>
      <c r="CF122" s="136"/>
    </row>
    <row r="123" spans="1:84">
      <c r="A123" s="136"/>
      <c r="B123" s="136"/>
      <c r="C123" s="136"/>
      <c r="D123" s="136"/>
      <c r="E123" s="136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136"/>
      <c r="AG123" s="136"/>
      <c r="AH123" s="136"/>
      <c r="AI123" s="136"/>
      <c r="AJ123" s="136"/>
      <c r="AK123" s="136"/>
      <c r="AL123" s="136"/>
      <c r="AM123" s="136"/>
      <c r="AN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  <c r="AY123" s="136"/>
      <c r="AZ123" s="136"/>
      <c r="BA123" s="136"/>
      <c r="BB123" s="136"/>
      <c r="BC123" s="136"/>
      <c r="BD123" s="136"/>
      <c r="BE123" s="136"/>
      <c r="BF123" s="136"/>
      <c r="BG123" s="136"/>
      <c r="BH123" s="136"/>
      <c r="BI123" s="136"/>
      <c r="BJ123" s="136"/>
      <c r="BK123" s="136"/>
      <c r="BL123" s="136"/>
      <c r="BM123" s="136"/>
      <c r="BN123" s="136"/>
      <c r="BO123" s="136"/>
      <c r="BP123" s="136"/>
      <c r="BQ123" s="136"/>
      <c r="BR123" s="136"/>
      <c r="BS123" s="136"/>
      <c r="BT123" s="136"/>
      <c r="BU123" s="136"/>
      <c r="BV123" s="136"/>
      <c r="BW123" s="136"/>
      <c r="BX123" s="136"/>
      <c r="BY123" s="136"/>
      <c r="BZ123" s="136"/>
      <c r="CA123" s="136"/>
      <c r="CB123" s="136"/>
      <c r="CC123" s="136"/>
      <c r="CD123" s="136"/>
      <c r="CE123" s="136"/>
      <c r="CF123" s="136"/>
    </row>
    <row r="124" spans="1:84">
      <c r="A124" s="136"/>
      <c r="B124" s="136"/>
      <c r="C124" s="136"/>
      <c r="D124" s="136"/>
      <c r="E124" s="136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136"/>
      <c r="AG124" s="136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  <c r="AY124" s="136"/>
      <c r="AZ124" s="136"/>
      <c r="BA124" s="136"/>
      <c r="BB124" s="136"/>
      <c r="BC124" s="136"/>
      <c r="BD124" s="136"/>
      <c r="BE124" s="136"/>
      <c r="BF124" s="136"/>
      <c r="BG124" s="136"/>
      <c r="BH124" s="136"/>
      <c r="BI124" s="136"/>
      <c r="BJ124" s="136"/>
      <c r="BK124" s="136"/>
      <c r="BL124" s="136"/>
      <c r="BM124" s="136"/>
      <c r="BN124" s="136"/>
      <c r="BO124" s="136"/>
      <c r="BP124" s="136"/>
      <c r="BQ124" s="136"/>
      <c r="BR124" s="136"/>
      <c r="BS124" s="136"/>
      <c r="BT124" s="136"/>
      <c r="BU124" s="136"/>
      <c r="BV124" s="136"/>
      <c r="BW124" s="136"/>
      <c r="BX124" s="136"/>
      <c r="BY124" s="136"/>
      <c r="BZ124" s="136"/>
      <c r="CA124" s="136"/>
      <c r="CB124" s="136"/>
      <c r="CC124" s="136"/>
      <c r="CD124" s="136"/>
      <c r="CE124" s="136"/>
      <c r="CF124" s="136"/>
    </row>
    <row r="125" spans="1:84">
      <c r="A125" s="136"/>
      <c r="B125" s="136"/>
      <c r="C125" s="136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136"/>
      <c r="AG125" s="136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  <c r="AY125" s="136"/>
      <c r="AZ125" s="136"/>
      <c r="BA125" s="136"/>
      <c r="BB125" s="136"/>
      <c r="BC125" s="136"/>
      <c r="BD125" s="136"/>
      <c r="BE125" s="136"/>
      <c r="BF125" s="136"/>
      <c r="BG125" s="136"/>
      <c r="BH125" s="136"/>
      <c r="BI125" s="136"/>
      <c r="BJ125" s="136"/>
      <c r="BK125" s="136"/>
      <c r="BL125" s="136"/>
      <c r="BM125" s="136"/>
      <c r="BN125" s="136"/>
      <c r="BO125" s="136"/>
      <c r="BP125" s="136"/>
      <c r="BQ125" s="136"/>
      <c r="BR125" s="136"/>
      <c r="BS125" s="136"/>
      <c r="BT125" s="136"/>
      <c r="BU125" s="136"/>
      <c r="BV125" s="136"/>
      <c r="BW125" s="136"/>
      <c r="BX125" s="136"/>
      <c r="BY125" s="136"/>
      <c r="BZ125" s="136"/>
      <c r="CA125" s="136"/>
      <c r="CB125" s="136"/>
      <c r="CC125" s="136"/>
      <c r="CD125" s="136"/>
      <c r="CE125" s="136"/>
      <c r="CF125" s="136"/>
    </row>
    <row r="126" spans="1:84">
      <c r="A126" s="136"/>
      <c r="B126" s="136"/>
      <c r="C126" s="136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36"/>
      <c r="AC126" s="136"/>
      <c r="AD126" s="136"/>
      <c r="AE126" s="136"/>
      <c r="AF126" s="136"/>
      <c r="AG126" s="136"/>
      <c r="AH126" s="136"/>
      <c r="AI126" s="136"/>
      <c r="AJ126" s="136"/>
      <c r="AK126" s="136"/>
      <c r="AL126" s="136"/>
      <c r="AM126" s="136"/>
      <c r="AN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  <c r="AY126" s="136"/>
      <c r="AZ126" s="136"/>
      <c r="BA126" s="136"/>
      <c r="BB126" s="136"/>
      <c r="BC126" s="136"/>
      <c r="BD126" s="136"/>
      <c r="BE126" s="136"/>
      <c r="BF126" s="136"/>
      <c r="BG126" s="136"/>
      <c r="BH126" s="136"/>
      <c r="BI126" s="136"/>
      <c r="BJ126" s="136"/>
      <c r="BK126" s="136"/>
      <c r="BL126" s="136"/>
      <c r="BM126" s="136"/>
      <c r="BN126" s="136"/>
      <c r="BO126" s="136"/>
      <c r="BP126" s="136"/>
      <c r="BQ126" s="136"/>
      <c r="BR126" s="136"/>
      <c r="BS126" s="136"/>
      <c r="BT126" s="136"/>
      <c r="BU126" s="136"/>
      <c r="BV126" s="136"/>
      <c r="BW126" s="136"/>
      <c r="BX126" s="136"/>
      <c r="BY126" s="136"/>
      <c r="BZ126" s="136"/>
      <c r="CA126" s="136"/>
      <c r="CB126" s="136"/>
      <c r="CC126" s="136"/>
      <c r="CD126" s="136"/>
      <c r="CE126" s="136"/>
      <c r="CF126" s="136"/>
    </row>
    <row r="127" spans="1:84">
      <c r="A127" s="136"/>
      <c r="B127" s="136"/>
      <c r="C127" s="136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  <c r="U127" s="136"/>
      <c r="V127" s="136"/>
      <c r="W127" s="136"/>
      <c r="X127" s="136"/>
      <c r="Y127" s="136"/>
      <c r="Z127" s="136"/>
      <c r="AA127" s="136"/>
      <c r="AB127" s="136"/>
      <c r="AC127" s="136"/>
      <c r="AD127" s="136"/>
      <c r="AE127" s="136"/>
      <c r="AF127" s="136"/>
      <c r="AG127" s="136"/>
      <c r="AH127" s="136"/>
      <c r="AI127" s="136"/>
      <c r="AJ127" s="136"/>
      <c r="AK127" s="136"/>
      <c r="AL127" s="136"/>
      <c r="AM127" s="136"/>
      <c r="AN127" s="136"/>
      <c r="AO127" s="136"/>
      <c r="AP127" s="136"/>
      <c r="AQ127" s="136"/>
      <c r="AR127" s="136"/>
      <c r="AS127" s="136"/>
      <c r="AT127" s="136"/>
      <c r="AU127" s="136"/>
      <c r="AV127" s="136"/>
      <c r="AW127" s="136"/>
      <c r="AX127" s="136"/>
      <c r="AY127" s="136"/>
      <c r="AZ127" s="136"/>
      <c r="BA127" s="136"/>
      <c r="BB127" s="136"/>
      <c r="BC127" s="136"/>
      <c r="BD127" s="136"/>
      <c r="BE127" s="136"/>
      <c r="BF127" s="136"/>
      <c r="BG127" s="136"/>
      <c r="BH127" s="136"/>
      <c r="BI127" s="136"/>
      <c r="BJ127" s="136"/>
      <c r="BK127" s="136"/>
      <c r="BL127" s="136"/>
      <c r="BM127" s="136"/>
      <c r="BN127" s="136"/>
      <c r="BO127" s="136"/>
      <c r="BP127" s="136"/>
      <c r="BQ127" s="136"/>
      <c r="BR127" s="136"/>
      <c r="BS127" s="136"/>
      <c r="BT127" s="136"/>
      <c r="BU127" s="136"/>
      <c r="BV127" s="136"/>
      <c r="BW127" s="136"/>
      <c r="BX127" s="136"/>
      <c r="BY127" s="136"/>
      <c r="BZ127" s="136"/>
      <c r="CA127" s="136"/>
      <c r="CB127" s="136"/>
      <c r="CC127" s="136"/>
      <c r="CD127" s="136"/>
      <c r="CE127" s="136"/>
      <c r="CF127" s="136"/>
    </row>
    <row r="128" spans="1:84">
      <c r="A128" s="136"/>
      <c r="B128" s="136"/>
      <c r="C128" s="136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  <c r="AY128" s="136"/>
      <c r="AZ128" s="136"/>
      <c r="BA128" s="136"/>
      <c r="BB128" s="136"/>
      <c r="BC128" s="136"/>
      <c r="BD128" s="136"/>
      <c r="BE128" s="136"/>
      <c r="BF128" s="136"/>
      <c r="BG128" s="136"/>
      <c r="BH128" s="136"/>
      <c r="BI128" s="136"/>
      <c r="BJ128" s="136"/>
      <c r="BK128" s="136"/>
      <c r="BL128" s="136"/>
      <c r="BM128" s="136"/>
      <c r="BN128" s="136"/>
      <c r="BO128" s="136"/>
      <c r="BP128" s="136"/>
      <c r="BQ128" s="136"/>
      <c r="BR128" s="136"/>
      <c r="BS128" s="136"/>
      <c r="BT128" s="136"/>
      <c r="BU128" s="136"/>
      <c r="BV128" s="136"/>
      <c r="BW128" s="136"/>
      <c r="BX128" s="136"/>
      <c r="BY128" s="136"/>
      <c r="BZ128" s="136"/>
      <c r="CA128" s="136"/>
      <c r="CB128" s="136"/>
      <c r="CC128" s="136"/>
      <c r="CD128" s="136"/>
      <c r="CE128" s="136"/>
      <c r="CF128" s="136"/>
    </row>
    <row r="129" spans="1:84">
      <c r="A129" s="136"/>
      <c r="B129" s="136"/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136"/>
      <c r="AI129" s="136"/>
      <c r="AJ129" s="136"/>
      <c r="AK129" s="136"/>
      <c r="AL129" s="136"/>
      <c r="AM129" s="136"/>
      <c r="AN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  <c r="AY129" s="136"/>
      <c r="AZ129" s="136"/>
      <c r="BA129" s="136"/>
      <c r="BB129" s="136"/>
      <c r="BC129" s="136"/>
      <c r="BD129" s="136"/>
      <c r="BE129" s="136"/>
      <c r="BF129" s="136"/>
      <c r="BG129" s="136"/>
      <c r="BH129" s="136"/>
      <c r="BI129" s="136"/>
      <c r="BJ129" s="136"/>
      <c r="BK129" s="136"/>
      <c r="BL129" s="136"/>
      <c r="BM129" s="136"/>
      <c r="BN129" s="136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</row>
    <row r="130" spans="1:84">
      <c r="A130" s="136"/>
      <c r="B130" s="136"/>
      <c r="C130" s="136"/>
      <c r="D130" s="136"/>
      <c r="E130" s="136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136"/>
      <c r="AG130" s="136"/>
      <c r="AH130" s="136"/>
      <c r="AI130" s="136"/>
      <c r="AJ130" s="136"/>
      <c r="AK130" s="136"/>
      <c r="AL130" s="136"/>
      <c r="AM130" s="136"/>
      <c r="AN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  <c r="AY130" s="136"/>
      <c r="AZ130" s="136"/>
      <c r="BA130" s="136"/>
      <c r="BB130" s="136"/>
      <c r="BC130" s="136"/>
      <c r="BD130" s="136"/>
      <c r="BE130" s="136"/>
      <c r="BF130" s="136"/>
      <c r="BG130" s="136"/>
      <c r="BH130" s="136"/>
      <c r="BI130" s="136"/>
      <c r="BJ130" s="136"/>
      <c r="BK130" s="136"/>
      <c r="BL130" s="136"/>
      <c r="BM130" s="136"/>
      <c r="BN130" s="136"/>
      <c r="BO130" s="136"/>
      <c r="BP130" s="136"/>
      <c r="BQ130" s="136"/>
      <c r="BR130" s="136"/>
      <c r="BS130" s="136"/>
      <c r="BT130" s="136"/>
      <c r="BU130" s="136"/>
      <c r="BV130" s="136"/>
      <c r="BW130" s="136"/>
      <c r="BX130" s="136"/>
      <c r="BY130" s="136"/>
      <c r="BZ130" s="136"/>
      <c r="CA130" s="136"/>
      <c r="CB130" s="136"/>
      <c r="CC130" s="136"/>
      <c r="CD130" s="136"/>
      <c r="CE130" s="136"/>
      <c r="CF130" s="136"/>
    </row>
    <row r="131" spans="1:84">
      <c r="A131" s="136"/>
      <c r="B131" s="136"/>
      <c r="C131" s="136"/>
      <c r="D131" s="136"/>
      <c r="E131" s="136"/>
      <c r="F131" s="136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136"/>
      <c r="AG131" s="136"/>
      <c r="AH131" s="136"/>
      <c r="AI131" s="136"/>
      <c r="AJ131" s="136"/>
      <c r="AK131" s="136"/>
      <c r="AL131" s="136"/>
      <c r="AM131" s="136"/>
      <c r="AN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  <c r="AY131" s="136"/>
      <c r="AZ131" s="136"/>
      <c r="BA131" s="136"/>
      <c r="BB131" s="136"/>
      <c r="BC131" s="136"/>
      <c r="BD131" s="136"/>
      <c r="BE131" s="136"/>
      <c r="BF131" s="136"/>
      <c r="BG131" s="136"/>
      <c r="BH131" s="136"/>
      <c r="BI131" s="136"/>
      <c r="BJ131" s="136"/>
      <c r="BK131" s="136"/>
      <c r="BL131" s="136"/>
      <c r="BM131" s="136"/>
      <c r="BN131" s="136"/>
      <c r="BO131" s="136"/>
      <c r="BP131" s="136"/>
      <c r="BQ131" s="136"/>
      <c r="BR131" s="136"/>
      <c r="BS131" s="136"/>
      <c r="BT131" s="136"/>
      <c r="BU131" s="136"/>
      <c r="BV131" s="136"/>
      <c r="BW131" s="136"/>
      <c r="BX131" s="136"/>
      <c r="BY131" s="136"/>
      <c r="BZ131" s="136"/>
      <c r="CA131" s="136"/>
      <c r="CB131" s="136"/>
      <c r="CC131" s="136"/>
      <c r="CD131" s="136"/>
      <c r="CE131" s="136"/>
      <c r="CF131" s="136"/>
    </row>
    <row r="132" spans="1:84">
      <c r="A132" s="136"/>
      <c r="B132" s="136"/>
      <c r="C132" s="136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36"/>
      <c r="AF132" s="136"/>
      <c r="AG132" s="136"/>
      <c r="AH132" s="136"/>
      <c r="AI132" s="136"/>
      <c r="AJ132" s="136"/>
      <c r="AK132" s="136"/>
      <c r="AL132" s="136"/>
      <c r="AM132" s="136"/>
      <c r="AN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  <c r="AY132" s="136"/>
      <c r="AZ132" s="136"/>
      <c r="BA132" s="136"/>
      <c r="BB132" s="136"/>
      <c r="BC132" s="136"/>
      <c r="BD132" s="136"/>
      <c r="BE132" s="136"/>
      <c r="BF132" s="136"/>
      <c r="BG132" s="136"/>
      <c r="BH132" s="136"/>
      <c r="BI132" s="136"/>
      <c r="BJ132" s="136"/>
      <c r="BK132" s="136"/>
      <c r="BL132" s="136"/>
      <c r="BM132" s="136"/>
      <c r="BN132" s="136"/>
      <c r="BO132" s="136"/>
      <c r="BP132" s="136"/>
      <c r="BQ132" s="136"/>
      <c r="BR132" s="136"/>
      <c r="BS132" s="136"/>
      <c r="BT132" s="136"/>
      <c r="BU132" s="136"/>
      <c r="BV132" s="136"/>
      <c r="BW132" s="136"/>
      <c r="BX132" s="136"/>
      <c r="BY132" s="136"/>
      <c r="BZ132" s="136"/>
      <c r="CA132" s="136"/>
      <c r="CB132" s="136"/>
      <c r="CC132" s="136"/>
      <c r="CD132" s="136"/>
      <c r="CE132" s="136"/>
      <c r="CF132" s="136"/>
    </row>
    <row r="133" spans="1:84">
      <c r="A133" s="136"/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136"/>
      <c r="AG133" s="136"/>
      <c r="AH133" s="136"/>
      <c r="AI133" s="136"/>
      <c r="AJ133" s="136"/>
      <c r="AK133" s="136"/>
      <c r="AL133" s="136"/>
      <c r="AM133" s="136"/>
      <c r="AN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  <c r="AY133" s="136"/>
      <c r="AZ133" s="136"/>
      <c r="BA133" s="136"/>
      <c r="BB133" s="136"/>
      <c r="BC133" s="136"/>
      <c r="BD133" s="136"/>
      <c r="BE133" s="136"/>
      <c r="BF133" s="136"/>
      <c r="BG133" s="136"/>
      <c r="BH133" s="136"/>
      <c r="BI133" s="136"/>
      <c r="BJ133" s="136"/>
      <c r="BK133" s="136"/>
      <c r="BL133" s="136"/>
      <c r="BM133" s="136"/>
      <c r="BN133" s="136"/>
      <c r="BO133" s="136"/>
      <c r="BP133" s="136"/>
      <c r="BQ133" s="136"/>
      <c r="BR133" s="136"/>
      <c r="BS133" s="136"/>
      <c r="BT133" s="136"/>
      <c r="BU133" s="136"/>
      <c r="BV133" s="136"/>
      <c r="BW133" s="136"/>
      <c r="BX133" s="136"/>
      <c r="BY133" s="136"/>
      <c r="BZ133" s="136"/>
      <c r="CA133" s="136"/>
      <c r="CB133" s="136"/>
      <c r="CC133" s="136"/>
      <c r="CD133" s="136"/>
      <c r="CE133" s="136"/>
      <c r="CF133" s="136"/>
    </row>
    <row r="134" spans="1:84">
      <c r="A134" s="136"/>
      <c r="B134" s="136"/>
      <c r="C134" s="136"/>
      <c r="D134" s="136"/>
      <c r="E134" s="136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  <c r="AY134" s="136"/>
      <c r="AZ134" s="136"/>
      <c r="BA134" s="136"/>
      <c r="BB134" s="136"/>
      <c r="BC134" s="136"/>
      <c r="BD134" s="136"/>
      <c r="BE134" s="136"/>
      <c r="BF134" s="136"/>
      <c r="BG134" s="136"/>
      <c r="BH134" s="136"/>
      <c r="BI134" s="136"/>
      <c r="BJ134" s="136"/>
      <c r="BK134" s="136"/>
      <c r="BL134" s="136"/>
      <c r="BM134" s="136"/>
      <c r="BN134" s="136"/>
      <c r="BO134" s="136"/>
      <c r="BP134" s="136"/>
      <c r="BQ134" s="136"/>
      <c r="BR134" s="136"/>
      <c r="BS134" s="136"/>
      <c r="BT134" s="136"/>
      <c r="BU134" s="136"/>
      <c r="BV134" s="136"/>
      <c r="BW134" s="136"/>
      <c r="BX134" s="136"/>
      <c r="BY134" s="136"/>
      <c r="BZ134" s="136"/>
      <c r="CA134" s="136"/>
      <c r="CB134" s="136"/>
      <c r="CC134" s="136"/>
      <c r="CD134" s="136"/>
      <c r="CE134" s="136"/>
      <c r="CF134" s="136"/>
    </row>
    <row r="135" spans="1:84">
      <c r="A135" s="136"/>
      <c r="B135" s="136"/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  <c r="AY135" s="136"/>
      <c r="AZ135" s="136"/>
      <c r="BA135" s="136"/>
      <c r="BB135" s="136"/>
      <c r="BC135" s="136"/>
      <c r="BD135" s="136"/>
      <c r="BE135" s="136"/>
      <c r="BF135" s="136"/>
      <c r="BG135" s="136"/>
      <c r="BH135" s="136"/>
      <c r="BI135" s="136"/>
      <c r="BJ135" s="136"/>
      <c r="BK135" s="136"/>
      <c r="BL135" s="136"/>
      <c r="BM135" s="136"/>
      <c r="BN135" s="136"/>
      <c r="BO135" s="136"/>
      <c r="BP135" s="136"/>
      <c r="BQ135" s="136"/>
      <c r="BR135" s="136"/>
      <c r="BS135" s="136"/>
      <c r="BT135" s="136"/>
      <c r="BU135" s="136"/>
      <c r="BV135" s="136"/>
      <c r="BW135" s="136"/>
      <c r="BX135" s="136"/>
      <c r="BY135" s="136"/>
      <c r="BZ135" s="136"/>
      <c r="CA135" s="136"/>
      <c r="CB135" s="136"/>
      <c r="CC135" s="136"/>
      <c r="CD135" s="136"/>
      <c r="CE135" s="136"/>
      <c r="CF135" s="136"/>
    </row>
    <row r="136" spans="1:84">
      <c r="A136" s="136"/>
      <c r="B136" s="136"/>
      <c r="C136" s="136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  <c r="AH136" s="136"/>
      <c r="AI136" s="136"/>
      <c r="AJ136" s="136"/>
      <c r="AK136" s="136"/>
      <c r="AL136" s="136"/>
      <c r="AM136" s="136"/>
      <c r="AN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  <c r="AY136" s="136"/>
      <c r="AZ136" s="136"/>
      <c r="BA136" s="136"/>
      <c r="BB136" s="136"/>
      <c r="BC136" s="136"/>
      <c r="BD136" s="136"/>
      <c r="BE136" s="136"/>
      <c r="BF136" s="136"/>
      <c r="BG136" s="136"/>
      <c r="BH136" s="136"/>
      <c r="BI136" s="136"/>
      <c r="BJ136" s="136"/>
      <c r="BK136" s="136"/>
      <c r="BL136" s="136"/>
      <c r="BM136" s="136"/>
      <c r="BN136" s="136"/>
      <c r="BO136" s="136"/>
      <c r="BP136" s="136"/>
      <c r="BQ136" s="136"/>
      <c r="BR136" s="136"/>
      <c r="BS136" s="136"/>
      <c r="BT136" s="136"/>
      <c r="BU136" s="136"/>
      <c r="BV136" s="136"/>
      <c r="BW136" s="136"/>
      <c r="BX136" s="136"/>
      <c r="BY136" s="136"/>
      <c r="BZ136" s="136"/>
      <c r="CA136" s="136"/>
      <c r="CB136" s="136"/>
      <c r="CC136" s="136"/>
      <c r="CD136" s="136"/>
      <c r="CE136" s="136"/>
      <c r="CF136" s="136"/>
    </row>
    <row r="137" spans="1:84">
      <c r="A137" s="136"/>
      <c r="B137" s="136"/>
      <c r="C137" s="136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136"/>
      <c r="AG137" s="136"/>
      <c r="AH137" s="136"/>
      <c r="AI137" s="136"/>
      <c r="AJ137" s="136"/>
      <c r="AK137" s="136"/>
      <c r="AL137" s="136"/>
      <c r="AM137" s="136"/>
      <c r="AN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  <c r="AY137" s="136"/>
      <c r="AZ137" s="136"/>
      <c r="BA137" s="136"/>
      <c r="BB137" s="136"/>
      <c r="BC137" s="136"/>
      <c r="BD137" s="136"/>
      <c r="BE137" s="136"/>
      <c r="BF137" s="136"/>
      <c r="BG137" s="136"/>
      <c r="BH137" s="136"/>
      <c r="BI137" s="136"/>
      <c r="BJ137" s="136"/>
      <c r="BK137" s="136"/>
      <c r="BL137" s="136"/>
      <c r="BM137" s="136"/>
      <c r="BN137" s="136"/>
      <c r="BO137" s="136"/>
      <c r="BP137" s="136"/>
      <c r="BQ137" s="136"/>
      <c r="BR137" s="136"/>
      <c r="BS137" s="136"/>
      <c r="BT137" s="136"/>
      <c r="BU137" s="136"/>
      <c r="BV137" s="136"/>
      <c r="BW137" s="136"/>
      <c r="BX137" s="136"/>
      <c r="BY137" s="136"/>
      <c r="BZ137" s="136"/>
      <c r="CA137" s="136"/>
      <c r="CB137" s="136"/>
      <c r="CC137" s="136"/>
      <c r="CD137" s="136"/>
      <c r="CE137" s="136"/>
      <c r="CF137" s="136"/>
    </row>
    <row r="138" spans="1:84">
      <c r="A138" s="136"/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  <c r="AY138" s="136"/>
      <c r="AZ138" s="136"/>
      <c r="BA138" s="136"/>
      <c r="BB138" s="136"/>
      <c r="BC138" s="136"/>
      <c r="BD138" s="136"/>
      <c r="BE138" s="136"/>
      <c r="BF138" s="136"/>
      <c r="BG138" s="136"/>
      <c r="BH138" s="136"/>
      <c r="BI138" s="136"/>
      <c r="BJ138" s="136"/>
      <c r="BK138" s="136"/>
      <c r="BL138" s="136"/>
      <c r="BM138" s="136"/>
      <c r="BN138" s="136"/>
      <c r="BO138" s="136"/>
      <c r="BP138" s="136"/>
      <c r="BQ138" s="136"/>
      <c r="BR138" s="136"/>
      <c r="BS138" s="136"/>
      <c r="BT138" s="136"/>
      <c r="BU138" s="136"/>
      <c r="BV138" s="136"/>
      <c r="BW138" s="136"/>
      <c r="BX138" s="136"/>
      <c r="BY138" s="136"/>
      <c r="BZ138" s="136"/>
      <c r="CA138" s="136"/>
      <c r="CB138" s="136"/>
      <c r="CC138" s="136"/>
      <c r="CD138" s="136"/>
      <c r="CE138" s="136"/>
      <c r="CF138" s="136"/>
    </row>
    <row r="139" spans="1:84">
      <c r="A139" s="136"/>
      <c r="B139" s="136"/>
      <c r="C139" s="136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  <c r="AY139" s="136"/>
      <c r="AZ139" s="136"/>
      <c r="BA139" s="136"/>
      <c r="BB139" s="136"/>
      <c r="BC139" s="136"/>
      <c r="BD139" s="136"/>
      <c r="BE139" s="136"/>
      <c r="BF139" s="136"/>
      <c r="BG139" s="136"/>
      <c r="BH139" s="136"/>
      <c r="BI139" s="136"/>
      <c r="BJ139" s="136"/>
      <c r="BK139" s="136"/>
      <c r="BL139" s="136"/>
      <c r="BM139" s="136"/>
      <c r="BN139" s="136"/>
      <c r="BO139" s="136"/>
      <c r="BP139" s="136"/>
      <c r="BQ139" s="136"/>
      <c r="BR139" s="136"/>
      <c r="BS139" s="136"/>
      <c r="BT139" s="136"/>
      <c r="BU139" s="136"/>
      <c r="BV139" s="136"/>
      <c r="BW139" s="136"/>
      <c r="BX139" s="136"/>
      <c r="BY139" s="136"/>
      <c r="BZ139" s="136"/>
      <c r="CA139" s="136"/>
      <c r="CB139" s="136"/>
      <c r="CC139" s="136"/>
      <c r="CD139" s="136"/>
      <c r="CE139" s="136"/>
      <c r="CF139" s="136"/>
    </row>
    <row r="140" spans="1:84">
      <c r="A140" s="136"/>
      <c r="B140" s="136"/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136"/>
      <c r="AG140" s="136"/>
      <c r="AH140" s="136"/>
      <c r="AI140" s="136"/>
      <c r="AJ140" s="136"/>
      <c r="AK140" s="136"/>
      <c r="AL140" s="136"/>
      <c r="AM140" s="136"/>
      <c r="AN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  <c r="AY140" s="136"/>
      <c r="AZ140" s="136"/>
      <c r="BA140" s="136"/>
      <c r="BB140" s="136"/>
      <c r="BC140" s="136"/>
      <c r="BD140" s="136"/>
      <c r="BE140" s="136"/>
      <c r="BF140" s="136"/>
      <c r="BG140" s="136"/>
      <c r="BH140" s="136"/>
      <c r="BI140" s="136"/>
      <c r="BJ140" s="136"/>
      <c r="BK140" s="136"/>
      <c r="BL140" s="136"/>
      <c r="BM140" s="136"/>
      <c r="BN140" s="136"/>
      <c r="BO140" s="136"/>
      <c r="BP140" s="136"/>
      <c r="BQ140" s="136"/>
      <c r="BR140" s="136"/>
      <c r="BS140" s="136"/>
      <c r="BT140" s="136"/>
      <c r="BU140" s="136"/>
      <c r="BV140" s="136"/>
      <c r="BW140" s="136"/>
      <c r="BX140" s="136"/>
      <c r="BY140" s="136"/>
      <c r="BZ140" s="136"/>
      <c r="CA140" s="136"/>
      <c r="CB140" s="136"/>
      <c r="CC140" s="136"/>
      <c r="CD140" s="136"/>
      <c r="CE140" s="136"/>
      <c r="CF140" s="136"/>
    </row>
    <row r="141" spans="1:84">
      <c r="A141" s="136"/>
      <c r="B141" s="136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136"/>
      <c r="AG141" s="136"/>
      <c r="AH141" s="136"/>
      <c r="AI141" s="136"/>
      <c r="AJ141" s="136"/>
      <c r="AK141" s="136"/>
      <c r="AL141" s="136"/>
      <c r="AM141" s="136"/>
      <c r="AN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  <c r="AY141" s="136"/>
      <c r="AZ141" s="136"/>
      <c r="BA141" s="136"/>
      <c r="BB141" s="136"/>
      <c r="BC141" s="136"/>
      <c r="BD141" s="136"/>
      <c r="BE141" s="136"/>
      <c r="BF141" s="136"/>
      <c r="BG141" s="136"/>
      <c r="BH141" s="136"/>
      <c r="BI141" s="136"/>
      <c r="BJ141" s="136"/>
      <c r="BK141" s="136"/>
      <c r="BL141" s="136"/>
      <c r="BM141" s="136"/>
      <c r="BN141" s="136"/>
      <c r="BO141" s="136"/>
      <c r="BP141" s="136"/>
      <c r="BQ141" s="136"/>
      <c r="BR141" s="136"/>
      <c r="BS141" s="136"/>
      <c r="BT141" s="136"/>
      <c r="BU141" s="136"/>
      <c r="BV141" s="136"/>
      <c r="BW141" s="136"/>
      <c r="BX141" s="136"/>
      <c r="BY141" s="136"/>
      <c r="BZ141" s="136"/>
      <c r="CA141" s="136"/>
      <c r="CB141" s="136"/>
      <c r="CC141" s="136"/>
      <c r="CD141" s="136"/>
      <c r="CE141" s="136"/>
      <c r="CF141" s="136"/>
    </row>
    <row r="142" spans="1:84">
      <c r="A142" s="136"/>
      <c r="B142" s="136"/>
      <c r="C142" s="136"/>
      <c r="D142" s="136"/>
      <c r="E142" s="136"/>
      <c r="F142" s="136"/>
      <c r="G142" s="136"/>
      <c r="H142" s="136"/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  <c r="AJ142" s="136"/>
      <c r="AK142" s="136"/>
      <c r="AL142" s="136"/>
      <c r="AM142" s="136"/>
      <c r="AN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  <c r="AY142" s="136"/>
      <c r="AZ142" s="136"/>
      <c r="BA142" s="136"/>
      <c r="BB142" s="136"/>
      <c r="BC142" s="136"/>
      <c r="BD142" s="136"/>
      <c r="BE142" s="136"/>
      <c r="BF142" s="136"/>
      <c r="BG142" s="136"/>
      <c r="BH142" s="136"/>
      <c r="BI142" s="136"/>
      <c r="BJ142" s="136"/>
      <c r="BK142" s="136"/>
      <c r="BL142" s="136"/>
      <c r="BM142" s="136"/>
      <c r="BN142" s="136"/>
      <c r="BO142" s="136"/>
      <c r="BP142" s="136"/>
      <c r="BQ142" s="136"/>
      <c r="BR142" s="136"/>
      <c r="BS142" s="136"/>
      <c r="BT142" s="136"/>
      <c r="BU142" s="136"/>
      <c r="BV142" s="136"/>
      <c r="BW142" s="136"/>
      <c r="BX142" s="136"/>
      <c r="BY142" s="136"/>
      <c r="BZ142" s="136"/>
      <c r="CA142" s="136"/>
      <c r="CB142" s="136"/>
      <c r="CC142" s="136"/>
      <c r="CD142" s="136"/>
      <c r="CE142" s="136"/>
      <c r="CF142" s="136"/>
    </row>
    <row r="143" spans="1:84">
      <c r="A143" s="136"/>
      <c r="B143" s="136"/>
      <c r="C143" s="136"/>
      <c r="D143" s="136"/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136"/>
      <c r="AG143" s="136"/>
      <c r="AH143" s="136"/>
      <c r="AI143" s="136"/>
      <c r="AJ143" s="136"/>
      <c r="AK143" s="136"/>
      <c r="AL143" s="136"/>
      <c r="AM143" s="136"/>
      <c r="AN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  <c r="AY143" s="136"/>
      <c r="AZ143" s="136"/>
      <c r="BA143" s="136"/>
      <c r="BB143" s="136"/>
      <c r="BC143" s="136"/>
      <c r="BD143" s="136"/>
      <c r="BE143" s="136"/>
      <c r="BF143" s="136"/>
      <c r="BG143" s="136"/>
      <c r="BH143" s="136"/>
      <c r="BI143" s="136"/>
      <c r="BJ143" s="136"/>
      <c r="BK143" s="136"/>
      <c r="BL143" s="136"/>
      <c r="BM143" s="136"/>
      <c r="BN143" s="136"/>
      <c r="BO143" s="136"/>
      <c r="BP143" s="136"/>
      <c r="BQ143" s="136"/>
      <c r="BR143" s="136"/>
      <c r="BS143" s="136"/>
      <c r="BT143" s="136"/>
      <c r="BU143" s="136"/>
      <c r="BV143" s="136"/>
      <c r="BW143" s="136"/>
      <c r="BX143" s="136"/>
      <c r="BY143" s="136"/>
      <c r="BZ143" s="136"/>
      <c r="CA143" s="136"/>
      <c r="CB143" s="136"/>
      <c r="CC143" s="136"/>
      <c r="CD143" s="136"/>
      <c r="CE143" s="136"/>
      <c r="CF143" s="136"/>
    </row>
    <row r="144" spans="1:84">
      <c r="A144" s="136"/>
      <c r="B144" s="136"/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  <c r="AH144" s="136"/>
      <c r="AI144" s="136"/>
      <c r="AJ144" s="136"/>
      <c r="AK144" s="136"/>
      <c r="AL144" s="136"/>
      <c r="AM144" s="136"/>
      <c r="AN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  <c r="AY144" s="136"/>
      <c r="AZ144" s="136"/>
      <c r="BA144" s="136"/>
      <c r="BB144" s="136"/>
      <c r="BC144" s="136"/>
      <c r="BD144" s="136"/>
      <c r="BE144" s="136"/>
      <c r="BF144" s="136"/>
      <c r="BG144" s="136"/>
      <c r="BH144" s="136"/>
      <c r="BI144" s="136"/>
      <c r="BJ144" s="136"/>
      <c r="BK144" s="136"/>
      <c r="BL144" s="136"/>
      <c r="BM144" s="136"/>
      <c r="BN144" s="136"/>
      <c r="BO144" s="136"/>
      <c r="BP144" s="136"/>
      <c r="BQ144" s="136"/>
      <c r="BR144" s="136"/>
      <c r="BS144" s="136"/>
      <c r="BT144" s="136"/>
      <c r="BU144" s="136"/>
      <c r="BV144" s="136"/>
      <c r="BW144" s="136"/>
      <c r="BX144" s="136"/>
      <c r="BY144" s="136"/>
      <c r="BZ144" s="136"/>
      <c r="CA144" s="136"/>
      <c r="CB144" s="136"/>
      <c r="CC144" s="136"/>
      <c r="CD144" s="136"/>
      <c r="CE144" s="136"/>
      <c r="CF144" s="136"/>
    </row>
    <row r="145" spans="1:84">
      <c r="A145" s="136"/>
      <c r="B145" s="136"/>
      <c r="C145" s="136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136"/>
      <c r="AG145" s="136"/>
      <c r="AH145" s="136"/>
      <c r="AI145" s="136"/>
      <c r="AJ145" s="136"/>
      <c r="AK145" s="136"/>
      <c r="AL145" s="136"/>
      <c r="AM145" s="136"/>
      <c r="AN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  <c r="AY145" s="136"/>
      <c r="AZ145" s="136"/>
      <c r="BA145" s="136"/>
      <c r="BB145" s="136"/>
      <c r="BC145" s="136"/>
      <c r="BD145" s="136"/>
      <c r="BE145" s="136"/>
      <c r="BF145" s="136"/>
      <c r="BG145" s="136"/>
      <c r="BH145" s="136"/>
      <c r="BI145" s="136"/>
      <c r="BJ145" s="136"/>
      <c r="BK145" s="136"/>
      <c r="BL145" s="136"/>
      <c r="BM145" s="136"/>
      <c r="BN145" s="136"/>
      <c r="BO145" s="136"/>
      <c r="BP145" s="136"/>
      <c r="BQ145" s="136"/>
      <c r="BR145" s="136"/>
      <c r="BS145" s="136"/>
      <c r="BT145" s="136"/>
      <c r="BU145" s="136"/>
      <c r="BV145" s="136"/>
      <c r="BW145" s="136"/>
      <c r="BX145" s="136"/>
      <c r="BY145" s="136"/>
      <c r="BZ145" s="136"/>
      <c r="CA145" s="136"/>
      <c r="CB145" s="136"/>
      <c r="CC145" s="136"/>
      <c r="CD145" s="136"/>
      <c r="CE145" s="136"/>
      <c r="CF145" s="136"/>
    </row>
    <row r="146" spans="1:84">
      <c r="A146" s="136"/>
      <c r="B146" s="136"/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136"/>
      <c r="AG146" s="136"/>
      <c r="AH146" s="136"/>
      <c r="AI146" s="136"/>
      <c r="AJ146" s="136"/>
      <c r="AK146" s="136"/>
      <c r="AL146" s="136"/>
      <c r="AM146" s="136"/>
      <c r="AN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  <c r="AY146" s="136"/>
      <c r="AZ146" s="136"/>
      <c r="BA146" s="136"/>
      <c r="BB146" s="136"/>
      <c r="BC146" s="136"/>
      <c r="BD146" s="136"/>
      <c r="BE146" s="136"/>
      <c r="BF146" s="136"/>
      <c r="BG146" s="136"/>
      <c r="BH146" s="136"/>
      <c r="BI146" s="136"/>
      <c r="BJ146" s="136"/>
      <c r="BK146" s="136"/>
      <c r="BL146" s="136"/>
      <c r="BM146" s="136"/>
      <c r="BN146" s="136"/>
      <c r="BO146" s="136"/>
      <c r="BP146" s="136"/>
      <c r="BQ146" s="136"/>
      <c r="BR146" s="136"/>
      <c r="BS146" s="136"/>
      <c r="BT146" s="136"/>
      <c r="BU146" s="136"/>
      <c r="BV146" s="136"/>
      <c r="BW146" s="136"/>
      <c r="BX146" s="136"/>
      <c r="BY146" s="136"/>
      <c r="BZ146" s="136"/>
      <c r="CA146" s="136"/>
      <c r="CB146" s="136"/>
      <c r="CC146" s="136"/>
      <c r="CD146" s="136"/>
      <c r="CE146" s="136"/>
      <c r="CF146" s="136"/>
    </row>
    <row r="147" spans="1:84">
      <c r="A147" s="136"/>
      <c r="B147" s="136"/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  <c r="U147" s="136"/>
      <c r="V147" s="136"/>
      <c r="W147" s="136"/>
      <c r="X147" s="136"/>
      <c r="Y147" s="136"/>
      <c r="Z147" s="136"/>
      <c r="AA147" s="136"/>
      <c r="AB147" s="136"/>
      <c r="AC147" s="136"/>
      <c r="AD147" s="136"/>
      <c r="AE147" s="136"/>
      <c r="AF147" s="136"/>
      <c r="AG147" s="136"/>
      <c r="AH147" s="136"/>
      <c r="AI147" s="136"/>
      <c r="AJ147" s="136"/>
      <c r="AK147" s="136"/>
      <c r="AL147" s="136"/>
      <c r="AM147" s="136"/>
      <c r="AN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  <c r="AY147" s="136"/>
      <c r="AZ147" s="136"/>
      <c r="BA147" s="136"/>
      <c r="BB147" s="136"/>
      <c r="BC147" s="136"/>
      <c r="BD147" s="136"/>
      <c r="BE147" s="136"/>
      <c r="BF147" s="136"/>
      <c r="BG147" s="136"/>
      <c r="BH147" s="136"/>
      <c r="BI147" s="136"/>
      <c r="BJ147" s="136"/>
      <c r="BK147" s="136"/>
      <c r="BL147" s="136"/>
      <c r="BM147" s="136"/>
      <c r="BN147" s="136"/>
      <c r="BO147" s="136"/>
      <c r="BP147" s="136"/>
      <c r="BQ147" s="136"/>
      <c r="BR147" s="136"/>
      <c r="BS147" s="136"/>
      <c r="BT147" s="136"/>
      <c r="BU147" s="136"/>
      <c r="BV147" s="136"/>
      <c r="BW147" s="136"/>
      <c r="BX147" s="136"/>
      <c r="BY147" s="136"/>
      <c r="BZ147" s="136"/>
      <c r="CA147" s="136"/>
      <c r="CB147" s="136"/>
      <c r="CC147" s="136"/>
      <c r="CD147" s="136"/>
      <c r="CE147" s="136"/>
      <c r="CF147" s="136"/>
    </row>
    <row r="148" spans="1:84">
      <c r="A148" s="136"/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136"/>
      <c r="AG148" s="136"/>
      <c r="AH148" s="136"/>
      <c r="AI148" s="136"/>
      <c r="AJ148" s="136"/>
      <c r="AK148" s="136"/>
      <c r="AL148" s="136"/>
      <c r="AM148" s="136"/>
      <c r="AN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  <c r="AY148" s="136"/>
      <c r="AZ148" s="136"/>
      <c r="BA148" s="136"/>
      <c r="BB148" s="136"/>
      <c r="BC148" s="136"/>
      <c r="BD148" s="136"/>
      <c r="BE148" s="136"/>
      <c r="BF148" s="136"/>
      <c r="BG148" s="136"/>
      <c r="BH148" s="136"/>
      <c r="BI148" s="136"/>
      <c r="BJ148" s="136"/>
      <c r="BK148" s="136"/>
      <c r="BL148" s="136"/>
      <c r="BM148" s="136"/>
      <c r="BN148" s="136"/>
      <c r="BO148" s="136"/>
      <c r="BP148" s="136"/>
      <c r="BQ148" s="136"/>
      <c r="BR148" s="136"/>
      <c r="BS148" s="136"/>
      <c r="BT148" s="136"/>
      <c r="BU148" s="136"/>
      <c r="BV148" s="136"/>
      <c r="BW148" s="136"/>
      <c r="BX148" s="136"/>
      <c r="BY148" s="136"/>
      <c r="BZ148" s="136"/>
      <c r="CA148" s="136"/>
      <c r="CB148" s="136"/>
      <c r="CC148" s="136"/>
      <c r="CD148" s="136"/>
      <c r="CE148" s="136"/>
      <c r="CF148" s="136"/>
    </row>
    <row r="149" spans="1:84">
      <c r="A149" s="136"/>
      <c r="B149" s="136"/>
      <c r="C149" s="136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136"/>
      <c r="AG149" s="136"/>
      <c r="AH149" s="136"/>
      <c r="AI149" s="136"/>
      <c r="AJ149" s="136"/>
      <c r="AK149" s="136"/>
      <c r="AL149" s="136"/>
      <c r="AM149" s="136"/>
      <c r="AN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  <c r="AY149" s="136"/>
      <c r="AZ149" s="136"/>
      <c r="BA149" s="136"/>
      <c r="BB149" s="136"/>
      <c r="BC149" s="136"/>
      <c r="BD149" s="136"/>
      <c r="BE149" s="136"/>
      <c r="BF149" s="136"/>
      <c r="BG149" s="136"/>
      <c r="BH149" s="136"/>
      <c r="BI149" s="136"/>
      <c r="BJ149" s="136"/>
      <c r="BK149" s="136"/>
      <c r="BL149" s="136"/>
      <c r="BM149" s="136"/>
      <c r="BN149" s="136"/>
      <c r="BO149" s="136"/>
      <c r="BP149" s="136"/>
      <c r="BQ149" s="136"/>
      <c r="BR149" s="136"/>
      <c r="BS149" s="136"/>
      <c r="BT149" s="136"/>
      <c r="BU149" s="136"/>
      <c r="BV149" s="136"/>
      <c r="BW149" s="136"/>
      <c r="BX149" s="136"/>
      <c r="BY149" s="136"/>
      <c r="BZ149" s="136"/>
      <c r="CA149" s="136"/>
      <c r="CB149" s="136"/>
      <c r="CC149" s="136"/>
      <c r="CD149" s="136"/>
      <c r="CE149" s="136"/>
      <c r="CF149" s="136"/>
    </row>
    <row r="150" spans="1:84">
      <c r="A150" s="136"/>
      <c r="B150" s="136"/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  <c r="AY150" s="136"/>
      <c r="AZ150" s="136"/>
      <c r="BA150" s="136"/>
      <c r="BB150" s="136"/>
      <c r="BC150" s="136"/>
      <c r="BD150" s="136"/>
      <c r="BE150" s="136"/>
      <c r="BF150" s="136"/>
      <c r="BG150" s="136"/>
      <c r="BH150" s="136"/>
      <c r="BI150" s="136"/>
      <c r="BJ150" s="136"/>
      <c r="BK150" s="136"/>
      <c r="BL150" s="136"/>
      <c r="BM150" s="136"/>
      <c r="BN150" s="136"/>
      <c r="BO150" s="136"/>
      <c r="BP150" s="136"/>
      <c r="BQ150" s="136"/>
      <c r="BR150" s="136"/>
      <c r="BS150" s="136"/>
      <c r="BT150" s="136"/>
      <c r="BU150" s="136"/>
      <c r="BV150" s="136"/>
      <c r="BW150" s="136"/>
      <c r="BX150" s="136"/>
      <c r="BY150" s="136"/>
      <c r="BZ150" s="136"/>
      <c r="CA150" s="136"/>
      <c r="CB150" s="136"/>
      <c r="CC150" s="136"/>
      <c r="CD150" s="136"/>
      <c r="CE150" s="136"/>
      <c r="CF150" s="136"/>
    </row>
    <row r="151" spans="1:84">
      <c r="A151" s="136"/>
      <c r="B151" s="136"/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  <c r="U151" s="136"/>
      <c r="V151" s="136"/>
      <c r="W151" s="136"/>
      <c r="X151" s="136"/>
      <c r="Y151" s="136"/>
      <c r="Z151" s="136"/>
      <c r="AA151" s="136"/>
      <c r="AB151" s="136"/>
      <c r="AC151" s="136"/>
      <c r="AD151" s="136"/>
      <c r="AE151" s="136"/>
      <c r="AF151" s="136"/>
      <c r="AG151" s="136"/>
      <c r="AH151" s="136"/>
      <c r="AI151" s="136"/>
      <c r="AJ151" s="136"/>
      <c r="AK151" s="136"/>
      <c r="AL151" s="136"/>
      <c r="AM151" s="136"/>
      <c r="AN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  <c r="AY151" s="136"/>
      <c r="AZ151" s="136"/>
      <c r="BA151" s="136"/>
      <c r="BB151" s="136"/>
      <c r="BC151" s="136"/>
      <c r="BD151" s="136"/>
      <c r="BE151" s="136"/>
      <c r="BF151" s="136"/>
      <c r="BG151" s="136"/>
      <c r="BH151" s="136"/>
      <c r="BI151" s="136"/>
      <c r="BJ151" s="136"/>
      <c r="BK151" s="136"/>
      <c r="BL151" s="136"/>
      <c r="BM151" s="136"/>
      <c r="BN151" s="136"/>
      <c r="BO151" s="136"/>
      <c r="BP151" s="136"/>
      <c r="BQ151" s="136"/>
      <c r="BR151" s="136"/>
      <c r="BS151" s="136"/>
      <c r="BT151" s="136"/>
      <c r="BU151" s="136"/>
      <c r="BV151" s="136"/>
      <c r="BW151" s="136"/>
      <c r="BX151" s="136"/>
      <c r="BY151" s="136"/>
      <c r="BZ151" s="136"/>
      <c r="CA151" s="136"/>
      <c r="CB151" s="136"/>
      <c r="CC151" s="136"/>
      <c r="CD151" s="136"/>
      <c r="CE151" s="136"/>
      <c r="CF151" s="136"/>
    </row>
    <row r="152" spans="1:84">
      <c r="A152" s="136"/>
      <c r="B152" s="136"/>
      <c r="C152" s="136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136"/>
      <c r="AG152" s="136"/>
      <c r="AH152" s="136"/>
      <c r="AI152" s="136"/>
      <c r="AJ152" s="136"/>
      <c r="AK152" s="136"/>
      <c r="AL152" s="136"/>
      <c r="AM152" s="136"/>
      <c r="AN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  <c r="AY152" s="136"/>
      <c r="AZ152" s="136"/>
      <c r="BA152" s="136"/>
      <c r="BB152" s="136"/>
      <c r="BC152" s="136"/>
      <c r="BD152" s="136"/>
      <c r="BE152" s="136"/>
      <c r="BF152" s="136"/>
      <c r="BG152" s="136"/>
      <c r="BH152" s="136"/>
      <c r="BI152" s="136"/>
      <c r="BJ152" s="136"/>
      <c r="BK152" s="136"/>
      <c r="BL152" s="136"/>
      <c r="BM152" s="136"/>
      <c r="BN152" s="136"/>
      <c r="BO152" s="136"/>
      <c r="BP152" s="136"/>
      <c r="BQ152" s="136"/>
      <c r="BR152" s="136"/>
      <c r="BS152" s="136"/>
      <c r="BT152" s="136"/>
      <c r="BU152" s="136"/>
      <c r="BV152" s="136"/>
      <c r="BW152" s="136"/>
      <c r="BX152" s="136"/>
      <c r="BY152" s="136"/>
      <c r="BZ152" s="136"/>
      <c r="CA152" s="136"/>
      <c r="CB152" s="136"/>
      <c r="CC152" s="136"/>
      <c r="CD152" s="136"/>
      <c r="CE152" s="136"/>
      <c r="CF152" s="136"/>
    </row>
    <row r="153" spans="1:84">
      <c r="A153" s="136"/>
      <c r="B153" s="136"/>
      <c r="C153" s="136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  <c r="AH153" s="136"/>
      <c r="AI153" s="136"/>
      <c r="AJ153" s="136"/>
      <c r="AK153" s="136"/>
      <c r="AL153" s="136"/>
      <c r="AM153" s="136"/>
      <c r="AN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  <c r="AY153" s="136"/>
      <c r="AZ153" s="136"/>
      <c r="BA153" s="136"/>
      <c r="BB153" s="136"/>
      <c r="BC153" s="136"/>
      <c r="BD153" s="136"/>
      <c r="BE153" s="136"/>
      <c r="BF153" s="136"/>
      <c r="BG153" s="136"/>
      <c r="BH153" s="136"/>
      <c r="BI153" s="136"/>
      <c r="BJ153" s="136"/>
      <c r="BK153" s="136"/>
      <c r="BL153" s="136"/>
      <c r="BM153" s="136"/>
      <c r="BN153" s="136"/>
      <c r="BO153" s="136"/>
      <c r="BP153" s="136"/>
      <c r="BQ153" s="136"/>
      <c r="BR153" s="136"/>
      <c r="BS153" s="136"/>
      <c r="BT153" s="136"/>
      <c r="BU153" s="136"/>
      <c r="BV153" s="136"/>
      <c r="BW153" s="136"/>
      <c r="BX153" s="136"/>
      <c r="BY153" s="136"/>
      <c r="BZ153" s="136"/>
      <c r="CA153" s="136"/>
      <c r="CB153" s="136"/>
      <c r="CC153" s="136"/>
      <c r="CD153" s="136"/>
      <c r="CE153" s="136"/>
      <c r="CF153" s="136"/>
    </row>
    <row r="154" spans="1:84">
      <c r="A154" s="136"/>
      <c r="B154" s="136"/>
      <c r="C154" s="136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136"/>
      <c r="AG154" s="136"/>
      <c r="AH154" s="136"/>
      <c r="AI154" s="136"/>
      <c r="AJ154" s="136"/>
      <c r="AK154" s="136"/>
      <c r="AL154" s="136"/>
      <c r="AM154" s="136"/>
      <c r="AN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  <c r="AY154" s="136"/>
      <c r="AZ154" s="136"/>
      <c r="BA154" s="136"/>
      <c r="BB154" s="136"/>
      <c r="BC154" s="136"/>
      <c r="BD154" s="136"/>
      <c r="BE154" s="136"/>
      <c r="BF154" s="136"/>
      <c r="BG154" s="136"/>
      <c r="BH154" s="136"/>
      <c r="BI154" s="136"/>
      <c r="BJ154" s="136"/>
      <c r="BK154" s="136"/>
      <c r="BL154" s="136"/>
      <c r="BM154" s="136"/>
      <c r="BN154" s="136"/>
      <c r="BO154" s="136"/>
      <c r="BP154" s="136"/>
      <c r="BQ154" s="136"/>
      <c r="BR154" s="136"/>
      <c r="BS154" s="136"/>
      <c r="BT154" s="136"/>
      <c r="BU154" s="136"/>
      <c r="BV154" s="136"/>
      <c r="BW154" s="136"/>
      <c r="BX154" s="136"/>
      <c r="BY154" s="136"/>
      <c r="BZ154" s="136"/>
      <c r="CA154" s="136"/>
      <c r="CB154" s="136"/>
      <c r="CC154" s="136"/>
      <c r="CD154" s="136"/>
      <c r="CE154" s="136"/>
      <c r="CF154" s="136"/>
    </row>
    <row r="155" spans="1:84">
      <c r="A155" s="136"/>
      <c r="B155" s="136"/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136"/>
      <c r="AG155" s="136"/>
      <c r="AH155" s="136"/>
      <c r="AI155" s="136"/>
      <c r="AJ155" s="136"/>
      <c r="AK155" s="136"/>
      <c r="AL155" s="136"/>
      <c r="AM155" s="136"/>
      <c r="AN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  <c r="AY155" s="136"/>
      <c r="AZ155" s="136"/>
      <c r="BA155" s="136"/>
      <c r="BB155" s="136"/>
      <c r="BC155" s="136"/>
      <c r="BD155" s="136"/>
      <c r="BE155" s="136"/>
      <c r="BF155" s="136"/>
      <c r="BG155" s="136"/>
      <c r="BH155" s="136"/>
      <c r="BI155" s="136"/>
      <c r="BJ155" s="136"/>
      <c r="BK155" s="136"/>
      <c r="BL155" s="136"/>
      <c r="BM155" s="136"/>
      <c r="BN155" s="136"/>
      <c r="BO155" s="136"/>
      <c r="BP155" s="136"/>
      <c r="BQ155" s="136"/>
      <c r="BR155" s="136"/>
      <c r="BS155" s="136"/>
      <c r="BT155" s="136"/>
      <c r="BU155" s="136"/>
      <c r="BV155" s="136"/>
      <c r="BW155" s="136"/>
      <c r="BX155" s="136"/>
      <c r="BY155" s="136"/>
      <c r="BZ155" s="136"/>
      <c r="CA155" s="136"/>
      <c r="CB155" s="136"/>
      <c r="CC155" s="136"/>
      <c r="CD155" s="136"/>
      <c r="CE155" s="136"/>
      <c r="CF155" s="136"/>
    </row>
    <row r="156" spans="1:84">
      <c r="A156" s="136"/>
      <c r="B156" s="136"/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136"/>
      <c r="AB156" s="136"/>
      <c r="AC156" s="136"/>
      <c r="AD156" s="136"/>
      <c r="AE156" s="136"/>
      <c r="AF156" s="136"/>
      <c r="AG156" s="136"/>
      <c r="AH156" s="136"/>
      <c r="AI156" s="136"/>
      <c r="AJ156" s="136"/>
      <c r="AK156" s="136"/>
      <c r="AL156" s="136"/>
      <c r="AM156" s="136"/>
      <c r="AN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  <c r="AY156" s="136"/>
      <c r="AZ156" s="136"/>
      <c r="BA156" s="136"/>
      <c r="BB156" s="136"/>
      <c r="BC156" s="136"/>
      <c r="BD156" s="136"/>
      <c r="BE156" s="136"/>
      <c r="BF156" s="136"/>
      <c r="BG156" s="136"/>
      <c r="BH156" s="136"/>
      <c r="BI156" s="136"/>
      <c r="BJ156" s="136"/>
      <c r="BK156" s="136"/>
      <c r="BL156" s="136"/>
      <c r="BM156" s="136"/>
      <c r="BN156" s="136"/>
      <c r="BO156" s="136"/>
      <c r="BP156" s="136"/>
      <c r="BQ156" s="136"/>
      <c r="BR156" s="136"/>
      <c r="BS156" s="136"/>
      <c r="BT156" s="136"/>
      <c r="BU156" s="136"/>
      <c r="BV156" s="136"/>
      <c r="BW156" s="136"/>
      <c r="BX156" s="136"/>
      <c r="BY156" s="136"/>
      <c r="BZ156" s="136"/>
      <c r="CA156" s="136"/>
      <c r="CB156" s="136"/>
      <c r="CC156" s="136"/>
      <c r="CD156" s="136"/>
      <c r="CE156" s="136"/>
      <c r="CF156" s="136"/>
    </row>
    <row r="157" spans="1:84">
      <c r="A157" s="136"/>
      <c r="B157" s="136"/>
      <c r="C157" s="136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136"/>
      <c r="AG157" s="136"/>
      <c r="AH157" s="136"/>
      <c r="AI157" s="136"/>
      <c r="AJ157" s="136"/>
      <c r="AK157" s="136"/>
      <c r="AL157" s="136"/>
      <c r="AM157" s="136"/>
      <c r="AN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  <c r="AY157" s="136"/>
      <c r="AZ157" s="136"/>
      <c r="BA157" s="136"/>
      <c r="BB157" s="136"/>
      <c r="BC157" s="136"/>
      <c r="BD157" s="136"/>
      <c r="BE157" s="136"/>
      <c r="BF157" s="136"/>
      <c r="BG157" s="136"/>
      <c r="BH157" s="136"/>
      <c r="BI157" s="136"/>
      <c r="BJ157" s="136"/>
      <c r="BK157" s="136"/>
      <c r="BL157" s="136"/>
      <c r="BM157" s="136"/>
      <c r="BN157" s="136"/>
      <c r="BO157" s="136"/>
      <c r="BP157" s="136"/>
      <c r="BQ157" s="136"/>
      <c r="BR157" s="136"/>
      <c r="BS157" s="136"/>
      <c r="BT157" s="136"/>
      <c r="BU157" s="136"/>
      <c r="BV157" s="136"/>
      <c r="BW157" s="136"/>
      <c r="BX157" s="136"/>
      <c r="BY157" s="136"/>
      <c r="BZ157" s="136"/>
      <c r="CA157" s="136"/>
      <c r="CB157" s="136"/>
      <c r="CC157" s="136"/>
      <c r="CD157" s="136"/>
      <c r="CE157" s="136"/>
      <c r="CF157" s="136"/>
    </row>
  </sheetData>
  <autoFilter ref="FC1:FC157" xr:uid="{00000000-0009-0000-0000-000003000000}"/>
  <mergeCells count="10">
    <mergeCell ref="DQ1:DT1"/>
    <mergeCell ref="CZ1:DB1"/>
    <mergeCell ref="DC1:DF1"/>
    <mergeCell ref="DN1:DP1"/>
    <mergeCell ref="HS1:HU1"/>
    <mergeCell ref="EA1:EC1"/>
    <mergeCell ref="DY1:DZ1"/>
    <mergeCell ref="FS1:FT1"/>
    <mergeCell ref="FU1:FW1"/>
    <mergeCell ref="HQ1:HR1"/>
  </mergeCells>
  <phoneticPr fontId="2" type="noConversion"/>
  <pageMargins left="0.78740157499999996" right="0.78740157499999996" top="0.984251969" bottom="0.984251969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51"/>
  </sheetPr>
  <dimension ref="A1:GD195"/>
  <sheetViews>
    <sheetView workbookViewId="0">
      <pane xSplit="4" ySplit="3" topLeftCell="I10" activePane="bottomRight" state="frozen"/>
      <selection pane="topRight" activeCell="E1" sqref="E1"/>
      <selection pane="bottomLeft" activeCell="A4" sqref="A4"/>
      <selection pane="bottomRight" activeCell="P16" sqref="P16"/>
    </sheetView>
  </sheetViews>
  <sheetFormatPr baseColWidth="10" defaultRowHeight="13"/>
  <cols>
    <col min="1" max="1" width="13.6640625" customWidth="1"/>
    <col min="93" max="95" width="9.5" customWidth="1"/>
  </cols>
  <sheetData>
    <row r="1" spans="1:186" ht="15.75" customHeight="1">
      <c r="A1" s="37" t="str">
        <f>Basicinfo!A1</f>
        <v>Catchments</v>
      </c>
      <c r="B1" s="3"/>
      <c r="C1" s="3"/>
      <c r="D1" s="3"/>
      <c r="E1" s="28"/>
      <c r="F1" s="49" t="s">
        <v>161</v>
      </c>
      <c r="G1" s="10"/>
      <c r="H1" s="10"/>
      <c r="I1" s="10"/>
      <c r="J1" s="10"/>
      <c r="K1" s="10"/>
      <c r="L1" s="10"/>
      <c r="M1" s="10"/>
      <c r="N1" s="10"/>
      <c r="O1" s="10"/>
      <c r="P1" s="54" t="s">
        <v>300</v>
      </c>
      <c r="Q1" s="45"/>
      <c r="R1" s="47"/>
      <c r="S1" s="59" t="s">
        <v>299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54" t="s">
        <v>301</v>
      </c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81"/>
      <c r="AS1" s="49" t="s">
        <v>302</v>
      </c>
      <c r="AT1" s="10"/>
      <c r="AU1" s="10"/>
      <c r="AV1" s="10"/>
      <c r="AW1" s="10"/>
      <c r="AX1" s="10"/>
      <c r="AY1" s="10"/>
      <c r="AZ1" s="10"/>
      <c r="BA1" s="10"/>
      <c r="BB1" s="10"/>
      <c r="BC1" s="49"/>
      <c r="BD1" s="54" t="s">
        <v>175</v>
      </c>
      <c r="BE1" s="45"/>
      <c r="BF1" s="47"/>
      <c r="BG1" s="59" t="s">
        <v>176</v>
      </c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54" t="s">
        <v>177</v>
      </c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6"/>
      <c r="CG1" s="90" t="s">
        <v>109</v>
      </c>
      <c r="CH1" s="4"/>
      <c r="CI1" s="4"/>
      <c r="CJ1" s="4"/>
      <c r="CK1" s="91"/>
      <c r="CN1" t="s">
        <v>622</v>
      </c>
      <c r="CY1" s="243" t="s">
        <v>660</v>
      </c>
      <c r="CZ1" s="243"/>
      <c r="DA1" s="243" t="s">
        <v>548</v>
      </c>
      <c r="DE1" t="s">
        <v>501</v>
      </c>
      <c r="DM1" t="s">
        <v>658</v>
      </c>
      <c r="DO1" t="s">
        <v>548</v>
      </c>
      <c r="DY1" t="s">
        <v>661</v>
      </c>
      <c r="EJ1" t="s">
        <v>622</v>
      </c>
      <c r="EU1" t="s">
        <v>657</v>
      </c>
      <c r="EW1" t="s">
        <v>548</v>
      </c>
      <c r="FA1" t="s">
        <v>501</v>
      </c>
      <c r="FI1" t="s">
        <v>658</v>
      </c>
      <c r="FK1" t="s">
        <v>548</v>
      </c>
      <c r="FU1" t="s">
        <v>659</v>
      </c>
    </row>
    <row r="2" spans="1:186" s="103" customFormat="1" ht="98">
      <c r="A2" s="104" t="str">
        <f>Basicinfo!A2</f>
        <v>Name</v>
      </c>
      <c r="B2" s="105" t="str">
        <f>Basicinfo!B2</f>
        <v>ID</v>
      </c>
      <c r="C2" s="105" t="str">
        <f>Basicinfo!C2</f>
        <v>Downstream ID</v>
      </c>
      <c r="D2" s="105" t="s">
        <v>409</v>
      </c>
      <c r="E2" s="113" t="s">
        <v>160</v>
      </c>
      <c r="F2" s="107" t="s">
        <v>256</v>
      </c>
      <c r="G2" s="107" t="s">
        <v>257</v>
      </c>
      <c r="H2" s="107" t="s">
        <v>249</v>
      </c>
      <c r="I2" s="107" t="s">
        <v>467</v>
      </c>
      <c r="J2" s="107" t="s">
        <v>248</v>
      </c>
      <c r="K2" s="162" t="s">
        <v>947</v>
      </c>
      <c r="L2" s="162" t="s">
        <v>946</v>
      </c>
      <c r="M2" s="162" t="s">
        <v>948</v>
      </c>
      <c r="N2" s="108" t="s">
        <v>165</v>
      </c>
      <c r="O2" s="115" t="s">
        <v>236</v>
      </c>
      <c r="P2" s="109" t="s">
        <v>460</v>
      </c>
      <c r="Q2" s="110" t="s">
        <v>461</v>
      </c>
      <c r="R2" s="117" t="s">
        <v>162</v>
      </c>
      <c r="S2" s="106" t="s">
        <v>463</v>
      </c>
      <c r="T2" s="107" t="s">
        <v>322</v>
      </c>
      <c r="U2" s="107" t="s">
        <v>445</v>
      </c>
      <c r="V2" s="107" t="s">
        <v>458</v>
      </c>
      <c r="W2" s="107" t="s">
        <v>462</v>
      </c>
      <c r="X2" s="107" t="s">
        <v>465</v>
      </c>
      <c r="Y2" s="107" t="s">
        <v>468</v>
      </c>
      <c r="Z2" s="107" t="s">
        <v>820</v>
      </c>
      <c r="AA2" s="108" t="s">
        <v>822</v>
      </c>
      <c r="AB2" s="108" t="s">
        <v>824</v>
      </c>
      <c r="AC2" s="108" t="s">
        <v>135</v>
      </c>
      <c r="AD2" s="115" t="s">
        <v>237</v>
      </c>
      <c r="AE2" s="108" t="s">
        <v>384</v>
      </c>
      <c r="AF2" s="109" t="s">
        <v>464</v>
      </c>
      <c r="AG2" s="110" t="s">
        <v>323</v>
      </c>
      <c r="AH2" s="110" t="s">
        <v>446</v>
      </c>
      <c r="AI2" s="386" t="s">
        <v>459</v>
      </c>
      <c r="AJ2" s="110" t="s">
        <v>315</v>
      </c>
      <c r="AK2" s="110" t="s">
        <v>466</v>
      </c>
      <c r="AL2" s="112" t="s">
        <v>469</v>
      </c>
      <c r="AM2" s="112" t="s">
        <v>821</v>
      </c>
      <c r="AN2" s="112" t="s">
        <v>823</v>
      </c>
      <c r="AO2" s="112" t="s">
        <v>825</v>
      </c>
      <c r="AP2" s="112" t="s">
        <v>136</v>
      </c>
      <c r="AQ2" s="118" t="s">
        <v>134</v>
      </c>
      <c r="AR2" s="119" t="s">
        <v>385</v>
      </c>
      <c r="AS2" s="107" t="s">
        <v>256</v>
      </c>
      <c r="AT2" s="107" t="s">
        <v>257</v>
      </c>
      <c r="AU2" s="107" t="s">
        <v>249</v>
      </c>
      <c r="AV2" s="107" t="s">
        <v>467</v>
      </c>
      <c r="AW2" s="107" t="s">
        <v>248</v>
      </c>
      <c r="AX2" s="162" t="s">
        <v>947</v>
      </c>
      <c r="AY2" s="162" t="s">
        <v>946</v>
      </c>
      <c r="AZ2" s="162" t="s">
        <v>948</v>
      </c>
      <c r="BA2" s="108" t="s">
        <v>165</v>
      </c>
      <c r="BB2" s="115" t="s">
        <v>236</v>
      </c>
      <c r="BC2" s="108" t="s">
        <v>160</v>
      </c>
      <c r="BD2" s="109" t="s">
        <v>460</v>
      </c>
      <c r="BE2" s="110" t="s">
        <v>461</v>
      </c>
      <c r="BF2" s="117" t="s">
        <v>162</v>
      </c>
      <c r="BG2" s="106" t="s">
        <v>463</v>
      </c>
      <c r="BH2" s="107" t="s">
        <v>322</v>
      </c>
      <c r="BI2" s="107" t="s">
        <v>445</v>
      </c>
      <c r="BJ2" s="107" t="s">
        <v>458</v>
      </c>
      <c r="BK2" s="107" t="s">
        <v>462</v>
      </c>
      <c r="BL2" s="107" t="s">
        <v>465</v>
      </c>
      <c r="BM2" s="107" t="s">
        <v>468</v>
      </c>
      <c r="BN2" s="107" t="s">
        <v>820</v>
      </c>
      <c r="BO2" s="108" t="s">
        <v>822</v>
      </c>
      <c r="BP2" s="108" t="s">
        <v>824</v>
      </c>
      <c r="BQ2" s="108" t="s">
        <v>135</v>
      </c>
      <c r="BR2" s="115" t="s">
        <v>237</v>
      </c>
      <c r="BS2" s="108" t="s">
        <v>384</v>
      </c>
      <c r="BT2" s="109" t="s">
        <v>464</v>
      </c>
      <c r="BU2" s="110" t="s">
        <v>323</v>
      </c>
      <c r="BV2" s="110" t="s">
        <v>446</v>
      </c>
      <c r="BW2" s="110" t="s">
        <v>459</v>
      </c>
      <c r="BX2" s="110" t="s">
        <v>315</v>
      </c>
      <c r="BY2" s="112" t="s">
        <v>466</v>
      </c>
      <c r="BZ2" s="112" t="s">
        <v>469</v>
      </c>
      <c r="CA2" s="112" t="s">
        <v>821</v>
      </c>
      <c r="CB2" s="112" t="s">
        <v>823</v>
      </c>
      <c r="CC2" s="112" t="s">
        <v>825</v>
      </c>
      <c r="CD2" s="112" t="s">
        <v>136</v>
      </c>
      <c r="CE2" s="120" t="s">
        <v>134</v>
      </c>
      <c r="CF2" s="110" t="s">
        <v>385</v>
      </c>
      <c r="CG2" s="121" t="s">
        <v>170</v>
      </c>
      <c r="CH2" s="122" t="s">
        <v>169</v>
      </c>
      <c r="CI2" s="122" t="s">
        <v>171</v>
      </c>
      <c r="CJ2" s="125" t="s">
        <v>110</v>
      </c>
      <c r="CK2" s="125" t="s">
        <v>111</v>
      </c>
      <c r="CN2" s="103" t="str">
        <f t="shared" ref="CN2:CQ3" si="0">AF2</f>
        <v>P-emission via atmospheric deposition</v>
      </c>
      <c r="CO2" s="103" t="str">
        <f t="shared" si="0"/>
        <v>P-emission via surface runoff</v>
      </c>
      <c r="CP2" s="103" t="str">
        <f t="shared" si="0"/>
        <v>P-emission via snowmelt</v>
      </c>
      <c r="CQ2" s="103" t="str">
        <f t="shared" si="0"/>
        <v>P-emission via agricultural erosion</v>
      </c>
      <c r="CR2" s="103" t="str">
        <f t="shared" ref="CR2:CT3" si="1">AK2</f>
        <v>P-emission via tile drainage systems</v>
      </c>
      <c r="CS2" s="103" t="str">
        <f t="shared" si="1"/>
        <v>P-emission via groundwater</v>
      </c>
      <c r="CT2" s="103" t="str">
        <f t="shared" si="1"/>
        <v>P-emission from urban areas connected to separated system</v>
      </c>
      <c r="CU2" s="103" t="str">
        <f>AQ2</f>
        <v>P-emissions from point sources</v>
      </c>
      <c r="CV2" s="103" t="s">
        <v>581</v>
      </c>
      <c r="CW2" s="103" t="s">
        <v>581</v>
      </c>
      <c r="CY2" s="186" t="s">
        <v>237</v>
      </c>
      <c r="CZ2" s="186" t="s">
        <v>163</v>
      </c>
      <c r="DA2" s="186" t="s">
        <v>503</v>
      </c>
      <c r="DB2" s="103" t="s">
        <v>504</v>
      </c>
      <c r="DC2" s="103" t="s">
        <v>623</v>
      </c>
      <c r="DD2" s="103" t="s">
        <v>641</v>
      </c>
      <c r="DE2" s="103" t="s">
        <v>498</v>
      </c>
      <c r="DF2" s="103" t="s">
        <v>499</v>
      </c>
      <c r="DG2" s="103" t="s">
        <v>505</v>
      </c>
      <c r="DH2" s="103" t="s">
        <v>502</v>
      </c>
      <c r="DI2" s="103" t="s">
        <v>506</v>
      </c>
      <c r="DJ2" s="103" t="s">
        <v>497</v>
      </c>
      <c r="DK2" s="103" t="s">
        <v>550</v>
      </c>
      <c r="DM2" s="103" t="s">
        <v>134</v>
      </c>
      <c r="DN2" s="103" t="s">
        <v>164</v>
      </c>
      <c r="DO2" s="103" t="s">
        <v>624</v>
      </c>
      <c r="DP2" s="103" t="s">
        <v>625</v>
      </c>
      <c r="DQ2" s="103" t="s">
        <v>64</v>
      </c>
      <c r="DR2" s="103" t="s">
        <v>562</v>
      </c>
      <c r="DS2" s="103" t="s">
        <v>505</v>
      </c>
      <c r="DT2" s="103" t="s">
        <v>548</v>
      </c>
      <c r="DU2" s="103" t="s">
        <v>500</v>
      </c>
      <c r="DV2" s="103" t="s">
        <v>550</v>
      </c>
      <c r="DW2" s="103" t="s">
        <v>551</v>
      </c>
      <c r="DY2" s="103" t="s">
        <v>637</v>
      </c>
      <c r="DZ2" s="103" t="s">
        <v>638</v>
      </c>
      <c r="EA2" s="103" t="s">
        <v>624</v>
      </c>
      <c r="EB2" s="103" t="s">
        <v>625</v>
      </c>
      <c r="EC2" s="103" t="s">
        <v>64</v>
      </c>
      <c r="ED2" s="103" t="s">
        <v>562</v>
      </c>
      <c r="EE2" s="103" t="s">
        <v>505</v>
      </c>
      <c r="EF2" s="103" t="s">
        <v>548</v>
      </c>
      <c r="EG2" s="103" t="s">
        <v>500</v>
      </c>
      <c r="EH2" s="103" t="s">
        <v>550</v>
      </c>
      <c r="EJ2" s="103" t="s">
        <v>464</v>
      </c>
      <c r="EK2" s="103" t="s">
        <v>323</v>
      </c>
      <c r="EL2" s="103" t="s">
        <v>446</v>
      </c>
      <c r="EM2" s="103" t="s">
        <v>459</v>
      </c>
      <c r="EN2" s="103" t="s">
        <v>466</v>
      </c>
      <c r="EO2" s="103" t="s">
        <v>469</v>
      </c>
      <c r="EP2" s="103" t="s">
        <v>164</v>
      </c>
      <c r="EQ2" s="103" t="s">
        <v>134</v>
      </c>
      <c r="ER2" s="103" t="s">
        <v>581</v>
      </c>
      <c r="ES2" s="103" t="s">
        <v>581</v>
      </c>
      <c r="EU2" s="103" t="s">
        <v>237</v>
      </c>
      <c r="EV2" s="103" t="s">
        <v>163</v>
      </c>
      <c r="EW2" s="103" t="s">
        <v>503</v>
      </c>
      <c r="EX2" s="103" t="s">
        <v>504</v>
      </c>
      <c r="EY2" s="103" t="s">
        <v>623</v>
      </c>
      <c r="EZ2" s="103" t="s">
        <v>641</v>
      </c>
      <c r="FA2" s="103" t="s">
        <v>498</v>
      </c>
      <c r="FB2" s="103" t="s">
        <v>499</v>
      </c>
      <c r="FC2" s="103" t="s">
        <v>505</v>
      </c>
      <c r="FD2" s="103" t="s">
        <v>502</v>
      </c>
      <c r="FE2" s="103" t="s">
        <v>506</v>
      </c>
      <c r="FF2" s="103" t="s">
        <v>497</v>
      </c>
      <c r="FG2" s="103" t="s">
        <v>550</v>
      </c>
      <c r="FI2" s="103" t="s">
        <v>134</v>
      </c>
      <c r="FJ2" s="103" t="s">
        <v>164</v>
      </c>
      <c r="FK2" s="103" t="s">
        <v>624</v>
      </c>
      <c r="FL2" s="103" t="s">
        <v>625</v>
      </c>
      <c r="FM2" s="103" t="s">
        <v>64</v>
      </c>
      <c r="FN2" s="103" t="s">
        <v>562</v>
      </c>
      <c r="FO2" s="103" t="s">
        <v>505</v>
      </c>
      <c r="FP2" s="103" t="s">
        <v>548</v>
      </c>
      <c r="FQ2" s="103" t="s">
        <v>500</v>
      </c>
      <c r="FR2" s="103" t="s">
        <v>550</v>
      </c>
      <c r="FS2" s="103" t="s">
        <v>551</v>
      </c>
      <c r="FU2" s="103" t="s">
        <v>637</v>
      </c>
      <c r="FV2" s="103" t="s">
        <v>638</v>
      </c>
      <c r="FW2" s="103" t="s">
        <v>624</v>
      </c>
      <c r="FX2" s="103" t="s">
        <v>625</v>
      </c>
      <c r="FY2" s="103" t="s">
        <v>64</v>
      </c>
      <c r="FZ2" s="103" t="s">
        <v>562</v>
      </c>
      <c r="GA2" s="103" t="s">
        <v>505</v>
      </c>
      <c r="GB2" s="103" t="s">
        <v>548</v>
      </c>
      <c r="GC2" s="103" t="s">
        <v>500</v>
      </c>
      <c r="GD2" s="103" t="s">
        <v>550</v>
      </c>
    </row>
    <row r="3" spans="1:186" ht="15.75" customHeight="1">
      <c r="A3" s="38"/>
      <c r="B3" s="62"/>
      <c r="C3" s="62"/>
      <c r="D3" s="62" t="s">
        <v>449</v>
      </c>
      <c r="E3" s="51" t="s">
        <v>411</v>
      </c>
      <c r="F3" s="41" t="s">
        <v>234</v>
      </c>
      <c r="G3" s="41" t="s">
        <v>234</v>
      </c>
      <c r="H3" s="41" t="s">
        <v>234</v>
      </c>
      <c r="I3" s="41" t="s">
        <v>234</v>
      </c>
      <c r="J3" s="41" t="s">
        <v>234</v>
      </c>
      <c r="K3" s="41" t="s">
        <v>234</v>
      </c>
      <c r="L3" s="41" t="s">
        <v>234</v>
      </c>
      <c r="M3" s="41" t="s">
        <v>234</v>
      </c>
      <c r="N3" s="52" t="s">
        <v>411</v>
      </c>
      <c r="O3" s="40" t="s">
        <v>411</v>
      </c>
      <c r="P3" s="55" t="s">
        <v>397</v>
      </c>
      <c r="Q3" s="44" t="s">
        <v>397</v>
      </c>
      <c r="R3" s="77" t="s">
        <v>397</v>
      </c>
      <c r="S3" s="60" t="s">
        <v>397</v>
      </c>
      <c r="T3" s="41" t="s">
        <v>397</v>
      </c>
      <c r="U3" s="41" t="s">
        <v>397</v>
      </c>
      <c r="V3" s="41" t="s">
        <v>397</v>
      </c>
      <c r="W3" s="41" t="s">
        <v>397</v>
      </c>
      <c r="X3" s="41" t="s">
        <v>397</v>
      </c>
      <c r="Y3" s="41" t="s">
        <v>397</v>
      </c>
      <c r="Z3" s="41" t="s">
        <v>79</v>
      </c>
      <c r="AA3" s="52" t="s">
        <v>79</v>
      </c>
      <c r="AB3" s="52" t="s">
        <v>79</v>
      </c>
      <c r="AC3" s="52" t="s">
        <v>397</v>
      </c>
      <c r="AD3" s="40" t="s">
        <v>397</v>
      </c>
      <c r="AE3" s="52" t="s">
        <v>397</v>
      </c>
      <c r="AF3" s="55" t="s">
        <v>397</v>
      </c>
      <c r="AG3" s="44" t="s">
        <v>397</v>
      </c>
      <c r="AH3" s="44" t="s">
        <v>397</v>
      </c>
      <c r="AI3" s="387" t="s">
        <v>397</v>
      </c>
      <c r="AJ3" s="44" t="s">
        <v>397</v>
      </c>
      <c r="AK3" s="44" t="s">
        <v>397</v>
      </c>
      <c r="AL3" s="57" t="s">
        <v>397</v>
      </c>
      <c r="AM3" s="57" t="s">
        <v>79</v>
      </c>
      <c r="AN3" s="57" t="s">
        <v>79</v>
      </c>
      <c r="AO3" s="57" t="s">
        <v>79</v>
      </c>
      <c r="AP3" s="57" t="s">
        <v>397</v>
      </c>
      <c r="AQ3" s="78" t="s">
        <v>397</v>
      </c>
      <c r="AR3" s="82" t="s">
        <v>397</v>
      </c>
      <c r="AS3" s="41" t="s">
        <v>202</v>
      </c>
      <c r="AT3" s="41" t="s">
        <v>202</v>
      </c>
      <c r="AU3" s="41" t="s">
        <v>202</v>
      </c>
      <c r="AV3" s="41" t="s">
        <v>202</v>
      </c>
      <c r="AW3" s="41" t="s">
        <v>202</v>
      </c>
      <c r="AX3" s="41" t="s">
        <v>202</v>
      </c>
      <c r="AY3" s="41" t="s">
        <v>202</v>
      </c>
      <c r="AZ3" s="41" t="s">
        <v>202</v>
      </c>
      <c r="BA3" s="41" t="s">
        <v>202</v>
      </c>
      <c r="BB3" s="41" t="s">
        <v>202</v>
      </c>
      <c r="BC3" s="52" t="s">
        <v>202</v>
      </c>
      <c r="BD3" s="55" t="s">
        <v>394</v>
      </c>
      <c r="BE3" s="44" t="s">
        <v>394</v>
      </c>
      <c r="BF3" s="57" t="s">
        <v>394</v>
      </c>
      <c r="BG3" s="60" t="s">
        <v>395</v>
      </c>
      <c r="BH3" s="41" t="s">
        <v>395</v>
      </c>
      <c r="BI3" s="41" t="s">
        <v>395</v>
      </c>
      <c r="BJ3" s="41" t="s">
        <v>395</v>
      </c>
      <c r="BK3" s="41" t="s">
        <v>395</v>
      </c>
      <c r="BL3" s="41" t="s">
        <v>395</v>
      </c>
      <c r="BM3" s="41" t="s">
        <v>395</v>
      </c>
      <c r="BN3" s="41" t="s">
        <v>395</v>
      </c>
      <c r="BO3" s="41" t="s">
        <v>395</v>
      </c>
      <c r="BP3" s="41" t="s">
        <v>395</v>
      </c>
      <c r="BQ3" s="41" t="s">
        <v>395</v>
      </c>
      <c r="BR3" s="41" t="s">
        <v>395</v>
      </c>
      <c r="BS3" s="52" t="s">
        <v>395</v>
      </c>
      <c r="BT3" s="55" t="s">
        <v>395</v>
      </c>
      <c r="BU3" s="44" t="s">
        <v>395</v>
      </c>
      <c r="BV3" s="44" t="s">
        <v>395</v>
      </c>
      <c r="BW3" s="44" t="s">
        <v>395</v>
      </c>
      <c r="BX3" s="44" t="s">
        <v>395</v>
      </c>
      <c r="BY3" s="57" t="s">
        <v>395</v>
      </c>
      <c r="BZ3" s="57" t="s">
        <v>395</v>
      </c>
      <c r="CA3" s="57" t="s">
        <v>395</v>
      </c>
      <c r="CB3" s="57" t="s">
        <v>395</v>
      </c>
      <c r="CC3" s="57" t="s">
        <v>395</v>
      </c>
      <c r="CD3" s="57" t="s">
        <v>395</v>
      </c>
      <c r="CE3" s="57" t="s">
        <v>395</v>
      </c>
      <c r="CF3" s="44" t="s">
        <v>395</v>
      </c>
      <c r="CG3" s="92"/>
      <c r="CH3" s="93"/>
      <c r="CI3" s="93"/>
      <c r="CJ3" s="124"/>
      <c r="CK3" s="124"/>
      <c r="CN3" t="str">
        <f t="shared" si="0"/>
        <v>t/y</v>
      </c>
      <c r="CO3" t="str">
        <f t="shared" si="0"/>
        <v>t/y</v>
      </c>
      <c r="CP3" t="str">
        <f t="shared" si="0"/>
        <v>t/y</v>
      </c>
      <c r="CQ3" t="str">
        <f t="shared" si="0"/>
        <v>t/y</v>
      </c>
      <c r="CR3" s="103" t="str">
        <f t="shared" si="1"/>
        <v>t/y</v>
      </c>
      <c r="CS3" s="103" t="str">
        <f t="shared" si="1"/>
        <v>t/y</v>
      </c>
      <c r="CT3" s="103" t="str">
        <f t="shared" si="1"/>
        <v>t/a</v>
      </c>
      <c r="CU3" s="103" t="str">
        <f>AQ3</f>
        <v>t/y</v>
      </c>
      <c r="CV3" t="s">
        <v>79</v>
      </c>
      <c r="CW3" t="s">
        <v>582</v>
      </c>
      <c r="CY3" s="230" t="s">
        <v>79</v>
      </c>
      <c r="CZ3" s="230" t="s">
        <v>397</v>
      </c>
      <c r="DA3" s="230" t="s">
        <v>79</v>
      </c>
      <c r="DB3" t="s">
        <v>79</v>
      </c>
      <c r="DC3" t="s">
        <v>79</v>
      </c>
      <c r="DD3" t="s">
        <v>79</v>
      </c>
      <c r="DE3" t="s">
        <v>79</v>
      </c>
      <c r="DF3" t="s">
        <v>79</v>
      </c>
      <c r="DG3" t="s">
        <v>79</v>
      </c>
      <c r="DH3" t="s">
        <v>79</v>
      </c>
      <c r="DI3" t="s">
        <v>79</v>
      </c>
      <c r="DJ3" t="s">
        <v>79</v>
      </c>
      <c r="DK3" t="s">
        <v>79</v>
      </c>
      <c r="DM3" t="s">
        <v>79</v>
      </c>
      <c r="DN3" t="s">
        <v>79</v>
      </c>
      <c r="DO3" t="s">
        <v>79</v>
      </c>
      <c r="DP3" t="s">
        <v>79</v>
      </c>
      <c r="DQ3" t="s">
        <v>79</v>
      </c>
      <c r="DR3" t="s">
        <v>79</v>
      </c>
      <c r="DS3" t="s">
        <v>79</v>
      </c>
      <c r="DT3" t="s">
        <v>79</v>
      </c>
      <c r="DU3" t="s">
        <v>79</v>
      </c>
      <c r="DV3" t="s">
        <v>79</v>
      </c>
      <c r="DW3" t="s">
        <v>79</v>
      </c>
      <c r="DY3" t="s">
        <v>79</v>
      </c>
      <c r="DZ3" t="s">
        <v>79</v>
      </c>
      <c r="EA3" t="s">
        <v>79</v>
      </c>
      <c r="EB3" t="s">
        <v>79</v>
      </c>
      <c r="EC3" t="s">
        <v>79</v>
      </c>
      <c r="ED3" t="s">
        <v>79</v>
      </c>
      <c r="EE3" t="s">
        <v>79</v>
      </c>
      <c r="EF3" t="s">
        <v>79</v>
      </c>
      <c r="EG3" t="s">
        <v>79</v>
      </c>
      <c r="EH3" t="s">
        <v>79</v>
      </c>
      <c r="EJ3" t="s">
        <v>656</v>
      </c>
      <c r="EK3" t="s">
        <v>656</v>
      </c>
      <c r="EL3" t="s">
        <v>656</v>
      </c>
      <c r="EM3" t="s">
        <v>656</v>
      </c>
      <c r="EN3" t="s">
        <v>656</v>
      </c>
      <c r="EO3" t="s">
        <v>656</v>
      </c>
      <c r="EP3" t="s">
        <v>656</v>
      </c>
      <c r="EQ3" t="s">
        <v>656</v>
      </c>
      <c r="ER3" t="s">
        <v>656</v>
      </c>
      <c r="ES3" t="s">
        <v>656</v>
      </c>
      <c r="EU3" t="s">
        <v>656</v>
      </c>
      <c r="EV3" t="s">
        <v>656</v>
      </c>
      <c r="EW3" t="s">
        <v>656</v>
      </c>
      <c r="EX3" t="s">
        <v>656</v>
      </c>
      <c r="EY3" t="s">
        <v>656</v>
      </c>
      <c r="EZ3" t="s">
        <v>656</v>
      </c>
      <c r="FA3" t="s">
        <v>656</v>
      </c>
      <c r="FB3" t="s">
        <v>656</v>
      </c>
      <c r="FC3" t="s">
        <v>656</v>
      </c>
      <c r="FD3" t="s">
        <v>656</v>
      </c>
      <c r="FE3" t="s">
        <v>656</v>
      </c>
      <c r="FF3" t="s">
        <v>656</v>
      </c>
      <c r="FG3" t="s">
        <v>656</v>
      </c>
      <c r="FI3" t="s">
        <v>656</v>
      </c>
      <c r="FJ3" t="s">
        <v>656</v>
      </c>
      <c r="FK3" t="s">
        <v>656</v>
      </c>
      <c r="FL3" t="s">
        <v>656</v>
      </c>
      <c r="FM3" t="s">
        <v>656</v>
      </c>
      <c r="FN3" t="s">
        <v>656</v>
      </c>
      <c r="FO3" t="s">
        <v>656</v>
      </c>
      <c r="FP3" t="s">
        <v>656</v>
      </c>
      <c r="FQ3" t="s">
        <v>656</v>
      </c>
      <c r="FR3" t="s">
        <v>656</v>
      </c>
      <c r="FS3" t="s">
        <v>656</v>
      </c>
      <c r="FU3" t="s">
        <v>656</v>
      </c>
      <c r="FV3" t="s">
        <v>656</v>
      </c>
      <c r="FW3" t="s">
        <v>656</v>
      </c>
      <c r="FX3" t="s">
        <v>656</v>
      </c>
      <c r="FY3" t="s">
        <v>656</v>
      </c>
      <c r="FZ3" t="s">
        <v>656</v>
      </c>
      <c r="GA3" t="s">
        <v>656</v>
      </c>
      <c r="GB3" t="s">
        <v>656</v>
      </c>
      <c r="GC3" t="s">
        <v>656</v>
      </c>
      <c r="GD3" t="s">
        <v>656</v>
      </c>
    </row>
    <row r="4" spans="1:186">
      <c r="A4" s="39" t="str">
        <f>Basicinfo!A4</f>
        <v>Moosb./Mühlheimerache</v>
      </c>
      <c r="B4" s="63">
        <f>Basicinfo!B4</f>
        <v>580</v>
      </c>
      <c r="C4" s="63">
        <f>Basicinfo!C4</f>
        <v>0</v>
      </c>
      <c r="D4" s="227">
        <v>126.601554666</v>
      </c>
      <c r="E4" s="89">
        <v>1.4660504824059599</v>
      </c>
      <c r="F4" s="27">
        <v>1.7621692515189268E-2</v>
      </c>
      <c r="G4" s="19">
        <v>0.24865252857636438</v>
      </c>
      <c r="H4" s="19">
        <v>0</v>
      </c>
      <c r="I4" s="19">
        <v>4.6004332526996032E-2</v>
      </c>
      <c r="J4" s="19">
        <v>1.1094121169889388</v>
      </c>
      <c r="K4" s="19">
        <v>1.1981439384347283E-2</v>
      </c>
      <c r="L4" s="19">
        <v>3.2217228568012309E-3</v>
      </c>
      <c r="M4" s="19">
        <v>1.5102584573388981E-2</v>
      </c>
      <c r="N4" s="19">
        <v>1.4519964174220261</v>
      </c>
      <c r="O4" s="19">
        <v>1.4054064983933705E-2</v>
      </c>
      <c r="P4" s="56">
        <v>86.812938826970026</v>
      </c>
      <c r="Q4" s="43">
        <v>439.46721411119461</v>
      </c>
      <c r="R4" s="88">
        <v>526.28015293816463</v>
      </c>
      <c r="S4" s="61">
        <v>3.5065920389525673</v>
      </c>
      <c r="T4" s="19">
        <v>16.266980628394712</v>
      </c>
      <c r="U4" s="19">
        <v>0</v>
      </c>
      <c r="V4" s="19">
        <v>0.75904640233595788</v>
      </c>
      <c r="W4" s="19">
        <v>1.0986680352779866E-2</v>
      </c>
      <c r="X4" s="19">
        <v>17.24072412005205</v>
      </c>
      <c r="Y4" s="19">
        <v>107.10579679648974</v>
      </c>
      <c r="Z4" s="19">
        <v>1.1298124563455201</v>
      </c>
      <c r="AA4" s="19">
        <v>0.96127797605469423</v>
      </c>
      <c r="AB4" s="19">
        <v>0.54126845284592717</v>
      </c>
      <c r="AC4" s="19">
        <v>147.52248555182399</v>
      </c>
      <c r="AD4" s="19">
        <v>1.5501200000000002</v>
      </c>
      <c r="AE4" s="87">
        <v>149.07260555182398</v>
      </c>
      <c r="AF4" s="56">
        <v>5.6396953671328416E-2</v>
      </c>
      <c r="AG4" s="43">
        <v>0.2746144851678809</v>
      </c>
      <c r="AH4" s="43">
        <v>0</v>
      </c>
      <c r="AI4" s="43">
        <v>0.47264499202588622</v>
      </c>
      <c r="AJ4" s="43">
        <v>0.19776024635003758</v>
      </c>
      <c r="AK4" s="43">
        <v>0.61373815323479775</v>
      </c>
      <c r="AL4" s="58">
        <v>1.0625183180126703</v>
      </c>
      <c r="AM4" s="43">
        <v>0.22841239319170989</v>
      </c>
      <c r="AN4" s="42">
        <v>0.16750424720684648</v>
      </c>
      <c r="AO4" s="42">
        <v>8.0684541810668531E-2</v>
      </c>
      <c r="AP4" s="42">
        <v>3.1542743306718264</v>
      </c>
      <c r="AQ4" s="43">
        <v>0.25710416666666669</v>
      </c>
      <c r="AR4" s="83">
        <v>3.4113784973384931</v>
      </c>
      <c r="AS4" s="19">
        <f t="shared" ref="AS4:AS56" si="2">F4*86400*365/(D4*1000000)*1000</f>
        <v>4.3895013503199243</v>
      </c>
      <c r="AT4" s="19">
        <f t="shared" ref="AT4:AT56" si="3">G4*86400*365/(D4*1000000)*1000</f>
        <v>61.938466410398163</v>
      </c>
      <c r="AU4" s="19">
        <f t="shared" ref="AU4:AU56" si="4">H4*86400*365/(D4*1000000)*1000</f>
        <v>0</v>
      </c>
      <c r="AV4" s="19">
        <f t="shared" ref="AV4:AV56" si="5">I4*86400*365/(D4*1000000)*1000</f>
        <v>11.459516704979062</v>
      </c>
      <c r="AW4" s="19">
        <f t="shared" ref="AW4:AW56" si="6">J4*86400*365/(D4*1000000)*1000</f>
        <v>276.35063892907391</v>
      </c>
      <c r="AX4" s="53">
        <f>K4*86400*365/(D4*1000000)*1000</f>
        <v>2.9845342217290334</v>
      </c>
      <c r="AY4" s="53">
        <f>L4*86400*365/(D4*1000000)*1000</f>
        <v>0.80251978168929472</v>
      </c>
      <c r="AZ4" s="53">
        <f>M4*86400*365/(D4*1000000)*1000</f>
        <v>3.7620004617076237</v>
      </c>
      <c r="BA4" s="19">
        <f>SUM(AS4:AZ4)</f>
        <v>361.68717785989696</v>
      </c>
      <c r="BB4" s="19">
        <f t="shared" ref="BB4:BB56" si="7">O4*86400*365/(D4*1000000)*1000</f>
        <v>3.5008179362615772</v>
      </c>
      <c r="BC4" s="53">
        <f t="shared" ref="BC4:BC57" si="8">BA4+BB4</f>
        <v>365.18799579615853</v>
      </c>
      <c r="BD4" s="56">
        <f t="shared" ref="BD4:BD56" si="9">P4/(D4*100)*1000</f>
        <v>6.857177943509444</v>
      </c>
      <c r="BE4" s="43">
        <f t="shared" ref="BE4:BE56" si="10">Q4/(D4*100)*1000</f>
        <v>34.712623811816236</v>
      </c>
      <c r="BF4" s="58">
        <f t="shared" ref="BF4:BF57" si="11">SUM(BD4:BE4)</f>
        <v>41.569801755325678</v>
      </c>
      <c r="BG4" s="61">
        <f t="shared" ref="BG4:BG56" si="12">S4/(D4*100)*1000000</f>
        <v>276.97859226165531</v>
      </c>
      <c r="BH4" s="19">
        <f t="shared" ref="BH4:BH56" si="13">T4/(D4*100)*1000000</f>
        <v>1284.8958033185481</v>
      </c>
      <c r="BI4" s="19">
        <f t="shared" ref="BI4:BI56" si="14">U4/(D4*100)*1000000</f>
        <v>0</v>
      </c>
      <c r="BJ4" s="19">
        <f t="shared" ref="BJ4:BJ56" si="15">V4/(D4*100)*1000000</f>
        <v>59.955535643971579</v>
      </c>
      <c r="BK4" s="19">
        <f t="shared" ref="BK4:BK56" si="16">W4/(D4*100)*1000000</f>
        <v>0.86781559529540597</v>
      </c>
      <c r="BL4" s="19">
        <f t="shared" ref="BL4:BL56" si="17">X4/(D4*100)*1000000</f>
        <v>1361.8098265488525</v>
      </c>
      <c r="BM4" s="19">
        <f t="shared" ref="BM4:BM56" si="18">Y4/(D4*100)*1000000</f>
        <v>8460.0696317715901</v>
      </c>
      <c r="BN4" s="53">
        <f t="shared" ref="BN4:BN56" si="19">Z4/(D4*100)*1000000</f>
        <v>89.241594175220783</v>
      </c>
      <c r="BO4" s="53">
        <f>AA4/(D4*100)*1000000</f>
        <v>75.929397438343955</v>
      </c>
      <c r="BP4" s="53">
        <f>AB4/(D4*100)*1000000</f>
        <v>42.753697162242652</v>
      </c>
      <c r="BQ4" s="19">
        <f>SUM(BG4:BP4)</f>
        <v>11652.50189391572</v>
      </c>
      <c r="BR4" s="19">
        <f t="shared" ref="BR4:BR56" si="20">AD4/(D4*100)*1000000</f>
        <v>122.44083448181375</v>
      </c>
      <c r="BS4" s="53">
        <f t="shared" ref="BS4:BS57" si="21">BQ4+BR4</f>
        <v>11774.942728397533</v>
      </c>
      <c r="BT4" s="56">
        <f t="shared" ref="BT4:BT56" si="22">AF4/(D4*100)*1000000</f>
        <v>4.4546809729244448</v>
      </c>
      <c r="BU4" s="43">
        <f t="shared" ref="BU4:BU56" si="23">AG4/(D4*100)*1000000</f>
        <v>21.691241145684852</v>
      </c>
      <c r="BV4" s="43">
        <f t="shared" ref="BV4:BV56" si="24">AH4/(D4*100)*1000000</f>
        <v>0</v>
      </c>
      <c r="BW4" s="43">
        <f t="shared" ref="BW4:BW56" si="25">AI4/(D4*100)*1000000</f>
        <v>37.333269190320564</v>
      </c>
      <c r="BX4" s="43">
        <f t="shared" ref="BX4:BX56" si="26">AJ4/(D4*100)*1000000</f>
        <v>15.620680715317308</v>
      </c>
      <c r="BY4" s="58">
        <f t="shared" ref="BY4:BY56" si="27">AK4/(D4*100)*1000000</f>
        <v>48.477931795858332</v>
      </c>
      <c r="BZ4" s="58">
        <f t="shared" ref="BZ4:BZ56" si="28">AL4/(D4*100)*1000000</f>
        <v>83.926166690117213</v>
      </c>
      <c r="CA4" s="58">
        <f t="shared" ref="CA4:CA56" si="29">AM4/(D4*100)*1000000</f>
        <v>18.041831618443162</v>
      </c>
      <c r="CB4" s="58">
        <f>AN4/(D4*100)*1000000</f>
        <v>13.230820715334492</v>
      </c>
      <c r="CC4" s="58">
        <f>AO4/(D4*100)*1000000</f>
        <v>6.3731082942488619</v>
      </c>
      <c r="CD4" s="58">
        <f>SUM(BT4:CC4)</f>
        <v>249.14973113824922</v>
      </c>
      <c r="CE4" s="58">
        <f t="shared" ref="CE4:CE56" si="30">AQ4/(D4*100)*1000000</f>
        <v>20.308136605822771</v>
      </c>
      <c r="CF4" s="58">
        <f>CD4+CE4</f>
        <v>269.45786774407202</v>
      </c>
      <c r="CG4" s="127">
        <v>-1</v>
      </c>
      <c r="CH4" s="128" t="s">
        <v>169</v>
      </c>
      <c r="CI4" s="128"/>
      <c r="CJ4" s="126">
        <f>1</f>
        <v>1</v>
      </c>
      <c r="CK4" s="126">
        <f>IF(CG4&gt;0,CG4-3,0)</f>
        <v>0</v>
      </c>
      <c r="CN4" s="147">
        <f t="shared" ref="CN4:CN57" si="31">AF4</f>
        <v>5.6396953671328416E-2</v>
      </c>
      <c r="CO4" s="147">
        <f t="shared" ref="CO4:CO57" si="32">AG4</f>
        <v>0.2746144851678809</v>
      </c>
      <c r="CP4" s="147">
        <f t="shared" ref="CP4:CP57" si="33">AH4</f>
        <v>0</v>
      </c>
      <c r="CQ4" s="31">
        <f>(AI4-(P4*450/1000000))*Parameters!$C$153</f>
        <v>0.34686333564299976</v>
      </c>
      <c r="CR4" s="31">
        <f t="shared" ref="CR4:CR57" si="34">AK4</f>
        <v>0.61373815323479775</v>
      </c>
      <c r="CS4" s="31">
        <f t="shared" ref="CS4:CS57" si="35">AL4</f>
        <v>1.0625183180126703</v>
      </c>
      <c r="CT4" s="31">
        <f>AM4*Parameters!$C$154</f>
        <v>0.20557115387253891</v>
      </c>
      <c r="CU4" s="31">
        <f>AQ4*Parameters!$C$155</f>
        <v>0.25710416666666669</v>
      </c>
      <c r="CV4" s="31">
        <f t="shared" ref="CV4:CV57" si="36">SUM(CN4:CU4)</f>
        <v>2.816806566268883</v>
      </c>
      <c r="CW4" s="188">
        <f t="shared" ref="CW4:CW57" si="37">CV4/AR4*100</f>
        <v>82.570918719998787</v>
      </c>
      <c r="CY4" s="181">
        <v>2.825330866666667</v>
      </c>
      <c r="CZ4" s="181">
        <v>9.9342226330736416</v>
      </c>
      <c r="DA4" s="181">
        <v>21.708540263813713</v>
      </c>
      <c r="DB4" s="181">
        <v>28.67277830534691</v>
      </c>
      <c r="DC4" s="181">
        <v>15.410967362433693</v>
      </c>
      <c r="DD4" s="181">
        <v>102.31835348817759</v>
      </c>
      <c r="DE4" s="181">
        <v>8.2574799864009272</v>
      </c>
      <c r="DF4" s="181">
        <v>10.630657171938189</v>
      </c>
      <c r="DG4" s="181">
        <v>33.216791590055728</v>
      </c>
      <c r="DH4" s="181">
        <v>18.888137158339116</v>
      </c>
      <c r="DI4" s="181">
        <v>168.11063941977193</v>
      </c>
      <c r="DJ4" s="181">
        <v>12.759553499740308</v>
      </c>
      <c r="DK4" s="181">
        <v>232.9751216679071</v>
      </c>
      <c r="DL4" s="181"/>
      <c r="DM4" s="181">
        <v>0.29339999999999999</v>
      </c>
      <c r="DN4" s="181">
        <v>1.6507866191119867</v>
      </c>
      <c r="DO4" s="181">
        <v>0.35393440336460108</v>
      </c>
      <c r="DP4" s="181">
        <v>3.7734455733539827</v>
      </c>
      <c r="DQ4" s="181">
        <v>6.0492399778105888E-2</v>
      </c>
      <c r="DR4" s="181">
        <v>4.6990122073465992E-2</v>
      </c>
      <c r="DS4" s="181">
        <v>0.76062820844451928</v>
      </c>
      <c r="DT4" s="181">
        <v>4.1878723764966903</v>
      </c>
      <c r="DU4" s="181">
        <v>1.9441866191119868</v>
      </c>
      <c r="DV4" s="181">
        <v>6.9396773261266622</v>
      </c>
      <c r="DW4" s="181">
        <v>6.9396773261266622</v>
      </c>
      <c r="DX4" s="181"/>
      <c r="DY4" s="181">
        <v>0.23472000000000001</v>
      </c>
      <c r="DZ4" s="181">
        <v>1.1555506333783905</v>
      </c>
      <c r="EA4" s="181">
        <v>0.35393440336460108</v>
      </c>
      <c r="EB4" s="181">
        <v>3.7734455733539827</v>
      </c>
      <c r="EC4" s="181">
        <v>6.1241451020126236E-2</v>
      </c>
      <c r="ED4" s="181">
        <v>4.6990122073465992E-2</v>
      </c>
      <c r="EE4" s="181">
        <v>0.5462661997729964</v>
      </c>
      <c r="EF4" s="181">
        <v>4.1886214277387097</v>
      </c>
      <c r="EG4" s="181">
        <v>1.3902706333783905</v>
      </c>
      <c r="EH4" s="181">
        <v>6.1721483829635631</v>
      </c>
      <c r="EJ4" s="31">
        <f t="shared" ref="EJ4:EJ57" si="38">CN4/$D4*1000/100</f>
        <v>4.4546809729244449E-3</v>
      </c>
      <c r="EK4" s="31">
        <f t="shared" ref="EK4:EK56" si="39">CO4/$D4*1000/100</f>
        <v>2.169124114568485E-2</v>
      </c>
      <c r="EL4" s="31">
        <f t="shared" ref="EL4:EL56" si="40">CP4/$D4*1000/100</f>
        <v>0</v>
      </c>
      <c r="EM4" s="31">
        <f t="shared" ref="EM4:EM56" si="41">CQ4/$D4*1000/100</f>
        <v>2.7398031292593047E-2</v>
      </c>
      <c r="EN4" s="31">
        <f t="shared" ref="EN4:EN56" si="42">CR4/$D4*1000/100</f>
        <v>4.8477931795858326E-2</v>
      </c>
      <c r="EO4" s="31">
        <f t="shared" ref="EO4:EO56" si="43">CS4/$D4*1000/100</f>
        <v>8.392616669011721E-2</v>
      </c>
      <c r="EP4" s="31">
        <f t="shared" ref="EP4:EP56" si="44">CT4/$D4*1000/100</f>
        <v>1.6237648456598842E-2</v>
      </c>
      <c r="EQ4" s="31">
        <f t="shared" ref="EQ4:EQ56" si="45">CU4/$D4*1000/100</f>
        <v>2.0308136605822771E-2</v>
      </c>
      <c r="ER4" s="31">
        <f t="shared" ref="ER4:ER56" si="46">CV4/$D4*1000/100</f>
        <v>0.22249383695959954</v>
      </c>
      <c r="ES4" s="31">
        <f t="shared" ref="ES4:ES56" si="47">CW4/$D4*1000/100</f>
        <v>6.5221093799232754</v>
      </c>
      <c r="ET4" s="31"/>
      <c r="EU4" s="31">
        <f t="shared" ref="EU4:EU56" si="48">CY4/$D4*1000/100</f>
        <v>0.22316715415702831</v>
      </c>
      <c r="EV4" s="31">
        <f t="shared" ref="EV4:EV56" si="49">CZ4/$D4*1000/100</f>
        <v>0.78468409485824187</v>
      </c>
      <c r="EW4" s="31">
        <f t="shared" ref="EW4:EW56" si="50">DA4/$D4*1000/100</f>
        <v>1.7147135610684361</v>
      </c>
      <c r="EX4" s="31">
        <f t="shared" ref="EX4:EX56" si="51">DB4/$D4*1000/100</f>
        <v>2.264804597462597</v>
      </c>
      <c r="EY4" s="31">
        <f t="shared" ref="EY4:EY56" si="52">DC4/$D4*1000/100</f>
        <v>1.2172810518078456</v>
      </c>
      <c r="EZ4" s="31">
        <f t="shared" ref="EZ4:EZ56" si="53">DD4/$D4*1000/100</f>
        <v>8.081919195867199</v>
      </c>
      <c r="FA4" s="31">
        <f t="shared" ref="FA4:FA56" si="54">DE4/$D4*1000/100</f>
        <v>0.65224159436160134</v>
      </c>
      <c r="FB4" s="31">
        <f t="shared" ref="FB4:FB56" si="55">DF4/$D4*1000/100</f>
        <v>0.83969404641072298</v>
      </c>
      <c r="FC4" s="31">
        <f t="shared" ref="FC4:FC56" si="56">DG4/$D4*1000/100</f>
        <v>2.6237269895846231</v>
      </c>
      <c r="FD4" s="31">
        <f t="shared" ref="FD4:FD56" si="57">DH4/$D4*1000/100</f>
        <v>1.4919356407723245</v>
      </c>
      <c r="FE4" s="31">
        <f t="shared" ref="FE4:FE56" si="58">DI4/$D4*1000/100</f>
        <v>13.278718406206078</v>
      </c>
      <c r="FF4" s="31">
        <f t="shared" ref="FF4:FF56" si="59">DJ4/$D4*1000/100</f>
        <v>1.00785124901527</v>
      </c>
      <c r="FG4" s="31">
        <f t="shared" ref="FG4:FG56" si="60">DK4/$D4*1000/100</f>
        <v>18.4022322855783</v>
      </c>
      <c r="FH4" s="31"/>
      <c r="FI4" s="31">
        <f t="shared" ref="FI4:FI56" si="61">DM4/$D4*1000/100</f>
        <v>2.3175070857071808E-2</v>
      </c>
      <c r="FJ4" s="31">
        <f t="shared" ref="FJ4:FJ56" si="62">DN4/$D4*1000/100</f>
        <v>0.130392286529742</v>
      </c>
      <c r="FK4" s="31">
        <f t="shared" ref="FK4:FK56" si="63">DO4/$D4*1000/100</f>
        <v>2.7956560588718694E-2</v>
      </c>
      <c r="FL4" s="31">
        <f t="shared" ref="FL4:FL56" si="64">DP4/$D4*1000/100</f>
        <v>0.29805681164888376</v>
      </c>
      <c r="FM4" s="31">
        <f t="shared" ref="FM4:FM56" si="65">DQ4/$D4*1000/100</f>
        <v>4.7781719535511889E-3</v>
      </c>
      <c r="FN4" s="31">
        <f t="shared" ref="FN4:FN56" si="66">DR4/$D4*1000/100</f>
        <v>3.7116544261589246E-3</v>
      </c>
      <c r="FO4" s="31">
        <f t="shared" ref="FO4:FO56" si="67">DS4/$D4*1000/100</f>
        <v>6.0080479299895434E-2</v>
      </c>
      <c r="FP4" s="31">
        <f t="shared" ref="FP4:FP56" si="68">DT4/$D4*1000/100</f>
        <v>0.33079154419115375</v>
      </c>
      <c r="FQ4" s="31">
        <f t="shared" ref="FQ4:FQ56" si="69">DU4/$D4*1000/100</f>
        <v>0.15356735738681382</v>
      </c>
      <c r="FR4" s="31">
        <f t="shared" ref="FR4:FR56" si="70">DV4/$D4*1000/100</f>
        <v>0.54815103530402187</v>
      </c>
      <c r="FS4" s="31">
        <f t="shared" ref="FS4:FS56" si="71">DW4/$D4*1000/100</f>
        <v>0.54815103530402187</v>
      </c>
      <c r="FT4" s="31"/>
      <c r="FU4" s="31">
        <f t="shared" ref="FU4:FU56" si="72">DY4/$D4*1000/100</f>
        <v>1.854005668565745E-2</v>
      </c>
      <c r="FV4" s="31">
        <f t="shared" ref="FV4:FV56" si="73">DZ4/$D4*1000/100</f>
        <v>9.1274600570819389E-2</v>
      </c>
      <c r="FW4" s="31">
        <f t="shared" ref="FW4:FW56" si="74">EA4/$D4*1000/100</f>
        <v>2.7956560588718694E-2</v>
      </c>
      <c r="FX4" s="31">
        <f t="shared" ref="FX4:FX56" si="75">EB4/$D4*1000/100</f>
        <v>0.29805681164888376</v>
      </c>
      <c r="FY4" s="31">
        <f t="shared" ref="FY4:FY56" si="76">EC4/$D4*1000/100</f>
        <v>4.8373379917563668E-3</v>
      </c>
      <c r="FZ4" s="31">
        <f t="shared" ref="FZ4:FZ56" si="77">ED4/$D4*1000/100</f>
        <v>3.7116544261589246E-3</v>
      </c>
      <c r="GA4" s="31">
        <f t="shared" ref="GA4:GA56" si="78">EE4/$D4*1000/100</f>
        <v>4.3148459054405369E-2</v>
      </c>
      <c r="GB4" s="31">
        <f t="shared" ref="GB4:GB56" si="79">EF4/$D4*1000/100</f>
        <v>0.33085071022935886</v>
      </c>
      <c r="GC4" s="31">
        <f t="shared" ref="GC4:GC56" si="80">EG4/$D4*1000/100</f>
        <v>0.10981465725647684</v>
      </c>
      <c r="GD4" s="31">
        <f t="shared" ref="GD4:GD56" si="81">EH4/$D4*1000/100</f>
        <v>0.48752548096639997</v>
      </c>
    </row>
    <row r="5" spans="1:186">
      <c r="A5" s="39" t="str">
        <f>Basicinfo!A5</f>
        <v>Enknach</v>
      </c>
      <c r="B5" s="63">
        <f>Basicinfo!B5</f>
        <v>600</v>
      </c>
      <c r="C5" s="63">
        <f>Basicinfo!C5</f>
        <v>610</v>
      </c>
      <c r="D5" s="227">
        <v>120.044162032</v>
      </c>
      <c r="E5" s="89">
        <v>0.44046045544155299</v>
      </c>
      <c r="F5" s="27">
        <v>4.4839097520814313E-3</v>
      </c>
      <c r="G5" s="19">
        <v>5.3256986594873386E-2</v>
      </c>
      <c r="H5" s="19">
        <v>0</v>
      </c>
      <c r="I5" s="19">
        <v>1.512656520226561E-2</v>
      </c>
      <c r="J5" s="19">
        <v>0.35377926946492722</v>
      </c>
      <c r="K5" s="19">
        <v>3.4625526883686063E-3</v>
      </c>
      <c r="L5" s="19">
        <v>3.9453009965841213E-3</v>
      </c>
      <c r="M5" s="19">
        <v>6.4058707424526516E-3</v>
      </c>
      <c r="N5" s="19">
        <v>0.44046045544155299</v>
      </c>
      <c r="O5" s="19">
        <v>0</v>
      </c>
      <c r="P5" s="56">
        <v>600.74554925686402</v>
      </c>
      <c r="Q5" s="43">
        <v>520.90279646122349</v>
      </c>
      <c r="R5" s="88">
        <v>1121.6483457180875</v>
      </c>
      <c r="S5" s="61">
        <v>0.87928533163944544</v>
      </c>
      <c r="T5" s="19">
        <v>3.4811777653712634</v>
      </c>
      <c r="U5" s="19">
        <v>0</v>
      </c>
      <c r="V5" s="19">
        <v>4.5126076803552522</v>
      </c>
      <c r="W5" s="19">
        <v>1.3022569911530587E-2</v>
      </c>
      <c r="X5" s="19">
        <v>6.1260446316026966</v>
      </c>
      <c r="Y5" s="19">
        <v>13.682564714450283</v>
      </c>
      <c r="Z5" s="19">
        <v>0.33995873982396801</v>
      </c>
      <c r="AA5" s="19">
        <v>1.099936417295432</v>
      </c>
      <c r="AB5" s="19">
        <v>0.24118069845291176</v>
      </c>
      <c r="AC5" s="19">
        <v>30.37577854890278</v>
      </c>
      <c r="AD5" s="19">
        <v>0</v>
      </c>
      <c r="AE5" s="87">
        <v>30.37577854890278</v>
      </c>
      <c r="AF5" s="56">
        <v>1.4822740270263894E-2</v>
      </c>
      <c r="AG5" s="43">
        <v>5.8929453130559757E-2</v>
      </c>
      <c r="AH5" s="43">
        <v>0</v>
      </c>
      <c r="AI5" s="43">
        <v>2.4056840528555647</v>
      </c>
      <c r="AJ5" s="43">
        <v>0.23440625840755058</v>
      </c>
      <c r="AK5" s="43">
        <v>3.8210430262881803E-2</v>
      </c>
      <c r="AL5" s="58">
        <v>0.21187181965379986</v>
      </c>
      <c r="AM5" s="43">
        <v>7.8177211641539485E-2</v>
      </c>
      <c r="AN5" s="42">
        <v>0.20331922241510664</v>
      </c>
      <c r="AO5" s="42">
        <v>3.7371817507880274E-2</v>
      </c>
      <c r="AP5" s="42">
        <v>3.2827930061451469</v>
      </c>
      <c r="AQ5" s="43">
        <v>0</v>
      </c>
      <c r="AR5" s="83">
        <v>3.2827930061451469</v>
      </c>
      <c r="AS5" s="19">
        <f t="shared" si="2"/>
        <v>1.1779379817233093</v>
      </c>
      <c r="AT5" s="19">
        <f t="shared" si="3"/>
        <v>13.990787230521228</v>
      </c>
      <c r="AU5" s="19">
        <f t="shared" si="4"/>
        <v>0</v>
      </c>
      <c r="AV5" s="19">
        <f t="shared" si="5"/>
        <v>3.9737989098669098</v>
      </c>
      <c r="AW5" s="19">
        <f t="shared" si="6"/>
        <v>92.938988893703097</v>
      </c>
      <c r="AX5" s="53">
        <f t="shared" ref="AX5:AX68" si="82">K5*86400*365/(D5*1000000)*1000</f>
        <v>0.90962408943538964</v>
      </c>
      <c r="AY5" s="53">
        <f t="shared" ref="AY5:AY68" si="83">L5*86400*365/(D5*1000000)*1000</f>
        <v>1.0364436730801674</v>
      </c>
      <c r="AZ5" s="53">
        <f t="shared" ref="AZ5:AZ68" si="84">M5*86400*365/(D5*1000000)*1000</f>
        <v>1.6828435162064423</v>
      </c>
      <c r="BA5" s="19">
        <f t="shared" ref="BA5:BA68" si="85">SUM(AS5:AZ5)</f>
        <v>115.71042429453655</v>
      </c>
      <c r="BB5" s="19">
        <f t="shared" si="7"/>
        <v>0</v>
      </c>
      <c r="BC5" s="53">
        <f t="shared" si="8"/>
        <v>115.71042429453655</v>
      </c>
      <c r="BD5" s="56">
        <f t="shared" si="9"/>
        <v>50.043712171252785</v>
      </c>
      <c r="BE5" s="43">
        <f t="shared" si="10"/>
        <v>43.392597161231976</v>
      </c>
      <c r="BF5" s="58">
        <f t="shared" si="11"/>
        <v>93.436309332484768</v>
      </c>
      <c r="BG5" s="61">
        <f t="shared" si="12"/>
        <v>73.246821565971331</v>
      </c>
      <c r="BH5" s="19">
        <f t="shared" si="13"/>
        <v>289.99142535921828</v>
      </c>
      <c r="BI5" s="19">
        <f t="shared" si="14"/>
        <v>0</v>
      </c>
      <c r="BJ5" s="19">
        <f t="shared" si="15"/>
        <v>375.91229793851471</v>
      </c>
      <c r="BK5" s="19">
        <f t="shared" si="16"/>
        <v>1.0848149290307993</v>
      </c>
      <c r="BL5" s="19">
        <f t="shared" si="17"/>
        <v>510.31591440237514</v>
      </c>
      <c r="BM5" s="19">
        <f t="shared" si="18"/>
        <v>1139.7942626150316</v>
      </c>
      <c r="BN5" s="53">
        <f t="shared" si="19"/>
        <v>28.319472939745765</v>
      </c>
      <c r="BO5" s="53">
        <f t="shared" ref="BO5:BO68" si="86">AA5/(D5*100)*1000000</f>
        <v>91.627647582080954</v>
      </c>
      <c r="BP5" s="53">
        <f t="shared" ref="BP5:BP68" si="87">AB5/(D5*100)*1000000</f>
        <v>20.090997710377664</v>
      </c>
      <c r="BQ5" s="19">
        <f t="shared" ref="BQ5:BQ68" si="88">SUM(BG5:BP5)</f>
        <v>2530.3836550423462</v>
      </c>
      <c r="BR5" s="19">
        <f t="shared" si="20"/>
        <v>0</v>
      </c>
      <c r="BS5" s="53">
        <f t="shared" si="21"/>
        <v>2530.3836550423462</v>
      </c>
      <c r="BT5" s="56">
        <f t="shared" si="22"/>
        <v>1.2347739381372513</v>
      </c>
      <c r="BU5" s="43">
        <f t="shared" si="23"/>
        <v>4.9089811726830179</v>
      </c>
      <c r="BV5" s="43">
        <f t="shared" si="24"/>
        <v>0</v>
      </c>
      <c r="BW5" s="43">
        <f t="shared" si="25"/>
        <v>200.39992050711177</v>
      </c>
      <c r="BX5" s="43">
        <f t="shared" si="26"/>
        <v>19.52666872255439</v>
      </c>
      <c r="BY5" s="58">
        <f t="shared" si="27"/>
        <v>3.1830311125580684</v>
      </c>
      <c r="BZ5" s="58">
        <f t="shared" si="28"/>
        <v>17.649489660090385</v>
      </c>
      <c r="CA5" s="58">
        <f t="shared" si="29"/>
        <v>6.5123709740003761</v>
      </c>
      <c r="CB5" s="58">
        <f t="shared" ref="CB5:CB68" si="89">AN5/(D5*100)*1000000</f>
        <v>16.937035418757649</v>
      </c>
      <c r="CC5" s="58">
        <f t="shared" ref="CC5:CC68" si="90">AO5/(D5*100)*1000000</f>
        <v>3.1131724254877238</v>
      </c>
      <c r="CD5" s="58">
        <f t="shared" ref="CD5:CD68" si="91">SUM(BT5:CC5)</f>
        <v>273.46544393138066</v>
      </c>
      <c r="CE5" s="58">
        <f t="shared" si="30"/>
        <v>0</v>
      </c>
      <c r="CF5" s="58">
        <f t="shared" ref="CF5:CF57" si="92">CD5+CE5</f>
        <v>273.46544393138066</v>
      </c>
      <c r="CG5" s="127">
        <v>6</v>
      </c>
      <c r="CH5" s="128" t="s">
        <v>169</v>
      </c>
      <c r="CI5" s="128"/>
      <c r="CJ5" s="126">
        <f t="shared" ref="CJ5:CJ68" si="93">CJ4+1</f>
        <v>2</v>
      </c>
      <c r="CK5" s="126">
        <f t="shared" ref="CK5:CK16" si="94">IF(CG5&gt;0,CG5-3,0)</f>
        <v>3</v>
      </c>
      <c r="CN5" s="147">
        <f t="shared" si="31"/>
        <v>1.4822740270263894E-2</v>
      </c>
      <c r="CO5" s="147">
        <f t="shared" si="32"/>
        <v>5.8929453130559757E-2</v>
      </c>
      <c r="CP5" s="147">
        <f t="shared" si="33"/>
        <v>0</v>
      </c>
      <c r="CQ5" s="31">
        <f>(AI5-(P5*450/1000000))*Parameters!$C$153</f>
        <v>1.7082788445519808</v>
      </c>
      <c r="CR5" s="31">
        <f t="shared" si="34"/>
        <v>3.8210430262881803E-2</v>
      </c>
      <c r="CS5" s="31">
        <f t="shared" si="35"/>
        <v>0.21187181965379986</v>
      </c>
      <c r="CT5" s="31">
        <f>AM5*Parameters!$C$154</f>
        <v>7.0359490477385545E-2</v>
      </c>
      <c r="CU5" s="31">
        <f>AQ5*Parameters!$C$155</f>
        <v>0</v>
      </c>
      <c r="CV5" s="31">
        <f t="shared" si="36"/>
        <v>2.102472778346872</v>
      </c>
      <c r="CW5" s="188">
        <f t="shared" si="37"/>
        <v>64.045243620636384</v>
      </c>
      <c r="CY5" s="181">
        <v>0</v>
      </c>
      <c r="CZ5" s="181">
        <v>4.490838433253316</v>
      </c>
      <c r="DA5" s="181">
        <v>5.8546931484867732</v>
      </c>
      <c r="DB5" s="181">
        <v>10.163938402398598</v>
      </c>
      <c r="DC5" s="181">
        <v>5.958350151691711</v>
      </c>
      <c r="DD5" s="181">
        <v>55.90088005117309</v>
      </c>
      <c r="DE5" s="181">
        <v>2.3291654361144714</v>
      </c>
      <c r="DF5" s="181">
        <v>3.907074005093409</v>
      </c>
      <c r="DG5" s="181">
        <v>12.695661138234156</v>
      </c>
      <c r="DH5" s="181">
        <v>6.2362394412078803</v>
      </c>
      <c r="DI5" s="181">
        <v>77.877861753750167</v>
      </c>
      <c r="DJ5" s="181">
        <v>4.490838433253316</v>
      </c>
      <c r="DK5" s="181">
        <v>101.30060076644551</v>
      </c>
      <c r="DL5" s="181"/>
      <c r="DM5" s="181">
        <v>0</v>
      </c>
      <c r="DN5" s="181">
        <v>0.75198039242189463</v>
      </c>
      <c r="DO5" s="181">
        <v>4.4744626488400066E-2</v>
      </c>
      <c r="DP5" s="181">
        <v>0.94194943107398754</v>
      </c>
      <c r="DQ5" s="181">
        <v>0.83687903304794631</v>
      </c>
      <c r="DR5" s="181">
        <v>1.0987262778167502E-2</v>
      </c>
      <c r="DS5" s="181">
        <v>0.54058898523378673</v>
      </c>
      <c r="DT5" s="181">
        <v>1.823573090610334</v>
      </c>
      <c r="DU5" s="181">
        <v>0.75198039242189463</v>
      </c>
      <c r="DV5" s="181">
        <v>3.1271297310441826</v>
      </c>
      <c r="DW5" s="181">
        <v>3.127129731044183</v>
      </c>
      <c r="DX5" s="181"/>
      <c r="DY5" s="181">
        <v>0</v>
      </c>
      <c r="DZ5" s="181">
        <v>0.52638627469532617</v>
      </c>
      <c r="EA5" s="181">
        <v>4.4744626488400066E-2</v>
      </c>
      <c r="EB5" s="181">
        <v>0.94194943107398754</v>
      </c>
      <c r="EC5" s="181">
        <v>0.45522219799267383</v>
      </c>
      <c r="ED5" s="181">
        <v>1.0987262778167502E-2</v>
      </c>
      <c r="EE5" s="181">
        <v>0.2016122640622873</v>
      </c>
      <c r="EF5" s="181">
        <v>1.4419162555550615</v>
      </c>
      <c r="EG5" s="181">
        <v>0.52638627469532617</v>
      </c>
      <c r="EH5" s="181">
        <v>2.1809020570908424</v>
      </c>
      <c r="EJ5" s="31">
        <f t="shared" si="38"/>
        <v>1.2347739381372513E-3</v>
      </c>
      <c r="EK5" s="31">
        <f t="shared" si="39"/>
        <v>4.908981172683017E-3</v>
      </c>
      <c r="EL5" s="31">
        <f t="shared" si="40"/>
        <v>0</v>
      </c>
      <c r="EM5" s="31">
        <f t="shared" si="41"/>
        <v>0.14230420002403843</v>
      </c>
      <c r="EN5" s="31">
        <f t="shared" si="42"/>
        <v>3.1830311125580686E-3</v>
      </c>
      <c r="EO5" s="31">
        <f t="shared" si="43"/>
        <v>1.7649489660090383E-2</v>
      </c>
      <c r="EP5" s="31">
        <f t="shared" si="44"/>
        <v>5.8611338766003393E-3</v>
      </c>
      <c r="EQ5" s="31">
        <f t="shared" si="45"/>
        <v>0</v>
      </c>
      <c r="ER5" s="31">
        <f t="shared" si="46"/>
        <v>0.17514160978410753</v>
      </c>
      <c r="ES5" s="31">
        <f t="shared" si="47"/>
        <v>5.3351402131128989</v>
      </c>
      <c r="ET5" s="31"/>
      <c r="EU5" s="31">
        <f t="shared" si="48"/>
        <v>0</v>
      </c>
      <c r="EV5" s="31">
        <f t="shared" si="49"/>
        <v>0.37409886138871123</v>
      </c>
      <c r="EW5" s="31">
        <f t="shared" si="50"/>
        <v>0.48771160957632376</v>
      </c>
      <c r="EX5" s="31">
        <f t="shared" si="51"/>
        <v>0.84668327308488445</v>
      </c>
      <c r="EY5" s="31">
        <f t="shared" si="52"/>
        <v>0.49634651538517988</v>
      </c>
      <c r="EZ5" s="31">
        <f t="shared" si="53"/>
        <v>4.6566929290798562</v>
      </c>
      <c r="FA5" s="31">
        <f t="shared" si="54"/>
        <v>0.19402571492761048</v>
      </c>
      <c r="FB5" s="31">
        <f t="shared" si="55"/>
        <v>0.32546972205544705</v>
      </c>
      <c r="FC5" s="31">
        <f t="shared" si="56"/>
        <v>1.0575825532315257</v>
      </c>
      <c r="FD5" s="31">
        <f t="shared" si="57"/>
        <v>0.51949543698305756</v>
      </c>
      <c r="FE5" s="31">
        <f t="shared" si="58"/>
        <v>6.4874343271262429</v>
      </c>
      <c r="FF5" s="31">
        <f t="shared" si="59"/>
        <v>0.37409886138871123</v>
      </c>
      <c r="FG5" s="31">
        <f t="shared" si="60"/>
        <v>8.4386111787295377</v>
      </c>
      <c r="FH5" s="31"/>
      <c r="FI5" s="31">
        <f t="shared" si="61"/>
        <v>0</v>
      </c>
      <c r="FJ5" s="31">
        <f t="shared" si="62"/>
        <v>6.2641979392670522E-2</v>
      </c>
      <c r="FK5" s="31">
        <f t="shared" si="63"/>
        <v>3.7273471471667694E-3</v>
      </c>
      <c r="FL5" s="31">
        <f t="shared" si="64"/>
        <v>7.8466908771697985E-2</v>
      </c>
      <c r="FM5" s="31">
        <f t="shared" si="65"/>
        <v>6.9714263391239359E-2</v>
      </c>
      <c r="FN5" s="31">
        <f t="shared" si="66"/>
        <v>9.1526839724522728E-4</v>
      </c>
      <c r="FO5" s="31">
        <f t="shared" si="67"/>
        <v>4.5032509376814397E-2</v>
      </c>
      <c r="FP5" s="31">
        <f t="shared" si="68"/>
        <v>0.1519085193101041</v>
      </c>
      <c r="FQ5" s="31">
        <f t="shared" si="69"/>
        <v>6.2641979392670522E-2</v>
      </c>
      <c r="FR5" s="31">
        <f t="shared" si="70"/>
        <v>0.26049827647683427</v>
      </c>
      <c r="FS5" s="31">
        <f t="shared" si="71"/>
        <v>0.26049827647683427</v>
      </c>
      <c r="FT5" s="31"/>
      <c r="FU5" s="31">
        <f t="shared" si="72"/>
        <v>0</v>
      </c>
      <c r="FV5" s="31">
        <f t="shared" si="73"/>
        <v>4.3849385574869365E-2</v>
      </c>
      <c r="FW5" s="31">
        <f t="shared" si="74"/>
        <v>3.7273471471667694E-3</v>
      </c>
      <c r="FX5" s="31">
        <f t="shared" si="75"/>
        <v>7.8466908771697985E-2</v>
      </c>
      <c r="FY5" s="31">
        <f t="shared" si="76"/>
        <v>3.7921227512198875E-2</v>
      </c>
      <c r="FZ5" s="31">
        <f t="shared" si="77"/>
        <v>9.1526839724522728E-4</v>
      </c>
      <c r="GA5" s="31">
        <f t="shared" si="78"/>
        <v>1.6794841219229289E-2</v>
      </c>
      <c r="GB5" s="31">
        <f t="shared" si="79"/>
        <v>0.12011548343106364</v>
      </c>
      <c r="GC5" s="31">
        <f t="shared" si="80"/>
        <v>4.3849385574869365E-2</v>
      </c>
      <c r="GD5" s="31">
        <f t="shared" si="81"/>
        <v>0.1816749786224075</v>
      </c>
    </row>
    <row r="6" spans="1:186">
      <c r="A6" s="39" t="str">
        <f>Basicinfo!A6</f>
        <v>Enknach</v>
      </c>
      <c r="B6" s="63">
        <f>Basicinfo!B6</f>
        <v>610</v>
      </c>
      <c r="C6" s="63">
        <f>Basicinfo!C6</f>
        <v>1050</v>
      </c>
      <c r="D6" s="227">
        <v>139.9114141124</v>
      </c>
      <c r="E6" s="89">
        <v>0.8155121836763759</v>
      </c>
      <c r="F6" s="27">
        <v>4.9987160913039265E-3</v>
      </c>
      <c r="G6" s="19">
        <v>0.12484266338026923</v>
      </c>
      <c r="H6" s="19">
        <v>0</v>
      </c>
      <c r="I6" s="19">
        <v>1.512656520226561E-2</v>
      </c>
      <c r="J6" s="19">
        <v>0.64653029358158254</v>
      </c>
      <c r="K6" s="19">
        <v>6.3168521839477576E-3</v>
      </c>
      <c r="L6" s="19">
        <v>6.6349842128410278E-3</v>
      </c>
      <c r="M6" s="19">
        <v>1.1062109024165913E-2</v>
      </c>
      <c r="N6" s="19">
        <v>0.8155121836763759</v>
      </c>
      <c r="O6" s="19">
        <v>0</v>
      </c>
      <c r="P6" s="56">
        <v>623.32119545722549</v>
      </c>
      <c r="Q6" s="43">
        <v>618.23875522947117</v>
      </c>
      <c r="R6" s="88">
        <v>1241.5599506866965</v>
      </c>
      <c r="S6" s="61">
        <v>1.0874858866760946</v>
      </c>
      <c r="T6" s="19">
        <v>8.999247793313355</v>
      </c>
      <c r="U6" s="19">
        <v>0</v>
      </c>
      <c r="V6" s="19">
        <v>4.6897789151979019</v>
      </c>
      <c r="W6" s="19">
        <v>1.5455968880736779E-2</v>
      </c>
      <c r="X6" s="19">
        <v>6.1260446316026966</v>
      </c>
      <c r="Y6" s="19">
        <v>37.365713123862491</v>
      </c>
      <c r="Z6" s="19">
        <v>0.65479465978133855</v>
      </c>
      <c r="AA6" s="19">
        <v>1.8188015807467997</v>
      </c>
      <c r="AB6" s="19">
        <v>0.46492544807427838</v>
      </c>
      <c r="AC6" s="19">
        <v>61.222248008135693</v>
      </c>
      <c r="AD6" s="19">
        <v>0</v>
      </c>
      <c r="AE6" s="87">
        <v>61.222248008135693</v>
      </c>
      <c r="AF6" s="56">
        <v>1.8257414543945666E-2</v>
      </c>
      <c r="AG6" s="43">
        <v>0.13859247904613164</v>
      </c>
      <c r="AH6" s="43">
        <v>0</v>
      </c>
      <c r="AI6" s="43">
        <v>2.4944363345678848</v>
      </c>
      <c r="AJ6" s="43">
        <v>0.27820743985326202</v>
      </c>
      <c r="AK6" s="43">
        <v>3.8210430262881803E-2</v>
      </c>
      <c r="AL6" s="58">
        <v>0.35710379113775625</v>
      </c>
      <c r="AM6" s="43">
        <v>0.14265994962625964</v>
      </c>
      <c r="AN6" s="42">
        <v>0.33206092799256892</v>
      </c>
      <c r="AO6" s="42">
        <v>7.0184826508649295E-2</v>
      </c>
      <c r="AP6" s="42">
        <v>3.8697135935393403</v>
      </c>
      <c r="AQ6" s="43">
        <v>0</v>
      </c>
      <c r="AR6" s="83">
        <v>3.8697135935393403</v>
      </c>
      <c r="AS6" s="19">
        <f t="shared" si="2"/>
        <v>1.1267094372208868</v>
      </c>
      <c r="AT6" s="19">
        <f t="shared" si="3"/>
        <v>28.139507111244619</v>
      </c>
      <c r="AU6" s="19">
        <f t="shared" si="4"/>
        <v>0</v>
      </c>
      <c r="AV6" s="19">
        <f t="shared" si="5"/>
        <v>3.409524256794501</v>
      </c>
      <c r="AW6" s="19">
        <f t="shared" si="6"/>
        <v>145.72777687751042</v>
      </c>
      <c r="AX6" s="53">
        <f t="shared" si="82"/>
        <v>1.4238170040432829</v>
      </c>
      <c r="AY6" s="53">
        <f t="shared" si="83"/>
        <v>1.4955238889091476</v>
      </c>
      <c r="AZ6" s="53">
        <f t="shared" si="84"/>
        <v>2.4933967853819166</v>
      </c>
      <c r="BA6" s="19">
        <f t="shared" si="85"/>
        <v>183.81625536110479</v>
      </c>
      <c r="BB6" s="19">
        <f t="shared" si="7"/>
        <v>0</v>
      </c>
      <c r="BC6" s="53">
        <f t="shared" si="8"/>
        <v>183.81625536110479</v>
      </c>
      <c r="BD6" s="56">
        <f t="shared" si="9"/>
        <v>44.551132544230505</v>
      </c>
      <c r="BE6" s="43">
        <f t="shared" si="10"/>
        <v>44.187871243499799</v>
      </c>
      <c r="BF6" s="58">
        <f t="shared" si="11"/>
        <v>88.739003787730297</v>
      </c>
      <c r="BG6" s="61">
        <f t="shared" si="12"/>
        <v>77.726745424961976</v>
      </c>
      <c r="BH6" s="19">
        <f t="shared" si="13"/>
        <v>643.21040927251795</v>
      </c>
      <c r="BI6" s="19">
        <f t="shared" si="14"/>
        <v>0</v>
      </c>
      <c r="BJ6" s="19">
        <f t="shared" si="15"/>
        <v>335.19630581607123</v>
      </c>
      <c r="BK6" s="19">
        <f t="shared" si="16"/>
        <v>1.104696781087495</v>
      </c>
      <c r="BL6" s="19">
        <f t="shared" si="17"/>
        <v>437.85166996319856</v>
      </c>
      <c r="BM6" s="19">
        <f t="shared" si="18"/>
        <v>2670.6693918370497</v>
      </c>
      <c r="BN6" s="53">
        <f t="shared" si="19"/>
        <v>46.800660541912556</v>
      </c>
      <c r="BO6" s="53">
        <f t="shared" si="86"/>
        <v>129.99665483229532</v>
      </c>
      <c r="BP6" s="53">
        <f t="shared" si="87"/>
        <v>33.229987061725595</v>
      </c>
      <c r="BQ6" s="19">
        <f t="shared" si="88"/>
        <v>4375.7865215308202</v>
      </c>
      <c r="BR6" s="19">
        <f t="shared" si="20"/>
        <v>0</v>
      </c>
      <c r="BS6" s="53">
        <f t="shared" si="21"/>
        <v>4375.7865215308202</v>
      </c>
      <c r="BT6" s="56">
        <f t="shared" si="22"/>
        <v>1.3049267395209292</v>
      </c>
      <c r="BU6" s="43">
        <f t="shared" si="23"/>
        <v>9.9057307029140045</v>
      </c>
      <c r="BV6" s="43">
        <f t="shared" si="24"/>
        <v>0</v>
      </c>
      <c r="BW6" s="43">
        <f t="shared" si="25"/>
        <v>178.28683602353851</v>
      </c>
      <c r="BX6" s="43">
        <f t="shared" si="26"/>
        <v>19.884542059574908</v>
      </c>
      <c r="BY6" s="58">
        <f t="shared" si="27"/>
        <v>2.7310445330918363</v>
      </c>
      <c r="BZ6" s="58">
        <f t="shared" si="28"/>
        <v>25.523563849542068</v>
      </c>
      <c r="CA6" s="58">
        <f t="shared" si="29"/>
        <v>10.196448269163483</v>
      </c>
      <c r="CB6" s="58">
        <f t="shared" si="89"/>
        <v>23.733655334639291</v>
      </c>
      <c r="CC6" s="58">
        <f t="shared" si="90"/>
        <v>5.0163760372163226</v>
      </c>
      <c r="CD6" s="58">
        <f t="shared" si="91"/>
        <v>276.58312354920133</v>
      </c>
      <c r="CE6" s="58">
        <f t="shared" si="30"/>
        <v>0</v>
      </c>
      <c r="CF6" s="58">
        <f t="shared" si="92"/>
        <v>276.58312354920133</v>
      </c>
      <c r="CG6" s="127">
        <v>17</v>
      </c>
      <c r="CH6" s="128" t="s">
        <v>169</v>
      </c>
      <c r="CI6" s="128"/>
      <c r="CJ6" s="126">
        <f t="shared" si="93"/>
        <v>3</v>
      </c>
      <c r="CK6" s="126">
        <f t="shared" si="94"/>
        <v>14</v>
      </c>
      <c r="CN6" s="147">
        <f t="shared" si="31"/>
        <v>1.8257414543945666E-2</v>
      </c>
      <c r="CO6" s="147">
        <f t="shared" si="32"/>
        <v>0.13859247904613164</v>
      </c>
      <c r="CP6" s="147">
        <f t="shared" si="33"/>
        <v>0</v>
      </c>
      <c r="CQ6" s="31">
        <f>(AI6-(P6*450/1000000))*Parameters!$C$153</f>
        <v>1.7711534372897066</v>
      </c>
      <c r="CR6" s="31">
        <f t="shared" si="34"/>
        <v>3.8210430262881803E-2</v>
      </c>
      <c r="CS6" s="31">
        <f t="shared" si="35"/>
        <v>0.35710379113775625</v>
      </c>
      <c r="CT6" s="31">
        <f>AM6*Parameters!$C$154</f>
        <v>0.12839395466363368</v>
      </c>
      <c r="CU6" s="31">
        <f>AQ6*Parameters!$C$155</f>
        <v>0</v>
      </c>
      <c r="CV6" s="31">
        <f t="shared" si="36"/>
        <v>2.451711506944056</v>
      </c>
      <c r="CW6" s="188">
        <f t="shared" si="37"/>
        <v>63.356407333020655</v>
      </c>
      <c r="CY6" s="181">
        <v>0</v>
      </c>
      <c r="CZ6" s="181">
        <v>9.6592563255581538</v>
      </c>
      <c r="DA6" s="181">
        <v>10.75354505870704</v>
      </c>
      <c r="DB6" s="181">
        <v>11.183632816709611</v>
      </c>
      <c r="DC6" s="181">
        <v>6.5839744868384162</v>
      </c>
      <c r="DD6" s="181">
        <v>60.84090352933714</v>
      </c>
      <c r="DE6" s="181">
        <v>4.2186640810745413</v>
      </c>
      <c r="DF6" s="181">
        <v>4.284466724193206</v>
      </c>
      <c r="DG6" s="181">
        <v>16.238772445238414</v>
      </c>
      <c r="DH6" s="181">
        <v>8.5031308052677481</v>
      </c>
      <c r="DI6" s="181">
        <v>89.362055891592206</v>
      </c>
      <c r="DJ6" s="181">
        <v>9.6592563255581538</v>
      </c>
      <c r="DK6" s="181">
        <v>123.76321546765652</v>
      </c>
      <c r="DL6" s="181"/>
      <c r="DM6" s="181">
        <v>0</v>
      </c>
      <c r="DN6" s="181">
        <v>1.6320693074410633</v>
      </c>
      <c r="DO6" s="181">
        <v>5.3908656478672642E-2</v>
      </c>
      <c r="DP6" s="181">
        <v>0.99665802378804513</v>
      </c>
      <c r="DQ6" s="181">
        <v>0.83682465049867671</v>
      </c>
      <c r="DR6" s="181">
        <v>1.3310791111930197E-2</v>
      </c>
      <c r="DS6" s="181">
        <v>0.63316265857832021</v>
      </c>
      <c r="DT6" s="181">
        <v>1.8873913307653944</v>
      </c>
      <c r="DU6" s="181">
        <v>1.6320693074410633</v>
      </c>
      <c r="DV6" s="181">
        <v>4.1659340878967077</v>
      </c>
      <c r="DW6" s="181">
        <v>4.1659340878967086</v>
      </c>
      <c r="DX6" s="181"/>
      <c r="DY6" s="181">
        <v>0</v>
      </c>
      <c r="DZ6" s="181">
        <v>1.142448515208744</v>
      </c>
      <c r="EA6" s="181">
        <v>5.3908656478672642E-2</v>
      </c>
      <c r="EB6" s="181">
        <v>0.99665802378804513</v>
      </c>
      <c r="EC6" s="181">
        <v>0.45595699840222981</v>
      </c>
      <c r="ED6" s="181">
        <v>1.3310791111930197E-2</v>
      </c>
      <c r="EE6" s="181">
        <v>0.24898832237110316</v>
      </c>
      <c r="EF6" s="181">
        <v>1.5065236786689478</v>
      </c>
      <c r="EG6" s="181">
        <v>1.142448515208744</v>
      </c>
      <c r="EH6" s="181">
        <v>2.911271307360725</v>
      </c>
      <c r="EJ6" s="31">
        <f t="shared" si="38"/>
        <v>1.3049267395209294E-3</v>
      </c>
      <c r="EK6" s="31">
        <f t="shared" si="39"/>
        <v>9.9057307029140045E-3</v>
      </c>
      <c r="EL6" s="31">
        <f t="shared" si="40"/>
        <v>0</v>
      </c>
      <c r="EM6" s="31">
        <f t="shared" si="41"/>
        <v>0.12659106110290783</v>
      </c>
      <c r="EN6" s="31">
        <f t="shared" si="42"/>
        <v>2.7310445330918365E-3</v>
      </c>
      <c r="EO6" s="31">
        <f t="shared" si="43"/>
        <v>2.5523563849542068E-2</v>
      </c>
      <c r="EP6" s="31">
        <f t="shared" si="44"/>
        <v>9.1768034422471355E-3</v>
      </c>
      <c r="EQ6" s="31">
        <f t="shared" si="45"/>
        <v>0</v>
      </c>
      <c r="ER6" s="31">
        <f t="shared" si="46"/>
        <v>0.17523313037022381</v>
      </c>
      <c r="ES6" s="31">
        <f t="shared" si="47"/>
        <v>4.5283229917269159</v>
      </c>
      <c r="ET6" s="31"/>
      <c r="EU6" s="31">
        <f t="shared" si="48"/>
        <v>0</v>
      </c>
      <c r="EV6" s="31">
        <f t="shared" si="49"/>
        <v>0.6903837250760857</v>
      </c>
      <c r="EW6" s="31">
        <f t="shared" si="50"/>
        <v>0.76859669576836764</v>
      </c>
      <c r="EX6" s="31">
        <f t="shared" si="51"/>
        <v>0.79933670084451203</v>
      </c>
      <c r="EY6" s="31">
        <f t="shared" si="52"/>
        <v>0.47058165544299901</v>
      </c>
      <c r="EZ6" s="31">
        <f t="shared" si="53"/>
        <v>4.3485303836940465</v>
      </c>
      <c r="FA6" s="31">
        <f t="shared" si="54"/>
        <v>0.30152393983277248</v>
      </c>
      <c r="FB6" s="31">
        <f t="shared" si="55"/>
        <v>0.30622710458427738</v>
      </c>
      <c r="FC6" s="31">
        <f t="shared" si="56"/>
        <v>1.1606467240901979</v>
      </c>
      <c r="FD6" s="31">
        <f t="shared" si="57"/>
        <v>0.60775104441704997</v>
      </c>
      <c r="FE6" s="31">
        <f t="shared" si="58"/>
        <v>6.3870454357499247</v>
      </c>
      <c r="FF6" s="31">
        <f t="shared" si="59"/>
        <v>0.6903837250760857</v>
      </c>
      <c r="FG6" s="31">
        <f t="shared" si="60"/>
        <v>8.8458269293332599</v>
      </c>
      <c r="FH6" s="31"/>
      <c r="FI6" s="31">
        <f t="shared" si="61"/>
        <v>0</v>
      </c>
      <c r="FJ6" s="31">
        <f t="shared" si="62"/>
        <v>0.11665019025037621</v>
      </c>
      <c r="FK6" s="31">
        <f t="shared" si="63"/>
        <v>3.8530563657489941E-3</v>
      </c>
      <c r="FL6" s="31">
        <f t="shared" si="64"/>
        <v>7.1234933197613481E-2</v>
      </c>
      <c r="FM6" s="31">
        <f t="shared" si="65"/>
        <v>5.981103513301643E-2</v>
      </c>
      <c r="FN6" s="31">
        <f t="shared" si="66"/>
        <v>9.5137278086809742E-4</v>
      </c>
      <c r="FO6" s="31">
        <f t="shared" si="67"/>
        <v>4.5254539280809442E-2</v>
      </c>
      <c r="FP6" s="31">
        <f t="shared" si="68"/>
        <v>0.13489902469637891</v>
      </c>
      <c r="FQ6" s="31">
        <f t="shared" si="69"/>
        <v>0.11665019025037621</v>
      </c>
      <c r="FR6" s="31">
        <f t="shared" si="70"/>
        <v>0.29775512700843265</v>
      </c>
      <c r="FS6" s="31">
        <f t="shared" si="71"/>
        <v>0.29775512700843271</v>
      </c>
      <c r="FT6" s="31"/>
      <c r="FU6" s="31">
        <f t="shared" si="72"/>
        <v>0</v>
      </c>
      <c r="FV6" s="31">
        <f t="shared" si="73"/>
        <v>8.165513317526335E-2</v>
      </c>
      <c r="FW6" s="31">
        <f t="shared" si="74"/>
        <v>3.8530563657489941E-3</v>
      </c>
      <c r="FX6" s="31">
        <f t="shared" si="75"/>
        <v>7.1234933197613481E-2</v>
      </c>
      <c r="FY6" s="31">
        <f t="shared" si="76"/>
        <v>3.2588977911118082E-2</v>
      </c>
      <c r="FZ6" s="31">
        <f t="shared" si="77"/>
        <v>9.5137278086809742E-4</v>
      </c>
      <c r="GA6" s="31">
        <f t="shared" si="78"/>
        <v>1.7796140790277092E-2</v>
      </c>
      <c r="GB6" s="31">
        <f t="shared" si="79"/>
        <v>0.10767696747448058</v>
      </c>
      <c r="GC6" s="31">
        <f t="shared" si="80"/>
        <v>8.165513317526335E-2</v>
      </c>
      <c r="GD6" s="31">
        <f t="shared" si="81"/>
        <v>0.20807961422088908</v>
      </c>
    </row>
    <row r="7" spans="1:186">
      <c r="A7" s="39" t="str">
        <f>Basicinfo!A7</f>
        <v>Schwemmbach</v>
      </c>
      <c r="B7" s="63">
        <f>Basicinfo!B7</f>
        <v>620</v>
      </c>
      <c r="C7" s="63">
        <f>Basicinfo!C7</f>
        <v>630</v>
      </c>
      <c r="D7" s="227">
        <v>221.723280864</v>
      </c>
      <c r="E7" s="89">
        <v>1.38201598465747</v>
      </c>
      <c r="F7" s="27">
        <v>1.5485519328247094E-2</v>
      </c>
      <c r="G7" s="19">
        <v>0.19124635523073724</v>
      </c>
      <c r="H7" s="19">
        <v>0</v>
      </c>
      <c r="I7" s="19">
        <v>1.1692552315393031E-2</v>
      </c>
      <c r="J7" s="19">
        <v>1.1188248395697273</v>
      </c>
      <c r="K7" s="19">
        <v>1.1688453610969504E-2</v>
      </c>
      <c r="L7" s="19">
        <v>1.4480294431166243E-2</v>
      </c>
      <c r="M7" s="19">
        <v>1.8597970171229466E-2</v>
      </c>
      <c r="N7" s="19">
        <v>1.38201598465747</v>
      </c>
      <c r="O7" s="19">
        <v>0</v>
      </c>
      <c r="P7" s="56">
        <v>90.108723314756617</v>
      </c>
      <c r="Q7" s="43">
        <v>1580.636958037519</v>
      </c>
      <c r="R7" s="88">
        <v>1670.7456813522756</v>
      </c>
      <c r="S7" s="61">
        <v>1.3748504422140198</v>
      </c>
      <c r="T7" s="19">
        <v>8.3715915918149282</v>
      </c>
      <c r="U7" s="19">
        <v>0</v>
      </c>
      <c r="V7" s="19">
        <v>1.1291013437188941</v>
      </c>
      <c r="W7" s="19">
        <v>3.9515923950937976E-2</v>
      </c>
      <c r="X7" s="19">
        <v>3.1731169786775619</v>
      </c>
      <c r="Y7" s="19">
        <v>63.166758325148237</v>
      </c>
      <c r="Z7" s="19">
        <v>0.79705599116446091</v>
      </c>
      <c r="AA7" s="19">
        <v>5.1362185173620301</v>
      </c>
      <c r="AB7" s="19">
        <v>0.68687836364199994</v>
      </c>
      <c r="AC7" s="19">
        <v>83.875087477693057</v>
      </c>
      <c r="AD7" s="19">
        <v>0</v>
      </c>
      <c r="AE7" s="87">
        <v>83.875087477693057</v>
      </c>
      <c r="AF7" s="56">
        <v>2.5695265566474883E-2</v>
      </c>
      <c r="AG7" s="43">
        <v>0.20962475380547796</v>
      </c>
      <c r="AH7" s="43">
        <v>0</v>
      </c>
      <c r="AI7" s="43">
        <v>0.35642343103575447</v>
      </c>
      <c r="AJ7" s="43">
        <v>0.71128663111688362</v>
      </c>
      <c r="AK7" s="43">
        <v>3.7235293906143205E-2</v>
      </c>
      <c r="AL7" s="58">
        <v>0.5196035729958195</v>
      </c>
      <c r="AM7" s="43">
        <v>0.18314307791585102</v>
      </c>
      <c r="AN7" s="42">
        <v>0.89510737159557341</v>
      </c>
      <c r="AO7" s="42">
        <v>0.10396050170345697</v>
      </c>
      <c r="AP7" s="42">
        <v>3.0420798996414344</v>
      </c>
      <c r="AQ7" s="43">
        <v>0</v>
      </c>
      <c r="AR7" s="83">
        <v>3.0420798996414344</v>
      </c>
      <c r="AS7" s="19">
        <f t="shared" si="2"/>
        <v>2.2025262102951828</v>
      </c>
      <c r="AT7" s="19">
        <f t="shared" si="3"/>
        <v>27.201225938271666</v>
      </c>
      <c r="AU7" s="19">
        <f t="shared" si="4"/>
        <v>0</v>
      </c>
      <c r="AV7" s="19">
        <f t="shared" si="5"/>
        <v>1.6630474183015951</v>
      </c>
      <c r="AW7" s="19">
        <f t="shared" si="6"/>
        <v>159.13195945496074</v>
      </c>
      <c r="AX7" s="53">
        <f t="shared" si="82"/>
        <v>1.6624644540670921</v>
      </c>
      <c r="AY7" s="53">
        <f t="shared" si="83"/>
        <v>2.0595517232191676</v>
      </c>
      <c r="AZ7" s="53">
        <f t="shared" si="84"/>
        <v>2.6452142735504696</v>
      </c>
      <c r="BA7" s="19">
        <f t="shared" si="85"/>
        <v>196.5659894726659</v>
      </c>
      <c r="BB7" s="19">
        <f t="shared" si="7"/>
        <v>0</v>
      </c>
      <c r="BC7" s="53">
        <f t="shared" si="8"/>
        <v>196.5659894726659</v>
      </c>
      <c r="BD7" s="56">
        <f t="shared" si="9"/>
        <v>4.064017227402803</v>
      </c>
      <c r="BE7" s="43">
        <f t="shared" si="10"/>
        <v>71.288723127231989</v>
      </c>
      <c r="BF7" s="58">
        <f t="shared" si="11"/>
        <v>75.35274035463479</v>
      </c>
      <c r="BG7" s="61">
        <f t="shared" si="12"/>
        <v>62.007491358443389</v>
      </c>
      <c r="BH7" s="19">
        <f t="shared" si="13"/>
        <v>377.56935398001218</v>
      </c>
      <c r="BI7" s="19">
        <f t="shared" si="14"/>
        <v>0</v>
      </c>
      <c r="BJ7" s="19">
        <f t="shared" si="15"/>
        <v>50.923896639047982</v>
      </c>
      <c r="BK7" s="19">
        <f t="shared" si="16"/>
        <v>1.7822180781807997</v>
      </c>
      <c r="BL7" s="19">
        <f t="shared" si="17"/>
        <v>143.11158333544051</v>
      </c>
      <c r="BM7" s="19">
        <f t="shared" si="18"/>
        <v>2848.9005790913438</v>
      </c>
      <c r="BN7" s="53">
        <f t="shared" si="19"/>
        <v>35.948231870759521</v>
      </c>
      <c r="BO7" s="53">
        <f t="shared" si="86"/>
        <v>231.64994209662942</v>
      </c>
      <c r="BP7" s="53">
        <f t="shared" si="87"/>
        <v>30.979081716877328</v>
      </c>
      <c r="BQ7" s="19">
        <f t="shared" si="88"/>
        <v>3782.872378166735</v>
      </c>
      <c r="BR7" s="19">
        <f t="shared" si="20"/>
        <v>0</v>
      </c>
      <c r="BS7" s="53">
        <f t="shared" si="21"/>
        <v>3782.872378166735</v>
      </c>
      <c r="BT7" s="56">
        <f t="shared" si="22"/>
        <v>1.1588889297662779</v>
      </c>
      <c r="BU7" s="43">
        <f t="shared" si="23"/>
        <v>9.4543411494103307</v>
      </c>
      <c r="BV7" s="43">
        <f t="shared" si="24"/>
        <v>0</v>
      </c>
      <c r="BW7" s="43">
        <f t="shared" si="25"/>
        <v>16.075146896927638</v>
      </c>
      <c r="BX7" s="43">
        <f t="shared" si="26"/>
        <v>32.079925407254393</v>
      </c>
      <c r="BY7" s="58">
        <f t="shared" si="27"/>
        <v>1.6793587827605023</v>
      </c>
      <c r="BZ7" s="58">
        <f t="shared" si="28"/>
        <v>23.434777393291977</v>
      </c>
      <c r="CA7" s="58">
        <f t="shared" si="29"/>
        <v>8.2599841208459654</v>
      </c>
      <c r="CB7" s="58">
        <f t="shared" si="89"/>
        <v>40.370472965561603</v>
      </c>
      <c r="CC7" s="58">
        <f t="shared" si="90"/>
        <v>4.6887499273125028</v>
      </c>
      <c r="CD7" s="58">
        <f t="shared" si="91"/>
        <v>137.20164557313117</v>
      </c>
      <c r="CE7" s="58">
        <f t="shared" si="30"/>
        <v>0</v>
      </c>
      <c r="CF7" s="58">
        <f t="shared" si="92"/>
        <v>137.20164557313117</v>
      </c>
      <c r="CG7" s="127">
        <v>8</v>
      </c>
      <c r="CH7" s="128" t="s">
        <v>169</v>
      </c>
      <c r="CI7" s="128"/>
      <c r="CJ7" s="126">
        <f t="shared" si="93"/>
        <v>4</v>
      </c>
      <c r="CK7" s="126">
        <f t="shared" si="94"/>
        <v>5</v>
      </c>
      <c r="CN7" s="147">
        <f t="shared" si="31"/>
        <v>2.5695265566474883E-2</v>
      </c>
      <c r="CO7" s="147">
        <f t="shared" si="32"/>
        <v>0.20962475380547796</v>
      </c>
      <c r="CP7" s="147">
        <f t="shared" si="33"/>
        <v>0</v>
      </c>
      <c r="CQ7" s="31">
        <f>(AI7-(P7*450/1000000))*Parameters!$C$153</f>
        <v>0.25269960443529121</v>
      </c>
      <c r="CR7" s="31">
        <f t="shared" si="34"/>
        <v>3.7235293906143205E-2</v>
      </c>
      <c r="CS7" s="31">
        <f t="shared" si="35"/>
        <v>0.5196035729958195</v>
      </c>
      <c r="CT7" s="31">
        <f>AM7*Parameters!$C$154</f>
        <v>0.16482877012426592</v>
      </c>
      <c r="CU7" s="31">
        <f>AQ7*Parameters!$C$155</f>
        <v>0</v>
      </c>
      <c r="CV7" s="31">
        <f t="shared" si="36"/>
        <v>1.2096872608334726</v>
      </c>
      <c r="CW7" s="188">
        <f t="shared" si="37"/>
        <v>39.765137693328064</v>
      </c>
      <c r="CY7" s="181">
        <v>0</v>
      </c>
      <c r="CZ7" s="181">
        <v>11.507560150558362</v>
      </c>
      <c r="DA7" s="181">
        <v>35.281530309229289</v>
      </c>
      <c r="DB7" s="181">
        <v>11.406845720760179</v>
      </c>
      <c r="DC7" s="181">
        <v>0.67627568436250896</v>
      </c>
      <c r="DD7" s="181">
        <v>71.07706027350099</v>
      </c>
      <c r="DE7" s="181">
        <v>19.114198293058841</v>
      </c>
      <c r="DF7" s="181">
        <v>5.9709884606103856</v>
      </c>
      <c r="DG7" s="181">
        <v>37.275822137149781</v>
      </c>
      <c r="DH7" s="181">
        <v>25.085186753669227</v>
      </c>
      <c r="DI7" s="181">
        <v>118.44171198785297</v>
      </c>
      <c r="DJ7" s="181">
        <v>11.507560150558362</v>
      </c>
      <c r="DK7" s="181">
        <v>192.31028102923034</v>
      </c>
      <c r="DL7" s="181"/>
      <c r="DM7" s="181">
        <v>0</v>
      </c>
      <c r="DN7" s="181">
        <v>1.9957484257939782</v>
      </c>
      <c r="DO7" s="181">
        <v>8.5385082561801294E-3</v>
      </c>
      <c r="DP7" s="181">
        <v>0.55705059943000135</v>
      </c>
      <c r="DQ7" s="181">
        <v>6.9783637172708746E-2</v>
      </c>
      <c r="DR7" s="181">
        <v>1.5314827002903843E-2</v>
      </c>
      <c r="DS7" s="181">
        <v>1.2788516455369763</v>
      </c>
      <c r="DT7" s="181">
        <v>0.63537274485889017</v>
      </c>
      <c r="DU7" s="181">
        <v>1.9957484257939782</v>
      </c>
      <c r="DV7" s="181">
        <v>3.9252876431927488</v>
      </c>
      <c r="DW7" s="181">
        <v>3.9252876431927484</v>
      </c>
      <c r="DX7" s="181"/>
      <c r="DY7" s="181">
        <v>0</v>
      </c>
      <c r="DZ7" s="181">
        <v>1.3970238980557845</v>
      </c>
      <c r="EA7" s="181">
        <v>8.5385082561801294E-3</v>
      </c>
      <c r="EB7" s="181">
        <v>0.55705059943000135</v>
      </c>
      <c r="EC7" s="181">
        <v>4.9701796686355437E-2</v>
      </c>
      <c r="ED7" s="181">
        <v>1.5314827002903843E-2</v>
      </c>
      <c r="EE7" s="181">
        <v>0.55806014587292385</v>
      </c>
      <c r="EF7" s="181">
        <v>0.61529090437253686</v>
      </c>
      <c r="EG7" s="181">
        <v>1.3970238980557845</v>
      </c>
      <c r="EH7" s="181">
        <v>2.5856897753041492</v>
      </c>
      <c r="EJ7" s="31">
        <f t="shared" si="38"/>
        <v>1.1588889297662779E-3</v>
      </c>
      <c r="EK7" s="31">
        <f t="shared" si="39"/>
        <v>9.4543411494103311E-3</v>
      </c>
      <c r="EL7" s="31">
        <f t="shared" si="40"/>
        <v>0</v>
      </c>
      <c r="EM7" s="31">
        <f t="shared" si="41"/>
        <v>1.1397071315677102E-2</v>
      </c>
      <c r="EN7" s="31">
        <f t="shared" si="42"/>
        <v>1.6793587827605024E-3</v>
      </c>
      <c r="EO7" s="31">
        <f t="shared" si="43"/>
        <v>2.3434777393291979E-2</v>
      </c>
      <c r="EP7" s="31">
        <f t="shared" si="44"/>
        <v>7.4339857087613696E-3</v>
      </c>
      <c r="EQ7" s="31">
        <f t="shared" si="45"/>
        <v>0</v>
      </c>
      <c r="ER7" s="31">
        <f t="shared" si="46"/>
        <v>5.4558423279667548E-2</v>
      </c>
      <c r="ES7" s="31">
        <f t="shared" si="47"/>
        <v>1.7934579327156488</v>
      </c>
      <c r="ET7" s="31"/>
      <c r="EU7" s="31">
        <f t="shared" si="48"/>
        <v>0</v>
      </c>
      <c r="EV7" s="31">
        <f t="shared" si="49"/>
        <v>0.51900549665855056</v>
      </c>
      <c r="EW7" s="31">
        <f t="shared" si="50"/>
        <v>1.5912415769668398</v>
      </c>
      <c r="EX7" s="31">
        <f t="shared" si="51"/>
        <v>0.51446314867390397</v>
      </c>
      <c r="EY7" s="31">
        <f t="shared" si="52"/>
        <v>3.0500887490354293E-2</v>
      </c>
      <c r="EZ7" s="31">
        <f t="shared" si="53"/>
        <v>3.2056651875496125</v>
      </c>
      <c r="FA7" s="31">
        <f t="shared" si="54"/>
        <v>0.86207448395024666</v>
      </c>
      <c r="FB7" s="31">
        <f t="shared" si="55"/>
        <v>0.26929912083850382</v>
      </c>
      <c r="FC7" s="31">
        <f t="shared" si="56"/>
        <v>1.6811866571654204</v>
      </c>
      <c r="FD7" s="31">
        <f t="shared" si="57"/>
        <v>1.1313736047887506</v>
      </c>
      <c r="FE7" s="31">
        <f t="shared" si="58"/>
        <v>5.3418708006807103</v>
      </c>
      <c r="FF7" s="31">
        <f t="shared" si="59"/>
        <v>0.51900549665855056</v>
      </c>
      <c r="FG7" s="31">
        <f t="shared" si="60"/>
        <v>8.6734365592934317</v>
      </c>
      <c r="FH7" s="31"/>
      <c r="FI7" s="31">
        <f t="shared" si="61"/>
        <v>0</v>
      </c>
      <c r="FJ7" s="31">
        <f t="shared" si="62"/>
        <v>9.0010774602335267E-2</v>
      </c>
      <c r="FK7" s="31">
        <f t="shared" si="63"/>
        <v>3.8509750635601754E-4</v>
      </c>
      <c r="FL7" s="31">
        <f t="shared" si="64"/>
        <v>2.5123685580481895E-2</v>
      </c>
      <c r="FM7" s="31">
        <f t="shared" si="65"/>
        <v>3.1473301721307483E-3</v>
      </c>
      <c r="FN7" s="31">
        <f t="shared" si="66"/>
        <v>6.9071804021777984E-4</v>
      </c>
      <c r="FO7" s="31">
        <f t="shared" si="67"/>
        <v>5.7677824383330981E-2</v>
      </c>
      <c r="FP7" s="31">
        <f t="shared" si="68"/>
        <v>2.8656113258968652E-2</v>
      </c>
      <c r="FQ7" s="31">
        <f t="shared" si="69"/>
        <v>9.0010774602335267E-2</v>
      </c>
      <c r="FR7" s="31">
        <f t="shared" si="70"/>
        <v>0.17703543028485272</v>
      </c>
      <c r="FS7" s="31">
        <f t="shared" si="71"/>
        <v>0.17703543028485266</v>
      </c>
      <c r="FT7" s="31"/>
      <c r="FU7" s="31">
        <f t="shared" si="72"/>
        <v>0</v>
      </c>
      <c r="FV7" s="31">
        <f t="shared" si="73"/>
        <v>6.3007542221634683E-2</v>
      </c>
      <c r="FW7" s="31">
        <f t="shared" si="74"/>
        <v>3.8509750635601754E-4</v>
      </c>
      <c r="FX7" s="31">
        <f t="shared" si="75"/>
        <v>2.5123685580481895E-2</v>
      </c>
      <c r="FY7" s="31">
        <f t="shared" si="76"/>
        <v>2.2416138031459754E-3</v>
      </c>
      <c r="FZ7" s="31">
        <f t="shared" si="77"/>
        <v>6.9071804021777984E-4</v>
      </c>
      <c r="GA7" s="31">
        <f t="shared" si="78"/>
        <v>2.5169217400099052E-2</v>
      </c>
      <c r="GB7" s="31">
        <f t="shared" si="79"/>
        <v>2.7750396889983882E-2</v>
      </c>
      <c r="GC7" s="31">
        <f t="shared" si="80"/>
        <v>6.3007542221634683E-2</v>
      </c>
      <c r="GD7" s="31">
        <f t="shared" si="81"/>
        <v>0.1166178745519354</v>
      </c>
    </row>
    <row r="8" spans="1:186">
      <c r="A8" s="39" t="str">
        <f>Basicinfo!A8</f>
        <v>Mattig</v>
      </c>
      <c r="B8" s="63">
        <f>Basicinfo!B8</f>
        <v>630</v>
      </c>
      <c r="C8" s="63">
        <f>Basicinfo!C8</f>
        <v>1050</v>
      </c>
      <c r="D8" s="227">
        <v>450.37628761899998</v>
      </c>
      <c r="E8" s="89">
        <v>5.9989159846574704</v>
      </c>
      <c r="F8" s="27">
        <v>0.1714602358656335</v>
      </c>
      <c r="G8" s="19">
        <v>1.090409569397881</v>
      </c>
      <c r="H8" s="19">
        <v>0</v>
      </c>
      <c r="I8" s="19">
        <v>3.3948737987148932E-2</v>
      </c>
      <c r="J8" s="19">
        <v>4.4769862945999179</v>
      </c>
      <c r="K8" s="19">
        <v>2.8028753983562249E-2</v>
      </c>
      <c r="L8" s="19">
        <v>3.2383043832005576E-2</v>
      </c>
      <c r="M8" s="19">
        <v>4.4274391218193904E-2</v>
      </c>
      <c r="N8" s="19">
        <v>5.8774910268843437</v>
      </c>
      <c r="O8" s="19">
        <v>0.12142495777312701</v>
      </c>
      <c r="P8" s="56">
        <v>461.56828823161811</v>
      </c>
      <c r="Q8" s="43">
        <v>2474.8272547029637</v>
      </c>
      <c r="R8" s="88">
        <v>2936.395542934582</v>
      </c>
      <c r="S8" s="61">
        <v>23.482100243544064</v>
      </c>
      <c r="T8" s="19">
        <v>58.76560645514504</v>
      </c>
      <c r="U8" s="19">
        <v>0</v>
      </c>
      <c r="V8" s="19">
        <v>6.911884330755603</v>
      </c>
      <c r="W8" s="19">
        <v>6.18706813675741E-2</v>
      </c>
      <c r="X8" s="19">
        <v>10.482816798724004</v>
      </c>
      <c r="Y8" s="19">
        <v>371.58381126719416</v>
      </c>
      <c r="Z8" s="19">
        <v>2.1466430943338026</v>
      </c>
      <c r="AA8" s="19">
        <v>10.699625053143791</v>
      </c>
      <c r="AB8" s="19">
        <v>1.8287966151173323</v>
      </c>
      <c r="AC8" s="19">
        <v>485.96315453932539</v>
      </c>
      <c r="AD8" s="19">
        <v>45.218196833333337</v>
      </c>
      <c r="AE8" s="87">
        <v>531.18135137265881</v>
      </c>
      <c r="AF8" s="56">
        <v>0.41554636909530807</v>
      </c>
      <c r="AG8" s="43">
        <v>1.1987920786102477</v>
      </c>
      <c r="AH8" s="43">
        <v>0</v>
      </c>
      <c r="AI8" s="43">
        <v>2.1518825263070798</v>
      </c>
      <c r="AJ8" s="43">
        <v>1.1136722646163337</v>
      </c>
      <c r="AK8" s="43">
        <v>0.11025572935599944</v>
      </c>
      <c r="AL8" s="58">
        <v>3.1117627693664502</v>
      </c>
      <c r="AM8" s="43">
        <v>0.47616635414285935</v>
      </c>
      <c r="AN8" s="42">
        <v>1.8741398458855674</v>
      </c>
      <c r="AO8" s="42">
        <v>0.27405448820398848</v>
      </c>
      <c r="AP8" s="42">
        <v>10.726272425583835</v>
      </c>
      <c r="AQ8" s="43">
        <v>2.7975053333333326</v>
      </c>
      <c r="AR8" s="83">
        <v>13.523777758917168</v>
      </c>
      <c r="AS8" s="19">
        <f t="shared" si="2"/>
        <v>12.005894064371489</v>
      </c>
      <c r="AT8" s="19">
        <f t="shared" si="3"/>
        <v>76.352057436961942</v>
      </c>
      <c r="AU8" s="19">
        <f t="shared" si="4"/>
        <v>0</v>
      </c>
      <c r="AV8" s="19">
        <f t="shared" si="5"/>
        <v>2.3771398064109874</v>
      </c>
      <c r="AW8" s="19">
        <f t="shared" si="6"/>
        <v>313.48506497291623</v>
      </c>
      <c r="AX8" s="53">
        <f t="shared" si="82"/>
        <v>1.9626139517659844</v>
      </c>
      <c r="AY8" s="53">
        <f t="shared" si="83"/>
        <v>2.2675076338611513</v>
      </c>
      <c r="AZ8" s="53">
        <f t="shared" si="84"/>
        <v>3.100157001689491</v>
      </c>
      <c r="BA8" s="19">
        <f t="shared" si="85"/>
        <v>411.55043486797729</v>
      </c>
      <c r="BB8" s="19">
        <f t="shared" si="7"/>
        <v>8.5023514194706671</v>
      </c>
      <c r="BC8" s="53">
        <f t="shared" si="8"/>
        <v>420.05278628744793</v>
      </c>
      <c r="BD8" s="56">
        <f t="shared" si="9"/>
        <v>10.248503327557202</v>
      </c>
      <c r="BE8" s="43">
        <f t="shared" si="10"/>
        <v>54.950212138978479</v>
      </c>
      <c r="BF8" s="58">
        <f t="shared" si="11"/>
        <v>65.198715466535674</v>
      </c>
      <c r="BG8" s="61">
        <f t="shared" si="12"/>
        <v>521.38846757866986</v>
      </c>
      <c r="BH8" s="19">
        <f t="shared" si="13"/>
        <v>1304.811289373617</v>
      </c>
      <c r="BI8" s="19">
        <f t="shared" si="14"/>
        <v>0</v>
      </c>
      <c r="BJ8" s="19">
        <f t="shared" si="15"/>
        <v>153.46909952334738</v>
      </c>
      <c r="BK8" s="19">
        <f t="shared" si="16"/>
        <v>1.3737553034744621</v>
      </c>
      <c r="BL8" s="19">
        <f t="shared" si="17"/>
        <v>232.75685436601051</v>
      </c>
      <c r="BM8" s="19">
        <f t="shared" si="18"/>
        <v>8250.5189878366546</v>
      </c>
      <c r="BN8" s="53">
        <f t="shared" si="19"/>
        <v>47.663324054701903</v>
      </c>
      <c r="BO8" s="53">
        <f t="shared" si="86"/>
        <v>237.57079018767607</v>
      </c>
      <c r="BP8" s="53">
        <f t="shared" si="87"/>
        <v>40.605970282885316</v>
      </c>
      <c r="BQ8" s="19">
        <f t="shared" si="88"/>
        <v>10790.158538507038</v>
      </c>
      <c r="BR8" s="19">
        <f t="shared" si="20"/>
        <v>1004.0092712782003</v>
      </c>
      <c r="BS8" s="53">
        <f t="shared" si="21"/>
        <v>11794.167809785238</v>
      </c>
      <c r="BT8" s="56">
        <f t="shared" si="22"/>
        <v>9.2266484830312248</v>
      </c>
      <c r="BU8" s="43">
        <f t="shared" si="23"/>
        <v>26.617566500845111</v>
      </c>
      <c r="BV8" s="43">
        <f t="shared" si="24"/>
        <v>0</v>
      </c>
      <c r="BW8" s="43">
        <f t="shared" si="25"/>
        <v>47.779658598000715</v>
      </c>
      <c r="BX8" s="43">
        <f t="shared" si="26"/>
        <v>24.727595462540318</v>
      </c>
      <c r="BY8" s="58">
        <f t="shared" si="27"/>
        <v>2.4480802472725047</v>
      </c>
      <c r="BZ8" s="58">
        <f t="shared" si="28"/>
        <v>69.092508973271592</v>
      </c>
      <c r="CA8" s="58">
        <f t="shared" si="29"/>
        <v>10.572633756102114</v>
      </c>
      <c r="CB8" s="58">
        <f t="shared" si="89"/>
        <v>41.612755764597743</v>
      </c>
      <c r="CC8" s="58">
        <f t="shared" si="90"/>
        <v>6.0850114834604128</v>
      </c>
      <c r="CD8" s="58">
        <f t="shared" si="91"/>
        <v>238.16245926912174</v>
      </c>
      <c r="CE8" s="58">
        <f t="shared" si="30"/>
        <v>62.114845080385493</v>
      </c>
      <c r="CF8" s="58">
        <f t="shared" si="92"/>
        <v>300.27730434950723</v>
      </c>
      <c r="CG8" s="127">
        <v>17</v>
      </c>
      <c r="CH8" s="128" t="s">
        <v>169</v>
      </c>
      <c r="CI8" s="128"/>
      <c r="CJ8" s="126">
        <f t="shared" si="93"/>
        <v>5</v>
      </c>
      <c r="CK8" s="126">
        <f t="shared" si="94"/>
        <v>14</v>
      </c>
      <c r="CN8" s="147">
        <f t="shared" si="31"/>
        <v>0.41554636909530807</v>
      </c>
      <c r="CO8" s="147">
        <f t="shared" si="32"/>
        <v>1.1987920786102477</v>
      </c>
      <c r="CP8" s="147">
        <f t="shared" si="33"/>
        <v>0</v>
      </c>
      <c r="CQ8" s="31">
        <f>(AI8-(P8*450/1000000))*Parameters!$C$153</f>
        <v>1.5553414372822814</v>
      </c>
      <c r="CR8" s="31">
        <f t="shared" si="34"/>
        <v>0.11025572935599944</v>
      </c>
      <c r="CS8" s="31">
        <f t="shared" si="35"/>
        <v>3.1117627693664502</v>
      </c>
      <c r="CT8" s="31">
        <f>AM8*Parameters!$C$154</f>
        <v>0.42854971872857345</v>
      </c>
      <c r="CU8" s="31">
        <f>AQ8*Parameters!$C$155</f>
        <v>2.7975053333333326</v>
      </c>
      <c r="CV8" s="31">
        <f t="shared" si="36"/>
        <v>9.6177534357721939</v>
      </c>
      <c r="CW8" s="188">
        <f t="shared" si="37"/>
        <v>71.11735793965218</v>
      </c>
      <c r="CY8" s="181">
        <v>76.022235000000009</v>
      </c>
      <c r="CZ8" s="181">
        <v>31.821312030153052</v>
      </c>
      <c r="DA8" s="181">
        <v>55.67537832229889</v>
      </c>
      <c r="DB8" s="181">
        <v>25.464766020929304</v>
      </c>
      <c r="DC8" s="181">
        <v>7.3885214630647758</v>
      </c>
      <c r="DD8" s="181">
        <v>139.75716668105451</v>
      </c>
      <c r="DE8" s="181">
        <v>27.572118224930172</v>
      </c>
      <c r="DF8" s="181">
        <v>12.365566630373854</v>
      </c>
      <c r="DG8" s="181">
        <v>59.378814249265545</v>
      </c>
      <c r="DH8" s="181">
        <v>39.937684855304028</v>
      </c>
      <c r="DI8" s="181">
        <v>228.28583248734748</v>
      </c>
      <c r="DJ8" s="181">
        <v>107.84354703015306</v>
      </c>
      <c r="DK8" s="181">
        <v>435.4458786220701</v>
      </c>
      <c r="DL8" s="181"/>
      <c r="DM8" s="181">
        <v>9.3133333333333344</v>
      </c>
      <c r="DN8" s="181">
        <v>5.443985843498222</v>
      </c>
      <c r="DO8" s="181">
        <v>8.4207121954404704E-2</v>
      </c>
      <c r="DP8" s="181">
        <v>2.479827171430419</v>
      </c>
      <c r="DQ8" s="181">
        <v>0.9070211522158953</v>
      </c>
      <c r="DR8" s="181">
        <v>0.41748888218539454</v>
      </c>
      <c r="DS8" s="181">
        <v>2.0793106782819044</v>
      </c>
      <c r="DT8" s="181">
        <v>3.4710554456007188</v>
      </c>
      <c r="DU8" s="181">
        <v>14.757319176831556</v>
      </c>
      <c r="DV8" s="181">
        <v>20.725174182899575</v>
      </c>
      <c r="DW8" s="181">
        <v>20.725174182899575</v>
      </c>
      <c r="DX8" s="181"/>
      <c r="DY8" s="181">
        <v>7.4506666666666677</v>
      </c>
      <c r="DZ8" s="181">
        <v>3.8107900904487551</v>
      </c>
      <c r="EA8" s="181">
        <v>8.4207121954404704E-2</v>
      </c>
      <c r="EB8" s="181">
        <v>2.479827171430419</v>
      </c>
      <c r="EC8" s="181">
        <v>0.51992898391299691</v>
      </c>
      <c r="ED8" s="181">
        <v>0.41748888218539454</v>
      </c>
      <c r="EE8" s="181">
        <v>0.90456578798371146</v>
      </c>
      <c r="EF8" s="181">
        <v>3.0839632772978205</v>
      </c>
      <c r="EG8" s="181">
        <v>11.261456757115424</v>
      </c>
      <c r="EH8" s="181">
        <v>15.66747470458235</v>
      </c>
      <c r="EJ8" s="31">
        <f t="shared" si="38"/>
        <v>9.2266484830312249E-3</v>
      </c>
      <c r="EK8" s="31">
        <f t="shared" si="39"/>
        <v>2.6617566500845111E-2</v>
      </c>
      <c r="EL8" s="31">
        <f t="shared" si="40"/>
        <v>0</v>
      </c>
      <c r="EM8" s="31">
        <f t="shared" si="41"/>
        <v>3.4534265680479986E-2</v>
      </c>
      <c r="EN8" s="31">
        <f t="shared" si="42"/>
        <v>2.448080247272505E-3</v>
      </c>
      <c r="EO8" s="31">
        <f t="shared" si="43"/>
        <v>6.9092508973271599E-2</v>
      </c>
      <c r="EP8" s="31">
        <f t="shared" si="44"/>
        <v>9.5153703804919023E-3</v>
      </c>
      <c r="EQ8" s="31">
        <f t="shared" si="45"/>
        <v>6.2114845080385506E-2</v>
      </c>
      <c r="ER8" s="31">
        <f t="shared" si="46"/>
        <v>0.21354928534577783</v>
      </c>
      <c r="ES8" s="31">
        <f t="shared" si="47"/>
        <v>1.5790653259217453</v>
      </c>
      <c r="ET8" s="31"/>
      <c r="EU8" s="31">
        <f t="shared" si="48"/>
        <v>1.6879715271402502</v>
      </c>
      <c r="EV8" s="31">
        <f t="shared" si="49"/>
        <v>0.70654945442137906</v>
      </c>
      <c r="EW8" s="31">
        <f t="shared" si="50"/>
        <v>1.2361969280540364</v>
      </c>
      <c r="EX8" s="31">
        <f t="shared" si="51"/>
        <v>0.56541089575460635</v>
      </c>
      <c r="EY8" s="31">
        <f t="shared" si="52"/>
        <v>0.16405218627573848</v>
      </c>
      <c r="EZ8" s="31">
        <f t="shared" si="53"/>
        <v>3.1031200026073176</v>
      </c>
      <c r="FA8" s="31">
        <f t="shared" si="54"/>
        <v>0.61220181841045462</v>
      </c>
      <c r="FB8" s="31">
        <f t="shared" si="55"/>
        <v>0.27456078328960826</v>
      </c>
      <c r="FC8" s="31">
        <f t="shared" si="56"/>
        <v>1.3184267440717841</v>
      </c>
      <c r="FD8" s="31">
        <f t="shared" si="57"/>
        <v>0.88676260170006282</v>
      </c>
      <c r="FE8" s="31">
        <f t="shared" si="58"/>
        <v>5.0687800126916986</v>
      </c>
      <c r="FF8" s="31">
        <f t="shared" si="59"/>
        <v>2.3945209815616293</v>
      </c>
      <c r="FG8" s="31">
        <f t="shared" si="60"/>
        <v>9.6684903400251745</v>
      </c>
      <c r="FH8" s="31"/>
      <c r="FI8" s="31">
        <f t="shared" si="61"/>
        <v>0.20679004622046257</v>
      </c>
      <c r="FJ8" s="31">
        <f t="shared" si="62"/>
        <v>0.12087638699361572</v>
      </c>
      <c r="FK8" s="31">
        <f t="shared" si="63"/>
        <v>1.8697059385515541E-3</v>
      </c>
      <c r="FL8" s="31">
        <f t="shared" si="64"/>
        <v>5.5061228568237849E-2</v>
      </c>
      <c r="FM8" s="31">
        <f t="shared" si="65"/>
        <v>2.0139185324587926E-2</v>
      </c>
      <c r="FN8" s="31">
        <f t="shared" si="66"/>
        <v>9.2697793747652454E-3</v>
      </c>
      <c r="FO8" s="31">
        <f t="shared" si="67"/>
        <v>4.616829827508407E-2</v>
      </c>
      <c r="FP8" s="31">
        <f t="shared" si="68"/>
        <v>7.7070119831377321E-2</v>
      </c>
      <c r="FQ8" s="31">
        <f t="shared" si="69"/>
        <v>0.32766643321407829</v>
      </c>
      <c r="FR8" s="31">
        <f t="shared" si="70"/>
        <v>0.46017463069530495</v>
      </c>
      <c r="FS8" s="31">
        <f t="shared" si="71"/>
        <v>0.46017463069530495</v>
      </c>
      <c r="FT8" s="31"/>
      <c r="FU8" s="31">
        <f t="shared" si="72"/>
        <v>0.16543203697637004</v>
      </c>
      <c r="FV8" s="31">
        <f t="shared" si="73"/>
        <v>8.4613470895530993E-2</v>
      </c>
      <c r="FW8" s="31">
        <f t="shared" si="74"/>
        <v>1.8697059385515541E-3</v>
      </c>
      <c r="FX8" s="31">
        <f t="shared" si="75"/>
        <v>5.5061228568237849E-2</v>
      </c>
      <c r="FY8" s="31">
        <f t="shared" si="76"/>
        <v>1.1544324117544033E-2</v>
      </c>
      <c r="FZ8" s="31">
        <f t="shared" si="77"/>
        <v>9.2697793747652454E-3</v>
      </c>
      <c r="GA8" s="31">
        <f t="shared" si="78"/>
        <v>2.0084667262698731E-2</v>
      </c>
      <c r="GB8" s="31">
        <f t="shared" si="79"/>
        <v>6.8475258624333429E-2</v>
      </c>
      <c r="GC8" s="31">
        <f t="shared" si="80"/>
        <v>0.25004550787190105</v>
      </c>
      <c r="GD8" s="31">
        <f t="shared" si="81"/>
        <v>0.34787521313369846</v>
      </c>
    </row>
    <row r="9" spans="1:186">
      <c r="A9" s="39" t="str">
        <f>Basicinfo!A9</f>
        <v>Moosbach</v>
      </c>
      <c r="B9" s="63">
        <f>Basicinfo!B9</f>
        <v>640</v>
      </c>
      <c r="C9" s="63">
        <f>Basicinfo!C9</f>
        <v>650</v>
      </c>
      <c r="D9" s="227">
        <v>43.323729148699996</v>
      </c>
      <c r="E9" s="89">
        <v>0.52182466627041502</v>
      </c>
      <c r="F9" s="27">
        <v>3.2022573021895707E-3</v>
      </c>
      <c r="G9" s="19">
        <v>9.2561198876111708E-2</v>
      </c>
      <c r="H9" s="19">
        <v>0</v>
      </c>
      <c r="I9" s="19">
        <v>6.6221054938000465E-3</v>
      </c>
      <c r="J9" s="19">
        <v>0.41018774687346793</v>
      </c>
      <c r="K9" s="19">
        <v>1.5726883043776284E-3</v>
      </c>
      <c r="L9" s="19">
        <v>9.7925579784956425E-4</v>
      </c>
      <c r="M9" s="19">
        <v>2.970240878241799E-3</v>
      </c>
      <c r="N9" s="19">
        <v>0.51809549352603823</v>
      </c>
      <c r="O9" s="19">
        <v>3.729172744376797E-3</v>
      </c>
      <c r="P9" s="56">
        <v>89.557530339025504</v>
      </c>
      <c r="Q9" s="43">
        <v>308.78200192354274</v>
      </c>
      <c r="R9" s="88">
        <v>398.33953226256824</v>
      </c>
      <c r="S9" s="61">
        <v>0.39337497961862122</v>
      </c>
      <c r="T9" s="19">
        <v>4.8642217337515286</v>
      </c>
      <c r="U9" s="19">
        <v>0</v>
      </c>
      <c r="V9" s="19">
        <v>0.81122497924282277</v>
      </c>
      <c r="W9" s="19">
        <v>7.7195500480885682E-3</v>
      </c>
      <c r="X9" s="19">
        <v>2.1193715508402535</v>
      </c>
      <c r="Y9" s="19">
        <v>30.970413750167257</v>
      </c>
      <c r="Z9" s="19">
        <v>0.13109083619628212</v>
      </c>
      <c r="AA9" s="19">
        <v>0.29539988510237219</v>
      </c>
      <c r="AB9" s="19">
        <v>9.5349476500936184E-2</v>
      </c>
      <c r="AC9" s="19">
        <v>39.688166741468159</v>
      </c>
      <c r="AD9" s="19">
        <v>0.22066666666666668</v>
      </c>
      <c r="AE9" s="87">
        <v>39.908833408134825</v>
      </c>
      <c r="AF9" s="56">
        <v>7.0558411039165483E-3</v>
      </c>
      <c r="AG9" s="43">
        <v>0.10225452293628245</v>
      </c>
      <c r="AH9" s="43">
        <v>0</v>
      </c>
      <c r="AI9" s="43">
        <v>0.33205521930896337</v>
      </c>
      <c r="AJ9" s="43">
        <v>0.13895190086559425</v>
      </c>
      <c r="AK9" s="43">
        <v>2.3892639248190274E-2</v>
      </c>
      <c r="AL9" s="58">
        <v>0.15646836079948798</v>
      </c>
      <c r="AM9" s="43">
        <v>3.2024720377278083E-2</v>
      </c>
      <c r="AN9" s="42">
        <v>5.4201087193215487E-2</v>
      </c>
      <c r="AO9" s="42">
        <v>1.5130434762898397E-2</v>
      </c>
      <c r="AP9" s="42">
        <v>0.86203472659582692</v>
      </c>
      <c r="AQ9" s="43">
        <v>8.1068000000000001E-2</v>
      </c>
      <c r="AR9" s="83">
        <v>0.94310272659582695</v>
      </c>
      <c r="AS9" s="19">
        <f t="shared" si="2"/>
        <v>2.330971693023812</v>
      </c>
      <c r="AT9" s="19">
        <f t="shared" si="3"/>
        <v>67.376701523964925</v>
      </c>
      <c r="AU9" s="19">
        <f t="shared" si="4"/>
        <v>0</v>
      </c>
      <c r="AV9" s="19">
        <f t="shared" si="5"/>
        <v>4.820331096976787</v>
      </c>
      <c r="AW9" s="19">
        <f t="shared" si="6"/>
        <v>298.58188663774899</v>
      </c>
      <c r="AX9" s="53">
        <f t="shared" si="82"/>
        <v>1.1447836864786858</v>
      </c>
      <c r="AY9" s="53">
        <f t="shared" si="83"/>
        <v>0.71281515806241535</v>
      </c>
      <c r="AZ9" s="53">
        <f t="shared" si="84"/>
        <v>2.1620834165667406</v>
      </c>
      <c r="BA9" s="19">
        <f t="shared" si="85"/>
        <v>377.12957321282238</v>
      </c>
      <c r="BB9" s="19">
        <f t="shared" si="7"/>
        <v>2.7145214407332605</v>
      </c>
      <c r="BC9" s="53">
        <f t="shared" si="8"/>
        <v>379.84409465355566</v>
      </c>
      <c r="BD9" s="56">
        <f t="shared" si="9"/>
        <v>20.671703959656217</v>
      </c>
      <c r="BE9" s="43">
        <f t="shared" si="10"/>
        <v>71.273181693041835</v>
      </c>
      <c r="BF9" s="58">
        <f t="shared" si="11"/>
        <v>91.944885652698048</v>
      </c>
      <c r="BG9" s="61">
        <f t="shared" si="12"/>
        <v>90.79896568193395</v>
      </c>
      <c r="BH9" s="19">
        <f t="shared" si="13"/>
        <v>1122.7615510788705</v>
      </c>
      <c r="BI9" s="19">
        <f t="shared" si="14"/>
        <v>0</v>
      </c>
      <c r="BJ9" s="19">
        <f t="shared" si="15"/>
        <v>187.24726499384576</v>
      </c>
      <c r="BK9" s="19">
        <f t="shared" si="16"/>
        <v>1.781829542326046</v>
      </c>
      <c r="BL9" s="19">
        <f t="shared" si="17"/>
        <v>489.194165065047</v>
      </c>
      <c r="BM9" s="19">
        <f t="shared" si="18"/>
        <v>7148.6029385576512</v>
      </c>
      <c r="BN9" s="53">
        <f t="shared" si="19"/>
        <v>30.258437759671878</v>
      </c>
      <c r="BO9" s="53">
        <f t="shared" si="86"/>
        <v>68.184316287379474</v>
      </c>
      <c r="BP9" s="53">
        <f t="shared" si="87"/>
        <v>22.008603223805657</v>
      </c>
      <c r="BQ9" s="19">
        <f t="shared" si="88"/>
        <v>9160.8380721905305</v>
      </c>
      <c r="BR9" s="19">
        <f t="shared" si="20"/>
        <v>50.934365762760798</v>
      </c>
      <c r="BS9" s="53">
        <f t="shared" si="21"/>
        <v>9211.772437953292</v>
      </c>
      <c r="BT9" s="56">
        <f t="shared" si="22"/>
        <v>1.6286319858797915</v>
      </c>
      <c r="BU9" s="43">
        <f t="shared" si="23"/>
        <v>23.602428725679257</v>
      </c>
      <c r="BV9" s="43">
        <f t="shared" si="24"/>
        <v>0</v>
      </c>
      <c r="BW9" s="43">
        <f t="shared" si="25"/>
        <v>76.645114775150248</v>
      </c>
      <c r="BX9" s="43">
        <f t="shared" si="26"/>
        <v>32.07293176186883</v>
      </c>
      <c r="BY9" s="58">
        <f t="shared" si="27"/>
        <v>5.5149082772130704</v>
      </c>
      <c r="BZ9" s="58">
        <f t="shared" si="28"/>
        <v>36.116087851634788</v>
      </c>
      <c r="CA9" s="58">
        <f t="shared" si="29"/>
        <v>7.3919584039868003</v>
      </c>
      <c r="CB9" s="58">
        <f t="shared" si="89"/>
        <v>12.510716011352843</v>
      </c>
      <c r="CC9" s="58">
        <f t="shared" si="90"/>
        <v>3.4924128324609867</v>
      </c>
      <c r="CD9" s="58">
        <f t="shared" si="91"/>
        <v>198.97519062522662</v>
      </c>
      <c r="CE9" s="58">
        <f t="shared" si="30"/>
        <v>18.712147267320962</v>
      </c>
      <c r="CF9" s="58">
        <f t="shared" si="92"/>
        <v>217.68733789254759</v>
      </c>
      <c r="CG9" s="127">
        <v>10</v>
      </c>
      <c r="CH9" s="128" t="s">
        <v>169</v>
      </c>
      <c r="CI9" s="128"/>
      <c r="CJ9" s="126">
        <f t="shared" si="93"/>
        <v>6</v>
      </c>
      <c r="CK9" s="126">
        <f t="shared" si="94"/>
        <v>7</v>
      </c>
      <c r="CN9" s="147">
        <f t="shared" si="31"/>
        <v>7.0558411039165483E-3</v>
      </c>
      <c r="CO9" s="147">
        <f t="shared" si="32"/>
        <v>0.10225452293628245</v>
      </c>
      <c r="CP9" s="147">
        <f t="shared" si="33"/>
        <v>0</v>
      </c>
      <c r="CQ9" s="31">
        <f>(AI9-(P9*450/1000000))*Parameters!$C$153</f>
        <v>0.23340346452512151</v>
      </c>
      <c r="CR9" s="31">
        <f t="shared" si="34"/>
        <v>2.3892639248190274E-2</v>
      </c>
      <c r="CS9" s="31">
        <f t="shared" si="35"/>
        <v>0.15646836079948798</v>
      </c>
      <c r="CT9" s="31">
        <f>AM9*Parameters!$C$154</f>
        <v>2.8822248339550275E-2</v>
      </c>
      <c r="CU9" s="31">
        <f>AQ9*Parameters!$C$155</f>
        <v>8.1068000000000001E-2</v>
      </c>
      <c r="CV9" s="31">
        <f t="shared" si="36"/>
        <v>0.63296507695254911</v>
      </c>
      <c r="CW9" s="188">
        <f t="shared" si="37"/>
        <v>67.115178347248133</v>
      </c>
      <c r="CY9" s="181">
        <v>1.1332333333333333</v>
      </c>
      <c r="CZ9" s="181">
        <v>1.7202281501989796</v>
      </c>
      <c r="DA9" s="181">
        <v>5.1855994991372958</v>
      </c>
      <c r="DB9" s="181">
        <v>3.7757815691961172</v>
      </c>
      <c r="DC9" s="181">
        <v>2.2380339561010074</v>
      </c>
      <c r="DD9" s="181">
        <v>21.966952604061689</v>
      </c>
      <c r="DE9" s="181">
        <v>2.4676511656879354</v>
      </c>
      <c r="DF9" s="181">
        <v>1.7273447525831522</v>
      </c>
      <c r="DG9" s="181">
        <v>7.1904232617730095</v>
      </c>
      <c r="DH9" s="181">
        <v>4.1949959182710881</v>
      </c>
      <c r="DI9" s="181">
        <v>33.166367628496111</v>
      </c>
      <c r="DJ9" s="181">
        <v>2.8534614835323131</v>
      </c>
      <c r="DK9" s="181">
        <v>47.405248292072521</v>
      </c>
      <c r="DL9" s="181"/>
      <c r="DM9" s="181">
        <v>8.483333333333333E-2</v>
      </c>
      <c r="DN9" s="181">
        <v>0.2827546983392476</v>
      </c>
      <c r="DO9" s="181">
        <v>2.5985500448382371E-2</v>
      </c>
      <c r="DP9" s="181">
        <v>0.50179622292998016</v>
      </c>
      <c r="DQ9" s="181">
        <v>0.4612347302177725</v>
      </c>
      <c r="DR9" s="181">
        <v>3.923168987335226E-3</v>
      </c>
      <c r="DS9" s="181">
        <v>0.24203336749690033</v>
      </c>
      <c r="DT9" s="181">
        <v>0.9890164535961351</v>
      </c>
      <c r="DU9" s="181">
        <v>0.36758803167258092</v>
      </c>
      <c r="DV9" s="181">
        <v>1.6025610217529518</v>
      </c>
      <c r="DW9" s="181">
        <v>1.6025610217529513</v>
      </c>
      <c r="DX9" s="181"/>
      <c r="DY9" s="181">
        <v>6.7866666666666672E-2</v>
      </c>
      <c r="DZ9" s="181">
        <v>0.19792828883747332</v>
      </c>
      <c r="EA9" s="181">
        <v>2.5985500448382371E-2</v>
      </c>
      <c r="EB9" s="181">
        <v>0.50179622292998016</v>
      </c>
      <c r="EC9" s="181">
        <v>0.22056033649289658</v>
      </c>
      <c r="ED9" s="181">
        <v>3.923168987335226E-3</v>
      </c>
      <c r="EE9" s="181">
        <v>0.10902693849294869</v>
      </c>
      <c r="EF9" s="181">
        <v>0.74834205987125912</v>
      </c>
      <c r="EG9" s="181">
        <v>0.26579495550414001</v>
      </c>
      <c r="EH9" s="181">
        <v>1.1270871228556829</v>
      </c>
      <c r="EJ9" s="31">
        <f t="shared" si="38"/>
        <v>1.6286319858797916E-3</v>
      </c>
      <c r="EK9" s="31">
        <f t="shared" si="39"/>
        <v>2.3602428725679258E-2</v>
      </c>
      <c r="EL9" s="31">
        <f t="shared" si="40"/>
        <v>0</v>
      </c>
      <c r="EM9" s="31">
        <f t="shared" si="41"/>
        <v>5.3874278394643961E-2</v>
      </c>
      <c r="EN9" s="31">
        <f t="shared" si="42"/>
        <v>5.51490827721307E-3</v>
      </c>
      <c r="EO9" s="31">
        <f t="shared" si="43"/>
        <v>3.6116087851634789E-2</v>
      </c>
      <c r="EP9" s="31">
        <f t="shared" si="44"/>
        <v>6.6527625635881202E-3</v>
      </c>
      <c r="EQ9" s="31">
        <f t="shared" si="45"/>
        <v>1.8712147267320959E-2</v>
      </c>
      <c r="ER9" s="31">
        <f t="shared" si="46"/>
        <v>0.14610124506595995</v>
      </c>
      <c r="ES9" s="31">
        <f t="shared" si="47"/>
        <v>15.491551550626857</v>
      </c>
      <c r="ET9" s="31"/>
      <c r="EU9" s="31">
        <f t="shared" si="48"/>
        <v>0.26157335843452845</v>
      </c>
      <c r="EV9" s="31">
        <f t="shared" si="49"/>
        <v>0.39706373020075025</v>
      </c>
      <c r="EW9" s="31">
        <f t="shared" si="50"/>
        <v>1.1969420917896443</v>
      </c>
      <c r="EX9" s="31">
        <f t="shared" si="51"/>
        <v>0.87152736927066132</v>
      </c>
      <c r="EY9" s="31">
        <f t="shared" si="52"/>
        <v>0.51658386756583341</v>
      </c>
      <c r="EZ9" s="31">
        <f t="shared" si="53"/>
        <v>5.0704205375914286</v>
      </c>
      <c r="FA9" s="31">
        <f t="shared" si="54"/>
        <v>0.56958420112410413</v>
      </c>
      <c r="FB9" s="31">
        <f t="shared" si="55"/>
        <v>0.39870638712895384</v>
      </c>
      <c r="FC9" s="31">
        <f t="shared" si="56"/>
        <v>1.6596962918619784</v>
      </c>
      <c r="FD9" s="31">
        <f t="shared" si="57"/>
        <v>0.96829058825305825</v>
      </c>
      <c r="FE9" s="31">
        <f t="shared" si="58"/>
        <v>7.6554738662175676</v>
      </c>
      <c r="FF9" s="31">
        <f t="shared" si="59"/>
        <v>0.65863708863527881</v>
      </c>
      <c r="FG9" s="31">
        <f t="shared" si="60"/>
        <v>10.942097834967884</v>
      </c>
      <c r="FH9" s="31"/>
      <c r="FI9" s="31">
        <f t="shared" si="61"/>
        <v>1.958126297072903E-2</v>
      </c>
      <c r="FJ9" s="31">
        <f t="shared" si="62"/>
        <v>6.5265549364125361E-2</v>
      </c>
      <c r="FK9" s="31">
        <f t="shared" si="63"/>
        <v>5.9979833128381817E-3</v>
      </c>
      <c r="FL9" s="31">
        <f t="shared" si="64"/>
        <v>0.1158247992013027</v>
      </c>
      <c r="FM9" s="31">
        <f t="shared" si="65"/>
        <v>0.10646237968912532</v>
      </c>
      <c r="FN9" s="31">
        <f t="shared" si="66"/>
        <v>9.0554739040809185E-4</v>
      </c>
      <c r="FO9" s="31">
        <f t="shared" si="67"/>
        <v>5.5866235952627588E-2</v>
      </c>
      <c r="FP9" s="31">
        <f t="shared" si="68"/>
        <v>0.22828516220326622</v>
      </c>
      <c r="FQ9" s="31">
        <f t="shared" si="69"/>
        <v>8.4846812334854388E-2</v>
      </c>
      <c r="FR9" s="31">
        <f t="shared" si="70"/>
        <v>0.36990375788115637</v>
      </c>
      <c r="FS9" s="31">
        <f t="shared" si="71"/>
        <v>0.3699037578811562</v>
      </c>
      <c r="FT9" s="31"/>
      <c r="FU9" s="31">
        <f t="shared" si="72"/>
        <v>1.566501037658323E-2</v>
      </c>
      <c r="FV9" s="31">
        <f t="shared" si="73"/>
        <v>4.568588455488775E-2</v>
      </c>
      <c r="FW9" s="31">
        <f t="shared" si="74"/>
        <v>5.9979833128381817E-3</v>
      </c>
      <c r="FX9" s="31">
        <f t="shared" si="75"/>
        <v>0.1158247992013027</v>
      </c>
      <c r="FY9" s="31">
        <f t="shared" si="76"/>
        <v>5.0909822590725635E-2</v>
      </c>
      <c r="FZ9" s="31">
        <f t="shared" si="77"/>
        <v>9.0554739040809185E-4</v>
      </c>
      <c r="GA9" s="31">
        <f t="shared" si="78"/>
        <v>2.516564031658854E-2</v>
      </c>
      <c r="GB9" s="31">
        <f t="shared" si="79"/>
        <v>0.17273260510486652</v>
      </c>
      <c r="GC9" s="31">
        <f t="shared" si="80"/>
        <v>6.135089493147098E-2</v>
      </c>
      <c r="GD9" s="31">
        <f t="shared" si="81"/>
        <v>0.26015468774333411</v>
      </c>
    </row>
    <row r="10" spans="1:186">
      <c r="A10" s="39" t="str">
        <f>Basicinfo!A10</f>
        <v>Mühlheimer Ache</v>
      </c>
      <c r="B10" s="63">
        <f>Basicinfo!B10</f>
        <v>650</v>
      </c>
      <c r="C10" s="63">
        <f>Basicinfo!C10</f>
        <v>1050</v>
      </c>
      <c r="D10" s="227">
        <v>313.57887996969998</v>
      </c>
      <c r="E10" s="89">
        <v>4.6306881308101255</v>
      </c>
      <c r="F10" s="27">
        <v>2.5188958428532891E-2</v>
      </c>
      <c r="G10" s="19">
        <v>0.85450797790261734</v>
      </c>
      <c r="H10" s="19">
        <v>0</v>
      </c>
      <c r="I10" s="19">
        <v>0.1582970451612527</v>
      </c>
      <c r="J10" s="19">
        <v>3.4623383057033199</v>
      </c>
      <c r="K10" s="19">
        <v>1.3352135231655177E-2</v>
      </c>
      <c r="L10" s="19">
        <v>7.7357537049346304E-3</v>
      </c>
      <c r="M10" s="19">
        <v>2.4638695964666616E-2</v>
      </c>
      <c r="N10" s="19">
        <v>4.546058872096979</v>
      </c>
      <c r="O10" s="19">
        <v>8.462925871314618E-2</v>
      </c>
      <c r="P10" s="56">
        <v>3622.2668359934746</v>
      </c>
      <c r="Q10" s="43">
        <v>1636.8286487608079</v>
      </c>
      <c r="R10" s="88">
        <v>5259.0954847542826</v>
      </c>
      <c r="S10" s="61">
        <v>3.9147216602961405</v>
      </c>
      <c r="T10" s="19">
        <v>50.258404711046971</v>
      </c>
      <c r="U10" s="19">
        <v>0</v>
      </c>
      <c r="V10" s="19">
        <v>30.157339848342133</v>
      </c>
      <c r="W10" s="19">
        <v>4.0920716219020194E-2</v>
      </c>
      <c r="X10" s="19">
        <v>56.464335107923539</v>
      </c>
      <c r="Y10" s="19">
        <v>306.938166718243</v>
      </c>
      <c r="Z10" s="19">
        <v>1.1956629383272095</v>
      </c>
      <c r="AA10" s="19">
        <v>2.2179322310693452</v>
      </c>
      <c r="AB10" s="19">
        <v>0.87125904226677864</v>
      </c>
      <c r="AC10" s="19">
        <v>452.05874297373413</v>
      </c>
      <c r="AD10" s="19">
        <v>6.2283080413333334</v>
      </c>
      <c r="AE10" s="87">
        <v>458.2870510150675</v>
      </c>
      <c r="AF10" s="56">
        <v>7.0081692862381431E-2</v>
      </c>
      <c r="AG10" s="43">
        <v>0.94574659620598811</v>
      </c>
      <c r="AH10" s="43">
        <v>0</v>
      </c>
      <c r="AI10" s="43">
        <v>10.268174983457989</v>
      </c>
      <c r="AJ10" s="43">
        <v>0.73657289194236364</v>
      </c>
      <c r="AK10" s="43">
        <v>0.51304051701358155</v>
      </c>
      <c r="AL10" s="58">
        <v>5.0355663554230912</v>
      </c>
      <c r="AM10" s="43">
        <v>0.2861257380578166</v>
      </c>
      <c r="AN10" s="42">
        <v>0.41016338881988285</v>
      </c>
      <c r="AO10" s="42">
        <v>0.13641019088854037</v>
      </c>
      <c r="AP10" s="42">
        <v>18.401882354671638</v>
      </c>
      <c r="AQ10" s="43">
        <v>2.0732608133333335</v>
      </c>
      <c r="AR10" s="83">
        <v>20.475143168004973</v>
      </c>
      <c r="AS10" s="19">
        <f t="shared" si="2"/>
        <v>2.5332031069151384</v>
      </c>
      <c r="AT10" s="19">
        <f t="shared" si="3"/>
        <v>85.936156139535953</v>
      </c>
      <c r="AU10" s="19">
        <f t="shared" si="4"/>
        <v>0</v>
      </c>
      <c r="AV10" s="19">
        <f t="shared" si="5"/>
        <v>15.919616833530467</v>
      </c>
      <c r="AW10" s="19">
        <f t="shared" si="6"/>
        <v>348.20042988612744</v>
      </c>
      <c r="AX10" s="53">
        <f t="shared" si="82"/>
        <v>1.3427975018794773</v>
      </c>
      <c r="AY10" s="53">
        <f t="shared" si="83"/>
        <v>0.77796925884291368</v>
      </c>
      <c r="AZ10" s="53">
        <f t="shared" si="84"/>
        <v>2.4778643128542512</v>
      </c>
      <c r="BA10" s="19">
        <f t="shared" si="85"/>
        <v>457.18803703968564</v>
      </c>
      <c r="BB10" s="19">
        <f t="shared" si="7"/>
        <v>8.5109950741442191</v>
      </c>
      <c r="BC10" s="53">
        <f t="shared" si="8"/>
        <v>465.69903211382984</v>
      </c>
      <c r="BD10" s="56">
        <f t="shared" si="9"/>
        <v>115.51373728815797</v>
      </c>
      <c r="BE10" s="43">
        <f t="shared" si="10"/>
        <v>52.198306496884257</v>
      </c>
      <c r="BF10" s="58">
        <f t="shared" si="11"/>
        <v>167.71204378504223</v>
      </c>
      <c r="BG10" s="61">
        <f t="shared" si="12"/>
        <v>124.84009320635388</v>
      </c>
      <c r="BH10" s="19">
        <f t="shared" si="13"/>
        <v>1602.7356407390466</v>
      </c>
      <c r="BI10" s="19">
        <f t="shared" si="14"/>
        <v>0</v>
      </c>
      <c r="BJ10" s="19">
        <f t="shared" si="15"/>
        <v>961.71463624259798</v>
      </c>
      <c r="BK10" s="19">
        <f t="shared" si="16"/>
        <v>1.3049576624221064</v>
      </c>
      <c r="BL10" s="19">
        <f t="shared" si="17"/>
        <v>1800.6421578321692</v>
      </c>
      <c r="BM10" s="19">
        <f t="shared" si="18"/>
        <v>9788.2282999384825</v>
      </c>
      <c r="BN10" s="53">
        <f t="shared" si="19"/>
        <v>38.129574875793359</v>
      </c>
      <c r="BO10" s="53">
        <f t="shared" si="86"/>
        <v>70.729643249049687</v>
      </c>
      <c r="BP10" s="53">
        <f t="shared" si="87"/>
        <v>27.784366164933218</v>
      </c>
      <c r="BQ10" s="19">
        <f t="shared" si="88"/>
        <v>14416.109369910848</v>
      </c>
      <c r="BR10" s="19">
        <f t="shared" si="20"/>
        <v>198.62013799957293</v>
      </c>
      <c r="BS10" s="53">
        <f t="shared" si="21"/>
        <v>14614.729507910421</v>
      </c>
      <c r="BT10" s="56">
        <f t="shared" si="22"/>
        <v>2.2348983729118865</v>
      </c>
      <c r="BU10" s="43">
        <f t="shared" si="23"/>
        <v>30.159767019302198</v>
      </c>
      <c r="BV10" s="43">
        <f t="shared" si="24"/>
        <v>0</v>
      </c>
      <c r="BW10" s="43">
        <f t="shared" si="25"/>
        <v>327.45110207837234</v>
      </c>
      <c r="BX10" s="43">
        <f t="shared" si="26"/>
        <v>23.489237923597919</v>
      </c>
      <c r="BY10" s="58">
        <f t="shared" si="27"/>
        <v>16.360812216152912</v>
      </c>
      <c r="BZ10" s="58">
        <f t="shared" si="28"/>
        <v>160.58372157938888</v>
      </c>
      <c r="CA10" s="58">
        <f t="shared" si="29"/>
        <v>9.1245219730826239</v>
      </c>
      <c r="CB10" s="58">
        <f t="shared" si="89"/>
        <v>13.080070598489142</v>
      </c>
      <c r="CC10" s="58">
        <f t="shared" si="90"/>
        <v>4.3501077273355016</v>
      </c>
      <c r="CD10" s="58">
        <f t="shared" si="91"/>
        <v>586.83423948863344</v>
      </c>
      <c r="CE10" s="58">
        <f t="shared" si="30"/>
        <v>66.116085800601923</v>
      </c>
      <c r="CF10" s="58">
        <f t="shared" si="92"/>
        <v>652.95032528923537</v>
      </c>
      <c r="CG10" s="127">
        <v>17</v>
      </c>
      <c r="CH10" s="128" t="s">
        <v>169</v>
      </c>
      <c r="CI10" s="128"/>
      <c r="CJ10" s="126">
        <f t="shared" si="93"/>
        <v>7</v>
      </c>
      <c r="CK10" s="126">
        <f t="shared" si="94"/>
        <v>14</v>
      </c>
      <c r="CN10" s="147">
        <f t="shared" si="31"/>
        <v>7.0081692862381431E-2</v>
      </c>
      <c r="CO10" s="147">
        <f t="shared" si="32"/>
        <v>0.94574659620598811</v>
      </c>
      <c r="CP10" s="147">
        <f t="shared" si="33"/>
        <v>0</v>
      </c>
      <c r="CQ10" s="31">
        <f>(AI10-(P10*450/1000000))*Parameters!$C$153</f>
        <v>6.9105239258087412</v>
      </c>
      <c r="CR10" s="31">
        <f t="shared" si="34"/>
        <v>0.51304051701358155</v>
      </c>
      <c r="CS10" s="31">
        <f t="shared" si="35"/>
        <v>5.0355663554230912</v>
      </c>
      <c r="CT10" s="31">
        <f>AM10*Parameters!$C$154</f>
        <v>0.25751316425203497</v>
      </c>
      <c r="CU10" s="31">
        <f>AQ10*Parameters!$C$155</f>
        <v>2.0732608133333335</v>
      </c>
      <c r="CV10" s="31">
        <f t="shared" si="36"/>
        <v>15.805733064899155</v>
      </c>
      <c r="CW10" s="188">
        <f t="shared" si="37"/>
        <v>77.1947377129828</v>
      </c>
      <c r="CY10" s="181">
        <v>9.4599932666666646</v>
      </c>
      <c r="CZ10" s="181">
        <v>12.779442168093688</v>
      </c>
      <c r="DA10" s="181">
        <v>31.398810048479024</v>
      </c>
      <c r="DB10" s="181">
        <v>49.678730707250359</v>
      </c>
      <c r="DC10" s="181">
        <v>60.066853075942646</v>
      </c>
      <c r="DD10" s="181">
        <v>286.11526017754312</v>
      </c>
      <c r="DE10" s="181">
        <v>14.691336357556022</v>
      </c>
      <c r="DF10" s="181">
        <v>22.315259167740017</v>
      </c>
      <c r="DG10" s="181">
        <v>71.974086740259651</v>
      </c>
      <c r="DH10" s="181">
        <v>37.006595525296035</v>
      </c>
      <c r="DI10" s="181">
        <v>427.25965400921518</v>
      </c>
      <c r="DJ10" s="181">
        <v>22.239435434760352</v>
      </c>
      <c r="DK10" s="181">
        <v>558.47977170953129</v>
      </c>
      <c r="DL10" s="181"/>
      <c r="DM10" s="181">
        <v>2.1173329999999999</v>
      </c>
      <c r="DN10" s="181">
        <v>2.168790787975865</v>
      </c>
      <c r="DO10" s="181">
        <v>0.57686447863255452</v>
      </c>
      <c r="DP10" s="181">
        <v>2.3524640355324671</v>
      </c>
      <c r="DQ10" s="181">
        <v>7.1818158059572381</v>
      </c>
      <c r="DR10" s="181">
        <v>4.0373875543211805E-2</v>
      </c>
      <c r="DS10" s="181">
        <v>2.1439102100762897</v>
      </c>
      <c r="DT10" s="181">
        <v>10.111144320122261</v>
      </c>
      <c r="DU10" s="181">
        <v>4.286123787975864</v>
      </c>
      <c r="DV10" s="181">
        <v>16.581552193717627</v>
      </c>
      <c r="DW10" s="181">
        <v>16.581552193717627</v>
      </c>
      <c r="DX10" s="181"/>
      <c r="DY10" s="181">
        <v>1.6938663999999999</v>
      </c>
      <c r="DZ10" s="181">
        <v>1.5181535515831055</v>
      </c>
      <c r="EA10" s="181">
        <v>0.57686447863255452</v>
      </c>
      <c r="EB10" s="181">
        <v>2.3524640355324671</v>
      </c>
      <c r="EC10" s="181">
        <v>3.377722265367499</v>
      </c>
      <c r="ED10" s="181">
        <v>4.0373875543211805E-2</v>
      </c>
      <c r="EE10" s="181">
        <v>1.1566759538758464</v>
      </c>
      <c r="EF10" s="181">
        <v>6.3070507795325206</v>
      </c>
      <c r="EG10" s="181">
        <v>3.2120199515831049</v>
      </c>
      <c r="EH10" s="181">
        <v>10.716120560534682</v>
      </c>
      <c r="EJ10" s="31">
        <f t="shared" si="38"/>
        <v>2.2348983729118866E-3</v>
      </c>
      <c r="EK10" s="31">
        <f t="shared" si="39"/>
        <v>3.0159767019302203E-2</v>
      </c>
      <c r="EL10" s="31">
        <f t="shared" si="40"/>
        <v>0</v>
      </c>
      <c r="EM10" s="31">
        <f t="shared" si="41"/>
        <v>0.22037593623896104</v>
      </c>
      <c r="EN10" s="31">
        <f t="shared" si="42"/>
        <v>1.6360812216152914E-2</v>
      </c>
      <c r="EO10" s="31">
        <f t="shared" si="43"/>
        <v>0.16058372157938891</v>
      </c>
      <c r="EP10" s="31">
        <f t="shared" si="44"/>
        <v>8.2120697757743621E-3</v>
      </c>
      <c r="EQ10" s="31">
        <f t="shared" si="45"/>
        <v>6.6116085800601923E-2</v>
      </c>
      <c r="ER10" s="31">
        <f t="shared" si="46"/>
        <v>0.50404329100309331</v>
      </c>
      <c r="ES10" s="31">
        <f t="shared" si="47"/>
        <v>2.4617326817559224</v>
      </c>
      <c r="ET10" s="31"/>
      <c r="EU10" s="31">
        <f t="shared" si="48"/>
        <v>0.30167826569125927</v>
      </c>
      <c r="EV10" s="31">
        <f t="shared" si="49"/>
        <v>0.40753516848228172</v>
      </c>
      <c r="EW10" s="31">
        <f t="shared" si="50"/>
        <v>1.0013050002446906</v>
      </c>
      <c r="EX10" s="31">
        <f t="shared" si="51"/>
        <v>1.5842498931066606</v>
      </c>
      <c r="EY10" s="31">
        <f t="shared" si="52"/>
        <v>1.9155261056403636</v>
      </c>
      <c r="EZ10" s="31">
        <f t="shared" si="53"/>
        <v>9.1241878344992315</v>
      </c>
      <c r="FA10" s="31">
        <f t="shared" si="54"/>
        <v>0.46850528833369109</v>
      </c>
      <c r="FB10" s="31">
        <f t="shared" si="55"/>
        <v>0.71163144564762337</v>
      </c>
      <c r="FC10" s="31">
        <f t="shared" si="56"/>
        <v>2.2952466297224561</v>
      </c>
      <c r="FD10" s="31">
        <f t="shared" si="57"/>
        <v>1.1801367339813145</v>
      </c>
      <c r="FE10" s="31">
        <f t="shared" si="58"/>
        <v>13.625268833490948</v>
      </c>
      <c r="FF10" s="31">
        <f t="shared" si="59"/>
        <v>0.70921343417354099</v>
      </c>
      <c r="FG10" s="31">
        <f t="shared" si="60"/>
        <v>17.809865631368258</v>
      </c>
      <c r="FH10" s="31"/>
      <c r="FI10" s="31">
        <f t="shared" si="61"/>
        <v>6.7521543549252758E-2</v>
      </c>
      <c r="FJ10" s="31">
        <f t="shared" si="62"/>
        <v>6.9162527405717752E-2</v>
      </c>
      <c r="FK10" s="31">
        <f t="shared" si="63"/>
        <v>1.839615214801121E-2</v>
      </c>
      <c r="FL10" s="31">
        <f t="shared" si="64"/>
        <v>7.501984941587192E-2</v>
      </c>
      <c r="FM10" s="31">
        <f t="shared" si="65"/>
        <v>0.22902740792527837</v>
      </c>
      <c r="FN10" s="31">
        <f t="shared" si="66"/>
        <v>1.2875189664276173E-3</v>
      </c>
      <c r="FO10" s="31">
        <f t="shared" si="67"/>
        <v>6.8369088195080238E-2</v>
      </c>
      <c r="FP10" s="31">
        <f t="shared" si="68"/>
        <v>0.32244340948916145</v>
      </c>
      <c r="FQ10" s="31">
        <f t="shared" si="69"/>
        <v>0.13668407095497048</v>
      </c>
      <c r="FR10" s="31">
        <f t="shared" si="70"/>
        <v>0.52878408760563989</v>
      </c>
      <c r="FS10" s="31">
        <f t="shared" si="71"/>
        <v>0.52878408760563989</v>
      </c>
      <c r="FT10" s="31"/>
      <c r="FU10" s="31">
        <f t="shared" si="72"/>
        <v>5.4017234839402198E-2</v>
      </c>
      <c r="FV10" s="31">
        <f t="shared" si="73"/>
        <v>4.8413769184002413E-2</v>
      </c>
      <c r="FW10" s="31">
        <f t="shared" si="74"/>
        <v>1.839615214801121E-2</v>
      </c>
      <c r="FX10" s="31">
        <f t="shared" si="75"/>
        <v>7.501984941587192E-2</v>
      </c>
      <c r="FY10" s="31">
        <f t="shared" si="76"/>
        <v>0.10771523470247345</v>
      </c>
      <c r="FZ10" s="31">
        <f t="shared" si="77"/>
        <v>1.2875189664276173E-3</v>
      </c>
      <c r="GA10" s="31">
        <f t="shared" si="78"/>
        <v>3.6886283731468524E-2</v>
      </c>
      <c r="GB10" s="31">
        <f t="shared" si="79"/>
        <v>0.20113123626635659</v>
      </c>
      <c r="GC10" s="31">
        <f t="shared" si="80"/>
        <v>0.10243100402340462</v>
      </c>
      <c r="GD10" s="31">
        <f t="shared" si="81"/>
        <v>0.34173604298765731</v>
      </c>
    </row>
    <row r="11" spans="1:186">
      <c r="A11" s="39" t="str">
        <f>Basicinfo!A11</f>
        <v>Gurtenbach</v>
      </c>
      <c r="B11" s="63">
        <f>Basicinfo!B11</f>
        <v>660</v>
      </c>
      <c r="C11" s="63">
        <f>Basicinfo!C11</f>
        <v>1050</v>
      </c>
      <c r="D11" s="227">
        <v>98.796958398699999</v>
      </c>
      <c r="E11" s="89">
        <v>1.4346109469466097</v>
      </c>
      <c r="F11" s="27">
        <v>3.2013546518723434E-3</v>
      </c>
      <c r="G11" s="19">
        <v>0.26910261298503113</v>
      </c>
      <c r="H11" s="19">
        <v>0</v>
      </c>
      <c r="I11" s="19">
        <v>5.5266686987225207E-2</v>
      </c>
      <c r="J11" s="19">
        <v>1.0888951532221272</v>
      </c>
      <c r="K11" s="19">
        <v>3.6754169868778428E-3</v>
      </c>
      <c r="L11" s="19">
        <v>1.9158027384257306E-3</v>
      </c>
      <c r="M11" s="19">
        <v>6.4975729772829343E-3</v>
      </c>
      <c r="N11" s="19">
        <v>1.4285546005488421</v>
      </c>
      <c r="O11" s="19">
        <v>6.0563463977676302E-3</v>
      </c>
      <c r="P11" s="56">
        <v>4059.1249715512954</v>
      </c>
      <c r="Q11" s="43">
        <v>880.9229008208946</v>
      </c>
      <c r="R11" s="88">
        <v>4940.0478723721899</v>
      </c>
      <c r="S11" s="61">
        <v>0.90701483958418938</v>
      </c>
      <c r="T11" s="19">
        <v>19.586803992532165</v>
      </c>
      <c r="U11" s="19">
        <v>0</v>
      </c>
      <c r="V11" s="19">
        <v>13.572356233700489</v>
      </c>
      <c r="W11" s="19">
        <v>2.2023072520522366E-2</v>
      </c>
      <c r="X11" s="19">
        <v>20.553692953072272</v>
      </c>
      <c r="Y11" s="19">
        <v>117.66339006263921</v>
      </c>
      <c r="Z11" s="19">
        <v>0.38743285265206662</v>
      </c>
      <c r="AA11" s="19">
        <v>0.50673795322484394</v>
      </c>
      <c r="AB11" s="19">
        <v>0.26332726412793855</v>
      </c>
      <c r="AC11" s="19">
        <v>173.46277922405372</v>
      </c>
      <c r="AD11" s="19">
        <v>0</v>
      </c>
      <c r="AE11" s="87">
        <v>173.46277922405372</v>
      </c>
      <c r="AF11" s="56">
        <v>1.5653209742141794E-2</v>
      </c>
      <c r="AG11" s="43">
        <v>0.30297533513285213</v>
      </c>
      <c r="AH11" s="43">
        <v>0</v>
      </c>
      <c r="AI11" s="43">
        <v>8.1947299345849256</v>
      </c>
      <c r="AJ11" s="43">
        <v>0.39641530536940256</v>
      </c>
      <c r="AK11" s="43">
        <v>0.11626747819280102</v>
      </c>
      <c r="AL11" s="58">
        <v>1.3218740231697526</v>
      </c>
      <c r="AM11" s="43">
        <v>8.8879028828041134E-2</v>
      </c>
      <c r="AN11" s="42">
        <v>9.5144035674165753E-2</v>
      </c>
      <c r="AO11" s="42">
        <v>4.0676753025771201E-2</v>
      </c>
      <c r="AP11" s="42">
        <v>10.572615103719851</v>
      </c>
      <c r="AQ11" s="43">
        <v>0.13916224999999999</v>
      </c>
      <c r="AR11" s="83">
        <v>10.711777353719851</v>
      </c>
      <c r="AS11" s="19">
        <f t="shared" si="2"/>
        <v>1.0218727573983153</v>
      </c>
      <c r="AT11" s="19">
        <f t="shared" si="3"/>
        <v>85.897583697350029</v>
      </c>
      <c r="AU11" s="19">
        <f t="shared" si="4"/>
        <v>0</v>
      </c>
      <c r="AV11" s="19">
        <f t="shared" si="5"/>
        <v>17.641132572073872</v>
      </c>
      <c r="AW11" s="19">
        <f t="shared" si="6"/>
        <v>347.57545281338184</v>
      </c>
      <c r="AX11" s="53">
        <f t="shared" si="82"/>
        <v>1.1731935069339623</v>
      </c>
      <c r="AY11" s="53">
        <f t="shared" si="83"/>
        <v>0.61152444506620385</v>
      </c>
      <c r="AZ11" s="53">
        <f t="shared" si="84"/>
        <v>2.0740260098360563</v>
      </c>
      <c r="BA11" s="19">
        <f t="shared" si="85"/>
        <v>455.99478580204027</v>
      </c>
      <c r="BB11" s="19">
        <f t="shared" si="7"/>
        <v>1.9331864370686249</v>
      </c>
      <c r="BC11" s="53">
        <f t="shared" si="8"/>
        <v>457.9279722391089</v>
      </c>
      <c r="BD11" s="56">
        <f t="shared" si="9"/>
        <v>410.85525681575098</v>
      </c>
      <c r="BE11" s="43">
        <f t="shared" si="10"/>
        <v>89.164981908237166</v>
      </c>
      <c r="BF11" s="58">
        <f t="shared" si="11"/>
        <v>500.02023872398814</v>
      </c>
      <c r="BG11" s="61">
        <f t="shared" si="12"/>
        <v>91.805947701738575</v>
      </c>
      <c r="BH11" s="19">
        <f t="shared" si="13"/>
        <v>1982.5310728179149</v>
      </c>
      <c r="BI11" s="19">
        <f t="shared" si="14"/>
        <v>0</v>
      </c>
      <c r="BJ11" s="19">
        <f t="shared" si="15"/>
        <v>1373.7625584513012</v>
      </c>
      <c r="BK11" s="19">
        <f t="shared" si="16"/>
        <v>2.2291245477059292</v>
      </c>
      <c r="BL11" s="19">
        <f t="shared" si="17"/>
        <v>2080.3973407892609</v>
      </c>
      <c r="BM11" s="19">
        <f t="shared" si="18"/>
        <v>11909.616649108042</v>
      </c>
      <c r="BN11" s="53">
        <f t="shared" si="19"/>
        <v>39.215058735772232</v>
      </c>
      <c r="BO11" s="53">
        <f t="shared" si="86"/>
        <v>51.29084553189157</v>
      </c>
      <c r="BP11" s="53">
        <f t="shared" si="87"/>
        <v>26.653377633881032</v>
      </c>
      <c r="BQ11" s="19">
        <f t="shared" si="88"/>
        <v>17557.501975317507</v>
      </c>
      <c r="BR11" s="19">
        <f t="shared" si="20"/>
        <v>0</v>
      </c>
      <c r="BS11" s="53">
        <f t="shared" si="21"/>
        <v>17557.501975317507</v>
      </c>
      <c r="BT11" s="56">
        <f t="shared" si="22"/>
        <v>1.5843817457388205</v>
      </c>
      <c r="BU11" s="43">
        <f t="shared" si="23"/>
        <v>30.666463830817566</v>
      </c>
      <c r="BV11" s="43">
        <f t="shared" si="24"/>
        <v>0</v>
      </c>
      <c r="BW11" s="43">
        <f t="shared" si="25"/>
        <v>829.45164177167158</v>
      </c>
      <c r="BX11" s="43">
        <f t="shared" si="26"/>
        <v>40.124241858706725</v>
      </c>
      <c r="BY11" s="58">
        <f t="shared" si="27"/>
        <v>11.768325672901575</v>
      </c>
      <c r="BZ11" s="58">
        <f t="shared" si="28"/>
        <v>133.79703632527477</v>
      </c>
      <c r="CA11" s="58">
        <f t="shared" si="29"/>
        <v>8.9961300700539191</v>
      </c>
      <c r="CB11" s="58">
        <f t="shared" si="89"/>
        <v>9.630259596677794</v>
      </c>
      <c r="CC11" s="58">
        <f t="shared" si="90"/>
        <v>4.1172070157887006</v>
      </c>
      <c r="CD11" s="58">
        <f t="shared" si="91"/>
        <v>1070.1356878876313</v>
      </c>
      <c r="CE11" s="58">
        <f t="shared" si="30"/>
        <v>14.085681609590029</v>
      </c>
      <c r="CF11" s="58">
        <f t="shared" si="92"/>
        <v>1084.2213694972213</v>
      </c>
      <c r="CG11" s="127">
        <v>17</v>
      </c>
      <c r="CH11" s="128" t="s">
        <v>169</v>
      </c>
      <c r="CI11" s="128"/>
      <c r="CJ11" s="126">
        <f t="shared" si="93"/>
        <v>8</v>
      </c>
      <c r="CK11" s="126">
        <f t="shared" si="94"/>
        <v>14</v>
      </c>
      <c r="CN11" s="147">
        <f t="shared" si="31"/>
        <v>1.5653209742141794E-2</v>
      </c>
      <c r="CO11" s="147">
        <f t="shared" si="32"/>
        <v>0.30297533513285213</v>
      </c>
      <c r="CP11" s="147">
        <f t="shared" si="33"/>
        <v>0</v>
      </c>
      <c r="CQ11" s="31">
        <f>(AI11-(P11*450/1000000))*Parameters!$C$153</f>
        <v>5.0944989579094742</v>
      </c>
      <c r="CR11" s="31">
        <f t="shared" si="34"/>
        <v>0.11626747819280102</v>
      </c>
      <c r="CS11" s="31">
        <f t="shared" si="35"/>
        <v>1.3218740231697526</v>
      </c>
      <c r="CT11" s="31">
        <f>AM11*Parameters!$C$154</f>
        <v>7.9991125945237024E-2</v>
      </c>
      <c r="CU11" s="31">
        <f>AQ11*Parameters!$C$155</f>
        <v>0.13916224999999999</v>
      </c>
      <c r="CV11" s="31">
        <f t="shared" si="36"/>
        <v>7.0704223800922579</v>
      </c>
      <c r="CW11" s="188">
        <f t="shared" si="37"/>
        <v>66.006061801097189</v>
      </c>
      <c r="CY11" s="181">
        <v>2.7825489466666675</v>
      </c>
      <c r="CZ11" s="181">
        <v>3.252012106964504</v>
      </c>
      <c r="DA11" s="181">
        <v>5.7075525510548619</v>
      </c>
      <c r="DB11" s="181">
        <v>20.145665510876682</v>
      </c>
      <c r="DC11" s="181">
        <v>14.195003624633209</v>
      </c>
      <c r="DD11" s="181">
        <v>91.861815542147397</v>
      </c>
      <c r="DE11" s="181">
        <v>2.4013110608863304</v>
      </c>
      <c r="DF11" s="181">
        <v>8.1268945604875746</v>
      </c>
      <c r="DG11" s="181">
        <v>22.02382395118936</v>
      </c>
      <c r="DH11" s="181">
        <v>10.528205621373905</v>
      </c>
      <c r="DI11" s="181">
        <v>131.91003722871216</v>
      </c>
      <c r="DJ11" s="181">
        <v>6.0345610536311716</v>
      </c>
      <c r="DK11" s="181">
        <v>170.49662785490659</v>
      </c>
      <c r="DL11" s="181"/>
      <c r="DM11" s="181">
        <v>0.12718873333333333</v>
      </c>
      <c r="DN11" s="181">
        <v>0.54293914241294927</v>
      </c>
      <c r="DO11" s="181">
        <v>8.8917917938983529E-2</v>
      </c>
      <c r="DP11" s="181">
        <v>0.49273816708590401</v>
      </c>
      <c r="DQ11" s="181">
        <v>6.6020799536830195</v>
      </c>
      <c r="DR11" s="181">
        <v>7.172895214727127E-3</v>
      </c>
      <c r="DS11" s="181">
        <v>0.9097713181262721</v>
      </c>
      <c r="DT11" s="181">
        <v>7.1837360387079068</v>
      </c>
      <c r="DU11" s="181">
        <v>0.67012787574628263</v>
      </c>
      <c r="DV11" s="181">
        <v>8.7708081277951884</v>
      </c>
      <c r="DW11" s="181">
        <v>8.7708081277951901</v>
      </c>
      <c r="DX11" s="181"/>
      <c r="DY11" s="181">
        <v>0.10175098666666667</v>
      </c>
      <c r="DZ11" s="181">
        <v>0.38005739968906449</v>
      </c>
      <c r="EA11" s="181">
        <v>8.8917917938983529E-2</v>
      </c>
      <c r="EB11" s="181">
        <v>0.49273816708590401</v>
      </c>
      <c r="EC11" s="181">
        <v>2.8471384166079154</v>
      </c>
      <c r="ED11" s="181">
        <v>7.172895214727127E-3</v>
      </c>
      <c r="EE11" s="181">
        <v>0.34226049978212958</v>
      </c>
      <c r="EF11" s="181">
        <v>3.4287945016328027</v>
      </c>
      <c r="EG11" s="181">
        <v>0.48180838635573114</v>
      </c>
      <c r="EH11" s="181">
        <v>4.2600362829853911</v>
      </c>
      <c r="EJ11" s="31">
        <f t="shared" si="38"/>
        <v>1.5843817457388205E-3</v>
      </c>
      <c r="EK11" s="31">
        <f t="shared" si="39"/>
        <v>3.0666463830817565E-2</v>
      </c>
      <c r="EL11" s="31">
        <f t="shared" si="40"/>
        <v>0</v>
      </c>
      <c r="EM11" s="31">
        <f t="shared" si="41"/>
        <v>0.51565342096366695</v>
      </c>
      <c r="EN11" s="31">
        <f t="shared" si="42"/>
        <v>1.1768325672901576E-2</v>
      </c>
      <c r="EO11" s="31">
        <f t="shared" si="43"/>
        <v>0.13379703632527479</v>
      </c>
      <c r="EP11" s="31">
        <f t="shared" si="44"/>
        <v>8.0965170630485292E-3</v>
      </c>
      <c r="EQ11" s="31">
        <f t="shared" si="45"/>
        <v>1.408568160959003E-2</v>
      </c>
      <c r="ER11" s="31">
        <f t="shared" si="46"/>
        <v>0.71565182721103826</v>
      </c>
      <c r="ES11" s="31">
        <f t="shared" si="47"/>
        <v>6.6809811628741116</v>
      </c>
      <c r="ET11" s="31"/>
      <c r="EU11" s="31">
        <f t="shared" si="48"/>
        <v>0.28164317928063676</v>
      </c>
      <c r="EV11" s="31">
        <f t="shared" si="49"/>
        <v>0.32916115634257165</v>
      </c>
      <c r="EW11" s="31">
        <f t="shared" si="50"/>
        <v>0.57770529007803584</v>
      </c>
      <c r="EX11" s="31">
        <f t="shared" si="51"/>
        <v>2.0390977452542471</v>
      </c>
      <c r="EY11" s="31">
        <f t="shared" si="52"/>
        <v>1.4367854896249512</v>
      </c>
      <c r="EZ11" s="31">
        <f t="shared" si="53"/>
        <v>9.2980408537917238</v>
      </c>
      <c r="FA11" s="31">
        <f t="shared" si="54"/>
        <v>0.24305516078700737</v>
      </c>
      <c r="FB11" s="31">
        <f t="shared" si="55"/>
        <v>0.82258550184218127</v>
      </c>
      <c r="FC11" s="31">
        <f t="shared" si="56"/>
        <v>2.2292006057829363</v>
      </c>
      <c r="FD11" s="31">
        <f t="shared" si="57"/>
        <v>1.0656406626291888</v>
      </c>
      <c r="FE11" s="31">
        <f t="shared" si="58"/>
        <v>13.35162937874896</v>
      </c>
      <c r="FF11" s="31">
        <f t="shared" si="59"/>
        <v>0.61080433562320846</v>
      </c>
      <c r="FG11" s="31">
        <f t="shared" si="60"/>
        <v>17.257274982784292</v>
      </c>
      <c r="FH11" s="31"/>
      <c r="FI11" s="31">
        <f t="shared" si="61"/>
        <v>1.2873749900281031E-2</v>
      </c>
      <c r="FJ11" s="31">
        <f t="shared" si="62"/>
        <v>5.4955046310423E-2</v>
      </c>
      <c r="FK11" s="31">
        <f t="shared" si="63"/>
        <v>9.0000663360658203E-3</v>
      </c>
      <c r="FL11" s="31">
        <f t="shared" si="64"/>
        <v>4.9873819505397606E-2</v>
      </c>
      <c r="FM11" s="31">
        <f t="shared" si="65"/>
        <v>0.66824728824545387</v>
      </c>
      <c r="FN11" s="31">
        <f t="shared" si="66"/>
        <v>7.2602389091580696E-4</v>
      </c>
      <c r="FO11" s="31">
        <f t="shared" si="67"/>
        <v>9.2084952094865627E-2</v>
      </c>
      <c r="FP11" s="31">
        <f t="shared" si="68"/>
        <v>0.72712117408691723</v>
      </c>
      <c r="FQ11" s="31">
        <f t="shared" si="69"/>
        <v>6.782879621070402E-2</v>
      </c>
      <c r="FR11" s="31">
        <f t="shared" si="70"/>
        <v>0.88776094628340274</v>
      </c>
      <c r="FS11" s="31">
        <f t="shared" si="71"/>
        <v>0.88776094628340307</v>
      </c>
      <c r="FT11" s="31"/>
      <c r="FU11" s="31">
        <f t="shared" si="72"/>
        <v>1.0298999920224825E-2</v>
      </c>
      <c r="FV11" s="31">
        <f t="shared" si="73"/>
        <v>3.84685324172961E-2</v>
      </c>
      <c r="FW11" s="31">
        <f t="shared" si="74"/>
        <v>9.0000663360658203E-3</v>
      </c>
      <c r="FX11" s="31">
        <f t="shared" si="75"/>
        <v>4.9873819505397606E-2</v>
      </c>
      <c r="FY11" s="31">
        <f t="shared" si="76"/>
        <v>0.28818077628646699</v>
      </c>
      <c r="FZ11" s="31">
        <f t="shared" si="77"/>
        <v>7.2602389091580696E-4</v>
      </c>
      <c r="GA11" s="31">
        <f t="shared" si="78"/>
        <v>3.4642817484412877E-2</v>
      </c>
      <c r="GB11" s="31">
        <f t="shared" si="79"/>
        <v>0.3470546621279304</v>
      </c>
      <c r="GC11" s="31">
        <f t="shared" si="80"/>
        <v>4.8767532337520923E-2</v>
      </c>
      <c r="GD11" s="31">
        <f t="shared" si="81"/>
        <v>0.43119103584078006</v>
      </c>
    </row>
    <row r="12" spans="1:186">
      <c r="A12" s="39" t="str">
        <f>Basicinfo!A12</f>
        <v>Antiesen</v>
      </c>
      <c r="B12" s="63">
        <f>Basicinfo!B12</f>
        <v>670</v>
      </c>
      <c r="C12" s="63">
        <f>Basicinfo!C12</f>
        <v>680</v>
      </c>
      <c r="D12" s="227">
        <v>139.59965703099999</v>
      </c>
      <c r="E12" s="89">
        <v>2.1045518022938299</v>
      </c>
      <c r="F12" s="27">
        <v>8.451163728838371E-3</v>
      </c>
      <c r="G12" s="19">
        <v>0.34423592592628804</v>
      </c>
      <c r="H12" s="19">
        <v>0</v>
      </c>
      <c r="I12" s="19">
        <v>3.8409584783427583E-2</v>
      </c>
      <c r="J12" s="19">
        <v>1.5045190236323986</v>
      </c>
      <c r="K12" s="19">
        <v>1.1366615601894234E-2</v>
      </c>
      <c r="L12" s="19">
        <v>1.3309881441558662E-2</v>
      </c>
      <c r="M12" s="19">
        <v>1.4151983828333416E-2</v>
      </c>
      <c r="N12" s="19">
        <v>1.9344441789427391</v>
      </c>
      <c r="O12" s="19">
        <v>0.17010762335109081</v>
      </c>
      <c r="P12" s="56">
        <v>2873.0848084915233</v>
      </c>
      <c r="Q12" s="43">
        <v>728.57744289898062</v>
      </c>
      <c r="R12" s="88">
        <v>3601.662251390504</v>
      </c>
      <c r="S12" s="61">
        <v>1.3947517204824114</v>
      </c>
      <c r="T12" s="19">
        <v>20.287710426699284</v>
      </c>
      <c r="U12" s="19">
        <v>0</v>
      </c>
      <c r="V12" s="19">
        <v>16.099569858455673</v>
      </c>
      <c r="W12" s="19">
        <v>1.8214436072474516E-2</v>
      </c>
      <c r="X12" s="19">
        <v>13.723124688811428</v>
      </c>
      <c r="Y12" s="19">
        <v>157.75021045500552</v>
      </c>
      <c r="Z12" s="19">
        <v>0.974030682640597</v>
      </c>
      <c r="AA12" s="19">
        <v>3.8543646071937241</v>
      </c>
      <c r="AB12" s="19">
        <v>0.48493406114789928</v>
      </c>
      <c r="AC12" s="19">
        <v>214.58691093650901</v>
      </c>
      <c r="AD12" s="19">
        <v>18.532659375000001</v>
      </c>
      <c r="AE12" s="87">
        <v>233.11957031150902</v>
      </c>
      <c r="AF12" s="56">
        <v>2.6156455348584452E-2</v>
      </c>
      <c r="AG12" s="43">
        <v>0.3808857569006846</v>
      </c>
      <c r="AH12" s="43">
        <v>0</v>
      </c>
      <c r="AI12" s="43">
        <v>7.3656372450449394</v>
      </c>
      <c r="AJ12" s="43">
        <v>0.32785984930454132</v>
      </c>
      <c r="AK12" s="43">
        <v>9.338600432349177E-2</v>
      </c>
      <c r="AL12" s="58">
        <v>1.2208877765796395</v>
      </c>
      <c r="AM12" s="43">
        <v>0.21823413139583339</v>
      </c>
      <c r="AN12" s="42">
        <v>0.69195512614397436</v>
      </c>
      <c r="AO12" s="42">
        <v>7.4242670922138168E-2</v>
      </c>
      <c r="AP12" s="42">
        <v>10.399245015963825</v>
      </c>
      <c r="AQ12" s="43">
        <v>3.2633631666666663</v>
      </c>
      <c r="AR12" s="83">
        <v>13.662608182630491</v>
      </c>
      <c r="AS12" s="19">
        <f t="shared" si="2"/>
        <v>1.9091443705586137</v>
      </c>
      <c r="AT12" s="19">
        <f t="shared" si="3"/>
        <v>77.763974431547041</v>
      </c>
      <c r="AU12" s="19">
        <f t="shared" si="4"/>
        <v>0</v>
      </c>
      <c r="AV12" s="19">
        <f t="shared" si="5"/>
        <v>8.6768455703382585</v>
      </c>
      <c r="AW12" s="19">
        <f t="shared" si="6"/>
        <v>339.87556229264368</v>
      </c>
      <c r="AX12" s="53">
        <f t="shared" si="82"/>
        <v>2.567754085110225</v>
      </c>
      <c r="AY12" s="53">
        <f t="shared" si="83"/>
        <v>3.0067439280870509</v>
      </c>
      <c r="AZ12" s="53">
        <f t="shared" si="84"/>
        <v>3.1969774962356556</v>
      </c>
      <c r="BA12" s="19">
        <f t="shared" si="85"/>
        <v>436.99700217452056</v>
      </c>
      <c r="BB12" s="19">
        <f t="shared" si="7"/>
        <v>38.427845197418627</v>
      </c>
      <c r="BC12" s="53">
        <f t="shared" si="8"/>
        <v>475.42484737193917</v>
      </c>
      <c r="BD12" s="56">
        <f t="shared" si="9"/>
        <v>205.80887300127938</v>
      </c>
      <c r="BE12" s="43">
        <f t="shared" si="10"/>
        <v>52.190489460671827</v>
      </c>
      <c r="BF12" s="58">
        <f t="shared" si="11"/>
        <v>257.99936246195119</v>
      </c>
      <c r="BG12" s="61">
        <f t="shared" si="12"/>
        <v>99.910827157167574</v>
      </c>
      <c r="BH12" s="19">
        <f t="shared" si="13"/>
        <v>1453.2779562770793</v>
      </c>
      <c r="BI12" s="19">
        <f t="shared" si="14"/>
        <v>0</v>
      </c>
      <c r="BJ12" s="19">
        <f t="shared" si="15"/>
        <v>1153.2671498527068</v>
      </c>
      <c r="BK12" s="19">
        <f t="shared" si="16"/>
        <v>1.3047622365167957</v>
      </c>
      <c r="BL12" s="19">
        <f t="shared" si="17"/>
        <v>983.03426961600792</v>
      </c>
      <c r="BM12" s="19">
        <f t="shared" si="18"/>
        <v>11300.186104323662</v>
      </c>
      <c r="BN12" s="53">
        <f t="shared" si="19"/>
        <v>69.77314295437705</v>
      </c>
      <c r="BO12" s="53">
        <f t="shared" si="86"/>
        <v>276.10129488626256</v>
      </c>
      <c r="BP12" s="53">
        <f t="shared" si="87"/>
        <v>34.737482273342053</v>
      </c>
      <c r="BQ12" s="19">
        <f t="shared" si="88"/>
        <v>15371.592989577122</v>
      </c>
      <c r="BR12" s="19">
        <f t="shared" si="20"/>
        <v>1327.557658030963</v>
      </c>
      <c r="BS12" s="53">
        <f t="shared" si="21"/>
        <v>16699.150647608087</v>
      </c>
      <c r="BT12" s="56">
        <f t="shared" si="22"/>
        <v>1.8736761898187226</v>
      </c>
      <c r="BU12" s="43">
        <f t="shared" si="23"/>
        <v>27.284147038850087</v>
      </c>
      <c r="BV12" s="43">
        <f t="shared" si="24"/>
        <v>0</v>
      </c>
      <c r="BW12" s="43">
        <f t="shared" si="25"/>
        <v>527.62574075732152</v>
      </c>
      <c r="BX12" s="43">
        <f t="shared" si="26"/>
        <v>23.485720257302322</v>
      </c>
      <c r="BY12" s="58">
        <f t="shared" si="27"/>
        <v>6.689558291877046</v>
      </c>
      <c r="BZ12" s="58">
        <f t="shared" si="28"/>
        <v>87.456359316737078</v>
      </c>
      <c r="CA12" s="58">
        <f t="shared" si="29"/>
        <v>15.632855842000499</v>
      </c>
      <c r="CB12" s="58">
        <f t="shared" si="89"/>
        <v>49.567107889836464</v>
      </c>
      <c r="CC12" s="58">
        <f t="shared" si="90"/>
        <v>5.3182559686125579</v>
      </c>
      <c r="CD12" s="58">
        <f t="shared" si="91"/>
        <v>744.93342155235632</v>
      </c>
      <c r="CE12" s="58">
        <f t="shared" si="30"/>
        <v>233.76584413398612</v>
      </c>
      <c r="CF12" s="58">
        <f t="shared" si="92"/>
        <v>978.69926568634241</v>
      </c>
      <c r="CG12" s="127">
        <v>13</v>
      </c>
      <c r="CH12" s="128" t="s">
        <v>169</v>
      </c>
      <c r="CI12" s="128"/>
      <c r="CJ12" s="126">
        <f t="shared" si="93"/>
        <v>9</v>
      </c>
      <c r="CK12" s="126">
        <f t="shared" si="94"/>
        <v>10</v>
      </c>
      <c r="CN12" s="147">
        <f t="shared" si="31"/>
        <v>2.6156455348584452E-2</v>
      </c>
      <c r="CO12" s="147">
        <f t="shared" si="32"/>
        <v>0.3808857569006846</v>
      </c>
      <c r="CP12" s="147">
        <f t="shared" si="33"/>
        <v>0</v>
      </c>
      <c r="CQ12" s="31">
        <f>(AI12-(P12*450/1000000))*Parameters!$C$153</f>
        <v>4.8581992649790031</v>
      </c>
      <c r="CR12" s="31">
        <f t="shared" si="34"/>
        <v>9.338600432349177E-2</v>
      </c>
      <c r="CS12" s="31">
        <f t="shared" si="35"/>
        <v>1.2208877765796395</v>
      </c>
      <c r="CT12" s="31">
        <f>AM12*Parameters!$C$154</f>
        <v>0.19641071825625006</v>
      </c>
      <c r="CU12" s="31">
        <f>AQ12*Parameters!$C$155</f>
        <v>3.2633631666666663</v>
      </c>
      <c r="CV12" s="31">
        <f t="shared" si="36"/>
        <v>10.039289143054319</v>
      </c>
      <c r="CW12" s="188">
        <f t="shared" si="37"/>
        <v>73.480034037845272</v>
      </c>
      <c r="CY12" s="181">
        <v>25.275683800138886</v>
      </c>
      <c r="CZ12" s="181">
        <v>13.518531376792991</v>
      </c>
      <c r="DA12" s="181">
        <v>6.7394502224105235</v>
      </c>
      <c r="DB12" s="181">
        <v>16.406413923241672</v>
      </c>
      <c r="DC12" s="181">
        <v>14.17072183609163</v>
      </c>
      <c r="DD12" s="181">
        <v>107.19037745553115</v>
      </c>
      <c r="DE12" s="181">
        <v>3.5777303601357291</v>
      </c>
      <c r="DF12" s="181">
        <v>8.4733917253911031</v>
      </c>
      <c r="DG12" s="181">
        <v>24.377854392034259</v>
      </c>
      <c r="DH12" s="181">
        <v>12.051122085526831</v>
      </c>
      <c r="DI12" s="181">
        <v>144.50696343727498</v>
      </c>
      <c r="DJ12" s="181">
        <v>38.794215176931878</v>
      </c>
      <c r="DK12" s="181">
        <v>219.73015509176795</v>
      </c>
      <c r="DL12" s="181"/>
      <c r="DM12" s="181">
        <v>4.3628333333333336</v>
      </c>
      <c r="DN12" s="181">
        <v>2.2938438015247025</v>
      </c>
      <c r="DO12" s="181">
        <v>0.10788963962294151</v>
      </c>
      <c r="DP12" s="181">
        <v>1.52552510370631</v>
      </c>
      <c r="DQ12" s="181">
        <v>4.521441416028666</v>
      </c>
      <c r="DR12" s="181">
        <v>1.75666201458392E-2</v>
      </c>
      <c r="DS12" s="181">
        <v>0.84871865851669837</v>
      </c>
      <c r="DT12" s="181">
        <v>6.1548561593579176</v>
      </c>
      <c r="DU12" s="181">
        <v>6.656677134858036</v>
      </c>
      <c r="DV12" s="181">
        <v>13.677818572878492</v>
      </c>
      <c r="DW12" s="181">
        <v>13.67781857287849</v>
      </c>
      <c r="DX12" s="181"/>
      <c r="DY12" s="181">
        <v>3.4902666666666669</v>
      </c>
      <c r="DZ12" s="181">
        <v>1.6056906610672916</v>
      </c>
      <c r="EA12" s="181">
        <v>0.10788963962294151</v>
      </c>
      <c r="EB12" s="181">
        <v>1.52552510370631</v>
      </c>
      <c r="EC12" s="181">
        <v>2.1232192025726349</v>
      </c>
      <c r="ED12" s="181">
        <v>1.75666201458392E-2</v>
      </c>
      <c r="EE12" s="181">
        <v>0.36279360958849355</v>
      </c>
      <c r="EF12" s="181">
        <v>3.7566339459018865</v>
      </c>
      <c r="EG12" s="181">
        <v>5.0959573277339585</v>
      </c>
      <c r="EH12" s="181">
        <v>9.2329515033701774</v>
      </c>
      <c r="EJ12" s="31">
        <f t="shared" si="38"/>
        <v>1.8736761898187227E-3</v>
      </c>
      <c r="EK12" s="31">
        <f t="shared" si="39"/>
        <v>2.7284147038850088E-2</v>
      </c>
      <c r="EL12" s="31">
        <f t="shared" si="40"/>
        <v>0</v>
      </c>
      <c r="EM12" s="31">
        <f t="shared" si="41"/>
        <v>0.34800939832539662</v>
      </c>
      <c r="EN12" s="31">
        <f t="shared" si="42"/>
        <v>6.6895582918770459E-3</v>
      </c>
      <c r="EO12" s="31">
        <f t="shared" si="43"/>
        <v>8.7456359316737065E-2</v>
      </c>
      <c r="EP12" s="31">
        <f t="shared" si="44"/>
        <v>1.4069570257800448E-2</v>
      </c>
      <c r="EQ12" s="31">
        <f t="shared" si="45"/>
        <v>0.23376584413398616</v>
      </c>
      <c r="ER12" s="31">
        <f t="shared" si="46"/>
        <v>0.71914855355446605</v>
      </c>
      <c r="ES12" s="31">
        <f t="shared" si="47"/>
        <v>5.2636256850923386</v>
      </c>
      <c r="ET12" s="31"/>
      <c r="EU12" s="31">
        <f t="shared" si="48"/>
        <v>1.8105835170158102</v>
      </c>
      <c r="EV12" s="31">
        <f t="shared" si="49"/>
        <v>0.96837855223319191</v>
      </c>
      <c r="EW12" s="31">
        <f t="shared" si="50"/>
        <v>0.48276982664176155</v>
      </c>
      <c r="EX12" s="31">
        <f t="shared" si="51"/>
        <v>1.1752474377210258</v>
      </c>
      <c r="EY12" s="31">
        <f t="shared" si="52"/>
        <v>1.0150971812878329</v>
      </c>
      <c r="EZ12" s="31">
        <f t="shared" si="53"/>
        <v>7.6784126648483149</v>
      </c>
      <c r="FA12" s="31">
        <f t="shared" si="54"/>
        <v>0.25628503939241382</v>
      </c>
      <c r="FB12" s="31">
        <f t="shared" si="55"/>
        <v>0.60697797584914348</v>
      </c>
      <c r="FC12" s="31">
        <f t="shared" si="56"/>
        <v>1.7462689314932076</v>
      </c>
      <c r="FD12" s="31">
        <f t="shared" si="57"/>
        <v>0.86326301524155724</v>
      </c>
      <c r="FE12" s="31">
        <f t="shared" si="58"/>
        <v>10.351527110498935</v>
      </c>
      <c r="FF12" s="31">
        <f t="shared" si="59"/>
        <v>2.7789620692490025</v>
      </c>
      <c r="FG12" s="31">
        <f t="shared" si="60"/>
        <v>15.740021126482704</v>
      </c>
      <c r="FH12" s="31"/>
      <c r="FI12" s="31">
        <f t="shared" si="61"/>
        <v>0.31252464555586323</v>
      </c>
      <c r="FJ12" s="31">
        <f t="shared" si="62"/>
        <v>0.16431586225282224</v>
      </c>
      <c r="FK12" s="31">
        <f t="shared" si="63"/>
        <v>7.7285032010489217E-3</v>
      </c>
      <c r="FL12" s="31">
        <f t="shared" si="64"/>
        <v>0.10927857103313274</v>
      </c>
      <c r="FM12" s="31">
        <f t="shared" si="65"/>
        <v>0.32388628397737534</v>
      </c>
      <c r="FN12" s="31">
        <f t="shared" si="66"/>
        <v>1.2583569701706571E-3</v>
      </c>
      <c r="FO12" s="31">
        <f t="shared" si="67"/>
        <v>6.0796614874793632E-2</v>
      </c>
      <c r="FP12" s="31">
        <f t="shared" si="68"/>
        <v>0.44089335821155701</v>
      </c>
      <c r="FQ12" s="31">
        <f t="shared" si="69"/>
        <v>0.47684050780868537</v>
      </c>
      <c r="FR12" s="31">
        <f t="shared" si="70"/>
        <v>0.97978883786520665</v>
      </c>
      <c r="FS12" s="31">
        <f t="shared" si="71"/>
        <v>0.97978883786520654</v>
      </c>
      <c r="FT12" s="31"/>
      <c r="FU12" s="31">
        <f t="shared" si="72"/>
        <v>0.25001971644469057</v>
      </c>
      <c r="FV12" s="31">
        <f t="shared" si="73"/>
        <v>0.11502110357697556</v>
      </c>
      <c r="FW12" s="31">
        <f t="shared" si="74"/>
        <v>7.7285032010489217E-3</v>
      </c>
      <c r="FX12" s="31">
        <f t="shared" si="75"/>
        <v>0.10927857103313274</v>
      </c>
      <c r="FY12" s="31">
        <f t="shared" si="76"/>
        <v>0.1520934397497227</v>
      </c>
      <c r="FZ12" s="31">
        <f t="shared" si="77"/>
        <v>1.2583569701706571E-3</v>
      </c>
      <c r="GA12" s="31">
        <f t="shared" si="78"/>
        <v>2.598814476370313E-2</v>
      </c>
      <c r="GB12" s="31">
        <f t="shared" si="79"/>
        <v>0.26910051398390439</v>
      </c>
      <c r="GC12" s="31">
        <f t="shared" si="80"/>
        <v>0.3650408200216661</v>
      </c>
      <c r="GD12" s="31">
        <f t="shared" si="81"/>
        <v>0.66138783573944426</v>
      </c>
    </row>
    <row r="13" spans="1:186">
      <c r="A13" s="39" t="str">
        <f>Basicinfo!A13</f>
        <v>Antiesen</v>
      </c>
      <c r="B13" s="63">
        <f>Basicinfo!B13</f>
        <v>680</v>
      </c>
      <c r="C13" s="63">
        <f>Basicinfo!C13</f>
        <v>1050</v>
      </c>
      <c r="D13" s="227">
        <v>283.05610322299998</v>
      </c>
      <c r="E13" s="89">
        <v>4.0716438533673696</v>
      </c>
      <c r="F13" s="27">
        <v>1.6261379607162525E-2</v>
      </c>
      <c r="G13" s="19">
        <v>0.69294291073473191</v>
      </c>
      <c r="H13" s="19">
        <v>0</v>
      </c>
      <c r="I13" s="19">
        <v>7.103468636879437E-2</v>
      </c>
      <c r="J13" s="19">
        <v>3.0085034440930114</v>
      </c>
      <c r="K13" s="19">
        <v>1.6928951057275037E-2</v>
      </c>
      <c r="L13" s="19">
        <v>2.0023944112491029E-2</v>
      </c>
      <c r="M13" s="19">
        <v>2.2407029117647862E-2</v>
      </c>
      <c r="N13" s="19">
        <v>3.8481023450911138</v>
      </c>
      <c r="O13" s="19">
        <v>0.22354150827625568</v>
      </c>
      <c r="P13" s="56">
        <v>8284.7374225401509</v>
      </c>
      <c r="Q13" s="43">
        <v>2898.5689479298653</v>
      </c>
      <c r="R13" s="88">
        <v>11183.306370470014</v>
      </c>
      <c r="S13" s="61">
        <v>3.3535477697329945</v>
      </c>
      <c r="T13" s="19">
        <v>43.019687522456984</v>
      </c>
      <c r="U13" s="19">
        <v>0</v>
      </c>
      <c r="V13" s="19">
        <v>35.995560874474009</v>
      </c>
      <c r="W13" s="19">
        <v>7.2464223698246635E-2</v>
      </c>
      <c r="X13" s="19">
        <v>26.294199375406912</v>
      </c>
      <c r="Y13" s="19">
        <v>333.18219112739865</v>
      </c>
      <c r="Z13" s="19">
        <v>1.5235609008056494</v>
      </c>
      <c r="AA13" s="19">
        <v>5.5857807388892766</v>
      </c>
      <c r="AB13" s="19">
        <v>0.76956838476861766</v>
      </c>
      <c r="AC13" s="19">
        <v>449.79656091763133</v>
      </c>
      <c r="AD13" s="19">
        <v>25.057526152777779</v>
      </c>
      <c r="AE13" s="87">
        <v>474.85408707040915</v>
      </c>
      <c r="AF13" s="56">
        <v>6.3763601207491583E-2</v>
      </c>
      <c r="AG13" s="43">
        <v>0.76833240483281018</v>
      </c>
      <c r="AH13" s="43">
        <v>0</v>
      </c>
      <c r="AI13" s="43">
        <v>18.254443491104347</v>
      </c>
      <c r="AJ13" s="43">
        <v>1.3043560265684393</v>
      </c>
      <c r="AK13" s="43">
        <v>0.16927812062468245</v>
      </c>
      <c r="AL13" s="58">
        <v>3.3776944166371159</v>
      </c>
      <c r="AM13" s="43">
        <v>0.35347910248025177</v>
      </c>
      <c r="AN13" s="42">
        <v>1.0258195728354678</v>
      </c>
      <c r="AO13" s="42">
        <v>0.12022822796668052</v>
      </c>
      <c r="AP13" s="42">
        <v>25.437394964257287</v>
      </c>
      <c r="AQ13" s="43">
        <v>4.179154791666666</v>
      </c>
      <c r="AR13" s="83">
        <v>29.616549755923952</v>
      </c>
      <c r="AS13" s="19">
        <f t="shared" si="2"/>
        <v>1.8117216391107578</v>
      </c>
      <c r="AT13" s="19">
        <f t="shared" si="3"/>
        <v>77.202531173526197</v>
      </c>
      <c r="AU13" s="19">
        <f t="shared" si="4"/>
        <v>0</v>
      </c>
      <c r="AV13" s="19">
        <f t="shared" si="5"/>
        <v>7.9141549813587417</v>
      </c>
      <c r="AW13" s="19">
        <f t="shared" si="6"/>
        <v>335.18501644237983</v>
      </c>
      <c r="AX13" s="53">
        <f t="shared" si="82"/>
        <v>1.8860974713610958</v>
      </c>
      <c r="AY13" s="53">
        <f t="shared" si="83"/>
        <v>2.2309185152387347</v>
      </c>
      <c r="AZ13" s="53">
        <f t="shared" si="84"/>
        <v>2.4964240735605707</v>
      </c>
      <c r="BA13" s="19">
        <f t="shared" si="85"/>
        <v>428.72686429653589</v>
      </c>
      <c r="BB13" s="19">
        <f t="shared" si="7"/>
        <v>24.905327688504606</v>
      </c>
      <c r="BC13" s="53">
        <f t="shared" si="8"/>
        <v>453.63219198504049</v>
      </c>
      <c r="BD13" s="56">
        <f t="shared" si="9"/>
        <v>292.68888139865294</v>
      </c>
      <c r="BE13" s="43">
        <f t="shared" si="10"/>
        <v>102.40263025334899</v>
      </c>
      <c r="BF13" s="58">
        <f t="shared" si="11"/>
        <v>395.09151165200194</v>
      </c>
      <c r="BG13" s="61">
        <f t="shared" si="12"/>
        <v>118.47643387823261</v>
      </c>
      <c r="BH13" s="19">
        <f t="shared" si="13"/>
        <v>1519.8290032476282</v>
      </c>
      <c r="BI13" s="19">
        <f t="shared" si="14"/>
        <v>0</v>
      </c>
      <c r="BJ13" s="19">
        <f t="shared" si="15"/>
        <v>1271.6758432202269</v>
      </c>
      <c r="BK13" s="19">
        <f t="shared" si="16"/>
        <v>2.5600657563337248</v>
      </c>
      <c r="BL13" s="19">
        <f t="shared" si="17"/>
        <v>928.9394955985656</v>
      </c>
      <c r="BM13" s="19">
        <f t="shared" si="18"/>
        <v>11770.888786132544</v>
      </c>
      <c r="BN13" s="53">
        <f t="shared" si="19"/>
        <v>53.825403637572968</v>
      </c>
      <c r="BO13" s="53">
        <f t="shared" si="86"/>
        <v>197.33829001696648</v>
      </c>
      <c r="BP13" s="53">
        <f t="shared" si="87"/>
        <v>27.187839301324967</v>
      </c>
      <c r="BQ13" s="19">
        <f t="shared" si="88"/>
        <v>15890.721160789395</v>
      </c>
      <c r="BR13" s="19">
        <f t="shared" si="20"/>
        <v>885.2494564668234</v>
      </c>
      <c r="BS13" s="53">
        <f t="shared" si="21"/>
        <v>16775.970617256218</v>
      </c>
      <c r="BT13" s="56">
        <f t="shared" si="22"/>
        <v>2.2526842022288682</v>
      </c>
      <c r="BU13" s="43">
        <f t="shared" si="23"/>
        <v>27.144173755105189</v>
      </c>
      <c r="BV13" s="43">
        <f t="shared" si="24"/>
        <v>0</v>
      </c>
      <c r="BW13" s="43">
        <f t="shared" si="25"/>
        <v>644.90548987466821</v>
      </c>
      <c r="BX13" s="43">
        <f t="shared" si="26"/>
        <v>46.081183614007045</v>
      </c>
      <c r="BY13" s="58">
        <f t="shared" si="27"/>
        <v>5.9803734559053163</v>
      </c>
      <c r="BZ13" s="58">
        <f t="shared" si="28"/>
        <v>119.32950316835486</v>
      </c>
      <c r="CA13" s="58">
        <f t="shared" si="29"/>
        <v>12.487951980380741</v>
      </c>
      <c r="CB13" s="58">
        <f t="shared" si="89"/>
        <v>36.240856888618183</v>
      </c>
      <c r="CC13" s="58">
        <f t="shared" si="90"/>
        <v>4.2475052329806555</v>
      </c>
      <c r="CD13" s="58">
        <f t="shared" si="91"/>
        <v>898.66972217224918</v>
      </c>
      <c r="CE13" s="58">
        <f t="shared" si="30"/>
        <v>147.64404455798658</v>
      </c>
      <c r="CF13" s="58">
        <f t="shared" si="92"/>
        <v>1046.3137667302358</v>
      </c>
      <c r="CG13" s="127">
        <v>17</v>
      </c>
      <c r="CH13" s="128" t="s">
        <v>169</v>
      </c>
      <c r="CI13" s="128"/>
      <c r="CJ13" s="126">
        <f t="shared" si="93"/>
        <v>10</v>
      </c>
      <c r="CK13" s="126">
        <f t="shared" si="94"/>
        <v>14</v>
      </c>
      <c r="CN13" s="147">
        <f t="shared" si="31"/>
        <v>6.3763601207491583E-2</v>
      </c>
      <c r="CO13" s="147">
        <f t="shared" si="32"/>
        <v>0.76833240483281018</v>
      </c>
      <c r="CP13" s="147">
        <f t="shared" si="33"/>
        <v>0</v>
      </c>
      <c r="CQ13" s="31">
        <f>(AI13-(P13*450/1000000))*Parameters!$C$153</f>
        <v>11.621049320769025</v>
      </c>
      <c r="CR13" s="31">
        <f t="shared" si="34"/>
        <v>0.16927812062468245</v>
      </c>
      <c r="CS13" s="31">
        <f t="shared" si="35"/>
        <v>3.3776944166371159</v>
      </c>
      <c r="CT13" s="31">
        <f>AM13*Parameters!$C$154</f>
        <v>0.31813119223222658</v>
      </c>
      <c r="CU13" s="31">
        <f>AQ13*Parameters!$C$155</f>
        <v>4.179154791666666</v>
      </c>
      <c r="CV13" s="31">
        <f t="shared" si="36"/>
        <v>20.497403847970016</v>
      </c>
      <c r="CW13" s="188">
        <f t="shared" si="37"/>
        <v>69.209290133028048</v>
      </c>
      <c r="CY13" s="181">
        <v>34.059591000138887</v>
      </c>
      <c r="CZ13" s="181">
        <v>19.993243225454208</v>
      </c>
      <c r="DA13" s="181">
        <v>11.315293058360165</v>
      </c>
      <c r="DB13" s="181">
        <v>42.446004482406849</v>
      </c>
      <c r="DC13" s="181">
        <v>27.691427870552801</v>
      </c>
      <c r="DD13" s="181">
        <v>265.75223172334108</v>
      </c>
      <c r="DE13" s="181">
        <v>5.8056187568773385</v>
      </c>
      <c r="DF13" s="181">
        <v>20.997228017004733</v>
      </c>
      <c r="DG13" s="181">
        <v>56.972311415103086</v>
      </c>
      <c r="DH13" s="181">
        <v>26.802846773882074</v>
      </c>
      <c r="DI13" s="181">
        <v>347.2049571346609</v>
      </c>
      <c r="DJ13" s="181">
        <v>54.052834225593095</v>
      </c>
      <c r="DK13" s="181">
        <v>485.03294954923911</v>
      </c>
      <c r="DL13" s="181"/>
      <c r="DM13" s="181">
        <v>5.4711742291666674</v>
      </c>
      <c r="DN13" s="181">
        <v>3.4082090378890451</v>
      </c>
      <c r="DO13" s="181">
        <v>0.19671785254342547</v>
      </c>
      <c r="DP13" s="181">
        <v>2.362079270788465</v>
      </c>
      <c r="DQ13" s="181">
        <v>14.556072920939243</v>
      </c>
      <c r="DR13" s="181">
        <v>4.4528595803326632E-2</v>
      </c>
      <c r="DS13" s="181">
        <v>2.2044822425201667</v>
      </c>
      <c r="DT13" s="181">
        <v>17.114870044271136</v>
      </c>
      <c r="DU13" s="181">
        <v>8.8793832670557116</v>
      </c>
      <c r="DV13" s="181">
        <v>28.243264149650344</v>
      </c>
      <c r="DW13" s="181">
        <v>28.243264149650336</v>
      </c>
      <c r="DX13" s="181"/>
      <c r="DY13" s="181">
        <v>4.3769393833333332</v>
      </c>
      <c r="DZ13" s="181">
        <v>2.3857463265223315</v>
      </c>
      <c r="EA13" s="181">
        <v>0.19671785254342547</v>
      </c>
      <c r="EB13" s="181">
        <v>2.362079270788465</v>
      </c>
      <c r="EC13" s="181">
        <v>6.4766667264315876</v>
      </c>
      <c r="ED13" s="181">
        <v>4.4528595803326632E-2</v>
      </c>
      <c r="EE13" s="181">
        <v>0.8631567836263081</v>
      </c>
      <c r="EF13" s="181">
        <v>9.0354638497634774</v>
      </c>
      <c r="EG13" s="181">
        <v>6.7626857098556652</v>
      </c>
      <c r="EH13" s="181">
        <v>16.705834939048778</v>
      </c>
      <c r="EJ13" s="31">
        <f t="shared" si="38"/>
        <v>2.2526842022288678E-3</v>
      </c>
      <c r="EK13" s="31">
        <f t="shared" si="39"/>
        <v>2.7144173755105191E-2</v>
      </c>
      <c r="EL13" s="31">
        <f t="shared" si="40"/>
        <v>0</v>
      </c>
      <c r="EM13" s="31">
        <f t="shared" si="41"/>
        <v>0.41055639459621962</v>
      </c>
      <c r="EN13" s="31">
        <f t="shared" si="42"/>
        <v>5.9803734559053167E-3</v>
      </c>
      <c r="EO13" s="31">
        <f t="shared" si="43"/>
        <v>0.11932950316835486</v>
      </c>
      <c r="EP13" s="31">
        <f t="shared" si="44"/>
        <v>1.1239156782342665E-2</v>
      </c>
      <c r="EQ13" s="31">
        <f t="shared" si="45"/>
        <v>0.1476440445579866</v>
      </c>
      <c r="ER13" s="31">
        <f t="shared" si="46"/>
        <v>0.72414633051814303</v>
      </c>
      <c r="ES13" s="31">
        <f t="shared" si="47"/>
        <v>2.4450732326553268</v>
      </c>
      <c r="ET13" s="31"/>
      <c r="EU13" s="31">
        <f t="shared" si="48"/>
        <v>1.2032805727317504</v>
      </c>
      <c r="EV13" s="31">
        <f t="shared" si="49"/>
        <v>0.70633499853217929</v>
      </c>
      <c r="EW13" s="31">
        <f t="shared" si="50"/>
        <v>0.39975442781552184</v>
      </c>
      <c r="EX13" s="31">
        <f t="shared" si="51"/>
        <v>1.4995615356495822</v>
      </c>
      <c r="EY13" s="31">
        <f t="shared" si="52"/>
        <v>0.97830174143027304</v>
      </c>
      <c r="EZ13" s="31">
        <f t="shared" si="53"/>
        <v>9.3886769688895768</v>
      </c>
      <c r="FA13" s="31">
        <f t="shared" si="54"/>
        <v>0.20510487817687156</v>
      </c>
      <c r="FB13" s="31">
        <f t="shared" si="55"/>
        <v>0.74180446130364819</v>
      </c>
      <c r="FC13" s="31">
        <f t="shared" si="56"/>
        <v>2.0127568622047556</v>
      </c>
      <c r="FD13" s="31">
        <f t="shared" si="57"/>
        <v>0.94690933948051981</v>
      </c>
      <c r="FE13" s="31">
        <f t="shared" si="58"/>
        <v>12.266294673784955</v>
      </c>
      <c r="FF13" s="31">
        <f t="shared" si="59"/>
        <v>1.9096155712639296</v>
      </c>
      <c r="FG13" s="31">
        <f t="shared" si="60"/>
        <v>17.135576446734159</v>
      </c>
      <c r="FH13" s="31"/>
      <c r="FI13" s="31">
        <f t="shared" si="61"/>
        <v>0.1932893926988147</v>
      </c>
      <c r="FJ13" s="31">
        <f t="shared" si="62"/>
        <v>0.12040754462036654</v>
      </c>
      <c r="FK13" s="31">
        <f t="shared" si="63"/>
        <v>6.9497831102566018E-3</v>
      </c>
      <c r="FL13" s="31">
        <f t="shared" si="64"/>
        <v>8.3449155269672795E-2</v>
      </c>
      <c r="FM13" s="31">
        <f t="shared" si="65"/>
        <v>0.51424691978718928</v>
      </c>
      <c r="FN13" s="31">
        <f t="shared" si="66"/>
        <v>1.5731367490862997E-3</v>
      </c>
      <c r="FO13" s="31">
        <f t="shared" si="67"/>
        <v>7.788145944987486E-2</v>
      </c>
      <c r="FP13" s="31">
        <f t="shared" si="68"/>
        <v>0.6046458581671188</v>
      </c>
      <c r="FQ13" s="31">
        <f t="shared" si="69"/>
        <v>0.31369693731918119</v>
      </c>
      <c r="FR13" s="31">
        <f t="shared" si="70"/>
        <v>0.99779739168526116</v>
      </c>
      <c r="FS13" s="31">
        <f t="shared" si="71"/>
        <v>0.99779739168526094</v>
      </c>
      <c r="FT13" s="31"/>
      <c r="FU13" s="31">
        <f t="shared" si="72"/>
        <v>0.15463151415905174</v>
      </c>
      <c r="FV13" s="31">
        <f t="shared" si="73"/>
        <v>8.4285281234256576E-2</v>
      </c>
      <c r="FW13" s="31">
        <f t="shared" si="74"/>
        <v>6.9497831102566018E-3</v>
      </c>
      <c r="FX13" s="31">
        <f t="shared" si="75"/>
        <v>8.3449155269672795E-2</v>
      </c>
      <c r="FY13" s="31">
        <f t="shared" si="76"/>
        <v>0.22881212073102969</v>
      </c>
      <c r="FZ13" s="31">
        <f t="shared" si="77"/>
        <v>1.5731367490862997E-3</v>
      </c>
      <c r="GA13" s="31">
        <f t="shared" si="78"/>
        <v>3.0494194394610444E-2</v>
      </c>
      <c r="GB13" s="31">
        <f t="shared" si="79"/>
        <v>0.31921105911095909</v>
      </c>
      <c r="GC13" s="31">
        <f t="shared" si="80"/>
        <v>0.23891679539330835</v>
      </c>
      <c r="GD13" s="31">
        <f t="shared" si="81"/>
        <v>0.59019518564796425</v>
      </c>
    </row>
    <row r="14" spans="1:186">
      <c r="A14" s="39" t="str">
        <f>Basicinfo!A14</f>
        <v>Pram</v>
      </c>
      <c r="B14" s="63">
        <f>Basicinfo!B14</f>
        <v>690</v>
      </c>
      <c r="C14" s="63">
        <f>Basicinfo!C14</f>
        <v>700</v>
      </c>
      <c r="D14" s="227">
        <v>83.768448207000006</v>
      </c>
      <c r="E14" s="89">
        <v>1.1858115665776405</v>
      </c>
      <c r="F14" s="27">
        <v>4.8764375734276968E-3</v>
      </c>
      <c r="G14" s="19">
        <v>0.21071259026785394</v>
      </c>
      <c r="H14" s="19">
        <v>0</v>
      </c>
      <c r="I14" s="19">
        <v>1.3779909096368434E-2</v>
      </c>
      <c r="J14" s="19">
        <v>0.90121668068941452</v>
      </c>
      <c r="K14" s="19">
        <v>3.920808975127853E-3</v>
      </c>
      <c r="L14" s="19">
        <v>2.5261947328813028E-3</v>
      </c>
      <c r="M14" s="19">
        <v>7.7745265359031928E-3</v>
      </c>
      <c r="N14" s="19">
        <v>1.1448071478709771</v>
      </c>
      <c r="O14" s="19">
        <v>4.1004418706663284E-2</v>
      </c>
      <c r="P14" s="56">
        <v>1951.3216902773088</v>
      </c>
      <c r="Q14" s="43">
        <v>636.52393683135244</v>
      </c>
      <c r="R14" s="88">
        <v>2587.8456271086611</v>
      </c>
      <c r="S14" s="61">
        <v>1.0391850855363252</v>
      </c>
      <c r="T14" s="19">
        <v>12.079220396128488</v>
      </c>
      <c r="U14" s="19">
        <v>0</v>
      </c>
      <c r="V14" s="19">
        <v>8.1593287517040309</v>
      </c>
      <c r="W14" s="19">
        <v>1.5913098420783811E-2</v>
      </c>
      <c r="X14" s="19">
        <v>5.2213337511348792</v>
      </c>
      <c r="Y14" s="19">
        <v>104.15946051378678</v>
      </c>
      <c r="Z14" s="19">
        <v>0.35418160104821667</v>
      </c>
      <c r="AA14" s="19">
        <v>0.64523864853616764</v>
      </c>
      <c r="AB14" s="19">
        <v>0.33452998720898852</v>
      </c>
      <c r="AC14" s="19">
        <v>132.00839183350467</v>
      </c>
      <c r="AD14" s="19">
        <v>2.268991666666667</v>
      </c>
      <c r="AE14" s="87">
        <v>134.27738350017134</v>
      </c>
      <c r="AF14" s="56">
        <v>2.2521717682302309E-2</v>
      </c>
      <c r="AG14" s="43">
        <v>0.23315033144104419</v>
      </c>
      <c r="AH14" s="43">
        <v>0</v>
      </c>
      <c r="AI14" s="43">
        <v>5.0123572585541831</v>
      </c>
      <c r="AJ14" s="43">
        <v>0.28643577157410866</v>
      </c>
      <c r="AK14" s="43">
        <v>2.7247266570456747E-2</v>
      </c>
      <c r="AL14" s="58">
        <v>0.85222907565514672</v>
      </c>
      <c r="AM14" s="43">
        <v>9.1742771865272868E-2</v>
      </c>
      <c r="AN14" s="42">
        <v>0.12566226181207421</v>
      </c>
      <c r="AO14" s="42">
        <v>5.1894427808114887E-2</v>
      </c>
      <c r="AP14" s="42">
        <v>6.7032408829627039</v>
      </c>
      <c r="AQ14" s="43">
        <v>0.84725866666666683</v>
      </c>
      <c r="AR14" s="83">
        <v>7.5504995496293708</v>
      </c>
      <c r="AS14" s="19">
        <f t="shared" si="2"/>
        <v>1.8358145412411393</v>
      </c>
      <c r="AT14" s="19">
        <f t="shared" si="3"/>
        <v>79.326194873116421</v>
      </c>
      <c r="AU14" s="19">
        <f t="shared" si="4"/>
        <v>0</v>
      </c>
      <c r="AV14" s="19">
        <f t="shared" si="5"/>
        <v>5.1876717614396632</v>
      </c>
      <c r="AW14" s="19">
        <f t="shared" si="6"/>
        <v>339.27773344912498</v>
      </c>
      <c r="AX14" s="53">
        <f t="shared" si="82"/>
        <v>1.4760525530339192</v>
      </c>
      <c r="AY14" s="53">
        <f t="shared" si="83"/>
        <v>0.95102725192284954</v>
      </c>
      <c r="AZ14" s="53">
        <f t="shared" si="84"/>
        <v>2.9268474477453092</v>
      </c>
      <c r="BA14" s="19">
        <f t="shared" si="85"/>
        <v>430.98134187762429</v>
      </c>
      <c r="BB14" s="19">
        <f t="shared" si="7"/>
        <v>15.436782893935426</v>
      </c>
      <c r="BC14" s="53">
        <f t="shared" si="8"/>
        <v>446.41812477155969</v>
      </c>
      <c r="BD14" s="56">
        <f t="shared" si="9"/>
        <v>232.94232280099098</v>
      </c>
      <c r="BE14" s="43">
        <f t="shared" si="10"/>
        <v>75.986120127048281</v>
      </c>
      <c r="BF14" s="58">
        <f t="shared" si="11"/>
        <v>308.92844292803926</v>
      </c>
      <c r="BG14" s="61">
        <f t="shared" si="12"/>
        <v>124.05447489828123</v>
      </c>
      <c r="BH14" s="19">
        <f t="shared" si="13"/>
        <v>1441.9773380879105</v>
      </c>
      <c r="BI14" s="19">
        <f t="shared" si="14"/>
        <v>0</v>
      </c>
      <c r="BJ14" s="19">
        <f t="shared" si="15"/>
        <v>974.03365185201164</v>
      </c>
      <c r="BK14" s="19">
        <f t="shared" si="16"/>
        <v>1.8996530031762071</v>
      </c>
      <c r="BL14" s="19">
        <f t="shared" si="17"/>
        <v>623.30553602144505</v>
      </c>
      <c r="BM14" s="19">
        <f t="shared" si="18"/>
        <v>12434.211537069255</v>
      </c>
      <c r="BN14" s="53">
        <f t="shared" si="19"/>
        <v>42.281026881744239</v>
      </c>
      <c r="BO14" s="53">
        <f t="shared" si="86"/>
        <v>77.026453557038565</v>
      </c>
      <c r="BP14" s="53">
        <f t="shared" si="87"/>
        <v>39.935082285675428</v>
      </c>
      <c r="BQ14" s="19">
        <f t="shared" si="88"/>
        <v>15758.724753656539</v>
      </c>
      <c r="BR14" s="19">
        <f t="shared" si="20"/>
        <v>270.86471281642554</v>
      </c>
      <c r="BS14" s="53">
        <f t="shared" si="21"/>
        <v>16029.589466472964</v>
      </c>
      <c r="BT14" s="56">
        <f t="shared" si="22"/>
        <v>2.6885680902968323</v>
      </c>
      <c r="BU14" s="43">
        <f t="shared" si="23"/>
        <v>27.832714635575794</v>
      </c>
      <c r="BV14" s="43">
        <f t="shared" si="24"/>
        <v>0</v>
      </c>
      <c r="BW14" s="43">
        <f t="shared" si="25"/>
        <v>598.35861423243273</v>
      </c>
      <c r="BX14" s="43">
        <f t="shared" si="26"/>
        <v>34.193754057171738</v>
      </c>
      <c r="BY14" s="58">
        <f t="shared" si="27"/>
        <v>3.2526884708579171</v>
      </c>
      <c r="BZ14" s="58">
        <f t="shared" si="28"/>
        <v>101.73628542684779</v>
      </c>
      <c r="CA14" s="58">
        <f t="shared" si="29"/>
        <v>10.95194835632714</v>
      </c>
      <c r="CB14" s="58">
        <f t="shared" si="89"/>
        <v>15.001144762948277</v>
      </c>
      <c r="CC14" s="58">
        <f t="shared" si="90"/>
        <v>6.1949849757128961</v>
      </c>
      <c r="CD14" s="58">
        <f t="shared" si="91"/>
        <v>800.21070300817121</v>
      </c>
      <c r="CE14" s="58">
        <f t="shared" si="30"/>
        <v>101.14293445821129</v>
      </c>
      <c r="CF14" s="58">
        <f t="shared" si="92"/>
        <v>901.35363746638245</v>
      </c>
      <c r="CG14" s="127">
        <v>15</v>
      </c>
      <c r="CH14" s="128" t="s">
        <v>169</v>
      </c>
      <c r="CI14" s="128"/>
      <c r="CJ14" s="126">
        <f t="shared" si="93"/>
        <v>11</v>
      </c>
      <c r="CK14" s="126">
        <f t="shared" si="94"/>
        <v>12</v>
      </c>
      <c r="CN14" s="147">
        <f t="shared" si="31"/>
        <v>2.2521717682302309E-2</v>
      </c>
      <c r="CO14" s="147">
        <f t="shared" si="32"/>
        <v>0.23315033144104419</v>
      </c>
      <c r="CP14" s="147">
        <f t="shared" si="33"/>
        <v>0</v>
      </c>
      <c r="CQ14" s="31">
        <f>(AI14-(P14*450/1000000))*Parameters!$C$153</f>
        <v>3.3074099983435157</v>
      </c>
      <c r="CR14" s="31">
        <f t="shared" si="34"/>
        <v>2.7247266570456747E-2</v>
      </c>
      <c r="CS14" s="31">
        <f t="shared" si="35"/>
        <v>0.85222907565514672</v>
      </c>
      <c r="CT14" s="31">
        <f>AM14*Parameters!$C$154</f>
        <v>8.256849467874558E-2</v>
      </c>
      <c r="CU14" s="31">
        <f>AQ14*Parameters!$C$155</f>
        <v>0.84725866666666683</v>
      </c>
      <c r="CV14" s="31">
        <f t="shared" si="36"/>
        <v>5.372385551037878</v>
      </c>
      <c r="CW14" s="188">
        <f t="shared" si="37"/>
        <v>71.152716661000142</v>
      </c>
      <c r="CY14" s="181">
        <v>7.9290803333333333</v>
      </c>
      <c r="CZ14" s="181">
        <v>4.5222057031835812</v>
      </c>
      <c r="DA14" s="181">
        <v>1.9195357490946117</v>
      </c>
      <c r="DB14" s="181">
        <v>12.566047981791764</v>
      </c>
      <c r="DC14" s="181">
        <v>5.6817804241161669</v>
      </c>
      <c r="DD14" s="181">
        <v>91.369220509131111</v>
      </c>
      <c r="DE14" s="181">
        <v>0.97400515563010126</v>
      </c>
      <c r="DF14" s="181">
        <v>6.3067865278631636</v>
      </c>
      <c r="DG14" s="181">
        <v>18.344194614563968</v>
      </c>
      <c r="DH14" s="181">
        <v>7.2807916834932644</v>
      </c>
      <c r="DI14" s="181">
        <v>111.53658466413366</v>
      </c>
      <c r="DJ14" s="181">
        <v>12.451286036516915</v>
      </c>
      <c r="DK14" s="181">
        <v>149.6128569987078</v>
      </c>
      <c r="DL14" s="181"/>
      <c r="DM14" s="181">
        <v>1.3761666666666665</v>
      </c>
      <c r="DN14" s="181">
        <v>0.77659546302894533</v>
      </c>
      <c r="DO14" s="181">
        <v>3.1202988929042278E-2</v>
      </c>
      <c r="DP14" s="181">
        <v>0.40299215364376162</v>
      </c>
      <c r="DQ14" s="181">
        <v>3.7021722633243268</v>
      </c>
      <c r="DR14" s="181">
        <v>1.402192022583716E-2</v>
      </c>
      <c r="DS14" s="181">
        <v>0.62882928798829774</v>
      </c>
      <c r="DT14" s="181">
        <v>4.1363674058971309</v>
      </c>
      <c r="DU14" s="181">
        <v>2.1527621296956116</v>
      </c>
      <c r="DV14" s="181">
        <v>6.9319807438068777</v>
      </c>
      <c r="DW14" s="181">
        <v>6.9319807438068777</v>
      </c>
      <c r="DX14" s="181"/>
      <c r="DY14" s="181">
        <v>1.1009333333333333</v>
      </c>
      <c r="DZ14" s="181">
        <v>0.54361682412026169</v>
      </c>
      <c r="EA14" s="181">
        <v>3.1202988929042278E-2</v>
      </c>
      <c r="EB14" s="181">
        <v>0.40299215364376162</v>
      </c>
      <c r="EC14" s="181">
        <v>1.7534526510715123</v>
      </c>
      <c r="ED14" s="181">
        <v>1.402192022583716E-2</v>
      </c>
      <c r="EE14" s="181">
        <v>0.27916309656291177</v>
      </c>
      <c r="EF14" s="181">
        <v>2.1876477936443162</v>
      </c>
      <c r="EG14" s="181">
        <v>1.644550157453595</v>
      </c>
      <c r="EH14" s="181">
        <v>4.1253829678866598</v>
      </c>
      <c r="EJ14" s="31">
        <f t="shared" si="38"/>
        <v>2.6885680902968318E-3</v>
      </c>
      <c r="EK14" s="31">
        <f t="shared" si="39"/>
        <v>2.7832714635575795E-2</v>
      </c>
      <c r="EL14" s="31">
        <f t="shared" si="40"/>
        <v>0</v>
      </c>
      <c r="EM14" s="31">
        <f t="shared" si="41"/>
        <v>0.39482765517758944</v>
      </c>
      <c r="EN14" s="31">
        <f t="shared" si="42"/>
        <v>3.252688470857917E-3</v>
      </c>
      <c r="EO14" s="31">
        <f t="shared" si="43"/>
        <v>0.10173628542684778</v>
      </c>
      <c r="EP14" s="31">
        <f t="shared" si="44"/>
        <v>9.8567535206944227E-3</v>
      </c>
      <c r="EQ14" s="31">
        <f t="shared" si="45"/>
        <v>0.10114293445821128</v>
      </c>
      <c r="ER14" s="31">
        <f t="shared" si="46"/>
        <v>0.64133759978007332</v>
      </c>
      <c r="ES14" s="31">
        <f t="shared" si="47"/>
        <v>8.4939757371623799</v>
      </c>
      <c r="ET14" s="31"/>
      <c r="EU14" s="31">
        <f t="shared" si="48"/>
        <v>0.94654735799089917</v>
      </c>
      <c r="EV14" s="31">
        <f t="shared" si="49"/>
        <v>0.53984594438335176</v>
      </c>
      <c r="EW14" s="31">
        <f t="shared" si="50"/>
        <v>0.229147822381913</v>
      </c>
      <c r="EX14" s="31">
        <f t="shared" si="51"/>
        <v>1.5000932034385825</v>
      </c>
      <c r="EY14" s="31">
        <f t="shared" si="52"/>
        <v>0.67827213536007425</v>
      </c>
      <c r="EZ14" s="31">
        <f t="shared" si="53"/>
        <v>10.907355032213186</v>
      </c>
      <c r="FA14" s="31">
        <f t="shared" si="54"/>
        <v>0.11627351066874719</v>
      </c>
      <c r="FB14" s="31">
        <f t="shared" si="55"/>
        <v>0.75288329470763016</v>
      </c>
      <c r="FC14" s="31">
        <f t="shared" si="56"/>
        <v>2.1898692177314389</v>
      </c>
      <c r="FD14" s="31">
        <f t="shared" si="57"/>
        <v>0.86915680537637729</v>
      </c>
      <c r="FE14" s="31">
        <f t="shared" si="58"/>
        <v>13.314868193393757</v>
      </c>
      <c r="FF14" s="31">
        <f t="shared" si="59"/>
        <v>1.4863933023742513</v>
      </c>
      <c r="FG14" s="31">
        <f t="shared" si="60"/>
        <v>17.860287518875822</v>
      </c>
      <c r="FH14" s="31"/>
      <c r="FI14" s="31">
        <f t="shared" si="61"/>
        <v>0.16428222034936407</v>
      </c>
      <c r="FJ14" s="31">
        <f t="shared" si="62"/>
        <v>9.2707395165050957E-2</v>
      </c>
      <c r="FK14" s="31">
        <f t="shared" si="63"/>
        <v>3.7249095091193107E-3</v>
      </c>
      <c r="FL14" s="31">
        <f t="shared" si="64"/>
        <v>4.8107869044909213E-2</v>
      </c>
      <c r="FM14" s="31">
        <f t="shared" si="65"/>
        <v>0.44195306736205708</v>
      </c>
      <c r="FN14" s="31">
        <f t="shared" si="66"/>
        <v>1.6738904117201297E-3</v>
      </c>
      <c r="FO14" s="31">
        <f t="shared" si="67"/>
        <v>7.5067558424193229E-2</v>
      </c>
      <c r="FP14" s="31">
        <f t="shared" si="68"/>
        <v>0.49378584591608571</v>
      </c>
      <c r="FQ14" s="31">
        <f t="shared" si="69"/>
        <v>0.25698961551441502</v>
      </c>
      <c r="FR14" s="31">
        <f t="shared" si="70"/>
        <v>0.82751691026641394</v>
      </c>
      <c r="FS14" s="31">
        <f t="shared" si="71"/>
        <v>0.82751691026641394</v>
      </c>
      <c r="FT14" s="31"/>
      <c r="FU14" s="31">
        <f t="shared" si="72"/>
        <v>0.13142577627949126</v>
      </c>
      <c r="FV14" s="31">
        <f t="shared" si="73"/>
        <v>6.4895176615535663E-2</v>
      </c>
      <c r="FW14" s="31">
        <f t="shared" si="74"/>
        <v>3.7249095091193107E-3</v>
      </c>
      <c r="FX14" s="31">
        <f t="shared" si="75"/>
        <v>4.8107869044909213E-2</v>
      </c>
      <c r="FY14" s="31">
        <f t="shared" si="76"/>
        <v>0.20932137202047241</v>
      </c>
      <c r="FZ14" s="31">
        <f t="shared" si="77"/>
        <v>1.6738904117201297E-3</v>
      </c>
      <c r="GA14" s="31">
        <f t="shared" si="78"/>
        <v>3.3325566193260797E-2</v>
      </c>
      <c r="GB14" s="31">
        <f t="shared" si="79"/>
        <v>0.26115415057450092</v>
      </c>
      <c r="GC14" s="31">
        <f t="shared" si="80"/>
        <v>0.19632095289502691</v>
      </c>
      <c r="GD14" s="31">
        <f t="shared" si="81"/>
        <v>0.49247456007450879</v>
      </c>
    </row>
    <row r="15" spans="1:186">
      <c r="A15" s="39" t="str">
        <f>Basicinfo!A15</f>
        <v>Pram</v>
      </c>
      <c r="B15" s="63">
        <f>Basicinfo!B15</f>
        <v>700</v>
      </c>
      <c r="C15" s="63">
        <f>Basicinfo!C15</f>
        <v>710</v>
      </c>
      <c r="D15" s="227">
        <v>305.874150267</v>
      </c>
      <c r="E15" s="89">
        <v>4.1442831648501794</v>
      </c>
      <c r="F15" s="27">
        <v>1.5713432424850363E-2</v>
      </c>
      <c r="G15" s="19">
        <v>0.74450591602421323</v>
      </c>
      <c r="H15" s="19">
        <v>0</v>
      </c>
      <c r="I15" s="19">
        <v>0.11552125306541627</v>
      </c>
      <c r="J15" s="19">
        <v>3.1421623783032735</v>
      </c>
      <c r="K15" s="19">
        <v>1.2904732843858879E-2</v>
      </c>
      <c r="L15" s="19">
        <v>8.4399838770736063E-3</v>
      </c>
      <c r="M15" s="19">
        <v>2.5862579338045154E-2</v>
      </c>
      <c r="N15" s="19">
        <v>4.065110275876731</v>
      </c>
      <c r="O15" s="19">
        <v>7.9172888973448333E-2</v>
      </c>
      <c r="P15" s="56">
        <v>7980.3222785748076</v>
      </c>
      <c r="Q15" s="43">
        <v>2886.0620020264314</v>
      </c>
      <c r="R15" s="88">
        <v>10866.38428060124</v>
      </c>
      <c r="S15" s="61">
        <v>3.2723383997170039</v>
      </c>
      <c r="T15" s="19">
        <v>43.623275933366074</v>
      </c>
      <c r="U15" s="19">
        <v>0</v>
      </c>
      <c r="V15" s="19">
        <v>31.111935307283332</v>
      </c>
      <c r="W15" s="19">
        <v>7.215155005066079E-2</v>
      </c>
      <c r="X15" s="19">
        <v>43.461842108808334</v>
      </c>
      <c r="Y15" s="19">
        <v>328.83938256454024</v>
      </c>
      <c r="Z15" s="19">
        <v>1.1825458436075837</v>
      </c>
      <c r="AA15" s="19">
        <v>2.1856351085936483</v>
      </c>
      <c r="AB15" s="19">
        <v>2.0308017194173527</v>
      </c>
      <c r="AC15" s="19">
        <v>455.77990853538427</v>
      </c>
      <c r="AD15" s="19">
        <v>4.9074389333333333</v>
      </c>
      <c r="AE15" s="87">
        <v>460.68734746871758</v>
      </c>
      <c r="AF15" s="56">
        <v>6.8211346984177121E-2</v>
      </c>
      <c r="AG15" s="43">
        <v>0.80840115107457922</v>
      </c>
      <c r="AH15" s="43">
        <v>0</v>
      </c>
      <c r="AI15" s="43">
        <v>17.245246021717328</v>
      </c>
      <c r="AJ15" s="43">
        <v>1.2987279009118942</v>
      </c>
      <c r="AK15" s="43">
        <v>0.35977192258360852</v>
      </c>
      <c r="AL15" s="58">
        <v>4.4896130717969314</v>
      </c>
      <c r="AM15" s="43">
        <v>0.30101810788268324</v>
      </c>
      <c r="AN15" s="42">
        <v>0.42236627914445646</v>
      </c>
      <c r="AO15" s="42">
        <v>0.3148006323299346</v>
      </c>
      <c r="AP15" s="42">
        <v>25.308156434425591</v>
      </c>
      <c r="AQ15" s="43">
        <v>1.9325050000000001</v>
      </c>
      <c r="AR15" s="83">
        <v>27.240661434425594</v>
      </c>
      <c r="AS15" s="19">
        <f t="shared" si="2"/>
        <v>1.6200741531035598</v>
      </c>
      <c r="AT15" s="19">
        <f t="shared" si="3"/>
        <v>76.759472963782017</v>
      </c>
      <c r="AU15" s="19">
        <f t="shared" si="4"/>
        <v>0</v>
      </c>
      <c r="AV15" s="19">
        <f t="shared" si="5"/>
        <v>11.910382860045202</v>
      </c>
      <c r="AW15" s="19">
        <f t="shared" si="6"/>
        <v>323.960794580629</v>
      </c>
      <c r="AX15" s="53">
        <f t="shared" si="82"/>
        <v>1.3304937818664695</v>
      </c>
      <c r="AY15" s="53">
        <f t="shared" si="83"/>
        <v>0.87017268806486947</v>
      </c>
      <c r="AZ15" s="53">
        <f t="shared" si="84"/>
        <v>2.6664636462173936</v>
      </c>
      <c r="BA15" s="19">
        <f t="shared" si="85"/>
        <v>419.11785467370856</v>
      </c>
      <c r="BB15" s="19">
        <f t="shared" si="7"/>
        <v>8.1628219465005234</v>
      </c>
      <c r="BC15" s="53">
        <f t="shared" si="8"/>
        <v>427.28067662020908</v>
      </c>
      <c r="BD15" s="56">
        <f t="shared" si="9"/>
        <v>260.90214788038548</v>
      </c>
      <c r="BE15" s="43">
        <f t="shared" si="10"/>
        <v>94.354557242158734</v>
      </c>
      <c r="BF15" s="58">
        <f t="shared" si="11"/>
        <v>355.25670512254419</v>
      </c>
      <c r="BG15" s="61">
        <f t="shared" si="12"/>
        <v>106.98316274391128</v>
      </c>
      <c r="BH15" s="19">
        <f t="shared" si="13"/>
        <v>1426.1838045250627</v>
      </c>
      <c r="BI15" s="19">
        <f t="shared" si="14"/>
        <v>0</v>
      </c>
      <c r="BJ15" s="19">
        <f t="shared" si="15"/>
        <v>1017.1482382582992</v>
      </c>
      <c r="BK15" s="19">
        <f t="shared" si="16"/>
        <v>2.3588639310539685</v>
      </c>
      <c r="BL15" s="19">
        <f t="shared" si="17"/>
        <v>1420.9060187292762</v>
      </c>
      <c r="BM15" s="19">
        <f t="shared" si="18"/>
        <v>10750.806574452065</v>
      </c>
      <c r="BN15" s="53">
        <f t="shared" si="19"/>
        <v>38.661189334742076</v>
      </c>
      <c r="BO15" s="53">
        <f t="shared" si="86"/>
        <v>71.455371651569436</v>
      </c>
      <c r="BP15" s="53">
        <f t="shared" si="87"/>
        <v>66.393375106874828</v>
      </c>
      <c r="BQ15" s="19">
        <f t="shared" si="88"/>
        <v>14900.896598732852</v>
      </c>
      <c r="BR15" s="19">
        <f t="shared" si="20"/>
        <v>160.43980601334209</v>
      </c>
      <c r="BS15" s="53">
        <f t="shared" si="21"/>
        <v>15061.336404746195</v>
      </c>
      <c r="BT15" s="56">
        <f t="shared" si="22"/>
        <v>2.2300461456005642</v>
      </c>
      <c r="BU15" s="43">
        <f t="shared" si="23"/>
        <v>26.429207906876712</v>
      </c>
      <c r="BV15" s="43">
        <f t="shared" si="24"/>
        <v>0</v>
      </c>
      <c r="BW15" s="43">
        <f t="shared" si="25"/>
        <v>563.80200833132892</v>
      </c>
      <c r="BX15" s="43">
        <f t="shared" si="26"/>
        <v>42.459550758971432</v>
      </c>
      <c r="BY15" s="58">
        <f t="shared" si="27"/>
        <v>11.762089809471011</v>
      </c>
      <c r="BZ15" s="58">
        <f t="shared" si="28"/>
        <v>146.77974807213727</v>
      </c>
      <c r="CA15" s="58">
        <f t="shared" si="29"/>
        <v>9.8412405108415371</v>
      </c>
      <c r="CB15" s="58">
        <f t="shared" si="89"/>
        <v>13.808498651349568</v>
      </c>
      <c r="CC15" s="58">
        <f t="shared" si="90"/>
        <v>10.291835124188905</v>
      </c>
      <c r="CD15" s="58">
        <f t="shared" si="91"/>
        <v>827.40422531076604</v>
      </c>
      <c r="CE15" s="58">
        <f t="shared" si="30"/>
        <v>63.179742332364512</v>
      </c>
      <c r="CF15" s="58">
        <f t="shared" si="92"/>
        <v>890.58396764313056</v>
      </c>
      <c r="CG15" s="127">
        <v>16</v>
      </c>
      <c r="CH15" s="128" t="s">
        <v>169</v>
      </c>
      <c r="CI15" s="128"/>
      <c r="CJ15" s="126">
        <f t="shared" si="93"/>
        <v>12</v>
      </c>
      <c r="CK15" s="126">
        <f t="shared" si="94"/>
        <v>13</v>
      </c>
      <c r="CN15" s="147">
        <f t="shared" si="31"/>
        <v>6.8211346984177121E-2</v>
      </c>
      <c r="CO15" s="147">
        <f t="shared" si="32"/>
        <v>0.80840115107457922</v>
      </c>
      <c r="CP15" s="147">
        <f t="shared" si="33"/>
        <v>0</v>
      </c>
      <c r="CQ15" s="31">
        <f>(AI15-(P15*450/1000000))*Parameters!$C$153</f>
        <v>10.923280797086932</v>
      </c>
      <c r="CR15" s="31">
        <f t="shared" si="34"/>
        <v>0.35977192258360852</v>
      </c>
      <c r="CS15" s="31">
        <f t="shared" si="35"/>
        <v>4.4896130717969314</v>
      </c>
      <c r="CT15" s="31">
        <f>AM15*Parameters!$C$154</f>
        <v>0.27091629709441495</v>
      </c>
      <c r="CU15" s="31">
        <f>AQ15*Parameters!$C$155</f>
        <v>1.9325050000000001</v>
      </c>
      <c r="CV15" s="31">
        <f t="shared" si="36"/>
        <v>18.852699586620645</v>
      </c>
      <c r="CW15" s="188">
        <f t="shared" si="37"/>
        <v>69.207936202295741</v>
      </c>
      <c r="CY15" s="181">
        <v>12.424744481222223</v>
      </c>
      <c r="CZ15" s="181">
        <v>13.620497526500341</v>
      </c>
      <c r="DA15" s="181">
        <v>12.348233119986482</v>
      </c>
      <c r="DB15" s="181">
        <v>45.573530659086494</v>
      </c>
      <c r="DC15" s="181">
        <v>47.978373727030515</v>
      </c>
      <c r="DD15" s="181">
        <v>281.7829942031907</v>
      </c>
      <c r="DE15" s="181">
        <v>5.9010717518435225</v>
      </c>
      <c r="DF15" s="181">
        <v>21.324299204369737</v>
      </c>
      <c r="DG15" s="181">
        <v>45.933787326638921</v>
      </c>
      <c r="DH15" s="181">
        <v>27.225370956213261</v>
      </c>
      <c r="DI15" s="181">
        <v>387.68313170929417</v>
      </c>
      <c r="DJ15" s="181">
        <v>26.045242007722564</v>
      </c>
      <c r="DK15" s="181">
        <v>486.88753199986888</v>
      </c>
      <c r="DL15" s="181"/>
      <c r="DM15" s="181">
        <v>2.5580656666666668</v>
      </c>
      <c r="DN15" s="181">
        <v>2.3323369062713502</v>
      </c>
      <c r="DO15" s="181">
        <v>0.4091757404813251</v>
      </c>
      <c r="DP15" s="181">
        <v>4.8135540837153021</v>
      </c>
      <c r="DQ15" s="181">
        <v>12.009880962802374</v>
      </c>
      <c r="DR15" s="181">
        <v>4.5589293112862E-2</v>
      </c>
      <c r="DS15" s="181">
        <v>2.3961968458276903</v>
      </c>
      <c r="DT15" s="181">
        <v>17.232610786998997</v>
      </c>
      <c r="DU15" s="181">
        <v>4.8904025729380169</v>
      </c>
      <c r="DV15" s="181">
        <v>24.564799498877569</v>
      </c>
      <c r="DW15" s="181">
        <v>24.564799498877569</v>
      </c>
      <c r="DX15" s="181"/>
      <c r="DY15" s="181">
        <v>2.0464525333333334</v>
      </c>
      <c r="DZ15" s="181">
        <v>1.632635834389945</v>
      </c>
      <c r="EA15" s="181">
        <v>0.4091757404813251</v>
      </c>
      <c r="EB15" s="181">
        <v>4.8135540837153021</v>
      </c>
      <c r="EC15" s="181">
        <v>5.5501406663167092</v>
      </c>
      <c r="ED15" s="181">
        <v>4.5589293112862E-2</v>
      </c>
      <c r="EE15" s="181">
        <v>0.89511405118285303</v>
      </c>
      <c r="EF15" s="181">
        <v>10.772870490513336</v>
      </c>
      <c r="EG15" s="181">
        <v>3.6790883677232786</v>
      </c>
      <c r="EH15" s="181">
        <v>15.392662202532328</v>
      </c>
      <c r="EJ15" s="31">
        <f t="shared" si="38"/>
        <v>2.2300461456005644E-3</v>
      </c>
      <c r="EK15" s="31">
        <f t="shared" si="39"/>
        <v>2.6429207906876709E-2</v>
      </c>
      <c r="EL15" s="31">
        <f t="shared" si="40"/>
        <v>0</v>
      </c>
      <c r="EM15" s="31">
        <f t="shared" si="41"/>
        <v>0.35711683342812434</v>
      </c>
      <c r="EN15" s="31">
        <f t="shared" si="42"/>
        <v>1.1762089809471011E-2</v>
      </c>
      <c r="EO15" s="31">
        <f t="shared" si="43"/>
        <v>0.14677974807213723</v>
      </c>
      <c r="EP15" s="31">
        <f t="shared" si="44"/>
        <v>8.8571164597573849E-3</v>
      </c>
      <c r="EQ15" s="31">
        <f t="shared" si="45"/>
        <v>6.3179742332364508E-2</v>
      </c>
      <c r="ER15" s="31">
        <f t="shared" si="46"/>
        <v>0.61635478415433187</v>
      </c>
      <c r="ES15" s="31">
        <f t="shared" si="47"/>
        <v>2.2626278206865003</v>
      </c>
      <c r="ET15" s="31"/>
      <c r="EU15" s="31">
        <f t="shared" si="48"/>
        <v>0.40620446253390696</v>
      </c>
      <c r="EV15" s="31">
        <f t="shared" si="49"/>
        <v>0.44529743734836363</v>
      </c>
      <c r="EW15" s="31">
        <f t="shared" si="50"/>
        <v>0.4037030624917996</v>
      </c>
      <c r="EX15" s="31">
        <f t="shared" si="51"/>
        <v>1.4899438419135778</v>
      </c>
      <c r="EY15" s="31">
        <f t="shared" si="52"/>
        <v>1.5685658198036614</v>
      </c>
      <c r="EZ15" s="31">
        <f t="shared" si="53"/>
        <v>9.2123833922291265</v>
      </c>
      <c r="FA15" s="31">
        <f t="shared" si="54"/>
        <v>0.19292482698169916</v>
      </c>
      <c r="FB15" s="31">
        <f t="shared" si="55"/>
        <v>0.69715924623756498</v>
      </c>
      <c r="FC15" s="31">
        <f t="shared" si="56"/>
        <v>1.5017217795797044</v>
      </c>
      <c r="FD15" s="31">
        <f t="shared" si="57"/>
        <v>0.89008407321926408</v>
      </c>
      <c r="FE15" s="31">
        <f t="shared" si="58"/>
        <v>12.674596116438163</v>
      </c>
      <c r="FF15" s="31">
        <f t="shared" si="59"/>
        <v>0.85150189988227054</v>
      </c>
      <c r="FG15" s="31">
        <f t="shared" si="60"/>
        <v>15.917903869119403</v>
      </c>
      <c r="FH15" s="31"/>
      <c r="FI15" s="31">
        <f t="shared" si="61"/>
        <v>8.3631312565436169E-2</v>
      </c>
      <c r="FJ15" s="31">
        <f t="shared" si="62"/>
        <v>7.6251520575878501E-2</v>
      </c>
      <c r="FK15" s="31">
        <f t="shared" si="63"/>
        <v>1.3377257938408731E-2</v>
      </c>
      <c r="FL15" s="31">
        <f t="shared" si="64"/>
        <v>0.15737041131176047</v>
      </c>
      <c r="FM15" s="31">
        <f t="shared" si="65"/>
        <v>0.39264125302248831</v>
      </c>
      <c r="FN15" s="31">
        <f t="shared" si="66"/>
        <v>1.4904591667215664E-3</v>
      </c>
      <c r="FO15" s="31">
        <f t="shared" si="67"/>
        <v>7.8339305356010996E-2</v>
      </c>
      <c r="FP15" s="31">
        <f t="shared" si="68"/>
        <v>0.56338892227265736</v>
      </c>
      <c r="FQ15" s="31">
        <f t="shared" si="69"/>
        <v>0.15988283314131466</v>
      </c>
      <c r="FR15" s="31">
        <f t="shared" si="70"/>
        <v>0.80310151993670464</v>
      </c>
      <c r="FS15" s="31">
        <f t="shared" si="71"/>
        <v>0.80310151993670464</v>
      </c>
      <c r="FT15" s="31"/>
      <c r="FU15" s="31">
        <f t="shared" si="72"/>
        <v>6.6905050052348938E-2</v>
      </c>
      <c r="FV15" s="31">
        <f t="shared" si="73"/>
        <v>5.3376064403114938E-2</v>
      </c>
      <c r="FW15" s="31">
        <f t="shared" si="74"/>
        <v>1.3377257938408731E-2</v>
      </c>
      <c r="FX15" s="31">
        <f t="shared" si="75"/>
        <v>0.15737041131176047</v>
      </c>
      <c r="FY15" s="31">
        <f t="shared" si="76"/>
        <v>0.18145177228843778</v>
      </c>
      <c r="FZ15" s="31">
        <f t="shared" si="77"/>
        <v>1.4904591667215664E-3</v>
      </c>
      <c r="GA15" s="31">
        <f t="shared" si="78"/>
        <v>2.926412874057846E-2</v>
      </c>
      <c r="GB15" s="31">
        <f t="shared" si="79"/>
        <v>0.35219944153860694</v>
      </c>
      <c r="GC15" s="31">
        <f t="shared" si="80"/>
        <v>0.12028111445546388</v>
      </c>
      <c r="GD15" s="31">
        <f t="shared" si="81"/>
        <v>0.50323514390137092</v>
      </c>
    </row>
    <row r="16" spans="1:186">
      <c r="A16" s="39" t="str">
        <f>Basicinfo!A16</f>
        <v>Pram</v>
      </c>
      <c r="B16" s="63">
        <f>Basicinfo!B16</f>
        <v>710</v>
      </c>
      <c r="C16" s="63">
        <f>Basicinfo!C16</f>
        <v>1050</v>
      </c>
      <c r="D16" s="227">
        <v>383.44264975689998</v>
      </c>
      <c r="E16" s="89">
        <v>5.2500232372011997</v>
      </c>
      <c r="F16" s="27">
        <v>2.0950861447714943E-2</v>
      </c>
      <c r="G16" s="19">
        <v>0.94379938437267186</v>
      </c>
      <c r="H16" s="19">
        <v>0</v>
      </c>
      <c r="I16" s="19">
        <v>0.15321941551961821</v>
      </c>
      <c r="J16" s="19">
        <v>3.9687850717373014</v>
      </c>
      <c r="K16" s="19">
        <v>1.7892105713421542E-2</v>
      </c>
      <c r="L16" s="19">
        <v>1.148977314867315E-2</v>
      </c>
      <c r="M16" s="19">
        <v>3.5207029931593754E-2</v>
      </c>
      <c r="N16" s="19">
        <v>5.1513436418709944</v>
      </c>
      <c r="O16" s="19">
        <v>9.8679595330204636E-2</v>
      </c>
      <c r="P16" s="56">
        <v>10538.574734363385</v>
      </c>
      <c r="Q16" s="43">
        <v>3984.4053568519685</v>
      </c>
      <c r="R16" s="88">
        <v>14522.980091215353</v>
      </c>
      <c r="S16" s="61">
        <v>4.6577972493122388</v>
      </c>
      <c r="T16" s="19">
        <v>57.080646552198743</v>
      </c>
      <c r="U16" s="19">
        <v>0</v>
      </c>
      <c r="V16" s="19">
        <v>40.381353512468799</v>
      </c>
      <c r="W16" s="19">
        <v>9.9610133921299193E-2</v>
      </c>
      <c r="X16" s="19">
        <v>58.021540111033076</v>
      </c>
      <c r="Y16" s="19">
        <v>406.56516674422312</v>
      </c>
      <c r="Z16" s="19">
        <v>1.67248628200157</v>
      </c>
      <c r="AA16" s="19">
        <v>3.0007285200749942</v>
      </c>
      <c r="AB16" s="19">
        <v>3.0023586915370779</v>
      </c>
      <c r="AC16" s="19">
        <v>574.48168779677098</v>
      </c>
      <c r="AD16" s="19">
        <v>5.5240389333333333</v>
      </c>
      <c r="AE16" s="87">
        <v>580.00572673010424</v>
      </c>
      <c r="AF16" s="56">
        <v>9.3647248486239731E-2</v>
      </c>
      <c r="AG16" s="43">
        <v>1.0231997982731462</v>
      </c>
      <c r="AH16" s="43">
        <v>0</v>
      </c>
      <c r="AI16" s="43">
        <v>22.224434435912237</v>
      </c>
      <c r="AJ16" s="43">
        <v>1.7929824105833858</v>
      </c>
      <c r="AK16" s="43">
        <v>0.45595570813279052</v>
      </c>
      <c r="AL16" s="58">
        <v>6.9182250458898693</v>
      </c>
      <c r="AM16" s="43">
        <v>0.41132956049865732</v>
      </c>
      <c r="AN16" s="42">
        <v>0.57255339886257861</v>
      </c>
      <c r="AO16" s="42">
        <v>0.45973533417387014</v>
      </c>
      <c r="AP16" s="42">
        <v>33.952062940812773</v>
      </c>
      <c r="AQ16" s="43">
        <v>2.3295361666666672</v>
      </c>
      <c r="AR16" s="83">
        <v>36.281599107479437</v>
      </c>
      <c r="AS16" s="19">
        <f t="shared" si="2"/>
        <v>1.7230904466000896</v>
      </c>
      <c r="AT16" s="19">
        <f t="shared" si="3"/>
        <v>77.622187840728031</v>
      </c>
      <c r="AU16" s="19">
        <f t="shared" si="4"/>
        <v>0</v>
      </c>
      <c r="AV16" s="19">
        <f t="shared" si="5"/>
        <v>12.601434636679278</v>
      </c>
      <c r="AW16" s="19">
        <f t="shared" si="6"/>
        <v>326.41023658077131</v>
      </c>
      <c r="AX16" s="53">
        <f t="shared" si="82"/>
        <v>1.4715250015515737</v>
      </c>
      <c r="AY16" s="53">
        <f t="shared" si="83"/>
        <v>0.9449691792143583</v>
      </c>
      <c r="AZ16" s="53">
        <f t="shared" si="84"/>
        <v>2.8955800733868702</v>
      </c>
      <c r="BA16" s="19">
        <f t="shared" si="85"/>
        <v>423.66902375893153</v>
      </c>
      <c r="BB16" s="19">
        <f t="shared" si="7"/>
        <v>8.1158413658634352</v>
      </c>
      <c r="BC16" s="53">
        <f t="shared" si="8"/>
        <v>431.78486512479498</v>
      </c>
      <c r="BD16" s="56">
        <f t="shared" si="9"/>
        <v>274.84096359767926</v>
      </c>
      <c r="BE16" s="43">
        <f t="shared" si="10"/>
        <v>103.91137656121597</v>
      </c>
      <c r="BF16" s="58">
        <f t="shared" si="11"/>
        <v>378.75234015889521</v>
      </c>
      <c r="BG16" s="61">
        <f t="shared" si="12"/>
        <v>121.47311344382922</v>
      </c>
      <c r="BH16" s="19">
        <f t="shared" si="13"/>
        <v>1488.6358256805152</v>
      </c>
      <c r="BI16" s="19">
        <f t="shared" si="14"/>
        <v>0</v>
      </c>
      <c r="BJ16" s="19">
        <f t="shared" si="15"/>
        <v>1053.1262898915991</v>
      </c>
      <c r="BK16" s="19">
        <f t="shared" si="16"/>
        <v>2.5977844140303992</v>
      </c>
      <c r="BL16" s="19">
        <f t="shared" si="17"/>
        <v>1513.1738774447322</v>
      </c>
      <c r="BM16" s="19">
        <f t="shared" si="18"/>
        <v>10603.024128953382</v>
      </c>
      <c r="BN16" s="53">
        <f t="shared" si="19"/>
        <v>43.617638336839029</v>
      </c>
      <c r="BO16" s="53">
        <f t="shared" si="86"/>
        <v>78.25755747247824</v>
      </c>
      <c r="BP16" s="53">
        <f t="shared" si="87"/>
        <v>78.300071560650665</v>
      </c>
      <c r="BQ16" s="19">
        <f t="shared" si="88"/>
        <v>14982.206287198054</v>
      </c>
      <c r="BR16" s="19">
        <f t="shared" si="20"/>
        <v>144.06428019510963</v>
      </c>
      <c r="BS16" s="53">
        <f t="shared" si="21"/>
        <v>15126.270567393163</v>
      </c>
      <c r="BT16" s="56">
        <f t="shared" si="22"/>
        <v>2.442275228006364</v>
      </c>
      <c r="BU16" s="43">
        <f t="shared" si="23"/>
        <v>26.684558927439287</v>
      </c>
      <c r="BV16" s="43">
        <f t="shared" si="24"/>
        <v>0</v>
      </c>
      <c r="BW16" s="43">
        <f t="shared" si="25"/>
        <v>579.60256768521651</v>
      </c>
      <c r="BX16" s="43">
        <f t="shared" si="26"/>
        <v>46.760119452547194</v>
      </c>
      <c r="BY16" s="58">
        <f t="shared" si="27"/>
        <v>11.891105708294663</v>
      </c>
      <c r="BZ16" s="58">
        <f t="shared" si="28"/>
        <v>180.42398388066576</v>
      </c>
      <c r="CA16" s="58">
        <f t="shared" si="29"/>
        <v>10.727277228014083</v>
      </c>
      <c r="CB16" s="58">
        <f t="shared" si="89"/>
        <v>14.931917438646263</v>
      </c>
      <c r="CC16" s="58">
        <f t="shared" si="90"/>
        <v>11.989676538729825</v>
      </c>
      <c r="CD16" s="58">
        <f t="shared" si="91"/>
        <v>885.45348208755979</v>
      </c>
      <c r="CE16" s="58">
        <f t="shared" si="30"/>
        <v>60.753183511108567</v>
      </c>
      <c r="CF16" s="58">
        <f t="shared" si="92"/>
        <v>946.20666559866834</v>
      </c>
      <c r="CG16" s="127">
        <v>17</v>
      </c>
      <c r="CH16" s="128" t="s">
        <v>169</v>
      </c>
      <c r="CI16" s="128"/>
      <c r="CJ16" s="126">
        <f t="shared" si="93"/>
        <v>13</v>
      </c>
      <c r="CK16" s="126">
        <f t="shared" si="94"/>
        <v>14</v>
      </c>
      <c r="CN16" s="147">
        <f t="shared" si="31"/>
        <v>9.3647248486239731E-2</v>
      </c>
      <c r="CO16" s="147">
        <f t="shared" si="32"/>
        <v>1.0231997982731462</v>
      </c>
      <c r="CP16" s="147">
        <f t="shared" si="33"/>
        <v>0</v>
      </c>
      <c r="CQ16" s="31">
        <f>(AI16-(P16*450/1000000))*Parameters!$C$153</f>
        <v>13.985660644358973</v>
      </c>
      <c r="CR16" s="31">
        <f t="shared" si="34"/>
        <v>0.45595570813279052</v>
      </c>
      <c r="CS16" s="31">
        <f t="shared" si="35"/>
        <v>6.9182250458898693</v>
      </c>
      <c r="CT16" s="31">
        <f>AM16*Parameters!$C$154</f>
        <v>0.3701966044487916</v>
      </c>
      <c r="CU16" s="31">
        <f>AQ16*Parameters!$C$155</f>
        <v>2.3295361666666672</v>
      </c>
      <c r="CV16" s="31">
        <f t="shared" si="36"/>
        <v>25.176421216256479</v>
      </c>
      <c r="CW16" s="188">
        <f t="shared" si="37"/>
        <v>69.391707740539943</v>
      </c>
      <c r="CY16" s="181">
        <v>13.797494481222223</v>
      </c>
      <c r="CZ16" s="181">
        <v>19.08079632436392</v>
      </c>
      <c r="DA16" s="181">
        <v>17.762827106763332</v>
      </c>
      <c r="DB16" s="181">
        <v>60.455254924283452</v>
      </c>
      <c r="DC16" s="181">
        <v>63.616047528965836</v>
      </c>
      <c r="DD16" s="181">
        <v>348.6450721021846</v>
      </c>
      <c r="DE16" s="181">
        <v>8.2179950367192838</v>
      </c>
      <c r="DF16" s="181">
        <v>27.500144846135964</v>
      </c>
      <c r="DG16" s="181">
        <v>58.78927682295911</v>
      </c>
      <c r="DH16" s="181">
        <v>35.718139882855247</v>
      </c>
      <c r="DI16" s="181">
        <v>490.47920166219723</v>
      </c>
      <c r="DJ16" s="181">
        <v>32.878290805586147</v>
      </c>
      <c r="DK16" s="181">
        <v>617.86490917359777</v>
      </c>
      <c r="DL16" s="181"/>
      <c r="DM16" s="181">
        <v>2.8917323333333336</v>
      </c>
      <c r="DN16" s="181">
        <v>3.2307954989912204</v>
      </c>
      <c r="DO16" s="181">
        <v>0.5192970171101996</v>
      </c>
      <c r="DP16" s="181">
        <v>5.2836160175001101</v>
      </c>
      <c r="DQ16" s="181">
        <v>15.879994466957843</v>
      </c>
      <c r="DR16" s="181">
        <v>6.3266933316007731E-2</v>
      </c>
      <c r="DS16" s="181">
        <v>3.1392409566692767</v>
      </c>
      <c r="DT16" s="181">
        <v>21.682907501568152</v>
      </c>
      <c r="DU16" s="181">
        <v>6.122527832324554</v>
      </c>
      <c r="DV16" s="181">
        <v>31.007943223877991</v>
      </c>
      <c r="DW16" s="181">
        <v>31.007943223877991</v>
      </c>
      <c r="DX16" s="181"/>
      <c r="DY16" s="181">
        <v>2.3133858666666667</v>
      </c>
      <c r="DZ16" s="181">
        <v>2.261556849293854</v>
      </c>
      <c r="EA16" s="181">
        <v>0.5192970171101996</v>
      </c>
      <c r="EB16" s="181">
        <v>5.2836160175001101</v>
      </c>
      <c r="EC16" s="181">
        <v>7.2565263335733396</v>
      </c>
      <c r="ED16" s="181">
        <v>6.3266933316007731E-2</v>
      </c>
      <c r="EE16" s="181">
        <v>1.1314287053215146</v>
      </c>
      <c r="EF16" s="181">
        <v>13.059439368183648</v>
      </c>
      <c r="EG16" s="181">
        <v>4.5749427159605212</v>
      </c>
      <c r="EH16" s="181">
        <v>18.82907772278169</v>
      </c>
      <c r="EJ16" s="31">
        <f t="shared" si="38"/>
        <v>2.4422752280063641E-3</v>
      </c>
      <c r="EK16" s="31">
        <f t="shared" si="39"/>
        <v>2.6684558927439289E-2</v>
      </c>
      <c r="EL16" s="31">
        <f t="shared" si="40"/>
        <v>0</v>
      </c>
      <c r="EM16" s="31">
        <f t="shared" si="41"/>
        <v>0.36473930725300863</v>
      </c>
      <c r="EN16" s="31">
        <f t="shared" si="42"/>
        <v>1.1891105708294665E-2</v>
      </c>
      <c r="EO16" s="31">
        <f t="shared" si="43"/>
        <v>0.18042398388066577</v>
      </c>
      <c r="EP16" s="31">
        <f t="shared" si="44"/>
        <v>9.6545495052126756E-3</v>
      </c>
      <c r="EQ16" s="31">
        <f t="shared" si="45"/>
        <v>6.0753183511108561E-2</v>
      </c>
      <c r="ER16" s="31">
        <f t="shared" si="46"/>
        <v>0.65658896401373612</v>
      </c>
      <c r="ES16" s="31">
        <f t="shared" si="47"/>
        <v>1.8097023840340611</v>
      </c>
      <c r="ET16" s="31"/>
      <c r="EU16" s="31">
        <f t="shared" si="48"/>
        <v>0.35983202416240706</v>
      </c>
      <c r="EV16" s="31">
        <f t="shared" si="49"/>
        <v>0.49761799675808144</v>
      </c>
      <c r="EW16" s="31">
        <f t="shared" si="50"/>
        <v>0.46324599305854064</v>
      </c>
      <c r="EX16" s="31">
        <f t="shared" si="51"/>
        <v>1.5766439899842042</v>
      </c>
      <c r="EY16" s="31">
        <f t="shared" si="52"/>
        <v>1.6590759418467917</v>
      </c>
      <c r="EZ16" s="31">
        <f t="shared" si="53"/>
        <v>9.0924959005792179</v>
      </c>
      <c r="FA16" s="31">
        <f t="shared" si="54"/>
        <v>0.21432136049366016</v>
      </c>
      <c r="FB16" s="31">
        <f t="shared" si="55"/>
        <v>0.71719055935929066</v>
      </c>
      <c r="FC16" s="31">
        <f t="shared" si="56"/>
        <v>1.5331960818712032</v>
      </c>
      <c r="FD16" s="31">
        <f t="shared" si="57"/>
        <v>0.93151191985295068</v>
      </c>
      <c r="FE16" s="31">
        <f t="shared" si="58"/>
        <v>12.791461825468755</v>
      </c>
      <c r="FF16" s="31">
        <f t="shared" si="59"/>
        <v>0.8574500209204885</v>
      </c>
      <c r="FG16" s="31">
        <f t="shared" si="60"/>
        <v>16.113619848113398</v>
      </c>
      <c r="FH16" s="31"/>
      <c r="FI16" s="31">
        <f t="shared" si="61"/>
        <v>7.5414989312395792E-2</v>
      </c>
      <c r="FJ16" s="31">
        <f t="shared" si="62"/>
        <v>8.4257593698549779E-2</v>
      </c>
      <c r="FK16" s="31">
        <f t="shared" si="63"/>
        <v>1.3543016600772773E-2</v>
      </c>
      <c r="FL16" s="31">
        <f t="shared" si="64"/>
        <v>0.1377941661119306</v>
      </c>
      <c r="FM16" s="31">
        <f t="shared" si="65"/>
        <v>0.41414262281531938</v>
      </c>
      <c r="FN16" s="31">
        <f t="shared" si="66"/>
        <v>1.6499712109781875E-3</v>
      </c>
      <c r="FO16" s="31">
        <f t="shared" si="67"/>
        <v>8.1869895241427473E-2</v>
      </c>
      <c r="FP16" s="31">
        <f t="shared" si="68"/>
        <v>0.56547980552802268</v>
      </c>
      <c r="FQ16" s="31">
        <f t="shared" si="69"/>
        <v>0.15967258301094556</v>
      </c>
      <c r="FR16" s="31">
        <f t="shared" si="70"/>
        <v>0.80867225499137407</v>
      </c>
      <c r="FS16" s="31">
        <f t="shared" si="71"/>
        <v>0.80867225499137407</v>
      </c>
      <c r="FT16" s="31"/>
      <c r="FU16" s="31">
        <f t="shared" si="72"/>
        <v>6.0331991449916626E-2</v>
      </c>
      <c r="FV16" s="31">
        <f t="shared" si="73"/>
        <v>5.8980315588984839E-2</v>
      </c>
      <c r="FW16" s="31">
        <f t="shared" si="74"/>
        <v>1.3543016600772773E-2</v>
      </c>
      <c r="FX16" s="31">
        <f t="shared" si="75"/>
        <v>0.1377941661119306</v>
      </c>
      <c r="FY16" s="31">
        <f t="shared" si="76"/>
        <v>0.1892467188554515</v>
      </c>
      <c r="FZ16" s="31">
        <f t="shared" si="77"/>
        <v>1.6499712109781875E-3</v>
      </c>
      <c r="GA16" s="31">
        <f t="shared" si="78"/>
        <v>2.9507116801921557E-2</v>
      </c>
      <c r="GB16" s="31">
        <f t="shared" si="79"/>
        <v>0.34058390156815477</v>
      </c>
      <c r="GC16" s="31">
        <f t="shared" si="80"/>
        <v>0.11931230703890149</v>
      </c>
      <c r="GD16" s="31">
        <f t="shared" si="81"/>
        <v>0.49105329661995595</v>
      </c>
    </row>
    <row r="17" spans="1:186">
      <c r="A17" s="39" t="str">
        <f>Basicinfo!A17</f>
        <v>Inn</v>
      </c>
      <c r="B17" s="63">
        <f>Basicinfo!B17</f>
        <v>1050</v>
      </c>
      <c r="C17" s="63">
        <f>Basicinfo!C17</f>
        <v>4990</v>
      </c>
      <c r="D17" s="227">
        <v>1973.5728773236999</v>
      </c>
      <c r="E17" s="89">
        <v>26.502475556659146</v>
      </c>
      <c r="F17" s="27">
        <v>0.33294729081203495</v>
      </c>
      <c r="G17" s="19">
        <v>4.7122188030524486</v>
      </c>
      <c r="H17" s="19">
        <v>0</v>
      </c>
      <c r="I17" s="19">
        <v>0.55973158423207781</v>
      </c>
      <c r="J17" s="19">
        <v>19.74842400870795</v>
      </c>
      <c r="K17" s="19">
        <v>0.10310270145799488</v>
      </c>
      <c r="L17" s="19">
        <v>8.8147686582664919E-2</v>
      </c>
      <c r="M17" s="19">
        <v>0.16548014733557415</v>
      </c>
      <c r="N17" s="19">
        <v>25.710052222180746</v>
      </c>
      <c r="O17" s="19">
        <v>0.79242333447840918</v>
      </c>
      <c r="P17" s="56">
        <v>30530.113516596153</v>
      </c>
      <c r="Q17" s="43">
        <v>13888.032532200481</v>
      </c>
      <c r="R17" s="88">
        <v>44418.146048796632</v>
      </c>
      <c r="S17" s="61">
        <v>65.352394311340177</v>
      </c>
      <c r="T17" s="19">
        <v>291.82927920068903</v>
      </c>
      <c r="U17" s="19">
        <v>0</v>
      </c>
      <c r="V17" s="19">
        <v>152.74468253877907</v>
      </c>
      <c r="W17" s="19">
        <v>0.34720081330501201</v>
      </c>
      <c r="X17" s="19">
        <v>208.24660001289476</v>
      </c>
      <c r="Y17" s="19">
        <v>1860.5220331578212</v>
      </c>
      <c r="Z17" s="19">
        <v>9.3724919237107418</v>
      </c>
      <c r="AA17" s="19">
        <v>25.965562604168834</v>
      </c>
      <c r="AB17" s="19">
        <v>8.1644595492313332</v>
      </c>
      <c r="AC17" s="19">
        <v>2622.5447041119401</v>
      </c>
      <c r="AD17" s="19">
        <v>136.40974910522226</v>
      </c>
      <c r="AE17" s="87">
        <v>2758.9544532171622</v>
      </c>
      <c r="AF17" s="56">
        <v>1.1506345409800058</v>
      </c>
      <c r="AG17" s="43">
        <v>5.1905607471271518</v>
      </c>
      <c r="AH17" s="43">
        <v>0</v>
      </c>
      <c r="AI17" s="43">
        <v>73.395653400671748</v>
      </c>
      <c r="AJ17" s="43">
        <v>6.2496146394902166</v>
      </c>
      <c r="AK17" s="43">
        <v>1.6328713125368803</v>
      </c>
      <c r="AL17" s="58">
        <v>22.729489406039917</v>
      </c>
      <c r="AM17" s="43">
        <v>2.1473195272182037</v>
      </c>
      <c r="AN17" s="42">
        <v>4.7004719639529782</v>
      </c>
      <c r="AO17" s="42">
        <v>1.2511095614429164</v>
      </c>
      <c r="AP17" s="42">
        <v>118.44772509946004</v>
      </c>
      <c r="AQ17" s="43">
        <v>17.926246355000004</v>
      </c>
      <c r="AR17" s="83">
        <v>136.37397145446002</v>
      </c>
      <c r="AS17" s="19">
        <f t="shared" si="2"/>
        <v>5.3202118268299357</v>
      </c>
      <c r="AT17" s="19">
        <f t="shared" si="3"/>
        <v>75.297210394672589</v>
      </c>
      <c r="AU17" s="19">
        <f t="shared" si="4"/>
        <v>0</v>
      </c>
      <c r="AV17" s="19">
        <f t="shared" si="5"/>
        <v>8.9440301106487219</v>
      </c>
      <c r="AW17" s="19">
        <f t="shared" si="6"/>
        <v>315.56285896224654</v>
      </c>
      <c r="AX17" s="53">
        <f t="shared" si="82"/>
        <v>1.6474926416644473</v>
      </c>
      <c r="AY17" s="53">
        <f t="shared" si="83"/>
        <v>1.4085243448625797</v>
      </c>
      <c r="AZ17" s="53">
        <f t="shared" si="84"/>
        <v>2.6442306673019447</v>
      </c>
      <c r="BA17" s="19">
        <f t="shared" si="85"/>
        <v>410.82455894822675</v>
      </c>
      <c r="BB17" s="19">
        <f t="shared" si="7"/>
        <v>12.662244482199753</v>
      </c>
      <c r="BC17" s="53">
        <f t="shared" si="8"/>
        <v>423.48680343042651</v>
      </c>
      <c r="BD17" s="56">
        <f t="shared" si="9"/>
        <v>154.69463462629807</v>
      </c>
      <c r="BE17" s="43">
        <f t="shared" si="10"/>
        <v>70.370000985388515</v>
      </c>
      <c r="BF17" s="58">
        <f t="shared" si="11"/>
        <v>225.06463561168658</v>
      </c>
      <c r="BG17" s="61">
        <f t="shared" si="12"/>
        <v>331.13747691933474</v>
      </c>
      <c r="BH17" s="19">
        <f t="shared" si="13"/>
        <v>1478.6850921686232</v>
      </c>
      <c r="BI17" s="19">
        <f t="shared" si="14"/>
        <v>0</v>
      </c>
      <c r="BJ17" s="19">
        <f t="shared" si="15"/>
        <v>773.9500491408827</v>
      </c>
      <c r="BK17" s="19">
        <f t="shared" si="16"/>
        <v>1.7592500246347127</v>
      </c>
      <c r="BL17" s="19">
        <f t="shared" si="17"/>
        <v>1055.1756279468707</v>
      </c>
      <c r="BM17" s="19">
        <f t="shared" si="18"/>
        <v>9427.1767439407486</v>
      </c>
      <c r="BN17" s="53">
        <f t="shared" si="19"/>
        <v>47.48997126683502</v>
      </c>
      <c r="BO17" s="53">
        <f t="shared" si="86"/>
        <v>131.56627202629534</v>
      </c>
      <c r="BP17" s="53">
        <f t="shared" si="87"/>
        <v>41.368928621996972</v>
      </c>
      <c r="BQ17" s="19">
        <f t="shared" si="88"/>
        <v>13288.309412056224</v>
      </c>
      <c r="BR17" s="19">
        <f t="shared" si="20"/>
        <v>691.18171754672278</v>
      </c>
      <c r="BS17" s="53">
        <f t="shared" si="21"/>
        <v>13979.491129602946</v>
      </c>
      <c r="BT17" s="56">
        <f t="shared" si="22"/>
        <v>5.8302105496116523</v>
      </c>
      <c r="BU17" s="43">
        <f t="shared" si="23"/>
        <v>26.300324689128825</v>
      </c>
      <c r="BV17" s="43">
        <f t="shared" si="24"/>
        <v>0</v>
      </c>
      <c r="BW17" s="43">
        <f t="shared" si="25"/>
        <v>371.89228856955759</v>
      </c>
      <c r="BX17" s="43">
        <f t="shared" si="26"/>
        <v>31.66650044342483</v>
      </c>
      <c r="BY17" s="58">
        <f t="shared" si="27"/>
        <v>8.2736813588113645</v>
      </c>
      <c r="BZ17" s="58">
        <f t="shared" si="28"/>
        <v>115.16924288533323</v>
      </c>
      <c r="CA17" s="58">
        <f t="shared" si="29"/>
        <v>10.880366019876176</v>
      </c>
      <c r="CB17" s="58">
        <f t="shared" si="89"/>
        <v>23.817068110133032</v>
      </c>
      <c r="CC17" s="58">
        <f t="shared" si="90"/>
        <v>6.3393127044769013</v>
      </c>
      <c r="CD17" s="58">
        <f t="shared" si="91"/>
        <v>600.16899533035371</v>
      </c>
      <c r="CE17" s="58">
        <f t="shared" si="30"/>
        <v>90.831438559842908</v>
      </c>
      <c r="CF17" s="58">
        <f t="shared" si="92"/>
        <v>691.00043389019663</v>
      </c>
      <c r="CG17" s="127">
        <v>64</v>
      </c>
      <c r="CH17" s="128" t="s">
        <v>169</v>
      </c>
      <c r="CI17" s="128"/>
      <c r="CJ17" s="126">
        <f t="shared" si="93"/>
        <v>14</v>
      </c>
      <c r="CK17" s="126">
        <f t="shared" ref="CK17:CK71" si="95">IF(CG17&gt;0,CG17-3,0)</f>
        <v>61</v>
      </c>
      <c r="CN17" s="147">
        <f t="shared" si="31"/>
        <v>1.1506345409800058</v>
      </c>
      <c r="CO17" s="147">
        <f t="shared" si="32"/>
        <v>5.1905607471271518</v>
      </c>
      <c r="CP17" s="147">
        <f t="shared" si="33"/>
        <v>0</v>
      </c>
      <c r="CQ17" s="31">
        <f>(AI17-(P17*450/1000000))*Parameters!$C$153</f>
        <v>47.725681854562787</v>
      </c>
      <c r="CR17" s="31">
        <f t="shared" si="34"/>
        <v>1.6328713125368803</v>
      </c>
      <c r="CS17" s="31">
        <f t="shared" si="35"/>
        <v>22.729489406039917</v>
      </c>
      <c r="CT17" s="31">
        <f>AM17*Parameters!$C$154</f>
        <v>1.9325875744963834</v>
      </c>
      <c r="CU17" s="31">
        <f>AQ17*Parameters!$C$155</f>
        <v>17.926246355000004</v>
      </c>
      <c r="CV17" s="31">
        <f t="shared" si="36"/>
        <v>98.288071790743132</v>
      </c>
      <c r="CW17" s="188">
        <f t="shared" si="37"/>
        <v>72.072456893700505</v>
      </c>
      <c r="CY17" s="181">
        <v>2965.9855516440393</v>
      </c>
      <c r="CZ17" s="181">
        <v>1087.4858481890496</v>
      </c>
      <c r="DA17" s="181">
        <v>5929.4819803471164</v>
      </c>
      <c r="DB17" s="181">
        <v>2269.6007401618526</v>
      </c>
      <c r="DC17" s="181">
        <v>1149.410545069826</v>
      </c>
      <c r="DD17" s="181">
        <v>10284.952260767157</v>
      </c>
      <c r="DE17" s="181">
        <v>3387.0043446048662</v>
      </c>
      <c r="DF17" s="181">
        <v>1149.909388340641</v>
      </c>
      <c r="DG17" s="181">
        <v>5602.5993359937283</v>
      </c>
      <c r="DH17" s="181">
        <v>4536.913732945507</v>
      </c>
      <c r="DI17" s="181">
        <v>19633.445526345953</v>
      </c>
      <c r="DJ17" s="181">
        <v>4053.471399833089</v>
      </c>
      <c r="DK17" s="181">
        <v>33826.429995118277</v>
      </c>
      <c r="DL17" s="181"/>
      <c r="DM17" s="181">
        <v>284.29318668041293</v>
      </c>
      <c r="DN17" s="181">
        <v>185.77556287536265</v>
      </c>
      <c r="DO17" s="181">
        <v>8.1085578323910816</v>
      </c>
      <c r="DP17" s="181">
        <v>215.89784503005484</v>
      </c>
      <c r="DQ17" s="181">
        <v>246.39730916307386</v>
      </c>
      <c r="DR17" s="181">
        <v>10.823194132457957</v>
      </c>
      <c r="DS17" s="181">
        <v>767.77923914441647</v>
      </c>
      <c r="DT17" s="181">
        <v>470.40371202551972</v>
      </c>
      <c r="DU17" s="181">
        <v>470.06874955577547</v>
      </c>
      <c r="DV17" s="181">
        <v>1719.0748948581697</v>
      </c>
      <c r="DW17" s="181">
        <v>1719.07489485817</v>
      </c>
      <c r="DX17" s="181"/>
      <c r="DY17" s="181">
        <v>227.43454934433029</v>
      </c>
      <c r="DZ17" s="181">
        <v>130.04289401275383</v>
      </c>
      <c r="EA17" s="181">
        <v>8.1085578323910816</v>
      </c>
      <c r="EB17" s="181">
        <v>215.89784503005484</v>
      </c>
      <c r="EC17" s="181">
        <v>113.36821531080163</v>
      </c>
      <c r="ED17" s="181">
        <v>10.823194132457957</v>
      </c>
      <c r="EE17" s="181">
        <v>142.61720653243853</v>
      </c>
      <c r="EF17" s="181">
        <v>337.37461817324748</v>
      </c>
      <c r="EG17" s="181">
        <v>357.4774433570841</v>
      </c>
      <c r="EH17" s="181">
        <v>848.29246219522815</v>
      </c>
      <c r="EJ17" s="31">
        <f t="shared" si="38"/>
        <v>5.8302105496116528E-3</v>
      </c>
      <c r="EK17" s="31">
        <f t="shared" si="39"/>
        <v>2.6300324689128827E-2</v>
      </c>
      <c r="EL17" s="31">
        <f t="shared" si="40"/>
        <v>0</v>
      </c>
      <c r="EM17" s="31">
        <f t="shared" si="41"/>
        <v>0.24182376239017878</v>
      </c>
      <c r="EN17" s="31">
        <f t="shared" si="42"/>
        <v>8.273681358811364E-3</v>
      </c>
      <c r="EO17" s="31">
        <f t="shared" si="43"/>
        <v>0.11516924288533323</v>
      </c>
      <c r="EP17" s="31">
        <f t="shared" si="44"/>
        <v>9.7923294178885595E-3</v>
      </c>
      <c r="EQ17" s="31">
        <f t="shared" si="45"/>
        <v>9.0831438559842909E-2</v>
      </c>
      <c r="ER17" s="31">
        <f t="shared" si="46"/>
        <v>0.49802098985079529</v>
      </c>
      <c r="ES17" s="31">
        <f t="shared" si="47"/>
        <v>0.36518771473712036</v>
      </c>
      <c r="ET17" s="31"/>
      <c r="EU17" s="31">
        <f t="shared" si="48"/>
        <v>15.028507868764994</v>
      </c>
      <c r="EV17" s="31">
        <f t="shared" si="49"/>
        <v>5.5102391235927151</v>
      </c>
      <c r="EW17" s="31">
        <f t="shared" si="50"/>
        <v>30.044403469852611</v>
      </c>
      <c r="EX17" s="31">
        <f t="shared" si="51"/>
        <v>11.499959115974409</v>
      </c>
      <c r="EY17" s="31">
        <f t="shared" si="52"/>
        <v>5.824008620489888</v>
      </c>
      <c r="EZ17" s="31">
        <f t="shared" si="53"/>
        <v>52.113364441419854</v>
      </c>
      <c r="FA17" s="31">
        <f t="shared" si="54"/>
        <v>17.161790089038291</v>
      </c>
      <c r="FB17" s="31">
        <f t="shared" si="55"/>
        <v>5.8265362356418136</v>
      </c>
      <c r="FC17" s="31">
        <f t="shared" si="56"/>
        <v>28.388104641928589</v>
      </c>
      <c r="FD17" s="31">
        <f t="shared" si="57"/>
        <v>22.988326324680106</v>
      </c>
      <c r="FE17" s="31">
        <f t="shared" si="58"/>
        <v>99.481735647736755</v>
      </c>
      <c r="FF17" s="31">
        <f t="shared" si="59"/>
        <v>20.538746992357709</v>
      </c>
      <c r="FG17" s="31">
        <f t="shared" si="60"/>
        <v>171.39691360670315</v>
      </c>
      <c r="FH17" s="31"/>
      <c r="FI17" s="31">
        <f t="shared" si="61"/>
        <v>1.4405000694270484</v>
      </c>
      <c r="FJ17" s="31">
        <f t="shared" si="62"/>
        <v>0.94131595042635086</v>
      </c>
      <c r="FK17" s="31">
        <f t="shared" si="63"/>
        <v>4.1085677278798249E-2</v>
      </c>
      <c r="FL17" s="31">
        <f t="shared" si="64"/>
        <v>1.0939441229189728</v>
      </c>
      <c r="FM17" s="31">
        <f t="shared" si="65"/>
        <v>1.2484834585749147</v>
      </c>
      <c r="FN17" s="31">
        <f t="shared" si="66"/>
        <v>5.4840610432055341E-2</v>
      </c>
      <c r="FO17" s="31">
        <f t="shared" si="67"/>
        <v>3.8903009256267129</v>
      </c>
      <c r="FP17" s="31">
        <f t="shared" si="68"/>
        <v>2.3835132587726857</v>
      </c>
      <c r="FQ17" s="31">
        <f t="shared" si="69"/>
        <v>2.3818160198533986</v>
      </c>
      <c r="FR17" s="31">
        <f t="shared" si="70"/>
        <v>8.7104708146848537</v>
      </c>
      <c r="FS17" s="31">
        <f t="shared" si="71"/>
        <v>8.7104708146848537</v>
      </c>
      <c r="FT17" s="31"/>
      <c r="FU17" s="31">
        <f t="shared" si="72"/>
        <v>1.1524000555416385</v>
      </c>
      <c r="FV17" s="31">
        <f t="shared" si="73"/>
        <v>0.65892116529844547</v>
      </c>
      <c r="FW17" s="31">
        <f t="shared" si="74"/>
        <v>4.1085677278798249E-2</v>
      </c>
      <c r="FX17" s="31">
        <f t="shared" si="75"/>
        <v>1.0939441229189728</v>
      </c>
      <c r="FY17" s="31">
        <f t="shared" si="76"/>
        <v>0.57443136057147637</v>
      </c>
      <c r="FZ17" s="31">
        <f t="shared" si="77"/>
        <v>5.4840610432055341E-2</v>
      </c>
      <c r="GA17" s="31">
        <f t="shared" si="78"/>
        <v>0.7226346093985504</v>
      </c>
      <c r="GB17" s="31">
        <f t="shared" si="79"/>
        <v>1.7094611607692471</v>
      </c>
      <c r="GC17" s="31">
        <f t="shared" si="80"/>
        <v>1.8113212208400835</v>
      </c>
      <c r="GD17" s="31">
        <f t="shared" si="81"/>
        <v>4.2982576014399374</v>
      </c>
    </row>
    <row r="18" spans="1:186">
      <c r="A18" s="39" t="str">
        <f>Basicinfo!A18</f>
        <v>Ranna</v>
      </c>
      <c r="B18" s="63">
        <f>Basicinfo!B18</f>
        <v>1100</v>
      </c>
      <c r="C18" s="63">
        <f>Basicinfo!C18</f>
        <v>5000</v>
      </c>
      <c r="D18" s="227">
        <v>214.01908271566666</v>
      </c>
      <c r="E18" s="89">
        <v>4.2843885532383377</v>
      </c>
      <c r="F18" s="27">
        <v>1.3039497425275933E-2</v>
      </c>
      <c r="G18" s="19">
        <v>0.87433691218703413</v>
      </c>
      <c r="H18" s="19">
        <v>0</v>
      </c>
      <c r="I18" s="19">
        <v>0.24091260987903301</v>
      </c>
      <c r="J18" s="19">
        <v>3.1129924953584256</v>
      </c>
      <c r="K18" s="19">
        <v>3.2437939222779042E-3</v>
      </c>
      <c r="L18" s="19">
        <v>9.7662654619729821E-3</v>
      </c>
      <c r="M18" s="19">
        <v>7.6465398236986865E-3</v>
      </c>
      <c r="N18" s="19">
        <v>4.2619381140577186</v>
      </c>
      <c r="O18" s="19">
        <v>2.2450439180618974E-2</v>
      </c>
      <c r="P18" s="56">
        <v>113.40728208456875</v>
      </c>
      <c r="Q18" s="43">
        <v>923.82016892931233</v>
      </c>
      <c r="R18" s="88">
        <v>1037.2274510138809</v>
      </c>
      <c r="S18" s="61">
        <v>1.5444459136200612</v>
      </c>
      <c r="T18" s="19">
        <v>45.431935909096708</v>
      </c>
      <c r="U18" s="19">
        <v>0</v>
      </c>
      <c r="V18" s="19">
        <v>1.1149121490964204</v>
      </c>
      <c r="W18" s="19">
        <v>2.3095504223232807E-2</v>
      </c>
      <c r="X18" s="19">
        <v>73.802701088246948</v>
      </c>
      <c r="Y18" s="19">
        <v>163.13791029382242</v>
      </c>
      <c r="Z18" s="19">
        <v>0.26986646725409913</v>
      </c>
      <c r="AA18" s="19">
        <v>3.159433959409764</v>
      </c>
      <c r="AB18" s="19">
        <v>2.4336013825899769</v>
      </c>
      <c r="AC18" s="19">
        <v>290.91790266735961</v>
      </c>
      <c r="AD18" s="19">
        <v>8.2631756799999998</v>
      </c>
      <c r="AE18" s="87">
        <v>299.18107834735963</v>
      </c>
      <c r="AF18" s="56">
        <v>2.8590639933935961E-2</v>
      </c>
      <c r="AG18" s="43">
        <v>0.67660075795830643</v>
      </c>
      <c r="AH18" s="43">
        <v>0</v>
      </c>
      <c r="AI18" s="43">
        <v>0.40741601150204537</v>
      </c>
      <c r="AJ18" s="43">
        <v>0.41571907601819047</v>
      </c>
      <c r="AK18" s="43">
        <v>0.61598804376739491</v>
      </c>
      <c r="AL18" s="58">
        <v>2.1117917449563994</v>
      </c>
      <c r="AM18" s="43">
        <v>6.5522016567960903E-2</v>
      </c>
      <c r="AN18" s="42">
        <v>0.54716030694263917</v>
      </c>
      <c r="AO18" s="42">
        <v>0.35542842625861421</v>
      </c>
      <c r="AP18" s="42">
        <v>5.2242170239054868</v>
      </c>
      <c r="AQ18" s="43">
        <v>1.5422871999999999</v>
      </c>
      <c r="AR18" s="83">
        <v>6.7665042239054873</v>
      </c>
      <c r="AS18" s="19">
        <f t="shared" si="2"/>
        <v>1.9213875023930289</v>
      </c>
      <c r="AT18" s="19">
        <f t="shared" si="3"/>
        <v>128.83472124475139</v>
      </c>
      <c r="AU18" s="19">
        <f t="shared" si="4"/>
        <v>0</v>
      </c>
      <c r="AV18" s="19">
        <f t="shared" si="5"/>
        <v>35.498797437790522</v>
      </c>
      <c r="AW18" s="19">
        <f t="shared" si="6"/>
        <v>458.7036356194838</v>
      </c>
      <c r="AX18" s="53">
        <f t="shared" si="82"/>
        <v>0.47797740199111544</v>
      </c>
      <c r="AY18" s="53">
        <f t="shared" si="83"/>
        <v>1.439072365420593</v>
      </c>
      <c r="AZ18" s="53">
        <f t="shared" si="84"/>
        <v>1.1267279385573674</v>
      </c>
      <c r="BA18" s="19">
        <f t="shared" si="85"/>
        <v>628.00231951038768</v>
      </c>
      <c r="BB18" s="19">
        <f t="shared" si="7"/>
        <v>3.3081024412229807</v>
      </c>
      <c r="BC18" s="53">
        <f t="shared" si="8"/>
        <v>631.31042195161069</v>
      </c>
      <c r="BD18" s="56">
        <f t="shared" si="9"/>
        <v>5.2989331907022086</v>
      </c>
      <c r="BE18" s="43">
        <f t="shared" si="10"/>
        <v>43.165317653316279</v>
      </c>
      <c r="BF18" s="58">
        <f t="shared" si="11"/>
        <v>48.464250844018487</v>
      </c>
      <c r="BG18" s="61">
        <f t="shared" si="12"/>
        <v>72.163934824069983</v>
      </c>
      <c r="BH18" s="19">
        <f t="shared" si="13"/>
        <v>2122.7983660435989</v>
      </c>
      <c r="BI18" s="19">
        <f t="shared" si="14"/>
        <v>0</v>
      </c>
      <c r="BJ18" s="19">
        <f t="shared" si="15"/>
        <v>52.094053247468032</v>
      </c>
      <c r="BK18" s="19">
        <f t="shared" si="16"/>
        <v>1.0791329413329069</v>
      </c>
      <c r="BL18" s="19">
        <f t="shared" si="17"/>
        <v>3448.416849178675</v>
      </c>
      <c r="BM18" s="19">
        <f t="shared" si="18"/>
        <v>7622.587118110303</v>
      </c>
      <c r="BN18" s="53">
        <f t="shared" si="19"/>
        <v>12.609458176803237</v>
      </c>
      <c r="BO18" s="53">
        <f t="shared" si="86"/>
        <v>147.62393704897823</v>
      </c>
      <c r="BP18" s="53">
        <f t="shared" si="87"/>
        <v>113.70955111620204</v>
      </c>
      <c r="BQ18" s="19">
        <f t="shared" si="88"/>
        <v>13593.082400687432</v>
      </c>
      <c r="BR18" s="19">
        <f t="shared" si="20"/>
        <v>386.09527595153634</v>
      </c>
      <c r="BS18" s="53">
        <f t="shared" si="21"/>
        <v>13979.177676638968</v>
      </c>
      <c r="BT18" s="56">
        <f t="shared" si="22"/>
        <v>1.3358920882732606</v>
      </c>
      <c r="BU18" s="43">
        <f t="shared" si="23"/>
        <v>31.614038775093665</v>
      </c>
      <c r="BV18" s="43">
        <f t="shared" si="24"/>
        <v>0</v>
      </c>
      <c r="BW18" s="43">
        <f t="shared" si="25"/>
        <v>19.03643386993274</v>
      </c>
      <c r="BX18" s="43">
        <f t="shared" si="26"/>
        <v>19.424392943992324</v>
      </c>
      <c r="BY18" s="58">
        <f t="shared" si="27"/>
        <v>28.781921497428378</v>
      </c>
      <c r="BZ18" s="58">
        <f t="shared" si="28"/>
        <v>98.673058409562643</v>
      </c>
      <c r="CA18" s="58">
        <f t="shared" si="29"/>
        <v>3.0615034760713207</v>
      </c>
      <c r="CB18" s="58">
        <f t="shared" si="89"/>
        <v>25.565958885524456</v>
      </c>
      <c r="CC18" s="58">
        <f t="shared" si="90"/>
        <v>16.607324064219814</v>
      </c>
      <c r="CD18" s="58">
        <f t="shared" si="91"/>
        <v>244.10052401009861</v>
      </c>
      <c r="CE18" s="58">
        <f t="shared" si="30"/>
        <v>72.06306935017534</v>
      </c>
      <c r="CF18" s="58">
        <f t="shared" si="92"/>
        <v>316.16359336027392</v>
      </c>
      <c r="CG18" s="127">
        <v>65</v>
      </c>
      <c r="CH18" s="128" t="s">
        <v>169</v>
      </c>
      <c r="CI18" s="128"/>
      <c r="CJ18" s="126">
        <f t="shared" si="93"/>
        <v>15</v>
      </c>
      <c r="CK18" s="126">
        <f t="shared" si="95"/>
        <v>62</v>
      </c>
      <c r="CN18" s="147">
        <f t="shared" si="31"/>
        <v>2.8590639933935961E-2</v>
      </c>
      <c r="CO18" s="147">
        <f t="shared" si="32"/>
        <v>0.67660075795830643</v>
      </c>
      <c r="CP18" s="147">
        <f t="shared" si="33"/>
        <v>0</v>
      </c>
      <c r="CQ18" s="31">
        <f>(AI18-(P18*450/1000000))*Parameters!$C$153</f>
        <v>0.28510618765119156</v>
      </c>
      <c r="CR18" s="31">
        <f t="shared" si="34"/>
        <v>0.61598804376739491</v>
      </c>
      <c r="CS18" s="31">
        <f t="shared" si="35"/>
        <v>2.1117917449563994</v>
      </c>
      <c r="CT18" s="31">
        <f>AM18*Parameters!$C$154</f>
        <v>5.8969814911164813E-2</v>
      </c>
      <c r="CU18" s="31">
        <f>AQ18*Parameters!$C$155</f>
        <v>1.5422871999999999</v>
      </c>
      <c r="CV18" s="31">
        <f t="shared" si="36"/>
        <v>5.3193343891783931</v>
      </c>
      <c r="CW18" s="188">
        <f t="shared" si="37"/>
        <v>78.612740244595344</v>
      </c>
      <c r="CY18" s="181">
        <v>0</v>
      </c>
      <c r="CZ18" s="181">
        <v>3.0650183658293324</v>
      </c>
      <c r="DA18" s="181">
        <v>20.787349511163743</v>
      </c>
      <c r="DB18" s="181">
        <v>23.591632876630605</v>
      </c>
      <c r="DC18" s="181">
        <v>5.031658665539128</v>
      </c>
      <c r="DD18" s="181">
        <v>43.53726023192489</v>
      </c>
      <c r="DE18" s="181">
        <v>8.460412516097513</v>
      </c>
      <c r="DF18" s="181">
        <v>9.1465155758193806</v>
      </c>
      <c r="DG18" s="181">
        <v>16.961317609924169</v>
      </c>
      <c r="DH18" s="181">
        <v>17.606928091916892</v>
      </c>
      <c r="DI18" s="181">
        <v>92.947901285258368</v>
      </c>
      <c r="DJ18" s="181">
        <v>3.0650183658293324</v>
      </c>
      <c r="DK18" s="181">
        <v>130.58116535292876</v>
      </c>
      <c r="DL18" s="181"/>
      <c r="DM18" s="181">
        <v>0</v>
      </c>
      <c r="DN18" s="181">
        <v>0.52863654209051425</v>
      </c>
      <c r="DO18" s="181">
        <v>0.1185917000182693</v>
      </c>
      <c r="DP18" s="181">
        <v>3.1165028520091553</v>
      </c>
      <c r="DQ18" s="181">
        <v>7.4458948788716145E-2</v>
      </c>
      <c r="DR18" s="181">
        <v>2.0957919404111919E-2</v>
      </c>
      <c r="DS18" s="181">
        <v>1.1940361694839741</v>
      </c>
      <c r="DT18" s="181">
        <v>3.3095535008161399</v>
      </c>
      <c r="DU18" s="181">
        <v>0.52863654209051425</v>
      </c>
      <c r="DV18" s="181">
        <v>5.0531841317947404</v>
      </c>
      <c r="DW18" s="181">
        <v>5.0531841317947404</v>
      </c>
      <c r="DX18" s="181"/>
      <c r="DY18" s="181">
        <v>0</v>
      </c>
      <c r="DZ18" s="181">
        <v>0.37004557946335997</v>
      </c>
      <c r="EA18" s="181">
        <v>0.1185917000182693</v>
      </c>
      <c r="EB18" s="181">
        <v>3.1165028520091553</v>
      </c>
      <c r="EC18" s="181">
        <v>5.6677294985952642E-2</v>
      </c>
      <c r="ED18" s="181">
        <v>2.0957919404111919E-2</v>
      </c>
      <c r="EE18" s="181">
        <v>0.99219013359941077</v>
      </c>
      <c r="EF18" s="181">
        <v>3.2917718470133774</v>
      </c>
      <c r="EG18" s="181">
        <v>0.37004557946335997</v>
      </c>
      <c r="EH18" s="181">
        <v>4.6749654794802602</v>
      </c>
      <c r="EJ18" s="31">
        <f t="shared" si="38"/>
        <v>1.3358920882732606E-3</v>
      </c>
      <c r="EK18" s="31">
        <f t="shared" si="39"/>
        <v>3.1614038775093667E-2</v>
      </c>
      <c r="EL18" s="31">
        <f t="shared" si="40"/>
        <v>0</v>
      </c>
      <c r="EM18" s="31">
        <f t="shared" si="41"/>
        <v>1.3321531147293399E-2</v>
      </c>
      <c r="EN18" s="31">
        <f t="shared" si="42"/>
        <v>2.8781921497428385E-2</v>
      </c>
      <c r="EO18" s="31">
        <f t="shared" si="43"/>
        <v>9.8673058409562642E-2</v>
      </c>
      <c r="EP18" s="31">
        <f t="shared" si="44"/>
        <v>2.7553531284641893E-3</v>
      </c>
      <c r="EQ18" s="31">
        <f t="shared" si="45"/>
        <v>7.2063069350175341E-2</v>
      </c>
      <c r="ER18" s="31">
        <f t="shared" si="46"/>
        <v>0.24854486439629089</v>
      </c>
      <c r="ES18" s="31">
        <f t="shared" si="47"/>
        <v>3.6731649929102668</v>
      </c>
      <c r="ET18" s="31"/>
      <c r="EU18" s="31">
        <f t="shared" si="48"/>
        <v>0</v>
      </c>
      <c r="EV18" s="31">
        <f t="shared" si="49"/>
        <v>0.14321238680857903</v>
      </c>
      <c r="EW18" s="31">
        <f t="shared" si="50"/>
        <v>0.97128486148969306</v>
      </c>
      <c r="EX18" s="31">
        <f t="shared" si="51"/>
        <v>1.1023144561353475</v>
      </c>
      <c r="EY18" s="31">
        <f t="shared" si="52"/>
        <v>0.23510327217988769</v>
      </c>
      <c r="EZ18" s="31">
        <f t="shared" si="53"/>
        <v>2.0342700136588276</v>
      </c>
      <c r="FA18" s="31">
        <f t="shared" si="54"/>
        <v>0.39531112874348345</v>
      </c>
      <c r="FB18" s="31">
        <f t="shared" si="55"/>
        <v>0.42736916071969672</v>
      </c>
      <c r="FC18" s="31">
        <f t="shared" si="56"/>
        <v>0.79251426530306146</v>
      </c>
      <c r="FD18" s="31">
        <f t="shared" si="57"/>
        <v>0.82268028946317995</v>
      </c>
      <c r="FE18" s="31">
        <f t="shared" si="58"/>
        <v>4.342972603463755</v>
      </c>
      <c r="FF18" s="31">
        <f t="shared" si="59"/>
        <v>0.14321238680857903</v>
      </c>
      <c r="FG18" s="31">
        <f t="shared" si="60"/>
        <v>6.1013795450385775</v>
      </c>
      <c r="FH18" s="31"/>
      <c r="FI18" s="31">
        <f t="shared" si="61"/>
        <v>0</v>
      </c>
      <c r="FJ18" s="31">
        <f t="shared" si="62"/>
        <v>2.4700439576821762E-2</v>
      </c>
      <c r="FK18" s="31">
        <f t="shared" si="63"/>
        <v>5.5411741099658553E-3</v>
      </c>
      <c r="FL18" s="31">
        <f t="shared" si="64"/>
        <v>0.1456179894084286</v>
      </c>
      <c r="FM18" s="31">
        <f t="shared" si="65"/>
        <v>3.4790798953025131E-3</v>
      </c>
      <c r="FN18" s="31">
        <f t="shared" si="66"/>
        <v>9.7925470655134969E-4</v>
      </c>
      <c r="FO18" s="31">
        <f t="shared" si="67"/>
        <v>5.5791107705582564E-2</v>
      </c>
      <c r="FP18" s="31">
        <f t="shared" si="68"/>
        <v>0.15463824341369695</v>
      </c>
      <c r="FQ18" s="31">
        <f t="shared" si="69"/>
        <v>2.4700439576821762E-2</v>
      </c>
      <c r="FR18" s="31">
        <f t="shared" si="70"/>
        <v>0.23610904540265262</v>
      </c>
      <c r="FS18" s="31">
        <f t="shared" si="71"/>
        <v>0.23610904540265262</v>
      </c>
      <c r="FT18" s="31"/>
      <c r="FU18" s="31">
        <f t="shared" si="72"/>
        <v>0</v>
      </c>
      <c r="FV18" s="31">
        <f t="shared" si="73"/>
        <v>1.729030770377523E-2</v>
      </c>
      <c r="FW18" s="31">
        <f t="shared" si="74"/>
        <v>5.5411741099658553E-3</v>
      </c>
      <c r="FX18" s="31">
        <f t="shared" si="75"/>
        <v>0.1456179894084286</v>
      </c>
      <c r="FY18" s="31">
        <f t="shared" si="76"/>
        <v>2.6482355809949341E-3</v>
      </c>
      <c r="FZ18" s="31">
        <f t="shared" si="77"/>
        <v>9.7925470655134969E-4</v>
      </c>
      <c r="GA18" s="31">
        <f t="shared" si="78"/>
        <v>4.6359890950358723E-2</v>
      </c>
      <c r="GB18" s="31">
        <f t="shared" si="79"/>
        <v>0.1538073990993894</v>
      </c>
      <c r="GC18" s="31">
        <f t="shared" si="80"/>
        <v>1.729030770377523E-2</v>
      </c>
      <c r="GD18" s="31">
        <f t="shared" si="81"/>
        <v>0.21843685246007472</v>
      </c>
    </row>
    <row r="19" spans="1:186">
      <c r="A19" s="39" t="str">
        <f>Basicinfo!A19</f>
        <v>Kleine Mühl</v>
      </c>
      <c r="B19" s="63">
        <f>Basicinfo!B19</f>
        <v>1110</v>
      </c>
      <c r="C19" s="63">
        <f>Basicinfo!C19</f>
        <v>5000</v>
      </c>
      <c r="D19" s="227">
        <v>201.54418290800001</v>
      </c>
      <c r="E19" s="89">
        <v>3.3249579263416096</v>
      </c>
      <c r="F19" s="27">
        <v>9.3356339760253763E-3</v>
      </c>
      <c r="G19" s="19">
        <v>0.6393902709452175</v>
      </c>
      <c r="H19" s="19">
        <v>0</v>
      </c>
      <c r="I19" s="19">
        <v>1.2300021141560119E-2</v>
      </c>
      <c r="J19" s="19">
        <v>2.6051472941655924</v>
      </c>
      <c r="K19" s="19">
        <v>7.9513732547322608E-3</v>
      </c>
      <c r="L19" s="19">
        <v>5.4418486015855583E-3</v>
      </c>
      <c r="M19" s="19">
        <v>1.404624690910334E-2</v>
      </c>
      <c r="N19" s="19">
        <v>3.2936126889938167</v>
      </c>
      <c r="O19" s="19">
        <v>3.1345237347793001E-2</v>
      </c>
      <c r="P19" s="56">
        <v>336.96515814725217</v>
      </c>
      <c r="Q19" s="43">
        <v>768.35963673580181</v>
      </c>
      <c r="R19" s="88">
        <v>1105.324794883054</v>
      </c>
      <c r="S19" s="61">
        <v>1.270525566006047</v>
      </c>
      <c r="T19" s="19">
        <v>31.890335842669565</v>
      </c>
      <c r="U19" s="19">
        <v>0</v>
      </c>
      <c r="V19" s="19">
        <v>4.2263799101659618</v>
      </c>
      <c r="W19" s="19">
        <v>1.9208990918395043E-2</v>
      </c>
      <c r="X19" s="19">
        <v>3.681308935257833</v>
      </c>
      <c r="Y19" s="19">
        <v>123.9099541937984</v>
      </c>
      <c r="Z19" s="19">
        <v>0.66240851800252221</v>
      </c>
      <c r="AA19" s="19">
        <v>1.4567983673111025</v>
      </c>
      <c r="AB19" s="19">
        <v>2.5519846131272854</v>
      </c>
      <c r="AC19" s="19">
        <v>169.66890493725711</v>
      </c>
      <c r="AD19" s="19">
        <v>2.9243637583333331</v>
      </c>
      <c r="AE19" s="87">
        <v>172.59326869559044</v>
      </c>
      <c r="AF19" s="56">
        <v>2.7993901371107421E-2</v>
      </c>
      <c r="AG19" s="43">
        <v>0.62643623105747293</v>
      </c>
      <c r="AH19" s="43">
        <v>0</v>
      </c>
      <c r="AI19" s="43">
        <v>1.1269526075511913</v>
      </c>
      <c r="AJ19" s="43">
        <v>0.34576183653111081</v>
      </c>
      <c r="AK19" s="43">
        <v>7.7984807305693113E-2</v>
      </c>
      <c r="AL19" s="58">
        <v>3.2613612696404246</v>
      </c>
      <c r="AM19" s="43">
        <v>0.17540452749464711</v>
      </c>
      <c r="AN19" s="42">
        <v>0.28025623185386495</v>
      </c>
      <c r="AO19" s="42">
        <v>0.40567510004663421</v>
      </c>
      <c r="AP19" s="42">
        <v>6.3278265128521474</v>
      </c>
      <c r="AQ19" s="43">
        <v>0.91144875000000014</v>
      </c>
      <c r="AR19" s="83">
        <v>7.2392752628521473</v>
      </c>
      <c r="AS19" s="19">
        <f t="shared" si="2"/>
        <v>1.4607643287939822</v>
      </c>
      <c r="AT19" s="19">
        <f t="shared" si="3"/>
        <v>100.04660662288956</v>
      </c>
      <c r="AU19" s="19">
        <f t="shared" si="4"/>
        <v>0</v>
      </c>
      <c r="AV19" s="19">
        <f t="shared" si="5"/>
        <v>1.9246076027771233</v>
      </c>
      <c r="AW19" s="19">
        <f t="shared" si="6"/>
        <v>407.63233095300143</v>
      </c>
      <c r="AX19" s="53">
        <f t="shared" si="82"/>
        <v>1.2441664321103223</v>
      </c>
      <c r="AY19" s="53">
        <f t="shared" si="83"/>
        <v>0.85149635689530068</v>
      </c>
      <c r="AZ19" s="53">
        <f t="shared" si="84"/>
        <v>2.1978428557656979</v>
      </c>
      <c r="BA19" s="19">
        <f t="shared" si="85"/>
        <v>515.35781515223334</v>
      </c>
      <c r="BB19" s="19">
        <f t="shared" si="7"/>
        <v>4.9046486519098771</v>
      </c>
      <c r="BC19" s="53">
        <f t="shared" si="8"/>
        <v>520.26246380414318</v>
      </c>
      <c r="BD19" s="56">
        <f t="shared" si="9"/>
        <v>16.719170619827242</v>
      </c>
      <c r="BE19" s="43">
        <f t="shared" si="10"/>
        <v>38.123632528086368</v>
      </c>
      <c r="BF19" s="58">
        <f t="shared" si="11"/>
        <v>54.842803147913614</v>
      </c>
      <c r="BG19" s="61">
        <f t="shared" si="12"/>
        <v>63.039555281335552</v>
      </c>
      <c r="BH19" s="19">
        <f t="shared" si="13"/>
        <v>1582.2999891406801</v>
      </c>
      <c r="BI19" s="19">
        <f t="shared" si="14"/>
        <v>0</v>
      </c>
      <c r="BJ19" s="19">
        <f t="shared" si="15"/>
        <v>209.69992034427514</v>
      </c>
      <c r="BK19" s="19">
        <f t="shared" si="16"/>
        <v>0.95309081320215916</v>
      </c>
      <c r="BL19" s="19">
        <f t="shared" si="17"/>
        <v>182.65518171458515</v>
      </c>
      <c r="BM19" s="19">
        <f t="shared" si="18"/>
        <v>6148.0293008684976</v>
      </c>
      <c r="BN19" s="53">
        <f t="shared" si="19"/>
        <v>32.866665187002475</v>
      </c>
      <c r="BO19" s="53">
        <f t="shared" si="86"/>
        <v>72.281836483273509</v>
      </c>
      <c r="BP19" s="53">
        <f t="shared" si="87"/>
        <v>126.62159613369761</v>
      </c>
      <c r="BQ19" s="19">
        <f t="shared" si="88"/>
        <v>8418.4471359665495</v>
      </c>
      <c r="BR19" s="19">
        <f t="shared" si="20"/>
        <v>145.09789943519399</v>
      </c>
      <c r="BS19" s="53">
        <f t="shared" si="21"/>
        <v>8563.545035401743</v>
      </c>
      <c r="BT19" s="56">
        <f t="shared" si="22"/>
        <v>1.388970942608944</v>
      </c>
      <c r="BU19" s="43">
        <f t="shared" si="23"/>
        <v>31.081831388972699</v>
      </c>
      <c r="BV19" s="43">
        <f t="shared" si="24"/>
        <v>0</v>
      </c>
      <c r="BW19" s="43">
        <f t="shared" si="25"/>
        <v>55.91590842716694</v>
      </c>
      <c r="BX19" s="43">
        <f t="shared" si="26"/>
        <v>17.155634637638865</v>
      </c>
      <c r="BY19" s="58">
        <f t="shared" si="27"/>
        <v>3.8693653262764363</v>
      </c>
      <c r="BZ19" s="58">
        <f t="shared" si="28"/>
        <v>161.81867531890794</v>
      </c>
      <c r="CA19" s="58">
        <f t="shared" si="29"/>
        <v>8.7030310160187057</v>
      </c>
      <c r="CB19" s="58">
        <f t="shared" si="89"/>
        <v>13.905448810784833</v>
      </c>
      <c r="CC19" s="58">
        <f t="shared" si="90"/>
        <v>20.128345764849733</v>
      </c>
      <c r="CD19" s="58">
        <f t="shared" si="91"/>
        <v>313.96721163322508</v>
      </c>
      <c r="CE19" s="58">
        <f t="shared" si="30"/>
        <v>45.223272477978405</v>
      </c>
      <c r="CF19" s="58">
        <f t="shared" si="92"/>
        <v>359.19048411120349</v>
      </c>
      <c r="CG19" s="127">
        <v>65</v>
      </c>
      <c r="CH19" s="128" t="s">
        <v>169</v>
      </c>
      <c r="CI19" s="128"/>
      <c r="CJ19" s="126">
        <f t="shared" si="93"/>
        <v>16</v>
      </c>
      <c r="CK19" s="126">
        <f t="shared" si="95"/>
        <v>62</v>
      </c>
      <c r="CN19" s="147">
        <f t="shared" si="31"/>
        <v>2.7993901371107421E-2</v>
      </c>
      <c r="CO19" s="147">
        <f t="shared" si="32"/>
        <v>0.62643623105747293</v>
      </c>
      <c r="CP19" s="147">
        <f t="shared" si="33"/>
        <v>0</v>
      </c>
      <c r="CQ19" s="31">
        <f>(AI19-(P19*450/1000000))*Parameters!$C$153</f>
        <v>0.7802546291079423</v>
      </c>
      <c r="CR19" s="31">
        <f t="shared" si="34"/>
        <v>7.7984807305693113E-2</v>
      </c>
      <c r="CS19" s="31">
        <f t="shared" si="35"/>
        <v>3.2613612696404246</v>
      </c>
      <c r="CT19" s="31">
        <f>AM19*Parameters!$C$154</f>
        <v>0.15786407474518241</v>
      </c>
      <c r="CU19" s="31">
        <f>AQ19*Parameters!$C$155</f>
        <v>0.91144875000000014</v>
      </c>
      <c r="CV19" s="31">
        <f t="shared" si="36"/>
        <v>5.8433436632278228</v>
      </c>
      <c r="CW19" s="188">
        <f t="shared" si="37"/>
        <v>80.717246562132345</v>
      </c>
      <c r="CY19" s="181">
        <v>6.8619966335416676</v>
      </c>
      <c r="CZ19" s="181">
        <v>8.4426107065981064</v>
      </c>
      <c r="DA19" s="181">
        <v>18.182718260649516</v>
      </c>
      <c r="DB19" s="181">
        <v>22.05063088786072</v>
      </c>
      <c r="DC19" s="181">
        <v>4.4456756436595271</v>
      </c>
      <c r="DD19" s="181">
        <v>131.67569096727033</v>
      </c>
      <c r="DE19" s="181">
        <v>9.7656741578392641</v>
      </c>
      <c r="DF19" s="181">
        <v>11.230708213313722</v>
      </c>
      <c r="DG19" s="181">
        <v>22.659488728439108</v>
      </c>
      <c r="DH19" s="181">
        <v>20.996382371152986</v>
      </c>
      <c r="DI19" s="181">
        <v>176.3547157594401</v>
      </c>
      <c r="DJ19" s="181">
        <v>15.304607340139775</v>
      </c>
      <c r="DK19" s="181">
        <v>235.31519419917194</v>
      </c>
      <c r="DL19" s="181"/>
      <c r="DM19" s="181">
        <v>0.9881953541666666</v>
      </c>
      <c r="DN19" s="181">
        <v>1.4733145037273503</v>
      </c>
      <c r="DO19" s="181">
        <v>8.7440901384970848E-2</v>
      </c>
      <c r="DP19" s="181">
        <v>7.0302754333495621</v>
      </c>
      <c r="DQ19" s="181">
        <v>0.4432807983766629</v>
      </c>
      <c r="DR19" s="181">
        <v>2.2104919057113485E-2</v>
      </c>
      <c r="DS19" s="181">
        <v>1.1598635772202162</v>
      </c>
      <c r="DT19" s="181">
        <v>7.5609971331111954</v>
      </c>
      <c r="DU19" s="181">
        <v>2.4615098578940167</v>
      </c>
      <c r="DV19" s="181">
        <v>11.204475487282542</v>
      </c>
      <c r="DW19" s="181">
        <v>11.204475487282542</v>
      </c>
      <c r="DX19" s="181"/>
      <c r="DY19" s="181">
        <v>0.79055628333333328</v>
      </c>
      <c r="DZ19" s="181">
        <v>1.0313201526091451</v>
      </c>
      <c r="EA19" s="181">
        <v>8.7440901384970848E-2</v>
      </c>
      <c r="EB19" s="181">
        <v>7.0302754333495621</v>
      </c>
      <c r="EC19" s="181">
        <v>0.30942883428177548</v>
      </c>
      <c r="ED19" s="181">
        <v>2.2104919057113485E-2</v>
      </c>
      <c r="EE19" s="181">
        <v>0.61747595622917062</v>
      </c>
      <c r="EF19" s="181">
        <v>7.4271451690163088</v>
      </c>
      <c r="EG19" s="181">
        <v>1.8218764359424784</v>
      </c>
      <c r="EH19" s="181">
        <v>9.8886024802450709</v>
      </c>
      <c r="EJ19" s="31">
        <f t="shared" si="38"/>
        <v>1.3889709426089442E-3</v>
      </c>
      <c r="EK19" s="31">
        <f t="shared" si="39"/>
        <v>3.1081831388972695E-2</v>
      </c>
      <c r="EL19" s="31">
        <f t="shared" si="40"/>
        <v>0</v>
      </c>
      <c r="EM19" s="31">
        <f t="shared" si="41"/>
        <v>3.8713825318595747E-2</v>
      </c>
      <c r="EN19" s="31">
        <f t="shared" si="42"/>
        <v>3.869365326276436E-3</v>
      </c>
      <c r="EO19" s="31">
        <f t="shared" si="43"/>
        <v>0.16181867531890795</v>
      </c>
      <c r="EP19" s="31">
        <f t="shared" si="44"/>
        <v>7.8327279144168368E-3</v>
      </c>
      <c r="EQ19" s="31">
        <f t="shared" si="45"/>
        <v>4.5223272477978395E-2</v>
      </c>
      <c r="ER19" s="31">
        <f t="shared" si="46"/>
        <v>0.28992866868775702</v>
      </c>
      <c r="ES19" s="31">
        <f t="shared" si="47"/>
        <v>4.0049405245785632</v>
      </c>
      <c r="ET19" s="31"/>
      <c r="EU19" s="31">
        <f t="shared" si="48"/>
        <v>0.34047108353774724</v>
      </c>
      <c r="EV19" s="31">
        <f t="shared" si="49"/>
        <v>0.41889627300490984</v>
      </c>
      <c r="EW19" s="31">
        <f t="shared" si="50"/>
        <v>0.90217033299092941</v>
      </c>
      <c r="EX19" s="31">
        <f t="shared" si="51"/>
        <v>1.0940842136796523</v>
      </c>
      <c r="EY19" s="31">
        <f t="shared" si="52"/>
        <v>0.22058069746864731</v>
      </c>
      <c r="EZ19" s="31">
        <f t="shared" si="53"/>
        <v>6.5333411794562712</v>
      </c>
      <c r="FA19" s="31">
        <f t="shared" si="54"/>
        <v>0.48454259591789139</v>
      </c>
      <c r="FB19" s="31">
        <f t="shared" si="55"/>
        <v>0.55723306181653809</v>
      </c>
      <c r="FC19" s="31">
        <f t="shared" si="56"/>
        <v>1.1242938596140286</v>
      </c>
      <c r="FD19" s="31">
        <f t="shared" si="57"/>
        <v>1.0417756577344295</v>
      </c>
      <c r="FE19" s="31">
        <f t="shared" si="58"/>
        <v>8.7501764235954997</v>
      </c>
      <c r="FF19" s="31">
        <f t="shared" si="59"/>
        <v>0.75936735654265719</v>
      </c>
      <c r="FG19" s="31">
        <f t="shared" si="60"/>
        <v>11.675613297486615</v>
      </c>
      <c r="FH19" s="31"/>
      <c r="FI19" s="31">
        <f t="shared" si="61"/>
        <v>4.9031201987990575E-2</v>
      </c>
      <c r="FJ19" s="31">
        <f t="shared" si="62"/>
        <v>7.3101316171446259E-2</v>
      </c>
      <c r="FK19" s="31">
        <f t="shared" si="63"/>
        <v>4.3385475146601217E-3</v>
      </c>
      <c r="FL19" s="31">
        <f t="shared" si="64"/>
        <v>0.34882055794975286</v>
      </c>
      <c r="FM19" s="31">
        <f t="shared" si="65"/>
        <v>2.1994224391929471E-2</v>
      </c>
      <c r="FN19" s="31">
        <f t="shared" si="66"/>
        <v>1.0967778249994862E-3</v>
      </c>
      <c r="FO19" s="31">
        <f t="shared" si="67"/>
        <v>5.7548849115117623E-2</v>
      </c>
      <c r="FP19" s="31">
        <f t="shared" si="68"/>
        <v>0.37515332985634253</v>
      </c>
      <c r="FQ19" s="31">
        <f t="shared" si="69"/>
        <v>0.12213251815943682</v>
      </c>
      <c r="FR19" s="31">
        <f t="shared" si="70"/>
        <v>0.55593147495589645</v>
      </c>
      <c r="FS19" s="31">
        <f t="shared" si="71"/>
        <v>0.55593147495589645</v>
      </c>
      <c r="FT19" s="31"/>
      <c r="FU19" s="31">
        <f t="shared" si="72"/>
        <v>3.9224961590392467E-2</v>
      </c>
      <c r="FV19" s="31">
        <f t="shared" si="73"/>
        <v>5.1170921320012372E-2</v>
      </c>
      <c r="FW19" s="31">
        <f t="shared" si="74"/>
        <v>4.3385475146601217E-3</v>
      </c>
      <c r="FX19" s="31">
        <f t="shared" si="75"/>
        <v>0.34882055794975286</v>
      </c>
      <c r="FY19" s="31">
        <f t="shared" si="76"/>
        <v>1.5352903260076831E-2</v>
      </c>
      <c r="FZ19" s="31">
        <f t="shared" si="77"/>
        <v>1.0967778249994862E-3</v>
      </c>
      <c r="GA19" s="31">
        <f t="shared" si="78"/>
        <v>3.0637250220763419E-2</v>
      </c>
      <c r="GB19" s="31">
        <f t="shared" si="79"/>
        <v>0.36851200872448991</v>
      </c>
      <c r="GC19" s="31">
        <f t="shared" si="80"/>
        <v>9.0395882910404832E-2</v>
      </c>
      <c r="GD19" s="31">
        <f t="shared" si="81"/>
        <v>0.49064191968065757</v>
      </c>
    </row>
    <row r="20" spans="1:186">
      <c r="A20" s="39" t="str">
        <f>Basicinfo!A20</f>
        <v>Steinerne Mühl</v>
      </c>
      <c r="B20" s="63">
        <f>Basicinfo!B20</f>
        <v>1120</v>
      </c>
      <c r="C20" s="63">
        <f>Basicinfo!C20</f>
        <v>1130</v>
      </c>
      <c r="D20" s="227">
        <v>135.36283359399999</v>
      </c>
      <c r="E20" s="89">
        <v>1.9216645167887725</v>
      </c>
      <c r="F20" s="27">
        <v>4.8955537223630821E-3</v>
      </c>
      <c r="G20" s="19">
        <v>0.36355784410439335</v>
      </c>
      <c r="H20" s="19">
        <v>0</v>
      </c>
      <c r="I20" s="19">
        <v>1.8886888267210147E-2</v>
      </c>
      <c r="J20" s="19">
        <v>1.5226521258880106</v>
      </c>
      <c r="K20" s="19">
        <v>3.1164532454720276E-3</v>
      </c>
      <c r="L20" s="19">
        <v>2.0441389889808786E-3</v>
      </c>
      <c r="M20" s="19">
        <v>6.5115125723420961E-3</v>
      </c>
      <c r="N20" s="19">
        <v>1.9216645167887725</v>
      </c>
      <c r="O20" s="19">
        <v>0</v>
      </c>
      <c r="P20" s="56">
        <v>69.788593818653908</v>
      </c>
      <c r="Q20" s="43">
        <v>759.53338668567824</v>
      </c>
      <c r="R20" s="88">
        <v>829.32198050433215</v>
      </c>
      <c r="S20" s="61">
        <v>0.62703797367635783</v>
      </c>
      <c r="T20" s="19">
        <v>16.381385037052734</v>
      </c>
      <c r="U20" s="19">
        <v>0</v>
      </c>
      <c r="V20" s="19">
        <v>0.5988939581880508</v>
      </c>
      <c r="W20" s="19">
        <v>1.8988334667141955E-2</v>
      </c>
      <c r="X20" s="19">
        <v>6.2210042360595166</v>
      </c>
      <c r="Y20" s="19">
        <v>74.768548369352317</v>
      </c>
      <c r="Z20" s="19">
        <v>0.25269297015382852</v>
      </c>
      <c r="AA20" s="19">
        <v>0.50795786465158477</v>
      </c>
      <c r="AB20" s="19">
        <v>2.9721943427243023</v>
      </c>
      <c r="AC20" s="19">
        <v>102.34870308652583</v>
      </c>
      <c r="AD20" s="19">
        <v>0</v>
      </c>
      <c r="AE20" s="87">
        <v>102.34870308652583</v>
      </c>
      <c r="AF20" s="56">
        <v>1.6202868325400337E-2</v>
      </c>
      <c r="AG20" s="43">
        <v>0.3152259999098545</v>
      </c>
      <c r="AH20" s="43">
        <v>0</v>
      </c>
      <c r="AI20" s="43">
        <v>0.22332259399460866</v>
      </c>
      <c r="AJ20" s="43">
        <v>0.34179002400855518</v>
      </c>
      <c r="AK20" s="43">
        <v>0.16309559208946414</v>
      </c>
      <c r="AL20" s="58">
        <v>0.86370211345355619</v>
      </c>
      <c r="AM20" s="43">
        <v>7.3015913620451428E-2</v>
      </c>
      <c r="AN20" s="42">
        <v>0.10232066500183049</v>
      </c>
      <c r="AO20" s="42">
        <v>0.4364320193845439</v>
      </c>
      <c r="AP20" s="42">
        <v>2.5351077897882646</v>
      </c>
      <c r="AQ20" s="43">
        <v>0</v>
      </c>
      <c r="AR20" s="83">
        <v>2.5351077897882646</v>
      </c>
      <c r="AS20" s="19">
        <f t="shared" si="2"/>
        <v>1.1405359808845299</v>
      </c>
      <c r="AT20" s="19">
        <f t="shared" si="3"/>
        <v>84.699469324527698</v>
      </c>
      <c r="AU20" s="19">
        <f t="shared" si="4"/>
        <v>0</v>
      </c>
      <c r="AV20" s="19">
        <f t="shared" si="5"/>
        <v>4.4001510058602991</v>
      </c>
      <c r="AW20" s="19">
        <f t="shared" si="6"/>
        <v>354.73812247479975</v>
      </c>
      <c r="AX20" s="53">
        <f t="shared" si="82"/>
        <v>0.72605209967739759</v>
      </c>
      <c r="AY20" s="53">
        <f t="shared" si="83"/>
        <v>0.47623092280892071</v>
      </c>
      <c r="AZ20" s="53">
        <f t="shared" si="84"/>
        <v>1.5170121297644172</v>
      </c>
      <c r="BA20" s="19">
        <f t="shared" si="85"/>
        <v>447.69757393832299</v>
      </c>
      <c r="BB20" s="19">
        <f t="shared" si="7"/>
        <v>0</v>
      </c>
      <c r="BC20" s="53">
        <f t="shared" si="8"/>
        <v>447.69757393832299</v>
      </c>
      <c r="BD20" s="56">
        <f t="shared" si="9"/>
        <v>5.1556688025587629</v>
      </c>
      <c r="BE20" s="43">
        <f t="shared" si="10"/>
        <v>56.11092546745747</v>
      </c>
      <c r="BF20" s="58">
        <f t="shared" si="11"/>
        <v>61.266594270016235</v>
      </c>
      <c r="BG20" s="61">
        <f t="shared" si="12"/>
        <v>46.322757660131572</v>
      </c>
      <c r="BH20" s="19">
        <f t="shared" si="13"/>
        <v>1210.18337176556</v>
      </c>
      <c r="BI20" s="19">
        <f t="shared" si="14"/>
        <v>0</v>
      </c>
      <c r="BJ20" s="19">
        <f t="shared" si="15"/>
        <v>44.243603822917976</v>
      </c>
      <c r="BK20" s="19">
        <f t="shared" si="16"/>
        <v>1.4027731366864367</v>
      </c>
      <c r="BL20" s="19">
        <f t="shared" si="17"/>
        <v>459.57993570956569</v>
      </c>
      <c r="BM20" s="19">
        <f t="shared" si="18"/>
        <v>5523.5655448532552</v>
      </c>
      <c r="BN20" s="53">
        <f t="shared" si="19"/>
        <v>18.667825092354541</v>
      </c>
      <c r="BO20" s="53">
        <f t="shared" si="86"/>
        <v>37.525652438329288</v>
      </c>
      <c r="BP20" s="53">
        <f t="shared" si="87"/>
        <v>219.57240874839707</v>
      </c>
      <c r="BQ20" s="19">
        <f t="shared" si="88"/>
        <v>7561.0638732271973</v>
      </c>
      <c r="BR20" s="19">
        <f t="shared" si="20"/>
        <v>0</v>
      </c>
      <c r="BS20" s="53">
        <f t="shared" si="21"/>
        <v>7561.0638732271973</v>
      </c>
      <c r="BT20" s="56">
        <f t="shared" si="22"/>
        <v>1.1969953564948521</v>
      </c>
      <c r="BU20" s="43">
        <f t="shared" si="23"/>
        <v>23.287485311908174</v>
      </c>
      <c r="BV20" s="43">
        <f t="shared" si="24"/>
        <v>0</v>
      </c>
      <c r="BW20" s="43">
        <f t="shared" si="25"/>
        <v>16.498073220336863</v>
      </c>
      <c r="BX20" s="43">
        <f t="shared" si="26"/>
        <v>25.249916460355859</v>
      </c>
      <c r="BY20" s="58">
        <f t="shared" si="27"/>
        <v>12.048772012164305</v>
      </c>
      <c r="BZ20" s="58">
        <f t="shared" si="28"/>
        <v>63.80644454031583</v>
      </c>
      <c r="CA20" s="58">
        <f t="shared" si="29"/>
        <v>5.3940887377883531</v>
      </c>
      <c r="CB20" s="58">
        <f t="shared" si="89"/>
        <v>7.5589925450826172</v>
      </c>
      <c r="CC20" s="58">
        <f t="shared" si="90"/>
        <v>32.241643278062178</v>
      </c>
      <c r="CD20" s="58">
        <f t="shared" si="91"/>
        <v>187.28241146250906</v>
      </c>
      <c r="CE20" s="58">
        <f t="shared" si="30"/>
        <v>0</v>
      </c>
      <c r="CF20" s="58">
        <f t="shared" si="92"/>
        <v>187.28241146250906</v>
      </c>
      <c r="CG20" s="127">
        <v>21</v>
      </c>
      <c r="CH20" s="128" t="s">
        <v>169</v>
      </c>
      <c r="CI20" s="128"/>
      <c r="CJ20" s="126">
        <f t="shared" si="93"/>
        <v>17</v>
      </c>
      <c r="CK20" s="126">
        <f t="shared" si="95"/>
        <v>18</v>
      </c>
      <c r="CN20" s="147">
        <f t="shared" si="31"/>
        <v>1.6202868325400337E-2</v>
      </c>
      <c r="CO20" s="147">
        <f t="shared" si="32"/>
        <v>0.3152259999098545</v>
      </c>
      <c r="CP20" s="147">
        <f t="shared" si="33"/>
        <v>0</v>
      </c>
      <c r="CQ20" s="31">
        <f>(AI20-(P20*450/1000000))*Parameters!$C$153</f>
        <v>0.15353418142097153</v>
      </c>
      <c r="CR20" s="31">
        <f t="shared" si="34"/>
        <v>0.16309559208946414</v>
      </c>
      <c r="CS20" s="31">
        <f t="shared" si="35"/>
        <v>0.86370211345355619</v>
      </c>
      <c r="CT20" s="31">
        <f>AM20*Parameters!$C$154</f>
        <v>6.5714322258406288E-2</v>
      </c>
      <c r="CU20" s="31">
        <f>AQ20*Parameters!$C$155</f>
        <v>0</v>
      </c>
      <c r="CV20" s="31">
        <f t="shared" si="36"/>
        <v>1.5774750774576529</v>
      </c>
      <c r="CW20" s="188">
        <f t="shared" si="37"/>
        <v>62.225167853292959</v>
      </c>
      <c r="CY20" s="181">
        <v>0</v>
      </c>
      <c r="CZ20" s="181">
        <v>3.496326468829337</v>
      </c>
      <c r="DA20" s="181">
        <v>13.239907129419429</v>
      </c>
      <c r="DB20" s="181">
        <v>11.445698485883018</v>
      </c>
      <c r="DC20" s="181">
        <v>7.4928735606865944</v>
      </c>
      <c r="DD20" s="181">
        <v>54.534827247226815</v>
      </c>
      <c r="DE20" s="181">
        <v>8.0160247154967443</v>
      </c>
      <c r="DF20" s="181">
        <v>6.5861053244700551</v>
      </c>
      <c r="DG20" s="181">
        <v>14.100664551005504</v>
      </c>
      <c r="DH20" s="181">
        <v>14.602130039966799</v>
      </c>
      <c r="DI20" s="181">
        <v>86.713306423215855</v>
      </c>
      <c r="DJ20" s="181">
        <v>3.496326468829337</v>
      </c>
      <c r="DK20" s="181">
        <v>118.9124274830175</v>
      </c>
      <c r="DL20" s="181"/>
      <c r="DM20" s="181">
        <v>0</v>
      </c>
      <c r="DN20" s="181">
        <v>0.62324852506002915</v>
      </c>
      <c r="DO20" s="181">
        <v>0.14013406179270096</v>
      </c>
      <c r="DP20" s="181">
        <v>5.6722347180609987</v>
      </c>
      <c r="DQ20" s="181">
        <v>8.1225489718702915E-2</v>
      </c>
      <c r="DR20" s="181">
        <v>1.9415150175478159E-2</v>
      </c>
      <c r="DS20" s="181">
        <v>0.74441406077694405</v>
      </c>
      <c r="DT20" s="181">
        <v>5.8935942695724028</v>
      </c>
      <c r="DU20" s="181">
        <v>0.62324852506002915</v>
      </c>
      <c r="DV20" s="181">
        <v>7.2806720055848544</v>
      </c>
      <c r="DW20" s="181">
        <v>7.2806720055848544</v>
      </c>
      <c r="DX20" s="181"/>
      <c r="DY20" s="181">
        <v>0</v>
      </c>
      <c r="DZ20" s="181">
        <v>0.43627396754202036</v>
      </c>
      <c r="EA20" s="181">
        <v>0.14013406179270096</v>
      </c>
      <c r="EB20" s="181">
        <v>5.6722347180609987</v>
      </c>
      <c r="EC20" s="181">
        <v>6.0170964483249323E-2</v>
      </c>
      <c r="ED20" s="181">
        <v>1.9415150175478159E-2</v>
      </c>
      <c r="EE20" s="181">
        <v>0.47662191030666035</v>
      </c>
      <c r="EF20" s="181">
        <v>5.8725397443369491</v>
      </c>
      <c r="EG20" s="181">
        <v>0.43627396754202036</v>
      </c>
      <c r="EH20" s="181">
        <v>6.8048507723611085</v>
      </c>
      <c r="EJ20" s="31">
        <f t="shared" si="38"/>
        <v>1.196995356494852E-3</v>
      </c>
      <c r="EK20" s="31">
        <f t="shared" si="39"/>
        <v>2.3287485311908173E-2</v>
      </c>
      <c r="EL20" s="31">
        <f t="shared" si="40"/>
        <v>0</v>
      </c>
      <c r="EM20" s="31">
        <f t="shared" si="41"/>
        <v>1.1342417807348338E-2</v>
      </c>
      <c r="EN20" s="31">
        <f t="shared" si="42"/>
        <v>1.2048772012164305E-2</v>
      </c>
      <c r="EO20" s="31">
        <f t="shared" si="43"/>
        <v>6.3806444540315838E-2</v>
      </c>
      <c r="EP20" s="31">
        <f t="shared" si="44"/>
        <v>4.8546798640095173E-3</v>
      </c>
      <c r="EQ20" s="31">
        <f t="shared" si="45"/>
        <v>0</v>
      </c>
      <c r="ER20" s="31">
        <f t="shared" si="46"/>
        <v>0.11653679489224102</v>
      </c>
      <c r="ES20" s="31">
        <f t="shared" si="47"/>
        <v>4.5969167607652022</v>
      </c>
      <c r="ET20" s="31"/>
      <c r="EU20" s="31">
        <f t="shared" si="48"/>
        <v>0</v>
      </c>
      <c r="EV20" s="31">
        <f t="shared" si="49"/>
        <v>0.25829294319562124</v>
      </c>
      <c r="EW20" s="31">
        <f t="shared" si="50"/>
        <v>0.97810505128242908</v>
      </c>
      <c r="EX20" s="31">
        <f t="shared" si="51"/>
        <v>0.84555695104703776</v>
      </c>
      <c r="EY20" s="31">
        <f t="shared" si="52"/>
        <v>0.5535399460652779</v>
      </c>
      <c r="EZ20" s="31">
        <f t="shared" si="53"/>
        <v>4.0287888336318112</v>
      </c>
      <c r="FA20" s="31">
        <f t="shared" si="54"/>
        <v>0.59218801074596128</v>
      </c>
      <c r="FB20" s="31">
        <f t="shared" si="55"/>
        <v>0.48655196922251681</v>
      </c>
      <c r="FC20" s="31">
        <f t="shared" si="56"/>
        <v>1.0416939551737132</v>
      </c>
      <c r="FD20" s="31">
        <f t="shared" si="57"/>
        <v>1.078739979968478</v>
      </c>
      <c r="FE20" s="31">
        <f t="shared" si="58"/>
        <v>6.4059907820265565</v>
      </c>
      <c r="FF20" s="31">
        <f t="shared" si="59"/>
        <v>0.25829294319562124</v>
      </c>
      <c r="FG20" s="31">
        <f t="shared" si="60"/>
        <v>8.7847176603643682</v>
      </c>
      <c r="FH20" s="31"/>
      <c r="FI20" s="31">
        <f t="shared" si="61"/>
        <v>0</v>
      </c>
      <c r="FJ20" s="31">
        <f t="shared" si="62"/>
        <v>4.6042810165260517E-2</v>
      </c>
      <c r="FK20" s="31">
        <f t="shared" si="63"/>
        <v>1.0352476974071888E-2</v>
      </c>
      <c r="FL20" s="31">
        <f t="shared" si="64"/>
        <v>0.41903930107388221</v>
      </c>
      <c r="FM20" s="31">
        <f t="shared" si="65"/>
        <v>6.0005754579817881E-3</v>
      </c>
      <c r="FN20" s="31">
        <f t="shared" si="66"/>
        <v>1.4343043551903558E-3</v>
      </c>
      <c r="FO20" s="31">
        <f t="shared" si="67"/>
        <v>5.4993977372673773E-2</v>
      </c>
      <c r="FP20" s="31">
        <f t="shared" si="68"/>
        <v>0.43539235350593603</v>
      </c>
      <c r="FQ20" s="31">
        <f t="shared" si="69"/>
        <v>4.6042810165260517E-2</v>
      </c>
      <c r="FR20" s="31">
        <f t="shared" si="70"/>
        <v>0.53786344539906061</v>
      </c>
      <c r="FS20" s="31">
        <f t="shared" si="71"/>
        <v>0.53786344539906061</v>
      </c>
      <c r="FT20" s="31"/>
      <c r="FU20" s="31">
        <f t="shared" si="72"/>
        <v>0</v>
      </c>
      <c r="FV20" s="31">
        <f t="shared" si="73"/>
        <v>3.2229967115682358E-2</v>
      </c>
      <c r="FW20" s="31">
        <f t="shared" si="74"/>
        <v>1.0352476974071888E-2</v>
      </c>
      <c r="FX20" s="31">
        <f t="shared" si="75"/>
        <v>0.41903930107388221</v>
      </c>
      <c r="FY20" s="31">
        <f t="shared" si="76"/>
        <v>4.445161414374856E-3</v>
      </c>
      <c r="FZ20" s="31">
        <f t="shared" si="77"/>
        <v>1.4343043551903558E-3</v>
      </c>
      <c r="GA20" s="31">
        <f t="shared" si="78"/>
        <v>3.521069245168245E-2</v>
      </c>
      <c r="GB20" s="31">
        <f t="shared" si="79"/>
        <v>0.43383693946232893</v>
      </c>
      <c r="GC20" s="31">
        <f t="shared" si="80"/>
        <v>3.2229967115682358E-2</v>
      </c>
      <c r="GD20" s="31">
        <f t="shared" si="81"/>
        <v>0.50271190338488425</v>
      </c>
    </row>
    <row r="21" spans="1:186">
      <c r="A21" s="39" t="str">
        <f>Basicinfo!A21</f>
        <v>Große Mühl</v>
      </c>
      <c r="B21" s="63">
        <f>Basicinfo!B21</f>
        <v>1130</v>
      </c>
      <c r="C21" s="63">
        <f>Basicinfo!C21</f>
        <v>5000</v>
      </c>
      <c r="D21" s="227">
        <v>525.97040678033329</v>
      </c>
      <c r="E21" s="89">
        <v>9.3340533377709463</v>
      </c>
      <c r="F21" s="27">
        <v>3.2618188473561967E-2</v>
      </c>
      <c r="G21" s="19">
        <v>1.8402503610734628</v>
      </c>
      <c r="H21" s="19">
        <v>0</v>
      </c>
      <c r="I21" s="19">
        <v>0.16797965961103828</v>
      </c>
      <c r="J21" s="19">
        <v>7.1094680773706083</v>
      </c>
      <c r="K21" s="19">
        <v>1.3769875379477272E-2</v>
      </c>
      <c r="L21" s="19">
        <v>1.2916537129555103E-2</v>
      </c>
      <c r="M21" s="19">
        <v>2.7259708843593109E-2</v>
      </c>
      <c r="N21" s="19">
        <v>9.2042624078812967</v>
      </c>
      <c r="O21" s="19">
        <v>0.12979092988964991</v>
      </c>
      <c r="P21" s="56">
        <v>480.16382064105449</v>
      </c>
      <c r="Q21" s="43">
        <v>2913.9587444828844</v>
      </c>
      <c r="R21" s="88">
        <v>3394.1225651239383</v>
      </c>
      <c r="S21" s="61">
        <v>4.3865394583163466</v>
      </c>
      <c r="T21" s="19">
        <v>88.522746578899856</v>
      </c>
      <c r="U21" s="19">
        <v>0</v>
      </c>
      <c r="V21" s="19">
        <v>3.3425071015677204</v>
      </c>
      <c r="W21" s="19">
        <v>7.2848968612072088E-2</v>
      </c>
      <c r="X21" s="19">
        <v>48.088023985652661</v>
      </c>
      <c r="Y21" s="19">
        <v>317.35662321589984</v>
      </c>
      <c r="Z21" s="19">
        <v>1.1402968291918441</v>
      </c>
      <c r="AA21" s="19">
        <v>3.6134037531680074</v>
      </c>
      <c r="AB21" s="19">
        <v>9.0207070962741707</v>
      </c>
      <c r="AC21" s="19">
        <v>475.54369698758256</v>
      </c>
      <c r="AD21" s="19">
        <v>8.1149780833333338</v>
      </c>
      <c r="AE21" s="87">
        <v>483.65867507091588</v>
      </c>
      <c r="AF21" s="56">
        <v>0.10183796434124848</v>
      </c>
      <c r="AG21" s="43">
        <v>1.5956072667530725</v>
      </c>
      <c r="AH21" s="43">
        <v>0</v>
      </c>
      <c r="AI21" s="43">
        <v>1.538764103265766</v>
      </c>
      <c r="AJ21" s="43">
        <v>1.3112814350172979</v>
      </c>
      <c r="AK21" s="43">
        <v>0.63424884285345495</v>
      </c>
      <c r="AL21" s="58">
        <v>3.972349147000847</v>
      </c>
      <c r="AM21" s="43">
        <v>0.31322987216864012</v>
      </c>
      <c r="AN21" s="42">
        <v>0.67755051148979606</v>
      </c>
      <c r="AO21" s="42">
        <v>1.3464700921465032</v>
      </c>
      <c r="AP21" s="42">
        <v>11.491339235036625</v>
      </c>
      <c r="AQ21" s="43">
        <v>3.4285123333333329</v>
      </c>
      <c r="AR21" s="83">
        <v>14.919851568369959</v>
      </c>
      <c r="AS21" s="19">
        <f t="shared" si="2"/>
        <v>1.955713056175526</v>
      </c>
      <c r="AT21" s="19">
        <f t="shared" si="3"/>
        <v>110.33726353933473</v>
      </c>
      <c r="AU21" s="19">
        <f t="shared" si="4"/>
        <v>0</v>
      </c>
      <c r="AV21" s="19">
        <f t="shared" si="5"/>
        <v>10.071681747117983</v>
      </c>
      <c r="AW21" s="19">
        <f t="shared" si="6"/>
        <v>426.26768045829681</v>
      </c>
      <c r="AX21" s="53">
        <f t="shared" si="82"/>
        <v>0.82561068906022017</v>
      </c>
      <c r="AY21" s="53">
        <f t="shared" si="83"/>
        <v>0.77444645110569843</v>
      </c>
      <c r="AZ21" s="53">
        <f t="shared" si="84"/>
        <v>1.6344306961181987</v>
      </c>
      <c r="BA21" s="19">
        <f t="shared" si="85"/>
        <v>551.86682663720921</v>
      </c>
      <c r="BB21" s="19">
        <f t="shared" si="7"/>
        <v>7.7819715942867473</v>
      </c>
      <c r="BC21" s="53">
        <f t="shared" si="8"/>
        <v>559.64879823149602</v>
      </c>
      <c r="BD21" s="56">
        <f t="shared" si="9"/>
        <v>9.1291033573603784</v>
      </c>
      <c r="BE21" s="43">
        <f t="shared" si="10"/>
        <v>55.401572159170399</v>
      </c>
      <c r="BF21" s="58">
        <f t="shared" si="11"/>
        <v>64.530675516530778</v>
      </c>
      <c r="BG21" s="61">
        <f t="shared" si="12"/>
        <v>83.398978379183689</v>
      </c>
      <c r="BH21" s="19">
        <f t="shared" si="13"/>
        <v>1683.0366392813155</v>
      </c>
      <c r="BI21" s="19">
        <f t="shared" si="14"/>
        <v>0</v>
      </c>
      <c r="BJ21" s="19">
        <f t="shared" si="15"/>
        <v>63.549337728494827</v>
      </c>
      <c r="BK21" s="19">
        <f t="shared" si="16"/>
        <v>1.3850393039792597</v>
      </c>
      <c r="BL21" s="19">
        <f t="shared" si="17"/>
        <v>914.272426086059</v>
      </c>
      <c r="BM21" s="19">
        <f t="shared" si="18"/>
        <v>6033.7353418524344</v>
      </c>
      <c r="BN21" s="53">
        <f t="shared" si="19"/>
        <v>21.679866671055478</v>
      </c>
      <c r="BO21" s="53">
        <f t="shared" si="86"/>
        <v>68.699753951691662</v>
      </c>
      <c r="BP21" s="53">
        <f t="shared" si="87"/>
        <v>171.50598170519481</v>
      </c>
      <c r="BQ21" s="19">
        <f t="shared" si="88"/>
        <v>9041.2633649594081</v>
      </c>
      <c r="BR21" s="19">
        <f t="shared" si="20"/>
        <v>154.28583012888936</v>
      </c>
      <c r="BS21" s="53">
        <f t="shared" si="21"/>
        <v>9195.549195088297</v>
      </c>
      <c r="BT21" s="56">
        <f t="shared" si="22"/>
        <v>1.9361919041156277</v>
      </c>
      <c r="BU21" s="43">
        <f t="shared" si="23"/>
        <v>30.336445666599325</v>
      </c>
      <c r="BV21" s="43">
        <f t="shared" si="24"/>
        <v>0</v>
      </c>
      <c r="BW21" s="43">
        <f t="shared" si="25"/>
        <v>29.255716356460653</v>
      </c>
      <c r="BX21" s="43">
        <f t="shared" si="26"/>
        <v>24.930707471626679</v>
      </c>
      <c r="BY21" s="58">
        <f t="shared" si="27"/>
        <v>12.058641221583843</v>
      </c>
      <c r="BZ21" s="58">
        <f t="shared" si="28"/>
        <v>75.524194817672736</v>
      </c>
      <c r="CA21" s="58">
        <f t="shared" si="29"/>
        <v>5.9552755845341254</v>
      </c>
      <c r="CB21" s="58">
        <f t="shared" si="89"/>
        <v>12.881913179057786</v>
      </c>
      <c r="CC21" s="58">
        <f t="shared" si="90"/>
        <v>25.59973098845548</v>
      </c>
      <c r="CD21" s="58">
        <f t="shared" si="91"/>
        <v>218.47881719010627</v>
      </c>
      <c r="CE21" s="58">
        <f t="shared" si="30"/>
        <v>65.184510176543441</v>
      </c>
      <c r="CF21" s="58">
        <f t="shared" si="92"/>
        <v>283.6633273666497</v>
      </c>
      <c r="CG21" s="127">
        <v>65</v>
      </c>
      <c r="CH21" s="128" t="s">
        <v>169</v>
      </c>
      <c r="CI21" s="128"/>
      <c r="CJ21" s="126">
        <f t="shared" si="93"/>
        <v>18</v>
      </c>
      <c r="CK21" s="126">
        <f t="shared" si="95"/>
        <v>62</v>
      </c>
      <c r="CN21" s="147">
        <f t="shared" si="31"/>
        <v>0.10183796434124848</v>
      </c>
      <c r="CO21" s="147">
        <f t="shared" si="32"/>
        <v>1.5956072667530725</v>
      </c>
      <c r="CP21" s="147">
        <f t="shared" si="33"/>
        <v>0</v>
      </c>
      <c r="CQ21" s="31">
        <f>(AI21-(P21*450/1000000))*Parameters!$C$153</f>
        <v>1.0581523071818333</v>
      </c>
      <c r="CR21" s="31">
        <f t="shared" si="34"/>
        <v>0.63424884285345495</v>
      </c>
      <c r="CS21" s="31">
        <f t="shared" si="35"/>
        <v>3.972349147000847</v>
      </c>
      <c r="CT21" s="31">
        <f>AM21*Parameters!$C$154</f>
        <v>0.28190688495177613</v>
      </c>
      <c r="CU21" s="31">
        <f>AQ21*Parameters!$C$155</f>
        <v>3.4285123333333329</v>
      </c>
      <c r="CV21" s="31">
        <f t="shared" si="36"/>
        <v>11.072614746415566</v>
      </c>
      <c r="CW21" s="188">
        <f t="shared" si="37"/>
        <v>74.213973883557102</v>
      </c>
      <c r="CY21" s="181">
        <v>14.242480062777778</v>
      </c>
      <c r="CZ21" s="181">
        <v>21.621176506465073</v>
      </c>
      <c r="DA21" s="181">
        <v>71.744275219369555</v>
      </c>
      <c r="DB21" s="181">
        <v>51.68076737220386</v>
      </c>
      <c r="DC21" s="181">
        <v>24.019776608638054</v>
      </c>
      <c r="DD21" s="181">
        <v>221.17611660510156</v>
      </c>
      <c r="DE21" s="181">
        <v>43.389613271732095</v>
      </c>
      <c r="DF21" s="181">
        <v>29.211197534121595</v>
      </c>
      <c r="DG21" s="181">
        <v>56.722243300439089</v>
      </c>
      <c r="DH21" s="181">
        <v>72.600810805853683</v>
      </c>
      <c r="DI21" s="181">
        <v>368.62093580531302</v>
      </c>
      <c r="DJ21" s="181">
        <v>35.863656569242849</v>
      </c>
      <c r="DK21" s="181">
        <v>533.80764648084869</v>
      </c>
      <c r="DL21" s="181"/>
      <c r="DM21" s="181">
        <v>3.5729072083333335</v>
      </c>
      <c r="DN21" s="181">
        <v>3.7517290588284138</v>
      </c>
      <c r="DO21" s="181">
        <v>0.44746699670696388</v>
      </c>
      <c r="DP21" s="181">
        <v>17.754458608819505</v>
      </c>
      <c r="DQ21" s="181">
        <v>0.81028174448056856</v>
      </c>
      <c r="DR21" s="181">
        <v>8.8731509452278076E-2</v>
      </c>
      <c r="DS21" s="181">
        <v>3.4659401221100468</v>
      </c>
      <c r="DT21" s="181">
        <v>19.012207350007039</v>
      </c>
      <c r="DU21" s="181">
        <v>7.3246362671617469</v>
      </c>
      <c r="DV21" s="181">
        <v>29.891515248731107</v>
      </c>
      <c r="DW21" s="181">
        <v>29.89151524873111</v>
      </c>
      <c r="DX21" s="181"/>
      <c r="DY21" s="181">
        <v>2.8583257666666668</v>
      </c>
      <c r="DZ21" s="181">
        <v>2.6262103411798896</v>
      </c>
      <c r="EA21" s="181">
        <v>0.44746699670696388</v>
      </c>
      <c r="EB21" s="181">
        <v>17.754458608819505</v>
      </c>
      <c r="EC21" s="181">
        <v>0.50413129085045061</v>
      </c>
      <c r="ED21" s="181">
        <v>8.8731509452278076E-2</v>
      </c>
      <c r="EE21" s="181">
        <v>2.0820801033895235</v>
      </c>
      <c r="EF21" s="181">
        <v>18.706056896376918</v>
      </c>
      <c r="EG21" s="181">
        <v>5.4845361078465569</v>
      </c>
      <c r="EH21" s="181">
        <v>26.361404617065279</v>
      </c>
      <c r="EJ21" s="31">
        <f t="shared" si="38"/>
        <v>1.9361919041156277E-3</v>
      </c>
      <c r="EK21" s="31">
        <f t="shared" si="39"/>
        <v>3.0336445666599324E-2</v>
      </c>
      <c r="EL21" s="31">
        <f t="shared" si="40"/>
        <v>0</v>
      </c>
      <c r="EM21" s="31">
        <f t="shared" si="41"/>
        <v>2.0118095876518787E-2</v>
      </c>
      <c r="EN21" s="31">
        <f t="shared" si="42"/>
        <v>1.2058641221583843E-2</v>
      </c>
      <c r="EO21" s="31">
        <f t="shared" si="43"/>
        <v>7.5524194817672738E-2</v>
      </c>
      <c r="EP21" s="31">
        <f t="shared" si="44"/>
        <v>5.3597480260807132E-3</v>
      </c>
      <c r="EQ21" s="31">
        <f t="shared" si="45"/>
        <v>6.5184510176543434E-2</v>
      </c>
      <c r="ER21" s="31">
        <f t="shared" si="46"/>
        <v>0.21051782768911451</v>
      </c>
      <c r="ES21" s="31">
        <f t="shared" si="47"/>
        <v>1.4109914346293611</v>
      </c>
      <c r="ET21" s="31"/>
      <c r="EU21" s="31">
        <f t="shared" si="48"/>
        <v>0.27078481753301414</v>
      </c>
      <c r="EV21" s="31">
        <f t="shared" si="49"/>
        <v>0.41107211028880103</v>
      </c>
      <c r="EW21" s="31">
        <f t="shared" si="50"/>
        <v>1.3640363468078707</v>
      </c>
      <c r="EX21" s="31">
        <f t="shared" si="51"/>
        <v>0.98257937530291239</v>
      </c>
      <c r="EY21" s="31">
        <f t="shared" si="52"/>
        <v>0.45667543837061714</v>
      </c>
      <c r="EZ21" s="31">
        <f t="shared" si="53"/>
        <v>4.2051057199017228</v>
      </c>
      <c r="FA21" s="31">
        <f t="shared" si="54"/>
        <v>0.82494400278784819</v>
      </c>
      <c r="FB21" s="31">
        <f t="shared" si="55"/>
        <v>0.55537720673173507</v>
      </c>
      <c r="FC21" s="31">
        <f t="shared" si="56"/>
        <v>1.0784303179271568</v>
      </c>
      <c r="FD21" s="31">
        <f t="shared" si="57"/>
        <v>1.3803212095195831</v>
      </c>
      <c r="FE21" s="31">
        <f t="shared" si="58"/>
        <v>7.0083968803831223</v>
      </c>
      <c r="FF21" s="31">
        <f t="shared" si="59"/>
        <v>0.68185692782181517</v>
      </c>
      <c r="FG21" s="31">
        <f t="shared" si="60"/>
        <v>10.14900533565168</v>
      </c>
      <c r="FH21" s="31"/>
      <c r="FI21" s="31">
        <f t="shared" si="61"/>
        <v>6.7929814344583936E-2</v>
      </c>
      <c r="FJ21" s="31">
        <f t="shared" si="62"/>
        <v>7.1329660575281922E-2</v>
      </c>
      <c r="FK21" s="31">
        <f t="shared" si="63"/>
        <v>8.5074557606022189E-3</v>
      </c>
      <c r="FL21" s="31">
        <f t="shared" si="64"/>
        <v>0.3375562271174411</v>
      </c>
      <c r="FM21" s="31">
        <f t="shared" si="65"/>
        <v>1.5405462627462523E-2</v>
      </c>
      <c r="FN21" s="31">
        <f t="shared" si="66"/>
        <v>1.6870057385060444E-3</v>
      </c>
      <c r="FO21" s="31">
        <f t="shared" si="67"/>
        <v>6.5896105131206847E-2</v>
      </c>
      <c r="FP21" s="31">
        <f t="shared" si="68"/>
        <v>0.36146914550550585</v>
      </c>
      <c r="FQ21" s="31">
        <f t="shared" si="69"/>
        <v>0.13925947491986584</v>
      </c>
      <c r="FR21" s="31">
        <f t="shared" si="70"/>
        <v>0.5683117312950845</v>
      </c>
      <c r="FS21" s="31">
        <f t="shared" si="71"/>
        <v>0.56831173129508461</v>
      </c>
      <c r="FT21" s="31"/>
      <c r="FU21" s="31">
        <f t="shared" si="72"/>
        <v>5.4343851475667157E-2</v>
      </c>
      <c r="FV21" s="31">
        <f t="shared" si="73"/>
        <v>4.9930762402697344E-2</v>
      </c>
      <c r="FW21" s="31">
        <f t="shared" si="74"/>
        <v>8.5074557606022189E-3</v>
      </c>
      <c r="FX21" s="31">
        <f t="shared" si="75"/>
        <v>0.3375562271174411</v>
      </c>
      <c r="FY21" s="31">
        <f t="shared" si="76"/>
        <v>9.5847843215444706E-3</v>
      </c>
      <c r="FZ21" s="31">
        <f t="shared" si="77"/>
        <v>1.6870057385060444E-3</v>
      </c>
      <c r="GA21" s="31">
        <f t="shared" si="78"/>
        <v>3.958549904232702E-2</v>
      </c>
      <c r="GB21" s="31">
        <f t="shared" si="79"/>
        <v>0.3556484671995877</v>
      </c>
      <c r="GC21" s="31">
        <f t="shared" si="80"/>
        <v>0.10427461387836452</v>
      </c>
      <c r="GD21" s="31">
        <f t="shared" si="81"/>
        <v>0.50119558585878532</v>
      </c>
    </row>
    <row r="22" spans="1:186">
      <c r="A22" s="39" t="str">
        <f>Basicinfo!A22</f>
        <v>Große Mühl</v>
      </c>
      <c r="B22" s="63">
        <f>Basicinfo!B22</f>
        <v>1140</v>
      </c>
      <c r="C22" s="63">
        <f>Basicinfo!C22</f>
        <v>1130</v>
      </c>
      <c r="D22" s="227">
        <v>217.22862900333331</v>
      </c>
      <c r="E22" s="89">
        <v>4.6440261855736029</v>
      </c>
      <c r="F22" s="27">
        <v>1.4834595219666081E-2</v>
      </c>
      <c r="G22" s="19">
        <v>0.96114824871879034</v>
      </c>
      <c r="H22" s="19">
        <v>0</v>
      </c>
      <c r="I22" s="19">
        <v>0.12807372585283391</v>
      </c>
      <c r="J22" s="19">
        <v>3.4763366127027751</v>
      </c>
      <c r="K22" s="19">
        <v>4.3353635423942199E-3</v>
      </c>
      <c r="L22" s="19">
        <v>6.8682688124144763E-3</v>
      </c>
      <c r="M22" s="19">
        <v>9.0982186022868141E-3</v>
      </c>
      <c r="N22" s="19">
        <v>4.60069503345116</v>
      </c>
      <c r="O22" s="19">
        <v>4.3331152122442075E-2</v>
      </c>
      <c r="P22" s="56">
        <v>87.450933855295318</v>
      </c>
      <c r="Q22" s="43">
        <v>1324.8741436270252</v>
      </c>
      <c r="R22" s="88">
        <v>1412.3250774823205</v>
      </c>
      <c r="S22" s="61">
        <v>1.6471300769163759</v>
      </c>
      <c r="T22" s="19">
        <v>46.187361556138484</v>
      </c>
      <c r="U22" s="19">
        <v>0</v>
      </c>
      <c r="V22" s="19">
        <v>0.58358885278424177</v>
      </c>
      <c r="W22" s="19">
        <v>3.3121853590675626E-2</v>
      </c>
      <c r="X22" s="19">
        <v>34.541231189533974</v>
      </c>
      <c r="Y22" s="19">
        <v>132.34416781270247</v>
      </c>
      <c r="Z22" s="19">
        <v>0.35550990142701688</v>
      </c>
      <c r="AA22" s="19">
        <v>2.0891013628379729</v>
      </c>
      <c r="AB22" s="19">
        <v>2.0773309933508513</v>
      </c>
      <c r="AC22" s="19">
        <v>219.85854359928209</v>
      </c>
      <c r="AD22" s="19">
        <v>1.00709475</v>
      </c>
      <c r="AE22" s="87">
        <v>220.86563834928205</v>
      </c>
      <c r="AF22" s="56">
        <v>3.5422148425561621E-2</v>
      </c>
      <c r="AG22" s="43">
        <v>0.80015688920570005</v>
      </c>
      <c r="AH22" s="43">
        <v>0</v>
      </c>
      <c r="AI22" s="43">
        <v>0.27976811156362069</v>
      </c>
      <c r="AJ22" s="43">
        <v>0.59619336463216133</v>
      </c>
      <c r="AK22" s="43">
        <v>0.34064079177409884</v>
      </c>
      <c r="AL22" s="58">
        <v>0.48842219973811984</v>
      </c>
      <c r="AM22" s="43">
        <v>9.7008558913839263E-2</v>
      </c>
      <c r="AN22" s="42">
        <v>0.37615402812980497</v>
      </c>
      <c r="AO22" s="42">
        <v>0.3204598748050258</v>
      </c>
      <c r="AP22" s="42">
        <v>3.3342259671879324</v>
      </c>
      <c r="AQ22" s="43">
        <v>0.97649116666666669</v>
      </c>
      <c r="AR22" s="83">
        <v>4.3107171338545989</v>
      </c>
      <c r="AS22" s="19">
        <f t="shared" si="2"/>
        <v>2.1536010101146061</v>
      </c>
      <c r="AT22" s="19">
        <f t="shared" si="3"/>
        <v>139.53396157156919</v>
      </c>
      <c r="AU22" s="19">
        <f t="shared" si="4"/>
        <v>0</v>
      </c>
      <c r="AV22" s="19">
        <f t="shared" si="5"/>
        <v>18.593005153261796</v>
      </c>
      <c r="AW22" s="19">
        <f t="shared" si="6"/>
        <v>504.67450778098168</v>
      </c>
      <c r="AX22" s="53">
        <f t="shared" si="82"/>
        <v>0.6293830850023282</v>
      </c>
      <c r="AY22" s="53">
        <f t="shared" si="83"/>
        <v>0.99709566948921513</v>
      </c>
      <c r="AZ22" s="53">
        <f t="shared" si="84"/>
        <v>1.3208269239563</v>
      </c>
      <c r="BA22" s="19">
        <f t="shared" si="85"/>
        <v>667.90238119437515</v>
      </c>
      <c r="BB22" s="19">
        <f t="shared" si="7"/>
        <v>6.2905668539314172</v>
      </c>
      <c r="BC22" s="53">
        <f t="shared" si="8"/>
        <v>674.19294804830656</v>
      </c>
      <c r="BD22" s="56">
        <f t="shared" si="9"/>
        <v>4.025755456660062</v>
      </c>
      <c r="BE22" s="43">
        <f t="shared" si="10"/>
        <v>60.989849712981218</v>
      </c>
      <c r="BF22" s="58">
        <f t="shared" si="11"/>
        <v>65.015605169641276</v>
      </c>
      <c r="BG22" s="61">
        <f t="shared" si="12"/>
        <v>75.824723678162201</v>
      </c>
      <c r="BH22" s="19">
        <f t="shared" si="13"/>
        <v>2126.2096882925021</v>
      </c>
      <c r="BI22" s="19">
        <f t="shared" si="14"/>
        <v>0</v>
      </c>
      <c r="BJ22" s="19">
        <f t="shared" si="15"/>
        <v>26.865190627119727</v>
      </c>
      <c r="BK22" s="19">
        <f t="shared" si="16"/>
        <v>1.5247462428245304</v>
      </c>
      <c r="BL22" s="19">
        <f t="shared" si="17"/>
        <v>1590.0865069218823</v>
      </c>
      <c r="BM22" s="19">
        <f t="shared" si="18"/>
        <v>6092.3906954580871</v>
      </c>
      <c r="BN22" s="53">
        <f t="shared" si="19"/>
        <v>16.365702028233198</v>
      </c>
      <c r="BO22" s="53">
        <f t="shared" si="86"/>
        <v>96.17062780458447</v>
      </c>
      <c r="BP22" s="53">
        <f t="shared" si="87"/>
        <v>95.628785343895686</v>
      </c>
      <c r="BQ22" s="19">
        <f t="shared" si="88"/>
        <v>10121.06666639729</v>
      </c>
      <c r="BR22" s="19">
        <f t="shared" si="20"/>
        <v>46.361050779570427</v>
      </c>
      <c r="BS22" s="53">
        <f t="shared" si="21"/>
        <v>10167.427717176861</v>
      </c>
      <c r="BT22" s="56">
        <f t="shared" si="22"/>
        <v>1.6306390455108051</v>
      </c>
      <c r="BU22" s="43">
        <f t="shared" si="23"/>
        <v>36.834780612339173</v>
      </c>
      <c r="BV22" s="43">
        <f t="shared" si="24"/>
        <v>0</v>
      </c>
      <c r="BW22" s="43">
        <f t="shared" si="25"/>
        <v>12.878970550393142</v>
      </c>
      <c r="BX22" s="43">
        <f t="shared" si="26"/>
        <v>27.445432370841548</v>
      </c>
      <c r="BY22" s="58">
        <f t="shared" si="27"/>
        <v>15.681210774886942</v>
      </c>
      <c r="BZ22" s="58">
        <f t="shared" si="28"/>
        <v>22.484246297509209</v>
      </c>
      <c r="CA22" s="58">
        <f t="shared" si="29"/>
        <v>4.4657354492786814</v>
      </c>
      <c r="CB22" s="58">
        <f t="shared" si="89"/>
        <v>17.316043002970527</v>
      </c>
      <c r="CC22" s="58">
        <f t="shared" si="90"/>
        <v>14.752193404494049</v>
      </c>
      <c r="CD22" s="58">
        <f t="shared" si="91"/>
        <v>153.48925150822407</v>
      </c>
      <c r="CE22" s="58">
        <f t="shared" si="30"/>
        <v>44.95223171765646</v>
      </c>
      <c r="CF22" s="58">
        <f t="shared" si="92"/>
        <v>198.44148322588052</v>
      </c>
      <c r="CG22" s="127">
        <v>21</v>
      </c>
      <c r="CH22" s="128" t="s">
        <v>169</v>
      </c>
      <c r="CI22" s="128"/>
      <c r="CJ22" s="126">
        <f t="shared" si="93"/>
        <v>19</v>
      </c>
      <c r="CK22" s="126">
        <f t="shared" si="95"/>
        <v>18</v>
      </c>
      <c r="CN22" s="147">
        <f t="shared" si="31"/>
        <v>3.5422148425561621E-2</v>
      </c>
      <c r="CO22" s="147">
        <f t="shared" si="32"/>
        <v>0.80015688920570005</v>
      </c>
      <c r="CP22" s="147">
        <f t="shared" si="33"/>
        <v>0</v>
      </c>
      <c r="CQ22" s="31">
        <f>(AI22-(P22*450/1000000))*Parameters!$C$153</f>
        <v>0.19233215306299023</v>
      </c>
      <c r="CR22" s="31">
        <f t="shared" si="34"/>
        <v>0.34064079177409884</v>
      </c>
      <c r="CS22" s="31">
        <f t="shared" si="35"/>
        <v>0.48842219973811984</v>
      </c>
      <c r="CT22" s="31">
        <f>AM22*Parameters!$C$154</f>
        <v>8.7307703022455344E-2</v>
      </c>
      <c r="CU22" s="31">
        <f>AQ22*Parameters!$C$155</f>
        <v>0.97649116666666669</v>
      </c>
      <c r="CV22" s="31">
        <f t="shared" si="36"/>
        <v>2.9207730518955923</v>
      </c>
      <c r="CW22" s="188">
        <f t="shared" si="37"/>
        <v>67.756082368686236</v>
      </c>
      <c r="CY22" s="181">
        <v>3.4253067516666662</v>
      </c>
      <c r="CZ22" s="181">
        <v>8.6992167351440592</v>
      </c>
      <c r="DA22" s="181">
        <v>46.571106010195486</v>
      </c>
      <c r="DB22" s="181">
        <v>29.777567900954001</v>
      </c>
      <c r="DC22" s="181">
        <v>15.450469956687122</v>
      </c>
      <c r="DD22" s="181">
        <v>111.93313994493765</v>
      </c>
      <c r="DE22" s="181">
        <v>28.752692827011884</v>
      </c>
      <c r="DF22" s="181">
        <v>17.565851556011918</v>
      </c>
      <c r="DG22" s="181">
        <v>36.114104047922275</v>
      </c>
      <c r="DH22" s="181">
        <v>46.318544383023806</v>
      </c>
      <c r="DI22" s="181">
        <v>203.73228381277426</v>
      </c>
      <c r="DJ22" s="181">
        <v>12.124523486810725</v>
      </c>
      <c r="DK22" s="181">
        <v>298.28945573053107</v>
      </c>
      <c r="DL22" s="181"/>
      <c r="DM22" s="181">
        <v>1.1738333333333333</v>
      </c>
      <c r="DN22" s="181">
        <v>1.5630286958110691</v>
      </c>
      <c r="DO22" s="181">
        <v>0.30322038012799074</v>
      </c>
      <c r="DP22" s="181">
        <v>11.289304368079979</v>
      </c>
      <c r="DQ22" s="181">
        <v>0.17198271278384869</v>
      </c>
      <c r="DR22" s="181">
        <v>4.7824636036120458E-2</v>
      </c>
      <c r="DS22" s="181">
        <v>2.1769038892189672</v>
      </c>
      <c r="DT22" s="181">
        <v>11.764507460991819</v>
      </c>
      <c r="DU22" s="181">
        <v>2.7368620291444024</v>
      </c>
      <c r="DV22" s="181">
        <v>16.726098015391308</v>
      </c>
      <c r="DW22" s="181">
        <v>16.726098015391308</v>
      </c>
      <c r="DX22" s="181"/>
      <c r="DY22" s="181">
        <v>0.93906666666666672</v>
      </c>
      <c r="DZ22" s="181">
        <v>1.0941200870677483</v>
      </c>
      <c r="EA22" s="181">
        <v>0.30322038012799074</v>
      </c>
      <c r="EB22" s="181">
        <v>11.289304368079979</v>
      </c>
      <c r="EC22" s="181">
        <v>0.12926737281807288</v>
      </c>
      <c r="ED22" s="181">
        <v>4.7824636036120458E-2</v>
      </c>
      <c r="EE22" s="181">
        <v>1.4601905623202804</v>
      </c>
      <c r="EF22" s="181">
        <v>11.721792121026041</v>
      </c>
      <c r="EG22" s="181">
        <v>2.033186753734415</v>
      </c>
      <c r="EH22" s="181">
        <v>15.262994073116859</v>
      </c>
      <c r="EJ22" s="31">
        <f t="shared" si="38"/>
        <v>1.6306390455108053E-3</v>
      </c>
      <c r="EK22" s="31">
        <f t="shared" si="39"/>
        <v>3.683478061233917E-2</v>
      </c>
      <c r="EL22" s="31">
        <f t="shared" si="40"/>
        <v>0</v>
      </c>
      <c r="EM22" s="31">
        <f t="shared" si="41"/>
        <v>8.8539044759168902E-3</v>
      </c>
      <c r="EN22" s="31">
        <f t="shared" si="42"/>
        <v>1.5681210774886944E-2</v>
      </c>
      <c r="EO22" s="31">
        <f t="shared" si="43"/>
        <v>2.2484246297509208E-2</v>
      </c>
      <c r="EP22" s="31">
        <f t="shared" si="44"/>
        <v>4.0191619043508132E-3</v>
      </c>
      <c r="EQ22" s="31">
        <f t="shared" si="45"/>
        <v>4.4952231717656457E-2</v>
      </c>
      <c r="ER22" s="31">
        <f t="shared" si="46"/>
        <v>0.13445617482817027</v>
      </c>
      <c r="ES22" s="31">
        <f t="shared" si="47"/>
        <v>3.1191138423861497</v>
      </c>
      <c r="ET22" s="31"/>
      <c r="EU22" s="31">
        <f t="shared" si="48"/>
        <v>0.15768210513422271</v>
      </c>
      <c r="EV22" s="31">
        <f t="shared" si="49"/>
        <v>0.40046363939490554</v>
      </c>
      <c r="EW22" s="31">
        <f t="shared" si="50"/>
        <v>2.1438751523622086</v>
      </c>
      <c r="EX22" s="31">
        <f t="shared" si="51"/>
        <v>1.3707938975436371</v>
      </c>
      <c r="EY22" s="31">
        <f t="shared" si="52"/>
        <v>0.71125385394988794</v>
      </c>
      <c r="EZ22" s="31">
        <f t="shared" si="53"/>
        <v>5.1527802968926384</v>
      </c>
      <c r="FA22" s="31">
        <f t="shared" si="54"/>
        <v>1.3236143393682553</v>
      </c>
      <c r="FB22" s="31">
        <f t="shared" si="55"/>
        <v>0.80863427793131148</v>
      </c>
      <c r="FC22" s="31">
        <f t="shared" si="56"/>
        <v>1.6624928405439652</v>
      </c>
      <c r="FD22" s="31">
        <f t="shared" si="57"/>
        <v>2.1322486172995672</v>
      </c>
      <c r="FE22" s="31">
        <f t="shared" si="58"/>
        <v>9.3787032007483706</v>
      </c>
      <c r="FF22" s="31">
        <f t="shared" si="59"/>
        <v>0.55814574452912824</v>
      </c>
      <c r="FG22" s="31">
        <f t="shared" si="60"/>
        <v>13.731590403121031</v>
      </c>
      <c r="FH22" s="31"/>
      <c r="FI22" s="31">
        <f t="shared" si="61"/>
        <v>5.4036769403692231E-2</v>
      </c>
      <c r="FJ22" s="31">
        <f t="shared" si="62"/>
        <v>7.1953163032994372E-2</v>
      </c>
      <c r="FK22" s="31">
        <f t="shared" si="63"/>
        <v>1.3958582785298428E-2</v>
      </c>
      <c r="FL22" s="31">
        <f t="shared" si="64"/>
        <v>0.51969689353914528</v>
      </c>
      <c r="FM22" s="31">
        <f t="shared" si="65"/>
        <v>7.9171292279900038E-3</v>
      </c>
      <c r="FN22" s="31">
        <f t="shared" si="66"/>
        <v>2.2015807150072564E-3</v>
      </c>
      <c r="FO22" s="31">
        <f t="shared" si="67"/>
        <v>0.10021256862904399</v>
      </c>
      <c r="FP22" s="31">
        <f t="shared" si="68"/>
        <v>0.54157260555243369</v>
      </c>
      <c r="FQ22" s="31">
        <f t="shared" si="69"/>
        <v>0.1259899324366866</v>
      </c>
      <c r="FR22" s="31">
        <f t="shared" si="70"/>
        <v>0.76997668733317137</v>
      </c>
      <c r="FS22" s="31">
        <f t="shared" si="71"/>
        <v>0.76997668733317137</v>
      </c>
      <c r="FT22" s="31"/>
      <c r="FU22" s="31">
        <f t="shared" si="72"/>
        <v>4.3229415522953792E-2</v>
      </c>
      <c r="FV22" s="31">
        <f t="shared" si="73"/>
        <v>5.0367214123096062E-2</v>
      </c>
      <c r="FW22" s="31">
        <f t="shared" si="74"/>
        <v>1.3958582785298428E-2</v>
      </c>
      <c r="FX22" s="31">
        <f t="shared" si="75"/>
        <v>0.51969689353914528</v>
      </c>
      <c r="FY22" s="31">
        <f t="shared" si="76"/>
        <v>5.9507521366389191E-3</v>
      </c>
      <c r="FZ22" s="31">
        <f t="shared" si="77"/>
        <v>2.2015807150072564E-3</v>
      </c>
      <c r="GA22" s="31">
        <f t="shared" si="78"/>
        <v>6.7219066336687797E-2</v>
      </c>
      <c r="GB22" s="31">
        <f t="shared" si="79"/>
        <v>0.53960622846108253</v>
      </c>
      <c r="GC22" s="31">
        <f t="shared" si="80"/>
        <v>9.3596629646049867E-2</v>
      </c>
      <c r="GD22" s="31">
        <f t="shared" si="81"/>
        <v>0.70262350515882754</v>
      </c>
    </row>
    <row r="23" spans="1:186">
      <c r="A23" s="39" t="str">
        <f>Basicinfo!A23</f>
        <v>Dürre Aschach und Aschach</v>
      </c>
      <c r="B23" s="63">
        <f>Basicinfo!B23</f>
        <v>1150</v>
      </c>
      <c r="C23" s="63">
        <f>Basicinfo!C23</f>
        <v>1160</v>
      </c>
      <c r="D23" s="227">
        <v>312.15736743899998</v>
      </c>
      <c r="E23" s="89">
        <v>3.8875125366126397</v>
      </c>
      <c r="F23" s="27">
        <v>9.2446287985417531E-3</v>
      </c>
      <c r="G23" s="19">
        <v>0.67376195672031047</v>
      </c>
      <c r="H23" s="19">
        <v>0</v>
      </c>
      <c r="I23" s="19">
        <v>0.17979855148733626</v>
      </c>
      <c r="J23" s="19">
        <v>2.8715417017641793</v>
      </c>
      <c r="K23" s="19">
        <v>1.6218111490075356E-2</v>
      </c>
      <c r="L23" s="19">
        <v>5.4393501366354043E-3</v>
      </c>
      <c r="M23" s="19">
        <v>2.2235611913176929E-2</v>
      </c>
      <c r="N23" s="19">
        <v>3.778239912310255</v>
      </c>
      <c r="O23" s="19">
        <v>0.10927262430238457</v>
      </c>
      <c r="P23" s="56">
        <v>7505.6974896073789</v>
      </c>
      <c r="Q23" s="43">
        <v>2753.7499408785134</v>
      </c>
      <c r="R23" s="88">
        <v>10259.447430485892</v>
      </c>
      <c r="S23" s="61">
        <v>2.3860195387793768</v>
      </c>
      <c r="T23" s="19">
        <v>40.154316281562245</v>
      </c>
      <c r="U23" s="19">
        <v>0</v>
      </c>
      <c r="V23" s="19">
        <v>31.953313099904069</v>
      </c>
      <c r="W23" s="19">
        <v>6.884374852196283E-2</v>
      </c>
      <c r="X23" s="19">
        <v>76.491405676368004</v>
      </c>
      <c r="Y23" s="19">
        <v>308.93768820740524</v>
      </c>
      <c r="Z23" s="19">
        <v>1.5262877883556873</v>
      </c>
      <c r="AA23" s="19">
        <v>1.3466301676073231</v>
      </c>
      <c r="AB23" s="19">
        <v>1.7103002833220233</v>
      </c>
      <c r="AC23" s="19">
        <v>464.57480479182584</v>
      </c>
      <c r="AD23" s="19">
        <v>25.34387361111111</v>
      </c>
      <c r="AE23" s="87">
        <v>489.91867840293696</v>
      </c>
      <c r="AF23" s="56">
        <v>5.2402548685427826E-2</v>
      </c>
      <c r="AG23" s="43">
        <v>0.73194819653446785</v>
      </c>
      <c r="AH23" s="43">
        <v>0</v>
      </c>
      <c r="AI23" s="43">
        <v>17.360913494646759</v>
      </c>
      <c r="AJ23" s="43">
        <v>1.239187473395331</v>
      </c>
      <c r="AK23" s="43">
        <v>0.52338303158814525</v>
      </c>
      <c r="AL23" s="58">
        <v>4.2531765585672057</v>
      </c>
      <c r="AM23" s="43">
        <v>0.39590272077963579</v>
      </c>
      <c r="AN23" s="42">
        <v>0.26586780482137301</v>
      </c>
      <c r="AO23" s="42">
        <v>0.27880648942830044</v>
      </c>
      <c r="AP23" s="42">
        <v>25.101588318446645</v>
      </c>
      <c r="AQ23" s="43">
        <v>2.0540968333333334</v>
      </c>
      <c r="AR23" s="83">
        <v>27.155685151779977</v>
      </c>
      <c r="AS23" s="19">
        <f t="shared" si="2"/>
        <v>0.93394756683993219</v>
      </c>
      <c r="AT23" s="19">
        <f t="shared" si="3"/>
        <v>68.067453417654235</v>
      </c>
      <c r="AU23" s="19">
        <f t="shared" si="4"/>
        <v>0</v>
      </c>
      <c r="AV23" s="19">
        <f t="shared" si="5"/>
        <v>18.164322585827353</v>
      </c>
      <c r="AW23" s="19">
        <f t="shared" si="6"/>
        <v>290.10027810582193</v>
      </c>
      <c r="AX23" s="53">
        <f t="shared" si="82"/>
        <v>1.6384504013058792</v>
      </c>
      <c r="AY23" s="53">
        <f t="shared" si="83"/>
        <v>0.54951560911806618</v>
      </c>
      <c r="AZ23" s="53">
        <f t="shared" si="84"/>
        <v>2.2463742023675812</v>
      </c>
      <c r="BA23" s="19">
        <f t="shared" si="85"/>
        <v>381.70034188893499</v>
      </c>
      <c r="BB23" s="19">
        <f t="shared" si="7"/>
        <v>11.039372571186876</v>
      </c>
      <c r="BC23" s="53">
        <f t="shared" si="8"/>
        <v>392.73971446012189</v>
      </c>
      <c r="BD23" s="56">
        <f t="shared" si="9"/>
        <v>240.44595042512009</v>
      </c>
      <c r="BE23" s="43">
        <f t="shared" si="10"/>
        <v>88.216721055498894</v>
      </c>
      <c r="BF23" s="58">
        <f t="shared" si="11"/>
        <v>328.662671480619</v>
      </c>
      <c r="BG23" s="61">
        <f t="shared" si="12"/>
        <v>76.436431994373464</v>
      </c>
      <c r="BH23" s="19">
        <f t="shared" si="13"/>
        <v>1286.348504633932</v>
      </c>
      <c r="BI23" s="19">
        <f t="shared" si="14"/>
        <v>0</v>
      </c>
      <c r="BJ23" s="19">
        <f t="shared" si="15"/>
        <v>1023.6283500868581</v>
      </c>
      <c r="BK23" s="19">
        <f t="shared" si="16"/>
        <v>2.2054180263874721</v>
      </c>
      <c r="BL23" s="19">
        <f t="shared" si="17"/>
        <v>2450.4116722894751</v>
      </c>
      <c r="BM23" s="19">
        <f t="shared" si="18"/>
        <v>9896.8571763015043</v>
      </c>
      <c r="BN23" s="53">
        <f t="shared" si="19"/>
        <v>48.89481868961321</v>
      </c>
      <c r="BO23" s="53">
        <f t="shared" si="86"/>
        <v>43.139464516097767</v>
      </c>
      <c r="BP23" s="53">
        <f t="shared" si="87"/>
        <v>54.789681799076568</v>
      </c>
      <c r="BQ23" s="19">
        <f t="shared" si="88"/>
        <v>14882.711518337319</v>
      </c>
      <c r="BR23" s="19">
        <f t="shared" si="20"/>
        <v>811.89413593013035</v>
      </c>
      <c r="BS23" s="53">
        <f t="shared" si="21"/>
        <v>15694.605654267449</v>
      </c>
      <c r="BT23" s="56">
        <f t="shared" si="22"/>
        <v>1.6787221495154374</v>
      </c>
      <c r="BU23" s="43">
        <f t="shared" si="23"/>
        <v>23.44805129987845</v>
      </c>
      <c r="BV23" s="43">
        <f t="shared" si="24"/>
        <v>0</v>
      </c>
      <c r="BW23" s="43">
        <f t="shared" si="25"/>
        <v>556.15901803244583</v>
      </c>
      <c r="BX23" s="43">
        <f t="shared" si="26"/>
        <v>39.6975244749745</v>
      </c>
      <c r="BY23" s="58">
        <f t="shared" si="27"/>
        <v>16.766640360984653</v>
      </c>
      <c r="BZ23" s="58">
        <f t="shared" si="28"/>
        <v>136.2510388097227</v>
      </c>
      <c r="CA23" s="58">
        <f t="shared" si="29"/>
        <v>12.682792785821428</v>
      </c>
      <c r="CB23" s="58">
        <f t="shared" si="89"/>
        <v>8.5171081176973154</v>
      </c>
      <c r="CC23" s="58">
        <f t="shared" si="90"/>
        <v>8.931600484578766</v>
      </c>
      <c r="CD23" s="58">
        <f t="shared" si="91"/>
        <v>804.1324965156191</v>
      </c>
      <c r="CE23" s="58">
        <f t="shared" si="30"/>
        <v>65.803246938733025</v>
      </c>
      <c r="CF23" s="58">
        <f t="shared" si="92"/>
        <v>869.93574345435218</v>
      </c>
      <c r="CG23" s="127">
        <v>24</v>
      </c>
      <c r="CH23" s="128" t="s">
        <v>169</v>
      </c>
      <c r="CI23" s="128"/>
      <c r="CJ23" s="126">
        <f t="shared" si="93"/>
        <v>20</v>
      </c>
      <c r="CK23" s="126">
        <f t="shared" si="95"/>
        <v>21</v>
      </c>
      <c r="CN23" s="147">
        <f t="shared" si="31"/>
        <v>5.2402548685427826E-2</v>
      </c>
      <c r="CO23" s="147">
        <f t="shared" si="32"/>
        <v>0.73194819653446785</v>
      </c>
      <c r="CP23" s="147">
        <f t="shared" si="33"/>
        <v>0</v>
      </c>
      <c r="CQ23" s="31">
        <f>(AI23-(P23*450/1000000))*Parameters!$C$153</f>
        <v>11.18667969945875</v>
      </c>
      <c r="CR23" s="31">
        <f t="shared" si="34"/>
        <v>0.52338303158814525</v>
      </c>
      <c r="CS23" s="31">
        <f t="shared" si="35"/>
        <v>4.2531765585672057</v>
      </c>
      <c r="CT23" s="31">
        <f>AM23*Parameters!$C$154</f>
        <v>0.35631244870167222</v>
      </c>
      <c r="CU23" s="31">
        <f>AQ23*Parameters!$C$155</f>
        <v>2.0540968333333334</v>
      </c>
      <c r="CV23" s="31">
        <f t="shared" si="36"/>
        <v>19.157999316869002</v>
      </c>
      <c r="CW23" s="188">
        <f t="shared" si="37"/>
        <v>70.548760636272334</v>
      </c>
      <c r="CY23" s="181">
        <v>19.133983333333333</v>
      </c>
      <c r="CZ23" s="181">
        <v>13.361180614138645</v>
      </c>
      <c r="DA23" s="181">
        <v>9.9336211200981044</v>
      </c>
      <c r="DB23" s="181">
        <v>36.485790905570674</v>
      </c>
      <c r="DC23" s="181">
        <v>86.663616654874872</v>
      </c>
      <c r="DD23" s="181">
        <v>280.20722437960603</v>
      </c>
      <c r="DE23" s="181">
        <v>5.074759867454901</v>
      </c>
      <c r="DF23" s="181">
        <v>17.981021411849373</v>
      </c>
      <c r="DG23" s="181">
        <v>31.490040844239228</v>
      </c>
      <c r="DH23" s="181">
        <v>23.055781279304274</v>
      </c>
      <c r="DI23" s="181">
        <v>413.29025306014967</v>
      </c>
      <c r="DJ23" s="181">
        <v>32.49516394747198</v>
      </c>
      <c r="DK23" s="181">
        <v>500.33123913116515</v>
      </c>
      <c r="DL23" s="181"/>
      <c r="DM23" s="181">
        <v>1.8784999999999998</v>
      </c>
      <c r="DN23" s="181">
        <v>2.3160948494122846</v>
      </c>
      <c r="DO23" s="181">
        <v>0.61202912558994638</v>
      </c>
      <c r="DP23" s="181">
        <v>4.9087553426292727</v>
      </c>
      <c r="DQ23" s="181">
        <v>10.855056427274313</v>
      </c>
      <c r="DR23" s="181">
        <v>3.862384027855336E-2</v>
      </c>
      <c r="DS23" s="181">
        <v>2.1494308126393813</v>
      </c>
      <c r="DT23" s="181">
        <v>16.375840895493535</v>
      </c>
      <c r="DU23" s="181">
        <v>4.1945948494122849</v>
      </c>
      <c r="DV23" s="181">
        <v>22.758490397823756</v>
      </c>
      <c r="DW23" s="181">
        <v>22.758490397823749</v>
      </c>
      <c r="DX23" s="181"/>
      <c r="DY23" s="181">
        <v>1.5027999999999999</v>
      </c>
      <c r="DZ23" s="181">
        <v>1.6212663945885992</v>
      </c>
      <c r="EA23" s="181">
        <v>0.61202912558994638</v>
      </c>
      <c r="EB23" s="181">
        <v>4.9087553426292727</v>
      </c>
      <c r="EC23" s="181">
        <v>5.0354316276466413</v>
      </c>
      <c r="ED23" s="181">
        <v>3.862384027855336E-2</v>
      </c>
      <c r="EE23" s="181">
        <v>0.70231248232650256</v>
      </c>
      <c r="EF23" s="181">
        <v>10.55621609586586</v>
      </c>
      <c r="EG23" s="181">
        <v>3.1240663945885991</v>
      </c>
      <c r="EH23" s="181">
        <v>14.421218813059514</v>
      </c>
      <c r="EJ23" s="31">
        <f t="shared" si="38"/>
        <v>1.6787221495154375E-3</v>
      </c>
      <c r="EK23" s="31">
        <f t="shared" si="39"/>
        <v>2.3448051299878449E-2</v>
      </c>
      <c r="EL23" s="31">
        <f t="shared" si="40"/>
        <v>0</v>
      </c>
      <c r="EM23" s="31">
        <f t="shared" si="41"/>
        <v>0.35836667227291336</v>
      </c>
      <c r="EN23" s="31">
        <f t="shared" si="42"/>
        <v>1.6766640360984651E-2</v>
      </c>
      <c r="EO23" s="31">
        <f t="shared" si="43"/>
        <v>0.1362510388097227</v>
      </c>
      <c r="EP23" s="31">
        <f t="shared" si="44"/>
        <v>1.1414513507239286E-2</v>
      </c>
      <c r="EQ23" s="31">
        <f t="shared" si="45"/>
        <v>6.5803246938733018E-2</v>
      </c>
      <c r="ER23" s="31">
        <f t="shared" si="46"/>
        <v>0.61372888533898684</v>
      </c>
      <c r="ES23" s="31">
        <f t="shared" si="47"/>
        <v>2.2600383010360492</v>
      </c>
      <c r="ET23" s="31"/>
      <c r="EU23" s="31">
        <f t="shared" si="48"/>
        <v>0.61295953032639494</v>
      </c>
      <c r="EV23" s="31">
        <f t="shared" si="49"/>
        <v>0.42802707889794112</v>
      </c>
      <c r="EW23" s="31">
        <f t="shared" si="50"/>
        <v>0.31822478519714181</v>
      </c>
      <c r="EX23" s="31">
        <f t="shared" si="51"/>
        <v>1.1688268390045453</v>
      </c>
      <c r="EY23" s="31">
        <f t="shared" si="52"/>
        <v>2.7762797132061987</v>
      </c>
      <c r="EZ23" s="31">
        <f t="shared" si="53"/>
        <v>8.9764732025542386</v>
      </c>
      <c r="FA23" s="31">
        <f t="shared" si="54"/>
        <v>0.16257056205622256</v>
      </c>
      <c r="FB23" s="31">
        <f t="shared" si="55"/>
        <v>0.57602425210621111</v>
      </c>
      <c r="FC23" s="31">
        <f t="shared" si="56"/>
        <v>1.0087873658914308</v>
      </c>
      <c r="FD23" s="31">
        <f t="shared" si="57"/>
        <v>0.73859481416243389</v>
      </c>
      <c r="FE23" s="31">
        <f t="shared" si="58"/>
        <v>13.239804539962124</v>
      </c>
      <c r="FF23" s="31">
        <f t="shared" si="59"/>
        <v>1.0409866092243361</v>
      </c>
      <c r="FG23" s="31">
        <f t="shared" si="60"/>
        <v>16.028173329240325</v>
      </c>
      <c r="FH23" s="31"/>
      <c r="FI23" s="31">
        <f t="shared" si="61"/>
        <v>6.0177980593941471E-2</v>
      </c>
      <c r="FJ23" s="31">
        <f t="shared" si="62"/>
        <v>7.4196385893883554E-2</v>
      </c>
      <c r="FK23" s="31">
        <f t="shared" si="63"/>
        <v>1.9606428981995615E-2</v>
      </c>
      <c r="FL23" s="31">
        <f t="shared" si="64"/>
        <v>0.15725258650473831</v>
      </c>
      <c r="FM23" s="31">
        <f t="shared" si="65"/>
        <v>0.34774307959896367</v>
      </c>
      <c r="FN23" s="31">
        <f t="shared" si="66"/>
        <v>1.2373195159682082E-3</v>
      </c>
      <c r="FO23" s="31">
        <f t="shared" si="67"/>
        <v>6.8857282795332736E-2</v>
      </c>
      <c r="FP23" s="31">
        <f t="shared" si="68"/>
        <v>0.52460209508569766</v>
      </c>
      <c r="FQ23" s="31">
        <f t="shared" si="69"/>
        <v>0.13437436648782503</v>
      </c>
      <c r="FR23" s="31">
        <f t="shared" si="70"/>
        <v>0.72907106388482379</v>
      </c>
      <c r="FS23" s="31">
        <f t="shared" si="71"/>
        <v>0.72907106388482357</v>
      </c>
      <c r="FT23" s="31"/>
      <c r="FU23" s="31">
        <f t="shared" si="72"/>
        <v>4.8142384475153177E-2</v>
      </c>
      <c r="FV23" s="31">
        <f t="shared" si="73"/>
        <v>5.1937470125718498E-2</v>
      </c>
      <c r="FW23" s="31">
        <f t="shared" si="74"/>
        <v>1.9606428981995615E-2</v>
      </c>
      <c r="FX23" s="31">
        <f t="shared" si="75"/>
        <v>0.15725258650473831</v>
      </c>
      <c r="FY23" s="31">
        <f t="shared" si="76"/>
        <v>0.16131067701391469</v>
      </c>
      <c r="FZ23" s="31">
        <f t="shared" si="77"/>
        <v>1.2373195159682082E-3</v>
      </c>
      <c r="GA23" s="31">
        <f t="shared" si="78"/>
        <v>2.2498667517874441E-2</v>
      </c>
      <c r="GB23" s="31">
        <f t="shared" si="79"/>
        <v>0.3381696925006486</v>
      </c>
      <c r="GC23" s="31">
        <f t="shared" si="80"/>
        <v>0.10007985460087167</v>
      </c>
      <c r="GD23" s="31">
        <f t="shared" si="81"/>
        <v>0.46198553413536286</v>
      </c>
    </row>
    <row r="24" spans="1:186">
      <c r="A24" s="39" t="str">
        <f>Basicinfo!A24</f>
        <v>Aschach</v>
      </c>
      <c r="B24" s="63">
        <f>Basicinfo!B24</f>
        <v>1160</v>
      </c>
      <c r="C24" s="63">
        <f>Basicinfo!C24</f>
        <v>5000</v>
      </c>
      <c r="D24" s="227">
        <v>359.85489440200001</v>
      </c>
      <c r="E24" s="89">
        <v>4.7215578480456291</v>
      </c>
      <c r="F24" s="27">
        <v>1.5417482476131183E-2</v>
      </c>
      <c r="G24" s="19">
        <v>0.82403025830899979</v>
      </c>
      <c r="H24" s="19">
        <v>0</v>
      </c>
      <c r="I24" s="19">
        <v>0.17992899403136622</v>
      </c>
      <c r="J24" s="19">
        <v>3.4847053465455651</v>
      </c>
      <c r="K24" s="19">
        <v>1.8900098956498485E-2</v>
      </c>
      <c r="L24" s="19">
        <v>6.2965953362262425E-3</v>
      </c>
      <c r="M24" s="19">
        <v>2.5837579282436914E-2</v>
      </c>
      <c r="N24" s="19">
        <v>4.5551163549372236</v>
      </c>
      <c r="O24" s="19">
        <v>0.1664414931084052</v>
      </c>
      <c r="P24" s="56">
        <v>7894.0105565097219</v>
      </c>
      <c r="Q24" s="43">
        <v>3311.213924041429</v>
      </c>
      <c r="R24" s="88">
        <v>11205.224480551151</v>
      </c>
      <c r="S24" s="61">
        <v>4.8344329287125358</v>
      </c>
      <c r="T24" s="19">
        <v>49.418804062336591</v>
      </c>
      <c r="U24" s="19">
        <v>0</v>
      </c>
      <c r="V24" s="19">
        <v>33.458277410095931</v>
      </c>
      <c r="W24" s="19">
        <v>8.2780348101035711E-2</v>
      </c>
      <c r="X24" s="19">
        <v>76.549772121945637</v>
      </c>
      <c r="Y24" s="19">
        <v>352.96897089672552</v>
      </c>
      <c r="Z24" s="19">
        <v>1.792770943731762</v>
      </c>
      <c r="AA24" s="19">
        <v>1.5528232380032385</v>
      </c>
      <c r="AB24" s="19">
        <v>2.1441408417375065</v>
      </c>
      <c r="AC24" s="19">
        <v>522.80277279138966</v>
      </c>
      <c r="AD24" s="19">
        <v>44.650778611111107</v>
      </c>
      <c r="AE24" s="87">
        <v>567.45355140250081</v>
      </c>
      <c r="AF24" s="56">
        <v>0.10617541325876986</v>
      </c>
      <c r="AG24" s="43">
        <v>0.88673371994864225</v>
      </c>
      <c r="AH24" s="43">
        <v>0</v>
      </c>
      <c r="AI24" s="43">
        <v>18.33168274141568</v>
      </c>
      <c r="AJ24" s="43">
        <v>1.4900462658186431</v>
      </c>
      <c r="AK24" s="43">
        <v>0.52396514024423679</v>
      </c>
      <c r="AL24" s="58">
        <v>5.2018333476629177</v>
      </c>
      <c r="AM24" s="43">
        <v>0.46405098703356235</v>
      </c>
      <c r="AN24" s="42">
        <v>0.30693766728537974</v>
      </c>
      <c r="AO24" s="42">
        <v>0.34877273368946632</v>
      </c>
      <c r="AP24" s="42">
        <v>27.660198016357299</v>
      </c>
      <c r="AQ24" s="43">
        <v>3.3979908333333331</v>
      </c>
      <c r="AR24" s="83">
        <v>31.05818884969063</v>
      </c>
      <c r="AS24" s="19">
        <f t="shared" si="2"/>
        <v>1.3511160607534334</v>
      </c>
      <c r="AT24" s="19">
        <f t="shared" si="3"/>
        <v>72.214158068397779</v>
      </c>
      <c r="AU24" s="19">
        <f t="shared" si="4"/>
        <v>0</v>
      </c>
      <c r="AV24" s="19">
        <f t="shared" si="5"/>
        <v>15.76813555697918</v>
      </c>
      <c r="AW24" s="19">
        <f t="shared" si="6"/>
        <v>305.38327953349125</v>
      </c>
      <c r="AX24" s="53">
        <f t="shared" si="82"/>
        <v>1.6563162818241319</v>
      </c>
      <c r="AY24" s="53">
        <f t="shared" si="83"/>
        <v>0.5518041677693718</v>
      </c>
      <c r="AZ24" s="53">
        <f t="shared" si="84"/>
        <v>2.2642846128436647</v>
      </c>
      <c r="BA24" s="19">
        <f t="shared" si="85"/>
        <v>399.18909428205876</v>
      </c>
      <c r="BB24" s="19">
        <f t="shared" si="7"/>
        <v>14.586154053536459</v>
      </c>
      <c r="BC24" s="53">
        <f t="shared" si="8"/>
        <v>413.77524833559522</v>
      </c>
      <c r="BD24" s="56">
        <f t="shared" si="9"/>
        <v>219.36649130833243</v>
      </c>
      <c r="BE24" s="43">
        <f t="shared" si="10"/>
        <v>92.015253246560434</v>
      </c>
      <c r="BF24" s="58">
        <f t="shared" si="11"/>
        <v>311.38174455489286</v>
      </c>
      <c r="BG24" s="61">
        <f t="shared" si="12"/>
        <v>134.34395374130744</v>
      </c>
      <c r="BH24" s="19">
        <f t="shared" si="13"/>
        <v>1373.2980940681609</v>
      </c>
      <c r="BI24" s="19">
        <f t="shared" si="14"/>
        <v>0</v>
      </c>
      <c r="BJ24" s="19">
        <f t="shared" si="15"/>
        <v>929.77135869434983</v>
      </c>
      <c r="BK24" s="19">
        <f t="shared" si="16"/>
        <v>2.3003813311640102</v>
      </c>
      <c r="BL24" s="19">
        <f t="shared" si="17"/>
        <v>2127.239987916646</v>
      </c>
      <c r="BM24" s="19">
        <f t="shared" si="18"/>
        <v>9808.6472182984362</v>
      </c>
      <c r="BN24" s="53">
        <f t="shared" si="19"/>
        <v>49.819273591122183</v>
      </c>
      <c r="BO24" s="53">
        <f t="shared" si="86"/>
        <v>43.151371904603124</v>
      </c>
      <c r="BP24" s="53">
        <f t="shared" si="87"/>
        <v>59.583484206893978</v>
      </c>
      <c r="BQ24" s="19">
        <f t="shared" si="88"/>
        <v>14528.155123752684</v>
      </c>
      <c r="BR24" s="19">
        <f t="shared" si="20"/>
        <v>1240.7995363050688</v>
      </c>
      <c r="BS24" s="53">
        <f t="shared" si="21"/>
        <v>15768.954660057752</v>
      </c>
      <c r="BT24" s="56">
        <f t="shared" si="22"/>
        <v>2.9505062988016362</v>
      </c>
      <c r="BU24" s="43">
        <f t="shared" si="23"/>
        <v>24.641424466997996</v>
      </c>
      <c r="BV24" s="43">
        <f t="shared" si="24"/>
        <v>0</v>
      </c>
      <c r="BW24" s="43">
        <f t="shared" si="25"/>
        <v>509.41874145907957</v>
      </c>
      <c r="BX24" s="43">
        <f t="shared" si="26"/>
        <v>41.406863960952194</v>
      </c>
      <c r="BY24" s="58">
        <f t="shared" si="27"/>
        <v>14.560456128155547</v>
      </c>
      <c r="BZ24" s="58">
        <f t="shared" si="28"/>
        <v>144.55363616235442</v>
      </c>
      <c r="CA24" s="58">
        <f t="shared" si="29"/>
        <v>12.895503000027647</v>
      </c>
      <c r="CB24" s="58">
        <f t="shared" si="89"/>
        <v>8.5294843021502569</v>
      </c>
      <c r="CC24" s="58">
        <f t="shared" si="90"/>
        <v>9.6920380718747818</v>
      </c>
      <c r="CD24" s="58">
        <f t="shared" si="91"/>
        <v>768.64865385039411</v>
      </c>
      <c r="CE24" s="58">
        <f t="shared" si="30"/>
        <v>94.426694931579291</v>
      </c>
      <c r="CF24" s="58">
        <f t="shared" si="92"/>
        <v>863.07534878197339</v>
      </c>
      <c r="CG24" s="127">
        <v>65</v>
      </c>
      <c r="CH24" s="128" t="s">
        <v>169</v>
      </c>
      <c r="CI24" s="128"/>
      <c r="CJ24" s="126">
        <f t="shared" si="93"/>
        <v>21</v>
      </c>
      <c r="CK24" s="126">
        <f t="shared" si="95"/>
        <v>62</v>
      </c>
      <c r="CN24" s="147">
        <f t="shared" si="31"/>
        <v>0.10617541325876986</v>
      </c>
      <c r="CO24" s="147">
        <f t="shared" si="32"/>
        <v>0.88673371994864225</v>
      </c>
      <c r="CP24" s="147">
        <f t="shared" si="33"/>
        <v>0</v>
      </c>
      <c r="CQ24" s="31">
        <f>(AI24-(P24*450/1000000))*Parameters!$C$153</f>
        <v>11.823502392789045</v>
      </c>
      <c r="CR24" s="31">
        <f t="shared" si="34"/>
        <v>0.52396514024423679</v>
      </c>
      <c r="CS24" s="31">
        <f t="shared" si="35"/>
        <v>5.2018333476629177</v>
      </c>
      <c r="CT24" s="31">
        <f>AM24*Parameters!$C$154</f>
        <v>0.41764588833020611</v>
      </c>
      <c r="CU24" s="31">
        <f>AQ24*Parameters!$C$155</f>
        <v>3.3979908333333331</v>
      </c>
      <c r="CV24" s="31">
        <f t="shared" si="36"/>
        <v>22.357846735567151</v>
      </c>
      <c r="CW24" s="188">
        <f t="shared" si="37"/>
        <v>71.986962420024881</v>
      </c>
      <c r="CY24" s="181">
        <v>44.075558333333333</v>
      </c>
      <c r="CZ24" s="181">
        <v>16.182996625187869</v>
      </c>
      <c r="DA24" s="181">
        <v>15.068942092060553</v>
      </c>
      <c r="DB24" s="181">
        <v>39.959328838758537</v>
      </c>
      <c r="DC24" s="181">
        <v>86.718535714912363</v>
      </c>
      <c r="DD24" s="181">
        <v>305.25394139531863</v>
      </c>
      <c r="DE24" s="181">
        <v>7.7334890012327042</v>
      </c>
      <c r="DF24" s="181">
        <v>19.749850968353368</v>
      </c>
      <c r="DG24" s="181">
        <v>37.933555499173224</v>
      </c>
      <c r="DH24" s="181">
        <v>27.483339969586073</v>
      </c>
      <c r="DI24" s="181">
        <v>447.00074804105009</v>
      </c>
      <c r="DJ24" s="181">
        <v>60.258554958521202</v>
      </c>
      <c r="DK24" s="181">
        <v>572.67619846833065</v>
      </c>
      <c r="DL24" s="181"/>
      <c r="DM24" s="181">
        <v>3.4133083333333332</v>
      </c>
      <c r="DN24" s="181">
        <v>2.811586341727669</v>
      </c>
      <c r="DO24" s="181">
        <v>0.61272449021897446</v>
      </c>
      <c r="DP24" s="181">
        <v>5.5068662205849055</v>
      </c>
      <c r="DQ24" s="181">
        <v>11.363094552544375</v>
      </c>
      <c r="DR24" s="181">
        <v>6.6984909489899797E-2</v>
      </c>
      <c r="DS24" s="181">
        <v>2.5393855127494098</v>
      </c>
      <c r="DT24" s="181">
        <v>17.482685263348259</v>
      </c>
      <c r="DU24" s="181">
        <v>6.2248946750610017</v>
      </c>
      <c r="DV24" s="181">
        <v>26.313950360648573</v>
      </c>
      <c r="DW24" s="181">
        <v>26.313950360648565</v>
      </c>
      <c r="DX24" s="181"/>
      <c r="DY24" s="181">
        <v>2.7306466666666664</v>
      </c>
      <c r="DZ24" s="181">
        <v>1.9681104392093682</v>
      </c>
      <c r="EA24" s="181">
        <v>0.61272449021897446</v>
      </c>
      <c r="EB24" s="181">
        <v>5.5068662205849055</v>
      </c>
      <c r="EC24" s="181">
        <v>5.2751340793818686</v>
      </c>
      <c r="ED24" s="181">
        <v>6.6984909489899797E-2</v>
      </c>
      <c r="EE24" s="181">
        <v>0.79098084311494521</v>
      </c>
      <c r="EF24" s="181">
        <v>11.394724790185748</v>
      </c>
      <c r="EG24" s="181">
        <v>4.6987571058760347</v>
      </c>
      <c r="EH24" s="181">
        <v>16.951447648666626</v>
      </c>
      <c r="EJ24" s="31">
        <f t="shared" si="38"/>
        <v>2.9505062988016357E-3</v>
      </c>
      <c r="EK24" s="31">
        <f t="shared" si="39"/>
        <v>2.4641424466997998E-2</v>
      </c>
      <c r="EL24" s="31">
        <f t="shared" si="40"/>
        <v>0</v>
      </c>
      <c r="EM24" s="31">
        <f t="shared" si="41"/>
        <v>0.32856305629626398</v>
      </c>
      <c r="EN24" s="31">
        <f t="shared" si="42"/>
        <v>1.4560456128155546E-2</v>
      </c>
      <c r="EO24" s="31">
        <f t="shared" si="43"/>
        <v>0.14455363616235442</v>
      </c>
      <c r="EP24" s="31">
        <f t="shared" si="44"/>
        <v>1.1605952700024881E-2</v>
      </c>
      <c r="EQ24" s="31">
        <f t="shared" si="45"/>
        <v>9.4426694931579291E-2</v>
      </c>
      <c r="ER24" s="31">
        <f t="shared" si="46"/>
        <v>0.62130172698417774</v>
      </c>
      <c r="ES24" s="31">
        <f t="shared" si="47"/>
        <v>2.0004441662423802</v>
      </c>
      <c r="ET24" s="31"/>
      <c r="EU24" s="31">
        <f t="shared" si="48"/>
        <v>1.2248147522511053</v>
      </c>
      <c r="EV24" s="31">
        <f t="shared" si="49"/>
        <v>0.44970894871613354</v>
      </c>
      <c r="EW24" s="31">
        <f t="shared" si="50"/>
        <v>0.4187505110108849</v>
      </c>
      <c r="EX24" s="31">
        <f t="shared" si="51"/>
        <v>1.1104289384520443</v>
      </c>
      <c r="EY24" s="31">
        <f t="shared" si="52"/>
        <v>2.4098195429304794</v>
      </c>
      <c r="EZ24" s="31">
        <f t="shared" si="53"/>
        <v>8.4826952792342531</v>
      </c>
      <c r="FA24" s="31">
        <f t="shared" si="54"/>
        <v>0.21490576122589825</v>
      </c>
      <c r="FB24" s="31">
        <f t="shared" si="55"/>
        <v>0.54882818812769774</v>
      </c>
      <c r="FC24" s="31">
        <f t="shared" si="56"/>
        <v>1.0541347662426679</v>
      </c>
      <c r="FD24" s="31">
        <f t="shared" si="57"/>
        <v>0.76373394935359618</v>
      </c>
      <c r="FE24" s="31">
        <f t="shared" si="58"/>
        <v>12.421694271627661</v>
      </c>
      <c r="FF24" s="31">
        <f t="shared" si="59"/>
        <v>1.6745237009672389</v>
      </c>
      <c r="FG24" s="31">
        <f t="shared" si="60"/>
        <v>15.914086688191167</v>
      </c>
      <c r="FH24" s="31"/>
      <c r="FI24" s="31">
        <f t="shared" si="61"/>
        <v>9.4852352613002622E-2</v>
      </c>
      <c r="FJ24" s="31">
        <f t="shared" si="62"/>
        <v>7.8131112997640598E-2</v>
      </c>
      <c r="FK24" s="31">
        <f t="shared" si="63"/>
        <v>1.7026987815107763E-2</v>
      </c>
      <c r="FL24" s="31">
        <f t="shared" si="64"/>
        <v>0.15303018817448935</v>
      </c>
      <c r="FM24" s="31">
        <f t="shared" si="65"/>
        <v>0.31576879262479801</v>
      </c>
      <c r="FN24" s="31">
        <f t="shared" si="66"/>
        <v>1.8614422238500893E-3</v>
      </c>
      <c r="FO24" s="31">
        <f t="shared" si="67"/>
        <v>7.0566929955734298E-2</v>
      </c>
      <c r="FP24" s="31">
        <f t="shared" si="68"/>
        <v>0.48582596861439525</v>
      </c>
      <c r="FQ24" s="31">
        <f t="shared" si="69"/>
        <v>0.17298346561064323</v>
      </c>
      <c r="FR24" s="31">
        <f t="shared" si="70"/>
        <v>0.73123780640462299</v>
      </c>
      <c r="FS24" s="31">
        <f t="shared" si="71"/>
        <v>0.73123780640462288</v>
      </c>
      <c r="FT24" s="31"/>
      <c r="FU24" s="31">
        <f t="shared" si="72"/>
        <v>7.58818820904021E-2</v>
      </c>
      <c r="FV24" s="31">
        <f t="shared" si="73"/>
        <v>5.4691779098348423E-2</v>
      </c>
      <c r="FW24" s="31">
        <f t="shared" si="74"/>
        <v>1.7026987815107763E-2</v>
      </c>
      <c r="FX24" s="31">
        <f t="shared" si="75"/>
        <v>0.15303018817448935</v>
      </c>
      <c r="FY24" s="31">
        <f t="shared" si="76"/>
        <v>0.14659058863567734</v>
      </c>
      <c r="FZ24" s="31">
        <f t="shared" si="77"/>
        <v>1.8614422238500893E-3</v>
      </c>
      <c r="GA24" s="31">
        <f t="shared" si="78"/>
        <v>2.1980549811039311E-2</v>
      </c>
      <c r="GB24" s="31">
        <f t="shared" si="79"/>
        <v>0.31664776462527439</v>
      </c>
      <c r="GC24" s="31">
        <f t="shared" si="80"/>
        <v>0.13057366118875055</v>
      </c>
      <c r="GD24" s="31">
        <f t="shared" si="81"/>
        <v>0.47106341784891437</v>
      </c>
    </row>
    <row r="25" spans="1:186">
      <c r="A25" s="39" t="str">
        <f>Basicinfo!A25</f>
        <v>Trattnach</v>
      </c>
      <c r="B25" s="63">
        <f>Basicinfo!B25</f>
        <v>1170</v>
      </c>
      <c r="C25" s="63">
        <f>Basicinfo!C25</f>
        <v>1180</v>
      </c>
      <c r="D25" s="227">
        <v>196.22594226699999</v>
      </c>
      <c r="E25" s="89">
        <v>2.2289413118129899</v>
      </c>
      <c r="F25" s="27">
        <v>9.3546113800406124E-3</v>
      </c>
      <c r="G25" s="19">
        <v>0.32857214020916442</v>
      </c>
      <c r="H25" s="19">
        <v>0</v>
      </c>
      <c r="I25" s="19">
        <v>2.389868740722894E-2</v>
      </c>
      <c r="J25" s="19">
        <v>1.5959802052213472</v>
      </c>
      <c r="K25" s="19">
        <v>1.2677480704418523E-2</v>
      </c>
      <c r="L25" s="19">
        <v>1.1830223559454973E-2</v>
      </c>
      <c r="M25" s="19">
        <v>1.5997648981597529E-2</v>
      </c>
      <c r="N25" s="19">
        <v>1.9983109974632522</v>
      </c>
      <c r="O25" s="19">
        <v>0.23063031434973785</v>
      </c>
      <c r="P25" s="56">
        <v>5212.9380897165502</v>
      </c>
      <c r="Q25" s="43">
        <v>2500.454210947903</v>
      </c>
      <c r="R25" s="88">
        <v>7713.3923006644527</v>
      </c>
      <c r="S25" s="61">
        <v>1.9647485770301409</v>
      </c>
      <c r="T25" s="19">
        <v>18.982235400332531</v>
      </c>
      <c r="U25" s="19">
        <v>0</v>
      </c>
      <c r="V25" s="19">
        <v>16.01911699413618</v>
      </c>
      <c r="W25" s="19">
        <v>6.2511355273697583E-2</v>
      </c>
      <c r="X25" s="19">
        <v>8.7689573788513062</v>
      </c>
      <c r="Y25" s="19">
        <v>180.54659321388331</v>
      </c>
      <c r="Z25" s="19">
        <v>1.1150308228834267</v>
      </c>
      <c r="AA25" s="19">
        <v>3.0929751022168364</v>
      </c>
      <c r="AB25" s="19">
        <v>0.54770085727166284</v>
      </c>
      <c r="AC25" s="19">
        <v>231.09986970187907</v>
      </c>
      <c r="AD25" s="19">
        <v>52.729592388888889</v>
      </c>
      <c r="AE25" s="87">
        <v>283.82946209076795</v>
      </c>
      <c r="AF25" s="56">
        <v>4.2316097524914081E-2</v>
      </c>
      <c r="AG25" s="43">
        <v>0.36682879360432347</v>
      </c>
      <c r="AH25" s="43">
        <v>0</v>
      </c>
      <c r="AI25" s="43">
        <v>11.885672121464316</v>
      </c>
      <c r="AJ25" s="43">
        <v>1.1252043949265564</v>
      </c>
      <c r="AK25" s="43">
        <v>5.443750951377415E-2</v>
      </c>
      <c r="AL25" s="58">
        <v>0.85585367486432684</v>
      </c>
      <c r="AM25" s="43">
        <v>0.27677964210720002</v>
      </c>
      <c r="AN25" s="42">
        <v>0.58668594997017653</v>
      </c>
      <c r="AO25" s="42">
        <v>8.7099657434212011E-2</v>
      </c>
      <c r="AP25" s="42">
        <v>15.280877841409799</v>
      </c>
      <c r="AQ25" s="43">
        <v>4.2908355</v>
      </c>
      <c r="AR25" s="83">
        <v>19.571713341409797</v>
      </c>
      <c r="AS25" s="19">
        <f t="shared" si="2"/>
        <v>1.5034048050565691</v>
      </c>
      <c r="AT25" s="19">
        <f t="shared" si="3"/>
        <v>52.805714137109781</v>
      </c>
      <c r="AU25" s="19">
        <f t="shared" si="4"/>
        <v>0</v>
      </c>
      <c r="AV25" s="19">
        <f t="shared" si="5"/>
        <v>3.8408224588819775</v>
      </c>
      <c r="AW25" s="19">
        <f t="shared" si="6"/>
        <v>256.49427986120429</v>
      </c>
      <c r="AX25" s="53">
        <f t="shared" si="82"/>
        <v>2.0374320891299287</v>
      </c>
      <c r="AY25" s="53">
        <f t="shared" si="83"/>
        <v>1.901267110050789</v>
      </c>
      <c r="AZ25" s="53">
        <f t="shared" si="84"/>
        <v>2.5710252806287759</v>
      </c>
      <c r="BA25" s="19">
        <f t="shared" si="85"/>
        <v>321.15394574206215</v>
      </c>
      <c r="BB25" s="19">
        <f t="shared" si="7"/>
        <v>37.065219355333348</v>
      </c>
      <c r="BC25" s="53">
        <f t="shared" si="8"/>
        <v>358.21916509739549</v>
      </c>
      <c r="BD25" s="56">
        <f t="shared" si="9"/>
        <v>265.65998509123881</v>
      </c>
      <c r="BE25" s="43">
        <f t="shared" si="10"/>
        <v>127.42730049147092</v>
      </c>
      <c r="BF25" s="58">
        <f t="shared" si="11"/>
        <v>393.08728558270974</v>
      </c>
      <c r="BG25" s="61">
        <f t="shared" si="12"/>
        <v>100.12685144132237</v>
      </c>
      <c r="BH25" s="19">
        <f t="shared" si="13"/>
        <v>967.36625040657736</v>
      </c>
      <c r="BI25" s="19">
        <f t="shared" si="14"/>
        <v>0</v>
      </c>
      <c r="BJ25" s="19">
        <f t="shared" si="15"/>
        <v>816.36081392027904</v>
      </c>
      <c r="BK25" s="19">
        <f t="shared" si="16"/>
        <v>3.1856825122867729</v>
      </c>
      <c r="BL25" s="19">
        <f t="shared" si="17"/>
        <v>446.88063553388844</v>
      </c>
      <c r="BM25" s="19">
        <f t="shared" si="18"/>
        <v>9200.9543247965576</v>
      </c>
      <c r="BN25" s="53">
        <f t="shared" si="19"/>
        <v>56.823823088907922</v>
      </c>
      <c r="BO25" s="53">
        <f t="shared" si="86"/>
        <v>157.62314944108147</v>
      </c>
      <c r="BP25" s="53">
        <f t="shared" si="87"/>
        <v>27.91174555943369</v>
      </c>
      <c r="BQ25" s="19">
        <f t="shared" si="88"/>
        <v>11777.233276700334</v>
      </c>
      <c r="BR25" s="19">
        <f t="shared" si="20"/>
        <v>2687.1876256372352</v>
      </c>
      <c r="BS25" s="53">
        <f t="shared" si="21"/>
        <v>14464.42090233757</v>
      </c>
      <c r="BT25" s="56">
        <f t="shared" si="22"/>
        <v>2.1564986278590812</v>
      </c>
      <c r="BU25" s="43">
        <f t="shared" si="23"/>
        <v>18.694204719638353</v>
      </c>
      <c r="BV25" s="43">
        <f t="shared" si="24"/>
        <v>0</v>
      </c>
      <c r="BW25" s="43">
        <f t="shared" si="25"/>
        <v>605.71359648724547</v>
      </c>
      <c r="BX25" s="43">
        <f t="shared" si="26"/>
        <v>57.342285221161916</v>
      </c>
      <c r="BY25" s="58">
        <f t="shared" si="27"/>
        <v>2.7742259196137442</v>
      </c>
      <c r="BZ25" s="58">
        <f t="shared" si="28"/>
        <v>43.615725065536296</v>
      </c>
      <c r="CA25" s="58">
        <f t="shared" si="29"/>
        <v>14.105150364399449</v>
      </c>
      <c r="CB25" s="58">
        <f t="shared" si="89"/>
        <v>29.898490647678319</v>
      </c>
      <c r="CC25" s="58">
        <f t="shared" si="90"/>
        <v>4.4387432379199669</v>
      </c>
      <c r="CD25" s="58">
        <f t="shared" si="91"/>
        <v>778.73892029105252</v>
      </c>
      <c r="CE25" s="58">
        <f t="shared" si="30"/>
        <v>218.66810526824031</v>
      </c>
      <c r="CF25" s="58">
        <f t="shared" si="92"/>
        <v>997.40702555929283</v>
      </c>
      <c r="CG25" s="127">
        <v>26</v>
      </c>
      <c r="CH25" s="128" t="s">
        <v>169</v>
      </c>
      <c r="CI25" s="128"/>
      <c r="CJ25" s="126">
        <f t="shared" si="93"/>
        <v>22</v>
      </c>
      <c r="CK25" s="126">
        <f t="shared" si="95"/>
        <v>23</v>
      </c>
      <c r="CN25" s="147">
        <f t="shared" si="31"/>
        <v>4.2316097524914081E-2</v>
      </c>
      <c r="CO25" s="147">
        <f t="shared" si="32"/>
        <v>0.36682879360432347</v>
      </c>
      <c r="CP25" s="147">
        <f t="shared" si="33"/>
        <v>0</v>
      </c>
      <c r="CQ25" s="31">
        <f>(AI25-(P25*450/1000000))*Parameters!$C$153</f>
        <v>7.6318799848734944</v>
      </c>
      <c r="CR25" s="31">
        <f t="shared" si="34"/>
        <v>5.443750951377415E-2</v>
      </c>
      <c r="CS25" s="31">
        <f t="shared" si="35"/>
        <v>0.85585367486432684</v>
      </c>
      <c r="CT25" s="31">
        <f>AM25*Parameters!$C$154</f>
        <v>0.24910167789648002</v>
      </c>
      <c r="CU25" s="31">
        <f>AQ25*Parameters!$C$155</f>
        <v>4.2908355</v>
      </c>
      <c r="CV25" s="31">
        <f t="shared" si="36"/>
        <v>13.491253238277313</v>
      </c>
      <c r="CW25" s="188">
        <f t="shared" si="37"/>
        <v>68.932407719933963</v>
      </c>
      <c r="CY25" s="181">
        <v>61.706113305000002</v>
      </c>
      <c r="CZ25" s="181">
        <v>14.927423252345115</v>
      </c>
      <c r="DA25" s="181">
        <v>7.5635017207378645</v>
      </c>
      <c r="DB25" s="181">
        <v>24.984074857110901</v>
      </c>
      <c r="DC25" s="181">
        <v>10.067928304646411</v>
      </c>
      <c r="DD25" s="181">
        <v>189.02275290683269</v>
      </c>
      <c r="DE25" s="181">
        <v>3.896396154590235</v>
      </c>
      <c r="DF25" s="181">
        <v>12.534961258804961</v>
      </c>
      <c r="DG25" s="181">
        <v>39.576256961035362</v>
      </c>
      <c r="DH25" s="181">
        <v>16.431357413395197</v>
      </c>
      <c r="DI25" s="181">
        <v>231.63825778932787</v>
      </c>
      <c r="DJ25" s="181">
        <v>76.63353655734511</v>
      </c>
      <c r="DK25" s="181">
        <v>364.27940872110355</v>
      </c>
      <c r="DL25" s="181"/>
      <c r="DM25" s="181">
        <v>5.9554999999999998</v>
      </c>
      <c r="DN25" s="181">
        <v>2.5689012970369718</v>
      </c>
      <c r="DO25" s="181">
        <v>5.9148061922787681E-2</v>
      </c>
      <c r="DP25" s="181">
        <v>0.93084851327549423</v>
      </c>
      <c r="DQ25" s="181">
        <v>9.6613037977444716</v>
      </c>
      <c r="DR25" s="181">
        <v>3.5849269951485886E-2</v>
      </c>
      <c r="DS25" s="181">
        <v>1.6501777436942207</v>
      </c>
      <c r="DT25" s="181">
        <v>10.651300372942753</v>
      </c>
      <c r="DU25" s="181">
        <v>8.524401297036972</v>
      </c>
      <c r="DV25" s="181">
        <v>20.861728683625433</v>
      </c>
      <c r="DW25" s="181">
        <v>20.861728683625429</v>
      </c>
      <c r="DX25" s="181"/>
      <c r="DY25" s="181">
        <v>4.7644000000000002</v>
      </c>
      <c r="DZ25" s="181">
        <v>1.79823090792588</v>
      </c>
      <c r="EA25" s="181">
        <v>5.9148061922787681E-2</v>
      </c>
      <c r="EB25" s="181">
        <v>0.93084851327549423</v>
      </c>
      <c r="EC25" s="181">
        <v>4.3144294178610814</v>
      </c>
      <c r="ED25" s="181">
        <v>3.5849269951485886E-2</v>
      </c>
      <c r="EE25" s="181">
        <v>0.58454848643555646</v>
      </c>
      <c r="EF25" s="181">
        <v>5.3044259930593629</v>
      </c>
      <c r="EG25" s="181">
        <v>6.5626309079258807</v>
      </c>
      <c r="EH25" s="181">
        <v>12.487454657372286</v>
      </c>
      <c r="EJ25" s="31">
        <f t="shared" si="38"/>
        <v>2.1564986278590813E-3</v>
      </c>
      <c r="EK25" s="31">
        <f t="shared" si="39"/>
        <v>1.8694204719638355E-2</v>
      </c>
      <c r="EL25" s="31">
        <f t="shared" si="40"/>
        <v>0</v>
      </c>
      <c r="EM25" s="31">
        <f t="shared" si="41"/>
        <v>0.38893328255695037</v>
      </c>
      <c r="EN25" s="31">
        <f t="shared" si="42"/>
        <v>2.7742259196137436E-3</v>
      </c>
      <c r="EO25" s="31">
        <f t="shared" si="43"/>
        <v>4.3615725065536293E-2</v>
      </c>
      <c r="EP25" s="31">
        <f t="shared" si="44"/>
        <v>1.2694635327959503E-2</v>
      </c>
      <c r="EQ25" s="31">
        <f t="shared" si="45"/>
        <v>0.21866810526824032</v>
      </c>
      <c r="ER25" s="31">
        <f t="shared" si="46"/>
        <v>0.68753667748579772</v>
      </c>
      <c r="ES25" s="31">
        <f t="shared" si="47"/>
        <v>3.5129100119768704</v>
      </c>
      <c r="ET25" s="31"/>
      <c r="EU25" s="31">
        <f t="shared" si="48"/>
        <v>3.1446460438466368</v>
      </c>
      <c r="EV25" s="31">
        <f t="shared" si="49"/>
        <v>0.76072628725276925</v>
      </c>
      <c r="EW25" s="31">
        <f t="shared" si="50"/>
        <v>0.3854486126226056</v>
      </c>
      <c r="EX25" s="31">
        <f t="shared" si="51"/>
        <v>1.273229959732626</v>
      </c>
      <c r="EY25" s="31">
        <f t="shared" si="52"/>
        <v>0.5130783518392904</v>
      </c>
      <c r="EZ25" s="31">
        <f t="shared" si="53"/>
        <v>9.6329135038441507</v>
      </c>
      <c r="FA25" s="31">
        <f t="shared" si="54"/>
        <v>0.19856682096032446</v>
      </c>
      <c r="FB25" s="31">
        <f t="shared" si="55"/>
        <v>0.63880244956341881</v>
      </c>
      <c r="FC25" s="31">
        <f t="shared" si="56"/>
        <v>2.0168718011395703</v>
      </c>
      <c r="FD25" s="31">
        <f t="shared" si="57"/>
        <v>0.83736927052374344</v>
      </c>
      <c r="FE25" s="31">
        <f t="shared" si="58"/>
        <v>11.804670428038673</v>
      </c>
      <c r="FF25" s="31">
        <f t="shared" si="59"/>
        <v>3.9053723310994055</v>
      </c>
      <c r="FG25" s="31">
        <f t="shared" si="60"/>
        <v>18.56428383080139</v>
      </c>
      <c r="FH25" s="31"/>
      <c r="FI25" s="31">
        <f t="shared" si="61"/>
        <v>0.30350217362679255</v>
      </c>
      <c r="FJ25" s="31">
        <f t="shared" si="62"/>
        <v>0.13091547770689405</v>
      </c>
      <c r="FK25" s="31">
        <f t="shared" si="63"/>
        <v>3.0142834958237232E-3</v>
      </c>
      <c r="FL25" s="31">
        <f t="shared" si="64"/>
        <v>4.7437586616804757E-2</v>
      </c>
      <c r="FM25" s="31">
        <f t="shared" si="65"/>
        <v>0.49235609145902659</v>
      </c>
      <c r="FN25" s="31">
        <f t="shared" si="66"/>
        <v>1.8269383516429562E-3</v>
      </c>
      <c r="FO25" s="31">
        <f t="shared" si="67"/>
        <v>8.409579919095829E-2</v>
      </c>
      <c r="FP25" s="31">
        <f t="shared" si="68"/>
        <v>0.54280796157165501</v>
      </c>
      <c r="FQ25" s="31">
        <f t="shared" si="69"/>
        <v>0.43441765133368659</v>
      </c>
      <c r="FR25" s="31">
        <f t="shared" si="70"/>
        <v>1.0631483504479429</v>
      </c>
      <c r="FS25" s="31">
        <f t="shared" si="71"/>
        <v>1.0631483504479429</v>
      </c>
      <c r="FT25" s="31"/>
      <c r="FU25" s="31">
        <f t="shared" si="72"/>
        <v>0.24280173890143403</v>
      </c>
      <c r="FV25" s="31">
        <f t="shared" si="73"/>
        <v>9.1640834394825815E-2</v>
      </c>
      <c r="FW25" s="31">
        <f t="shared" si="74"/>
        <v>3.0142834958237232E-3</v>
      </c>
      <c r="FX25" s="31">
        <f t="shared" si="75"/>
        <v>4.7437586616804757E-2</v>
      </c>
      <c r="FY25" s="31">
        <f t="shared" si="76"/>
        <v>0.21987049051804472</v>
      </c>
      <c r="FZ25" s="31">
        <f t="shared" si="77"/>
        <v>1.8269383516429562E-3</v>
      </c>
      <c r="GA25" s="31">
        <f t="shared" si="78"/>
        <v>2.978956195507397E-2</v>
      </c>
      <c r="GB25" s="31">
        <f t="shared" si="79"/>
        <v>0.27032236063067322</v>
      </c>
      <c r="GC25" s="31">
        <f t="shared" si="80"/>
        <v>0.33444257329625993</v>
      </c>
      <c r="GD25" s="31">
        <f t="shared" si="81"/>
        <v>0.63638143423365001</v>
      </c>
    </row>
    <row r="26" spans="1:186">
      <c r="A26" s="39" t="str">
        <f>Basicinfo!A26</f>
        <v>Innbach</v>
      </c>
      <c r="B26" s="63">
        <f>Basicinfo!B26</f>
        <v>1180</v>
      </c>
      <c r="C26" s="63">
        <f>Basicinfo!C26</f>
        <v>5000</v>
      </c>
      <c r="D26" s="227">
        <v>498.20176506500002</v>
      </c>
      <c r="E26" s="89">
        <v>5.5222011769474406</v>
      </c>
      <c r="F26" s="27">
        <v>1.9471682750562477E-2</v>
      </c>
      <c r="G26" s="19">
        <v>0.88499257549025501</v>
      </c>
      <c r="H26" s="19">
        <v>0</v>
      </c>
      <c r="I26" s="19">
        <v>8.6510282249020798E-2</v>
      </c>
      <c r="J26" s="19">
        <v>4.1923537670009408</v>
      </c>
      <c r="K26" s="19">
        <v>2.9640617764158647E-2</v>
      </c>
      <c r="L26" s="19">
        <v>2.6258949712062246E-2</v>
      </c>
      <c r="M26" s="19">
        <v>3.6713815996168367E-2</v>
      </c>
      <c r="N26" s="19">
        <v>5.275941690963168</v>
      </c>
      <c r="O26" s="19">
        <v>0.24625948598427194</v>
      </c>
      <c r="P26" s="56">
        <v>16010.932572039073</v>
      </c>
      <c r="Q26" s="43">
        <v>8343.0003642758729</v>
      </c>
      <c r="R26" s="88">
        <v>24353.932936314945</v>
      </c>
      <c r="S26" s="61">
        <v>6.534325325101598</v>
      </c>
      <c r="T26" s="19">
        <v>55.173258320961338</v>
      </c>
      <c r="U26" s="19">
        <v>0</v>
      </c>
      <c r="V26" s="19">
        <v>40.930576260208476</v>
      </c>
      <c r="W26" s="19">
        <v>0.20857500910689686</v>
      </c>
      <c r="X26" s="19">
        <v>32.304139413010944</v>
      </c>
      <c r="Y26" s="19">
        <v>448.12130645257901</v>
      </c>
      <c r="Z26" s="19">
        <v>2.7712153654672829</v>
      </c>
      <c r="AA26" s="19">
        <v>6.6057011620625126</v>
      </c>
      <c r="AB26" s="19">
        <v>1.5423371475629288</v>
      </c>
      <c r="AC26" s="19">
        <v>594.19143445606096</v>
      </c>
      <c r="AD26" s="19">
        <v>54.041027222222226</v>
      </c>
      <c r="AE26" s="87">
        <v>648.23246167828313</v>
      </c>
      <c r="AF26" s="56">
        <v>0.14226391635577423</v>
      </c>
      <c r="AG26" s="43">
        <v>0.98707972660968868</v>
      </c>
      <c r="AH26" s="43">
        <v>0</v>
      </c>
      <c r="AI26" s="43">
        <v>32.957907192630529</v>
      </c>
      <c r="AJ26" s="43">
        <v>3.7543501639241432</v>
      </c>
      <c r="AK26" s="43">
        <v>0.22730992356716598</v>
      </c>
      <c r="AL26" s="58">
        <v>5.0564088577353674</v>
      </c>
      <c r="AM26" s="43">
        <v>0.68110300040376504</v>
      </c>
      <c r="AN26" s="42">
        <v>1.2669082494438686</v>
      </c>
      <c r="AO26" s="42">
        <v>0.24289669011320514</v>
      </c>
      <c r="AP26" s="42">
        <v>45.316227720783502</v>
      </c>
      <c r="AQ26" s="43">
        <v>4.6023628333333333</v>
      </c>
      <c r="AR26" s="83">
        <v>49.918590554116832</v>
      </c>
      <c r="AS26" s="19">
        <f t="shared" si="2"/>
        <v>1.2325508062815123</v>
      </c>
      <c r="AT26" s="19">
        <f t="shared" si="3"/>
        <v>56.019724974317178</v>
      </c>
      <c r="AU26" s="19">
        <f t="shared" si="4"/>
        <v>0</v>
      </c>
      <c r="AV26" s="19">
        <f t="shared" si="5"/>
        <v>5.4760710465350826</v>
      </c>
      <c r="AW26" s="19">
        <f t="shared" si="6"/>
        <v>265.37454835972392</v>
      </c>
      <c r="AX26" s="53">
        <f t="shared" si="82"/>
        <v>1.8762408874415601</v>
      </c>
      <c r="AY26" s="53">
        <f t="shared" si="83"/>
        <v>1.6621824653944235</v>
      </c>
      <c r="AZ26" s="53">
        <f t="shared" si="84"/>
        <v>2.3239718974181223</v>
      </c>
      <c r="BA26" s="19">
        <f t="shared" si="85"/>
        <v>333.96529043711178</v>
      </c>
      <c r="BB26" s="19">
        <f t="shared" si="7"/>
        <v>15.588140577917805</v>
      </c>
      <c r="BC26" s="53">
        <f t="shared" si="8"/>
        <v>349.55343101502956</v>
      </c>
      <c r="BD26" s="56">
        <f t="shared" si="9"/>
        <v>321.37446502121765</v>
      </c>
      <c r="BE26" s="43">
        <f t="shared" si="10"/>
        <v>167.46228033108974</v>
      </c>
      <c r="BF26" s="58">
        <f t="shared" si="11"/>
        <v>488.83674535230739</v>
      </c>
      <c r="BG26" s="61">
        <f t="shared" si="12"/>
        <v>131.15821306351796</v>
      </c>
      <c r="BH26" s="19">
        <f t="shared" si="13"/>
        <v>1107.4480700356996</v>
      </c>
      <c r="BI26" s="19">
        <f t="shared" si="14"/>
        <v>0</v>
      </c>
      <c r="BJ26" s="19">
        <f t="shared" si="15"/>
        <v>821.56626351711736</v>
      </c>
      <c r="BK26" s="19">
        <f t="shared" si="16"/>
        <v>4.1865570082772434</v>
      </c>
      <c r="BL26" s="19">
        <f t="shared" si="17"/>
        <v>648.41479252479655</v>
      </c>
      <c r="BM26" s="19">
        <f t="shared" si="18"/>
        <v>8994.7755683706364</v>
      </c>
      <c r="BN26" s="53">
        <f t="shared" si="19"/>
        <v>55.624358639229719</v>
      </c>
      <c r="BO26" s="53">
        <f t="shared" si="86"/>
        <v>132.59088235467556</v>
      </c>
      <c r="BP26" s="53">
        <f t="shared" si="87"/>
        <v>30.958082763149211</v>
      </c>
      <c r="BQ26" s="19">
        <f t="shared" si="88"/>
        <v>11926.7227882771</v>
      </c>
      <c r="BR26" s="19">
        <f t="shared" si="20"/>
        <v>1084.7217134040368</v>
      </c>
      <c r="BS26" s="53">
        <f t="shared" si="21"/>
        <v>13011.444501681137</v>
      </c>
      <c r="BT26" s="56">
        <f t="shared" si="22"/>
        <v>2.8555482202519529</v>
      </c>
      <c r="BU26" s="43">
        <f t="shared" si="23"/>
        <v>19.812850853326566</v>
      </c>
      <c r="BV26" s="43">
        <f t="shared" si="24"/>
        <v>0</v>
      </c>
      <c r="BW26" s="43">
        <f t="shared" si="25"/>
        <v>661.53734297449819</v>
      </c>
      <c r="BX26" s="43">
        <f t="shared" si="26"/>
        <v>75.358026148990376</v>
      </c>
      <c r="BY26" s="58">
        <f t="shared" si="27"/>
        <v>4.5626077526543698</v>
      </c>
      <c r="BZ26" s="58">
        <f t="shared" si="28"/>
        <v>101.49319437027007</v>
      </c>
      <c r="CA26" s="58">
        <f t="shared" si="29"/>
        <v>13.671228168268373</v>
      </c>
      <c r="CB26" s="58">
        <f t="shared" si="89"/>
        <v>25.429621857694062</v>
      </c>
      <c r="CC26" s="58">
        <f t="shared" si="90"/>
        <v>4.8754682770245621</v>
      </c>
      <c r="CD26" s="58">
        <f t="shared" si="91"/>
        <v>909.59588862297846</v>
      </c>
      <c r="CE26" s="58">
        <f t="shared" si="30"/>
        <v>92.379496743309744</v>
      </c>
      <c r="CF26" s="58">
        <f t="shared" si="92"/>
        <v>1001.9753853662883</v>
      </c>
      <c r="CG26" s="127">
        <v>65</v>
      </c>
      <c r="CH26" s="128" t="s">
        <v>169</v>
      </c>
      <c r="CI26" s="128"/>
      <c r="CJ26" s="126">
        <f t="shared" si="93"/>
        <v>23</v>
      </c>
      <c r="CK26" s="126">
        <f t="shared" si="95"/>
        <v>62</v>
      </c>
      <c r="CN26" s="147">
        <f t="shared" si="31"/>
        <v>0.14226391635577423</v>
      </c>
      <c r="CO26" s="147">
        <f t="shared" si="32"/>
        <v>0.98707972660968868</v>
      </c>
      <c r="CP26" s="147">
        <f t="shared" si="33"/>
        <v>0</v>
      </c>
      <c r="CQ26" s="31">
        <f>(AI26-(P26*450/1000000))*Parameters!$C$153</f>
        <v>20.602390028170358</v>
      </c>
      <c r="CR26" s="31">
        <f t="shared" si="34"/>
        <v>0.22730992356716598</v>
      </c>
      <c r="CS26" s="31">
        <f t="shared" si="35"/>
        <v>5.0564088577353674</v>
      </c>
      <c r="CT26" s="31">
        <f>AM26*Parameters!$C$154</f>
        <v>0.6129927003633886</v>
      </c>
      <c r="CU26" s="31">
        <f>AQ26*Parameters!$C$155</f>
        <v>4.6023628333333333</v>
      </c>
      <c r="CV26" s="31">
        <f t="shared" si="36"/>
        <v>32.230807986135076</v>
      </c>
      <c r="CW26" s="188">
        <f t="shared" si="37"/>
        <v>64.566742827391337</v>
      </c>
      <c r="CY26" s="181">
        <v>68.570414971666665</v>
      </c>
      <c r="CZ26" s="181">
        <v>33.059718543903692</v>
      </c>
      <c r="DA26" s="181">
        <v>20.502574397617735</v>
      </c>
      <c r="DB26" s="181">
        <v>66.48112281658176</v>
      </c>
      <c r="DC26" s="181">
        <v>26.680874941222623</v>
      </c>
      <c r="DD26" s="181">
        <v>452.49786966494941</v>
      </c>
      <c r="DE26" s="181">
        <v>10.563298946631383</v>
      </c>
      <c r="DF26" s="181">
        <v>33.492878933331014</v>
      </c>
      <c r="DG26" s="181">
        <v>101.28610495765531</v>
      </c>
      <c r="DH26" s="181">
        <v>44.056177879962398</v>
      </c>
      <c r="DI26" s="181">
        <v>566.16244182037155</v>
      </c>
      <c r="DJ26" s="181">
        <v>101.63013351557035</v>
      </c>
      <c r="DK26" s="181">
        <v>813.13485817355968</v>
      </c>
      <c r="DL26" s="181"/>
      <c r="DM26" s="181">
        <v>6.928466666666667</v>
      </c>
      <c r="DN26" s="181">
        <v>5.6870921376563324</v>
      </c>
      <c r="DO26" s="181">
        <v>0.18719364164969843</v>
      </c>
      <c r="DP26" s="181">
        <v>2.6062986287933225</v>
      </c>
      <c r="DQ26" s="181">
        <v>27.244065480086185</v>
      </c>
      <c r="DR26" s="181">
        <v>0.10670419396296052</v>
      </c>
      <c r="DS26" s="181">
        <v>4.8731007635006263</v>
      </c>
      <c r="DT26" s="181">
        <v>30.037557750529203</v>
      </c>
      <c r="DU26" s="181">
        <v>12.615558804322999</v>
      </c>
      <c r="DV26" s="181">
        <v>47.632921512315789</v>
      </c>
      <c r="DW26" s="181">
        <v>47.632921512315789</v>
      </c>
      <c r="DX26" s="181"/>
      <c r="DY26" s="181">
        <v>5.5427733333333338</v>
      </c>
      <c r="DZ26" s="181">
        <v>3.9809644963594319</v>
      </c>
      <c r="EA26" s="181">
        <v>0.18719364164969843</v>
      </c>
      <c r="EB26" s="181">
        <v>2.6062986287933225</v>
      </c>
      <c r="EC26" s="181">
        <v>11.977562390147002</v>
      </c>
      <c r="ED26" s="181">
        <v>0.10670419396296052</v>
      </c>
      <c r="EE26" s="181">
        <v>1.3776831104534719</v>
      </c>
      <c r="EF26" s="181">
        <v>14.771054660590023</v>
      </c>
      <c r="EG26" s="181">
        <v>9.5237378296927666</v>
      </c>
      <c r="EH26" s="181">
        <v>25.779179794699225</v>
      </c>
      <c r="EJ26" s="31">
        <f t="shared" si="38"/>
        <v>2.8555482202519528E-3</v>
      </c>
      <c r="EK26" s="31">
        <f t="shared" si="39"/>
        <v>1.9812850853326566E-2</v>
      </c>
      <c r="EL26" s="31">
        <f t="shared" si="40"/>
        <v>0</v>
      </c>
      <c r="EM26" s="31">
        <f t="shared" si="41"/>
        <v>0.41353506697196024</v>
      </c>
      <c r="EN26" s="31">
        <f t="shared" si="42"/>
        <v>4.5626077526543692E-3</v>
      </c>
      <c r="EO26" s="31">
        <f t="shared" si="43"/>
        <v>0.10149319437027007</v>
      </c>
      <c r="EP26" s="31">
        <f t="shared" si="44"/>
        <v>1.2304105351441537E-2</v>
      </c>
      <c r="EQ26" s="31">
        <f t="shared" si="45"/>
        <v>9.2379496743309739E-2</v>
      </c>
      <c r="ER26" s="31">
        <f t="shared" si="46"/>
        <v>0.64694287026321451</v>
      </c>
      <c r="ES26" s="31">
        <f t="shared" si="47"/>
        <v>1.2959958666338198</v>
      </c>
      <c r="ET26" s="31"/>
      <c r="EU26" s="31">
        <f t="shared" si="48"/>
        <v>1.3763583307000191</v>
      </c>
      <c r="EV26" s="31">
        <f t="shared" si="49"/>
        <v>0.66358091966194488</v>
      </c>
      <c r="EW26" s="31">
        <f t="shared" si="50"/>
        <v>0.41153154876805337</v>
      </c>
      <c r="EX26" s="31">
        <f t="shared" si="51"/>
        <v>1.3344216636387873</v>
      </c>
      <c r="EY26" s="31">
        <f t="shared" si="52"/>
        <v>0.53554356512048062</v>
      </c>
      <c r="EZ26" s="31">
        <f t="shared" si="53"/>
        <v>9.0826227724406472</v>
      </c>
      <c r="FA26" s="31">
        <f t="shared" si="54"/>
        <v>0.2120285331637313</v>
      </c>
      <c r="FB26" s="31">
        <f t="shared" si="55"/>
        <v>0.67227539687582649</v>
      </c>
      <c r="FC26" s="31">
        <f t="shared" si="56"/>
        <v>2.0330338441181675</v>
      </c>
      <c r="FD26" s="31">
        <f t="shared" si="57"/>
        <v>0.88430393003955776</v>
      </c>
      <c r="FE26" s="31">
        <f t="shared" si="58"/>
        <v>11.364119549967969</v>
      </c>
      <c r="FF26" s="31">
        <f t="shared" si="59"/>
        <v>2.039939250361964</v>
      </c>
      <c r="FG26" s="31">
        <f t="shared" si="60"/>
        <v>16.321396574487657</v>
      </c>
      <c r="FH26" s="31"/>
      <c r="FI26" s="31">
        <f t="shared" si="61"/>
        <v>0.13906949257320908</v>
      </c>
      <c r="FJ26" s="31">
        <f t="shared" si="62"/>
        <v>0.11415238837851853</v>
      </c>
      <c r="FK26" s="31">
        <f t="shared" si="63"/>
        <v>3.757386159105145E-3</v>
      </c>
      <c r="FL26" s="31">
        <f t="shared" si="64"/>
        <v>5.2314118727646026E-2</v>
      </c>
      <c r="FM26" s="31">
        <f t="shared" si="65"/>
        <v>0.54684803207254129</v>
      </c>
      <c r="FN26" s="31">
        <f t="shared" si="66"/>
        <v>2.1417867507763427E-3</v>
      </c>
      <c r="FO26" s="31">
        <f t="shared" si="67"/>
        <v>9.7813799653335962E-2</v>
      </c>
      <c r="FP26" s="31">
        <f t="shared" si="68"/>
        <v>0.60291953695929246</v>
      </c>
      <c r="FQ26" s="31">
        <f t="shared" si="69"/>
        <v>0.25322188095172765</v>
      </c>
      <c r="FR26" s="31">
        <f t="shared" si="70"/>
        <v>0.95609700431513234</v>
      </c>
      <c r="FS26" s="31">
        <f t="shared" si="71"/>
        <v>0.95609700431513234</v>
      </c>
      <c r="FT26" s="31"/>
      <c r="FU26" s="31">
        <f t="shared" si="72"/>
        <v>0.11125559405856725</v>
      </c>
      <c r="FV26" s="31">
        <f t="shared" si="73"/>
        <v>7.9906671864962961E-2</v>
      </c>
      <c r="FW26" s="31">
        <f t="shared" si="74"/>
        <v>3.757386159105145E-3</v>
      </c>
      <c r="FX26" s="31">
        <f t="shared" si="75"/>
        <v>5.2314118727646026E-2</v>
      </c>
      <c r="FY26" s="31">
        <f t="shared" si="76"/>
        <v>0.2404158963303612</v>
      </c>
      <c r="FZ26" s="31">
        <f t="shared" si="77"/>
        <v>2.1417867507763427E-3</v>
      </c>
      <c r="GA26" s="31">
        <f t="shared" si="78"/>
        <v>2.7653115806880506E-2</v>
      </c>
      <c r="GB26" s="31">
        <f t="shared" si="79"/>
        <v>0.29648740121711237</v>
      </c>
      <c r="GC26" s="31">
        <f t="shared" si="80"/>
        <v>0.19116226592353022</v>
      </c>
      <c r="GD26" s="31">
        <f t="shared" si="81"/>
        <v>0.51744456969829955</v>
      </c>
    </row>
    <row r="27" spans="1:186">
      <c r="A27" s="39" t="str">
        <f>Basicinfo!A27</f>
        <v>Pesenbach</v>
      </c>
      <c r="B27" s="63">
        <f>Basicinfo!B27</f>
        <v>1190</v>
      </c>
      <c r="C27" s="63">
        <f>Basicinfo!C27</f>
        <v>5000</v>
      </c>
      <c r="D27" s="227">
        <v>108.689845175</v>
      </c>
      <c r="E27" s="89">
        <v>1.4337208422552195</v>
      </c>
      <c r="F27" s="27">
        <v>1.2018275664381767E-2</v>
      </c>
      <c r="G27" s="19">
        <v>0.26093986661657159</v>
      </c>
      <c r="H27" s="19">
        <v>0</v>
      </c>
      <c r="I27" s="19">
        <v>5.4463597351307935E-3</v>
      </c>
      <c r="J27" s="19">
        <v>1.1358693514402882</v>
      </c>
      <c r="K27" s="19">
        <v>4.3539640313532196E-3</v>
      </c>
      <c r="L27" s="19">
        <v>3.4016053639225928E-3</v>
      </c>
      <c r="M27" s="19">
        <v>7.8216953316113617E-3</v>
      </c>
      <c r="N27" s="19">
        <v>1.4298511181832594</v>
      </c>
      <c r="O27" s="19">
        <v>3.8697240719600882E-3</v>
      </c>
      <c r="P27" s="56">
        <v>383.60296122804766</v>
      </c>
      <c r="Q27" s="43">
        <v>1111.3019057463687</v>
      </c>
      <c r="R27" s="88">
        <v>1494.9048669744163</v>
      </c>
      <c r="S27" s="61">
        <v>3.3366819692535565</v>
      </c>
      <c r="T27" s="19">
        <v>15.260413530976068</v>
      </c>
      <c r="U27" s="19">
        <v>0</v>
      </c>
      <c r="V27" s="19">
        <v>2.0821194199872686</v>
      </c>
      <c r="W27" s="19">
        <v>2.7782547643659217E-2</v>
      </c>
      <c r="X27" s="19">
        <v>1.9837927247623592</v>
      </c>
      <c r="Y27" s="19">
        <v>80.855310282048521</v>
      </c>
      <c r="Z27" s="19">
        <v>0.41156118737206737</v>
      </c>
      <c r="AA27" s="19">
        <v>0.82946771643290707</v>
      </c>
      <c r="AB27" s="19">
        <v>1.2310501645474978</v>
      </c>
      <c r="AC27" s="19">
        <v>106.0181795430239</v>
      </c>
      <c r="AD27" s="19">
        <v>0.52250833333333346</v>
      </c>
      <c r="AE27" s="87">
        <v>106.54068787635724</v>
      </c>
      <c r="AF27" s="56">
        <v>7.5031485516103419E-2</v>
      </c>
      <c r="AG27" s="43">
        <v>0.26944205678930427</v>
      </c>
      <c r="AH27" s="43">
        <v>0</v>
      </c>
      <c r="AI27" s="43">
        <v>1.0668076065985876</v>
      </c>
      <c r="AJ27" s="43">
        <v>0.50008585758586588</v>
      </c>
      <c r="AK27" s="43">
        <v>2.793335947905607E-2</v>
      </c>
      <c r="AL27" s="58">
        <v>0.9750037753143701</v>
      </c>
      <c r="AM27" s="43">
        <v>0.1071188303009413</v>
      </c>
      <c r="AN27" s="42">
        <v>0.16464825999605334</v>
      </c>
      <c r="AO27" s="42">
        <v>0.19144251952605421</v>
      </c>
      <c r="AP27" s="42">
        <v>3.3775137511063362</v>
      </c>
      <c r="AQ27" s="43">
        <v>8.5864166666666658E-2</v>
      </c>
      <c r="AR27" s="83">
        <v>3.4633779177730029</v>
      </c>
      <c r="AS27" s="19">
        <f t="shared" si="2"/>
        <v>3.4870630346533971</v>
      </c>
      <c r="AT27" s="19">
        <f t="shared" si="3"/>
        <v>75.710841434825895</v>
      </c>
      <c r="AU27" s="19">
        <f t="shared" si="4"/>
        <v>0</v>
      </c>
      <c r="AV27" s="19">
        <f t="shared" si="5"/>
        <v>1.5802433091200208</v>
      </c>
      <c r="AW27" s="19">
        <f t="shared" si="6"/>
        <v>329.56874498575644</v>
      </c>
      <c r="AX27" s="53">
        <f t="shared" si="82"/>
        <v>1.2632882995801467</v>
      </c>
      <c r="AY27" s="53">
        <f t="shared" si="83"/>
        <v>0.98696457414162364</v>
      </c>
      <c r="AZ27" s="53">
        <f t="shared" si="84"/>
        <v>2.2694390959941479</v>
      </c>
      <c r="BA27" s="19">
        <f t="shared" si="85"/>
        <v>414.86658473407164</v>
      </c>
      <c r="BB27" s="19">
        <f t="shared" si="7"/>
        <v>1.1227876729131916</v>
      </c>
      <c r="BC27" s="53">
        <f t="shared" si="8"/>
        <v>415.98937240698484</v>
      </c>
      <c r="BD27" s="56">
        <f t="shared" si="9"/>
        <v>35.293357959100398</v>
      </c>
      <c r="BE27" s="43">
        <f t="shared" si="10"/>
        <v>102.2452377181214</v>
      </c>
      <c r="BF27" s="58">
        <f t="shared" si="11"/>
        <v>137.53859567722179</v>
      </c>
      <c r="BG27" s="61">
        <f t="shared" si="12"/>
        <v>306.99114198582316</v>
      </c>
      <c r="BH27" s="19">
        <f t="shared" si="13"/>
        <v>1404.0330544592725</v>
      </c>
      <c r="BI27" s="19">
        <f t="shared" si="14"/>
        <v>0</v>
      </c>
      <c r="BJ27" s="19">
        <f t="shared" si="15"/>
        <v>191.56522089390018</v>
      </c>
      <c r="BK27" s="19">
        <f t="shared" si="16"/>
        <v>2.5561309429530352</v>
      </c>
      <c r="BL27" s="19">
        <f t="shared" si="17"/>
        <v>182.51868162736659</v>
      </c>
      <c r="BM27" s="19">
        <f t="shared" si="18"/>
        <v>7439.0859745788121</v>
      </c>
      <c r="BN27" s="53">
        <f t="shared" si="19"/>
        <v>37.865652187600269</v>
      </c>
      <c r="BO27" s="53">
        <f t="shared" si="86"/>
        <v>76.3151069998667</v>
      </c>
      <c r="BP27" s="53">
        <f t="shared" si="87"/>
        <v>113.2626661272174</v>
      </c>
      <c r="BQ27" s="19">
        <f t="shared" si="88"/>
        <v>9754.1936298028122</v>
      </c>
      <c r="BR27" s="19">
        <f t="shared" si="20"/>
        <v>48.07333495526192</v>
      </c>
      <c r="BS27" s="53">
        <f t="shared" si="21"/>
        <v>9802.2669647580733</v>
      </c>
      <c r="BT27" s="56">
        <f t="shared" si="22"/>
        <v>6.903265470228269</v>
      </c>
      <c r="BU27" s="43">
        <f t="shared" si="23"/>
        <v>24.789993614902972</v>
      </c>
      <c r="BV27" s="43">
        <f t="shared" si="24"/>
        <v>0</v>
      </c>
      <c r="BW27" s="43">
        <f t="shared" si="25"/>
        <v>98.151543493408752</v>
      </c>
      <c r="BX27" s="43">
        <f t="shared" si="26"/>
        <v>46.010356973154629</v>
      </c>
      <c r="BY27" s="58">
        <f t="shared" si="27"/>
        <v>2.570006373095937</v>
      </c>
      <c r="BZ27" s="58">
        <f t="shared" si="28"/>
        <v>89.705139771294185</v>
      </c>
      <c r="CA27" s="58">
        <f t="shared" si="29"/>
        <v>9.8554589095670124</v>
      </c>
      <c r="CB27" s="58">
        <f t="shared" si="89"/>
        <v>15.148449216295733</v>
      </c>
      <c r="CC27" s="58">
        <f t="shared" si="90"/>
        <v>17.61365279505323</v>
      </c>
      <c r="CD27" s="58">
        <f t="shared" si="91"/>
        <v>310.74786661700068</v>
      </c>
      <c r="CE27" s="58">
        <f t="shared" si="30"/>
        <v>7.8999253820279129</v>
      </c>
      <c r="CF27" s="58">
        <f t="shared" si="92"/>
        <v>318.64779199902858</v>
      </c>
      <c r="CG27" s="127">
        <v>65</v>
      </c>
      <c r="CH27" s="128" t="s">
        <v>169</v>
      </c>
      <c r="CI27" s="128"/>
      <c r="CJ27" s="126">
        <f t="shared" si="93"/>
        <v>24</v>
      </c>
      <c r="CK27" s="126">
        <f t="shared" si="95"/>
        <v>62</v>
      </c>
      <c r="CN27" s="147">
        <f t="shared" si="31"/>
        <v>7.5031485516103419E-2</v>
      </c>
      <c r="CO27" s="147">
        <f t="shared" si="32"/>
        <v>0.26944205678930427</v>
      </c>
      <c r="CP27" s="147">
        <f t="shared" si="33"/>
        <v>0</v>
      </c>
      <c r="CQ27" s="31">
        <f>(AI27-(P27*450/1000000))*Parameters!$C$153</f>
        <v>0.71534901923677296</v>
      </c>
      <c r="CR27" s="31">
        <f t="shared" si="34"/>
        <v>2.793335947905607E-2</v>
      </c>
      <c r="CS27" s="31">
        <f t="shared" si="35"/>
        <v>0.9750037753143701</v>
      </c>
      <c r="CT27" s="31">
        <f>AM27*Parameters!$C$154</f>
        <v>9.6406947270847171E-2</v>
      </c>
      <c r="CU27" s="31">
        <f>AQ27*Parameters!$C$155</f>
        <v>8.5864166666666658E-2</v>
      </c>
      <c r="CV27" s="31">
        <f t="shared" si="36"/>
        <v>2.2450308102731205</v>
      </c>
      <c r="CW27" s="188">
        <f t="shared" si="37"/>
        <v>64.821999318997342</v>
      </c>
      <c r="CY27" s="181">
        <v>1.1169125333333334</v>
      </c>
      <c r="CZ27" s="181">
        <v>5.4885879423198549</v>
      </c>
      <c r="DA27" s="181">
        <v>8.0335022388311472</v>
      </c>
      <c r="DB27" s="181">
        <v>10.868630611885825</v>
      </c>
      <c r="DC27" s="181">
        <v>2.375085214884928</v>
      </c>
      <c r="DD27" s="181">
        <v>74.46837872888274</v>
      </c>
      <c r="DE27" s="181">
        <v>4.2744782598546252</v>
      </c>
      <c r="DF27" s="181">
        <v>5.6267447333266443</v>
      </c>
      <c r="DG27" s="181">
        <v>14.864047239592356</v>
      </c>
      <c r="DH27" s="181">
        <v>9.9012229931812694</v>
      </c>
      <c r="DI27" s="181">
        <v>95.745596794484641</v>
      </c>
      <c r="DJ27" s="181">
        <v>6.6055004756531881</v>
      </c>
      <c r="DK27" s="181">
        <v>127.11636750291144</v>
      </c>
      <c r="DL27" s="181"/>
      <c r="DM27" s="181">
        <v>6.1500000000000006E-2</v>
      </c>
      <c r="DN27" s="181">
        <v>0.96681482280883846</v>
      </c>
      <c r="DO27" s="181">
        <v>3.1881494452141536E-2</v>
      </c>
      <c r="DP27" s="181">
        <v>2.2684285891156382</v>
      </c>
      <c r="DQ27" s="181">
        <v>1.3861913400446055</v>
      </c>
      <c r="DR27" s="181">
        <v>3.7431361293961143E-2</v>
      </c>
      <c r="DS27" s="181">
        <v>0.77364517526081755</v>
      </c>
      <c r="DT27" s="181">
        <v>3.6865014236123859</v>
      </c>
      <c r="DU27" s="181">
        <v>1.0283148228088386</v>
      </c>
      <c r="DV27" s="181">
        <v>5.5258927829760029</v>
      </c>
      <c r="DW27" s="181">
        <v>5.5258927829760021</v>
      </c>
      <c r="DX27" s="181"/>
      <c r="DY27" s="181">
        <v>4.9200000000000008E-2</v>
      </c>
      <c r="DZ27" s="181">
        <v>0.67677037596618683</v>
      </c>
      <c r="EA27" s="181">
        <v>3.1881494452141536E-2</v>
      </c>
      <c r="EB27" s="181">
        <v>2.2684285891156382</v>
      </c>
      <c r="EC27" s="181">
        <v>0.66618323043485239</v>
      </c>
      <c r="ED27" s="181">
        <v>3.7431361293961143E-2</v>
      </c>
      <c r="EE27" s="181">
        <v>0.23364800185742618</v>
      </c>
      <c r="EF27" s="181">
        <v>2.9664933140026322</v>
      </c>
      <c r="EG27" s="181">
        <v>0.72597037596618685</v>
      </c>
      <c r="EH27" s="181">
        <v>3.9635430531202065</v>
      </c>
      <c r="EJ27" s="31">
        <f t="shared" si="38"/>
        <v>6.9032654702282691E-3</v>
      </c>
      <c r="EK27" s="31">
        <f t="shared" si="39"/>
        <v>2.4789993614902972E-2</v>
      </c>
      <c r="EL27" s="31">
        <f t="shared" si="40"/>
        <v>0</v>
      </c>
      <c r="EM27" s="31">
        <f t="shared" si="41"/>
        <v>6.5815625929450852E-2</v>
      </c>
      <c r="EN27" s="31">
        <f t="shared" si="42"/>
        <v>2.5700063730959371E-3</v>
      </c>
      <c r="EO27" s="31">
        <f t="shared" si="43"/>
        <v>8.9705139771294198E-2</v>
      </c>
      <c r="EP27" s="31">
        <f t="shared" si="44"/>
        <v>8.869913018610313E-3</v>
      </c>
      <c r="EQ27" s="31">
        <f t="shared" si="45"/>
        <v>7.8999253820279131E-3</v>
      </c>
      <c r="ER27" s="31">
        <f t="shared" si="46"/>
        <v>0.20655386955961044</v>
      </c>
      <c r="ES27" s="31">
        <f t="shared" si="47"/>
        <v>5.9639425573408769</v>
      </c>
      <c r="ET27" s="31"/>
      <c r="EU27" s="31">
        <f t="shared" si="48"/>
        <v>0.10276144303407628</v>
      </c>
      <c r="EV27" s="31">
        <f t="shared" si="49"/>
        <v>0.50497706878529047</v>
      </c>
      <c r="EW27" s="31">
        <f t="shared" si="50"/>
        <v>0.73912169309805509</v>
      </c>
      <c r="EX27" s="31">
        <f t="shared" si="51"/>
        <v>0.99996743894394124</v>
      </c>
      <c r="EY27" s="31">
        <f t="shared" si="52"/>
        <v>0.21851951404115411</v>
      </c>
      <c r="EZ27" s="31">
        <f t="shared" si="53"/>
        <v>6.8514568779615281</v>
      </c>
      <c r="FA27" s="31">
        <f t="shared" si="54"/>
        <v>0.39327301027730305</v>
      </c>
      <c r="FB27" s="31">
        <f t="shared" si="55"/>
        <v>0.51768817264088485</v>
      </c>
      <c r="FC27" s="31">
        <f t="shared" si="56"/>
        <v>1.3675654073901717</v>
      </c>
      <c r="FD27" s="31">
        <f t="shared" si="57"/>
        <v>0.91096118291818784</v>
      </c>
      <c r="FE27" s="31">
        <f t="shared" si="58"/>
        <v>8.8090655240446782</v>
      </c>
      <c r="FF27" s="31">
        <f t="shared" si="59"/>
        <v>0.60773851181936678</v>
      </c>
      <c r="FG27" s="31">
        <f t="shared" si="60"/>
        <v>11.695330626172403</v>
      </c>
      <c r="FH27" s="31"/>
      <c r="FI27" s="31">
        <f t="shared" si="61"/>
        <v>5.6583022913483513E-3</v>
      </c>
      <c r="FJ27" s="31">
        <f t="shared" si="62"/>
        <v>8.8951715889573998E-2</v>
      </c>
      <c r="FK27" s="31">
        <f t="shared" si="63"/>
        <v>2.9332541969132064E-3</v>
      </c>
      <c r="FL27" s="31">
        <f t="shared" si="64"/>
        <v>0.208706580220376</v>
      </c>
      <c r="FM27" s="31">
        <f t="shared" si="65"/>
        <v>0.12753641683937614</v>
      </c>
      <c r="FN27" s="31">
        <f t="shared" si="66"/>
        <v>3.4438692256570456E-3</v>
      </c>
      <c r="FO27" s="31">
        <f t="shared" si="67"/>
        <v>7.1179158827136269E-2</v>
      </c>
      <c r="FP27" s="31">
        <f t="shared" si="68"/>
        <v>0.3391762512566654</v>
      </c>
      <c r="FQ27" s="31">
        <f t="shared" si="69"/>
        <v>9.4610018180922351E-2</v>
      </c>
      <c r="FR27" s="31">
        <f t="shared" si="70"/>
        <v>0.508409297490381</v>
      </c>
      <c r="FS27" s="31">
        <f t="shared" si="71"/>
        <v>0.508409297490381</v>
      </c>
      <c r="FT27" s="31"/>
      <c r="FU27" s="31">
        <f t="shared" si="72"/>
        <v>4.5266418330786821E-3</v>
      </c>
      <c r="FV27" s="31">
        <f t="shared" si="73"/>
        <v>6.2266201122701786E-2</v>
      </c>
      <c r="FW27" s="31">
        <f t="shared" si="74"/>
        <v>2.9332541969132064E-3</v>
      </c>
      <c r="FX27" s="31">
        <f t="shared" si="75"/>
        <v>0.208706580220376</v>
      </c>
      <c r="FY27" s="31">
        <f t="shared" si="76"/>
        <v>6.1292131694754011E-2</v>
      </c>
      <c r="FZ27" s="31">
        <f t="shared" si="77"/>
        <v>3.4438692256570456E-3</v>
      </c>
      <c r="GA27" s="31">
        <f t="shared" si="78"/>
        <v>2.1496764622420134E-2</v>
      </c>
      <c r="GB27" s="31">
        <f t="shared" si="79"/>
        <v>0.27293196611204318</v>
      </c>
      <c r="GC27" s="31">
        <f t="shared" si="80"/>
        <v>6.6792842955780474E-2</v>
      </c>
      <c r="GD27" s="31">
        <f t="shared" si="81"/>
        <v>0.36466544291590081</v>
      </c>
    </row>
    <row r="28" spans="1:186">
      <c r="A28" s="39" t="str">
        <f>Basicinfo!A28</f>
        <v>Große Rodl</v>
      </c>
      <c r="B28" s="63">
        <f>Basicinfo!B28</f>
        <v>1200</v>
      </c>
      <c r="C28" s="63">
        <f>Basicinfo!C28</f>
        <v>5000</v>
      </c>
      <c r="D28" s="227">
        <v>268.010200478</v>
      </c>
      <c r="E28" s="89">
        <v>3.5832774849934106</v>
      </c>
      <c r="F28" s="27">
        <v>1.0675230098786886E-2</v>
      </c>
      <c r="G28" s="19">
        <v>0.64294157417458841</v>
      </c>
      <c r="H28" s="19">
        <v>0</v>
      </c>
      <c r="I28" s="19">
        <v>4.3334232162681507E-2</v>
      </c>
      <c r="J28" s="19">
        <v>2.7930575376239979</v>
      </c>
      <c r="K28" s="19">
        <v>1.1677178997835512E-2</v>
      </c>
      <c r="L28" s="19">
        <v>9.0262073962591605E-3</v>
      </c>
      <c r="M28" s="19">
        <v>1.9238094300803622E-2</v>
      </c>
      <c r="N28" s="19">
        <v>3.5299500547549529</v>
      </c>
      <c r="O28" s="19">
        <v>5.3327430238457638E-2</v>
      </c>
      <c r="P28" s="56">
        <v>637.13369649363267</v>
      </c>
      <c r="Q28" s="43">
        <v>1776.7769903751896</v>
      </c>
      <c r="R28" s="88">
        <v>2413.9106868688223</v>
      </c>
      <c r="S28" s="61">
        <v>1.6854831990462469</v>
      </c>
      <c r="T28" s="19">
        <v>31.376351102699779</v>
      </c>
      <c r="U28" s="19">
        <v>0</v>
      </c>
      <c r="V28" s="19">
        <v>5.3382270663918803</v>
      </c>
      <c r="W28" s="19">
        <v>4.4419424759379739E-2</v>
      </c>
      <c r="X28" s="19">
        <v>17.189307286269059</v>
      </c>
      <c r="Y28" s="19">
        <v>173.05458549098788</v>
      </c>
      <c r="Z28" s="19">
        <v>0.94935616858415395</v>
      </c>
      <c r="AA28" s="19">
        <v>2.3002621897037936</v>
      </c>
      <c r="AB28" s="19">
        <v>3.8555810790038878</v>
      </c>
      <c r="AC28" s="19">
        <v>235.79357300744607</v>
      </c>
      <c r="AD28" s="19">
        <v>3.2985981666666664</v>
      </c>
      <c r="AE28" s="87">
        <v>239.09217117411274</v>
      </c>
      <c r="AF28" s="56">
        <v>4.1577700476022265E-2</v>
      </c>
      <c r="AG28" s="43">
        <v>0.62872423492568097</v>
      </c>
      <c r="AH28" s="43">
        <v>0</v>
      </c>
      <c r="AI28" s="43">
        <v>1.8887134717974403</v>
      </c>
      <c r="AJ28" s="43">
        <v>0.79954964566883524</v>
      </c>
      <c r="AK28" s="43">
        <v>0.25491525461705333</v>
      </c>
      <c r="AL28" s="58">
        <v>3.0327249120081574</v>
      </c>
      <c r="AM28" s="43">
        <v>0.25086299404467888</v>
      </c>
      <c r="AN28" s="42">
        <v>0.44415092657917277</v>
      </c>
      <c r="AO28" s="42">
        <v>0.59168363129168711</v>
      </c>
      <c r="AP28" s="42">
        <v>7.9329027714087283</v>
      </c>
      <c r="AQ28" s="43">
        <v>1.1204946666666666</v>
      </c>
      <c r="AR28" s="83">
        <v>9.053397438075395</v>
      </c>
      <c r="AS28" s="19">
        <f t="shared" si="2"/>
        <v>1.2561240422749429</v>
      </c>
      <c r="AT28" s="19">
        <f t="shared" si="3"/>
        <v>75.653111139082142</v>
      </c>
      <c r="AU28" s="19">
        <f t="shared" si="4"/>
        <v>0</v>
      </c>
      <c r="AV28" s="19">
        <f t="shared" si="5"/>
        <v>5.0990161682092481</v>
      </c>
      <c r="AW28" s="19">
        <f t="shared" si="6"/>
        <v>328.65115711795721</v>
      </c>
      <c r="AX28" s="53">
        <f t="shared" si="82"/>
        <v>1.3740205269014347</v>
      </c>
      <c r="AY28" s="53">
        <f t="shared" si="83"/>
        <v>1.0620882188093987</v>
      </c>
      <c r="AZ28" s="53">
        <f t="shared" si="84"/>
        <v>2.2636919818279235</v>
      </c>
      <c r="BA28" s="19">
        <f t="shared" si="85"/>
        <v>415.35920919506236</v>
      </c>
      <c r="BB28" s="19">
        <f t="shared" si="7"/>
        <v>6.2748874371221834</v>
      </c>
      <c r="BC28" s="53">
        <f t="shared" si="8"/>
        <v>421.63409663218454</v>
      </c>
      <c r="BD28" s="56">
        <f t="shared" si="9"/>
        <v>23.772740565743231</v>
      </c>
      <c r="BE28" s="43">
        <f t="shared" si="10"/>
        <v>66.295125603662939</v>
      </c>
      <c r="BF28" s="58">
        <f t="shared" si="11"/>
        <v>90.067866169406173</v>
      </c>
      <c r="BG28" s="61">
        <f t="shared" si="12"/>
        <v>62.888770503516795</v>
      </c>
      <c r="BH28" s="19">
        <f t="shared" si="13"/>
        <v>1170.7148103594418</v>
      </c>
      <c r="BI28" s="19">
        <f t="shared" si="14"/>
        <v>0</v>
      </c>
      <c r="BJ28" s="19">
        <f t="shared" si="15"/>
        <v>199.17999601772902</v>
      </c>
      <c r="BK28" s="19">
        <f t="shared" si="16"/>
        <v>1.6573781400915735</v>
      </c>
      <c r="BL28" s="19">
        <f t="shared" si="17"/>
        <v>641.36765151519171</v>
      </c>
      <c r="BM28" s="19">
        <f t="shared" si="18"/>
        <v>6457.0148890729733</v>
      </c>
      <c r="BN28" s="53">
        <f t="shared" si="19"/>
        <v>35.422389404991442</v>
      </c>
      <c r="BO28" s="53">
        <f t="shared" si="86"/>
        <v>85.827412001529922</v>
      </c>
      <c r="BP28" s="53">
        <f t="shared" si="87"/>
        <v>143.85949012863705</v>
      </c>
      <c r="BQ28" s="19">
        <f t="shared" si="88"/>
        <v>8797.9327871441037</v>
      </c>
      <c r="BR28" s="19">
        <f t="shared" si="20"/>
        <v>123.07733663806711</v>
      </c>
      <c r="BS28" s="53">
        <f t="shared" si="21"/>
        <v>8921.0101237821709</v>
      </c>
      <c r="BT28" s="56">
        <f t="shared" si="22"/>
        <v>1.5513476875830787</v>
      </c>
      <c r="BU28" s="43">
        <f t="shared" si="23"/>
        <v>23.45896662904406</v>
      </c>
      <c r="BV28" s="43">
        <f t="shared" si="24"/>
        <v>0</v>
      </c>
      <c r="BW28" s="43">
        <f t="shared" si="25"/>
        <v>70.471701018427396</v>
      </c>
      <c r="BX28" s="43">
        <f t="shared" si="26"/>
        <v>29.832806521648319</v>
      </c>
      <c r="BY28" s="58">
        <f t="shared" si="27"/>
        <v>9.511401213924259</v>
      </c>
      <c r="BZ28" s="58">
        <f t="shared" si="28"/>
        <v>113.15707038759156</v>
      </c>
      <c r="CA28" s="58">
        <f t="shared" si="29"/>
        <v>9.3602032160440594</v>
      </c>
      <c r="CB28" s="58">
        <f t="shared" si="89"/>
        <v>16.572165006668527</v>
      </c>
      <c r="CC28" s="58">
        <f t="shared" si="90"/>
        <v>22.076907156384753</v>
      </c>
      <c r="CD28" s="58">
        <f t="shared" si="91"/>
        <v>295.99256883731601</v>
      </c>
      <c r="CE28" s="58">
        <f t="shared" si="30"/>
        <v>41.807911216373419</v>
      </c>
      <c r="CF28" s="58">
        <f t="shared" si="92"/>
        <v>337.80048005368945</v>
      </c>
      <c r="CG28" s="127">
        <v>65</v>
      </c>
      <c r="CH28" s="128" t="s">
        <v>169</v>
      </c>
      <c r="CI28" s="128"/>
      <c r="CJ28" s="126">
        <f t="shared" si="93"/>
        <v>25</v>
      </c>
      <c r="CK28" s="126">
        <f t="shared" si="95"/>
        <v>62</v>
      </c>
      <c r="CN28" s="147">
        <f t="shared" si="31"/>
        <v>4.1577700476022265E-2</v>
      </c>
      <c r="CO28" s="147">
        <f t="shared" si="32"/>
        <v>0.62872423492568097</v>
      </c>
      <c r="CP28" s="147">
        <f t="shared" si="33"/>
        <v>0</v>
      </c>
      <c r="CQ28" s="31">
        <f>(AI28-(P28*450/1000000))*Parameters!$C$153</f>
        <v>1.2816026467002446</v>
      </c>
      <c r="CR28" s="31">
        <f t="shared" si="34"/>
        <v>0.25491525461705333</v>
      </c>
      <c r="CS28" s="31">
        <f t="shared" si="35"/>
        <v>3.0327249120081574</v>
      </c>
      <c r="CT28" s="31">
        <f>AM28*Parameters!$C$154</f>
        <v>0.225776694640211</v>
      </c>
      <c r="CU28" s="31">
        <f>AQ28*Parameters!$C$155</f>
        <v>1.1204946666666666</v>
      </c>
      <c r="CV28" s="31">
        <f t="shared" si="36"/>
        <v>6.5858161100340364</v>
      </c>
      <c r="CW28" s="188">
        <f t="shared" si="37"/>
        <v>72.744140032297906</v>
      </c>
      <c r="CY28" s="181">
        <v>4.2186000000000003</v>
      </c>
      <c r="CZ28" s="181">
        <v>14.175062640159478</v>
      </c>
      <c r="DA28" s="181">
        <v>25.553806644677106</v>
      </c>
      <c r="DB28" s="181">
        <v>23.10237923839766</v>
      </c>
      <c r="DC28" s="181">
        <v>18.54603108074728</v>
      </c>
      <c r="DD28" s="181">
        <v>155.062497493862</v>
      </c>
      <c r="DE28" s="181">
        <v>15.158415559926617</v>
      </c>
      <c r="DF28" s="181">
        <v>13.093109096445529</v>
      </c>
      <c r="DG28" s="181">
        <v>30.376612660467224</v>
      </c>
      <c r="DH28" s="181">
        <v>28.251524656372148</v>
      </c>
      <c r="DI28" s="181">
        <v>222.26471445768405</v>
      </c>
      <c r="DJ28" s="181">
        <v>18.393662640159476</v>
      </c>
      <c r="DK28" s="181">
        <v>299.28651441468287</v>
      </c>
      <c r="DL28" s="181"/>
      <c r="DM28" s="181">
        <v>1.0381666666666667</v>
      </c>
      <c r="DN28" s="181">
        <v>2.4977830937283763</v>
      </c>
      <c r="DO28" s="181">
        <v>0.28547060068100849</v>
      </c>
      <c r="DP28" s="181">
        <v>6.7104588533401941</v>
      </c>
      <c r="DQ28" s="181">
        <v>1.1508219795691703</v>
      </c>
      <c r="DR28" s="181">
        <v>3.9172123584016394E-2</v>
      </c>
      <c r="DS28" s="181">
        <v>1.6654627051448776</v>
      </c>
      <c r="DT28" s="181">
        <v>8.1467514335903743</v>
      </c>
      <c r="DU28" s="181">
        <v>3.5359497603950429</v>
      </c>
      <c r="DV28" s="181">
        <v>13.387336022714312</v>
      </c>
      <c r="DW28" s="181">
        <v>13.387336022714312</v>
      </c>
      <c r="DX28" s="181"/>
      <c r="DY28" s="181">
        <v>0.83053333333333335</v>
      </c>
      <c r="DZ28" s="181">
        <v>1.7484481656098634</v>
      </c>
      <c r="EA28" s="181">
        <v>0.28547060068100849</v>
      </c>
      <c r="EB28" s="181">
        <v>6.7104588533401941</v>
      </c>
      <c r="EC28" s="181">
        <v>0.60947506332247314</v>
      </c>
      <c r="ED28" s="181">
        <v>3.9172123584016394E-2</v>
      </c>
      <c r="EE28" s="181">
        <v>0.71908601123564198</v>
      </c>
      <c r="EF28" s="181">
        <v>7.6054045173436755</v>
      </c>
      <c r="EG28" s="181">
        <v>2.5789814989431967</v>
      </c>
      <c r="EH28" s="181">
        <v>10.942644151106531</v>
      </c>
      <c r="EJ28" s="31">
        <f t="shared" si="38"/>
        <v>1.5513476875830786E-3</v>
      </c>
      <c r="EK28" s="31">
        <f t="shared" si="39"/>
        <v>2.3458966629044058E-2</v>
      </c>
      <c r="EL28" s="31">
        <f t="shared" si="40"/>
        <v>0</v>
      </c>
      <c r="EM28" s="31">
        <f t="shared" si="41"/>
        <v>4.7819174211074351E-2</v>
      </c>
      <c r="EN28" s="31">
        <f t="shared" si="42"/>
        <v>9.5114012139242594E-3</v>
      </c>
      <c r="EO28" s="31">
        <f t="shared" si="43"/>
        <v>0.11315707038759157</v>
      </c>
      <c r="EP28" s="31">
        <f t="shared" si="44"/>
        <v>8.4241828944396531E-3</v>
      </c>
      <c r="EQ28" s="31">
        <f t="shared" si="45"/>
        <v>4.1807911216373422E-2</v>
      </c>
      <c r="ER28" s="31">
        <f t="shared" si="46"/>
        <v>0.24573005424003039</v>
      </c>
      <c r="ES28" s="31">
        <f t="shared" si="47"/>
        <v>2.7142302756595722</v>
      </c>
      <c r="ET28" s="31"/>
      <c r="EU28" s="31">
        <f t="shared" si="48"/>
        <v>0.15740445671381414</v>
      </c>
      <c r="EV28" s="31">
        <f t="shared" si="49"/>
        <v>0.52890011704323392</v>
      </c>
      <c r="EW28" s="31">
        <f t="shared" si="50"/>
        <v>0.95346395768151848</v>
      </c>
      <c r="EX28" s="31">
        <f t="shared" si="51"/>
        <v>0.86199626720155575</v>
      </c>
      <c r="EY28" s="31">
        <f t="shared" si="52"/>
        <v>0.6919897469450853</v>
      </c>
      <c r="EZ28" s="31">
        <f t="shared" si="53"/>
        <v>5.7856938734908532</v>
      </c>
      <c r="FA28" s="31">
        <f t="shared" si="54"/>
        <v>0.56559099365962073</v>
      </c>
      <c r="FB28" s="31">
        <f t="shared" si="55"/>
        <v>0.48853025269537431</v>
      </c>
      <c r="FC28" s="31">
        <f t="shared" si="56"/>
        <v>1.1334125569209719</v>
      </c>
      <c r="FD28" s="31">
        <f t="shared" si="57"/>
        <v>1.0541212463549952</v>
      </c>
      <c r="FE28" s="31">
        <f t="shared" si="58"/>
        <v>8.2931438453190136</v>
      </c>
      <c r="FF28" s="31">
        <f t="shared" si="59"/>
        <v>0.6863045737570479</v>
      </c>
      <c r="FG28" s="31">
        <f t="shared" si="60"/>
        <v>11.166982222352026</v>
      </c>
      <c r="FH28" s="31"/>
      <c r="FI28" s="31">
        <f t="shared" si="61"/>
        <v>3.8736087836025709E-2</v>
      </c>
      <c r="FJ28" s="31">
        <f t="shared" si="62"/>
        <v>9.3197314478088697E-2</v>
      </c>
      <c r="FK28" s="31">
        <f t="shared" si="63"/>
        <v>1.0651482673863445E-2</v>
      </c>
      <c r="FL28" s="31">
        <f t="shared" si="64"/>
        <v>0.25038072585938875</v>
      </c>
      <c r="FM28" s="31">
        <f t="shared" si="65"/>
        <v>4.2939484300099882E-2</v>
      </c>
      <c r="FN28" s="31">
        <f t="shared" si="66"/>
        <v>1.4615907720733148E-3</v>
      </c>
      <c r="FO28" s="31">
        <f t="shared" si="67"/>
        <v>6.2141765581104798E-2</v>
      </c>
      <c r="FP28" s="31">
        <f t="shared" si="68"/>
        <v>0.30397169283335213</v>
      </c>
      <c r="FQ28" s="31">
        <f t="shared" si="69"/>
        <v>0.13193340231411441</v>
      </c>
      <c r="FR28" s="31">
        <f t="shared" si="70"/>
        <v>0.49950845150064466</v>
      </c>
      <c r="FS28" s="31">
        <f t="shared" si="71"/>
        <v>0.49950845150064466</v>
      </c>
      <c r="FT28" s="31"/>
      <c r="FU28" s="31">
        <f t="shared" si="72"/>
        <v>3.0988870268820561E-2</v>
      </c>
      <c r="FV28" s="31">
        <f t="shared" si="73"/>
        <v>6.5238120134662084E-2</v>
      </c>
      <c r="FW28" s="31">
        <f t="shared" si="74"/>
        <v>1.0651482673863445E-2</v>
      </c>
      <c r="FX28" s="31">
        <f t="shared" si="75"/>
        <v>0.25038072585938875</v>
      </c>
      <c r="FY28" s="31">
        <f t="shared" si="76"/>
        <v>2.2740741294005443E-2</v>
      </c>
      <c r="FZ28" s="31">
        <f t="shared" si="77"/>
        <v>1.4615907720733148E-3</v>
      </c>
      <c r="GA28" s="31">
        <f t="shared" si="78"/>
        <v>2.6830546372979155E-2</v>
      </c>
      <c r="GB28" s="31">
        <f t="shared" si="79"/>
        <v>0.28377294982725759</v>
      </c>
      <c r="GC28" s="31">
        <f t="shared" si="80"/>
        <v>9.6226990403482648E-2</v>
      </c>
      <c r="GD28" s="31">
        <f t="shared" si="81"/>
        <v>0.40829207737579282</v>
      </c>
    </row>
    <row r="29" spans="1:186">
      <c r="A29" s="39" t="str">
        <f>Basicinfo!A29</f>
        <v>Diesenleitenbach</v>
      </c>
      <c r="B29" s="63">
        <f>Basicinfo!B29</f>
        <v>1210</v>
      </c>
      <c r="C29" s="63">
        <f>Basicinfo!C29</f>
        <v>5010</v>
      </c>
      <c r="D29" s="227">
        <v>54.5678802758</v>
      </c>
      <c r="E29" s="89">
        <v>0.73650440279874496</v>
      </c>
      <c r="F29" s="27">
        <v>2.5298675267772072E-3</v>
      </c>
      <c r="G29" s="19">
        <v>8.4799913287520262E-2</v>
      </c>
      <c r="H29" s="19">
        <v>0</v>
      </c>
      <c r="I29" s="19">
        <v>1.2302600388081614E-2</v>
      </c>
      <c r="J29" s="19">
        <v>0.56238338563949131</v>
      </c>
      <c r="K29" s="19">
        <v>4.6349634687317759E-2</v>
      </c>
      <c r="L29" s="19">
        <v>8.8552247408799929E-3</v>
      </c>
      <c r="M29" s="19">
        <v>1.9283776528676851E-2</v>
      </c>
      <c r="N29" s="19">
        <v>0.73650440279874496</v>
      </c>
      <c r="O29" s="19">
        <v>0</v>
      </c>
      <c r="P29" s="56">
        <v>137.99210665484901</v>
      </c>
      <c r="Q29" s="43">
        <v>369.6334428476859</v>
      </c>
      <c r="R29" s="88">
        <v>507.62554950253491</v>
      </c>
      <c r="S29" s="61">
        <v>0.37174836854331739</v>
      </c>
      <c r="T29" s="19">
        <v>4.0089394002973906</v>
      </c>
      <c r="U29" s="19">
        <v>0</v>
      </c>
      <c r="V29" s="19">
        <v>0.95100621539983721</v>
      </c>
      <c r="W29" s="19">
        <v>9.2408360711921465E-3</v>
      </c>
      <c r="X29" s="19">
        <v>5.4171838050004428</v>
      </c>
      <c r="Y29" s="19">
        <v>35.038284950004794</v>
      </c>
      <c r="Z29" s="19">
        <v>2.9486333109250902</v>
      </c>
      <c r="AA29" s="19">
        <v>2.8945813951709995</v>
      </c>
      <c r="AB29" s="19">
        <v>3.9934897978202644</v>
      </c>
      <c r="AC29" s="19">
        <v>55.633108079233331</v>
      </c>
      <c r="AD29" s="19">
        <v>0</v>
      </c>
      <c r="AE29" s="87">
        <v>55.633108079233331</v>
      </c>
      <c r="AF29" s="56">
        <v>9.1576339860277509E-3</v>
      </c>
      <c r="AG29" s="43">
        <v>8.1717114501093688E-2</v>
      </c>
      <c r="AH29" s="43">
        <v>0</v>
      </c>
      <c r="AI29" s="43">
        <v>0.44563206890359308</v>
      </c>
      <c r="AJ29" s="43">
        <v>0.16633504928145867</v>
      </c>
      <c r="AK29" s="43">
        <v>7.3644891372865326E-2</v>
      </c>
      <c r="AL29" s="58">
        <v>1.0682661453917266</v>
      </c>
      <c r="AM29" s="43">
        <v>0.5211451629923971</v>
      </c>
      <c r="AN29" s="42">
        <v>0.47806597654944744</v>
      </c>
      <c r="AO29" s="42">
        <v>0.55168950603000777</v>
      </c>
      <c r="AP29" s="42">
        <v>3.3956535490086175</v>
      </c>
      <c r="AQ29" s="43">
        <v>0</v>
      </c>
      <c r="AR29" s="83">
        <v>3.3956535490086175</v>
      </c>
      <c r="AS29" s="19">
        <f t="shared" si="2"/>
        <v>1.4620670973695129</v>
      </c>
      <c r="AT29" s="19">
        <f t="shared" si="3"/>
        <v>49.007768891129665</v>
      </c>
      <c r="AU29" s="19">
        <f t="shared" si="4"/>
        <v>0</v>
      </c>
      <c r="AV29" s="19">
        <f t="shared" si="5"/>
        <v>7.109948267691875</v>
      </c>
      <c r="AW29" s="19">
        <f t="shared" si="6"/>
        <v>325.0139525282666</v>
      </c>
      <c r="AX29" s="53">
        <f t="shared" si="82"/>
        <v>26.786491835701487</v>
      </c>
      <c r="AY29" s="53">
        <f t="shared" si="83"/>
        <v>5.1176326809278354</v>
      </c>
      <c r="AZ29" s="53">
        <f t="shared" si="84"/>
        <v>11.144526295225193</v>
      </c>
      <c r="BA29" s="19">
        <f t="shared" si="85"/>
        <v>425.64238759631218</v>
      </c>
      <c r="BB29" s="19">
        <f t="shared" si="7"/>
        <v>0</v>
      </c>
      <c r="BC29" s="53">
        <f t="shared" si="8"/>
        <v>425.64238759631218</v>
      </c>
      <c r="BD29" s="56">
        <f t="shared" si="9"/>
        <v>25.288155955005337</v>
      </c>
      <c r="BE29" s="43">
        <f t="shared" si="10"/>
        <v>67.738281380816716</v>
      </c>
      <c r="BF29" s="58">
        <f t="shared" si="11"/>
        <v>93.026437335822052</v>
      </c>
      <c r="BG29" s="61">
        <f t="shared" si="12"/>
        <v>68.125858410553278</v>
      </c>
      <c r="BH29" s="19">
        <f t="shared" si="13"/>
        <v>734.67017227628912</v>
      </c>
      <c r="BI29" s="19">
        <f t="shared" si="14"/>
        <v>0</v>
      </c>
      <c r="BJ29" s="19">
        <f t="shared" si="15"/>
        <v>174.27948650253759</v>
      </c>
      <c r="BK29" s="19">
        <f t="shared" si="16"/>
        <v>1.6934570345204178</v>
      </c>
      <c r="BL29" s="19">
        <f t="shared" si="17"/>
        <v>992.74220981658323</v>
      </c>
      <c r="BM29" s="19">
        <f t="shared" si="18"/>
        <v>6421.045635804865</v>
      </c>
      <c r="BN29" s="53">
        <f t="shared" si="19"/>
        <v>540.36061067828632</v>
      </c>
      <c r="BO29" s="53">
        <f t="shared" si="86"/>
        <v>530.45516529889858</v>
      </c>
      <c r="BP29" s="53">
        <f t="shared" si="87"/>
        <v>731.83890919642613</v>
      </c>
      <c r="BQ29" s="19">
        <f t="shared" si="88"/>
        <v>10195.21150501896</v>
      </c>
      <c r="BR29" s="19">
        <f t="shared" si="20"/>
        <v>0</v>
      </c>
      <c r="BS29" s="53">
        <f t="shared" si="21"/>
        <v>10195.21150501896</v>
      </c>
      <c r="BT29" s="56">
        <f t="shared" si="22"/>
        <v>1.6782095877176704</v>
      </c>
      <c r="BU29" s="43">
        <f t="shared" si="23"/>
        <v>14.975314065357592</v>
      </c>
      <c r="BV29" s="43">
        <f t="shared" si="24"/>
        <v>0</v>
      </c>
      <c r="BW29" s="43">
        <f t="shared" si="25"/>
        <v>81.665636753939282</v>
      </c>
      <c r="BX29" s="43">
        <f t="shared" si="26"/>
        <v>30.482226621367531</v>
      </c>
      <c r="BY29" s="58">
        <f t="shared" si="27"/>
        <v>13.49601468861265</v>
      </c>
      <c r="BZ29" s="58">
        <f t="shared" si="28"/>
        <v>195.7683054559636</v>
      </c>
      <c r="CA29" s="58">
        <f t="shared" si="29"/>
        <v>95.504014515204986</v>
      </c>
      <c r="CB29" s="58">
        <f t="shared" si="89"/>
        <v>87.609409442547516</v>
      </c>
      <c r="CC29" s="58">
        <f t="shared" si="90"/>
        <v>101.10150939373641</v>
      </c>
      <c r="CD29" s="58">
        <f t="shared" si="91"/>
        <v>622.28064052444722</v>
      </c>
      <c r="CE29" s="58">
        <f t="shared" si="30"/>
        <v>0</v>
      </c>
      <c r="CF29" s="58">
        <f t="shared" si="92"/>
        <v>622.28064052444722</v>
      </c>
      <c r="CG29" s="127">
        <v>66</v>
      </c>
      <c r="CH29" s="128" t="s">
        <v>169</v>
      </c>
      <c r="CI29" s="128"/>
      <c r="CJ29" s="126">
        <f t="shared" si="93"/>
        <v>26</v>
      </c>
      <c r="CK29" s="126">
        <f t="shared" si="95"/>
        <v>63</v>
      </c>
      <c r="CN29" s="147">
        <f t="shared" si="31"/>
        <v>9.1576339860277509E-3</v>
      </c>
      <c r="CO29" s="147">
        <f t="shared" si="32"/>
        <v>8.1717114501093688E-2</v>
      </c>
      <c r="CP29" s="147">
        <f t="shared" si="33"/>
        <v>0</v>
      </c>
      <c r="CQ29" s="31">
        <f>(AI29-(P29*450/1000000))*Parameters!$C$153</f>
        <v>0.30682849672712886</v>
      </c>
      <c r="CR29" s="31">
        <f t="shared" si="34"/>
        <v>7.3644891372865326E-2</v>
      </c>
      <c r="CS29" s="31">
        <f t="shared" si="35"/>
        <v>1.0682661453917266</v>
      </c>
      <c r="CT29" s="31">
        <f>AM29*Parameters!$C$154</f>
        <v>0.46903064669315742</v>
      </c>
      <c r="CU29" s="31">
        <f>AQ29*Parameters!$C$155</f>
        <v>0</v>
      </c>
      <c r="CV29" s="31">
        <f t="shared" si="36"/>
        <v>2.0086449286719996</v>
      </c>
      <c r="CW29" s="188">
        <f t="shared" si="37"/>
        <v>59.153411844928527</v>
      </c>
      <c r="CY29" s="181">
        <v>0</v>
      </c>
      <c r="CZ29" s="181">
        <v>16.510348467696193</v>
      </c>
      <c r="DA29" s="181">
        <v>5.4618835588530308</v>
      </c>
      <c r="DB29" s="181">
        <v>4.0636275867557083</v>
      </c>
      <c r="DC29" s="181">
        <v>4.8701389743100121</v>
      </c>
      <c r="DD29" s="181">
        <v>24.831505735787477</v>
      </c>
      <c r="DE29" s="181">
        <v>3.2693436343353035</v>
      </c>
      <c r="DF29" s="181">
        <v>2.3239921615160801</v>
      </c>
      <c r="DG29" s="181">
        <v>6.1905366900619008</v>
      </c>
      <c r="DH29" s="181">
        <v>5.5933357958513836</v>
      </c>
      <c r="DI29" s="181">
        <v>39.227155855706229</v>
      </c>
      <c r="DJ29" s="181">
        <v>16.510348467696193</v>
      </c>
      <c r="DK29" s="181">
        <v>67.521376809315711</v>
      </c>
      <c r="DL29" s="181"/>
      <c r="DM29" s="181">
        <v>0</v>
      </c>
      <c r="DN29" s="181">
        <v>2.7880518737439179</v>
      </c>
      <c r="DO29" s="181">
        <v>8.2802913669701494E-2</v>
      </c>
      <c r="DP29" s="181">
        <v>1.2344473698062273</v>
      </c>
      <c r="DQ29" s="181">
        <v>0.16093066480393142</v>
      </c>
      <c r="DR29" s="181">
        <v>7.6335034829195505E-3</v>
      </c>
      <c r="DS29" s="181">
        <v>0.30444655686282962</v>
      </c>
      <c r="DT29" s="181">
        <v>1.47818094827986</v>
      </c>
      <c r="DU29" s="181">
        <v>2.7880518737439179</v>
      </c>
      <c r="DV29" s="181">
        <v>4.5783128823695272</v>
      </c>
      <c r="DW29" s="181">
        <v>4.5783128823695272</v>
      </c>
      <c r="DX29" s="181"/>
      <c r="DY29" s="181">
        <v>0</v>
      </c>
      <c r="DZ29" s="181">
        <v>1.9516363116207425</v>
      </c>
      <c r="EA29" s="181">
        <v>8.2802913669701494E-2</v>
      </c>
      <c r="EB29" s="181">
        <v>1.2344473698062273</v>
      </c>
      <c r="EC29" s="181">
        <v>8.7038629127148048E-2</v>
      </c>
      <c r="ED29" s="181">
        <v>7.6335034829195505E-3</v>
      </c>
      <c r="EE29" s="181">
        <v>0.14321037821602353</v>
      </c>
      <c r="EF29" s="181">
        <v>1.4042889126030769</v>
      </c>
      <c r="EG29" s="181">
        <v>1.9516363116207425</v>
      </c>
      <c r="EH29" s="181">
        <v>3.5067691059227624</v>
      </c>
      <c r="EJ29" s="31">
        <f t="shared" si="38"/>
        <v>1.6782095877176703E-3</v>
      </c>
      <c r="EK29" s="31">
        <f t="shared" si="39"/>
        <v>1.4975314065357593E-2</v>
      </c>
      <c r="EL29" s="31">
        <f t="shared" si="40"/>
        <v>0</v>
      </c>
      <c r="EM29" s="31">
        <f t="shared" si="41"/>
        <v>5.622877325934951E-2</v>
      </c>
      <c r="EN29" s="31">
        <f t="shared" si="42"/>
        <v>1.349601468861265E-2</v>
      </c>
      <c r="EO29" s="31">
        <f t="shared" si="43"/>
        <v>0.19576830545596358</v>
      </c>
      <c r="EP29" s="31">
        <f t="shared" si="44"/>
        <v>8.5953613063684486E-2</v>
      </c>
      <c r="EQ29" s="31">
        <f t="shared" si="45"/>
        <v>0</v>
      </c>
      <c r="ER29" s="31">
        <f t="shared" si="46"/>
        <v>0.36810023012068555</v>
      </c>
      <c r="ES29" s="31">
        <f t="shared" si="47"/>
        <v>10.840335293574183</v>
      </c>
      <c r="ET29" s="31"/>
      <c r="EU29" s="31">
        <f t="shared" si="48"/>
        <v>0</v>
      </c>
      <c r="EV29" s="31">
        <f t="shared" si="49"/>
        <v>3.0256532568699162</v>
      </c>
      <c r="EW29" s="31">
        <f t="shared" si="50"/>
        <v>1.0009337968136707</v>
      </c>
      <c r="EX29" s="31">
        <f t="shared" si="51"/>
        <v>0.74469221934535423</v>
      </c>
      <c r="EY29" s="31">
        <f t="shared" si="52"/>
        <v>0.89249187428485144</v>
      </c>
      <c r="EZ29" s="31">
        <f t="shared" si="53"/>
        <v>4.550571803464365</v>
      </c>
      <c r="FA29" s="31">
        <f t="shared" si="54"/>
        <v>0.59913333957837578</v>
      </c>
      <c r="FB29" s="31">
        <f t="shared" si="55"/>
        <v>0.42589012982912849</v>
      </c>
      <c r="FC29" s="31">
        <f t="shared" si="56"/>
        <v>1.1344653042730171</v>
      </c>
      <c r="FD29" s="31">
        <f t="shared" si="57"/>
        <v>1.0250234694075042</v>
      </c>
      <c r="FE29" s="31">
        <f t="shared" si="58"/>
        <v>7.1886896939082421</v>
      </c>
      <c r="FF29" s="31">
        <f t="shared" si="59"/>
        <v>3.0256532568699162</v>
      </c>
      <c r="FG29" s="31">
        <f t="shared" si="60"/>
        <v>12.373831724458681</v>
      </c>
      <c r="FH29" s="31"/>
      <c r="FI29" s="31">
        <f t="shared" si="61"/>
        <v>0</v>
      </c>
      <c r="FJ29" s="31">
        <f t="shared" si="62"/>
        <v>0.51093277943955162</v>
      </c>
      <c r="FK29" s="31">
        <f t="shared" si="63"/>
        <v>1.5174295437388153E-2</v>
      </c>
      <c r="FL29" s="31">
        <f t="shared" si="64"/>
        <v>0.22622234244156364</v>
      </c>
      <c r="FM29" s="31">
        <f t="shared" si="65"/>
        <v>2.9491829990563448E-2</v>
      </c>
      <c r="FN29" s="31">
        <f t="shared" si="66"/>
        <v>1.3989004968376773E-3</v>
      </c>
      <c r="FO29" s="31">
        <f t="shared" si="67"/>
        <v>5.5792263750044715E-2</v>
      </c>
      <c r="FP29" s="31">
        <f t="shared" si="68"/>
        <v>0.27088846786951515</v>
      </c>
      <c r="FQ29" s="31">
        <f t="shared" si="69"/>
        <v>0.51093277943955162</v>
      </c>
      <c r="FR29" s="31">
        <f t="shared" si="70"/>
        <v>0.83901241155594919</v>
      </c>
      <c r="FS29" s="31">
        <f t="shared" si="71"/>
        <v>0.83901241155594919</v>
      </c>
      <c r="FT29" s="31"/>
      <c r="FU29" s="31">
        <f t="shared" si="72"/>
        <v>0</v>
      </c>
      <c r="FV29" s="31">
        <f t="shared" si="73"/>
        <v>0.35765294560768607</v>
      </c>
      <c r="FW29" s="31">
        <f t="shared" si="74"/>
        <v>1.5174295437388153E-2</v>
      </c>
      <c r="FX29" s="31">
        <f t="shared" si="75"/>
        <v>0.22622234244156364</v>
      </c>
      <c r="FY29" s="31">
        <f t="shared" si="76"/>
        <v>1.5950524133837084E-2</v>
      </c>
      <c r="FZ29" s="31">
        <f t="shared" si="77"/>
        <v>1.3989004968376773E-3</v>
      </c>
      <c r="GA29" s="31">
        <f t="shared" si="78"/>
        <v>2.6244445907043064E-2</v>
      </c>
      <c r="GB29" s="31">
        <f t="shared" si="79"/>
        <v>0.25734716201278884</v>
      </c>
      <c r="GC29" s="31">
        <f t="shared" si="80"/>
        <v>0.35765294560768607</v>
      </c>
      <c r="GD29" s="31">
        <f t="shared" si="81"/>
        <v>0.64264345402435563</v>
      </c>
    </row>
    <row r="30" spans="1:186">
      <c r="A30" s="39" t="str">
        <f>Basicinfo!A30</f>
        <v>Gosaubach</v>
      </c>
      <c r="B30" s="63">
        <f>Basicinfo!B30</f>
        <v>1220</v>
      </c>
      <c r="C30" s="63">
        <f>Basicinfo!C30</f>
        <v>4010</v>
      </c>
      <c r="D30" s="227">
        <v>110.88603643899999</v>
      </c>
      <c r="E30" s="89">
        <v>6.7734858766506187</v>
      </c>
      <c r="F30" s="27">
        <v>9.3844212998585974E-2</v>
      </c>
      <c r="G30" s="19">
        <v>1.8520983875317565</v>
      </c>
      <c r="H30" s="19">
        <v>0.1184841479697276</v>
      </c>
      <c r="I30" s="19">
        <v>1.8104716051487516E-2</v>
      </c>
      <c r="J30" s="19">
        <v>4.6845286505994483</v>
      </c>
      <c r="K30" s="19">
        <v>1.5839445743969049E-3</v>
      </c>
      <c r="L30" s="19">
        <v>2.8349694884867915E-3</v>
      </c>
      <c r="M30" s="19">
        <v>2.0068474367296038E-3</v>
      </c>
      <c r="N30" s="19">
        <v>6.7734858766506187</v>
      </c>
      <c r="O30" s="19">
        <v>0</v>
      </c>
      <c r="P30" s="56">
        <v>7.2529678013579542</v>
      </c>
      <c r="Q30" s="43">
        <v>7631.0524542391004</v>
      </c>
      <c r="R30" s="88">
        <v>7638.3054220404583</v>
      </c>
      <c r="S30" s="61">
        <v>2.3483853336009295</v>
      </c>
      <c r="T30" s="19">
        <v>31.631396650279068</v>
      </c>
      <c r="U30" s="19">
        <v>2.0235528090446353</v>
      </c>
      <c r="V30" s="19">
        <v>5.4680781825931495E-2</v>
      </c>
      <c r="W30" s="19">
        <v>0.19077631135597753</v>
      </c>
      <c r="X30" s="19">
        <v>0.57976874017689928</v>
      </c>
      <c r="Y30" s="19">
        <v>76.779984679220021</v>
      </c>
      <c r="Z30" s="19">
        <v>6.4319758802805702E-2</v>
      </c>
      <c r="AA30" s="19">
        <v>1.3638271203971652</v>
      </c>
      <c r="AB30" s="19">
        <v>0.12830682030224466</v>
      </c>
      <c r="AC30" s="19">
        <v>115.16499900500568</v>
      </c>
      <c r="AD30" s="19">
        <v>0</v>
      </c>
      <c r="AE30" s="87">
        <v>115.16499900500568</v>
      </c>
      <c r="AF30" s="56">
        <v>7.8045125407110616E-2</v>
      </c>
      <c r="AG30" s="43">
        <v>0.87374104352562887</v>
      </c>
      <c r="AH30" s="43">
        <v>2.8816132574867617E-2</v>
      </c>
      <c r="AI30" s="43">
        <v>1.04675942540342E-2</v>
      </c>
      <c r="AJ30" s="43">
        <v>4.4441592570137889</v>
      </c>
      <c r="AK30" s="43">
        <v>0.10317277311259448</v>
      </c>
      <c r="AL30" s="58">
        <v>0.5962248479449036</v>
      </c>
      <c r="AM30" s="43">
        <v>1.9522618195001309E-2</v>
      </c>
      <c r="AN30" s="42">
        <v>0.23558376949801074</v>
      </c>
      <c r="AO30" s="42">
        <v>2.2791001471679766E-2</v>
      </c>
      <c r="AP30" s="42">
        <v>6.4125241629976202</v>
      </c>
      <c r="AQ30" s="43">
        <v>0</v>
      </c>
      <c r="AR30" s="83">
        <v>6.4125241629976202</v>
      </c>
      <c r="AS30" s="19">
        <f t="shared" si="2"/>
        <v>26.689303686595874</v>
      </c>
      <c r="AT30" s="19">
        <f t="shared" si="3"/>
        <v>526.73696909829061</v>
      </c>
      <c r="AU30" s="19">
        <f t="shared" si="4"/>
        <v>33.696903689301237</v>
      </c>
      <c r="AV30" s="19">
        <f t="shared" si="5"/>
        <v>5.1489830797027212</v>
      </c>
      <c r="AW30" s="19">
        <f t="shared" si="6"/>
        <v>1332.2804229419212</v>
      </c>
      <c r="AX30" s="53">
        <f t="shared" si="82"/>
        <v>0.45047399746910155</v>
      </c>
      <c r="AY30" s="53">
        <f t="shared" si="83"/>
        <v>0.80626560981013751</v>
      </c>
      <c r="AZ30" s="53">
        <f t="shared" si="84"/>
        <v>0.57074761437180954</v>
      </c>
      <c r="BA30" s="19">
        <f t="shared" si="85"/>
        <v>1926.3800697174629</v>
      </c>
      <c r="BB30" s="19">
        <f t="shared" si="7"/>
        <v>0</v>
      </c>
      <c r="BC30" s="53">
        <f t="shared" si="8"/>
        <v>1926.3800697174629</v>
      </c>
      <c r="BD30" s="56">
        <f t="shared" si="9"/>
        <v>0.65409207816242187</v>
      </c>
      <c r="BE30" s="43">
        <f t="shared" si="10"/>
        <v>688.18876562848857</v>
      </c>
      <c r="BF30" s="58">
        <f t="shared" si="11"/>
        <v>688.84285770665099</v>
      </c>
      <c r="BG30" s="61">
        <f t="shared" si="12"/>
        <v>211.78368431383242</v>
      </c>
      <c r="BH30" s="19">
        <f t="shared" si="13"/>
        <v>2852.604138996343</v>
      </c>
      <c r="BI30" s="19">
        <f t="shared" si="14"/>
        <v>182.48941652430878</v>
      </c>
      <c r="BJ30" s="19">
        <f t="shared" si="15"/>
        <v>4.9312594788264601</v>
      </c>
      <c r="BK30" s="19">
        <f t="shared" si="16"/>
        <v>17.204719140712214</v>
      </c>
      <c r="BL30" s="19">
        <f t="shared" si="17"/>
        <v>52.285099079705894</v>
      </c>
      <c r="BM30" s="19">
        <f t="shared" si="18"/>
        <v>6924.2248298285776</v>
      </c>
      <c r="BN30" s="53">
        <f t="shared" si="19"/>
        <v>5.8005282602186732</v>
      </c>
      <c r="BO30" s="53">
        <f t="shared" si="86"/>
        <v>122.99358550410682</v>
      </c>
      <c r="BP30" s="53">
        <f t="shared" si="87"/>
        <v>11.571052985812878</v>
      </c>
      <c r="BQ30" s="19">
        <f t="shared" si="88"/>
        <v>10385.888314112446</v>
      </c>
      <c r="BR30" s="19">
        <f t="shared" si="20"/>
        <v>0</v>
      </c>
      <c r="BS30" s="53">
        <f t="shared" si="21"/>
        <v>10385.888314112446</v>
      </c>
      <c r="BT30" s="56">
        <f t="shared" si="22"/>
        <v>7.0383186119240868</v>
      </c>
      <c r="BU30" s="43">
        <f t="shared" si="23"/>
        <v>78.796309398820142</v>
      </c>
      <c r="BV30" s="43">
        <f t="shared" si="24"/>
        <v>2.5987160782611056</v>
      </c>
      <c r="BW30" s="43">
        <f t="shared" si="25"/>
        <v>0.94399570858433324</v>
      </c>
      <c r="BX30" s="43">
        <f t="shared" si="26"/>
        <v>400.78619452311153</v>
      </c>
      <c r="BY30" s="58">
        <f t="shared" si="27"/>
        <v>9.3043972375504023</v>
      </c>
      <c r="BZ30" s="58">
        <f t="shared" si="28"/>
        <v>53.769154989401706</v>
      </c>
      <c r="CA30" s="58">
        <f t="shared" si="29"/>
        <v>1.760602039891739</v>
      </c>
      <c r="CB30" s="58">
        <f t="shared" si="89"/>
        <v>21.245575823932416</v>
      </c>
      <c r="CC30" s="58">
        <f t="shared" si="90"/>
        <v>2.0553536047992318</v>
      </c>
      <c r="CD30" s="58">
        <f t="shared" si="91"/>
        <v>578.29861801627681</v>
      </c>
      <c r="CE30" s="58">
        <f t="shared" si="30"/>
        <v>0</v>
      </c>
      <c r="CF30" s="58">
        <f t="shared" si="92"/>
        <v>578.29861801627681</v>
      </c>
      <c r="CG30" s="127">
        <v>61</v>
      </c>
      <c r="CH30" s="128" t="s">
        <v>169</v>
      </c>
      <c r="CI30" s="128"/>
      <c r="CJ30" s="126">
        <f t="shared" si="93"/>
        <v>27</v>
      </c>
      <c r="CK30" s="126">
        <f t="shared" si="95"/>
        <v>58</v>
      </c>
      <c r="CN30" s="147">
        <f t="shared" si="31"/>
        <v>7.8045125407110616E-2</v>
      </c>
      <c r="CO30" s="147">
        <f t="shared" si="32"/>
        <v>0.87374104352562887</v>
      </c>
      <c r="CP30" s="147">
        <f t="shared" si="33"/>
        <v>2.8816132574867617E-2</v>
      </c>
      <c r="CQ30" s="31">
        <f>(AI30-(P30*450/1000000))*Parameters!$C$153</f>
        <v>5.7630069947384975E-3</v>
      </c>
      <c r="CR30" s="31">
        <f t="shared" si="34"/>
        <v>0.10317277311259448</v>
      </c>
      <c r="CS30" s="31">
        <f t="shared" si="35"/>
        <v>0.5962248479449036</v>
      </c>
      <c r="CT30" s="31">
        <f>AM30*Parameters!$C$154</f>
        <v>1.7570356375501178E-2</v>
      </c>
      <c r="CU30" s="31">
        <f>AQ30*Parameters!$C$155</f>
        <v>0</v>
      </c>
      <c r="CV30" s="31">
        <f t="shared" si="36"/>
        <v>1.7033332859353449</v>
      </c>
      <c r="CW30" s="188">
        <f t="shared" si="37"/>
        <v>26.562602224006266</v>
      </c>
      <c r="CY30" s="181">
        <v>0</v>
      </c>
      <c r="CZ30" s="181">
        <v>1.6917295791411289</v>
      </c>
      <c r="DA30" s="181">
        <v>53.151609805949803</v>
      </c>
      <c r="DB30" s="181">
        <v>1.4970207247811183</v>
      </c>
      <c r="DC30" s="181">
        <v>0.63152001725265139</v>
      </c>
      <c r="DD30" s="181">
        <v>12.298926730132266</v>
      </c>
      <c r="DE30" s="181">
        <v>39.708750522601953</v>
      </c>
      <c r="DF30" s="181">
        <v>1.0660588154786428</v>
      </c>
      <c r="DG30" s="181">
        <v>10.090583822558902</v>
      </c>
      <c r="DH30" s="181">
        <v>40.774809338080594</v>
      </c>
      <c r="DI30" s="181">
        <v>67.579077278115847</v>
      </c>
      <c r="DJ30" s="181">
        <v>1.6917295791411289</v>
      </c>
      <c r="DK30" s="181">
        <v>120.13620001789647</v>
      </c>
      <c r="DL30" s="181"/>
      <c r="DM30" s="181">
        <v>0</v>
      </c>
      <c r="DN30" s="181">
        <v>0.29820997992408771</v>
      </c>
      <c r="DO30" s="181">
        <v>9.5489466364181621E-3</v>
      </c>
      <c r="DP30" s="181">
        <v>0.30731521338244772</v>
      </c>
      <c r="DQ30" s="181">
        <v>1.3016732639647977E-3</v>
      </c>
      <c r="DR30" s="181">
        <v>4.0351880992841552E-2</v>
      </c>
      <c r="DS30" s="181">
        <v>3.6616367174841855</v>
      </c>
      <c r="DT30" s="181">
        <v>0.31816583328283121</v>
      </c>
      <c r="DU30" s="181">
        <v>0.29820997992408771</v>
      </c>
      <c r="DV30" s="181">
        <v>4.3183644116839464</v>
      </c>
      <c r="DW30" s="181">
        <v>4.3183644116839455</v>
      </c>
      <c r="DX30" s="181"/>
      <c r="DY30" s="181">
        <v>0</v>
      </c>
      <c r="DZ30" s="181">
        <v>0.20874698594686139</v>
      </c>
      <c r="EA30" s="181">
        <v>9.5489466364181621E-3</v>
      </c>
      <c r="EB30" s="181">
        <v>0.30731521338244772</v>
      </c>
      <c r="EC30" s="181">
        <v>1.9006283283455327E-3</v>
      </c>
      <c r="ED30" s="181">
        <v>4.0351880992841552E-2</v>
      </c>
      <c r="EE30" s="181">
        <v>0.20661840904673423</v>
      </c>
      <c r="EF30" s="181">
        <v>0.31876478834721139</v>
      </c>
      <c r="EG30" s="181">
        <v>0.20874698594686139</v>
      </c>
      <c r="EH30" s="181">
        <v>0.77448206433364852</v>
      </c>
      <c r="EJ30" s="31">
        <f t="shared" si="38"/>
        <v>7.0383186119240869E-3</v>
      </c>
      <c r="EK30" s="31">
        <f t="shared" si="39"/>
        <v>7.8796309398820152E-2</v>
      </c>
      <c r="EL30" s="31">
        <f t="shared" si="40"/>
        <v>2.5987160782611064E-3</v>
      </c>
      <c r="EM30" s="31">
        <f t="shared" si="41"/>
        <v>5.1972341872899488E-4</v>
      </c>
      <c r="EN30" s="31">
        <f t="shared" si="42"/>
        <v>9.3043972375504019E-3</v>
      </c>
      <c r="EO30" s="31">
        <f t="shared" si="43"/>
        <v>5.3769154989401706E-2</v>
      </c>
      <c r="EP30" s="31">
        <f t="shared" si="44"/>
        <v>1.5845418359025651E-3</v>
      </c>
      <c r="EQ30" s="31">
        <f t="shared" si="45"/>
        <v>0</v>
      </c>
      <c r="ER30" s="31">
        <f t="shared" si="46"/>
        <v>0.15361116157058902</v>
      </c>
      <c r="ES30" s="31">
        <f t="shared" si="47"/>
        <v>2.395486670552855</v>
      </c>
      <c r="ET30" s="31"/>
      <c r="EU30" s="31">
        <f t="shared" si="48"/>
        <v>0</v>
      </c>
      <c r="EV30" s="31">
        <f t="shared" si="49"/>
        <v>0.15256470818774134</v>
      </c>
      <c r="EW30" s="31">
        <f t="shared" si="50"/>
        <v>4.7933546470649864</v>
      </c>
      <c r="EX30" s="31">
        <f t="shared" si="51"/>
        <v>0.13500534177760523</v>
      </c>
      <c r="EY30" s="31">
        <f t="shared" si="52"/>
        <v>5.6952167967520388E-2</v>
      </c>
      <c r="EZ30" s="31">
        <f t="shared" si="53"/>
        <v>1.1091501802301393</v>
      </c>
      <c r="FA30" s="31">
        <f t="shared" si="54"/>
        <v>3.5810415628343168</v>
      </c>
      <c r="FB30" s="31">
        <f t="shared" si="55"/>
        <v>9.614004158811261E-2</v>
      </c>
      <c r="FC30" s="31">
        <f t="shared" si="56"/>
        <v>0.90999589728413421</v>
      </c>
      <c r="FD30" s="31">
        <f t="shared" si="57"/>
        <v>3.6771816044224295</v>
      </c>
      <c r="FE30" s="31">
        <f t="shared" si="58"/>
        <v>6.0944623370402518</v>
      </c>
      <c r="FF30" s="31">
        <f t="shared" si="59"/>
        <v>0.15256470818774134</v>
      </c>
      <c r="FG30" s="31">
        <f t="shared" si="60"/>
        <v>10.834204546934556</v>
      </c>
      <c r="FH30" s="31"/>
      <c r="FI30" s="31">
        <f t="shared" si="61"/>
        <v>0</v>
      </c>
      <c r="FJ30" s="31">
        <f t="shared" si="62"/>
        <v>2.6893375351921548E-2</v>
      </c>
      <c r="FK30" s="31">
        <f t="shared" si="63"/>
        <v>8.611496039603846E-4</v>
      </c>
      <c r="FL30" s="31">
        <f t="shared" si="64"/>
        <v>2.7714509712095829E-2</v>
      </c>
      <c r="FM30" s="31">
        <f t="shared" si="65"/>
        <v>1.1738838412543198E-4</v>
      </c>
      <c r="FN30" s="31">
        <f t="shared" si="66"/>
        <v>3.6390407925744285E-3</v>
      </c>
      <c r="FO30" s="31">
        <f t="shared" si="67"/>
        <v>0.33021621432906967</v>
      </c>
      <c r="FP30" s="31">
        <f t="shared" si="68"/>
        <v>2.869304770018169E-2</v>
      </c>
      <c r="FQ30" s="31">
        <f t="shared" si="69"/>
        <v>2.6893375351921548E-2</v>
      </c>
      <c r="FR30" s="31">
        <f t="shared" si="70"/>
        <v>0.38944167817374742</v>
      </c>
      <c r="FS30" s="31">
        <f t="shared" si="71"/>
        <v>0.38944167817374731</v>
      </c>
      <c r="FT30" s="31"/>
      <c r="FU30" s="31">
        <f t="shared" si="72"/>
        <v>0</v>
      </c>
      <c r="FV30" s="31">
        <f t="shared" si="73"/>
        <v>1.8825362746345081E-2</v>
      </c>
      <c r="FW30" s="31">
        <f t="shared" si="74"/>
        <v>8.611496039603846E-4</v>
      </c>
      <c r="FX30" s="31">
        <f t="shared" si="75"/>
        <v>2.7714509712095829E-2</v>
      </c>
      <c r="FY30" s="31">
        <f t="shared" si="76"/>
        <v>1.7140375735145839E-4</v>
      </c>
      <c r="FZ30" s="31">
        <f t="shared" si="77"/>
        <v>3.6390407925744285E-3</v>
      </c>
      <c r="GA30" s="31">
        <f t="shared" si="78"/>
        <v>1.8633401975766174E-2</v>
      </c>
      <c r="GB30" s="31">
        <f t="shared" si="79"/>
        <v>2.8747063073407669E-2</v>
      </c>
      <c r="GC30" s="31">
        <f t="shared" si="80"/>
        <v>1.8825362746345081E-2</v>
      </c>
      <c r="GD30" s="31">
        <f t="shared" si="81"/>
        <v>6.9844868588093356E-2</v>
      </c>
    </row>
    <row r="31" spans="1:186">
      <c r="A31" s="39" t="str">
        <f>Basicinfo!A31</f>
        <v>Ischler Ache</v>
      </c>
      <c r="B31" s="63">
        <f>Basicinfo!B31</f>
        <v>1230</v>
      </c>
      <c r="C31" s="63">
        <f>Basicinfo!C31</f>
        <v>4010</v>
      </c>
      <c r="D31" s="227">
        <v>253.62590142799999</v>
      </c>
      <c r="E31" s="89">
        <v>11.489465211834601</v>
      </c>
      <c r="F31" s="27">
        <v>0.52943352385054721</v>
      </c>
      <c r="G31" s="19">
        <v>2.9027471660200033</v>
      </c>
      <c r="H31" s="19">
        <v>1.5300673167880566E-2</v>
      </c>
      <c r="I31" s="19">
        <v>3.2399054796206188E-2</v>
      </c>
      <c r="J31" s="19">
        <v>7.97415745925192</v>
      </c>
      <c r="K31" s="19">
        <v>9.3887829123465733E-3</v>
      </c>
      <c r="L31" s="19">
        <v>1.4986773162044527E-2</v>
      </c>
      <c r="M31" s="19">
        <v>1.1051778673652314E-2</v>
      </c>
      <c r="N31" s="19">
        <v>11.489465211834601</v>
      </c>
      <c r="O31" s="19">
        <v>0</v>
      </c>
      <c r="P31" s="56">
        <v>16.584375802747445</v>
      </c>
      <c r="Q31" s="43">
        <v>1817.4037136428053</v>
      </c>
      <c r="R31" s="88">
        <v>1833.9880894455528</v>
      </c>
      <c r="S31" s="61">
        <v>22.420481661115069</v>
      </c>
      <c r="T31" s="19">
        <v>76.370916250741317</v>
      </c>
      <c r="U31" s="19">
        <v>0.40254926133784003</v>
      </c>
      <c r="V31" s="19">
        <v>0.28447510906783258</v>
      </c>
      <c r="W31" s="19">
        <v>4.5435092841070134E-2</v>
      </c>
      <c r="X31" s="19">
        <v>2.3786953106991793</v>
      </c>
      <c r="Y31" s="19">
        <v>198.26066900715705</v>
      </c>
      <c r="Z31" s="19">
        <v>0.46713467331020825</v>
      </c>
      <c r="AA31" s="19">
        <v>6.6519759300239301</v>
      </c>
      <c r="AB31" s="19">
        <v>0.7888764795938582</v>
      </c>
      <c r="AC31" s="19">
        <v>308.07120877588738</v>
      </c>
      <c r="AD31" s="19">
        <v>0</v>
      </c>
      <c r="AE31" s="87">
        <v>308.07120877588738</v>
      </c>
      <c r="AF31" s="56">
        <v>0.53452295108844272</v>
      </c>
      <c r="AG31" s="43">
        <v>1.5057313339849754</v>
      </c>
      <c r="AH31" s="43">
        <v>2.956247135095744E-3</v>
      </c>
      <c r="AI31" s="43">
        <v>7.1248613897052671E-2</v>
      </c>
      <c r="AJ31" s="43">
        <v>0.82307961551585207</v>
      </c>
      <c r="AK31" s="43">
        <v>0.54195871074959867</v>
      </c>
      <c r="AL31" s="58">
        <v>1.25702208602073</v>
      </c>
      <c r="AM31" s="43">
        <v>0.12182778929529926</v>
      </c>
      <c r="AN31" s="42">
        <v>1.1451892592151165</v>
      </c>
      <c r="AO31" s="42">
        <v>0.13259002144667503</v>
      </c>
      <c r="AP31" s="42">
        <v>6.1361266283488378</v>
      </c>
      <c r="AQ31" s="43">
        <v>0</v>
      </c>
      <c r="AR31" s="83">
        <v>6.1361266283488378</v>
      </c>
      <c r="AS31" s="19">
        <f t="shared" si="2"/>
        <v>65.830088780938738</v>
      </c>
      <c r="AT31" s="19">
        <f t="shared" si="3"/>
        <v>360.92936136332958</v>
      </c>
      <c r="AU31" s="19">
        <f t="shared" si="4"/>
        <v>1.9024950776143863</v>
      </c>
      <c r="AV31" s="19">
        <f t="shared" si="5"/>
        <v>4.0285183267972</v>
      </c>
      <c r="AW31" s="19">
        <f t="shared" si="6"/>
        <v>991.51162487383954</v>
      </c>
      <c r="AX31" s="53">
        <f t="shared" si="82"/>
        <v>1.1674070205633742</v>
      </c>
      <c r="AY31" s="53">
        <f t="shared" si="83"/>
        <v>1.8634645585376288</v>
      </c>
      <c r="AZ31" s="53">
        <f t="shared" si="84"/>
        <v>1.3741849325718047</v>
      </c>
      <c r="BA31" s="19">
        <f t="shared" si="85"/>
        <v>1428.6071449341921</v>
      </c>
      <c r="BB31" s="19">
        <f t="shared" si="7"/>
        <v>0</v>
      </c>
      <c r="BC31" s="53">
        <f t="shared" si="8"/>
        <v>1428.6071449341921</v>
      </c>
      <c r="BD31" s="56">
        <f t="shared" si="9"/>
        <v>0.65389125122362401</v>
      </c>
      <c r="BE31" s="43">
        <f t="shared" si="10"/>
        <v>71.656865620199071</v>
      </c>
      <c r="BF31" s="58">
        <f t="shared" si="11"/>
        <v>72.310756871422697</v>
      </c>
      <c r="BG31" s="61">
        <f t="shared" si="12"/>
        <v>883.9981064583759</v>
      </c>
      <c r="BH31" s="19">
        <f t="shared" si="13"/>
        <v>3011.16391585982</v>
      </c>
      <c r="BI31" s="19">
        <f t="shared" si="14"/>
        <v>15.871772522891035</v>
      </c>
      <c r="BJ31" s="19">
        <f t="shared" si="15"/>
        <v>11.216327175818442</v>
      </c>
      <c r="BK31" s="19">
        <f t="shared" si="16"/>
        <v>1.791421640504977</v>
      </c>
      <c r="BL31" s="19">
        <f t="shared" si="17"/>
        <v>93.787554713706939</v>
      </c>
      <c r="BM31" s="19">
        <f t="shared" si="18"/>
        <v>7817.0513299659906</v>
      </c>
      <c r="BN31" s="53">
        <f t="shared" si="19"/>
        <v>18.418255812205352</v>
      </c>
      <c r="BO31" s="53">
        <f t="shared" si="86"/>
        <v>262.2751025258479</v>
      </c>
      <c r="BP31" s="53">
        <f t="shared" si="87"/>
        <v>31.103939903307023</v>
      </c>
      <c r="BQ31" s="19">
        <f t="shared" si="88"/>
        <v>12146.677726578468</v>
      </c>
      <c r="BR31" s="19">
        <f t="shared" si="20"/>
        <v>0</v>
      </c>
      <c r="BS31" s="53">
        <f t="shared" si="21"/>
        <v>12146.677726578468</v>
      </c>
      <c r="BT31" s="56">
        <f t="shared" si="22"/>
        <v>21.075250913999589</v>
      </c>
      <c r="BU31" s="43">
        <f t="shared" si="23"/>
        <v>59.368200389124155</v>
      </c>
      <c r="BV31" s="43">
        <f t="shared" si="24"/>
        <v>0.11655935448434361</v>
      </c>
      <c r="BW31" s="43">
        <f t="shared" si="25"/>
        <v>2.80920101203776</v>
      </c>
      <c r="BX31" s="43">
        <f t="shared" si="26"/>
        <v>32.452506265394589</v>
      </c>
      <c r="BY31" s="58">
        <f t="shared" si="27"/>
        <v>21.368429158780195</v>
      </c>
      <c r="BZ31" s="58">
        <f t="shared" si="28"/>
        <v>49.562054937735795</v>
      </c>
      <c r="CA31" s="58">
        <f t="shared" si="29"/>
        <v>4.8034443094876123</v>
      </c>
      <c r="CB31" s="58">
        <f t="shared" si="89"/>
        <v>45.152693505170873</v>
      </c>
      <c r="CC31" s="58">
        <f t="shared" si="90"/>
        <v>5.2277792094635513</v>
      </c>
      <c r="CD31" s="58">
        <f t="shared" si="91"/>
        <v>241.93611905567846</v>
      </c>
      <c r="CE31" s="58">
        <f t="shared" si="30"/>
        <v>0</v>
      </c>
      <c r="CF31" s="58">
        <f t="shared" si="92"/>
        <v>241.93611905567846</v>
      </c>
      <c r="CG31" s="127">
        <v>61</v>
      </c>
      <c r="CH31" s="128" t="s">
        <v>169</v>
      </c>
      <c r="CI31" s="128"/>
      <c r="CJ31" s="126">
        <f t="shared" si="93"/>
        <v>28</v>
      </c>
      <c r="CK31" s="126">
        <f t="shared" si="95"/>
        <v>58</v>
      </c>
      <c r="CN31" s="147">
        <f t="shared" si="31"/>
        <v>0.53452295108844272</v>
      </c>
      <c r="CO31" s="147">
        <f t="shared" si="32"/>
        <v>1.5057313339849754</v>
      </c>
      <c r="CP31" s="147">
        <f t="shared" si="33"/>
        <v>2.956247135095744E-3</v>
      </c>
      <c r="CQ31" s="31">
        <f>(AI31-(P31*450/1000000))*Parameters!$C$153</f>
        <v>5.1028515828653059E-2</v>
      </c>
      <c r="CR31" s="31">
        <f t="shared" si="34"/>
        <v>0.54195871074959867</v>
      </c>
      <c r="CS31" s="31">
        <f t="shared" si="35"/>
        <v>1.25702208602073</v>
      </c>
      <c r="CT31" s="31">
        <f>AM31*Parameters!$C$154</f>
        <v>0.10964501036576933</v>
      </c>
      <c r="CU31" s="31">
        <f>AQ31*Parameters!$C$155</f>
        <v>0</v>
      </c>
      <c r="CV31" s="31">
        <f t="shared" si="36"/>
        <v>4.0028648551732653</v>
      </c>
      <c r="CW31" s="188">
        <f t="shared" si="37"/>
        <v>65.234391296295513</v>
      </c>
      <c r="CY31" s="181">
        <v>0</v>
      </c>
      <c r="CZ31" s="181">
        <v>12.988494882550643</v>
      </c>
      <c r="DA31" s="181">
        <v>126.2211295294137</v>
      </c>
      <c r="DB31" s="181">
        <v>9.6483945228624393</v>
      </c>
      <c r="DC31" s="181">
        <v>2.9101939963724255</v>
      </c>
      <c r="DD31" s="181">
        <v>49.278560464935325</v>
      </c>
      <c r="DE31" s="181">
        <v>80.943234689096826</v>
      </c>
      <c r="DF31" s="181">
        <v>6.054849992159034</v>
      </c>
      <c r="DG31" s="181">
        <v>27.85633230228034</v>
      </c>
      <c r="DH31" s="181">
        <v>86.998084681255861</v>
      </c>
      <c r="DI31" s="181">
        <v>188.0582785135839</v>
      </c>
      <c r="DJ31" s="181">
        <v>12.988494882550643</v>
      </c>
      <c r="DK31" s="181">
        <v>315.90119037967077</v>
      </c>
      <c r="DL31" s="181"/>
      <c r="DM31" s="181">
        <v>0</v>
      </c>
      <c r="DN31" s="181">
        <v>2.2565524768245924</v>
      </c>
      <c r="DO31" s="181">
        <v>0.12172808101531078</v>
      </c>
      <c r="DP31" s="181">
        <v>3.6483989127768126</v>
      </c>
      <c r="DQ31" s="181">
        <v>1.8322461855185601E-2</v>
      </c>
      <c r="DR31" s="181">
        <v>0.50599040831084652</v>
      </c>
      <c r="DS31" s="181">
        <v>1.2778975709976004</v>
      </c>
      <c r="DT31" s="181">
        <v>3.7884494556473083</v>
      </c>
      <c r="DU31" s="181">
        <v>2.2565524768245924</v>
      </c>
      <c r="DV31" s="181">
        <v>7.8288899117803474</v>
      </c>
      <c r="DW31" s="181">
        <v>7.8288899117803483</v>
      </c>
      <c r="DX31" s="181"/>
      <c r="DY31" s="181">
        <v>0</v>
      </c>
      <c r="DZ31" s="181">
        <v>1.5795867337772145</v>
      </c>
      <c r="EA31" s="181">
        <v>0.12172808101531078</v>
      </c>
      <c r="EB31" s="181">
        <v>3.6483989127768126</v>
      </c>
      <c r="EC31" s="181">
        <v>1.7362842388598532E-2</v>
      </c>
      <c r="ED31" s="181">
        <v>0.50599040831084652</v>
      </c>
      <c r="EE31" s="181">
        <v>0.35358134962158549</v>
      </c>
      <c r="EF31" s="181">
        <v>3.7874898361807219</v>
      </c>
      <c r="EG31" s="181">
        <v>1.5795867337772145</v>
      </c>
      <c r="EH31" s="181">
        <v>6.2266483278903682</v>
      </c>
      <c r="EJ31" s="31">
        <f t="shared" si="38"/>
        <v>2.1075250913999592E-2</v>
      </c>
      <c r="EK31" s="31">
        <f t="shared" si="39"/>
        <v>5.9368200389124152E-2</v>
      </c>
      <c r="EL31" s="31">
        <f t="shared" si="40"/>
        <v>1.1655935448434361E-4</v>
      </c>
      <c r="EM31" s="31">
        <f t="shared" si="41"/>
        <v>2.0119599591897032E-3</v>
      </c>
      <c r="EN31" s="31">
        <f t="shared" si="42"/>
        <v>2.1368429158780199E-2</v>
      </c>
      <c r="EO31" s="31">
        <f t="shared" si="43"/>
        <v>4.9562054937735793E-2</v>
      </c>
      <c r="EP31" s="31">
        <f t="shared" si="44"/>
        <v>4.3230998785388506E-3</v>
      </c>
      <c r="EQ31" s="31">
        <f t="shared" si="45"/>
        <v>0</v>
      </c>
      <c r="ER31" s="31">
        <f t="shared" si="46"/>
        <v>0.15782555459185266</v>
      </c>
      <c r="ES31" s="31">
        <f t="shared" si="47"/>
        <v>2.5720713432265292</v>
      </c>
      <c r="ET31" s="31"/>
      <c r="EU31" s="31">
        <f t="shared" si="48"/>
        <v>0</v>
      </c>
      <c r="EV31" s="31">
        <f t="shared" si="49"/>
        <v>0.51211232013059405</v>
      </c>
      <c r="EW31" s="31">
        <f t="shared" si="50"/>
        <v>4.9766655857602027</v>
      </c>
      <c r="EX31" s="31">
        <f t="shared" si="51"/>
        <v>0.38041834325826734</v>
      </c>
      <c r="EY31" s="31">
        <f t="shared" si="52"/>
        <v>0.11474356443829453</v>
      </c>
      <c r="EZ31" s="31">
        <f t="shared" si="53"/>
        <v>1.9429624572048945</v>
      </c>
      <c r="FA31" s="31">
        <f t="shared" si="54"/>
        <v>3.191441971555701</v>
      </c>
      <c r="FB31" s="31">
        <f t="shared" si="55"/>
        <v>0.23873153167985492</v>
      </c>
      <c r="FC31" s="31">
        <f t="shared" si="56"/>
        <v>1.0983236390857449</v>
      </c>
      <c r="FD31" s="31">
        <f t="shared" si="57"/>
        <v>3.4301735032355563</v>
      </c>
      <c r="FE31" s="31">
        <f t="shared" si="58"/>
        <v>7.4147899506616604</v>
      </c>
      <c r="FF31" s="31">
        <f t="shared" si="59"/>
        <v>0.51211232013059405</v>
      </c>
      <c r="FG31" s="31">
        <f t="shared" si="60"/>
        <v>12.455399413113556</v>
      </c>
      <c r="FH31" s="31"/>
      <c r="FI31" s="31">
        <f t="shared" si="61"/>
        <v>0</v>
      </c>
      <c r="FJ31" s="31">
        <f t="shared" si="62"/>
        <v>8.8971688779396554E-2</v>
      </c>
      <c r="FK31" s="31">
        <f t="shared" si="63"/>
        <v>4.7995129965015529E-3</v>
      </c>
      <c r="FL31" s="31">
        <f t="shared" si="64"/>
        <v>0.14384961836449223</v>
      </c>
      <c r="FM31" s="31">
        <f t="shared" si="65"/>
        <v>7.2242076822690102E-4</v>
      </c>
      <c r="FN31" s="31">
        <f t="shared" si="66"/>
        <v>1.9950265547089181E-2</v>
      </c>
      <c r="FO31" s="31">
        <f t="shared" si="67"/>
        <v>5.0385136683698428E-2</v>
      </c>
      <c r="FP31" s="31">
        <f t="shared" si="68"/>
        <v>0.14937155212922065</v>
      </c>
      <c r="FQ31" s="31">
        <f t="shared" si="69"/>
        <v>8.8971688779396554E-2</v>
      </c>
      <c r="FR31" s="31">
        <f t="shared" si="70"/>
        <v>0.30867864313940485</v>
      </c>
      <c r="FS31" s="31">
        <f t="shared" si="71"/>
        <v>0.30867864313940485</v>
      </c>
      <c r="FT31" s="31"/>
      <c r="FU31" s="31">
        <f t="shared" si="72"/>
        <v>0</v>
      </c>
      <c r="FV31" s="31">
        <f t="shared" si="73"/>
        <v>6.2280182145577581E-2</v>
      </c>
      <c r="FW31" s="31">
        <f t="shared" si="74"/>
        <v>4.7995129965015529E-3</v>
      </c>
      <c r="FX31" s="31">
        <f t="shared" si="75"/>
        <v>0.14384961836449223</v>
      </c>
      <c r="FY31" s="31">
        <f t="shared" si="76"/>
        <v>6.8458474827846156E-4</v>
      </c>
      <c r="FZ31" s="31">
        <f t="shared" si="77"/>
        <v>1.9950265547089181E-2</v>
      </c>
      <c r="GA31" s="31">
        <f t="shared" si="78"/>
        <v>1.3941058371041853E-2</v>
      </c>
      <c r="GB31" s="31">
        <f t="shared" si="79"/>
        <v>0.14933371610927224</v>
      </c>
      <c r="GC31" s="31">
        <f t="shared" si="80"/>
        <v>6.2280182145577581E-2</v>
      </c>
      <c r="GD31" s="31">
        <f t="shared" si="81"/>
        <v>0.24550522217298087</v>
      </c>
    </row>
    <row r="32" spans="1:186">
      <c r="A32" s="39" t="str">
        <f>Basicinfo!A32</f>
        <v>Fuschler Ache</v>
      </c>
      <c r="B32" s="63">
        <f>Basicinfo!B32</f>
        <v>1240</v>
      </c>
      <c r="C32" s="63">
        <f>Basicinfo!C32</f>
        <v>1280</v>
      </c>
      <c r="D32" s="227">
        <v>114.419810004</v>
      </c>
      <c r="E32" s="89">
        <v>3.8671791810521805</v>
      </c>
      <c r="F32" s="27">
        <v>0.1088279543953567</v>
      </c>
      <c r="G32" s="19">
        <v>0.89140402434742683</v>
      </c>
      <c r="H32" s="19">
        <v>0</v>
      </c>
      <c r="I32" s="19">
        <v>9.8316351158970142E-3</v>
      </c>
      <c r="J32" s="19">
        <v>2.8184230175439744</v>
      </c>
      <c r="K32" s="19">
        <v>1.0659347330864872E-2</v>
      </c>
      <c r="L32" s="19">
        <v>1.6147682910904345E-2</v>
      </c>
      <c r="M32" s="19">
        <v>1.1885519407756088E-2</v>
      </c>
      <c r="N32" s="19">
        <v>3.8671791810521805</v>
      </c>
      <c r="O32" s="19">
        <v>0</v>
      </c>
      <c r="P32" s="56">
        <v>23.6334426191803</v>
      </c>
      <c r="Q32" s="43">
        <v>752.07471667292486</v>
      </c>
      <c r="R32" s="88">
        <v>775.70815929210517</v>
      </c>
      <c r="S32" s="61">
        <v>6.438122214186615</v>
      </c>
      <c r="T32" s="19">
        <v>31.252732171519526</v>
      </c>
      <c r="U32" s="19">
        <v>0</v>
      </c>
      <c r="V32" s="19">
        <v>0.10823963317711112</v>
      </c>
      <c r="W32" s="19">
        <v>1.8801867916823121E-2</v>
      </c>
      <c r="X32" s="19">
        <v>1.6059638894422932</v>
      </c>
      <c r="Y32" s="19">
        <v>131.14278478925132</v>
      </c>
      <c r="Z32" s="19">
        <v>0.61494192479664</v>
      </c>
      <c r="AA32" s="19">
        <v>7.0672983730171826</v>
      </c>
      <c r="AB32" s="19">
        <v>0.60212281804061774</v>
      </c>
      <c r="AC32" s="19">
        <v>178.85100768134814</v>
      </c>
      <c r="AD32" s="19">
        <v>0</v>
      </c>
      <c r="AE32" s="87">
        <v>178.85100768134814</v>
      </c>
      <c r="AF32" s="56">
        <v>0.12036475770680928</v>
      </c>
      <c r="AG32" s="43">
        <v>0.83758943059506974</v>
      </c>
      <c r="AH32" s="43">
        <v>0</v>
      </c>
      <c r="AI32" s="43">
        <v>0.10201417531788004</v>
      </c>
      <c r="AJ32" s="43">
        <v>0.33862778770419583</v>
      </c>
      <c r="AK32" s="43">
        <v>3.7880477525211183E-2</v>
      </c>
      <c r="AL32" s="58">
        <v>0.44488516067196709</v>
      </c>
      <c r="AM32" s="43">
        <v>0.13898242505224534</v>
      </c>
      <c r="AN32" s="42">
        <v>1.2008141842404838</v>
      </c>
      <c r="AO32" s="42">
        <v>9.6481262472391277E-2</v>
      </c>
      <c r="AP32" s="42">
        <v>3.317639661286254</v>
      </c>
      <c r="AQ32" s="43">
        <v>0</v>
      </c>
      <c r="AR32" s="83">
        <v>3.317639661286254</v>
      </c>
      <c r="AS32" s="19">
        <f t="shared" si="2"/>
        <v>29.994791720874119</v>
      </c>
      <c r="AT32" s="19">
        <f t="shared" si="3"/>
        <v>245.68575416125682</v>
      </c>
      <c r="AU32" s="19">
        <f t="shared" si="4"/>
        <v>0</v>
      </c>
      <c r="AV32" s="19">
        <f t="shared" si="5"/>
        <v>2.7097619284990007</v>
      </c>
      <c r="AW32" s="19">
        <f t="shared" si="6"/>
        <v>776.80419394298565</v>
      </c>
      <c r="AX32" s="53">
        <f t="shared" si="82"/>
        <v>2.9378931621578737</v>
      </c>
      <c r="AY32" s="53">
        <f t="shared" si="83"/>
        <v>4.4505696020687076</v>
      </c>
      <c r="AZ32" s="53">
        <f t="shared" si="84"/>
        <v>3.2758465516582547</v>
      </c>
      <c r="BA32" s="19">
        <f t="shared" si="85"/>
        <v>1065.8588110695007</v>
      </c>
      <c r="BB32" s="19">
        <f t="shared" si="7"/>
        <v>0</v>
      </c>
      <c r="BC32" s="53">
        <f t="shared" si="8"/>
        <v>1065.8588110695007</v>
      </c>
      <c r="BD32" s="56">
        <f t="shared" si="9"/>
        <v>2.0655026973348498</v>
      </c>
      <c r="BE32" s="43">
        <f t="shared" si="10"/>
        <v>65.72941491920264</v>
      </c>
      <c r="BF32" s="58">
        <f t="shared" si="11"/>
        <v>67.794917616537489</v>
      </c>
      <c r="BG32" s="61">
        <f t="shared" si="12"/>
        <v>562.67548547419767</v>
      </c>
      <c r="BH32" s="19">
        <f t="shared" si="13"/>
        <v>2731.4092000700721</v>
      </c>
      <c r="BI32" s="19">
        <f t="shared" si="14"/>
        <v>0</v>
      </c>
      <c r="BJ32" s="19">
        <f t="shared" si="15"/>
        <v>9.4598682844629067</v>
      </c>
      <c r="BK32" s="19">
        <f t="shared" si="16"/>
        <v>1.6432353729800659</v>
      </c>
      <c r="BL32" s="19">
        <f t="shared" si="17"/>
        <v>140.35715400909604</v>
      </c>
      <c r="BM32" s="19">
        <f t="shared" si="18"/>
        <v>11461.54540762362</v>
      </c>
      <c r="BN32" s="53">
        <f t="shared" si="19"/>
        <v>53.744358146997648</v>
      </c>
      <c r="BO32" s="53">
        <f t="shared" si="86"/>
        <v>617.66387942526012</v>
      </c>
      <c r="BP32" s="53">
        <f t="shared" si="87"/>
        <v>52.624000863099511</v>
      </c>
      <c r="BQ32" s="19">
        <f t="shared" si="88"/>
        <v>15631.122589269786</v>
      </c>
      <c r="BR32" s="19">
        <f t="shared" si="20"/>
        <v>0</v>
      </c>
      <c r="BS32" s="53">
        <f t="shared" si="21"/>
        <v>15631.122589269786</v>
      </c>
      <c r="BT32" s="56">
        <f t="shared" si="22"/>
        <v>10.519573289153467</v>
      </c>
      <c r="BU32" s="43">
        <f t="shared" si="23"/>
        <v>73.203183134615287</v>
      </c>
      <c r="BV32" s="43">
        <f t="shared" si="24"/>
        <v>0</v>
      </c>
      <c r="BW32" s="43">
        <f t="shared" si="25"/>
        <v>8.9157791220168718</v>
      </c>
      <c r="BX32" s="43">
        <f t="shared" si="26"/>
        <v>29.595206257758843</v>
      </c>
      <c r="BY32" s="58">
        <f t="shared" si="27"/>
        <v>3.3106572650214083</v>
      </c>
      <c r="BZ32" s="58">
        <f t="shared" si="28"/>
        <v>38.881830048172112</v>
      </c>
      <c r="CA32" s="58">
        <f t="shared" si="29"/>
        <v>12.146710001300184</v>
      </c>
      <c r="CB32" s="58">
        <f t="shared" si="89"/>
        <v>104.94810157423829</v>
      </c>
      <c r="CC32" s="58">
        <f t="shared" si="90"/>
        <v>8.4322166300589387</v>
      </c>
      <c r="CD32" s="58">
        <f t="shared" si="91"/>
        <v>289.95325732233539</v>
      </c>
      <c r="CE32" s="58">
        <f t="shared" si="30"/>
        <v>0</v>
      </c>
      <c r="CF32" s="58">
        <f t="shared" si="92"/>
        <v>289.95325732233539</v>
      </c>
      <c r="CG32" s="127">
        <v>36</v>
      </c>
      <c r="CH32" s="128" t="s">
        <v>169</v>
      </c>
      <c r="CI32" s="128"/>
      <c r="CJ32" s="126">
        <f t="shared" si="93"/>
        <v>29</v>
      </c>
      <c r="CK32" s="126">
        <f t="shared" si="95"/>
        <v>33</v>
      </c>
      <c r="CN32" s="147">
        <f t="shared" si="31"/>
        <v>0.12036475770680928</v>
      </c>
      <c r="CO32" s="147">
        <f t="shared" si="32"/>
        <v>0.83758943059506974</v>
      </c>
      <c r="CP32" s="147">
        <f t="shared" si="33"/>
        <v>0</v>
      </c>
      <c r="CQ32" s="31">
        <f>(AI32-(P32*450/1000000))*Parameters!$C$153</f>
        <v>7.3103300911399133E-2</v>
      </c>
      <c r="CR32" s="31">
        <f t="shared" si="34"/>
        <v>3.7880477525211183E-2</v>
      </c>
      <c r="CS32" s="31">
        <f t="shared" si="35"/>
        <v>0.44488516067196709</v>
      </c>
      <c r="CT32" s="31">
        <f>AM32*Parameters!$C$154</f>
        <v>0.12508418254702081</v>
      </c>
      <c r="CU32" s="31">
        <f>AQ32*Parameters!$C$155</f>
        <v>0</v>
      </c>
      <c r="CV32" s="31">
        <f t="shared" si="36"/>
        <v>1.6389073099574774</v>
      </c>
      <c r="CW32" s="188">
        <f t="shared" si="37"/>
        <v>49.399798570109645</v>
      </c>
      <c r="CY32" s="181">
        <v>13.998333333333335</v>
      </c>
      <c r="CZ32" s="181">
        <v>14.696715235301788</v>
      </c>
      <c r="DA32" s="181">
        <v>40.171107350691983</v>
      </c>
      <c r="DB32" s="181">
        <v>19.870671368327038</v>
      </c>
      <c r="DC32" s="181">
        <v>2.9965052483068075</v>
      </c>
      <c r="DD32" s="181">
        <v>68.203193837536034</v>
      </c>
      <c r="DE32" s="181">
        <v>21.885222071796086</v>
      </c>
      <c r="DF32" s="181">
        <v>10.595994025701447</v>
      </c>
      <c r="DG32" s="181">
        <v>34.95205535422987</v>
      </c>
      <c r="DH32" s="181">
        <v>32.481216097497537</v>
      </c>
      <c r="DI32" s="181">
        <v>131.24147780486186</v>
      </c>
      <c r="DJ32" s="181">
        <v>28.695048568635123</v>
      </c>
      <c r="DK32" s="181">
        <v>227.3697978252244</v>
      </c>
      <c r="DL32" s="181"/>
      <c r="DM32" s="181">
        <v>0.76500000000000001</v>
      </c>
      <c r="DN32" s="181">
        <v>2.4373995842598069</v>
      </c>
      <c r="DO32" s="181">
        <v>6.2410137130876571E-2</v>
      </c>
      <c r="DP32" s="181">
        <v>1.304776161867407</v>
      </c>
      <c r="DQ32" s="181">
        <v>8.6585854497977011E-2</v>
      </c>
      <c r="DR32" s="181">
        <v>0.10775154797739847</v>
      </c>
      <c r="DS32" s="181">
        <v>1.1238196312447386</v>
      </c>
      <c r="DT32" s="181">
        <v>1.4537721534962602</v>
      </c>
      <c r="DU32" s="181">
        <v>3.202399584259807</v>
      </c>
      <c r="DV32" s="181">
        <v>5.8877429169782038</v>
      </c>
      <c r="DW32" s="181">
        <v>5.8877429169782038</v>
      </c>
      <c r="DX32" s="181"/>
      <c r="DY32" s="181">
        <v>0.6120000000000001</v>
      </c>
      <c r="DZ32" s="181">
        <v>1.7061797089818647</v>
      </c>
      <c r="EA32" s="181">
        <v>6.2410137130876571E-2</v>
      </c>
      <c r="EB32" s="181">
        <v>1.304776161867407</v>
      </c>
      <c r="EC32" s="181">
        <v>5.2516194587362786E-2</v>
      </c>
      <c r="ED32" s="181">
        <v>0.10775154797739847</v>
      </c>
      <c r="EE32" s="181">
        <v>0.77723515833930457</v>
      </c>
      <c r="EF32" s="181">
        <v>1.4197024935856462</v>
      </c>
      <c r="EG32" s="181">
        <v>2.318179708981865</v>
      </c>
      <c r="EH32" s="181">
        <v>4.6228689088842145</v>
      </c>
      <c r="EJ32" s="31">
        <f t="shared" si="38"/>
        <v>1.0519573289153462E-2</v>
      </c>
      <c r="EK32" s="31">
        <f t="shared" si="39"/>
        <v>7.3203183134615268E-2</v>
      </c>
      <c r="EL32" s="31">
        <f t="shared" si="40"/>
        <v>0</v>
      </c>
      <c r="EM32" s="31">
        <f t="shared" si="41"/>
        <v>6.389042326572952E-3</v>
      </c>
      <c r="EN32" s="31">
        <f t="shared" si="42"/>
        <v>3.3106572650214083E-3</v>
      </c>
      <c r="EO32" s="31">
        <f t="shared" si="43"/>
        <v>3.8881830048172111E-2</v>
      </c>
      <c r="EP32" s="31">
        <f t="shared" si="44"/>
        <v>1.0932039001170164E-2</v>
      </c>
      <c r="EQ32" s="31">
        <f t="shared" si="45"/>
        <v>0</v>
      </c>
      <c r="ER32" s="31">
        <f t="shared" si="46"/>
        <v>0.14323632506470538</v>
      </c>
      <c r="ES32" s="31">
        <f t="shared" si="47"/>
        <v>4.3174165879477231</v>
      </c>
      <c r="ET32" s="31"/>
      <c r="EU32" s="31">
        <f t="shared" si="48"/>
        <v>1.2234186836041736</v>
      </c>
      <c r="EV32" s="31">
        <f t="shared" si="49"/>
        <v>1.2844554832583628</v>
      </c>
      <c r="EW32" s="31">
        <f t="shared" si="50"/>
        <v>3.5108524781930366</v>
      </c>
      <c r="EX32" s="31">
        <f t="shared" si="51"/>
        <v>1.736646072706499</v>
      </c>
      <c r="EY32" s="31">
        <f t="shared" si="52"/>
        <v>0.26188692746492526</v>
      </c>
      <c r="EZ32" s="31">
        <f t="shared" si="53"/>
        <v>5.9607854474807924</v>
      </c>
      <c r="FA32" s="31">
        <f t="shared" si="54"/>
        <v>1.912712673708425</v>
      </c>
      <c r="FB32" s="31">
        <f t="shared" si="55"/>
        <v>0.92606289289686994</v>
      </c>
      <c r="FC32" s="31">
        <f t="shared" si="56"/>
        <v>3.0547206251267141</v>
      </c>
      <c r="FD32" s="31">
        <f t="shared" si="57"/>
        <v>2.8387755666052952</v>
      </c>
      <c r="FE32" s="31">
        <f t="shared" si="58"/>
        <v>11.470170925845252</v>
      </c>
      <c r="FF32" s="31">
        <f t="shared" si="59"/>
        <v>2.5078741668625368</v>
      </c>
      <c r="FG32" s="31">
        <f t="shared" si="60"/>
        <v>19.8715412844398</v>
      </c>
      <c r="FH32" s="31"/>
      <c r="FI32" s="31">
        <f t="shared" si="61"/>
        <v>6.6859051765009614E-2</v>
      </c>
      <c r="FJ32" s="31">
        <f t="shared" si="62"/>
        <v>0.21302251630854815</v>
      </c>
      <c r="FK32" s="31">
        <f t="shared" si="63"/>
        <v>5.4544870445681374E-3</v>
      </c>
      <c r="FL32" s="31">
        <f t="shared" si="64"/>
        <v>0.11403411365757324</v>
      </c>
      <c r="FM32" s="31">
        <f t="shared" si="65"/>
        <v>7.5673831738533792E-3</v>
      </c>
      <c r="FN32" s="31">
        <f t="shared" si="66"/>
        <v>9.4172108810206545E-3</v>
      </c>
      <c r="FO32" s="31">
        <f t="shared" si="67"/>
        <v>9.8218973725393455E-2</v>
      </c>
      <c r="FP32" s="31">
        <f t="shared" si="68"/>
        <v>0.12705598387599473</v>
      </c>
      <c r="FQ32" s="31">
        <f t="shared" si="69"/>
        <v>0.27988156807355774</v>
      </c>
      <c r="FR32" s="31">
        <f t="shared" si="70"/>
        <v>0.5145737365559665</v>
      </c>
      <c r="FS32" s="31">
        <f t="shared" si="71"/>
        <v>0.5145737365559665</v>
      </c>
      <c r="FT32" s="31"/>
      <c r="FU32" s="31">
        <f t="shared" si="72"/>
        <v>5.3487241412007697E-2</v>
      </c>
      <c r="FV32" s="31">
        <f t="shared" si="73"/>
        <v>0.14911576141598368</v>
      </c>
      <c r="FW32" s="31">
        <f t="shared" si="74"/>
        <v>5.4544870445681374E-3</v>
      </c>
      <c r="FX32" s="31">
        <f t="shared" si="75"/>
        <v>0.11403411365757324</v>
      </c>
      <c r="FY32" s="31">
        <f t="shared" si="76"/>
        <v>4.5897816632912494E-3</v>
      </c>
      <c r="FZ32" s="31">
        <f t="shared" si="77"/>
        <v>9.4172108810206545E-3</v>
      </c>
      <c r="GA32" s="31">
        <f t="shared" si="78"/>
        <v>6.7928373444435294E-2</v>
      </c>
      <c r="GB32" s="31">
        <f t="shared" si="79"/>
        <v>0.1240783823654326</v>
      </c>
      <c r="GC32" s="31">
        <f t="shared" si="80"/>
        <v>0.2026030028279914</v>
      </c>
      <c r="GD32" s="31">
        <f t="shared" si="81"/>
        <v>0.40402696951888006</v>
      </c>
    </row>
    <row r="33" spans="1:186">
      <c r="A33" s="39" t="str">
        <f>Basicinfo!A33</f>
        <v>Dürre Ager</v>
      </c>
      <c r="B33" s="63">
        <f>Basicinfo!B33</f>
        <v>1250</v>
      </c>
      <c r="C33" s="63">
        <f>Basicinfo!C33</f>
        <v>1270</v>
      </c>
      <c r="D33" s="227">
        <v>94.667536053000006</v>
      </c>
      <c r="E33" s="89">
        <v>1.7191601544494097</v>
      </c>
      <c r="F33" s="27">
        <v>1.1407851327659339E-2</v>
      </c>
      <c r="G33" s="19">
        <v>0.33635961223041233</v>
      </c>
      <c r="H33" s="19">
        <v>0</v>
      </c>
      <c r="I33" s="19">
        <v>1.3391994433935466E-2</v>
      </c>
      <c r="J33" s="19">
        <v>1.3364694740662042</v>
      </c>
      <c r="K33" s="19">
        <v>8.9357790240541749E-3</v>
      </c>
      <c r="L33" s="19">
        <v>4.6915655553833955E-3</v>
      </c>
      <c r="M33" s="19">
        <v>7.9038778117608791E-3</v>
      </c>
      <c r="N33" s="19">
        <v>1.7191601544494097</v>
      </c>
      <c r="O33" s="19">
        <v>0</v>
      </c>
      <c r="P33" s="56">
        <v>302.12167124965936</v>
      </c>
      <c r="Q33" s="43">
        <v>571.78098978029311</v>
      </c>
      <c r="R33" s="88">
        <v>873.90266102995247</v>
      </c>
      <c r="S33" s="61">
        <v>0.99593544582256388</v>
      </c>
      <c r="T33" s="19">
        <v>14.907209878053303</v>
      </c>
      <c r="U33" s="19">
        <v>0</v>
      </c>
      <c r="V33" s="19">
        <v>2.6867504280957362</v>
      </c>
      <c r="W33" s="19">
        <v>1.4294524744507327E-2</v>
      </c>
      <c r="X33" s="19">
        <v>3.5693992445782996</v>
      </c>
      <c r="Y33" s="19">
        <v>96.481578314120114</v>
      </c>
      <c r="Z33" s="19">
        <v>0.6015621592871534</v>
      </c>
      <c r="AA33" s="19">
        <v>1.6889558719848645</v>
      </c>
      <c r="AB33" s="19">
        <v>0.34828428192306859</v>
      </c>
      <c r="AC33" s="19">
        <v>121.2939701486096</v>
      </c>
      <c r="AD33" s="19">
        <v>0</v>
      </c>
      <c r="AE33" s="87">
        <v>121.2939701486096</v>
      </c>
      <c r="AF33" s="56">
        <v>1.9155718488192624E-2</v>
      </c>
      <c r="AG33" s="43">
        <v>0.35550648745668195</v>
      </c>
      <c r="AH33" s="43">
        <v>0</v>
      </c>
      <c r="AI33" s="43">
        <v>1.1651910019544676</v>
      </c>
      <c r="AJ33" s="43">
        <v>0.25730210922711805</v>
      </c>
      <c r="AK33" s="43">
        <v>2.7742276893092863E-2</v>
      </c>
      <c r="AL33" s="58">
        <v>0.25970624834375683</v>
      </c>
      <c r="AM33" s="43">
        <v>0.13253403995175048</v>
      </c>
      <c r="AN33" s="42">
        <v>0.29108150656277015</v>
      </c>
      <c r="AO33" s="42">
        <v>5.5970296338200692E-2</v>
      </c>
      <c r="AP33" s="42">
        <v>2.5641896852160309</v>
      </c>
      <c r="AQ33" s="43">
        <v>0</v>
      </c>
      <c r="AR33" s="83">
        <v>2.5641896852160309</v>
      </c>
      <c r="AS33" s="19">
        <f t="shared" si="2"/>
        <v>3.8002256577973355</v>
      </c>
      <c r="AT33" s="19">
        <f t="shared" si="3"/>
        <v>112.04935898362947</v>
      </c>
      <c r="AU33" s="19">
        <f t="shared" si="4"/>
        <v>0</v>
      </c>
      <c r="AV33" s="19">
        <f t="shared" si="5"/>
        <v>4.4611907532075801</v>
      </c>
      <c r="AW33" s="19">
        <f t="shared" si="6"/>
        <v>445.20965783408275</v>
      </c>
      <c r="AX33" s="53">
        <f t="shared" si="82"/>
        <v>2.9767197822155875</v>
      </c>
      <c r="AY33" s="53">
        <f t="shared" si="83"/>
        <v>1.5628716825558715</v>
      </c>
      <c r="AZ33" s="53">
        <f t="shared" si="84"/>
        <v>2.6329690310323883</v>
      </c>
      <c r="BA33" s="19">
        <f t="shared" si="85"/>
        <v>572.69299372452099</v>
      </c>
      <c r="BB33" s="19">
        <f t="shared" si="7"/>
        <v>0</v>
      </c>
      <c r="BC33" s="53">
        <f t="shared" si="8"/>
        <v>572.69299372452099</v>
      </c>
      <c r="BD33" s="56">
        <f t="shared" si="9"/>
        <v>31.913967960517674</v>
      </c>
      <c r="BE33" s="43">
        <f t="shared" si="10"/>
        <v>60.398845646534966</v>
      </c>
      <c r="BF33" s="58">
        <f t="shared" si="11"/>
        <v>92.312813607052647</v>
      </c>
      <c r="BG33" s="61">
        <f t="shared" si="12"/>
        <v>105.20348234953379</v>
      </c>
      <c r="BH33" s="19">
        <f t="shared" si="13"/>
        <v>1574.690807385907</v>
      </c>
      <c r="BI33" s="19">
        <f t="shared" si="14"/>
        <v>0</v>
      </c>
      <c r="BJ33" s="19">
        <f t="shared" si="15"/>
        <v>283.80905853423167</v>
      </c>
      <c r="BK33" s="19">
        <f t="shared" si="16"/>
        <v>1.5099711411633741</v>
      </c>
      <c r="BL33" s="19">
        <f t="shared" si="17"/>
        <v>377.04575331716217</v>
      </c>
      <c r="BM33" s="19">
        <f t="shared" si="18"/>
        <v>10191.622422717806</v>
      </c>
      <c r="BN33" s="53">
        <f t="shared" si="19"/>
        <v>63.544714943290209</v>
      </c>
      <c r="BO33" s="53">
        <f t="shared" si="86"/>
        <v>178.40919309860305</v>
      </c>
      <c r="BP33" s="53">
        <f t="shared" si="87"/>
        <v>36.790255291748615</v>
      </c>
      <c r="BQ33" s="19">
        <f t="shared" si="88"/>
        <v>12812.625658779447</v>
      </c>
      <c r="BR33" s="19">
        <f t="shared" si="20"/>
        <v>0</v>
      </c>
      <c r="BS33" s="53">
        <f t="shared" si="21"/>
        <v>12812.625658779447</v>
      </c>
      <c r="BT33" s="56">
        <f t="shared" si="22"/>
        <v>2.0234728067146714</v>
      </c>
      <c r="BU33" s="43">
        <f t="shared" si="23"/>
        <v>37.553157320757791</v>
      </c>
      <c r="BV33" s="43">
        <f t="shared" si="24"/>
        <v>0</v>
      </c>
      <c r="BW33" s="43">
        <f t="shared" si="25"/>
        <v>123.08242619752254</v>
      </c>
      <c r="BX33" s="43">
        <f t="shared" si="26"/>
        <v>27.179550662760086</v>
      </c>
      <c r="BY33" s="58">
        <f t="shared" si="27"/>
        <v>2.9304952943489768</v>
      </c>
      <c r="BZ33" s="58">
        <f t="shared" si="28"/>
        <v>27.43350668790611</v>
      </c>
      <c r="CA33" s="58">
        <f t="shared" si="29"/>
        <v>13.999946072067488</v>
      </c>
      <c r="CB33" s="58">
        <f t="shared" si="89"/>
        <v>30.747764090934719</v>
      </c>
      <c r="CC33" s="58">
        <f t="shared" si="90"/>
        <v>5.9123009504404438</v>
      </c>
      <c r="CD33" s="58">
        <f t="shared" si="91"/>
        <v>270.86262008345284</v>
      </c>
      <c r="CE33" s="58">
        <f t="shared" si="30"/>
        <v>0</v>
      </c>
      <c r="CF33" s="58">
        <f t="shared" si="92"/>
        <v>270.86262008345284</v>
      </c>
      <c r="CG33" s="127">
        <v>35</v>
      </c>
      <c r="CH33" s="128" t="s">
        <v>169</v>
      </c>
      <c r="CI33" s="128"/>
      <c r="CJ33" s="126">
        <f t="shared" si="93"/>
        <v>30</v>
      </c>
      <c r="CK33" s="126">
        <f t="shared" si="95"/>
        <v>32</v>
      </c>
      <c r="CN33" s="147">
        <f t="shared" si="31"/>
        <v>1.9155718488192624E-2</v>
      </c>
      <c r="CO33" s="147">
        <f t="shared" si="32"/>
        <v>0.35550648745668195</v>
      </c>
      <c r="CP33" s="147">
        <f t="shared" si="33"/>
        <v>0</v>
      </c>
      <c r="CQ33" s="31">
        <f>(AI33-(P33*450/1000000))*Parameters!$C$153</f>
        <v>0.82338899991369674</v>
      </c>
      <c r="CR33" s="31">
        <f t="shared" si="34"/>
        <v>2.7742276893092863E-2</v>
      </c>
      <c r="CS33" s="31">
        <f t="shared" si="35"/>
        <v>0.25970624834375683</v>
      </c>
      <c r="CT33" s="31">
        <f>AM33*Parameters!$C$154</f>
        <v>0.11928063595657543</v>
      </c>
      <c r="CU33" s="31">
        <f>AQ33*Parameters!$C$155</f>
        <v>0</v>
      </c>
      <c r="CV33" s="31">
        <f t="shared" si="36"/>
        <v>1.6047803670519964</v>
      </c>
      <c r="CW33" s="188">
        <f t="shared" si="37"/>
        <v>62.584307873338751</v>
      </c>
      <c r="CY33" s="181">
        <v>0</v>
      </c>
      <c r="CZ33" s="181">
        <v>7.7184925147230565</v>
      </c>
      <c r="DA33" s="181">
        <v>12.869586690329593</v>
      </c>
      <c r="DB33" s="181">
        <v>9.2825493301590107</v>
      </c>
      <c r="DC33" s="181">
        <v>4.5286367921435522</v>
      </c>
      <c r="DD33" s="181">
        <v>66.765196073116684</v>
      </c>
      <c r="DE33" s="181">
        <v>6.9569678086557172</v>
      </c>
      <c r="DF33" s="181">
        <v>4.8630399322704392</v>
      </c>
      <c r="DG33" s="181">
        <v>20.893879309112105</v>
      </c>
      <c r="DH33" s="181">
        <v>11.820007740926156</v>
      </c>
      <c r="DI33" s="181">
        <v>93.44596888574884</v>
      </c>
      <c r="DJ33" s="181">
        <v>7.7184925147230565</v>
      </c>
      <c r="DK33" s="181">
        <v>133.87834845051017</v>
      </c>
      <c r="DL33" s="181"/>
      <c r="DM33" s="181">
        <v>0</v>
      </c>
      <c r="DN33" s="181">
        <v>1.2857035268949994</v>
      </c>
      <c r="DO33" s="181">
        <v>3.6852364025886097E-2</v>
      </c>
      <c r="DP33" s="181">
        <v>0.29668557011432273</v>
      </c>
      <c r="DQ33" s="181">
        <v>0.40925324169975269</v>
      </c>
      <c r="DR33" s="181">
        <v>1.6129413242469422E-2</v>
      </c>
      <c r="DS33" s="181">
        <v>0.66774429639360755</v>
      </c>
      <c r="DT33" s="181">
        <v>0.74279117583996146</v>
      </c>
      <c r="DU33" s="181">
        <v>1.2857035268949994</v>
      </c>
      <c r="DV33" s="181">
        <v>2.7123684123710374</v>
      </c>
      <c r="DW33" s="181">
        <v>2.7123684123710379</v>
      </c>
      <c r="DX33" s="181"/>
      <c r="DY33" s="181">
        <v>0</v>
      </c>
      <c r="DZ33" s="181">
        <v>0.89999246882649953</v>
      </c>
      <c r="EA33" s="181">
        <v>3.6852364025886097E-2</v>
      </c>
      <c r="EB33" s="181">
        <v>0.29668557011432273</v>
      </c>
      <c r="EC33" s="181">
        <v>0.22822064110240226</v>
      </c>
      <c r="ED33" s="181">
        <v>1.6129413242469422E-2</v>
      </c>
      <c r="EE33" s="181">
        <v>0.32812224111544031</v>
      </c>
      <c r="EF33" s="181">
        <v>0.56175857524261108</v>
      </c>
      <c r="EG33" s="181">
        <v>0.89999246882649953</v>
      </c>
      <c r="EH33" s="181">
        <v>1.8060026984270203</v>
      </c>
      <c r="EJ33" s="31">
        <f t="shared" si="38"/>
        <v>2.0234728067146709E-3</v>
      </c>
      <c r="EK33" s="31">
        <f t="shared" si="39"/>
        <v>3.7553157320757792E-2</v>
      </c>
      <c r="EL33" s="31">
        <f t="shared" si="40"/>
        <v>0</v>
      </c>
      <c r="EM33" s="31">
        <f t="shared" si="41"/>
        <v>8.6976912492231676E-2</v>
      </c>
      <c r="EN33" s="31">
        <f t="shared" si="42"/>
        <v>2.930495294348977E-3</v>
      </c>
      <c r="EO33" s="31">
        <f t="shared" si="43"/>
        <v>2.7433506687906107E-2</v>
      </c>
      <c r="EP33" s="31">
        <f t="shared" si="44"/>
        <v>1.2599951464860738E-2</v>
      </c>
      <c r="EQ33" s="31">
        <f t="shared" si="45"/>
        <v>0</v>
      </c>
      <c r="ER33" s="31">
        <f t="shared" si="46"/>
        <v>0.16951749606681996</v>
      </c>
      <c r="ES33" s="31">
        <f t="shared" si="47"/>
        <v>6.6109577245467417</v>
      </c>
      <c r="ET33" s="31"/>
      <c r="EU33" s="31">
        <f t="shared" si="48"/>
        <v>0</v>
      </c>
      <c r="EV33" s="31">
        <f t="shared" si="49"/>
        <v>0.81532622866637483</v>
      </c>
      <c r="EW33" s="31">
        <f t="shared" si="50"/>
        <v>1.3594508980485669</v>
      </c>
      <c r="EX33" s="31">
        <f t="shared" si="51"/>
        <v>0.98054198061753051</v>
      </c>
      <c r="EY33" s="31">
        <f t="shared" si="52"/>
        <v>0.47837273271886749</v>
      </c>
      <c r="EZ33" s="31">
        <f t="shared" si="53"/>
        <v>7.0525967883792724</v>
      </c>
      <c r="FA33" s="31">
        <f t="shared" si="54"/>
        <v>0.734884216777421</v>
      </c>
      <c r="FB33" s="31">
        <f t="shared" si="55"/>
        <v>0.51369668368128296</v>
      </c>
      <c r="FC33" s="31">
        <f t="shared" si="56"/>
        <v>2.2070796579531322</v>
      </c>
      <c r="FD33" s="31">
        <f t="shared" si="57"/>
        <v>1.2485809004587041</v>
      </c>
      <c r="FE33" s="31">
        <f t="shared" si="58"/>
        <v>9.8709623997642364</v>
      </c>
      <c r="FF33" s="31">
        <f t="shared" si="59"/>
        <v>0.81532622866637483</v>
      </c>
      <c r="FG33" s="31">
        <f t="shared" si="60"/>
        <v>14.141949186842451</v>
      </c>
      <c r="FH33" s="31"/>
      <c r="FI33" s="31">
        <f t="shared" si="61"/>
        <v>0</v>
      </c>
      <c r="FJ33" s="31">
        <f t="shared" si="62"/>
        <v>0.13581250558535643</v>
      </c>
      <c r="FK33" s="31">
        <f t="shared" si="63"/>
        <v>3.8928196045214646E-3</v>
      </c>
      <c r="FL33" s="31">
        <f t="shared" si="64"/>
        <v>3.1339737198633977E-2</v>
      </c>
      <c r="FM33" s="31">
        <f t="shared" si="65"/>
        <v>4.323057922101517E-2</v>
      </c>
      <c r="FN33" s="31">
        <f t="shared" si="66"/>
        <v>1.7037956109303726E-3</v>
      </c>
      <c r="FO33" s="31">
        <f t="shared" si="67"/>
        <v>7.053572156137751E-2</v>
      </c>
      <c r="FP33" s="31">
        <f t="shared" si="68"/>
        <v>7.8463136024170613E-2</v>
      </c>
      <c r="FQ33" s="31">
        <f t="shared" si="69"/>
        <v>0.13581250558535643</v>
      </c>
      <c r="FR33" s="31">
        <f t="shared" si="70"/>
        <v>0.28651515878183487</v>
      </c>
      <c r="FS33" s="31">
        <f t="shared" si="71"/>
        <v>0.28651515878183492</v>
      </c>
      <c r="FT33" s="31"/>
      <c r="FU33" s="31">
        <f t="shared" si="72"/>
        <v>0</v>
      </c>
      <c r="FV33" s="31">
        <f t="shared" si="73"/>
        <v>9.5068753909749476E-2</v>
      </c>
      <c r="FW33" s="31">
        <f t="shared" si="74"/>
        <v>3.8928196045214646E-3</v>
      </c>
      <c r="FX33" s="31">
        <f t="shared" si="75"/>
        <v>3.1339737198633977E-2</v>
      </c>
      <c r="FY33" s="31">
        <f t="shared" si="76"/>
        <v>2.4107592805059596E-2</v>
      </c>
      <c r="FZ33" s="31">
        <f t="shared" si="77"/>
        <v>1.7037956109303726E-3</v>
      </c>
      <c r="GA33" s="31">
        <f t="shared" si="78"/>
        <v>3.4660481807801541E-2</v>
      </c>
      <c r="GB33" s="31">
        <f t="shared" si="79"/>
        <v>5.9340149608215036E-2</v>
      </c>
      <c r="GC33" s="31">
        <f t="shared" si="80"/>
        <v>9.5068753909749476E-2</v>
      </c>
      <c r="GD33" s="31">
        <f t="shared" si="81"/>
        <v>0.19077318093669643</v>
      </c>
    </row>
    <row r="34" spans="1:186">
      <c r="A34" s="39" t="str">
        <f>Basicinfo!A34</f>
        <v>Vökla</v>
      </c>
      <c r="B34" s="63">
        <f>Basicinfo!B34</f>
        <v>1260</v>
      </c>
      <c r="C34" s="63">
        <f>Basicinfo!C34</f>
        <v>1270</v>
      </c>
      <c r="D34" s="227">
        <v>246.416951705</v>
      </c>
      <c r="E34" s="89">
        <v>4.9386485686677402</v>
      </c>
      <c r="F34" s="27">
        <v>3.0343981202311479E-2</v>
      </c>
      <c r="G34" s="19">
        <v>0.99482962076690817</v>
      </c>
      <c r="H34" s="19">
        <v>0</v>
      </c>
      <c r="I34" s="19">
        <v>4.7911896610499854E-2</v>
      </c>
      <c r="J34" s="19">
        <v>3.7895946918794481</v>
      </c>
      <c r="K34" s="19">
        <v>1.845524967694491E-2</v>
      </c>
      <c r="L34" s="19">
        <v>9.9547245212019391E-3</v>
      </c>
      <c r="M34" s="19">
        <v>2.2661507024969576E-2</v>
      </c>
      <c r="N34" s="19">
        <v>4.9137516716822844</v>
      </c>
      <c r="O34" s="19">
        <v>2.4896896985455774E-2</v>
      </c>
      <c r="P34" s="56">
        <v>351.64264738661973</v>
      </c>
      <c r="Q34" s="43">
        <v>1409.9388933095381</v>
      </c>
      <c r="R34" s="88">
        <v>1761.5815406961578</v>
      </c>
      <c r="S34" s="61">
        <v>2.6328649468961225</v>
      </c>
      <c r="T34" s="19">
        <v>42.939851311365246</v>
      </c>
      <c r="U34" s="19">
        <v>0</v>
      </c>
      <c r="V34" s="19">
        <v>4.1218456439200484</v>
      </c>
      <c r="W34" s="19">
        <v>3.5248472332738458E-2</v>
      </c>
      <c r="X34" s="19">
        <v>11.958532692391248</v>
      </c>
      <c r="Y34" s="19">
        <v>275.87799125278536</v>
      </c>
      <c r="Z34" s="19">
        <v>1.2499576825339171</v>
      </c>
      <c r="AA34" s="19">
        <v>3.5549198345585262</v>
      </c>
      <c r="AB34" s="19">
        <v>0.92271076141456898</v>
      </c>
      <c r="AC34" s="19">
        <v>343.29392259819781</v>
      </c>
      <c r="AD34" s="19">
        <v>1.5143126666666669</v>
      </c>
      <c r="AE34" s="87">
        <v>344.80823526486449</v>
      </c>
      <c r="AF34" s="56">
        <v>5.0463149055714605E-2</v>
      </c>
      <c r="AG34" s="43">
        <v>1.078572761027258</v>
      </c>
      <c r="AH34" s="43">
        <v>0</v>
      </c>
      <c r="AI34" s="43">
        <v>1.4306309318760744</v>
      </c>
      <c r="AJ34" s="43">
        <v>0.63447250198929206</v>
      </c>
      <c r="AK34" s="43">
        <v>0.11823586811011337</v>
      </c>
      <c r="AL34" s="58">
        <v>1.5049237228997863</v>
      </c>
      <c r="AM34" s="43">
        <v>0.28192828627174982</v>
      </c>
      <c r="AN34" s="42">
        <v>0.61637095900689687</v>
      </c>
      <c r="AO34" s="42">
        <v>0.14174358579385432</v>
      </c>
      <c r="AP34" s="42">
        <v>5.8573417660307401</v>
      </c>
      <c r="AQ34" s="43">
        <v>0.57811433333333329</v>
      </c>
      <c r="AR34" s="83">
        <v>6.4354560993640737</v>
      </c>
      <c r="AS34" s="19">
        <f t="shared" si="2"/>
        <v>3.883368350168086</v>
      </c>
      <c r="AT34" s="19">
        <f t="shared" si="3"/>
        <v>127.31651253467166</v>
      </c>
      <c r="AU34" s="19">
        <f t="shared" si="4"/>
        <v>0</v>
      </c>
      <c r="AV34" s="19">
        <f t="shared" si="5"/>
        <v>6.1316786895309399</v>
      </c>
      <c r="AW34" s="19">
        <f t="shared" si="6"/>
        <v>484.98553925048554</v>
      </c>
      <c r="AX34" s="53">
        <f t="shared" si="82"/>
        <v>2.361869789335298</v>
      </c>
      <c r="AY34" s="53">
        <f t="shared" si="83"/>
        <v>1.2739878093957218</v>
      </c>
      <c r="AZ34" s="53">
        <f t="shared" si="84"/>
        <v>2.9001790688288089</v>
      </c>
      <c r="BA34" s="19">
        <f t="shared" si="85"/>
        <v>628.85313549241607</v>
      </c>
      <c r="BB34" s="19">
        <f t="shared" si="7"/>
        <v>3.1862602710599228</v>
      </c>
      <c r="BC34" s="53">
        <f t="shared" si="8"/>
        <v>632.03939576347602</v>
      </c>
      <c r="BD34" s="56">
        <f t="shared" si="9"/>
        <v>14.270229582565063</v>
      </c>
      <c r="BE34" s="43">
        <f t="shared" si="10"/>
        <v>57.217609565978954</v>
      </c>
      <c r="BF34" s="58">
        <f t="shared" si="11"/>
        <v>71.487839148544012</v>
      </c>
      <c r="BG34" s="61">
        <f t="shared" si="12"/>
        <v>106.84593444886363</v>
      </c>
      <c r="BH34" s="19">
        <f t="shared" si="13"/>
        <v>1742.5688863634282</v>
      </c>
      <c r="BI34" s="19">
        <f t="shared" si="14"/>
        <v>0</v>
      </c>
      <c r="BJ34" s="19">
        <f t="shared" si="15"/>
        <v>167.27118874737761</v>
      </c>
      <c r="BK34" s="19">
        <f t="shared" si="16"/>
        <v>1.4304402391494742</v>
      </c>
      <c r="BL34" s="19">
        <f t="shared" si="17"/>
        <v>485.29667336797104</v>
      </c>
      <c r="BM34" s="19">
        <f t="shared" si="18"/>
        <v>11195.576819855109</v>
      </c>
      <c r="BN34" s="53">
        <f t="shared" si="19"/>
        <v>50.725312276012318</v>
      </c>
      <c r="BO34" s="53">
        <f t="shared" si="86"/>
        <v>144.26441890306015</v>
      </c>
      <c r="BP34" s="53">
        <f t="shared" si="87"/>
        <v>37.445100875981922</v>
      </c>
      <c r="BQ34" s="19">
        <f t="shared" si="88"/>
        <v>13931.424775076952</v>
      </c>
      <c r="BR34" s="19">
        <f t="shared" si="20"/>
        <v>61.453266757375445</v>
      </c>
      <c r="BS34" s="53">
        <f t="shared" si="21"/>
        <v>13992.878041834327</v>
      </c>
      <c r="BT34" s="56">
        <f t="shared" si="22"/>
        <v>2.0478765241819468</v>
      </c>
      <c r="BU34" s="43">
        <f t="shared" si="23"/>
        <v>43.7702338887172</v>
      </c>
      <c r="BV34" s="43">
        <f t="shared" si="24"/>
        <v>0</v>
      </c>
      <c r="BW34" s="43">
        <f t="shared" si="25"/>
        <v>58.057326088051177</v>
      </c>
      <c r="BX34" s="43">
        <f t="shared" si="26"/>
        <v>25.747924304690525</v>
      </c>
      <c r="BY34" s="58">
        <f t="shared" si="27"/>
        <v>4.7982035039399555</v>
      </c>
      <c r="BZ34" s="58">
        <f t="shared" si="28"/>
        <v>61.07224817476915</v>
      </c>
      <c r="CA34" s="58">
        <f t="shared" si="29"/>
        <v>11.441107615407178</v>
      </c>
      <c r="CB34" s="58">
        <f t="shared" si="89"/>
        <v>25.013334299532701</v>
      </c>
      <c r="CC34" s="58">
        <f t="shared" si="90"/>
        <v>5.7521848563220512</v>
      </c>
      <c r="CD34" s="58">
        <f t="shared" si="91"/>
        <v>237.70043925561191</v>
      </c>
      <c r="CE34" s="58">
        <f t="shared" si="30"/>
        <v>23.460818313564218</v>
      </c>
      <c r="CF34" s="58">
        <f t="shared" si="92"/>
        <v>261.16125756917614</v>
      </c>
      <c r="CG34" s="127">
        <v>35</v>
      </c>
      <c r="CH34" s="128" t="s">
        <v>169</v>
      </c>
      <c r="CI34" s="128"/>
      <c r="CJ34" s="126">
        <f t="shared" si="93"/>
        <v>31</v>
      </c>
      <c r="CK34" s="126">
        <f t="shared" si="95"/>
        <v>32</v>
      </c>
      <c r="CN34" s="147">
        <f t="shared" si="31"/>
        <v>5.0463149055714605E-2</v>
      </c>
      <c r="CO34" s="147">
        <f t="shared" si="32"/>
        <v>1.078572761027258</v>
      </c>
      <c r="CP34" s="147">
        <f t="shared" si="33"/>
        <v>0</v>
      </c>
      <c r="CQ34" s="31">
        <f>(AI34-(P34*450/1000000))*Parameters!$C$153</f>
        <v>1.0179133924416763</v>
      </c>
      <c r="CR34" s="31">
        <f t="shared" si="34"/>
        <v>0.11823586811011337</v>
      </c>
      <c r="CS34" s="31">
        <f t="shared" si="35"/>
        <v>1.5049237228997863</v>
      </c>
      <c r="CT34" s="31">
        <f>AM34*Parameters!$C$154</f>
        <v>0.25373545764457484</v>
      </c>
      <c r="CU34" s="31">
        <f>AQ34*Parameters!$C$155</f>
        <v>0.57811433333333329</v>
      </c>
      <c r="CV34" s="31">
        <f t="shared" si="36"/>
        <v>4.6019586845124572</v>
      </c>
      <c r="CW34" s="188">
        <f t="shared" si="37"/>
        <v>71.509441031960492</v>
      </c>
      <c r="CY34" s="181">
        <v>1.7971083333333338</v>
      </c>
      <c r="CZ34" s="181">
        <v>12.282340556950516</v>
      </c>
      <c r="DA34" s="181">
        <v>56.339775765045147</v>
      </c>
      <c r="DB34" s="181">
        <v>35.084364152492142</v>
      </c>
      <c r="DC34" s="181">
        <v>4.7778785382931241</v>
      </c>
      <c r="DD34" s="181">
        <v>215.450496437776</v>
      </c>
      <c r="DE34" s="181">
        <v>30.310111978604901</v>
      </c>
      <c r="DF34" s="181">
        <v>18.147615431412632</v>
      </c>
      <c r="DG34" s="181">
        <v>81.740196352640851</v>
      </c>
      <c r="DH34" s="181">
        <v>48.457727410017533</v>
      </c>
      <c r="DI34" s="181">
        <v>311.65251489360639</v>
      </c>
      <c r="DJ34" s="181">
        <v>14.079448890283849</v>
      </c>
      <c r="DK34" s="181">
        <v>455.92988754654863</v>
      </c>
      <c r="DL34" s="181"/>
      <c r="DM34" s="181">
        <v>0.55866666666666664</v>
      </c>
      <c r="DN34" s="181">
        <v>2.0923612435959851</v>
      </c>
      <c r="DO34" s="181">
        <v>4.6178832744498161E-2</v>
      </c>
      <c r="DP34" s="181">
        <v>1.3187701313152509</v>
      </c>
      <c r="DQ34" s="181">
        <v>0.17864924869701926</v>
      </c>
      <c r="DR34" s="181">
        <v>3.4737547440980211E-2</v>
      </c>
      <c r="DS34" s="181">
        <v>2.1508784166454311</v>
      </c>
      <c r="DT34" s="181">
        <v>1.543598212756768</v>
      </c>
      <c r="DU34" s="181">
        <v>2.6510279102626519</v>
      </c>
      <c r="DV34" s="181">
        <v>6.380242087105831</v>
      </c>
      <c r="DW34" s="181">
        <v>6.380242087105831</v>
      </c>
      <c r="DX34" s="181"/>
      <c r="DY34" s="181">
        <v>0.44693333333333335</v>
      </c>
      <c r="DZ34" s="181">
        <v>1.4646528705171895</v>
      </c>
      <c r="EA34" s="181">
        <v>4.6178832744498161E-2</v>
      </c>
      <c r="EB34" s="181">
        <v>1.3187701313152509</v>
      </c>
      <c r="EC34" s="181">
        <v>0.10974240217377851</v>
      </c>
      <c r="ED34" s="181">
        <v>3.4737547440980211E-2</v>
      </c>
      <c r="EE34" s="181">
        <v>1.4817931783200973</v>
      </c>
      <c r="EF34" s="181">
        <v>1.4746913662335275</v>
      </c>
      <c r="EG34" s="181">
        <v>1.9115862038505229</v>
      </c>
      <c r="EH34" s="181">
        <v>4.9028082958451282</v>
      </c>
      <c r="EJ34" s="31">
        <f t="shared" si="38"/>
        <v>2.0478765241819467E-3</v>
      </c>
      <c r="EK34" s="31">
        <f t="shared" si="39"/>
        <v>4.3770233888717189E-2</v>
      </c>
      <c r="EL34" s="31">
        <f t="shared" si="40"/>
        <v>0</v>
      </c>
      <c r="EM34" s="31">
        <f t="shared" si="41"/>
        <v>4.1308578220717519E-2</v>
      </c>
      <c r="EN34" s="31">
        <f t="shared" si="42"/>
        <v>4.7982035039399549E-3</v>
      </c>
      <c r="EO34" s="31">
        <f t="shared" si="43"/>
        <v>6.1072248174769153E-2</v>
      </c>
      <c r="EP34" s="31">
        <f t="shared" si="44"/>
        <v>1.0296996853866458E-2</v>
      </c>
      <c r="EQ34" s="31">
        <f t="shared" si="45"/>
        <v>2.3460818313564214E-2</v>
      </c>
      <c r="ER34" s="31">
        <f t="shared" si="46"/>
        <v>0.18675495547975643</v>
      </c>
      <c r="ES34" s="31">
        <f t="shared" si="47"/>
        <v>2.9019692248108231</v>
      </c>
      <c r="ET34" s="31"/>
      <c r="EU34" s="31">
        <f t="shared" si="48"/>
        <v>7.2929574077547882E-2</v>
      </c>
      <c r="EV34" s="31">
        <f t="shared" si="49"/>
        <v>0.49843732226890042</v>
      </c>
      <c r="EW34" s="31">
        <f t="shared" si="50"/>
        <v>2.2863595777490482</v>
      </c>
      <c r="EX34" s="31">
        <f t="shared" si="51"/>
        <v>1.4237804627375499</v>
      </c>
      <c r="EY34" s="31">
        <f t="shared" si="52"/>
        <v>0.19389406878196425</v>
      </c>
      <c r="EZ34" s="31">
        <f t="shared" si="53"/>
        <v>8.7433309659517349</v>
      </c>
      <c r="FA34" s="31">
        <f t="shared" si="54"/>
        <v>1.2300335577111956</v>
      </c>
      <c r="FB34" s="31">
        <f t="shared" si="55"/>
        <v>0.73645969994540783</v>
      </c>
      <c r="FC34" s="31">
        <f t="shared" si="56"/>
        <v>3.3171498870944878</v>
      </c>
      <c r="FD34" s="31">
        <f t="shared" si="57"/>
        <v>1.9664932576566034</v>
      </c>
      <c r="FE34" s="31">
        <f t="shared" si="58"/>
        <v>12.647365075220298</v>
      </c>
      <c r="FF34" s="31">
        <f t="shared" si="59"/>
        <v>0.57136689634644833</v>
      </c>
      <c r="FG34" s="31">
        <f t="shared" si="60"/>
        <v>18.502375116317836</v>
      </c>
      <c r="FH34" s="31"/>
      <c r="FI34" s="31">
        <f t="shared" si="61"/>
        <v>2.2671600423638014E-2</v>
      </c>
      <c r="FJ34" s="31">
        <f t="shared" si="62"/>
        <v>8.4911416569298043E-2</v>
      </c>
      <c r="FK34" s="31">
        <f t="shared" si="63"/>
        <v>1.8740120119569337E-3</v>
      </c>
      <c r="FL34" s="31">
        <f t="shared" si="64"/>
        <v>5.3517833176267314E-2</v>
      </c>
      <c r="FM34" s="31">
        <f t="shared" si="65"/>
        <v>7.2498765795500396E-3</v>
      </c>
      <c r="FN34" s="31">
        <f t="shared" si="66"/>
        <v>1.4097060774685068E-3</v>
      </c>
      <c r="FO34" s="31">
        <f t="shared" si="67"/>
        <v>8.7286138464222701E-2</v>
      </c>
      <c r="FP34" s="31">
        <f t="shared" si="68"/>
        <v>6.2641721767774272E-2</v>
      </c>
      <c r="FQ34" s="31">
        <f t="shared" si="69"/>
        <v>0.10758301699293606</v>
      </c>
      <c r="FR34" s="31">
        <f t="shared" si="70"/>
        <v>0.25892058330240153</v>
      </c>
      <c r="FS34" s="31">
        <f t="shared" si="71"/>
        <v>0.25892058330240153</v>
      </c>
      <c r="FT34" s="31"/>
      <c r="FU34" s="31">
        <f t="shared" si="72"/>
        <v>1.8137280338910412E-2</v>
      </c>
      <c r="FV34" s="31">
        <f t="shared" si="73"/>
        <v>5.9437991598508627E-2</v>
      </c>
      <c r="FW34" s="31">
        <f t="shared" si="74"/>
        <v>1.8740120119569337E-3</v>
      </c>
      <c r="FX34" s="31">
        <f t="shared" si="75"/>
        <v>5.3517833176267314E-2</v>
      </c>
      <c r="FY34" s="31">
        <f t="shared" si="76"/>
        <v>4.4535248656576796E-3</v>
      </c>
      <c r="FZ34" s="31">
        <f t="shared" si="77"/>
        <v>1.4097060774685068E-3</v>
      </c>
      <c r="GA34" s="31">
        <f t="shared" si="78"/>
        <v>6.0133573119354126E-2</v>
      </c>
      <c r="GB34" s="31">
        <f t="shared" si="79"/>
        <v>5.9845370053881929E-2</v>
      </c>
      <c r="GC34" s="31">
        <f t="shared" si="80"/>
        <v>7.7575271937419032E-2</v>
      </c>
      <c r="GD34" s="31">
        <f t="shared" si="81"/>
        <v>0.19896392118812362</v>
      </c>
    </row>
    <row r="35" spans="1:186">
      <c r="A35" s="39" t="str">
        <f>Basicinfo!A35</f>
        <v>Vökla</v>
      </c>
      <c r="B35" s="63">
        <f>Basicinfo!B35</f>
        <v>1270</v>
      </c>
      <c r="C35" s="63">
        <f>Basicinfo!C35</f>
        <v>1290</v>
      </c>
      <c r="D35" s="227">
        <v>439.71632024610005</v>
      </c>
      <c r="E35" s="89">
        <v>8.5652577286325489</v>
      </c>
      <c r="F35" s="27">
        <v>5.3115747286936958E-2</v>
      </c>
      <c r="G35" s="19">
        <v>1.6709799661312954</v>
      </c>
      <c r="H35" s="19">
        <v>0</v>
      </c>
      <c r="I35" s="19">
        <v>7.0579690837357004E-2</v>
      </c>
      <c r="J35" s="19">
        <v>6.5012304515143962</v>
      </c>
      <c r="K35" s="19">
        <v>4.0908459854948856E-2</v>
      </c>
      <c r="L35" s="19">
        <v>2.0722801786605898E-2</v>
      </c>
      <c r="M35" s="19">
        <v>4.5787153690990928E-2</v>
      </c>
      <c r="N35" s="19">
        <v>8.4033242711025302</v>
      </c>
      <c r="O35" s="19">
        <v>0.16193345753001862</v>
      </c>
      <c r="P35" s="56">
        <v>923.23339933160901</v>
      </c>
      <c r="Q35" s="43">
        <v>2425.8584103509202</v>
      </c>
      <c r="R35" s="88">
        <v>3349.0918096825289</v>
      </c>
      <c r="S35" s="61">
        <v>5.2627448148490448</v>
      </c>
      <c r="T35" s="19">
        <v>76.285514134812928</v>
      </c>
      <c r="U35" s="19">
        <v>0</v>
      </c>
      <c r="V35" s="19">
        <v>8.8307335943537257</v>
      </c>
      <c r="W35" s="19">
        <v>6.0646460258773009E-2</v>
      </c>
      <c r="X35" s="19">
        <v>18.536422110152124</v>
      </c>
      <c r="Y35" s="19">
        <v>482.61160243735605</v>
      </c>
      <c r="Z35" s="19">
        <v>2.9289686619240261</v>
      </c>
      <c r="AA35" s="19">
        <v>7.1192208186638295</v>
      </c>
      <c r="AB35" s="19">
        <v>1.8502160922020097</v>
      </c>
      <c r="AC35" s="19">
        <v>603.48606912457262</v>
      </c>
      <c r="AD35" s="19">
        <v>27.185844833333331</v>
      </c>
      <c r="AE35" s="87">
        <v>630.67191395790587</v>
      </c>
      <c r="AF35" s="56">
        <v>0.10042554234748455</v>
      </c>
      <c r="AG35" s="43">
        <v>1.8083733619293367</v>
      </c>
      <c r="AH35" s="43">
        <v>0</v>
      </c>
      <c r="AI35" s="43">
        <v>3.6764029884229799</v>
      </c>
      <c r="AJ35" s="43">
        <v>1.0916369484839001</v>
      </c>
      <c r="AK35" s="43">
        <v>0.17447627356847087</v>
      </c>
      <c r="AL35" s="58">
        <v>3.2701850167069955</v>
      </c>
      <c r="AM35" s="43">
        <v>0.6423180448487068</v>
      </c>
      <c r="AN35" s="42">
        <v>1.2342489319810592</v>
      </c>
      <c r="AO35" s="42">
        <v>0.28372206455066429</v>
      </c>
      <c r="AP35" s="42">
        <v>12.281789172839598</v>
      </c>
      <c r="AQ35" s="43">
        <v>3.052388666666666</v>
      </c>
      <c r="AR35" s="83">
        <v>15.334177839506264</v>
      </c>
      <c r="AS35" s="19">
        <f t="shared" si="2"/>
        <v>3.8094064953134987</v>
      </c>
      <c r="AT35" s="19">
        <f t="shared" si="3"/>
        <v>119.84095605644944</v>
      </c>
      <c r="AU35" s="19">
        <f t="shared" si="4"/>
        <v>0</v>
      </c>
      <c r="AV35" s="19">
        <f t="shared" si="5"/>
        <v>5.0619024761263267</v>
      </c>
      <c r="AW35" s="19">
        <f t="shared" si="6"/>
        <v>466.26152835130387</v>
      </c>
      <c r="AX35" s="53">
        <f t="shared" si="82"/>
        <v>2.9339124580675811</v>
      </c>
      <c r="AY35" s="53">
        <f t="shared" si="83"/>
        <v>1.4862179251764982</v>
      </c>
      <c r="AZ35" s="53">
        <f t="shared" si="84"/>
        <v>3.2838073374009511</v>
      </c>
      <c r="BA35" s="19">
        <f t="shared" si="85"/>
        <v>602.67773109983807</v>
      </c>
      <c r="BB35" s="19">
        <f t="shared" si="7"/>
        <v>11.613700200639663</v>
      </c>
      <c r="BC35" s="53">
        <f t="shared" si="8"/>
        <v>614.29143130047771</v>
      </c>
      <c r="BD35" s="56">
        <f t="shared" si="9"/>
        <v>20.996114013118607</v>
      </c>
      <c r="BE35" s="43">
        <f t="shared" si="10"/>
        <v>55.168714433733491</v>
      </c>
      <c r="BF35" s="58">
        <f t="shared" si="11"/>
        <v>76.164828446852098</v>
      </c>
      <c r="BG35" s="61">
        <f t="shared" si="12"/>
        <v>119.6850008183366</v>
      </c>
      <c r="BH35" s="19">
        <f t="shared" si="13"/>
        <v>1734.8802084970944</v>
      </c>
      <c r="BI35" s="19">
        <f t="shared" si="14"/>
        <v>0</v>
      </c>
      <c r="BJ35" s="19">
        <f t="shared" si="15"/>
        <v>200.82796993778507</v>
      </c>
      <c r="BK35" s="19">
        <f t="shared" si="16"/>
        <v>1.3792178608433376</v>
      </c>
      <c r="BL35" s="19">
        <f t="shared" si="17"/>
        <v>421.55410787977291</v>
      </c>
      <c r="BM35" s="19">
        <f t="shared" si="18"/>
        <v>10975.521721987676</v>
      </c>
      <c r="BN35" s="53">
        <f t="shared" si="19"/>
        <v>66.610415103190704</v>
      </c>
      <c r="BO35" s="53">
        <f t="shared" si="86"/>
        <v>161.90485753813616</v>
      </c>
      <c r="BP35" s="53">
        <f t="shared" si="87"/>
        <v>42.077494216418494</v>
      </c>
      <c r="BQ35" s="19">
        <f t="shared" si="88"/>
        <v>13724.440993839255</v>
      </c>
      <c r="BR35" s="19">
        <f t="shared" si="20"/>
        <v>618.2587177596223</v>
      </c>
      <c r="BS35" s="53">
        <f t="shared" si="21"/>
        <v>14342.699711598876</v>
      </c>
      <c r="BT35" s="56">
        <f t="shared" si="22"/>
        <v>2.2838711624639827</v>
      </c>
      <c r="BU35" s="43">
        <f t="shared" si="23"/>
        <v>41.12590956181085</v>
      </c>
      <c r="BV35" s="43">
        <f t="shared" si="24"/>
        <v>0</v>
      </c>
      <c r="BW35" s="43">
        <f t="shared" si="25"/>
        <v>83.608518018284471</v>
      </c>
      <c r="BX35" s="43">
        <f t="shared" si="26"/>
        <v>24.825936591867539</v>
      </c>
      <c r="BY35" s="58">
        <f t="shared" si="27"/>
        <v>3.9679280830609178</v>
      </c>
      <c r="BZ35" s="58">
        <f t="shared" si="28"/>
        <v>74.370335285184339</v>
      </c>
      <c r="CA35" s="58">
        <f t="shared" si="29"/>
        <v>14.607555264021466</v>
      </c>
      <c r="CB35" s="58">
        <f t="shared" si="89"/>
        <v>28.069209059383464</v>
      </c>
      <c r="CC35" s="58">
        <f t="shared" si="90"/>
        <v>6.4523887671913327</v>
      </c>
      <c r="CD35" s="58">
        <f t="shared" si="91"/>
        <v>279.31165179326837</v>
      </c>
      <c r="CE35" s="58">
        <f t="shared" si="30"/>
        <v>69.41722483619229</v>
      </c>
      <c r="CF35" s="58">
        <f t="shared" si="92"/>
        <v>348.72887662946067</v>
      </c>
      <c r="CG35" s="127">
        <v>37</v>
      </c>
      <c r="CH35" s="128" t="s">
        <v>169</v>
      </c>
      <c r="CI35" s="128"/>
      <c r="CJ35" s="126">
        <f t="shared" si="93"/>
        <v>32</v>
      </c>
      <c r="CK35" s="126">
        <f t="shared" si="95"/>
        <v>34</v>
      </c>
      <c r="CN35" s="147">
        <f t="shared" si="31"/>
        <v>0.10042554234748455</v>
      </c>
      <c r="CO35" s="147">
        <f t="shared" si="32"/>
        <v>1.8083733619293367</v>
      </c>
      <c r="CP35" s="147">
        <f t="shared" si="33"/>
        <v>0</v>
      </c>
      <c r="CQ35" s="31">
        <f>(AI35-(P35*450/1000000))*Parameters!$C$153</f>
        <v>2.6087583669790049</v>
      </c>
      <c r="CR35" s="31">
        <f t="shared" si="34"/>
        <v>0.17447627356847087</v>
      </c>
      <c r="CS35" s="31">
        <f t="shared" si="35"/>
        <v>3.2701850167069955</v>
      </c>
      <c r="CT35" s="31">
        <f>AM35*Parameters!$C$154</f>
        <v>0.57808624036383616</v>
      </c>
      <c r="CU35" s="31">
        <f>AQ35*Parameters!$C$155</f>
        <v>3.052388666666666</v>
      </c>
      <c r="CV35" s="31">
        <f t="shared" si="36"/>
        <v>11.592693468561794</v>
      </c>
      <c r="CW35" s="188">
        <f t="shared" si="37"/>
        <v>75.60035881868356</v>
      </c>
      <c r="CY35" s="181">
        <v>24.691633333333336</v>
      </c>
      <c r="CZ35" s="181">
        <v>32.556351133599854</v>
      </c>
      <c r="DA35" s="181">
        <v>80.883517554141434</v>
      </c>
      <c r="DB35" s="181">
        <v>57.364074244399148</v>
      </c>
      <c r="DC35" s="181">
        <v>12.704874803651101</v>
      </c>
      <c r="DD35" s="181">
        <v>367.15466626988479</v>
      </c>
      <c r="DE35" s="181">
        <v>43.507055632807955</v>
      </c>
      <c r="DF35" s="181">
        <v>29.732311753056273</v>
      </c>
      <c r="DG35" s="181">
        <v>126.73705355869953</v>
      </c>
      <c r="DH35" s="181">
        <v>73.239367385864227</v>
      </c>
      <c r="DI35" s="181">
        <v>518.10713287207648</v>
      </c>
      <c r="DJ35" s="181">
        <v>57.24798446693319</v>
      </c>
      <c r="DK35" s="181">
        <v>775.33153828357342</v>
      </c>
      <c r="DL35" s="181"/>
      <c r="DM35" s="181">
        <v>3.2171666666666665</v>
      </c>
      <c r="DN35" s="181">
        <v>5.499773999826651</v>
      </c>
      <c r="DO35" s="181">
        <v>0.11572865470314037</v>
      </c>
      <c r="DP35" s="181">
        <v>2.1937353118629961</v>
      </c>
      <c r="DQ35" s="181">
        <v>0.68823993265907779</v>
      </c>
      <c r="DR35" s="181">
        <v>7.0002617891628344E-2</v>
      </c>
      <c r="DS35" s="181">
        <v>3.387981977117644</v>
      </c>
      <c r="DT35" s="181">
        <v>2.9977038992252139</v>
      </c>
      <c r="DU35" s="181">
        <v>8.7169406664933184</v>
      </c>
      <c r="DV35" s="181">
        <v>15.172629160727805</v>
      </c>
      <c r="DW35" s="181">
        <v>15.172629160727805</v>
      </c>
      <c r="DX35" s="181"/>
      <c r="DY35" s="181">
        <v>2.5737333333333337</v>
      </c>
      <c r="DZ35" s="181">
        <v>3.8498417998786558</v>
      </c>
      <c r="EA35" s="181">
        <v>0.11572865470314037</v>
      </c>
      <c r="EB35" s="181">
        <v>2.1937353118629961</v>
      </c>
      <c r="EC35" s="181">
        <v>0.40800622345087606</v>
      </c>
      <c r="ED35" s="181">
        <v>7.0002617891628344E-2</v>
      </c>
      <c r="EE35" s="181">
        <v>2.1787395545992538</v>
      </c>
      <c r="EF35" s="181">
        <v>2.7174701900170124</v>
      </c>
      <c r="EG35" s="181">
        <v>6.4235751332119895</v>
      </c>
      <c r="EH35" s="181">
        <v>11.389787495719885</v>
      </c>
      <c r="EJ35" s="31">
        <f t="shared" si="38"/>
        <v>2.2838711624639831E-3</v>
      </c>
      <c r="EK35" s="31">
        <f t="shared" si="39"/>
        <v>4.1125909561810857E-2</v>
      </c>
      <c r="EL35" s="31">
        <f t="shared" si="40"/>
        <v>0</v>
      </c>
      <c r="EM35" s="31">
        <f t="shared" si="41"/>
        <v>5.9328213369904875E-2</v>
      </c>
      <c r="EN35" s="31">
        <f t="shared" si="42"/>
        <v>3.9679280830609183E-3</v>
      </c>
      <c r="EO35" s="31">
        <f t="shared" si="43"/>
        <v>7.4370335285184344E-2</v>
      </c>
      <c r="EP35" s="31">
        <f t="shared" si="44"/>
        <v>1.314679973761932E-2</v>
      </c>
      <c r="EQ35" s="31">
        <f t="shared" si="45"/>
        <v>6.9417224836192282E-2</v>
      </c>
      <c r="ER35" s="31">
        <f t="shared" si="46"/>
        <v>0.26364028203623657</v>
      </c>
      <c r="ES35" s="31">
        <f t="shared" si="47"/>
        <v>1.7192984507914468</v>
      </c>
      <c r="ET35" s="31"/>
      <c r="EU35" s="31">
        <f t="shared" si="48"/>
        <v>0.56153552179991739</v>
      </c>
      <c r="EV35" s="31">
        <f t="shared" si="49"/>
        <v>0.74039442328132699</v>
      </c>
      <c r="EW35" s="31">
        <f t="shared" si="50"/>
        <v>1.8394477036665964</v>
      </c>
      <c r="EX35" s="31">
        <f t="shared" si="51"/>
        <v>1.3045700512615424</v>
      </c>
      <c r="EY35" s="31">
        <f t="shared" si="52"/>
        <v>0.28893343773413843</v>
      </c>
      <c r="EZ35" s="31">
        <f t="shared" si="53"/>
        <v>8.3498075774034479</v>
      </c>
      <c r="FA35" s="31">
        <f t="shared" si="54"/>
        <v>0.98943463386707964</v>
      </c>
      <c r="FB35" s="31">
        <f t="shared" si="55"/>
        <v>0.6761703030812164</v>
      </c>
      <c r="FC35" s="31">
        <f t="shared" si="56"/>
        <v>2.8822458417683352</v>
      </c>
      <c r="FD35" s="31">
        <f t="shared" si="57"/>
        <v>1.6656049369482959</v>
      </c>
      <c r="FE35" s="31">
        <f t="shared" si="58"/>
        <v>11.782758770065728</v>
      </c>
      <c r="FF35" s="31">
        <f t="shared" si="59"/>
        <v>1.3019299450812443</v>
      </c>
      <c r="FG35" s="31">
        <f t="shared" si="60"/>
        <v>17.6325394938636</v>
      </c>
      <c r="FH35" s="31"/>
      <c r="FI35" s="31">
        <f t="shared" si="61"/>
        <v>7.3164595411561825E-2</v>
      </c>
      <c r="FJ35" s="31">
        <f t="shared" si="62"/>
        <v>0.12507550315049809</v>
      </c>
      <c r="FK35" s="31">
        <f t="shared" si="63"/>
        <v>2.6318935498770989E-3</v>
      </c>
      <c r="FL35" s="31">
        <f t="shared" si="64"/>
        <v>4.9889786001920698E-2</v>
      </c>
      <c r="FM35" s="31">
        <f t="shared" si="65"/>
        <v>1.5651907854452259E-2</v>
      </c>
      <c r="FN35" s="31">
        <f t="shared" si="66"/>
        <v>1.591994990143858E-3</v>
      </c>
      <c r="FO35" s="31">
        <f t="shared" si="67"/>
        <v>7.7049266109146489E-2</v>
      </c>
      <c r="FP35" s="31">
        <f t="shared" si="68"/>
        <v>6.8173587406250041E-2</v>
      </c>
      <c r="FQ35" s="31">
        <f t="shared" si="69"/>
        <v>0.19824009856205993</v>
      </c>
      <c r="FR35" s="31">
        <f t="shared" si="70"/>
        <v>0.34505494706760031</v>
      </c>
      <c r="FS35" s="31">
        <f t="shared" si="71"/>
        <v>0.34505494706760031</v>
      </c>
      <c r="FT35" s="31"/>
      <c r="FU35" s="31">
        <f t="shared" si="72"/>
        <v>5.853167632924948E-2</v>
      </c>
      <c r="FV35" s="31">
        <f t="shared" si="73"/>
        <v>8.7552852205348655E-2</v>
      </c>
      <c r="FW35" s="31">
        <f t="shared" si="74"/>
        <v>2.6318935498770989E-3</v>
      </c>
      <c r="FX35" s="31">
        <f t="shared" si="75"/>
        <v>4.9889786001920698E-2</v>
      </c>
      <c r="FY35" s="31">
        <f t="shared" si="76"/>
        <v>9.2788510379265311E-3</v>
      </c>
      <c r="FZ35" s="31">
        <f t="shared" si="77"/>
        <v>1.591994990143858E-3</v>
      </c>
      <c r="GA35" s="31">
        <f t="shared" si="78"/>
        <v>4.9548753464048342E-2</v>
      </c>
      <c r="GB35" s="31">
        <f t="shared" si="79"/>
        <v>6.1800530589724324E-2</v>
      </c>
      <c r="GC35" s="31">
        <f t="shared" si="80"/>
        <v>0.14608452853459813</v>
      </c>
      <c r="GD35" s="31">
        <f t="shared" si="81"/>
        <v>0.25902580757851468</v>
      </c>
    </row>
    <row r="36" spans="1:186">
      <c r="A36" s="39" t="str">
        <f>Basicinfo!A36</f>
        <v>Ager</v>
      </c>
      <c r="B36" s="63">
        <f>Basicinfo!B36</f>
        <v>1280</v>
      </c>
      <c r="C36" s="63">
        <f>Basicinfo!C36</f>
        <v>1290</v>
      </c>
      <c r="D36" s="227">
        <v>490.82493780599998</v>
      </c>
      <c r="E36" s="89">
        <v>16.217999240909482</v>
      </c>
      <c r="F36" s="27">
        <v>1.120401029614231</v>
      </c>
      <c r="G36" s="19">
        <v>3.7368593612602439</v>
      </c>
      <c r="H36" s="19">
        <v>0</v>
      </c>
      <c r="I36" s="19">
        <v>7.2933066755744541E-2</v>
      </c>
      <c r="J36" s="19">
        <v>11.118601464517452</v>
      </c>
      <c r="K36" s="19">
        <v>3.7607273886844733E-2</v>
      </c>
      <c r="L36" s="19">
        <v>3.2746928270042774E-2</v>
      </c>
      <c r="M36" s="19">
        <v>3.9674808121494314E-2</v>
      </c>
      <c r="N36" s="19">
        <v>16.158823932426053</v>
      </c>
      <c r="O36" s="19">
        <v>5.9175308483426343E-2</v>
      </c>
      <c r="P36" s="56">
        <v>229.28914908338368</v>
      </c>
      <c r="Q36" s="43">
        <v>3369.9583964457261</v>
      </c>
      <c r="R36" s="88">
        <v>3599.2475455291096</v>
      </c>
      <c r="S36" s="61">
        <v>74.090983586504251</v>
      </c>
      <c r="T36" s="19">
        <v>134.99132039779852</v>
      </c>
      <c r="U36" s="19">
        <v>0</v>
      </c>
      <c r="V36" s="19">
        <v>3.6388985472251623</v>
      </c>
      <c r="W36" s="19">
        <v>8.4248959911143159E-2</v>
      </c>
      <c r="X36" s="19">
        <v>13.224944133361076</v>
      </c>
      <c r="Y36" s="19">
        <v>438.75269195922766</v>
      </c>
      <c r="Z36" s="19">
        <v>2.2661138923087045</v>
      </c>
      <c r="AA36" s="19">
        <v>13.519500956315316</v>
      </c>
      <c r="AB36" s="19">
        <v>2.0558430866199178</v>
      </c>
      <c r="AC36" s="19">
        <v>682.62454551927169</v>
      </c>
      <c r="AD36" s="19">
        <v>11.892025</v>
      </c>
      <c r="AE36" s="87">
        <v>694.5165705192718</v>
      </c>
      <c r="AF36" s="56">
        <v>1.4705797248964183</v>
      </c>
      <c r="AG36" s="43">
        <v>3.320231280852493</v>
      </c>
      <c r="AH36" s="43">
        <v>0</v>
      </c>
      <c r="AI36" s="43">
        <v>0.93601423683428353</v>
      </c>
      <c r="AJ36" s="43">
        <v>1.563610900722664</v>
      </c>
      <c r="AK36" s="43">
        <v>0.20697261568710457</v>
      </c>
      <c r="AL36" s="58">
        <v>2.7043149375123452</v>
      </c>
      <c r="AM36" s="43">
        <v>0.53506231196497467</v>
      </c>
      <c r="AN36" s="42">
        <v>2.3199178468641586</v>
      </c>
      <c r="AO36" s="42">
        <v>0.34607142627535104</v>
      </c>
      <c r="AP36" s="42">
        <v>13.402775281609793</v>
      </c>
      <c r="AQ36" s="43">
        <v>0.84938599999999997</v>
      </c>
      <c r="AR36" s="83">
        <v>14.252161281609794</v>
      </c>
      <c r="AS36" s="19">
        <f t="shared" si="2"/>
        <v>71.986902352300305</v>
      </c>
      <c r="AT36" s="19">
        <f t="shared" si="3"/>
        <v>240.09700351305673</v>
      </c>
      <c r="AU36" s="19">
        <f t="shared" si="4"/>
        <v>0</v>
      </c>
      <c r="AV36" s="19">
        <f t="shared" si="5"/>
        <v>4.6860235005382878</v>
      </c>
      <c r="AW36" s="19">
        <f t="shared" si="6"/>
        <v>714.38141947794099</v>
      </c>
      <c r="AX36" s="53">
        <f t="shared" si="82"/>
        <v>2.4163054847964935</v>
      </c>
      <c r="AY36" s="53">
        <f t="shared" si="83"/>
        <v>2.1040233500365653</v>
      </c>
      <c r="AZ36" s="53">
        <f t="shared" si="84"/>
        <v>2.5491466560608602</v>
      </c>
      <c r="BA36" s="19">
        <f t="shared" si="85"/>
        <v>1038.2208243347304</v>
      </c>
      <c r="BB36" s="19">
        <f t="shared" si="7"/>
        <v>3.8020735797881064</v>
      </c>
      <c r="BC36" s="53">
        <f t="shared" si="8"/>
        <v>1042.0228979145186</v>
      </c>
      <c r="BD36" s="56">
        <f t="shared" si="9"/>
        <v>4.6715056921987719</v>
      </c>
      <c r="BE36" s="43">
        <f t="shared" si="10"/>
        <v>68.659070411326823</v>
      </c>
      <c r="BF36" s="58">
        <f t="shared" si="11"/>
        <v>73.330576103525601</v>
      </c>
      <c r="BG36" s="61">
        <f t="shared" si="12"/>
        <v>1509.5195431123132</v>
      </c>
      <c r="BH36" s="19">
        <f t="shared" si="13"/>
        <v>2750.2946570158633</v>
      </c>
      <c r="BI36" s="19">
        <f t="shared" si="14"/>
        <v>0</v>
      </c>
      <c r="BJ36" s="19">
        <f t="shared" si="15"/>
        <v>74.138420176675041</v>
      </c>
      <c r="BK36" s="19">
        <f t="shared" si="16"/>
        <v>1.716476760283171</v>
      </c>
      <c r="BL36" s="19">
        <f t="shared" si="17"/>
        <v>269.44319888221077</v>
      </c>
      <c r="BM36" s="19">
        <f t="shared" si="18"/>
        <v>8939.0872012425334</v>
      </c>
      <c r="BN36" s="53">
        <f t="shared" si="19"/>
        <v>46.169493800341357</v>
      </c>
      <c r="BO36" s="53">
        <f t="shared" si="86"/>
        <v>275.44445921488489</v>
      </c>
      <c r="BP36" s="53">
        <f t="shared" si="87"/>
        <v>41.885465229407231</v>
      </c>
      <c r="BQ36" s="19">
        <f t="shared" si="88"/>
        <v>13907.698915434512</v>
      </c>
      <c r="BR36" s="19">
        <f t="shared" si="20"/>
        <v>242.28648717723382</v>
      </c>
      <c r="BS36" s="53">
        <f t="shared" si="21"/>
        <v>14149.985402611746</v>
      </c>
      <c r="BT36" s="56">
        <f t="shared" si="22"/>
        <v>29.961389726242263</v>
      </c>
      <c r="BU36" s="43">
        <f t="shared" si="23"/>
        <v>67.645936974881749</v>
      </c>
      <c r="BV36" s="43">
        <f t="shared" si="24"/>
        <v>0</v>
      </c>
      <c r="BW36" s="43">
        <f t="shared" si="25"/>
        <v>19.070225751329815</v>
      </c>
      <c r="BX36" s="43">
        <f t="shared" si="26"/>
        <v>31.856794149703248</v>
      </c>
      <c r="BY36" s="58">
        <f t="shared" si="27"/>
        <v>4.216831699959612</v>
      </c>
      <c r="BZ36" s="58">
        <f t="shared" si="28"/>
        <v>55.097341826205941</v>
      </c>
      <c r="CA36" s="58">
        <f t="shared" si="29"/>
        <v>10.901286197003701</v>
      </c>
      <c r="CB36" s="58">
        <f t="shared" si="89"/>
        <v>47.265688194944843</v>
      </c>
      <c r="CC36" s="58">
        <f t="shared" si="90"/>
        <v>7.0508117990560786</v>
      </c>
      <c r="CD36" s="58">
        <f t="shared" si="91"/>
        <v>273.06630631932728</v>
      </c>
      <c r="CE36" s="58">
        <f t="shared" si="30"/>
        <v>17.30527392916866</v>
      </c>
      <c r="CF36" s="58">
        <f t="shared" si="92"/>
        <v>290.37158024849595</v>
      </c>
      <c r="CG36" s="127">
        <v>37</v>
      </c>
      <c r="CH36" s="128" t="s">
        <v>169</v>
      </c>
      <c r="CI36" s="128"/>
      <c r="CJ36" s="126">
        <f t="shared" si="93"/>
        <v>33</v>
      </c>
      <c r="CK36" s="126">
        <f t="shared" si="95"/>
        <v>34</v>
      </c>
      <c r="CN36" s="147">
        <f t="shared" si="31"/>
        <v>1.4705797248964183</v>
      </c>
      <c r="CO36" s="147">
        <f t="shared" si="32"/>
        <v>3.320231280852493</v>
      </c>
      <c r="CP36" s="147">
        <f t="shared" si="33"/>
        <v>0</v>
      </c>
      <c r="CQ36" s="31">
        <f>(AI36-(P36*450/1000000))*Parameters!$C$153</f>
        <v>0.66626729579740873</v>
      </c>
      <c r="CR36" s="31">
        <f t="shared" si="34"/>
        <v>0.20697261568710457</v>
      </c>
      <c r="CS36" s="31">
        <f t="shared" si="35"/>
        <v>2.7043149375123452</v>
      </c>
      <c r="CT36" s="31">
        <f>AM36*Parameters!$C$154</f>
        <v>0.48155608076847722</v>
      </c>
      <c r="CU36" s="31">
        <f>AQ36*Parameters!$C$155</f>
        <v>0.84938599999999997</v>
      </c>
      <c r="CV36" s="31">
        <f t="shared" si="36"/>
        <v>9.6993079355142449</v>
      </c>
      <c r="CW36" s="188">
        <f t="shared" si="37"/>
        <v>68.054997020204226</v>
      </c>
      <c r="CY36" s="181">
        <v>68.294293933333336</v>
      </c>
      <c r="CZ36" s="181">
        <v>35.335742795831003</v>
      </c>
      <c r="DA36" s="181">
        <v>208.37663430332375</v>
      </c>
      <c r="DB36" s="181">
        <v>53.409470840090918</v>
      </c>
      <c r="DC36" s="181">
        <v>14.967497973901594</v>
      </c>
      <c r="DD36" s="181">
        <v>269.24084394729533</v>
      </c>
      <c r="DE36" s="181">
        <v>107.35571561967421</v>
      </c>
      <c r="DF36" s="181">
        <v>28.190502455877645</v>
      </c>
      <c r="DG36" s="181">
        <v>104.89935571430335</v>
      </c>
      <c r="DH36" s="181">
        <v>135.54621807555185</v>
      </c>
      <c r="DI36" s="181">
        <v>545.99444706461156</v>
      </c>
      <c r="DJ36" s="181">
        <v>103.63003672916435</v>
      </c>
      <c r="DK36" s="181">
        <v>890.07005758363107</v>
      </c>
      <c r="DL36" s="181"/>
      <c r="DM36" s="181">
        <v>5.5890999999999993</v>
      </c>
      <c r="DN36" s="181">
        <v>6.0253693894412432</v>
      </c>
      <c r="DO36" s="181">
        <v>0.21610430745186185</v>
      </c>
      <c r="DP36" s="181">
        <v>3.5813855535836128</v>
      </c>
      <c r="DQ36" s="181">
        <v>0.46984715838747043</v>
      </c>
      <c r="DR36" s="181">
        <v>2.3716024097852921</v>
      </c>
      <c r="DS36" s="181">
        <v>3.1793957361285621</v>
      </c>
      <c r="DT36" s="181">
        <v>4.2673370194229445</v>
      </c>
      <c r="DU36" s="181">
        <v>11.614469389441242</v>
      </c>
      <c r="DV36" s="181">
        <v>21.432804554778041</v>
      </c>
      <c r="DW36" s="181">
        <v>21.432804554778041</v>
      </c>
      <c r="DX36" s="181"/>
      <c r="DY36" s="181">
        <v>4.4712800000000001</v>
      </c>
      <c r="DZ36" s="181">
        <v>4.2177585726088695</v>
      </c>
      <c r="EA36" s="181">
        <v>0.21610430745186185</v>
      </c>
      <c r="EB36" s="181">
        <v>3.5813855535836128</v>
      </c>
      <c r="EC36" s="181">
        <v>0.268888868434637</v>
      </c>
      <c r="ED36" s="181">
        <v>2.3716024097852921</v>
      </c>
      <c r="EE36" s="181">
        <v>1.7050101238325714</v>
      </c>
      <c r="EF36" s="181">
        <v>4.0663787294701113</v>
      </c>
      <c r="EG36" s="181">
        <v>8.6890385726088688</v>
      </c>
      <c r="EH36" s="181">
        <v>16.832029835696844</v>
      </c>
      <c r="EJ36" s="31">
        <f t="shared" si="38"/>
        <v>2.9961389726242259E-2</v>
      </c>
      <c r="EK36" s="31">
        <f t="shared" si="39"/>
        <v>6.7645936974881749E-2</v>
      </c>
      <c r="EL36" s="31">
        <f t="shared" si="40"/>
        <v>0</v>
      </c>
      <c r="EM36" s="31">
        <f t="shared" si="41"/>
        <v>1.3574438551872294E-2</v>
      </c>
      <c r="EN36" s="31">
        <f t="shared" si="42"/>
        <v>4.2168316999596119E-3</v>
      </c>
      <c r="EO36" s="31">
        <f t="shared" si="43"/>
        <v>5.5097341826205931E-2</v>
      </c>
      <c r="EP36" s="31">
        <f t="shared" si="44"/>
        <v>9.8111575773033293E-3</v>
      </c>
      <c r="EQ36" s="31">
        <f t="shared" si="45"/>
        <v>1.7305273929168658E-2</v>
      </c>
      <c r="ER36" s="31">
        <f t="shared" si="46"/>
        <v>0.19761237028563383</v>
      </c>
      <c r="ES36" s="31">
        <f t="shared" si="47"/>
        <v>1.3865431802306503</v>
      </c>
      <c r="ET36" s="31"/>
      <c r="EU36" s="31">
        <f t="shared" si="48"/>
        <v>1.3914185827356402</v>
      </c>
      <c r="EV36" s="31">
        <f t="shared" si="49"/>
        <v>0.71992557985710093</v>
      </c>
      <c r="EW36" s="31">
        <f t="shared" si="50"/>
        <v>4.2454369827819392</v>
      </c>
      <c r="EX36" s="31">
        <f t="shared" si="51"/>
        <v>1.0881572374629662</v>
      </c>
      <c r="EY36" s="31">
        <f t="shared" si="52"/>
        <v>0.3049457519580544</v>
      </c>
      <c r="EZ36" s="31">
        <f t="shared" si="53"/>
        <v>5.4854760467308123</v>
      </c>
      <c r="FA36" s="31">
        <f t="shared" si="54"/>
        <v>2.1872506335875475</v>
      </c>
      <c r="FB36" s="31">
        <f t="shared" si="55"/>
        <v>0.57434943264883631</v>
      </c>
      <c r="FC36" s="31">
        <f t="shared" si="56"/>
        <v>2.1372050935962248</v>
      </c>
      <c r="FD36" s="31">
        <f t="shared" si="57"/>
        <v>2.7616000662363835</v>
      </c>
      <c r="FE36" s="31">
        <f t="shared" si="58"/>
        <v>11.124016018933771</v>
      </c>
      <c r="FF36" s="31">
        <f t="shared" si="59"/>
        <v>2.1113441625927418</v>
      </c>
      <c r="FG36" s="31">
        <f t="shared" si="60"/>
        <v>18.134165341359122</v>
      </c>
      <c r="FH36" s="31"/>
      <c r="FI36" s="31">
        <f t="shared" si="61"/>
        <v>0.11387155723960195</v>
      </c>
      <c r="FJ36" s="31">
        <f t="shared" si="62"/>
        <v>0.12276004997575711</v>
      </c>
      <c r="FK36" s="31">
        <f t="shared" si="63"/>
        <v>4.4028795361917353E-3</v>
      </c>
      <c r="FL36" s="31">
        <f t="shared" si="64"/>
        <v>7.2966658328170897E-2</v>
      </c>
      <c r="FM36" s="31">
        <f t="shared" si="65"/>
        <v>9.5726015977855416E-3</v>
      </c>
      <c r="FN36" s="31">
        <f t="shared" si="66"/>
        <v>4.8318702394919366E-2</v>
      </c>
      <c r="FO36" s="31">
        <f t="shared" si="67"/>
        <v>6.4776572892578405E-2</v>
      </c>
      <c r="FP36" s="31">
        <f t="shared" si="68"/>
        <v>8.6942139462148169E-2</v>
      </c>
      <c r="FQ36" s="31">
        <f t="shared" si="69"/>
        <v>0.23663160721535903</v>
      </c>
      <c r="FR36" s="31">
        <f t="shared" si="70"/>
        <v>0.43666902196500496</v>
      </c>
      <c r="FS36" s="31">
        <f t="shared" si="71"/>
        <v>0.43666902196500496</v>
      </c>
      <c r="FT36" s="31"/>
      <c r="FU36" s="31">
        <f t="shared" si="72"/>
        <v>9.1097245791681575E-2</v>
      </c>
      <c r="FV36" s="31">
        <f t="shared" si="73"/>
        <v>8.5932034983029967E-2</v>
      </c>
      <c r="FW36" s="31">
        <f t="shared" si="74"/>
        <v>4.4028795361917353E-3</v>
      </c>
      <c r="FX36" s="31">
        <f t="shared" si="75"/>
        <v>7.2966658328170897E-2</v>
      </c>
      <c r="FY36" s="31">
        <f t="shared" si="76"/>
        <v>5.478304945885127E-3</v>
      </c>
      <c r="FZ36" s="31">
        <f t="shared" si="77"/>
        <v>4.8318702394919366E-2</v>
      </c>
      <c r="GA36" s="31">
        <f t="shared" si="78"/>
        <v>3.4737642538172783E-2</v>
      </c>
      <c r="GB36" s="31">
        <f t="shared" si="79"/>
        <v>8.2847842810247749E-2</v>
      </c>
      <c r="GC36" s="31">
        <f t="shared" si="80"/>
        <v>0.1770292807747115</v>
      </c>
      <c r="GD36" s="31">
        <f t="shared" si="81"/>
        <v>0.3429334685180514</v>
      </c>
    </row>
    <row r="37" spans="1:186">
      <c r="A37" s="39" t="str">
        <f>Basicinfo!A37</f>
        <v>Ager</v>
      </c>
      <c r="B37" s="63">
        <f>Basicinfo!B37</f>
        <v>1290</v>
      </c>
      <c r="C37" s="63">
        <f>Basicinfo!C37</f>
        <v>4020</v>
      </c>
      <c r="D37" s="227">
        <v>1255.3026211260999</v>
      </c>
      <c r="E37" s="89">
        <v>33.001746854544081</v>
      </c>
      <c r="F37" s="27">
        <v>1.2221712647138652</v>
      </c>
      <c r="G37" s="19">
        <v>7.0972564986009212</v>
      </c>
      <c r="H37" s="19">
        <v>0</v>
      </c>
      <c r="I37" s="19">
        <v>0.16331613320657401</v>
      </c>
      <c r="J37" s="19">
        <v>23.765701316560257</v>
      </c>
      <c r="K37" s="19">
        <v>0.1255010454643733</v>
      </c>
      <c r="L37" s="19">
        <v>7.5658337054687039E-2</v>
      </c>
      <c r="M37" s="19">
        <v>0.12555316621340037</v>
      </c>
      <c r="N37" s="19">
        <v>32.575157761814076</v>
      </c>
      <c r="O37" s="19">
        <v>0.42658909273000167</v>
      </c>
      <c r="P37" s="56">
        <v>3509.7709337714714</v>
      </c>
      <c r="Q37" s="43">
        <v>8092.0732025408506</v>
      </c>
      <c r="R37" s="88">
        <v>11601.844136312324</v>
      </c>
      <c r="S37" s="61">
        <v>85.236869318278764</v>
      </c>
      <c r="T37" s="19">
        <v>296.88652713185422</v>
      </c>
      <c r="U37" s="19">
        <v>0</v>
      </c>
      <c r="V37" s="19">
        <v>24.042382315245781</v>
      </c>
      <c r="W37" s="19">
        <v>0.20230183006352126</v>
      </c>
      <c r="X37" s="19">
        <v>37.602828738347483</v>
      </c>
      <c r="Y37" s="19">
        <v>1308.3519953164014</v>
      </c>
      <c r="Z37" s="19">
        <v>8.7066423242748279</v>
      </c>
      <c r="AA37" s="19">
        <v>27.736371341188061</v>
      </c>
      <c r="AB37" s="19">
        <v>5.7552517217901542</v>
      </c>
      <c r="AC37" s="19">
        <v>1794.5211700374441</v>
      </c>
      <c r="AD37" s="19">
        <v>114.42644072222224</v>
      </c>
      <c r="AE37" s="87">
        <v>1908.9476107596661</v>
      </c>
      <c r="AF37" s="56">
        <v>1.6854037958104851</v>
      </c>
      <c r="AG37" s="43">
        <v>6.9169734348012657</v>
      </c>
      <c r="AH37" s="43">
        <v>0</v>
      </c>
      <c r="AI37" s="43">
        <v>11.959112114292907</v>
      </c>
      <c r="AJ37" s="43">
        <v>3.6890523278898169</v>
      </c>
      <c r="AK37" s="43">
        <v>0.44116878273585669</v>
      </c>
      <c r="AL37" s="58">
        <v>13.013080476727808</v>
      </c>
      <c r="AM37" s="43">
        <v>1.9468822581838878</v>
      </c>
      <c r="AN37" s="42">
        <v>4.794304950458975</v>
      </c>
      <c r="AO37" s="42">
        <v>0.92344761232221884</v>
      </c>
      <c r="AP37" s="42">
        <v>45.369425753223219</v>
      </c>
      <c r="AQ37" s="43">
        <v>8.9915198333333315</v>
      </c>
      <c r="AR37" s="83">
        <v>54.360945586556554</v>
      </c>
      <c r="AS37" s="19">
        <f t="shared" si="2"/>
        <v>30.703666474814703</v>
      </c>
      <c r="AT37" s="19">
        <f t="shared" si="3"/>
        <v>178.29890352582572</v>
      </c>
      <c r="AU37" s="19">
        <f t="shared" si="4"/>
        <v>0</v>
      </c>
      <c r="AV37" s="19">
        <f t="shared" si="5"/>
        <v>4.1028653092290064</v>
      </c>
      <c r="AW37" s="19">
        <f t="shared" si="6"/>
        <v>597.04739248190947</v>
      </c>
      <c r="AX37" s="53">
        <f t="shared" si="82"/>
        <v>3.1528660126703429</v>
      </c>
      <c r="AY37" s="53">
        <f t="shared" si="83"/>
        <v>1.9007060745370112</v>
      </c>
      <c r="AZ37" s="53">
        <f t="shared" si="84"/>
        <v>3.1541754020666968</v>
      </c>
      <c r="BA37" s="19">
        <f t="shared" si="85"/>
        <v>818.36057528105289</v>
      </c>
      <c r="BB37" s="19">
        <f t="shared" si="7"/>
        <v>10.716868906292149</v>
      </c>
      <c r="BC37" s="53">
        <f t="shared" si="8"/>
        <v>829.07744418734501</v>
      </c>
      <c r="BD37" s="56">
        <f t="shared" si="9"/>
        <v>27.959560306047521</v>
      </c>
      <c r="BE37" s="43">
        <f t="shared" si="10"/>
        <v>64.463126789950124</v>
      </c>
      <c r="BF37" s="58">
        <f t="shared" si="11"/>
        <v>92.422687095997645</v>
      </c>
      <c r="BG37" s="61">
        <f t="shared" si="12"/>
        <v>679.01450920109573</v>
      </c>
      <c r="BH37" s="19">
        <f t="shared" si="13"/>
        <v>2365.0594058787588</v>
      </c>
      <c r="BI37" s="19">
        <f t="shared" si="14"/>
        <v>0</v>
      </c>
      <c r="BJ37" s="19">
        <f t="shared" si="15"/>
        <v>191.52658419272618</v>
      </c>
      <c r="BK37" s="19">
        <f t="shared" si="16"/>
        <v>1.6115781697487532</v>
      </c>
      <c r="BL37" s="19">
        <f t="shared" si="17"/>
        <v>299.55190171287103</v>
      </c>
      <c r="BM37" s="19">
        <f t="shared" si="18"/>
        <v>10422.602273726732</v>
      </c>
      <c r="BN37" s="53">
        <f t="shared" si="19"/>
        <v>69.358911371222348</v>
      </c>
      <c r="BO37" s="53">
        <f t="shared" si="86"/>
        <v>220.95366387673494</v>
      </c>
      <c r="BP37" s="53">
        <f t="shared" si="87"/>
        <v>45.847524134278196</v>
      </c>
      <c r="BQ37" s="19">
        <f t="shared" si="88"/>
        <v>14295.526352264169</v>
      </c>
      <c r="BR37" s="19">
        <f t="shared" si="20"/>
        <v>911.54466497945498</v>
      </c>
      <c r="BS37" s="53">
        <f t="shared" si="21"/>
        <v>15207.071017243625</v>
      </c>
      <c r="BT37" s="56">
        <f t="shared" si="22"/>
        <v>13.426274807731641</v>
      </c>
      <c r="BU37" s="43">
        <f t="shared" si="23"/>
        <v>55.102039288313009</v>
      </c>
      <c r="BV37" s="43">
        <f t="shared" si="24"/>
        <v>0</v>
      </c>
      <c r="BW37" s="43">
        <f t="shared" si="25"/>
        <v>95.268757612922812</v>
      </c>
      <c r="BX37" s="43">
        <f t="shared" si="26"/>
        <v>29.387752927500962</v>
      </c>
      <c r="BY37" s="58">
        <f t="shared" si="27"/>
        <v>3.514441659813436</v>
      </c>
      <c r="BZ37" s="58">
        <f t="shared" si="28"/>
        <v>103.66488731660662</v>
      </c>
      <c r="CA37" s="58">
        <f t="shared" si="29"/>
        <v>15.509266255155188</v>
      </c>
      <c r="CB37" s="58">
        <f t="shared" si="89"/>
        <v>38.192423641704231</v>
      </c>
      <c r="CC37" s="58">
        <f t="shared" si="90"/>
        <v>7.3563744453414559</v>
      </c>
      <c r="CD37" s="58">
        <f t="shared" si="91"/>
        <v>361.42221795508931</v>
      </c>
      <c r="CE37" s="58">
        <f t="shared" si="30"/>
        <v>71.62830445830879</v>
      </c>
      <c r="CF37" s="58">
        <f t="shared" si="92"/>
        <v>433.05052241339808</v>
      </c>
      <c r="CG37" s="127">
        <v>62</v>
      </c>
      <c r="CH37" s="128" t="s">
        <v>169</v>
      </c>
      <c r="CI37" s="128"/>
      <c r="CJ37" s="126">
        <f t="shared" si="93"/>
        <v>34</v>
      </c>
      <c r="CK37" s="126">
        <f t="shared" si="95"/>
        <v>59</v>
      </c>
      <c r="CN37" s="147">
        <f t="shared" si="31"/>
        <v>1.6854037958104851</v>
      </c>
      <c r="CO37" s="147">
        <f t="shared" si="32"/>
        <v>6.9169734348012657</v>
      </c>
      <c r="CP37" s="147">
        <f t="shared" si="33"/>
        <v>0</v>
      </c>
      <c r="CQ37" s="31">
        <f>(AI37-(P37*450/1000000))*Parameters!$C$153</f>
        <v>8.3037721552765955</v>
      </c>
      <c r="CR37" s="31">
        <f t="shared" si="34"/>
        <v>0.44116878273585669</v>
      </c>
      <c r="CS37" s="31">
        <f t="shared" si="35"/>
        <v>13.013080476727808</v>
      </c>
      <c r="CT37" s="31">
        <f>AM37*Parameters!$C$154</f>
        <v>1.752194032365499</v>
      </c>
      <c r="CU37" s="31">
        <f>AQ37*Parameters!$C$155</f>
        <v>8.9915198333333315</v>
      </c>
      <c r="CV37" s="31">
        <f t="shared" si="36"/>
        <v>41.104112511050843</v>
      </c>
      <c r="CW37" s="188">
        <f t="shared" si="37"/>
        <v>75.613314057612484</v>
      </c>
      <c r="CY37" s="181">
        <v>151.30071893333334</v>
      </c>
      <c r="CZ37" s="181">
        <v>99.627705513427486</v>
      </c>
      <c r="DA37" s="181">
        <v>347.4119874164312</v>
      </c>
      <c r="DB37" s="181">
        <v>163.99433790033225</v>
      </c>
      <c r="DC37" s="181">
        <v>47.039078851756599</v>
      </c>
      <c r="DD37" s="181">
        <v>955.16215962840442</v>
      </c>
      <c r="DE37" s="181">
        <v>182.81217717213673</v>
      </c>
      <c r="DF37" s="181">
        <v>86.176857275045961</v>
      </c>
      <c r="DG37" s="181">
        <v>333.22059659505118</v>
      </c>
      <c r="DH37" s="181">
        <v>268.98903444718269</v>
      </c>
      <c r="DI37" s="181">
        <v>1513.6075637969245</v>
      </c>
      <c r="DJ37" s="181">
        <v>250.92842444676083</v>
      </c>
      <c r="DK37" s="181">
        <v>2366.745619285919</v>
      </c>
      <c r="DL37" s="181"/>
      <c r="DM37" s="181">
        <v>12.466099999999999</v>
      </c>
      <c r="DN37" s="181">
        <v>16.909902336681682</v>
      </c>
      <c r="DO37" s="181">
        <v>0.51812913335998556</v>
      </c>
      <c r="DP37" s="181">
        <v>8.1647930814254046</v>
      </c>
      <c r="DQ37" s="181">
        <v>4.3681959178709944</v>
      </c>
      <c r="DR37" s="181">
        <v>2.5303459353715834</v>
      </c>
      <c r="DS37" s="181">
        <v>9.4820566080286817</v>
      </c>
      <c r="DT37" s="181">
        <v>13.051118132656383</v>
      </c>
      <c r="DU37" s="181">
        <v>29.376002336681683</v>
      </c>
      <c r="DV37" s="181">
        <v>54.439523012738334</v>
      </c>
      <c r="DW37" s="181">
        <v>54.439523012738327</v>
      </c>
      <c r="DX37" s="181"/>
      <c r="DY37" s="181">
        <v>9.97288</v>
      </c>
      <c r="DZ37" s="181">
        <v>11.836931635677177</v>
      </c>
      <c r="EA37" s="181">
        <v>0.51812913335998556</v>
      </c>
      <c r="EB37" s="181">
        <v>8.1647930814254046</v>
      </c>
      <c r="EC37" s="181">
        <v>2.2748324103705002</v>
      </c>
      <c r="ED37" s="181">
        <v>2.5303459353715834</v>
      </c>
      <c r="EE37" s="181">
        <v>5.6619209382347258</v>
      </c>
      <c r="EF37" s="181">
        <v>10.957754625155889</v>
      </c>
      <c r="EG37" s="181">
        <v>21.809811635677178</v>
      </c>
      <c r="EH37" s="181">
        <v>40.959833134439378</v>
      </c>
      <c r="EJ37" s="31">
        <f t="shared" si="38"/>
        <v>1.342627480773164E-2</v>
      </c>
      <c r="EK37" s="31">
        <f t="shared" si="39"/>
        <v>5.5102039288313004E-2</v>
      </c>
      <c r="EL37" s="31">
        <f t="shared" si="40"/>
        <v>0</v>
      </c>
      <c r="EM37" s="31">
        <f t="shared" si="41"/>
        <v>6.6149564380161119E-2</v>
      </c>
      <c r="EN37" s="31">
        <f t="shared" si="42"/>
        <v>3.5144416598134353E-3</v>
      </c>
      <c r="EO37" s="31">
        <f t="shared" si="43"/>
        <v>0.10366488731660663</v>
      </c>
      <c r="EP37" s="31">
        <f t="shared" si="44"/>
        <v>1.3958339629639669E-2</v>
      </c>
      <c r="EQ37" s="31">
        <f t="shared" si="45"/>
        <v>7.162830445830877E-2</v>
      </c>
      <c r="ER37" s="31">
        <f t="shared" si="46"/>
        <v>0.32744385154057426</v>
      </c>
      <c r="ES37" s="31">
        <f t="shared" si="47"/>
        <v>0.60235127996292814</v>
      </c>
      <c r="ET37" s="31"/>
      <c r="EU37" s="31">
        <f t="shared" si="48"/>
        <v>1.2052927826885707</v>
      </c>
      <c r="EV37" s="31">
        <f t="shared" si="49"/>
        <v>0.79365488318708377</v>
      </c>
      <c r="EW37" s="31">
        <f t="shared" si="50"/>
        <v>2.7675556600429685</v>
      </c>
      <c r="EX37" s="31">
        <f t="shared" si="51"/>
        <v>1.306412773624396</v>
      </c>
      <c r="EY37" s="31">
        <f t="shared" si="52"/>
        <v>0.37472301945453629</v>
      </c>
      <c r="EZ37" s="31">
        <f t="shared" si="53"/>
        <v>7.6090190807659814</v>
      </c>
      <c r="FA37" s="31">
        <f t="shared" si="54"/>
        <v>1.4563195686482402</v>
      </c>
      <c r="FB37" s="31">
        <f t="shared" si="55"/>
        <v>0.68650264744718614</v>
      </c>
      <c r="FC37" s="31">
        <f t="shared" si="56"/>
        <v>2.6545041091057988</v>
      </c>
      <c r="FD37" s="31">
        <f t="shared" si="57"/>
        <v>2.1428222160954267</v>
      </c>
      <c r="FE37" s="31">
        <f t="shared" si="58"/>
        <v>12.057710533887885</v>
      </c>
      <c r="FF37" s="31">
        <f t="shared" si="59"/>
        <v>1.9989476658756544</v>
      </c>
      <c r="FG37" s="31">
        <f t="shared" si="60"/>
        <v>18.853984524964762</v>
      </c>
      <c r="FH37" s="31"/>
      <c r="FI37" s="31">
        <f t="shared" si="61"/>
        <v>9.9307527843899346E-2</v>
      </c>
      <c r="FJ37" s="31">
        <f t="shared" si="62"/>
        <v>0.13470777525750915</v>
      </c>
      <c r="FK37" s="31">
        <f t="shared" si="63"/>
        <v>4.1275237113357188E-3</v>
      </c>
      <c r="FL37" s="31">
        <f t="shared" si="64"/>
        <v>6.5042428367599339E-2</v>
      </c>
      <c r="FM37" s="31">
        <f t="shared" si="65"/>
        <v>3.4797951062608294E-2</v>
      </c>
      <c r="FN37" s="31">
        <f t="shared" si="66"/>
        <v>2.015725843941658E-2</v>
      </c>
      <c r="FO37" s="31">
        <f t="shared" si="67"/>
        <v>7.5536021740499282E-2</v>
      </c>
      <c r="FP37" s="31">
        <f t="shared" si="68"/>
        <v>0.10396790314154333</v>
      </c>
      <c r="FQ37" s="31">
        <f t="shared" si="69"/>
        <v>0.2340153031014085</v>
      </c>
      <c r="FR37" s="31">
        <f t="shared" si="70"/>
        <v>0.43367648642286771</v>
      </c>
      <c r="FS37" s="31">
        <f t="shared" si="71"/>
        <v>0.43367648642286766</v>
      </c>
      <c r="FT37" s="31"/>
      <c r="FU37" s="31">
        <f t="shared" si="72"/>
        <v>7.9446022275119474E-2</v>
      </c>
      <c r="FV37" s="31">
        <f t="shared" si="73"/>
        <v>9.4295442680256386E-2</v>
      </c>
      <c r="FW37" s="31">
        <f t="shared" si="74"/>
        <v>4.1275237113357188E-3</v>
      </c>
      <c r="FX37" s="31">
        <f t="shared" si="75"/>
        <v>6.5042428367599339E-2</v>
      </c>
      <c r="FY37" s="31">
        <f t="shared" si="76"/>
        <v>1.8121784915336239E-2</v>
      </c>
      <c r="FZ37" s="31">
        <f t="shared" si="77"/>
        <v>2.015725843941658E-2</v>
      </c>
      <c r="GA37" s="31">
        <f t="shared" si="78"/>
        <v>4.5104031832225132E-2</v>
      </c>
      <c r="GB37" s="31">
        <f t="shared" si="79"/>
        <v>8.7291736994271285E-2</v>
      </c>
      <c r="GC37" s="31">
        <f t="shared" si="80"/>
        <v>0.1737414649553759</v>
      </c>
      <c r="GD37" s="31">
        <f t="shared" si="81"/>
        <v>0.32629449222128892</v>
      </c>
    </row>
    <row r="38" spans="1:186">
      <c r="A38" s="39" t="str">
        <f>Basicinfo!A38</f>
        <v>Alm</v>
      </c>
      <c r="B38" s="63">
        <f>Basicinfo!B38</f>
        <v>1300</v>
      </c>
      <c r="C38" s="63">
        <f>Basicinfo!C38</f>
        <v>1310</v>
      </c>
      <c r="D38" s="227">
        <v>243.148242549</v>
      </c>
      <c r="E38" s="89">
        <v>11.038809232340302</v>
      </c>
      <c r="F38" s="27">
        <v>0.16982946362104109</v>
      </c>
      <c r="G38" s="19">
        <v>2.8068300052156885</v>
      </c>
      <c r="H38" s="19">
        <v>8.3099168451694946E-2</v>
      </c>
      <c r="I38" s="19">
        <v>0</v>
      </c>
      <c r="J38" s="19">
        <v>7.9697246644065798</v>
      </c>
      <c r="K38" s="19">
        <v>1.8475624531827234E-3</v>
      </c>
      <c r="L38" s="19">
        <v>3.6836269351952899E-3</v>
      </c>
      <c r="M38" s="19">
        <v>3.7947412569192744E-3</v>
      </c>
      <c r="N38" s="19">
        <v>11.038809232340302</v>
      </c>
      <c r="O38" s="19">
        <v>0</v>
      </c>
      <c r="P38" s="56">
        <v>3.3090864888345095</v>
      </c>
      <c r="Q38" s="43">
        <v>2523.1021806582889</v>
      </c>
      <c r="R38" s="88">
        <v>2526.4112671471235</v>
      </c>
      <c r="S38" s="61">
        <v>5.2689550090891109</v>
      </c>
      <c r="T38" s="19">
        <v>57.25383817779575</v>
      </c>
      <c r="U38" s="19">
        <v>1.6950123335942273</v>
      </c>
      <c r="V38" s="19">
        <v>2.787833003501115E-2</v>
      </c>
      <c r="W38" s="19">
        <v>6.3077554516457218E-2</v>
      </c>
      <c r="X38" s="19">
        <v>0</v>
      </c>
      <c r="Y38" s="19">
        <v>185.99972639859922</v>
      </c>
      <c r="Z38" s="19">
        <v>8.265868196219113E-2</v>
      </c>
      <c r="AA38" s="19">
        <v>1.692542321021288</v>
      </c>
      <c r="AB38" s="19">
        <v>0.32813353472124773</v>
      </c>
      <c r="AC38" s="19">
        <v>252.41182234133447</v>
      </c>
      <c r="AD38" s="19">
        <v>0</v>
      </c>
      <c r="AE38" s="87">
        <v>252.41182234133447</v>
      </c>
      <c r="AF38" s="56">
        <v>0.14763939316056271</v>
      </c>
      <c r="AG38" s="43">
        <v>0.84467998665163446</v>
      </c>
      <c r="AH38" s="43">
        <v>6.7182327110039408E-3</v>
      </c>
      <c r="AI38" s="43">
        <v>1.2042597820734045E-2</v>
      </c>
      <c r="AJ38" s="43">
        <v>1.1548221339711999</v>
      </c>
      <c r="AK38" s="43">
        <v>0</v>
      </c>
      <c r="AL38" s="58">
        <v>0.76830718626898253</v>
      </c>
      <c r="AM38" s="43">
        <v>2.4951469532470943E-2</v>
      </c>
      <c r="AN38" s="42">
        <v>0.29494820596142085</v>
      </c>
      <c r="AO38" s="42">
        <v>5.487589294115381E-2</v>
      </c>
      <c r="AP38" s="42">
        <v>3.3089850990191634</v>
      </c>
      <c r="AQ38" s="43">
        <v>0</v>
      </c>
      <c r="AR38" s="83">
        <v>3.3089850990191634</v>
      </c>
      <c r="AS38" s="19">
        <f t="shared" si="2"/>
        <v>22.026652994104392</v>
      </c>
      <c r="AT38" s="19">
        <f t="shared" si="3"/>
        <v>364.04207621054019</v>
      </c>
      <c r="AU38" s="19">
        <f t="shared" si="4"/>
        <v>10.777850371526077</v>
      </c>
      <c r="AV38" s="19">
        <f t="shared" si="5"/>
        <v>0</v>
      </c>
      <c r="AW38" s="19">
        <f t="shared" si="6"/>
        <v>1033.6625689000259</v>
      </c>
      <c r="AX38" s="53">
        <f t="shared" si="82"/>
        <v>0.23962636502227103</v>
      </c>
      <c r="AY38" s="53">
        <f t="shared" si="83"/>
        <v>0.47776145864968927</v>
      </c>
      <c r="AZ38" s="53">
        <f t="shared" si="84"/>
        <v>0.49217283671745954</v>
      </c>
      <c r="BA38" s="19">
        <f t="shared" si="85"/>
        <v>1431.7187091365859</v>
      </c>
      <c r="BB38" s="19">
        <f t="shared" si="7"/>
        <v>0</v>
      </c>
      <c r="BC38" s="53">
        <f t="shared" si="8"/>
        <v>1431.7187091365859</v>
      </c>
      <c r="BD38" s="56">
        <f t="shared" si="9"/>
        <v>0.13609337473075309</v>
      </c>
      <c r="BE38" s="43">
        <f t="shared" si="10"/>
        <v>103.76806158283566</v>
      </c>
      <c r="BF38" s="58">
        <f t="shared" si="11"/>
        <v>103.9041549575664</v>
      </c>
      <c r="BG38" s="61">
        <f t="shared" si="12"/>
        <v>216.69722774275428</v>
      </c>
      <c r="BH38" s="19">
        <f t="shared" si="13"/>
        <v>2354.6885462788314</v>
      </c>
      <c r="BI38" s="19">
        <f t="shared" si="14"/>
        <v>69.711066624413021</v>
      </c>
      <c r="BJ38" s="19">
        <f t="shared" si="15"/>
        <v>1.1465569211092703</v>
      </c>
      <c r="BK38" s="19">
        <f t="shared" si="16"/>
        <v>2.5942015395708911</v>
      </c>
      <c r="BL38" s="19">
        <f t="shared" si="17"/>
        <v>0</v>
      </c>
      <c r="BM38" s="19">
        <f t="shared" si="18"/>
        <v>7649.6430510336086</v>
      </c>
      <c r="BN38" s="53">
        <f t="shared" si="19"/>
        <v>3.3995179687771544</v>
      </c>
      <c r="BO38" s="53">
        <f t="shared" si="86"/>
        <v>69.609481988347156</v>
      </c>
      <c r="BP38" s="53">
        <f t="shared" si="87"/>
        <v>13.49520487095938</v>
      </c>
      <c r="BQ38" s="19">
        <f t="shared" si="88"/>
        <v>10380.984854968372</v>
      </c>
      <c r="BR38" s="19">
        <f t="shared" si="20"/>
        <v>0</v>
      </c>
      <c r="BS38" s="53">
        <f t="shared" si="21"/>
        <v>10380.984854968372</v>
      </c>
      <c r="BT38" s="56">
        <f t="shared" si="22"/>
        <v>6.0719909637352183</v>
      </c>
      <c r="BU38" s="43">
        <f t="shared" si="23"/>
        <v>34.739300510527521</v>
      </c>
      <c r="BV38" s="43">
        <f t="shared" si="24"/>
        <v>0.27630192349221122</v>
      </c>
      <c r="BW38" s="43">
        <f t="shared" si="25"/>
        <v>0.49527801206735778</v>
      </c>
      <c r="BX38" s="43">
        <f t="shared" si="26"/>
        <v>47.494570467169908</v>
      </c>
      <c r="BY38" s="58">
        <f t="shared" si="27"/>
        <v>0</v>
      </c>
      <c r="BZ38" s="58">
        <f t="shared" si="28"/>
        <v>31.598303085170397</v>
      </c>
      <c r="CA38" s="58">
        <f t="shared" si="29"/>
        <v>1.0261834208998095</v>
      </c>
      <c r="CB38" s="58">
        <f t="shared" si="89"/>
        <v>12.130386091603437</v>
      </c>
      <c r="CC38" s="58">
        <f t="shared" si="90"/>
        <v>2.2568903795426385</v>
      </c>
      <c r="CD38" s="58">
        <f t="shared" si="91"/>
        <v>136.0892048542085</v>
      </c>
      <c r="CE38" s="58">
        <f t="shared" si="30"/>
        <v>0</v>
      </c>
      <c r="CF38" s="58">
        <f t="shared" si="92"/>
        <v>136.0892048542085</v>
      </c>
      <c r="CG38" s="127">
        <v>39</v>
      </c>
      <c r="CH38" s="128" t="s">
        <v>169</v>
      </c>
      <c r="CI38" s="128"/>
      <c r="CJ38" s="126">
        <f t="shared" si="93"/>
        <v>35</v>
      </c>
      <c r="CK38" s="126">
        <f t="shared" si="95"/>
        <v>36</v>
      </c>
      <c r="CN38" s="147">
        <f t="shared" si="31"/>
        <v>0.14763939316056271</v>
      </c>
      <c r="CO38" s="147">
        <f t="shared" si="32"/>
        <v>0.84467998665163446</v>
      </c>
      <c r="CP38" s="147">
        <f t="shared" si="33"/>
        <v>6.7182327110039408E-3</v>
      </c>
      <c r="CQ38" s="31">
        <f>(AI38-(P38*450/1000000))*Parameters!$C$153</f>
        <v>8.4428071206068128E-3</v>
      </c>
      <c r="CR38" s="31">
        <f t="shared" si="34"/>
        <v>0</v>
      </c>
      <c r="CS38" s="31">
        <f t="shared" si="35"/>
        <v>0.76830718626898253</v>
      </c>
      <c r="CT38" s="31">
        <f>AM38*Parameters!$C$154</f>
        <v>2.245632257922385E-2</v>
      </c>
      <c r="CU38" s="31">
        <f>AQ38*Parameters!$C$155</f>
        <v>0</v>
      </c>
      <c r="CV38" s="31">
        <f t="shared" si="36"/>
        <v>1.7982439284920142</v>
      </c>
      <c r="CW38" s="188">
        <f t="shared" si="37"/>
        <v>54.344273989781421</v>
      </c>
      <c r="CY38" s="181">
        <v>0</v>
      </c>
      <c r="CZ38" s="181">
        <v>1.8560940210297578</v>
      </c>
      <c r="DA38" s="181">
        <v>123.97439509958045</v>
      </c>
      <c r="DB38" s="181">
        <v>1.5012411558199381</v>
      </c>
      <c r="DC38" s="181">
        <v>0.64725265392173781</v>
      </c>
      <c r="DD38" s="181">
        <v>9.465734958763484</v>
      </c>
      <c r="DE38" s="181">
        <v>93.732815490841475</v>
      </c>
      <c r="DF38" s="181">
        <v>1.0794712467776535</v>
      </c>
      <c r="DG38" s="181">
        <v>32.157801828381103</v>
      </c>
      <c r="DH38" s="181">
        <v>94.812286737619132</v>
      </c>
      <c r="DI38" s="181">
        <v>135.58862386808562</v>
      </c>
      <c r="DJ38" s="181">
        <v>1.8560940210297578</v>
      </c>
      <c r="DK38" s="181">
        <v>264.41480645511564</v>
      </c>
      <c r="DL38" s="181"/>
      <c r="DM38" s="181">
        <v>0</v>
      </c>
      <c r="DN38" s="181">
        <v>0.33462614945484398</v>
      </c>
      <c r="DO38" s="181">
        <v>8.8652858445199129E-3</v>
      </c>
      <c r="DP38" s="181">
        <v>0.16486703491800822</v>
      </c>
      <c r="DQ38" s="181">
        <v>5.9038778332798358E-7</v>
      </c>
      <c r="DR38" s="181">
        <v>6.2241597857470153E-2</v>
      </c>
      <c r="DS38" s="181">
        <v>1.7664795111779223</v>
      </c>
      <c r="DT38" s="181">
        <v>0.17373291115031164</v>
      </c>
      <c r="DU38" s="181">
        <v>0.33462614945484398</v>
      </c>
      <c r="DV38" s="181">
        <v>2.3370801696405481</v>
      </c>
      <c r="DW38" s="181">
        <v>2.3370801696405481</v>
      </c>
      <c r="DX38" s="181"/>
      <c r="DY38" s="181">
        <v>0</v>
      </c>
      <c r="DZ38" s="181">
        <v>0.23423830461839076</v>
      </c>
      <c r="EA38" s="181">
        <v>8.8652858445199129E-3</v>
      </c>
      <c r="EB38" s="181">
        <v>0.16486703491800822</v>
      </c>
      <c r="EC38" s="181">
        <v>1.5032902589260377E-3</v>
      </c>
      <c r="ED38" s="181">
        <v>6.2241597857470153E-2</v>
      </c>
      <c r="EE38" s="181">
        <v>0.53332421412170228</v>
      </c>
      <c r="EF38" s="181">
        <v>0.17523561102145419</v>
      </c>
      <c r="EG38" s="181">
        <v>0.23423830461839076</v>
      </c>
      <c r="EH38" s="181">
        <v>1.0050397276190173</v>
      </c>
      <c r="EJ38" s="31">
        <f t="shared" si="38"/>
        <v>6.0719909637352177E-3</v>
      </c>
      <c r="EK38" s="31">
        <f t="shared" si="39"/>
        <v>3.4739300510527517E-2</v>
      </c>
      <c r="EL38" s="31">
        <f t="shared" si="40"/>
        <v>2.7630192349221121E-4</v>
      </c>
      <c r="EM38" s="31">
        <f t="shared" si="41"/>
        <v>3.4722879475081506E-4</v>
      </c>
      <c r="EN38" s="31">
        <f t="shared" si="42"/>
        <v>0</v>
      </c>
      <c r="EO38" s="31">
        <f t="shared" si="43"/>
        <v>3.1598303085170393E-2</v>
      </c>
      <c r="EP38" s="31">
        <f t="shared" si="44"/>
        <v>9.2356507880982856E-4</v>
      </c>
      <c r="EQ38" s="31">
        <f t="shared" si="45"/>
        <v>0</v>
      </c>
      <c r="ER38" s="31">
        <f t="shared" si="46"/>
        <v>7.3956690356485971E-2</v>
      </c>
      <c r="ES38" s="31">
        <f t="shared" si="47"/>
        <v>2.235026394600808</v>
      </c>
      <c r="ET38" s="31"/>
      <c r="EU38" s="31">
        <f t="shared" si="48"/>
        <v>0</v>
      </c>
      <c r="EV38" s="31">
        <f t="shared" si="49"/>
        <v>7.6335901159380659E-2</v>
      </c>
      <c r="EW38" s="31">
        <f t="shared" si="50"/>
        <v>5.0987164784708137</v>
      </c>
      <c r="EX38" s="31">
        <f t="shared" si="51"/>
        <v>6.1741805742947263E-2</v>
      </c>
      <c r="EY38" s="31">
        <f t="shared" si="52"/>
        <v>2.6619672309221049E-2</v>
      </c>
      <c r="EZ38" s="31">
        <f t="shared" si="53"/>
        <v>0.38929892560732449</v>
      </c>
      <c r="FA38" s="31">
        <f t="shared" si="54"/>
        <v>3.8549657817062832</v>
      </c>
      <c r="FB38" s="31">
        <f t="shared" si="55"/>
        <v>4.4395601443021536E-2</v>
      </c>
      <c r="FC38" s="31">
        <f t="shared" si="56"/>
        <v>1.3225595007909861</v>
      </c>
      <c r="FD38" s="31">
        <f t="shared" si="57"/>
        <v>3.8993613831493055</v>
      </c>
      <c r="FE38" s="31">
        <f t="shared" si="58"/>
        <v>5.5763768821303064</v>
      </c>
      <c r="FF38" s="31">
        <f t="shared" si="59"/>
        <v>7.6335901159380659E-2</v>
      </c>
      <c r="FG38" s="31">
        <f t="shared" si="60"/>
        <v>10.874633667229979</v>
      </c>
      <c r="FH38" s="31"/>
      <c r="FI38" s="31">
        <f t="shared" si="61"/>
        <v>0</v>
      </c>
      <c r="FJ38" s="31">
        <f t="shared" si="62"/>
        <v>1.376222776471062E-2</v>
      </c>
      <c r="FK38" s="31">
        <f t="shared" si="63"/>
        <v>3.6460415060303604E-4</v>
      </c>
      <c r="FL38" s="31">
        <f t="shared" si="64"/>
        <v>6.780515178298429E-3</v>
      </c>
      <c r="FM38" s="31">
        <f t="shared" si="65"/>
        <v>2.4280980900324903E-8</v>
      </c>
      <c r="FN38" s="31">
        <f t="shared" si="66"/>
        <v>2.5598210048722449E-3</v>
      </c>
      <c r="FO38" s="31">
        <f t="shared" si="67"/>
        <v>7.2650309648935082E-2</v>
      </c>
      <c r="FP38" s="31">
        <f t="shared" si="68"/>
        <v>7.1451436098823717E-3</v>
      </c>
      <c r="FQ38" s="31">
        <f t="shared" si="69"/>
        <v>1.376222776471062E-2</v>
      </c>
      <c r="FR38" s="31">
        <f t="shared" si="70"/>
        <v>9.6117502028400317E-2</v>
      </c>
      <c r="FS38" s="31">
        <f t="shared" si="71"/>
        <v>9.6117502028400317E-2</v>
      </c>
      <c r="FT38" s="31"/>
      <c r="FU38" s="31">
        <f t="shared" si="72"/>
        <v>0</v>
      </c>
      <c r="FV38" s="31">
        <f t="shared" si="73"/>
        <v>9.6335594352974317E-3</v>
      </c>
      <c r="FW38" s="31">
        <f t="shared" si="74"/>
        <v>3.6460415060303604E-4</v>
      </c>
      <c r="FX38" s="31">
        <f t="shared" si="75"/>
        <v>6.780515178298429E-3</v>
      </c>
      <c r="FY38" s="31">
        <f t="shared" si="76"/>
        <v>6.18260795622691E-5</v>
      </c>
      <c r="FZ38" s="31">
        <f t="shared" si="77"/>
        <v>2.5598210048722449E-3</v>
      </c>
      <c r="GA38" s="31">
        <f t="shared" si="78"/>
        <v>2.1934117579082445E-2</v>
      </c>
      <c r="GB38" s="31">
        <f t="shared" si="79"/>
        <v>7.2069454084637326E-3</v>
      </c>
      <c r="GC38" s="31">
        <f t="shared" si="80"/>
        <v>9.6335594352974317E-3</v>
      </c>
      <c r="GD38" s="31">
        <f t="shared" si="81"/>
        <v>4.1334443427715854E-2</v>
      </c>
    </row>
    <row r="39" spans="1:186">
      <c r="A39" s="39" t="str">
        <f>Basicinfo!A39</f>
        <v>Alm</v>
      </c>
      <c r="B39" s="63">
        <f>Basicinfo!B39</f>
        <v>1310</v>
      </c>
      <c r="C39" s="63">
        <f>Basicinfo!C39</f>
        <v>4020</v>
      </c>
      <c r="D39" s="227">
        <v>501.80862673800004</v>
      </c>
      <c r="E39" s="89">
        <v>15.9762405697067</v>
      </c>
      <c r="F39" s="27">
        <v>0.22604130268224151</v>
      </c>
      <c r="G39" s="19">
        <v>3.7821530754112143</v>
      </c>
      <c r="H39" s="19">
        <v>8.3099168451694946E-2</v>
      </c>
      <c r="I39" s="19">
        <v>1.3361144901874563E-2</v>
      </c>
      <c r="J39" s="19">
        <v>11.766748845749907</v>
      </c>
      <c r="K39" s="19">
        <v>1.6053348726465255E-2</v>
      </c>
      <c r="L39" s="19">
        <v>2.2188729695028539E-2</v>
      </c>
      <c r="M39" s="19">
        <v>2.8236763818952102E-2</v>
      </c>
      <c r="N39" s="19">
        <v>15.937882379437379</v>
      </c>
      <c r="O39" s="19">
        <v>3.8358190269321829E-2</v>
      </c>
      <c r="P39" s="56">
        <v>2580.8324814197749</v>
      </c>
      <c r="Q39" s="43">
        <v>5723.5079818964859</v>
      </c>
      <c r="R39" s="88">
        <v>8304.3404633162609</v>
      </c>
      <c r="S39" s="61">
        <v>9.8253896900256343</v>
      </c>
      <c r="T39" s="19">
        <v>95.091854292597773</v>
      </c>
      <c r="U39" s="19">
        <v>1.6950123335942273</v>
      </c>
      <c r="V39" s="19">
        <v>17.245268460054575</v>
      </c>
      <c r="W39" s="19">
        <v>0.14308769954741213</v>
      </c>
      <c r="X39" s="19">
        <v>4.1214743790921489</v>
      </c>
      <c r="Y39" s="19">
        <v>425.90868015801834</v>
      </c>
      <c r="Z39" s="19">
        <v>0.99215211671765902</v>
      </c>
      <c r="AA39" s="19">
        <v>7.6884488294535958</v>
      </c>
      <c r="AB39" s="19">
        <v>2.8189745278949614</v>
      </c>
      <c r="AC39" s="19">
        <v>565.53034248699623</v>
      </c>
      <c r="AD39" s="19">
        <v>13.584467966666665</v>
      </c>
      <c r="AE39" s="87">
        <v>579.11481045366304</v>
      </c>
      <c r="AF39" s="56">
        <v>0.25543088425987936</v>
      </c>
      <c r="AG39" s="43">
        <v>1.8071500903565654</v>
      </c>
      <c r="AH39" s="43">
        <v>6.7182327110039408E-3</v>
      </c>
      <c r="AI39" s="43">
        <v>7.1731020991677994</v>
      </c>
      <c r="AJ39" s="43">
        <v>2.5950047445283886</v>
      </c>
      <c r="AK39" s="43">
        <v>2.6945514079959165E-2</v>
      </c>
      <c r="AL39" s="58">
        <v>2.744058794323692</v>
      </c>
      <c r="AM39" s="43">
        <v>0.26535352747708135</v>
      </c>
      <c r="AN39" s="42">
        <v>1.3797468506770258</v>
      </c>
      <c r="AO39" s="42">
        <v>0.44053652754621953</v>
      </c>
      <c r="AP39" s="42">
        <v>16.694047265127612</v>
      </c>
      <c r="AQ39" s="43">
        <v>1.1829415000000001</v>
      </c>
      <c r="AR39" s="83">
        <v>17.876988765127614</v>
      </c>
      <c r="AS39" s="19">
        <f t="shared" si="2"/>
        <v>14.205492176819444</v>
      </c>
      <c r="AT39" s="19">
        <f t="shared" si="3"/>
        <v>237.68818037566811</v>
      </c>
      <c r="AU39" s="19">
        <f t="shared" si="4"/>
        <v>5.222340224256258</v>
      </c>
      <c r="AV39" s="19">
        <f t="shared" si="5"/>
        <v>0.83967680740074546</v>
      </c>
      <c r="AW39" s="19">
        <f t="shared" si="6"/>
        <v>739.47750562150497</v>
      </c>
      <c r="AX39" s="53">
        <f t="shared" si="82"/>
        <v>1.0088674814714405</v>
      </c>
      <c r="AY39" s="53">
        <f t="shared" si="83"/>
        <v>1.3944435037139451</v>
      </c>
      <c r="AZ39" s="53">
        <f t="shared" si="84"/>
        <v>1.7745302419031557</v>
      </c>
      <c r="BA39" s="19">
        <f t="shared" si="85"/>
        <v>1001.611036432738</v>
      </c>
      <c r="BB39" s="19">
        <f t="shared" si="7"/>
        <v>2.4106079965120095</v>
      </c>
      <c r="BC39" s="53">
        <f t="shared" si="8"/>
        <v>1004.02164442925</v>
      </c>
      <c r="BD39" s="56">
        <f t="shared" si="9"/>
        <v>51.430612068119281</v>
      </c>
      <c r="BE39" s="43">
        <f t="shared" si="10"/>
        <v>114.05758444413502</v>
      </c>
      <c r="BF39" s="58">
        <f t="shared" si="11"/>
        <v>165.48819651225429</v>
      </c>
      <c r="BG39" s="61">
        <f t="shared" si="12"/>
        <v>195.79953724381829</v>
      </c>
      <c r="BH39" s="19">
        <f t="shared" si="13"/>
        <v>1894.9824539833253</v>
      </c>
      <c r="BI39" s="19">
        <f t="shared" si="14"/>
        <v>33.778062856603952</v>
      </c>
      <c r="BJ39" s="19">
        <f t="shared" si="15"/>
        <v>343.66225571204706</v>
      </c>
      <c r="BK39" s="19">
        <f t="shared" si="16"/>
        <v>2.8514396111033746</v>
      </c>
      <c r="BL39" s="19">
        <f t="shared" si="17"/>
        <v>82.132393894535767</v>
      </c>
      <c r="BM39" s="19">
        <f t="shared" si="18"/>
        <v>8487.4722646087557</v>
      </c>
      <c r="BN39" s="53">
        <f t="shared" si="19"/>
        <v>19.771523721445963</v>
      </c>
      <c r="BO39" s="53">
        <f t="shared" si="86"/>
        <v>153.21475996601035</v>
      </c>
      <c r="BP39" s="53">
        <f t="shared" si="87"/>
        <v>56.176286689602492</v>
      </c>
      <c r="BQ39" s="19">
        <f t="shared" si="88"/>
        <v>11269.840978287248</v>
      </c>
      <c r="BR39" s="19">
        <f t="shared" si="20"/>
        <v>270.71013216676465</v>
      </c>
      <c r="BS39" s="53">
        <f t="shared" si="21"/>
        <v>11540.551110454013</v>
      </c>
      <c r="BT39" s="56">
        <f t="shared" si="22"/>
        <v>5.0902051230227805</v>
      </c>
      <c r="BU39" s="43">
        <f t="shared" si="23"/>
        <v>36.012734617655326</v>
      </c>
      <c r="BV39" s="43">
        <f t="shared" si="24"/>
        <v>0.13388037496835634</v>
      </c>
      <c r="BW39" s="43">
        <f t="shared" si="25"/>
        <v>142.94497378007327</v>
      </c>
      <c r="BX39" s="43">
        <f t="shared" si="26"/>
        <v>51.713035732310551</v>
      </c>
      <c r="BY39" s="58">
        <f t="shared" si="27"/>
        <v>0.53696793247892338</v>
      </c>
      <c r="BZ39" s="58">
        <f t="shared" si="28"/>
        <v>54.683372268057802</v>
      </c>
      <c r="CA39" s="58">
        <f t="shared" si="29"/>
        <v>5.2879427203555318</v>
      </c>
      <c r="CB39" s="58">
        <f t="shared" si="89"/>
        <v>27.495478896926322</v>
      </c>
      <c r="CC39" s="58">
        <f t="shared" si="90"/>
        <v>8.7789747739077573</v>
      </c>
      <c r="CD39" s="58">
        <f t="shared" si="91"/>
        <v>332.67756621975661</v>
      </c>
      <c r="CE39" s="58">
        <f t="shared" si="30"/>
        <v>23.573558463705471</v>
      </c>
      <c r="CF39" s="58">
        <f t="shared" si="92"/>
        <v>356.25112468346208</v>
      </c>
      <c r="CG39" s="127">
        <v>62</v>
      </c>
      <c r="CH39" s="128" t="s">
        <v>169</v>
      </c>
      <c r="CI39" s="128"/>
      <c r="CJ39" s="126">
        <f t="shared" si="93"/>
        <v>36</v>
      </c>
      <c r="CK39" s="126">
        <f t="shared" si="95"/>
        <v>59</v>
      </c>
      <c r="CN39" s="147">
        <f t="shared" si="31"/>
        <v>0.25543088425987936</v>
      </c>
      <c r="CO39" s="147">
        <f t="shared" si="32"/>
        <v>1.8071500903565654</v>
      </c>
      <c r="CP39" s="147">
        <f t="shared" si="33"/>
        <v>6.7182327110039408E-3</v>
      </c>
      <c r="CQ39" s="31">
        <f>(AI39-(P39*450/1000000))*Parameters!$C$153</f>
        <v>4.8093819860231211</v>
      </c>
      <c r="CR39" s="31">
        <f t="shared" si="34"/>
        <v>2.6945514079959165E-2</v>
      </c>
      <c r="CS39" s="31">
        <f t="shared" si="35"/>
        <v>2.744058794323692</v>
      </c>
      <c r="CT39" s="31">
        <f>AM39*Parameters!$C$154</f>
        <v>0.23881817472937322</v>
      </c>
      <c r="CU39" s="31">
        <f>AQ39*Parameters!$C$155</f>
        <v>1.1829415000000001</v>
      </c>
      <c r="CV39" s="31">
        <f t="shared" si="36"/>
        <v>11.071445176483593</v>
      </c>
      <c r="CW39" s="188">
        <f t="shared" si="37"/>
        <v>61.931264386542004</v>
      </c>
      <c r="CY39" s="181">
        <v>11.117241570666668</v>
      </c>
      <c r="CZ39" s="181">
        <v>14.174582861080776</v>
      </c>
      <c r="DA39" s="181">
        <v>181.85139304687002</v>
      </c>
      <c r="DB39" s="181">
        <v>42.90152944989817</v>
      </c>
      <c r="DC39" s="181">
        <v>15.484314843950884</v>
      </c>
      <c r="DD39" s="181">
        <v>301.87938492655314</v>
      </c>
      <c r="DE39" s="181">
        <v>132.89294876743841</v>
      </c>
      <c r="DF39" s="181">
        <v>28.031213838048849</v>
      </c>
      <c r="DG39" s="181">
        <v>126.35519243954965</v>
      </c>
      <c r="DH39" s="181">
        <v>160.92416260548725</v>
      </c>
      <c r="DI39" s="181">
        <v>542.11662226727219</v>
      </c>
      <c r="DJ39" s="181">
        <v>25.291824431747443</v>
      </c>
      <c r="DK39" s="181">
        <v>854.68780174405651</v>
      </c>
      <c r="DL39" s="181"/>
      <c r="DM39" s="181">
        <v>0.92947264916666672</v>
      </c>
      <c r="DN39" s="181">
        <v>2.4867509407119393</v>
      </c>
      <c r="DO39" s="181">
        <v>0.10807155374724146</v>
      </c>
      <c r="DP39" s="181">
        <v>1.9171978179348859</v>
      </c>
      <c r="DQ39" s="181">
        <v>4.1661296801896128</v>
      </c>
      <c r="DR39" s="181">
        <v>0.13705515553046552</v>
      </c>
      <c r="DS39" s="181">
        <v>5.2889245913621927</v>
      </c>
      <c r="DT39" s="181">
        <v>6.1913990518717421</v>
      </c>
      <c r="DU39" s="181">
        <v>3.416223589878606</v>
      </c>
      <c r="DV39" s="181">
        <v>15.033602388643004</v>
      </c>
      <c r="DW39" s="181">
        <v>15.033602388643004</v>
      </c>
      <c r="DX39" s="181"/>
      <c r="DY39" s="181">
        <v>0.7435781193333334</v>
      </c>
      <c r="DZ39" s="181">
        <v>1.7407256584983573</v>
      </c>
      <c r="EA39" s="181">
        <v>0.10807155374724146</v>
      </c>
      <c r="EB39" s="181">
        <v>1.9171978179348859</v>
      </c>
      <c r="EC39" s="181">
        <v>1.9447537951666223</v>
      </c>
      <c r="ED39" s="181">
        <v>0.13705515553046552</v>
      </c>
      <c r="EE39" s="181">
        <v>2.4984470134391827</v>
      </c>
      <c r="EF39" s="181">
        <v>3.9700231668487498</v>
      </c>
      <c r="EG39" s="181">
        <v>2.4843037778316908</v>
      </c>
      <c r="EH39" s="181">
        <v>9.0898291136500902</v>
      </c>
      <c r="EJ39" s="31">
        <f t="shared" si="38"/>
        <v>5.0902051230227799E-3</v>
      </c>
      <c r="EK39" s="31">
        <f t="shared" si="39"/>
        <v>3.6012734617655327E-2</v>
      </c>
      <c r="EL39" s="31">
        <f t="shared" si="40"/>
        <v>1.3388037496835634E-4</v>
      </c>
      <c r="EM39" s="31">
        <f t="shared" si="41"/>
        <v>9.5840958679535695E-2</v>
      </c>
      <c r="EN39" s="31">
        <f t="shared" si="42"/>
        <v>5.3696793247892335E-4</v>
      </c>
      <c r="EO39" s="31">
        <f t="shared" si="43"/>
        <v>5.4683372268057806E-2</v>
      </c>
      <c r="EP39" s="31">
        <f t="shared" si="44"/>
        <v>4.7591484483199787E-3</v>
      </c>
      <c r="EQ39" s="31">
        <f t="shared" si="45"/>
        <v>2.3573558463705471E-2</v>
      </c>
      <c r="ER39" s="31">
        <f t="shared" si="46"/>
        <v>0.22063082590774433</v>
      </c>
      <c r="ES39" s="31">
        <f t="shared" si="47"/>
        <v>1.2341610145111559</v>
      </c>
      <c r="ET39" s="31"/>
      <c r="EU39" s="31">
        <f t="shared" si="48"/>
        <v>0.22154345258936939</v>
      </c>
      <c r="EV39" s="31">
        <f t="shared" si="49"/>
        <v>0.28246989202283052</v>
      </c>
      <c r="EW39" s="31">
        <f t="shared" si="50"/>
        <v>3.6239192265185327</v>
      </c>
      <c r="EX39" s="31">
        <f t="shared" si="51"/>
        <v>0.85493806132387473</v>
      </c>
      <c r="EY39" s="31">
        <f t="shared" si="52"/>
        <v>0.30857012053791211</v>
      </c>
      <c r="EZ39" s="31">
        <f t="shared" si="53"/>
        <v>6.0158269276659482</v>
      </c>
      <c r="FA39" s="31">
        <f t="shared" si="54"/>
        <v>2.6482794772044311</v>
      </c>
      <c r="FB39" s="31">
        <f t="shared" si="55"/>
        <v>0.55860366570948294</v>
      </c>
      <c r="FC39" s="31">
        <f t="shared" si="56"/>
        <v>2.5179956203806184</v>
      </c>
      <c r="FD39" s="31">
        <f t="shared" si="57"/>
        <v>3.206883142913914</v>
      </c>
      <c r="FE39" s="31">
        <f t="shared" si="58"/>
        <v>10.803254336046269</v>
      </c>
      <c r="FF39" s="31">
        <f t="shared" si="59"/>
        <v>0.50401334461219993</v>
      </c>
      <c r="FG39" s="31">
        <f t="shared" si="60"/>
        <v>17.032146443952996</v>
      </c>
      <c r="FH39" s="31"/>
      <c r="FI39" s="31">
        <f t="shared" si="61"/>
        <v>1.8522452577363818E-2</v>
      </c>
      <c r="FJ39" s="31">
        <f t="shared" si="62"/>
        <v>4.9555763058061177E-2</v>
      </c>
      <c r="FK39" s="31">
        <f t="shared" si="63"/>
        <v>2.1536408102379402E-3</v>
      </c>
      <c r="FL39" s="31">
        <f t="shared" si="64"/>
        <v>3.8205756453363576E-2</v>
      </c>
      <c r="FM39" s="31">
        <f t="shared" si="65"/>
        <v>8.3022280969370352E-2</v>
      </c>
      <c r="FN39" s="31">
        <f t="shared" si="66"/>
        <v>2.7312235826113763E-3</v>
      </c>
      <c r="FO39" s="31">
        <f t="shared" si="67"/>
        <v>0.10539724328261897</v>
      </c>
      <c r="FP39" s="31">
        <f t="shared" si="68"/>
        <v>0.12338167823297189</v>
      </c>
      <c r="FQ39" s="31">
        <f t="shared" si="69"/>
        <v>6.8078215635424988E-2</v>
      </c>
      <c r="FR39" s="31">
        <f t="shared" si="70"/>
        <v>0.29958836073362721</v>
      </c>
      <c r="FS39" s="31">
        <f t="shared" si="71"/>
        <v>0.29958836073362721</v>
      </c>
      <c r="FT39" s="31"/>
      <c r="FU39" s="31">
        <f t="shared" si="72"/>
        <v>1.4817962061891057E-2</v>
      </c>
      <c r="FV39" s="31">
        <f t="shared" si="73"/>
        <v>3.4689034140642817E-2</v>
      </c>
      <c r="FW39" s="31">
        <f t="shared" si="74"/>
        <v>2.1536408102379402E-3</v>
      </c>
      <c r="FX39" s="31">
        <f t="shared" si="75"/>
        <v>3.8205756453363576E-2</v>
      </c>
      <c r="FY39" s="31">
        <f t="shared" si="76"/>
        <v>3.8754889644055483E-2</v>
      </c>
      <c r="FZ39" s="31">
        <f t="shared" si="77"/>
        <v>2.7312235826113763E-3</v>
      </c>
      <c r="GA39" s="31">
        <f t="shared" si="78"/>
        <v>4.9788841409130466E-2</v>
      </c>
      <c r="GB39" s="31">
        <f t="shared" si="79"/>
        <v>7.9114286907656997E-2</v>
      </c>
      <c r="GC39" s="31">
        <f t="shared" si="80"/>
        <v>4.9506996202533883E-2</v>
      </c>
      <c r="GD39" s="31">
        <f t="shared" si="81"/>
        <v>0.18114134810193275</v>
      </c>
    </row>
    <row r="40" spans="1:186">
      <c r="A40" s="39" t="str">
        <f>Basicinfo!A40</f>
        <v>Krems</v>
      </c>
      <c r="B40" s="63">
        <f>Basicinfo!B40</f>
        <v>1320</v>
      </c>
      <c r="C40" s="63">
        <f>Basicinfo!C40</f>
        <v>1330</v>
      </c>
      <c r="D40" s="227">
        <v>140.39721736000001</v>
      </c>
      <c r="E40" s="89">
        <v>2.7933615807068795</v>
      </c>
      <c r="F40" s="27">
        <v>2.1392762375321648E-2</v>
      </c>
      <c r="G40" s="19">
        <v>0.53996795183191404</v>
      </c>
      <c r="H40" s="19">
        <v>0</v>
      </c>
      <c r="I40" s="19">
        <v>2.964910489271479E-2</v>
      </c>
      <c r="J40" s="19">
        <v>2.0840476210908747</v>
      </c>
      <c r="K40" s="19">
        <v>9.0515082648022927E-3</v>
      </c>
      <c r="L40" s="19">
        <v>1.1646029181135664E-2</v>
      </c>
      <c r="M40" s="19">
        <v>1.5579723789294848E-2</v>
      </c>
      <c r="N40" s="19">
        <v>2.7113347014260576</v>
      </c>
      <c r="O40" s="19">
        <v>8.2026879280821932E-2</v>
      </c>
      <c r="P40" s="56">
        <v>4294.1997181083161</v>
      </c>
      <c r="Q40" s="43">
        <v>1044.9155496734058</v>
      </c>
      <c r="R40" s="88">
        <v>5339.1152677817217</v>
      </c>
      <c r="S40" s="61">
        <v>1.9432538283479919</v>
      </c>
      <c r="T40" s="19">
        <v>22.915455247602768</v>
      </c>
      <c r="U40" s="19">
        <v>0</v>
      </c>
      <c r="V40" s="19">
        <v>9.597517536821238</v>
      </c>
      <c r="W40" s="19">
        <v>2.6122888741835149E-2</v>
      </c>
      <c r="X40" s="19">
        <v>11.068593292581538</v>
      </c>
      <c r="Y40" s="19">
        <v>193.61631789664602</v>
      </c>
      <c r="Z40" s="19">
        <v>0.60727852659353587</v>
      </c>
      <c r="AA40" s="19">
        <v>3.7547966234173722</v>
      </c>
      <c r="AB40" s="19">
        <v>1.7122644696657097</v>
      </c>
      <c r="AC40" s="19">
        <v>245.24160031041802</v>
      </c>
      <c r="AD40" s="19">
        <v>27.541234166666669</v>
      </c>
      <c r="AE40" s="87">
        <v>272.78283447708469</v>
      </c>
      <c r="AF40" s="56">
        <v>4.3071119925212065E-2</v>
      </c>
      <c r="AG40" s="43">
        <v>0.53863879159957717</v>
      </c>
      <c r="AH40" s="43">
        <v>0</v>
      </c>
      <c r="AI40" s="43">
        <v>9.9190036637577652</v>
      </c>
      <c r="AJ40" s="43">
        <v>0.47151889051372509</v>
      </c>
      <c r="AK40" s="43">
        <v>5.6173030259960399E-2</v>
      </c>
      <c r="AL40" s="58">
        <v>1.244584426680988</v>
      </c>
      <c r="AM40" s="43">
        <v>0.15449595076422615</v>
      </c>
      <c r="AN40" s="42">
        <v>0.67604195096724529</v>
      </c>
      <c r="AO40" s="42">
        <v>0.26300818009915194</v>
      </c>
      <c r="AP40" s="42">
        <v>13.366536004567852</v>
      </c>
      <c r="AQ40" s="43">
        <v>2.024393166666667</v>
      </c>
      <c r="AR40" s="83">
        <v>15.390929171234518</v>
      </c>
      <c r="AS40" s="19">
        <f t="shared" si="2"/>
        <v>4.8052387857393031</v>
      </c>
      <c r="AT40" s="19">
        <f t="shared" si="3"/>
        <v>121.28751302319428</v>
      </c>
      <c r="AU40" s="19">
        <f t="shared" si="4"/>
        <v>0</v>
      </c>
      <c r="AV40" s="19">
        <f t="shared" si="5"/>
        <v>6.6597770915867498</v>
      </c>
      <c r="AW40" s="19">
        <f t="shared" si="6"/>
        <v>468.11843578209374</v>
      </c>
      <c r="AX40" s="53">
        <f t="shared" si="82"/>
        <v>2.0331483059729858</v>
      </c>
      <c r="AY40" s="53">
        <f t="shared" si="83"/>
        <v>2.6159291698393123</v>
      </c>
      <c r="AZ40" s="53">
        <f t="shared" si="84"/>
        <v>3.4995150093279763</v>
      </c>
      <c r="BA40" s="19">
        <f t="shared" si="85"/>
        <v>609.01955716775433</v>
      </c>
      <c r="BB40" s="19">
        <f t="shared" si="7"/>
        <v>18.424864207721789</v>
      </c>
      <c r="BC40" s="53">
        <f t="shared" si="8"/>
        <v>627.44442137547617</v>
      </c>
      <c r="BD40" s="56">
        <f t="shared" si="9"/>
        <v>305.8607427451592</v>
      </c>
      <c r="BE40" s="43">
        <f t="shared" si="10"/>
        <v>74.425659519595882</v>
      </c>
      <c r="BF40" s="58">
        <f t="shared" si="11"/>
        <v>380.28640226475511</v>
      </c>
      <c r="BG40" s="61">
        <f t="shared" si="12"/>
        <v>138.4111355544313</v>
      </c>
      <c r="BH40" s="19">
        <f t="shared" si="13"/>
        <v>1632.1872810943271</v>
      </c>
      <c r="BI40" s="19">
        <f t="shared" si="14"/>
        <v>0</v>
      </c>
      <c r="BJ40" s="19">
        <f t="shared" si="15"/>
        <v>683.59741861633404</v>
      </c>
      <c r="BK40" s="19">
        <f t="shared" si="16"/>
        <v>1.8606414879898974</v>
      </c>
      <c r="BL40" s="19">
        <f t="shared" si="17"/>
        <v>788.37697076288669</v>
      </c>
      <c r="BM40" s="19">
        <f t="shared" si="18"/>
        <v>13790.609353758349</v>
      </c>
      <c r="BN40" s="53">
        <f t="shared" si="19"/>
        <v>43.254313583465162</v>
      </c>
      <c r="BO40" s="53">
        <f t="shared" si="86"/>
        <v>267.44095745070911</v>
      </c>
      <c r="BP40" s="53">
        <f t="shared" si="87"/>
        <v>121.95857595063303</v>
      </c>
      <c r="BQ40" s="19">
        <f t="shared" si="88"/>
        <v>17467.696648259123</v>
      </c>
      <c r="BR40" s="19">
        <f t="shared" si="20"/>
        <v>1961.6652441228032</v>
      </c>
      <c r="BS40" s="53">
        <f t="shared" si="21"/>
        <v>19429.361892381927</v>
      </c>
      <c r="BT40" s="56">
        <f t="shared" si="22"/>
        <v>3.0678043863769111</v>
      </c>
      <c r="BU40" s="43">
        <f t="shared" si="23"/>
        <v>38.365346673390583</v>
      </c>
      <c r="BV40" s="43">
        <f t="shared" si="24"/>
        <v>0</v>
      </c>
      <c r="BW40" s="43">
        <f t="shared" si="25"/>
        <v>706.49574473573193</v>
      </c>
      <c r="BX40" s="43">
        <f t="shared" si="26"/>
        <v>33.584632187166385</v>
      </c>
      <c r="BY40" s="58">
        <f t="shared" si="27"/>
        <v>4.0010073786522513</v>
      </c>
      <c r="BZ40" s="58">
        <f t="shared" si="28"/>
        <v>88.647371371305923</v>
      </c>
      <c r="CA40" s="58">
        <f t="shared" si="29"/>
        <v>11.004203193577178</v>
      </c>
      <c r="CB40" s="58">
        <f t="shared" si="89"/>
        <v>48.152090453030134</v>
      </c>
      <c r="CC40" s="58">
        <f t="shared" si="90"/>
        <v>18.733147639583098</v>
      </c>
      <c r="CD40" s="58">
        <f t="shared" si="91"/>
        <v>952.05134801881434</v>
      </c>
      <c r="CE40" s="58">
        <f t="shared" si="30"/>
        <v>144.19040524683709</v>
      </c>
      <c r="CF40" s="58">
        <f t="shared" si="92"/>
        <v>1096.2417532656514</v>
      </c>
      <c r="CG40" s="127">
        <v>41</v>
      </c>
      <c r="CH40" s="128" t="s">
        <v>169</v>
      </c>
      <c r="CI40" s="128"/>
      <c r="CJ40" s="126">
        <f t="shared" si="93"/>
        <v>37</v>
      </c>
      <c r="CK40" s="126">
        <f t="shared" si="95"/>
        <v>38</v>
      </c>
      <c r="CN40" s="147">
        <f t="shared" si="31"/>
        <v>4.3071119925212065E-2</v>
      </c>
      <c r="CO40" s="147">
        <f t="shared" si="32"/>
        <v>0.53863879159957717</v>
      </c>
      <c r="CP40" s="147">
        <f t="shared" si="33"/>
        <v>0</v>
      </c>
      <c r="CQ40" s="31">
        <f>(AI40-(P40*450/1000000))*Parameters!$C$153</f>
        <v>6.3892910324872183</v>
      </c>
      <c r="CR40" s="31">
        <f t="shared" si="34"/>
        <v>5.6173030259960399E-2</v>
      </c>
      <c r="CS40" s="31">
        <f t="shared" si="35"/>
        <v>1.244584426680988</v>
      </c>
      <c r="CT40" s="31">
        <f>AM40*Parameters!$C$154</f>
        <v>0.13904635568780355</v>
      </c>
      <c r="CU40" s="31">
        <f>AQ40*Parameters!$C$155</f>
        <v>2.024393166666667</v>
      </c>
      <c r="CV40" s="31">
        <f t="shared" si="36"/>
        <v>10.435197923307424</v>
      </c>
      <c r="CW40" s="188">
        <f t="shared" si="37"/>
        <v>67.800961249374708</v>
      </c>
      <c r="CY40" s="181">
        <v>21.74230833333333</v>
      </c>
      <c r="CZ40" s="181">
        <v>12.300934536397765</v>
      </c>
      <c r="DA40" s="181">
        <v>14.19583866205771</v>
      </c>
      <c r="DB40" s="181">
        <v>18.268648990824154</v>
      </c>
      <c r="DC40" s="181">
        <v>15.382354899204062</v>
      </c>
      <c r="DD40" s="181">
        <v>199.49551091842966</v>
      </c>
      <c r="DE40" s="181">
        <v>8.9291186151570745</v>
      </c>
      <c r="DF40" s="181">
        <v>11.102734061761007</v>
      </c>
      <c r="DG40" s="181">
        <v>32.768803570715811</v>
      </c>
      <c r="DH40" s="181">
        <v>20.031852676918081</v>
      </c>
      <c r="DI40" s="181">
        <v>247.34235347051558</v>
      </c>
      <c r="DJ40" s="181">
        <v>34.043242869731095</v>
      </c>
      <c r="DK40" s="181">
        <v>334.18625258788057</v>
      </c>
      <c r="DL40" s="181"/>
      <c r="DM40" s="181">
        <v>1.7928333333333333</v>
      </c>
      <c r="DN40" s="181">
        <v>2.1349645452852064</v>
      </c>
      <c r="DO40" s="181">
        <v>7.4219208800957254E-2</v>
      </c>
      <c r="DP40" s="181">
        <v>0.70928021360190741</v>
      </c>
      <c r="DQ40" s="181">
        <v>7.9042669196780766</v>
      </c>
      <c r="DR40" s="181">
        <v>2.7696284327734126E-2</v>
      </c>
      <c r="DS40" s="181">
        <v>1.1827970637165464</v>
      </c>
      <c r="DT40" s="181">
        <v>8.6877663420809412</v>
      </c>
      <c r="DU40" s="181">
        <v>3.9277978786185397</v>
      </c>
      <c r="DV40" s="181">
        <v>13.82605756874376</v>
      </c>
      <c r="DW40" s="181">
        <v>13.826057568743764</v>
      </c>
      <c r="DX40" s="181"/>
      <c r="DY40" s="181">
        <v>1.4342666666666668</v>
      </c>
      <c r="DZ40" s="181">
        <v>1.4944751816996444</v>
      </c>
      <c r="EA40" s="181">
        <v>7.4219208800957254E-2</v>
      </c>
      <c r="EB40" s="181">
        <v>0.70928021360190741</v>
      </c>
      <c r="EC40" s="181">
        <v>3.4097133182275363</v>
      </c>
      <c r="ED40" s="181">
        <v>2.7696284327734126E-2</v>
      </c>
      <c r="EE40" s="181">
        <v>0.54285280152117832</v>
      </c>
      <c r="EF40" s="181">
        <v>4.1932127406304005</v>
      </c>
      <c r="EG40" s="181">
        <v>2.928741848366311</v>
      </c>
      <c r="EH40" s="181">
        <v>7.6925036748456241</v>
      </c>
      <c r="EJ40" s="31">
        <f t="shared" si="38"/>
        <v>3.0678043863769113E-3</v>
      </c>
      <c r="EK40" s="31">
        <f t="shared" si="39"/>
        <v>3.8365346673390588E-2</v>
      </c>
      <c r="EL40" s="31">
        <f t="shared" si="40"/>
        <v>0</v>
      </c>
      <c r="EM40" s="31">
        <f t="shared" si="41"/>
        <v>0.45508672840032832</v>
      </c>
      <c r="EN40" s="31">
        <f t="shared" si="42"/>
        <v>4.001007378652251E-3</v>
      </c>
      <c r="EO40" s="31">
        <f t="shared" si="43"/>
        <v>8.8647371371305933E-2</v>
      </c>
      <c r="EP40" s="31">
        <f t="shared" si="44"/>
        <v>9.9037828742194606E-3</v>
      </c>
      <c r="EQ40" s="31">
        <f t="shared" si="45"/>
        <v>0.14419040524683707</v>
      </c>
      <c r="ER40" s="31">
        <f t="shared" si="46"/>
        <v>0.74326244633111027</v>
      </c>
      <c r="ES40" s="31">
        <f t="shared" si="47"/>
        <v>4.8292240063079479</v>
      </c>
      <c r="ET40" s="31"/>
      <c r="EU40" s="31">
        <f t="shared" si="48"/>
        <v>1.548628152478458</v>
      </c>
      <c r="EV40" s="31">
        <f t="shared" si="49"/>
        <v>0.876152303279365</v>
      </c>
      <c r="EW40" s="31">
        <f t="shared" si="50"/>
        <v>1.0111196595625822</v>
      </c>
      <c r="EX40" s="31">
        <f t="shared" si="51"/>
        <v>1.3012116147559061</v>
      </c>
      <c r="EY40" s="31">
        <f t="shared" si="52"/>
        <v>1.0956310380255858</v>
      </c>
      <c r="EZ40" s="31">
        <f t="shared" si="53"/>
        <v>14.209363594927423</v>
      </c>
      <c r="FA40" s="31">
        <f t="shared" si="54"/>
        <v>0.63598971425918249</v>
      </c>
      <c r="FB40" s="31">
        <f t="shared" si="55"/>
        <v>0.79080869767467632</v>
      </c>
      <c r="FC40" s="31">
        <f t="shared" si="56"/>
        <v>2.3340066268330353</v>
      </c>
      <c r="FD40" s="31">
        <f t="shared" si="57"/>
        <v>1.426798411933859</v>
      </c>
      <c r="FE40" s="31">
        <f t="shared" si="58"/>
        <v>17.617325907271496</v>
      </c>
      <c r="FF40" s="31">
        <f t="shared" si="59"/>
        <v>2.4247804557578228</v>
      </c>
      <c r="FG40" s="31">
        <f t="shared" si="60"/>
        <v>23.802911401796212</v>
      </c>
      <c r="FH40" s="31"/>
      <c r="FI40" s="31">
        <f t="shared" si="61"/>
        <v>0.12769721274006687</v>
      </c>
      <c r="FJ40" s="31">
        <f t="shared" si="62"/>
        <v>0.15206601565405883</v>
      </c>
      <c r="FK40" s="31">
        <f t="shared" si="63"/>
        <v>5.286373205720154E-3</v>
      </c>
      <c r="FL40" s="31">
        <f t="shared" si="64"/>
        <v>5.0519534997848572E-2</v>
      </c>
      <c r="FM40" s="31">
        <f t="shared" si="65"/>
        <v>0.5629931325070584</v>
      </c>
      <c r="FN40" s="31">
        <f t="shared" si="66"/>
        <v>1.9727089217670608E-3</v>
      </c>
      <c r="FO40" s="31">
        <f t="shared" si="67"/>
        <v>8.4246474820343004E-2</v>
      </c>
      <c r="FP40" s="31">
        <f t="shared" si="68"/>
        <v>0.61879904071062708</v>
      </c>
      <c r="FQ40" s="31">
        <f t="shared" si="69"/>
        <v>0.27976322839412571</v>
      </c>
      <c r="FR40" s="31">
        <f t="shared" si="70"/>
        <v>0.9847814528468628</v>
      </c>
      <c r="FS40" s="31">
        <f t="shared" si="71"/>
        <v>0.98478145284686303</v>
      </c>
      <c r="FT40" s="31"/>
      <c r="FU40" s="31">
        <f t="shared" si="72"/>
        <v>0.10215777019205351</v>
      </c>
      <c r="FV40" s="31">
        <f t="shared" si="73"/>
        <v>0.10644621095784119</v>
      </c>
      <c r="FW40" s="31">
        <f t="shared" si="74"/>
        <v>5.286373205720154E-3</v>
      </c>
      <c r="FX40" s="31">
        <f t="shared" si="75"/>
        <v>5.0519534997848572E-2</v>
      </c>
      <c r="FY40" s="31">
        <f t="shared" si="76"/>
        <v>0.2428618873182157</v>
      </c>
      <c r="FZ40" s="31">
        <f t="shared" si="77"/>
        <v>1.9727089217670608E-3</v>
      </c>
      <c r="GA40" s="31">
        <f t="shared" si="78"/>
        <v>3.8665495778966934E-2</v>
      </c>
      <c r="GB40" s="31">
        <f t="shared" si="79"/>
        <v>0.29866779552178441</v>
      </c>
      <c r="GC40" s="31">
        <f t="shared" si="80"/>
        <v>0.20860398114989467</v>
      </c>
      <c r="GD40" s="31">
        <f t="shared" si="81"/>
        <v>0.54790998137241309</v>
      </c>
    </row>
    <row r="41" spans="1:186">
      <c r="A41" s="39" t="str">
        <f>Basicinfo!A41</f>
        <v>Krems</v>
      </c>
      <c r="B41" s="63">
        <f>Basicinfo!B41</f>
        <v>1330</v>
      </c>
      <c r="C41" s="63">
        <f>Basicinfo!C41</f>
        <v>4020</v>
      </c>
      <c r="D41" s="227">
        <v>380.225065696</v>
      </c>
      <c r="E41" s="89">
        <v>6.0561435876053089</v>
      </c>
      <c r="F41" s="27">
        <v>4.0066429221264299E-2</v>
      </c>
      <c r="G41" s="19">
        <v>1.0947503324654346</v>
      </c>
      <c r="H41" s="19">
        <v>0</v>
      </c>
      <c r="I41" s="19">
        <v>0.16460610160866015</v>
      </c>
      <c r="J41" s="19">
        <v>4.4605626117588546</v>
      </c>
      <c r="K41" s="19">
        <v>2.8139372768082364E-2</v>
      </c>
      <c r="L41" s="19">
        <v>3.094355699465352E-2</v>
      </c>
      <c r="M41" s="19">
        <v>4.457368328514677E-2</v>
      </c>
      <c r="N41" s="19">
        <v>5.8636420881020967</v>
      </c>
      <c r="O41" s="19">
        <v>0.19250149950321327</v>
      </c>
      <c r="P41" s="56">
        <v>14867.468153643655</v>
      </c>
      <c r="Q41" s="43">
        <v>5266.0847572928233</v>
      </c>
      <c r="R41" s="88">
        <v>20133.552910936476</v>
      </c>
      <c r="S41" s="61">
        <v>5.8240367552699794</v>
      </c>
      <c r="T41" s="19">
        <v>54.981819697669621</v>
      </c>
      <c r="U41" s="19">
        <v>0</v>
      </c>
      <c r="V41" s="19">
        <v>33.826626186362518</v>
      </c>
      <c r="W41" s="19">
        <v>0.13165211893232059</v>
      </c>
      <c r="X41" s="19">
        <v>64.601954191284463</v>
      </c>
      <c r="Y41" s="19">
        <v>603.64493318538098</v>
      </c>
      <c r="Z41" s="19">
        <v>2.1621487941816442</v>
      </c>
      <c r="AA41" s="19">
        <v>9.0380882450355422</v>
      </c>
      <c r="AB41" s="19">
        <v>3.3772429568726046</v>
      </c>
      <c r="AC41" s="19">
        <v>777.5885021309897</v>
      </c>
      <c r="AD41" s="19">
        <v>44.527974166666667</v>
      </c>
      <c r="AE41" s="87">
        <v>822.11647629765639</v>
      </c>
      <c r="AF41" s="56">
        <v>0.12733115210494036</v>
      </c>
      <c r="AG41" s="43">
        <v>1.1926124771304525</v>
      </c>
      <c r="AH41" s="43">
        <v>0</v>
      </c>
      <c r="AI41" s="43">
        <v>30.403845918745674</v>
      </c>
      <c r="AJ41" s="43">
        <v>2.3710450339424631</v>
      </c>
      <c r="AK41" s="43">
        <v>0.32535196980955089</v>
      </c>
      <c r="AL41" s="58">
        <v>3.3575273228307401</v>
      </c>
      <c r="AM41" s="43">
        <v>0.51299274497711767</v>
      </c>
      <c r="AN41" s="42">
        <v>1.6349562973101703</v>
      </c>
      <c r="AO41" s="42">
        <v>0.50760023337512017</v>
      </c>
      <c r="AP41" s="42">
        <v>40.433263150226225</v>
      </c>
      <c r="AQ41" s="43">
        <v>4.3893781666666669</v>
      </c>
      <c r="AR41" s="83">
        <v>44.822641316892899</v>
      </c>
      <c r="AS41" s="19">
        <f t="shared" si="2"/>
        <v>3.323123659953604</v>
      </c>
      <c r="AT41" s="19">
        <f t="shared" si="3"/>
        <v>90.798975657835328</v>
      </c>
      <c r="AU41" s="19">
        <f t="shared" si="4"/>
        <v>0</v>
      </c>
      <c r="AV41" s="19">
        <f t="shared" si="5"/>
        <v>13.652487667609645</v>
      </c>
      <c r="AW41" s="19">
        <f t="shared" si="6"/>
        <v>369.96062389241655</v>
      </c>
      <c r="AX41" s="53">
        <f t="shared" si="82"/>
        <v>2.3338894241226797</v>
      </c>
      <c r="AY41" s="53">
        <f t="shared" si="83"/>
        <v>2.5664694451354242</v>
      </c>
      <c r="AZ41" s="53">
        <f t="shared" si="84"/>
        <v>3.6969568892237725</v>
      </c>
      <c r="BA41" s="19">
        <f t="shared" si="85"/>
        <v>486.33252663629696</v>
      </c>
      <c r="BB41" s="19">
        <f t="shared" si="7"/>
        <v>15.966141730348312</v>
      </c>
      <c r="BC41" s="53">
        <f t="shared" si="8"/>
        <v>502.2986683666453</v>
      </c>
      <c r="BD41" s="56">
        <f t="shared" si="9"/>
        <v>391.01757077558341</v>
      </c>
      <c r="BE41" s="43">
        <f t="shared" si="10"/>
        <v>138.4991478048214</v>
      </c>
      <c r="BF41" s="58">
        <f t="shared" si="11"/>
        <v>529.51671858040481</v>
      </c>
      <c r="BG41" s="61">
        <f t="shared" si="12"/>
        <v>153.17340387880822</v>
      </c>
      <c r="BH41" s="19">
        <f t="shared" si="13"/>
        <v>1446.0335379790304</v>
      </c>
      <c r="BI41" s="19">
        <f t="shared" si="14"/>
        <v>0</v>
      </c>
      <c r="BJ41" s="19">
        <f t="shared" si="15"/>
        <v>889.64745457912022</v>
      </c>
      <c r="BK41" s="19">
        <f t="shared" si="16"/>
        <v>3.4624786951205353</v>
      </c>
      <c r="BL41" s="19">
        <f t="shared" si="17"/>
        <v>1699.0451187911801</v>
      </c>
      <c r="BM41" s="19">
        <f t="shared" si="18"/>
        <v>15875.989976631658</v>
      </c>
      <c r="BN41" s="53">
        <f t="shared" si="19"/>
        <v>56.864972597843916</v>
      </c>
      <c r="BO41" s="53">
        <f t="shared" si="86"/>
        <v>237.70364082892243</v>
      </c>
      <c r="BP41" s="53">
        <f t="shared" si="87"/>
        <v>88.82220720221531</v>
      </c>
      <c r="BQ41" s="19">
        <f t="shared" si="88"/>
        <v>20450.7427911839</v>
      </c>
      <c r="BR41" s="19">
        <f t="shared" si="20"/>
        <v>1171.0951797761793</v>
      </c>
      <c r="BS41" s="53">
        <f t="shared" si="21"/>
        <v>21621.837970960081</v>
      </c>
      <c r="BT41" s="56">
        <f t="shared" si="22"/>
        <v>3.3488363496462643</v>
      </c>
      <c r="BU41" s="43">
        <f t="shared" si="23"/>
        <v>31.365961498287376</v>
      </c>
      <c r="BV41" s="43">
        <f t="shared" si="24"/>
        <v>0</v>
      </c>
      <c r="BW41" s="43">
        <f t="shared" si="25"/>
        <v>799.62760643072261</v>
      </c>
      <c r="BX41" s="43">
        <f t="shared" si="26"/>
        <v>62.358988079922547</v>
      </c>
      <c r="BY41" s="58">
        <f t="shared" si="27"/>
        <v>8.5568259213525497</v>
      </c>
      <c r="BZ41" s="58">
        <f t="shared" si="28"/>
        <v>88.303681838671096</v>
      </c>
      <c r="CA41" s="58">
        <f t="shared" si="29"/>
        <v>13.491818169275271</v>
      </c>
      <c r="CB41" s="58">
        <f t="shared" si="89"/>
        <v>42.999697937257011</v>
      </c>
      <c r="CC41" s="58">
        <f t="shared" si="90"/>
        <v>13.349993968597536</v>
      </c>
      <c r="CD41" s="58">
        <f t="shared" si="91"/>
        <v>1063.4034101937323</v>
      </c>
      <c r="CE41" s="58">
        <f t="shared" si="30"/>
        <v>115.44157823030244</v>
      </c>
      <c r="CF41" s="58">
        <f t="shared" si="92"/>
        <v>1178.8449884240347</v>
      </c>
      <c r="CG41" s="127">
        <v>62</v>
      </c>
      <c r="CH41" s="128" t="s">
        <v>169</v>
      </c>
      <c r="CI41" s="128"/>
      <c r="CJ41" s="126">
        <f t="shared" si="93"/>
        <v>38</v>
      </c>
      <c r="CK41" s="126">
        <f t="shared" si="95"/>
        <v>59</v>
      </c>
      <c r="CN41" s="147">
        <f t="shared" si="31"/>
        <v>0.12733115210494036</v>
      </c>
      <c r="CO41" s="147">
        <f t="shared" si="32"/>
        <v>1.1926124771304525</v>
      </c>
      <c r="CP41" s="147">
        <f t="shared" si="33"/>
        <v>0</v>
      </c>
      <c r="CQ41" s="31">
        <f>(AI41-(P41*450/1000000))*Parameters!$C$153</f>
        <v>18.970788199684826</v>
      </c>
      <c r="CR41" s="31">
        <f t="shared" si="34"/>
        <v>0.32535196980955089</v>
      </c>
      <c r="CS41" s="31">
        <f t="shared" si="35"/>
        <v>3.3575273228307401</v>
      </c>
      <c r="CT41" s="31">
        <f>AM41*Parameters!$C$154</f>
        <v>0.4616934704794059</v>
      </c>
      <c r="CU41" s="31">
        <f>AQ41*Parameters!$C$155</f>
        <v>4.3893781666666669</v>
      </c>
      <c r="CV41" s="31">
        <f t="shared" si="36"/>
        <v>28.824682758706583</v>
      </c>
      <c r="CW41" s="188">
        <f t="shared" si="37"/>
        <v>64.308309175530553</v>
      </c>
      <c r="CY41" s="181">
        <v>44.943341666666669</v>
      </c>
      <c r="CZ41" s="181">
        <v>34.378059229585531</v>
      </c>
      <c r="DA41" s="181">
        <v>19.978820196609195</v>
      </c>
      <c r="DB41" s="181">
        <v>44.306859540337221</v>
      </c>
      <c r="DC41" s="181">
        <v>58.078302076310543</v>
      </c>
      <c r="DD41" s="181">
        <v>433.62070889760389</v>
      </c>
      <c r="DE41" s="181">
        <v>12.405064271649891</v>
      </c>
      <c r="DF41" s="181">
        <v>26.615958878720392</v>
      </c>
      <c r="DG41" s="181">
        <v>76.921207459897232</v>
      </c>
      <c r="DH41" s="181">
        <v>39.021023150370283</v>
      </c>
      <c r="DI41" s="181">
        <v>555.98469071086083</v>
      </c>
      <c r="DJ41" s="181">
        <v>79.3214008962522</v>
      </c>
      <c r="DK41" s="181">
        <v>751.24832221738052</v>
      </c>
      <c r="DL41" s="181"/>
      <c r="DM41" s="181">
        <v>4.7995000000000001</v>
      </c>
      <c r="DN41" s="181">
        <v>5.9774264187774513</v>
      </c>
      <c r="DO41" s="181">
        <v>0.26942811910149833</v>
      </c>
      <c r="DP41" s="181">
        <v>3.1562114704355002</v>
      </c>
      <c r="DQ41" s="181">
        <v>25.818594139134635</v>
      </c>
      <c r="DR41" s="181">
        <v>7.6439653705405619E-2</v>
      </c>
      <c r="DS41" s="181">
        <v>3.3761839806684355</v>
      </c>
      <c r="DT41" s="181">
        <v>29.244233728671631</v>
      </c>
      <c r="DU41" s="181">
        <v>10.776926418777451</v>
      </c>
      <c r="DV41" s="181">
        <v>43.473783781822917</v>
      </c>
      <c r="DW41" s="181">
        <v>43.473783781822931</v>
      </c>
      <c r="DX41" s="181"/>
      <c r="DY41" s="181">
        <v>3.8396000000000003</v>
      </c>
      <c r="DZ41" s="181">
        <v>4.1841984931442155</v>
      </c>
      <c r="EA41" s="181">
        <v>0.26942811910149833</v>
      </c>
      <c r="EB41" s="181">
        <v>3.1562114704355002</v>
      </c>
      <c r="EC41" s="181">
        <v>11.036095254573979</v>
      </c>
      <c r="ED41" s="181">
        <v>7.6439653705405619E-2</v>
      </c>
      <c r="EE41" s="181">
        <v>1.1984006137544165</v>
      </c>
      <c r="EF41" s="181">
        <v>14.461734844110978</v>
      </c>
      <c r="EG41" s="181">
        <v>8.0237984931442163</v>
      </c>
      <c r="EH41" s="181">
        <v>23.760373604715017</v>
      </c>
      <c r="EJ41" s="31">
        <f t="shared" si="38"/>
        <v>3.3488363496462642E-3</v>
      </c>
      <c r="EK41" s="31">
        <f t="shared" si="39"/>
        <v>3.1365961498287381E-2</v>
      </c>
      <c r="EL41" s="31">
        <f t="shared" si="40"/>
        <v>0</v>
      </c>
      <c r="EM41" s="31">
        <f t="shared" si="41"/>
        <v>0.49893575966536807</v>
      </c>
      <c r="EN41" s="31">
        <f t="shared" si="42"/>
        <v>8.5568259213525504E-3</v>
      </c>
      <c r="EO41" s="31">
        <f t="shared" si="43"/>
        <v>8.83036818386711E-2</v>
      </c>
      <c r="EP41" s="31">
        <f t="shared" si="44"/>
        <v>1.2142636352347745E-2</v>
      </c>
      <c r="EQ41" s="31">
        <f t="shared" si="45"/>
        <v>0.11544157823030243</v>
      </c>
      <c r="ER41" s="31">
        <f t="shared" si="46"/>
        <v>0.75809527985597569</v>
      </c>
      <c r="ES41" s="31">
        <f t="shared" si="47"/>
        <v>1.6913221924970816</v>
      </c>
      <c r="ET41" s="31"/>
      <c r="EU41" s="31">
        <f t="shared" si="48"/>
        <v>1.1820194332637728</v>
      </c>
      <c r="EV41" s="31">
        <f t="shared" si="49"/>
        <v>0.90415026075823457</v>
      </c>
      <c r="EW41" s="31">
        <f t="shared" si="50"/>
        <v>0.52544721532332617</v>
      </c>
      <c r="EX41" s="31">
        <f t="shared" si="51"/>
        <v>1.1652798181317623</v>
      </c>
      <c r="EY41" s="31">
        <f t="shared" si="52"/>
        <v>1.5274716823310561</v>
      </c>
      <c r="EZ41" s="31">
        <f t="shared" si="53"/>
        <v>11.404316759176922</v>
      </c>
      <c r="FA41" s="31">
        <f t="shared" si="54"/>
        <v>0.3262558255843151</v>
      </c>
      <c r="FB41" s="31">
        <f t="shared" si="55"/>
        <v>0.70000537260740603</v>
      </c>
      <c r="FC41" s="31">
        <f t="shared" si="56"/>
        <v>2.0230440967665655</v>
      </c>
      <c r="FD41" s="31">
        <f t="shared" si="57"/>
        <v>1.0262611981917211</v>
      </c>
      <c r="FE41" s="31">
        <f t="shared" si="58"/>
        <v>14.622515474963066</v>
      </c>
      <c r="FF41" s="31">
        <f t="shared" si="59"/>
        <v>2.0861696940220078</v>
      </c>
      <c r="FG41" s="31">
        <f t="shared" si="60"/>
        <v>19.757990463943358</v>
      </c>
      <c r="FH41" s="31"/>
      <c r="FI41" s="31">
        <f t="shared" si="61"/>
        <v>0.12622786957021204</v>
      </c>
      <c r="FJ41" s="31">
        <f t="shared" si="62"/>
        <v>0.1572075846140181</v>
      </c>
      <c r="FK41" s="31">
        <f t="shared" si="63"/>
        <v>7.0860167676823601E-3</v>
      </c>
      <c r="FL41" s="31">
        <f t="shared" si="64"/>
        <v>8.3009032154628515E-2</v>
      </c>
      <c r="FM41" s="31">
        <f t="shared" si="65"/>
        <v>0.67903451057004449</v>
      </c>
      <c r="FN41" s="31">
        <f t="shared" si="66"/>
        <v>2.010379130725725E-3</v>
      </c>
      <c r="FO41" s="31">
        <f t="shared" si="67"/>
        <v>8.8794355903084612E-2</v>
      </c>
      <c r="FP41" s="31">
        <f t="shared" si="68"/>
        <v>0.76912955949235529</v>
      </c>
      <c r="FQ41" s="31">
        <f t="shared" si="69"/>
        <v>0.28343545418423016</v>
      </c>
      <c r="FR41" s="31">
        <f t="shared" si="70"/>
        <v>1.1433697487103955</v>
      </c>
      <c r="FS41" s="31">
        <f t="shared" si="71"/>
        <v>1.143369748710396</v>
      </c>
      <c r="FT41" s="31"/>
      <c r="FU41" s="31">
        <f t="shared" si="72"/>
        <v>0.10098229565616965</v>
      </c>
      <c r="FV41" s="31">
        <f t="shared" si="73"/>
        <v>0.11004530922981265</v>
      </c>
      <c r="FW41" s="31">
        <f t="shared" si="74"/>
        <v>7.0860167676823601E-3</v>
      </c>
      <c r="FX41" s="31">
        <f t="shared" si="75"/>
        <v>8.3009032154628515E-2</v>
      </c>
      <c r="FY41" s="31">
        <f t="shared" si="76"/>
        <v>0.29025164962158567</v>
      </c>
      <c r="FZ41" s="31">
        <f t="shared" si="77"/>
        <v>2.010379130725725E-3</v>
      </c>
      <c r="GA41" s="31">
        <f t="shared" si="78"/>
        <v>3.1518190721086484E-2</v>
      </c>
      <c r="GB41" s="31">
        <f t="shared" si="79"/>
        <v>0.38034669854389658</v>
      </c>
      <c r="GC41" s="31">
        <f t="shared" si="80"/>
        <v>0.21102760488598232</v>
      </c>
      <c r="GD41" s="31">
        <f t="shared" si="81"/>
        <v>0.62490287328169114</v>
      </c>
    </row>
    <row r="42" spans="1:186">
      <c r="A42" s="39" t="str">
        <f>Basicinfo!A42</f>
        <v>Ipfbach</v>
      </c>
      <c r="B42" s="63">
        <f>Basicinfo!B42</f>
        <v>1340</v>
      </c>
      <c r="C42" s="63">
        <f>Basicinfo!C42</f>
        <v>5010</v>
      </c>
      <c r="D42" s="227">
        <v>129.80039827499999</v>
      </c>
      <c r="E42" s="89">
        <v>1.3652264612889702</v>
      </c>
      <c r="F42" s="27">
        <v>1.4934023293621144E-3</v>
      </c>
      <c r="G42" s="19">
        <v>0.20024697237455835</v>
      </c>
      <c r="H42" s="19">
        <v>0</v>
      </c>
      <c r="I42" s="19">
        <v>4.2390564998632731E-2</v>
      </c>
      <c r="J42" s="19">
        <v>1.0489474123623952</v>
      </c>
      <c r="K42" s="19">
        <v>3.5527416399357886E-2</v>
      </c>
      <c r="L42" s="19">
        <v>7.3532325075703594E-3</v>
      </c>
      <c r="M42" s="19">
        <v>2.926746031709342E-2</v>
      </c>
      <c r="N42" s="19">
        <v>1.3652264612889702</v>
      </c>
      <c r="O42" s="19">
        <v>0</v>
      </c>
      <c r="P42" s="56">
        <v>3654.2920140968404</v>
      </c>
      <c r="Q42" s="43">
        <v>1317.4155131861057</v>
      </c>
      <c r="R42" s="88">
        <v>4971.7075272829461</v>
      </c>
      <c r="S42" s="61">
        <v>0.55386982357321735</v>
      </c>
      <c r="T42" s="19">
        <v>12.691353743340528</v>
      </c>
      <c r="U42" s="19">
        <v>0</v>
      </c>
      <c r="V42" s="19">
        <v>7.7414358308869868</v>
      </c>
      <c r="W42" s="19">
        <v>3.2935387829652649E-2</v>
      </c>
      <c r="X42" s="19">
        <v>14.145050845859615</v>
      </c>
      <c r="Y42" s="19">
        <v>184.51591206235591</v>
      </c>
      <c r="Z42" s="19">
        <v>2.9777543754641846</v>
      </c>
      <c r="AA42" s="19">
        <v>1.9847052768392224</v>
      </c>
      <c r="AB42" s="19">
        <v>1.3458046794244607</v>
      </c>
      <c r="AC42" s="19">
        <v>225.98882202557377</v>
      </c>
      <c r="AD42" s="19">
        <v>0</v>
      </c>
      <c r="AE42" s="87">
        <v>225.98882202557377</v>
      </c>
      <c r="AF42" s="56">
        <v>1.2111845793263094E-2</v>
      </c>
      <c r="AG42" s="43">
        <v>0.24983582058867024</v>
      </c>
      <c r="AH42" s="43">
        <v>0</v>
      </c>
      <c r="AI42" s="43">
        <v>9.5189795015156982</v>
      </c>
      <c r="AJ42" s="43">
        <v>0.59283698093374759</v>
      </c>
      <c r="AK42" s="43">
        <v>8.548034599347254E-2</v>
      </c>
      <c r="AL42" s="58">
        <v>1.120477182790748</v>
      </c>
      <c r="AM42" s="43">
        <v>0.60082220952047216</v>
      </c>
      <c r="AN42" s="42">
        <v>0.34536955720672818</v>
      </c>
      <c r="AO42" s="42">
        <v>0.1931374966843061</v>
      </c>
      <c r="AP42" s="42">
        <v>12.719050941027106</v>
      </c>
      <c r="AQ42" s="43">
        <v>0</v>
      </c>
      <c r="AR42" s="83">
        <v>12.719050941027106</v>
      </c>
      <c r="AS42" s="19">
        <f t="shared" si="2"/>
        <v>0.36283352350725784</v>
      </c>
      <c r="AT42" s="19">
        <f t="shared" si="3"/>
        <v>48.651534238168516</v>
      </c>
      <c r="AU42" s="19">
        <f t="shared" si="4"/>
        <v>0</v>
      </c>
      <c r="AV42" s="19">
        <f t="shared" si="5"/>
        <v>10.299112141124761</v>
      </c>
      <c r="AW42" s="19">
        <f t="shared" si="6"/>
        <v>254.84980043109573</v>
      </c>
      <c r="AX42" s="53">
        <f t="shared" si="82"/>
        <v>8.6316576717772797</v>
      </c>
      <c r="AY42" s="53">
        <f t="shared" si="83"/>
        <v>1.78652410501426</v>
      </c>
      <c r="AZ42" s="53">
        <f t="shared" si="84"/>
        <v>7.1107534400965466</v>
      </c>
      <c r="BA42" s="19">
        <f t="shared" si="85"/>
        <v>331.6922155507844</v>
      </c>
      <c r="BB42" s="19">
        <f t="shared" si="7"/>
        <v>0</v>
      </c>
      <c r="BC42" s="53">
        <f t="shared" si="8"/>
        <v>331.6922155507844</v>
      </c>
      <c r="BD42" s="56">
        <f t="shared" si="9"/>
        <v>281.53164879777336</v>
      </c>
      <c r="BE42" s="43">
        <f t="shared" si="10"/>
        <v>101.49549082237635</v>
      </c>
      <c r="BF42" s="58">
        <f t="shared" si="11"/>
        <v>383.02713962014968</v>
      </c>
      <c r="BG42" s="61">
        <f t="shared" si="12"/>
        <v>42.670887835010177</v>
      </c>
      <c r="BH42" s="19">
        <f t="shared" si="13"/>
        <v>977.75922970992349</v>
      </c>
      <c r="BI42" s="19">
        <f t="shared" si="14"/>
        <v>0</v>
      </c>
      <c r="BJ42" s="19">
        <f t="shared" si="15"/>
        <v>596.4107917824482</v>
      </c>
      <c r="BK42" s="19">
        <f t="shared" si="16"/>
        <v>2.5373872705594094</v>
      </c>
      <c r="BL42" s="19">
        <f t="shared" si="17"/>
        <v>1089.7540403451906</v>
      </c>
      <c r="BM42" s="19">
        <f t="shared" si="18"/>
        <v>14215.357927595382</v>
      </c>
      <c r="BN42" s="53">
        <f t="shared" si="19"/>
        <v>229.4102649173235</v>
      </c>
      <c r="BO42" s="53">
        <f t="shared" si="86"/>
        <v>152.90440578112492</v>
      </c>
      <c r="BP42" s="53">
        <f t="shared" si="87"/>
        <v>103.68263097106902</v>
      </c>
      <c r="BQ42" s="19">
        <f t="shared" si="88"/>
        <v>17410.487566208034</v>
      </c>
      <c r="BR42" s="19">
        <f t="shared" si="20"/>
        <v>0</v>
      </c>
      <c r="BS42" s="53">
        <f t="shared" si="21"/>
        <v>17410.487566208034</v>
      </c>
      <c r="BT42" s="56">
        <f t="shared" si="22"/>
        <v>0.93311314558546143</v>
      </c>
      <c r="BU42" s="43">
        <f t="shared" si="23"/>
        <v>19.247692912263545</v>
      </c>
      <c r="BV42" s="43">
        <f t="shared" si="24"/>
        <v>0</v>
      </c>
      <c r="BW42" s="43">
        <f t="shared" si="25"/>
        <v>733.35518442311957</v>
      </c>
      <c r="BX42" s="43">
        <f t="shared" si="26"/>
        <v>45.672970870069364</v>
      </c>
      <c r="BY42" s="58">
        <f t="shared" si="27"/>
        <v>6.5855226277788974</v>
      </c>
      <c r="BZ42" s="58">
        <f t="shared" si="28"/>
        <v>86.323092816469099</v>
      </c>
      <c r="CA42" s="58">
        <f t="shared" si="29"/>
        <v>46.288163788800382</v>
      </c>
      <c r="CB42" s="58">
        <f t="shared" si="89"/>
        <v>26.607742487431764</v>
      </c>
      <c r="CC42" s="58">
        <f t="shared" si="90"/>
        <v>14.879576584589344</v>
      </c>
      <c r="CD42" s="58">
        <f t="shared" si="91"/>
        <v>979.89305965610743</v>
      </c>
      <c r="CE42" s="58">
        <f t="shared" si="30"/>
        <v>0</v>
      </c>
      <c r="CF42" s="58">
        <f t="shared" si="92"/>
        <v>979.89305965610743</v>
      </c>
      <c r="CG42" s="127">
        <v>66</v>
      </c>
      <c r="CH42" s="128" t="s">
        <v>169</v>
      </c>
      <c r="CI42" s="128"/>
      <c r="CJ42" s="126">
        <f t="shared" si="93"/>
        <v>39</v>
      </c>
      <c r="CK42" s="126">
        <f t="shared" si="95"/>
        <v>63</v>
      </c>
      <c r="CN42" s="147">
        <f t="shared" si="31"/>
        <v>1.2111845793263094E-2</v>
      </c>
      <c r="CO42" s="147">
        <f t="shared" si="32"/>
        <v>0.24983582058867024</v>
      </c>
      <c r="CP42" s="147">
        <f t="shared" si="33"/>
        <v>0</v>
      </c>
      <c r="CQ42" s="31">
        <f>(AI42-(P42*450/1000000))*Parameters!$C$153</f>
        <v>6.2996384761376962</v>
      </c>
      <c r="CR42" s="31">
        <f t="shared" si="34"/>
        <v>8.548034599347254E-2</v>
      </c>
      <c r="CS42" s="31">
        <f t="shared" si="35"/>
        <v>1.120477182790748</v>
      </c>
      <c r="CT42" s="31">
        <f>AM42*Parameters!$C$154</f>
        <v>0.54073998856842498</v>
      </c>
      <c r="CU42" s="31">
        <f>AQ42*Parameters!$C$155</f>
        <v>0</v>
      </c>
      <c r="CV42" s="31">
        <f t="shared" si="36"/>
        <v>8.3082836598722754</v>
      </c>
      <c r="CW42" s="188">
        <f t="shared" si="37"/>
        <v>65.321569183064796</v>
      </c>
      <c r="CY42" s="181">
        <v>0</v>
      </c>
      <c r="CZ42" s="181">
        <v>8.9758075534021629</v>
      </c>
      <c r="DA42" s="181">
        <v>3.1931415595177794</v>
      </c>
      <c r="DB42" s="181">
        <v>7.2661089796307499</v>
      </c>
      <c r="DC42" s="181">
        <v>17.559513755892187</v>
      </c>
      <c r="DD42" s="181">
        <v>47.608317020655669</v>
      </c>
      <c r="DE42" s="181">
        <v>1.8588278060146182</v>
      </c>
      <c r="DF42" s="181">
        <v>4.3018587894924929</v>
      </c>
      <c r="DG42" s="181">
        <v>12.044054553238553</v>
      </c>
      <c r="DH42" s="181">
        <v>6.1606865955071113</v>
      </c>
      <c r="DI42" s="181">
        <v>75.627081315696387</v>
      </c>
      <c r="DJ42" s="181">
        <v>8.9758075534021629</v>
      </c>
      <c r="DK42" s="181">
        <v>102.80763001784422</v>
      </c>
      <c r="DL42" s="181"/>
      <c r="DM42" s="181">
        <v>0</v>
      </c>
      <c r="DN42" s="181">
        <v>1.5623670254464881</v>
      </c>
      <c r="DO42" s="181">
        <v>0.10068741533865096</v>
      </c>
      <c r="DP42" s="181">
        <v>0.75825604771308341</v>
      </c>
      <c r="DQ42" s="181">
        <v>6.4979095686634052</v>
      </c>
      <c r="DR42" s="181">
        <v>4.679003753944419E-2</v>
      </c>
      <c r="DS42" s="181">
        <v>0.86870021403545317</v>
      </c>
      <c r="DT42" s="181">
        <v>7.3568530317151399</v>
      </c>
      <c r="DU42" s="181">
        <v>1.5623670254464881</v>
      </c>
      <c r="DV42" s="181">
        <v>9.8347103087365255</v>
      </c>
      <c r="DW42" s="181">
        <v>9.8347103087365255</v>
      </c>
      <c r="DX42" s="181"/>
      <c r="DY42" s="181">
        <v>0</v>
      </c>
      <c r="DZ42" s="181">
        <v>1.0936569178125415</v>
      </c>
      <c r="EA42" s="181">
        <v>0.10068741533865096</v>
      </c>
      <c r="EB42" s="181">
        <v>0.75825604771308341</v>
      </c>
      <c r="EC42" s="181">
        <v>2.9697657381568598</v>
      </c>
      <c r="ED42" s="181">
        <v>4.679003753944419E-2</v>
      </c>
      <c r="EE42" s="181">
        <v>0.18964421165650119</v>
      </c>
      <c r="EF42" s="181">
        <v>3.8287092012085941</v>
      </c>
      <c r="EG42" s="181">
        <v>1.0936569178125415</v>
      </c>
      <c r="EH42" s="181">
        <v>5.1588003682170811</v>
      </c>
      <c r="EJ42" s="31">
        <f t="shared" si="38"/>
        <v>9.3311314558546128E-4</v>
      </c>
      <c r="EK42" s="31">
        <f t="shared" si="39"/>
        <v>1.9247692912263543E-2</v>
      </c>
      <c r="EL42" s="31">
        <f t="shared" si="40"/>
        <v>0</v>
      </c>
      <c r="EM42" s="31">
        <f t="shared" si="41"/>
        <v>0.48533275397129721</v>
      </c>
      <c r="EN42" s="31">
        <f t="shared" si="42"/>
        <v>6.5855226277788973E-3</v>
      </c>
      <c r="EO42" s="31">
        <f t="shared" si="43"/>
        <v>8.6323092816469091E-2</v>
      </c>
      <c r="EP42" s="31">
        <f t="shared" si="44"/>
        <v>4.165934740992034E-2</v>
      </c>
      <c r="EQ42" s="31">
        <f t="shared" si="45"/>
        <v>0</v>
      </c>
      <c r="ER42" s="31">
        <f t="shared" si="46"/>
        <v>0.64008152288331455</v>
      </c>
      <c r="ES42" s="31">
        <f t="shared" si="47"/>
        <v>5.0324629239327967</v>
      </c>
      <c r="ET42" s="31"/>
      <c r="EU42" s="31">
        <f t="shared" si="48"/>
        <v>0</v>
      </c>
      <c r="EV42" s="31">
        <f t="shared" si="49"/>
        <v>0.69150847552760819</v>
      </c>
      <c r="EW42" s="31">
        <f t="shared" si="50"/>
        <v>0.24600398781155278</v>
      </c>
      <c r="EX42" s="31">
        <f t="shared" si="51"/>
        <v>0.55979096183021715</v>
      </c>
      <c r="EY42" s="31">
        <f t="shared" si="52"/>
        <v>1.3528089273416513</v>
      </c>
      <c r="EZ42" s="31">
        <f t="shared" si="53"/>
        <v>3.6678097797351059</v>
      </c>
      <c r="FA42" s="31">
        <f t="shared" si="54"/>
        <v>0.14320663347091092</v>
      </c>
      <c r="FB42" s="31">
        <f t="shared" si="55"/>
        <v>0.33142107779811375</v>
      </c>
      <c r="FC42" s="31">
        <f t="shared" si="56"/>
        <v>0.92789041584614917</v>
      </c>
      <c r="FD42" s="31">
        <f t="shared" si="57"/>
        <v>0.47462771126902475</v>
      </c>
      <c r="FE42" s="31">
        <f t="shared" si="58"/>
        <v>5.8264136567185263</v>
      </c>
      <c r="FF42" s="31">
        <f t="shared" si="59"/>
        <v>0.69150847552760819</v>
      </c>
      <c r="FG42" s="31">
        <f t="shared" si="60"/>
        <v>7.9204402593613086</v>
      </c>
      <c r="FH42" s="31"/>
      <c r="FI42" s="31">
        <f t="shared" si="61"/>
        <v>0</v>
      </c>
      <c r="FJ42" s="31">
        <f t="shared" si="62"/>
        <v>0.12036688994870406</v>
      </c>
      <c r="FK42" s="31">
        <f t="shared" si="63"/>
        <v>7.7570960241070165E-3</v>
      </c>
      <c r="FL42" s="31">
        <f t="shared" si="64"/>
        <v>5.8417081749365184E-2</v>
      </c>
      <c r="FM42" s="31">
        <f t="shared" si="65"/>
        <v>0.50060782979237783</v>
      </c>
      <c r="FN42" s="31">
        <f t="shared" si="66"/>
        <v>3.6047684106725974E-3</v>
      </c>
      <c r="FO42" s="31">
        <f t="shared" si="67"/>
        <v>6.6925851197697589E-2</v>
      </c>
      <c r="FP42" s="31">
        <f t="shared" si="68"/>
        <v>0.56678200756585007</v>
      </c>
      <c r="FQ42" s="31">
        <f t="shared" si="69"/>
        <v>0.12036688994870406</v>
      </c>
      <c r="FR42" s="31">
        <f t="shared" si="70"/>
        <v>0.75767951712292425</v>
      </c>
      <c r="FS42" s="31">
        <f t="shared" si="71"/>
        <v>0.75767951712292425</v>
      </c>
      <c r="FT42" s="31"/>
      <c r="FU42" s="31">
        <f t="shared" si="72"/>
        <v>0</v>
      </c>
      <c r="FV42" s="31">
        <f t="shared" si="73"/>
        <v>8.4256822964092828E-2</v>
      </c>
      <c r="FW42" s="31">
        <f t="shared" si="74"/>
        <v>7.7570960241070165E-3</v>
      </c>
      <c r="FX42" s="31">
        <f t="shared" si="75"/>
        <v>5.8417081749365184E-2</v>
      </c>
      <c r="FY42" s="31">
        <f t="shared" si="76"/>
        <v>0.22879480938610086</v>
      </c>
      <c r="FZ42" s="31">
        <f t="shared" si="77"/>
        <v>3.6047684106725974E-3</v>
      </c>
      <c r="GA42" s="31">
        <f t="shared" si="78"/>
        <v>1.461044913396289E-2</v>
      </c>
      <c r="GB42" s="31">
        <f t="shared" si="79"/>
        <v>0.29496898715957304</v>
      </c>
      <c r="GC42" s="31">
        <f t="shared" si="80"/>
        <v>8.4256822964092828E-2</v>
      </c>
      <c r="GD42" s="31">
        <f t="shared" si="81"/>
        <v>0.39744102766830136</v>
      </c>
    </row>
    <row r="43" spans="1:186">
      <c r="A43" s="39" t="str">
        <f>Basicinfo!A43</f>
        <v>Kristeinerbach</v>
      </c>
      <c r="B43" s="63">
        <f>Basicinfo!B43</f>
        <v>1350</v>
      </c>
      <c r="C43" s="63">
        <f>Basicinfo!C43</f>
        <v>5010</v>
      </c>
      <c r="D43" s="227">
        <v>135.30305997900001</v>
      </c>
      <c r="E43" s="89">
        <v>1.4776424272465598</v>
      </c>
      <c r="F43" s="27">
        <v>4.2922006992707771E-3</v>
      </c>
      <c r="G43" s="19">
        <v>0.24700294891525576</v>
      </c>
      <c r="H43" s="19">
        <v>0</v>
      </c>
      <c r="I43" s="19">
        <v>3.9657827650105525E-2</v>
      </c>
      <c r="J43" s="19">
        <v>1.1551173887227069</v>
      </c>
      <c r="K43" s="19">
        <v>1.2272291534090166E-2</v>
      </c>
      <c r="L43" s="19">
        <v>6.1347255059237974E-3</v>
      </c>
      <c r="M43" s="19">
        <v>1.3165044219206909E-2</v>
      </c>
      <c r="N43" s="19">
        <v>1.4776424272465598</v>
      </c>
      <c r="O43" s="19">
        <v>0</v>
      </c>
      <c r="P43" s="56">
        <v>3606.1381443798832</v>
      </c>
      <c r="Q43" s="43">
        <v>1844.3650506067047</v>
      </c>
      <c r="R43" s="88">
        <v>5450.5031949865879</v>
      </c>
      <c r="S43" s="61">
        <v>1.518020226033715</v>
      </c>
      <c r="T43" s="19">
        <v>15.598455308981789</v>
      </c>
      <c r="U43" s="19">
        <v>0</v>
      </c>
      <c r="V43" s="19">
        <v>11.344213443143619</v>
      </c>
      <c r="W43" s="19">
        <v>4.6109126265167617E-2</v>
      </c>
      <c r="X43" s="19">
        <v>12.204358410389824</v>
      </c>
      <c r="Y43" s="19">
        <v>180.69570623861975</v>
      </c>
      <c r="Z43" s="19">
        <v>1.1296010607720623</v>
      </c>
      <c r="AA43" s="19">
        <v>1.5358142036878462</v>
      </c>
      <c r="AB43" s="19">
        <v>0.45559701840477784</v>
      </c>
      <c r="AC43" s="19">
        <v>224.52787503629855</v>
      </c>
      <c r="AD43" s="19">
        <v>0</v>
      </c>
      <c r="AE43" s="87">
        <v>224.52787503629855</v>
      </c>
      <c r="AF43" s="56">
        <v>3.3334817557177925E-2</v>
      </c>
      <c r="AG43" s="43">
        <v>0.29496486020256629</v>
      </c>
      <c r="AH43" s="43">
        <v>0</v>
      </c>
      <c r="AI43" s="43">
        <v>9.0834265838924253</v>
      </c>
      <c r="AJ43" s="43">
        <v>0.8299642727730171</v>
      </c>
      <c r="AK43" s="43">
        <v>7.7739503679540162E-2</v>
      </c>
      <c r="AL43" s="58">
        <v>1.474535524483247</v>
      </c>
      <c r="AM43" s="43">
        <v>0.27465284957184161</v>
      </c>
      <c r="AN43" s="42">
        <v>0.29271958128208414</v>
      </c>
      <c r="AO43" s="42">
        <v>7.2342380019590216E-2</v>
      </c>
      <c r="AP43" s="42">
        <v>12.43368037346149</v>
      </c>
      <c r="AQ43" s="43">
        <v>0.61204100000000006</v>
      </c>
      <c r="AR43" s="83">
        <v>13.04572137346149</v>
      </c>
      <c r="AS43" s="19">
        <f t="shared" si="2"/>
        <v>1.0004122691180219</v>
      </c>
      <c r="AT43" s="19">
        <f t="shared" si="3"/>
        <v>57.57064916492272</v>
      </c>
      <c r="AU43" s="19">
        <f t="shared" si="4"/>
        <v>0</v>
      </c>
      <c r="AV43" s="19">
        <f t="shared" si="5"/>
        <v>9.2433183179141505</v>
      </c>
      <c r="AW43" s="19">
        <f t="shared" si="6"/>
        <v>269.23102830352195</v>
      </c>
      <c r="AX43" s="53">
        <f t="shared" si="82"/>
        <v>2.8603860539379937</v>
      </c>
      <c r="AY43" s="53">
        <f t="shared" si="83"/>
        <v>1.429861997096296</v>
      </c>
      <c r="AZ43" s="53">
        <f t="shared" si="84"/>
        <v>3.0684659649334378</v>
      </c>
      <c r="BA43" s="19">
        <f t="shared" si="85"/>
        <v>344.40412207144459</v>
      </c>
      <c r="BB43" s="19">
        <f t="shared" si="7"/>
        <v>0</v>
      </c>
      <c r="BC43" s="53">
        <f t="shared" si="8"/>
        <v>344.40412207144459</v>
      </c>
      <c r="BD43" s="56">
        <f t="shared" si="9"/>
        <v>266.52302948208131</v>
      </c>
      <c r="BE43" s="43">
        <f t="shared" si="10"/>
        <v>136.31362445852761</v>
      </c>
      <c r="BF43" s="58">
        <f t="shared" si="11"/>
        <v>402.83665394060893</v>
      </c>
      <c r="BG43" s="61">
        <f t="shared" si="12"/>
        <v>112.19407944427292</v>
      </c>
      <c r="BH43" s="19">
        <f t="shared" si="13"/>
        <v>1152.8531070474517</v>
      </c>
      <c r="BI43" s="19">
        <f t="shared" si="14"/>
        <v>0</v>
      </c>
      <c r="BJ43" s="19">
        <f t="shared" si="15"/>
        <v>838.42992500718913</v>
      </c>
      <c r="BK43" s="19">
        <f t="shared" si="16"/>
        <v>3.4078406114631909</v>
      </c>
      <c r="BL43" s="19">
        <f t="shared" si="17"/>
        <v>902.00165556374168</v>
      </c>
      <c r="BM43" s="19">
        <f t="shared" si="18"/>
        <v>13354.886893664119</v>
      </c>
      <c r="BN43" s="53">
        <f t="shared" si="19"/>
        <v>83.486734220747437</v>
      </c>
      <c r="BO43" s="53">
        <f t="shared" si="86"/>
        <v>113.509199564756</v>
      </c>
      <c r="BP43" s="53">
        <f t="shared" si="87"/>
        <v>33.67233664009445</v>
      </c>
      <c r="BQ43" s="19">
        <f t="shared" si="88"/>
        <v>16594.441771763835</v>
      </c>
      <c r="BR43" s="19">
        <f t="shared" si="20"/>
        <v>0</v>
      </c>
      <c r="BS43" s="53">
        <f t="shared" si="21"/>
        <v>16594.441771763835</v>
      </c>
      <c r="BT43" s="56">
        <f t="shared" si="22"/>
        <v>2.4637149789776909</v>
      </c>
      <c r="BU43" s="43">
        <f t="shared" si="23"/>
        <v>21.800309634412329</v>
      </c>
      <c r="BV43" s="43">
        <f t="shared" si="24"/>
        <v>0</v>
      </c>
      <c r="BW43" s="43">
        <f t="shared" si="25"/>
        <v>671.33933152008819</v>
      </c>
      <c r="BX43" s="43">
        <f t="shared" si="26"/>
        <v>61.341131006337434</v>
      </c>
      <c r="BY43" s="58">
        <f t="shared" si="27"/>
        <v>5.7455835582436849</v>
      </c>
      <c r="BZ43" s="58">
        <f t="shared" si="28"/>
        <v>108.98020523054728</v>
      </c>
      <c r="CA43" s="58">
        <f t="shared" si="29"/>
        <v>20.299086333632786</v>
      </c>
      <c r="CB43" s="58">
        <f t="shared" si="89"/>
        <v>21.634365204121494</v>
      </c>
      <c r="CC43" s="58">
        <f t="shared" si="90"/>
        <v>5.3466920874382486</v>
      </c>
      <c r="CD43" s="58">
        <f t="shared" si="91"/>
        <v>918.95041955379918</v>
      </c>
      <c r="CE43" s="58">
        <f t="shared" si="30"/>
        <v>45.234823225357445</v>
      </c>
      <c r="CF43" s="58">
        <f t="shared" si="92"/>
        <v>964.18524277915662</v>
      </c>
      <c r="CG43" s="127">
        <v>66</v>
      </c>
      <c r="CH43" s="128" t="s">
        <v>169</v>
      </c>
      <c r="CI43" s="128"/>
      <c r="CJ43" s="126">
        <f t="shared" si="93"/>
        <v>40</v>
      </c>
      <c r="CK43" s="126">
        <f t="shared" si="95"/>
        <v>63</v>
      </c>
      <c r="CN43" s="147">
        <f t="shared" si="31"/>
        <v>3.3334817557177925E-2</v>
      </c>
      <c r="CO43" s="147">
        <f t="shared" si="32"/>
        <v>0.29496486020256629</v>
      </c>
      <c r="CP43" s="147">
        <f t="shared" si="33"/>
        <v>0</v>
      </c>
      <c r="CQ43" s="31">
        <f>(AI43-(P43*450/1000000))*Parameters!$C$153</f>
        <v>5.968531535137183</v>
      </c>
      <c r="CR43" s="31">
        <f t="shared" si="34"/>
        <v>7.7739503679540162E-2</v>
      </c>
      <c r="CS43" s="31">
        <f t="shared" si="35"/>
        <v>1.474535524483247</v>
      </c>
      <c r="CT43" s="31">
        <f>AM43*Parameters!$C$154</f>
        <v>0.24718756461465746</v>
      </c>
      <c r="CU43" s="31">
        <f>AQ43*Parameters!$C$155</f>
        <v>0.61204100000000006</v>
      </c>
      <c r="CV43" s="31">
        <f t="shared" si="36"/>
        <v>8.7083348056743723</v>
      </c>
      <c r="CW43" s="188">
        <f t="shared" si="37"/>
        <v>66.752420631866855</v>
      </c>
      <c r="CY43" s="181">
        <v>0</v>
      </c>
      <c r="CZ43" s="181">
        <v>10.590914850661102</v>
      </c>
      <c r="DA43" s="181">
        <v>3.0785097043888046</v>
      </c>
      <c r="DB43" s="181">
        <v>17.110721311305046</v>
      </c>
      <c r="DC43" s="181">
        <v>19.321265864741296</v>
      </c>
      <c r="DD43" s="181">
        <v>106.07773862419182</v>
      </c>
      <c r="DE43" s="181">
        <v>1.8964733244871388</v>
      </c>
      <c r="DF43" s="181">
        <v>10.245882528167705</v>
      </c>
      <c r="DG43" s="181">
        <v>26.585831792707065</v>
      </c>
      <c r="DH43" s="181">
        <v>12.142355852654845</v>
      </c>
      <c r="DI43" s="181">
        <v>145.58823550462697</v>
      </c>
      <c r="DJ43" s="181">
        <v>10.590914850661102</v>
      </c>
      <c r="DK43" s="181">
        <v>194.90733800064999</v>
      </c>
      <c r="DL43" s="181"/>
      <c r="DM43" s="181">
        <v>0</v>
      </c>
      <c r="DN43" s="181">
        <v>1.8379577206127318</v>
      </c>
      <c r="DO43" s="181">
        <v>0.10894104086826749</v>
      </c>
      <c r="DP43" s="181">
        <v>0.61674740668730599</v>
      </c>
      <c r="DQ43" s="181">
        <v>6.8607832162019866</v>
      </c>
      <c r="DR43" s="181">
        <v>1.2191490583033687E-2</v>
      </c>
      <c r="DS43" s="181">
        <v>1.1645065899200524</v>
      </c>
      <c r="DT43" s="181">
        <v>7.5864716637575578</v>
      </c>
      <c r="DU43" s="181">
        <v>1.8379577206127318</v>
      </c>
      <c r="DV43" s="181">
        <v>10.601127464873375</v>
      </c>
      <c r="DW43" s="181">
        <v>10.601127464873377</v>
      </c>
      <c r="DX43" s="181"/>
      <c r="DY43" s="181">
        <v>0</v>
      </c>
      <c r="DZ43" s="181">
        <v>1.2865704044289121</v>
      </c>
      <c r="EA43" s="181">
        <v>0.10894104086826749</v>
      </c>
      <c r="EB43" s="181">
        <v>0.61674740668730599</v>
      </c>
      <c r="EC43" s="181">
        <v>3.1947518916192892</v>
      </c>
      <c r="ED43" s="181">
        <v>1.2191490583033687E-2</v>
      </c>
      <c r="EE43" s="181">
        <v>0.39667731861206784</v>
      </c>
      <c r="EF43" s="181">
        <v>3.9204403391748626</v>
      </c>
      <c r="EG43" s="181">
        <v>1.2865704044289121</v>
      </c>
      <c r="EH43" s="181">
        <v>5.6158795527988756</v>
      </c>
      <c r="EJ43" s="31">
        <f t="shared" si="38"/>
        <v>2.4637149789776907E-3</v>
      </c>
      <c r="EK43" s="31">
        <f t="shared" si="39"/>
        <v>2.1800309634412329E-2</v>
      </c>
      <c r="EL43" s="31">
        <f t="shared" si="40"/>
        <v>0</v>
      </c>
      <c r="EM43" s="31">
        <f t="shared" si="41"/>
        <v>0.44112317460252126</v>
      </c>
      <c r="EN43" s="31">
        <f t="shared" si="42"/>
        <v>5.7455835582436851E-3</v>
      </c>
      <c r="EO43" s="31">
        <f t="shared" si="43"/>
        <v>0.10898020523054727</v>
      </c>
      <c r="EP43" s="31">
        <f t="shared" si="44"/>
        <v>1.8269177700269507E-2</v>
      </c>
      <c r="EQ43" s="31">
        <f t="shared" si="45"/>
        <v>4.5234823225357441E-2</v>
      </c>
      <c r="ER43" s="31">
        <f t="shared" si="46"/>
        <v>0.64361698893032926</v>
      </c>
      <c r="ES43" s="31">
        <f t="shared" si="47"/>
        <v>4.9335484831035821</v>
      </c>
      <c r="ET43" s="31"/>
      <c r="EU43" s="31">
        <f t="shared" si="48"/>
        <v>0</v>
      </c>
      <c r="EV43" s="31">
        <f t="shared" si="49"/>
        <v>0.78275501324987673</v>
      </c>
      <c r="EW43" s="31">
        <f t="shared" si="50"/>
        <v>0.22752698311971739</v>
      </c>
      <c r="EX43" s="31">
        <f t="shared" si="51"/>
        <v>1.2646219024137926</v>
      </c>
      <c r="EY43" s="31">
        <f t="shared" si="52"/>
        <v>1.4279991796002318</v>
      </c>
      <c r="EZ43" s="31">
        <f t="shared" si="53"/>
        <v>7.8400103176273932</v>
      </c>
      <c r="FA43" s="31">
        <f t="shared" si="54"/>
        <v>0.14016485102269563</v>
      </c>
      <c r="FB43" s="31">
        <f t="shared" si="55"/>
        <v>0.75725430967769247</v>
      </c>
      <c r="FC43" s="31">
        <f t="shared" si="56"/>
        <v>1.9649098695057876</v>
      </c>
      <c r="FD43" s="31">
        <f t="shared" si="57"/>
        <v>0.89741916070038796</v>
      </c>
      <c r="FE43" s="31">
        <f t="shared" si="58"/>
        <v>10.760158382761135</v>
      </c>
      <c r="FF43" s="31">
        <f t="shared" si="59"/>
        <v>0.78275501324987673</v>
      </c>
      <c r="FG43" s="31">
        <f t="shared" si="60"/>
        <v>14.405242426217189</v>
      </c>
      <c r="FH43" s="31"/>
      <c r="FI43" s="31">
        <f t="shared" si="61"/>
        <v>0</v>
      </c>
      <c r="FJ43" s="31">
        <f t="shared" si="62"/>
        <v>0.1358400704978879</v>
      </c>
      <c r="FK43" s="31">
        <f t="shared" si="63"/>
        <v>8.0516317136638225E-3</v>
      </c>
      <c r="FL43" s="31">
        <f t="shared" si="64"/>
        <v>4.5582665076682634E-2</v>
      </c>
      <c r="FM43" s="31">
        <f t="shared" si="65"/>
        <v>0.50706785325230852</v>
      </c>
      <c r="FN43" s="31">
        <f t="shared" si="66"/>
        <v>9.0105061814018783E-4</v>
      </c>
      <c r="FO43" s="31">
        <f t="shared" si="67"/>
        <v>8.6066537600908058E-2</v>
      </c>
      <c r="FP43" s="31">
        <f t="shared" si="68"/>
        <v>0.56070215004265478</v>
      </c>
      <c r="FQ43" s="31">
        <f t="shared" si="69"/>
        <v>0.1358400704978879</v>
      </c>
      <c r="FR43" s="31">
        <f t="shared" si="70"/>
        <v>0.78350980875959086</v>
      </c>
      <c r="FS43" s="31">
        <f t="shared" si="71"/>
        <v>0.78350980875959098</v>
      </c>
      <c r="FT43" s="31"/>
      <c r="FU43" s="31">
        <f t="shared" si="72"/>
        <v>0</v>
      </c>
      <c r="FV43" s="31">
        <f t="shared" si="73"/>
        <v>9.5088049348521525E-2</v>
      </c>
      <c r="FW43" s="31">
        <f t="shared" si="74"/>
        <v>8.0516317136638225E-3</v>
      </c>
      <c r="FX43" s="31">
        <f t="shared" si="75"/>
        <v>4.5582665076682634E-2</v>
      </c>
      <c r="FY43" s="31">
        <f t="shared" si="76"/>
        <v>0.23611822911581878</v>
      </c>
      <c r="FZ43" s="31">
        <f t="shared" si="77"/>
        <v>9.0105061814018783E-4</v>
      </c>
      <c r="GA43" s="31">
        <f t="shared" si="78"/>
        <v>2.931769013011494E-2</v>
      </c>
      <c r="GB43" s="31">
        <f t="shared" si="79"/>
        <v>0.28975252590616518</v>
      </c>
      <c r="GC43" s="31">
        <f t="shared" si="80"/>
        <v>9.5088049348521525E-2</v>
      </c>
      <c r="GD43" s="31">
        <f t="shared" si="81"/>
        <v>0.41505931600294182</v>
      </c>
    </row>
    <row r="44" spans="1:186">
      <c r="A44" s="39" t="str">
        <f>Basicinfo!A44</f>
        <v>Kleine Gusen</v>
      </c>
      <c r="B44" s="63">
        <f>Basicinfo!B44</f>
        <v>1360</v>
      </c>
      <c r="C44" s="63">
        <f>Basicinfo!C44</f>
        <v>1370</v>
      </c>
      <c r="D44" s="227">
        <v>112.128344822</v>
      </c>
      <c r="E44" s="89">
        <v>0.93456274867830103</v>
      </c>
      <c r="F44" s="27">
        <v>1.2572466896110402E-3</v>
      </c>
      <c r="G44" s="19">
        <v>0.14503178616790019</v>
      </c>
      <c r="H44" s="19">
        <v>0</v>
      </c>
      <c r="I44" s="19">
        <v>4.4843298512411568E-2</v>
      </c>
      <c r="J44" s="19">
        <v>0.71400491924915754</v>
      </c>
      <c r="K44" s="19">
        <v>4.2470782293598979E-3</v>
      </c>
      <c r="L44" s="19">
        <v>4.690982043790609E-3</v>
      </c>
      <c r="M44" s="19">
        <v>5.5480985652854708E-3</v>
      </c>
      <c r="N44" s="19">
        <v>0.91962340945751631</v>
      </c>
      <c r="O44" s="19">
        <v>1.4939339220784711E-2</v>
      </c>
      <c r="P44" s="56">
        <v>398.90478857755136</v>
      </c>
      <c r="Q44" s="43">
        <v>562.49910704569811</v>
      </c>
      <c r="R44" s="88">
        <v>961.40389562324947</v>
      </c>
      <c r="S44" s="61">
        <v>0.43087135998619508</v>
      </c>
      <c r="T44" s="19">
        <v>8.0620335631425455</v>
      </c>
      <c r="U44" s="19">
        <v>0</v>
      </c>
      <c r="V44" s="19">
        <v>2.2296032602509972</v>
      </c>
      <c r="W44" s="19">
        <v>1.4062477676142453E-2</v>
      </c>
      <c r="X44" s="19">
        <v>22.187789521303237</v>
      </c>
      <c r="Y44" s="19">
        <v>67.153054198973805</v>
      </c>
      <c r="Z44" s="19">
        <v>0.39227827656718517</v>
      </c>
      <c r="AA44" s="19">
        <v>1.0806576788664159</v>
      </c>
      <c r="AB44" s="19">
        <v>1.0329203124876847</v>
      </c>
      <c r="AC44" s="19">
        <v>102.5832706492542</v>
      </c>
      <c r="AD44" s="19">
        <v>1.5047051833333334</v>
      </c>
      <c r="AE44" s="87">
        <v>104.08797583258753</v>
      </c>
      <c r="AF44" s="56">
        <v>1.0985131641482859E-2</v>
      </c>
      <c r="AG44" s="43">
        <v>0.1436541286716988</v>
      </c>
      <c r="AH44" s="43">
        <v>0</v>
      </c>
      <c r="AI44" s="43">
        <v>1.3304984398210502</v>
      </c>
      <c r="AJ44" s="43">
        <v>0.25312459817056415</v>
      </c>
      <c r="AK44" s="43">
        <v>0.25699533118454815</v>
      </c>
      <c r="AL44" s="58">
        <v>2.5744251204809072</v>
      </c>
      <c r="AM44" s="43">
        <v>0.1049747999556358</v>
      </c>
      <c r="AN44" s="42">
        <v>0.21902855791552664</v>
      </c>
      <c r="AO44" s="42">
        <v>0.16295509596363411</v>
      </c>
      <c r="AP44" s="42">
        <v>5.0566412038050483</v>
      </c>
      <c r="AQ44" s="43">
        <v>0.33442466666666665</v>
      </c>
      <c r="AR44" s="83">
        <v>5.3910658704717154</v>
      </c>
      <c r="AS44" s="19">
        <f t="shared" si="2"/>
        <v>0.35359954404494676</v>
      </c>
      <c r="AT44" s="19">
        <f t="shared" si="3"/>
        <v>40.790064419942453</v>
      </c>
      <c r="AU44" s="19">
        <f t="shared" si="4"/>
        <v>0</v>
      </c>
      <c r="AV44" s="19">
        <f t="shared" si="5"/>
        <v>12.612138921094145</v>
      </c>
      <c r="AW44" s="19">
        <f t="shared" si="6"/>
        <v>200.81326598717027</v>
      </c>
      <c r="AX44" s="53">
        <f t="shared" si="82"/>
        <v>1.1944870786571624</v>
      </c>
      <c r="AY44" s="53">
        <f t="shared" si="83"/>
        <v>1.3193346425279195</v>
      </c>
      <c r="AZ44" s="53">
        <f t="shared" si="84"/>
        <v>1.5603979228677052</v>
      </c>
      <c r="BA44" s="19">
        <f t="shared" si="85"/>
        <v>258.64328851630461</v>
      </c>
      <c r="BB44" s="19">
        <f t="shared" si="7"/>
        <v>4.2016762346270697</v>
      </c>
      <c r="BC44" s="53">
        <f t="shared" si="8"/>
        <v>262.84496475093169</v>
      </c>
      <c r="BD44" s="56">
        <f t="shared" si="9"/>
        <v>35.57573147189494</v>
      </c>
      <c r="BE44" s="43">
        <f t="shared" si="10"/>
        <v>50.165647940192699</v>
      </c>
      <c r="BF44" s="58">
        <f t="shared" si="11"/>
        <v>85.741379412087639</v>
      </c>
      <c r="BG44" s="61">
        <f t="shared" si="12"/>
        <v>38.426622694751181</v>
      </c>
      <c r="BH44" s="19">
        <f t="shared" si="13"/>
        <v>719.0004967914897</v>
      </c>
      <c r="BI44" s="19">
        <f t="shared" si="14"/>
        <v>0</v>
      </c>
      <c r="BJ44" s="19">
        <f t="shared" si="15"/>
        <v>198.84385734850702</v>
      </c>
      <c r="BK44" s="19">
        <f t="shared" si="16"/>
        <v>1.2541411985048176</v>
      </c>
      <c r="BL44" s="19">
        <f t="shared" si="17"/>
        <v>1978.785074953671</v>
      </c>
      <c r="BM44" s="19">
        <f t="shared" si="18"/>
        <v>5988.9454629493584</v>
      </c>
      <c r="BN44" s="53">
        <f t="shared" si="19"/>
        <v>34.984755834032313</v>
      </c>
      <c r="BO44" s="53">
        <f t="shared" si="86"/>
        <v>96.376851061337248</v>
      </c>
      <c r="BP44" s="53">
        <f t="shared" si="87"/>
        <v>92.119464897783985</v>
      </c>
      <c r="BQ44" s="19">
        <f t="shared" si="88"/>
        <v>9148.7367277294343</v>
      </c>
      <c r="BR44" s="19">
        <f t="shared" si="20"/>
        <v>134.19489833030198</v>
      </c>
      <c r="BS44" s="53">
        <f t="shared" si="21"/>
        <v>9282.931626059737</v>
      </c>
      <c r="BT44" s="56">
        <f t="shared" si="22"/>
        <v>0.9796926601316901</v>
      </c>
      <c r="BU44" s="43">
        <f t="shared" si="23"/>
        <v>12.811580238676038</v>
      </c>
      <c r="BV44" s="43">
        <f t="shared" si="24"/>
        <v>0</v>
      </c>
      <c r="BW44" s="43">
        <f t="shared" si="25"/>
        <v>118.65852848654566</v>
      </c>
      <c r="BX44" s="43">
        <f t="shared" si="26"/>
        <v>22.574541573086716</v>
      </c>
      <c r="BY44" s="58">
        <f t="shared" si="27"/>
        <v>22.919747151580598</v>
      </c>
      <c r="BZ44" s="58">
        <f t="shared" si="28"/>
        <v>229.59628313141704</v>
      </c>
      <c r="CA44" s="58">
        <f t="shared" si="29"/>
        <v>9.3620217191540451</v>
      </c>
      <c r="CB44" s="58">
        <f t="shared" si="89"/>
        <v>19.533736831951561</v>
      </c>
      <c r="CC44" s="58">
        <f t="shared" si="90"/>
        <v>14.532908358035595</v>
      </c>
      <c r="CD44" s="58">
        <f t="shared" si="91"/>
        <v>450.96904015057891</v>
      </c>
      <c r="CE44" s="58">
        <f t="shared" si="30"/>
        <v>29.825167507605201</v>
      </c>
      <c r="CF44" s="58">
        <f t="shared" si="92"/>
        <v>480.79420765818412</v>
      </c>
      <c r="CG44" s="127">
        <v>45</v>
      </c>
      <c r="CH44" s="128" t="s">
        <v>169</v>
      </c>
      <c r="CI44" s="128"/>
      <c r="CJ44" s="126">
        <f t="shared" si="93"/>
        <v>41</v>
      </c>
      <c r="CK44" s="126">
        <f t="shared" si="95"/>
        <v>42</v>
      </c>
      <c r="CN44" s="147">
        <f t="shared" si="31"/>
        <v>1.0985131641482859E-2</v>
      </c>
      <c r="CO44" s="147">
        <f t="shared" si="32"/>
        <v>0.1436541286716988</v>
      </c>
      <c r="CP44" s="147">
        <f t="shared" si="33"/>
        <v>0</v>
      </c>
      <c r="CQ44" s="31">
        <f>(AI44-(P44*450/1000000))*Parameters!$C$153</f>
        <v>0.92079302796892171</v>
      </c>
      <c r="CR44" s="31">
        <f t="shared" si="34"/>
        <v>0.25699533118454815</v>
      </c>
      <c r="CS44" s="31">
        <f t="shared" si="35"/>
        <v>2.5744251204809072</v>
      </c>
      <c r="CT44" s="31">
        <f>AM44*Parameters!$C$154</f>
        <v>9.447731996007222E-2</v>
      </c>
      <c r="CU44" s="31">
        <f>AQ44*Parameters!$C$155</f>
        <v>0.33442466666666665</v>
      </c>
      <c r="CV44" s="31">
        <f t="shared" si="36"/>
        <v>4.3357547265742982</v>
      </c>
      <c r="CW44" s="188">
        <f t="shared" si="37"/>
        <v>80.424814512513493</v>
      </c>
      <c r="CY44" s="181">
        <v>3.8373592254861109</v>
      </c>
      <c r="CZ44" s="181">
        <v>6.3210679534403642</v>
      </c>
      <c r="DA44" s="181">
        <v>5.8703610816627201</v>
      </c>
      <c r="DB44" s="181">
        <v>5.0175625971556643</v>
      </c>
      <c r="DC44" s="181">
        <v>23.902412584086139</v>
      </c>
      <c r="DD44" s="181">
        <v>58.205260023656848</v>
      </c>
      <c r="DE44" s="181">
        <v>3.9046047347620876</v>
      </c>
      <c r="DF44" s="181">
        <v>3.2649375240162812</v>
      </c>
      <c r="DG44" s="181">
        <v>7.9380732903118645</v>
      </c>
      <c r="DH44" s="181">
        <v>7.1695422587783693</v>
      </c>
      <c r="DI44" s="181">
        <v>92.99559628656138</v>
      </c>
      <c r="DJ44" s="181">
        <v>10.158427178926475</v>
      </c>
      <c r="DK44" s="181">
        <v>118.26163901457809</v>
      </c>
      <c r="DL44" s="181"/>
      <c r="DM44" s="181">
        <v>0.52688133333333331</v>
      </c>
      <c r="DN44" s="181">
        <v>1.1048029679945994</v>
      </c>
      <c r="DO44" s="181">
        <v>0.28557611587304005</v>
      </c>
      <c r="DP44" s="181">
        <v>0.82262501438869329</v>
      </c>
      <c r="DQ44" s="181">
        <v>0.57010233593002235</v>
      </c>
      <c r="DR44" s="181">
        <v>1.1298830530005669E-2</v>
      </c>
      <c r="DS44" s="181">
        <v>0.42913503922643298</v>
      </c>
      <c r="DT44" s="181">
        <v>1.6783034661917557</v>
      </c>
      <c r="DU44" s="181">
        <v>1.6316843013279327</v>
      </c>
      <c r="DV44" s="181">
        <v>3.7504216372761268</v>
      </c>
      <c r="DW44" s="181">
        <v>3.7504216372761272</v>
      </c>
      <c r="DX44" s="181"/>
      <c r="DY44" s="181">
        <v>0.42150506666666665</v>
      </c>
      <c r="DZ44" s="181">
        <v>0.77336207759621955</v>
      </c>
      <c r="EA44" s="181">
        <v>0.28557611587304005</v>
      </c>
      <c r="EB44" s="181">
        <v>0.82262501438869329</v>
      </c>
      <c r="EC44" s="181">
        <v>0.3142786962717517</v>
      </c>
      <c r="ED44" s="181">
        <v>1.1298830530005669E-2</v>
      </c>
      <c r="EE44" s="181">
        <v>7.1584209749704766E-2</v>
      </c>
      <c r="EF44" s="181">
        <v>1.422479826533485</v>
      </c>
      <c r="EG44" s="181">
        <v>1.1948671442628862</v>
      </c>
      <c r="EH44" s="181">
        <v>2.7002300110760817</v>
      </c>
      <c r="EJ44" s="31">
        <f t="shared" si="38"/>
        <v>9.7969266013168987E-4</v>
      </c>
      <c r="EK44" s="31">
        <f t="shared" si="39"/>
        <v>1.2811580238676038E-2</v>
      </c>
      <c r="EL44" s="31">
        <f t="shared" si="40"/>
        <v>0</v>
      </c>
      <c r="EM44" s="31">
        <f t="shared" si="41"/>
        <v>8.2119559459354369E-2</v>
      </c>
      <c r="EN44" s="31">
        <f t="shared" si="42"/>
        <v>2.2919747151580596E-2</v>
      </c>
      <c r="EO44" s="31">
        <f t="shared" si="43"/>
        <v>0.22959628313141703</v>
      </c>
      <c r="EP44" s="31">
        <f t="shared" si="44"/>
        <v>8.4258195472386391E-3</v>
      </c>
      <c r="EQ44" s="31">
        <f t="shared" si="45"/>
        <v>2.9825167507605204E-2</v>
      </c>
      <c r="ER44" s="31">
        <f t="shared" si="46"/>
        <v>0.38667784969600361</v>
      </c>
      <c r="ES44" s="31">
        <f t="shared" si="47"/>
        <v>7.1725677071382075</v>
      </c>
      <c r="ET44" s="31"/>
      <c r="EU44" s="31">
        <f t="shared" si="48"/>
        <v>0.34222918670366448</v>
      </c>
      <c r="EV44" s="31">
        <f t="shared" si="49"/>
        <v>0.56373506301861931</v>
      </c>
      <c r="EW44" s="31">
        <f t="shared" si="50"/>
        <v>0.52353943964674787</v>
      </c>
      <c r="EX44" s="31">
        <f t="shared" si="51"/>
        <v>0.44748387262122497</v>
      </c>
      <c r="EY44" s="31">
        <f t="shared" si="52"/>
        <v>2.1317011877799872</v>
      </c>
      <c r="EZ44" s="31">
        <f t="shared" si="53"/>
        <v>5.1909497207022683</v>
      </c>
      <c r="FA44" s="31">
        <f t="shared" si="54"/>
        <v>0.34822637763542452</v>
      </c>
      <c r="FB44" s="31">
        <f t="shared" si="55"/>
        <v>0.29117860690793756</v>
      </c>
      <c r="FC44" s="31">
        <f t="shared" si="56"/>
        <v>0.7079452838542557</v>
      </c>
      <c r="FD44" s="31">
        <f t="shared" si="57"/>
        <v>0.63940498454336225</v>
      </c>
      <c r="FE44" s="31">
        <f t="shared" si="58"/>
        <v>8.2936742207502281</v>
      </c>
      <c r="FF44" s="31">
        <f t="shared" si="59"/>
        <v>0.90596424972228373</v>
      </c>
      <c r="FG44" s="31">
        <f t="shared" si="60"/>
        <v>10.546988738870132</v>
      </c>
      <c r="FH44" s="31"/>
      <c r="FI44" s="31">
        <f t="shared" si="61"/>
        <v>4.6989129659386286E-2</v>
      </c>
      <c r="FJ44" s="31">
        <f t="shared" si="62"/>
        <v>9.8530212833199057E-2</v>
      </c>
      <c r="FK44" s="31">
        <f t="shared" si="63"/>
        <v>2.5468682011348921E-2</v>
      </c>
      <c r="FL44" s="31">
        <f t="shared" si="64"/>
        <v>7.3364590879726521E-2</v>
      </c>
      <c r="FM44" s="31">
        <f t="shared" si="65"/>
        <v>5.0843730622711032E-2</v>
      </c>
      <c r="FN44" s="31">
        <f t="shared" si="66"/>
        <v>1.0076694298789646E-3</v>
      </c>
      <c r="FO44" s="31">
        <f t="shared" si="67"/>
        <v>3.8271771505025823E-2</v>
      </c>
      <c r="FP44" s="31">
        <f t="shared" si="68"/>
        <v>0.14967700351378649</v>
      </c>
      <c r="FQ44" s="31">
        <f t="shared" si="69"/>
        <v>0.14551934249258536</v>
      </c>
      <c r="FR44" s="31">
        <f t="shared" si="70"/>
        <v>0.33447578694127655</v>
      </c>
      <c r="FS44" s="31">
        <f t="shared" si="71"/>
        <v>0.33447578694127666</v>
      </c>
      <c r="FT44" s="31"/>
      <c r="FU44" s="31">
        <f t="shared" si="72"/>
        <v>3.7591303727509032E-2</v>
      </c>
      <c r="FV44" s="31">
        <f t="shared" si="73"/>
        <v>6.8971148983239333E-2</v>
      </c>
      <c r="FW44" s="31">
        <f t="shared" si="74"/>
        <v>2.5468682011348921E-2</v>
      </c>
      <c r="FX44" s="31">
        <f t="shared" si="75"/>
        <v>7.3364590879726521E-2</v>
      </c>
      <c r="FY44" s="31">
        <f t="shared" si="76"/>
        <v>2.8028479040750901E-2</v>
      </c>
      <c r="FZ44" s="31">
        <f t="shared" si="77"/>
        <v>1.0076694298789646E-3</v>
      </c>
      <c r="GA44" s="31">
        <f t="shared" si="78"/>
        <v>6.3841314935436091E-3</v>
      </c>
      <c r="GB44" s="31">
        <f t="shared" si="79"/>
        <v>0.12686175193182636</v>
      </c>
      <c r="GC44" s="31">
        <f t="shared" si="80"/>
        <v>0.10656245271074835</v>
      </c>
      <c r="GD44" s="31">
        <f t="shared" si="81"/>
        <v>0.24081600556599728</v>
      </c>
    </row>
    <row r="45" spans="1:186">
      <c r="A45" s="39" t="str">
        <f>Basicinfo!A45</f>
        <v>Große Gusen</v>
      </c>
      <c r="B45" s="63">
        <f>Basicinfo!B45</f>
        <v>1370</v>
      </c>
      <c r="C45" s="63">
        <f>Basicinfo!C45</f>
        <v>1380</v>
      </c>
      <c r="D45" s="227">
        <v>223.19648202400001</v>
      </c>
      <c r="E45" s="89">
        <v>2.0512634485522909</v>
      </c>
      <c r="F45" s="27">
        <v>4.5127393310386409E-3</v>
      </c>
      <c r="G45" s="19">
        <v>0.31101070291943955</v>
      </c>
      <c r="H45" s="19">
        <v>0</v>
      </c>
      <c r="I45" s="19">
        <v>8.5788147288614058E-2</v>
      </c>
      <c r="J45" s="19">
        <v>1.5213677215519039</v>
      </c>
      <c r="K45" s="19">
        <v>1.0843303775729132E-2</v>
      </c>
      <c r="L45" s="19">
        <v>1.207258729592461E-2</v>
      </c>
      <c r="M45" s="19">
        <v>1.3507211963376935E-2</v>
      </c>
      <c r="N45" s="19">
        <v>1.9591024141260269</v>
      </c>
      <c r="O45" s="19">
        <v>9.2161034426264152E-2</v>
      </c>
      <c r="P45" s="56">
        <v>843.46262136498081</v>
      </c>
      <c r="Q45" s="43">
        <v>1125.9746900676191</v>
      </c>
      <c r="R45" s="88">
        <v>1969.4373114325999</v>
      </c>
      <c r="S45" s="61">
        <v>1.0233293142629489</v>
      </c>
      <c r="T45" s="19">
        <v>16.299200215309426</v>
      </c>
      <c r="U45" s="19">
        <v>0</v>
      </c>
      <c r="V45" s="19">
        <v>5.6036660005711916</v>
      </c>
      <c r="W45" s="19">
        <v>2.8149367251690482E-2</v>
      </c>
      <c r="X45" s="19">
        <v>39.439063699350569</v>
      </c>
      <c r="Y45" s="19">
        <v>133.63219365201576</v>
      </c>
      <c r="Z45" s="19">
        <v>0.92286155491546784</v>
      </c>
      <c r="AA45" s="19">
        <v>2.9218005701619774</v>
      </c>
      <c r="AB45" s="19">
        <v>2.483245524490882</v>
      </c>
      <c r="AC45" s="19">
        <v>202.35350989832992</v>
      </c>
      <c r="AD45" s="19">
        <v>20.836471849999999</v>
      </c>
      <c r="AE45" s="87">
        <v>223.1899817483299</v>
      </c>
      <c r="AF45" s="56">
        <v>2.6235019979925785E-2</v>
      </c>
      <c r="AG45" s="43">
        <v>0.30702200930735779</v>
      </c>
      <c r="AH45" s="43">
        <v>0</v>
      </c>
      <c r="AI45" s="43">
        <v>2.7777247161353662</v>
      </c>
      <c r="AJ45" s="43">
        <v>0.50668861053042868</v>
      </c>
      <c r="AK45" s="43">
        <v>0.47665400971480337</v>
      </c>
      <c r="AL45" s="58">
        <v>5.3567446012845608</v>
      </c>
      <c r="AM45" s="43">
        <v>0.24279641561890269</v>
      </c>
      <c r="AN45" s="42">
        <v>0.57273125818243864</v>
      </c>
      <c r="AO45" s="42">
        <v>0.3867262695181034</v>
      </c>
      <c r="AP45" s="42">
        <v>10.653322910271889</v>
      </c>
      <c r="AQ45" s="43">
        <v>1.7902306666666665</v>
      </c>
      <c r="AR45" s="83">
        <v>12.443553576938555</v>
      </c>
      <c r="AS45" s="19">
        <f t="shared" si="2"/>
        <v>0.63761644562270381</v>
      </c>
      <c r="AT45" s="19">
        <f t="shared" si="3"/>
        <v>43.943495158731039</v>
      </c>
      <c r="AU45" s="19">
        <f t="shared" si="4"/>
        <v>0</v>
      </c>
      <c r="AV45" s="19">
        <f t="shared" si="5"/>
        <v>12.121226053208238</v>
      </c>
      <c r="AW45" s="19">
        <f t="shared" si="6"/>
        <v>214.95792421003233</v>
      </c>
      <c r="AX45" s="53">
        <f t="shared" si="82"/>
        <v>1.5320780362238149</v>
      </c>
      <c r="AY45" s="53">
        <f t="shared" si="83"/>
        <v>1.7057666389353758</v>
      </c>
      <c r="AZ45" s="53">
        <f t="shared" si="84"/>
        <v>1.9084684158742777</v>
      </c>
      <c r="BA45" s="19">
        <f t="shared" si="85"/>
        <v>276.80657495862778</v>
      </c>
      <c r="BB45" s="19">
        <f t="shared" si="7"/>
        <v>13.021667525002234</v>
      </c>
      <c r="BC45" s="53">
        <f t="shared" si="8"/>
        <v>289.82824248362999</v>
      </c>
      <c r="BD45" s="56">
        <f t="shared" si="9"/>
        <v>37.79013959880804</v>
      </c>
      <c r="BE45" s="43">
        <f t="shared" si="10"/>
        <v>50.447689849634131</v>
      </c>
      <c r="BF45" s="58">
        <f t="shared" si="11"/>
        <v>88.23782944844217</v>
      </c>
      <c r="BG45" s="61">
        <f t="shared" si="12"/>
        <v>45.848810204495592</v>
      </c>
      <c r="BH45" s="19">
        <f t="shared" si="13"/>
        <v>730.26241576499376</v>
      </c>
      <c r="BI45" s="19">
        <f t="shared" si="14"/>
        <v>0</v>
      </c>
      <c r="BJ45" s="19">
        <f t="shared" si="15"/>
        <v>251.06426184480085</v>
      </c>
      <c r="BK45" s="19">
        <f t="shared" si="16"/>
        <v>1.2611922462408536</v>
      </c>
      <c r="BL45" s="19">
        <f t="shared" si="17"/>
        <v>1767.0109914684831</v>
      </c>
      <c r="BM45" s="19">
        <f t="shared" si="18"/>
        <v>5987.1998178558424</v>
      </c>
      <c r="BN45" s="53">
        <f t="shared" si="19"/>
        <v>41.347495558475416</v>
      </c>
      <c r="BO45" s="53">
        <f t="shared" si="86"/>
        <v>130.90710676379749</v>
      </c>
      <c r="BP45" s="53">
        <f t="shared" si="87"/>
        <v>111.25827351632998</v>
      </c>
      <c r="BQ45" s="19">
        <f t="shared" si="88"/>
        <v>9066.1603652234608</v>
      </c>
      <c r="BR45" s="19">
        <f t="shared" si="20"/>
        <v>933.54839919741573</v>
      </c>
      <c r="BS45" s="53">
        <f t="shared" si="21"/>
        <v>9999.7087644208768</v>
      </c>
      <c r="BT45" s="56">
        <f t="shared" si="22"/>
        <v>1.1754226474369238</v>
      </c>
      <c r="BU45" s="43">
        <f t="shared" si="23"/>
        <v>13.755683177584499</v>
      </c>
      <c r="BV45" s="43">
        <f t="shared" si="24"/>
        <v>0</v>
      </c>
      <c r="BW45" s="43">
        <f t="shared" si="25"/>
        <v>124.45199364014535</v>
      </c>
      <c r="BX45" s="43">
        <f t="shared" si="26"/>
        <v>22.701460432335359</v>
      </c>
      <c r="BY45" s="58">
        <f t="shared" si="27"/>
        <v>21.355802985440846</v>
      </c>
      <c r="BZ45" s="58">
        <f t="shared" si="28"/>
        <v>240.00130076909358</v>
      </c>
      <c r="CA45" s="58">
        <f t="shared" si="29"/>
        <v>10.878147066529262</v>
      </c>
      <c r="CB45" s="58">
        <f t="shared" si="89"/>
        <v>25.660407054303555</v>
      </c>
      <c r="CC45" s="58">
        <f t="shared" si="90"/>
        <v>17.326718862733657</v>
      </c>
      <c r="CD45" s="58">
        <f t="shared" si="91"/>
        <v>477.30693663560305</v>
      </c>
      <c r="CE45" s="58">
        <f t="shared" si="30"/>
        <v>80.208731357789304</v>
      </c>
      <c r="CF45" s="58">
        <f t="shared" si="92"/>
        <v>557.5156679933923</v>
      </c>
      <c r="CG45" s="127">
        <v>46</v>
      </c>
      <c r="CH45" s="128" t="s">
        <v>169</v>
      </c>
      <c r="CI45" s="128"/>
      <c r="CJ45" s="126">
        <f t="shared" si="93"/>
        <v>42</v>
      </c>
      <c r="CK45" s="126">
        <f t="shared" si="95"/>
        <v>43</v>
      </c>
      <c r="CN45" s="147">
        <f t="shared" si="31"/>
        <v>2.6235019979925785E-2</v>
      </c>
      <c r="CO45" s="147">
        <f t="shared" si="32"/>
        <v>0.30702200930735779</v>
      </c>
      <c r="CP45" s="147">
        <f t="shared" si="33"/>
        <v>0</v>
      </c>
      <c r="CQ45" s="31">
        <f>(AI45-(P45*450/1000000))*Parameters!$C$153</f>
        <v>1.9185332292168997</v>
      </c>
      <c r="CR45" s="31">
        <f t="shared" si="34"/>
        <v>0.47665400971480337</v>
      </c>
      <c r="CS45" s="31">
        <f t="shared" si="35"/>
        <v>5.3567446012845608</v>
      </c>
      <c r="CT45" s="31">
        <f>AM45*Parameters!$C$154</f>
        <v>0.21851677405701242</v>
      </c>
      <c r="CU45" s="31">
        <f>AQ45*Parameters!$C$155</f>
        <v>1.7902306666666665</v>
      </c>
      <c r="CV45" s="31">
        <f t="shared" si="36"/>
        <v>10.093936310227225</v>
      </c>
      <c r="CW45" s="188">
        <f t="shared" si="37"/>
        <v>81.117795232819674</v>
      </c>
      <c r="CY45" s="181">
        <v>23.611953025486113</v>
      </c>
      <c r="CZ45" s="181">
        <v>14.780819059278056</v>
      </c>
      <c r="DA45" s="181">
        <v>12.165671792912239</v>
      </c>
      <c r="DB45" s="181">
        <v>10.525283374733883</v>
      </c>
      <c r="DC45" s="181">
        <v>42.77411267889704</v>
      </c>
      <c r="DD45" s="181">
        <v>120.23624670669727</v>
      </c>
      <c r="DE45" s="181">
        <v>8.0375457129014141</v>
      </c>
      <c r="DF45" s="181">
        <v>6.822076406499443</v>
      </c>
      <c r="DG45" s="181">
        <v>16.169399810336877</v>
      </c>
      <c r="DH45" s="181">
        <v>14.859622119400857</v>
      </c>
      <c r="DI45" s="181">
        <v>185.70131455324042</v>
      </c>
      <c r="DJ45" s="181">
        <v>38.392772084764168</v>
      </c>
      <c r="DK45" s="181">
        <v>255.12310856774232</v>
      </c>
      <c r="DL45" s="181"/>
      <c r="DM45" s="181">
        <v>2.3873480000000002</v>
      </c>
      <c r="DN45" s="181">
        <v>2.5570707757542745</v>
      </c>
      <c r="DO45" s="181">
        <v>0.5380824863634226</v>
      </c>
      <c r="DP45" s="181">
        <v>1.7097665061262854</v>
      </c>
      <c r="DQ45" s="181">
        <v>1.1107184163828205</v>
      </c>
      <c r="DR45" s="181">
        <v>2.8626430468637332E-2</v>
      </c>
      <c r="DS45" s="181">
        <v>0.85710230585785929</v>
      </c>
      <c r="DT45" s="181">
        <v>3.3585674088725286</v>
      </c>
      <c r="DU45" s="181">
        <v>4.9444187757542739</v>
      </c>
      <c r="DV45" s="181">
        <v>9.1887149209532986</v>
      </c>
      <c r="DW45" s="181">
        <v>9.1887149209532986</v>
      </c>
      <c r="DX45" s="181"/>
      <c r="DY45" s="181">
        <v>1.9098784000000002</v>
      </c>
      <c r="DZ45" s="181">
        <v>1.7899495430279921</v>
      </c>
      <c r="EA45" s="181">
        <v>0.5380824863634226</v>
      </c>
      <c r="EB45" s="181">
        <v>1.7097665061262854</v>
      </c>
      <c r="EC45" s="181">
        <v>0.61843686097233719</v>
      </c>
      <c r="ED45" s="181">
        <v>2.8626430468637332E-2</v>
      </c>
      <c r="EE45" s="181">
        <v>0.14961437506864594</v>
      </c>
      <c r="EF45" s="181">
        <v>2.8662858534620455</v>
      </c>
      <c r="EG45" s="181">
        <v>3.6998279430279926</v>
      </c>
      <c r="EH45" s="181">
        <v>6.7443546020273208</v>
      </c>
      <c r="EJ45" s="31">
        <f t="shared" si="38"/>
        <v>1.1754226474369237E-3</v>
      </c>
      <c r="EK45" s="31">
        <f t="shared" si="39"/>
        <v>1.3755683177584499E-2</v>
      </c>
      <c r="EL45" s="31">
        <f t="shared" si="40"/>
        <v>0</v>
      </c>
      <c r="EM45" s="31">
        <f t="shared" si="41"/>
        <v>8.5957144656545359E-2</v>
      </c>
      <c r="EN45" s="31">
        <f t="shared" si="42"/>
        <v>2.1355802985440847E-2</v>
      </c>
      <c r="EO45" s="31">
        <f t="shared" si="43"/>
        <v>0.24000130076909354</v>
      </c>
      <c r="EP45" s="31">
        <f t="shared" si="44"/>
        <v>9.7903323598763359E-3</v>
      </c>
      <c r="EQ45" s="31">
        <f t="shared" si="45"/>
        <v>8.020873135778929E-2</v>
      </c>
      <c r="ER45" s="31">
        <f t="shared" si="46"/>
        <v>0.4522444179537668</v>
      </c>
      <c r="ES45" s="31">
        <f t="shared" si="47"/>
        <v>3.6343671054858828</v>
      </c>
      <c r="ET45" s="31"/>
      <c r="EU45" s="31">
        <f t="shared" si="48"/>
        <v>1.0578998741990544</v>
      </c>
      <c r="EV45" s="31">
        <f t="shared" si="49"/>
        <v>0.66223351395335583</v>
      </c>
      <c r="EW45" s="31">
        <f t="shared" si="50"/>
        <v>0.54506557104265108</v>
      </c>
      <c r="EX45" s="31">
        <f t="shared" si="51"/>
        <v>0.47157030788693677</v>
      </c>
      <c r="EY45" s="31">
        <f t="shared" si="52"/>
        <v>1.9164331037394038</v>
      </c>
      <c r="EZ45" s="31">
        <f t="shared" si="53"/>
        <v>5.3870135235271501</v>
      </c>
      <c r="FA45" s="31">
        <f t="shared" si="54"/>
        <v>0.36011077056479535</v>
      </c>
      <c r="FB45" s="31">
        <f t="shared" si="55"/>
        <v>0.30565340208927999</v>
      </c>
      <c r="FC45" s="31">
        <f t="shared" si="56"/>
        <v>0.7244468937730929</v>
      </c>
      <c r="FD45" s="31">
        <f t="shared" si="57"/>
        <v>0.66576417265407539</v>
      </c>
      <c r="FE45" s="31">
        <f t="shared" si="58"/>
        <v>8.3200825061961421</v>
      </c>
      <c r="FF45" s="31">
        <f t="shared" si="59"/>
        <v>1.7201333881524103</v>
      </c>
      <c r="FG45" s="31">
        <f t="shared" si="60"/>
        <v>11.430426960775721</v>
      </c>
      <c r="FH45" s="31"/>
      <c r="FI45" s="31">
        <f t="shared" si="61"/>
        <v>0.10696172172387969</v>
      </c>
      <c r="FJ45" s="31">
        <f t="shared" si="62"/>
        <v>0.11456590859166482</v>
      </c>
      <c r="FK45" s="31">
        <f t="shared" si="63"/>
        <v>2.4108018257454584E-2</v>
      </c>
      <c r="FL45" s="31">
        <f t="shared" si="64"/>
        <v>7.6603649422325421E-2</v>
      </c>
      <c r="FM45" s="31">
        <f t="shared" si="65"/>
        <v>4.9764154269393297E-2</v>
      </c>
      <c r="FN45" s="31">
        <f t="shared" si="66"/>
        <v>1.2825663831726153E-3</v>
      </c>
      <c r="FO45" s="31">
        <f t="shared" si="67"/>
        <v>3.8401246206277405E-2</v>
      </c>
      <c r="FP45" s="31">
        <f t="shared" si="68"/>
        <v>0.15047582194917331</v>
      </c>
      <c r="FQ45" s="31">
        <f t="shared" si="69"/>
        <v>0.22152763031554445</v>
      </c>
      <c r="FR45" s="31">
        <f t="shared" si="70"/>
        <v>0.41168726485416779</v>
      </c>
      <c r="FS45" s="31">
        <f t="shared" si="71"/>
        <v>0.41168726485416779</v>
      </c>
      <c r="FT45" s="31"/>
      <c r="FU45" s="31">
        <f t="shared" si="72"/>
        <v>8.5569377379103737E-2</v>
      </c>
      <c r="FV45" s="31">
        <f t="shared" si="73"/>
        <v>8.0196136014165378E-2</v>
      </c>
      <c r="FW45" s="31">
        <f t="shared" si="74"/>
        <v>2.4108018257454584E-2</v>
      </c>
      <c r="FX45" s="31">
        <f t="shared" si="75"/>
        <v>7.6603649422325421E-2</v>
      </c>
      <c r="FY45" s="31">
        <f t="shared" si="76"/>
        <v>2.7708181390862494E-2</v>
      </c>
      <c r="FZ45" s="31">
        <f t="shared" si="77"/>
        <v>1.2825663831726153E-3</v>
      </c>
      <c r="GA45" s="31">
        <f t="shared" si="78"/>
        <v>6.7032586585552955E-3</v>
      </c>
      <c r="GB45" s="31">
        <f t="shared" si="79"/>
        <v>0.12841984907064252</v>
      </c>
      <c r="GC45" s="31">
        <f t="shared" si="80"/>
        <v>0.16576551339326911</v>
      </c>
      <c r="GD45" s="31">
        <f t="shared" si="81"/>
        <v>0.30217118750563954</v>
      </c>
    </row>
    <row r="46" spans="1:186">
      <c r="A46" s="39" t="str">
        <f>Basicinfo!A46</f>
        <v>Gusen</v>
      </c>
      <c r="B46" s="63">
        <f>Basicinfo!B46</f>
        <v>1380</v>
      </c>
      <c r="C46" s="63">
        <f>Basicinfo!C46</f>
        <v>5010</v>
      </c>
      <c r="D46" s="227">
        <v>296.08958141660003</v>
      </c>
      <c r="E46" s="89">
        <v>2.8779223045321913</v>
      </c>
      <c r="F46" s="27">
        <v>5.5275563793483144E-3</v>
      </c>
      <c r="G46" s="19">
        <v>0.44517854486956898</v>
      </c>
      <c r="H46" s="19">
        <v>0</v>
      </c>
      <c r="I46" s="19">
        <v>0.11306552061314967</v>
      </c>
      <c r="J46" s="19">
        <v>2.1463546450005522</v>
      </c>
      <c r="K46" s="19">
        <v>1.6181833345565097E-2</v>
      </c>
      <c r="L46" s="19">
        <v>1.753714276226577E-2</v>
      </c>
      <c r="M46" s="19">
        <v>1.9751426943104243E-2</v>
      </c>
      <c r="N46" s="19">
        <v>2.7635966699135541</v>
      </c>
      <c r="O46" s="19">
        <v>0.1143256346186369</v>
      </c>
      <c r="P46" s="56">
        <v>2548.5492161126031</v>
      </c>
      <c r="Q46" s="43">
        <v>2117.2289428618128</v>
      </c>
      <c r="R46" s="88">
        <v>4665.7781589744154</v>
      </c>
      <c r="S46" s="61">
        <v>1.7378531446153973</v>
      </c>
      <c r="T46" s="19">
        <v>24.31610398182988</v>
      </c>
      <c r="U46" s="19">
        <v>0</v>
      </c>
      <c r="V46" s="19">
        <v>9.9111339237910574</v>
      </c>
      <c r="W46" s="19">
        <v>5.2930723571545324E-2</v>
      </c>
      <c r="X46" s="19">
        <v>52.890256424277439</v>
      </c>
      <c r="Y46" s="19">
        <v>187.85632092417944</v>
      </c>
      <c r="Z46" s="19">
        <v>1.4055889488054807</v>
      </c>
      <c r="AA46" s="19">
        <v>4.213442620690194</v>
      </c>
      <c r="AB46" s="19">
        <v>2.9956846980543475</v>
      </c>
      <c r="AC46" s="19">
        <v>285.37931538981479</v>
      </c>
      <c r="AD46" s="19">
        <v>23.774284350000002</v>
      </c>
      <c r="AE46" s="87">
        <v>309.15359973981481</v>
      </c>
      <c r="AF46" s="56">
        <v>4.3910143351520207E-2</v>
      </c>
      <c r="AG46" s="43">
        <v>0.45920939174559927</v>
      </c>
      <c r="AH46" s="43">
        <v>0</v>
      </c>
      <c r="AI46" s="43">
        <v>6.9806383738987332</v>
      </c>
      <c r="AJ46" s="43">
        <v>0.95275302428781594</v>
      </c>
      <c r="AK46" s="43">
        <v>0.56025075500862753</v>
      </c>
      <c r="AL46" s="58">
        <v>5.463669114111541</v>
      </c>
      <c r="AM46" s="43">
        <v>0.36130560228068337</v>
      </c>
      <c r="AN46" s="42">
        <v>0.82165348669936167</v>
      </c>
      <c r="AO46" s="42">
        <v>0.46399620685606857</v>
      </c>
      <c r="AP46" s="42">
        <v>16.107386098239949</v>
      </c>
      <c r="AQ46" s="43">
        <v>2.0144806666666666</v>
      </c>
      <c r="AR46" s="83">
        <v>18.121866764906621</v>
      </c>
      <c r="AS46" s="19">
        <f t="shared" si="2"/>
        <v>0.58873067112031607</v>
      </c>
      <c r="AT46" s="19">
        <f t="shared" si="3"/>
        <v>47.41521307111968</v>
      </c>
      <c r="AU46" s="19">
        <f t="shared" si="4"/>
        <v>0</v>
      </c>
      <c r="AV46" s="19">
        <f t="shared" si="5"/>
        <v>12.042417166443341</v>
      </c>
      <c r="AW46" s="19">
        <f t="shared" si="6"/>
        <v>228.60459919223138</v>
      </c>
      <c r="AX46" s="53">
        <f t="shared" si="82"/>
        <v>1.7234996717690341</v>
      </c>
      <c r="AY46" s="53">
        <f t="shared" si="83"/>
        <v>1.8678513830335228</v>
      </c>
      <c r="AZ46" s="53">
        <f t="shared" si="84"/>
        <v>2.1036910420746535</v>
      </c>
      <c r="BA46" s="19">
        <f t="shared" si="85"/>
        <v>294.34600219779196</v>
      </c>
      <c r="BB46" s="19">
        <f t="shared" si="7"/>
        <v>12.176629775637219</v>
      </c>
      <c r="BC46" s="53">
        <f t="shared" si="8"/>
        <v>306.52263197342916</v>
      </c>
      <c r="BD46" s="56">
        <f t="shared" si="9"/>
        <v>86.073586376103435</v>
      </c>
      <c r="BE46" s="43">
        <f t="shared" si="10"/>
        <v>71.506364146020303</v>
      </c>
      <c r="BF46" s="58">
        <f t="shared" si="11"/>
        <v>157.57995052212374</v>
      </c>
      <c r="BG46" s="61">
        <f t="shared" si="12"/>
        <v>58.693491891909105</v>
      </c>
      <c r="BH46" s="19">
        <f t="shared" si="13"/>
        <v>821.24145893593459</v>
      </c>
      <c r="BI46" s="19">
        <f t="shared" si="14"/>
        <v>0</v>
      </c>
      <c r="BJ46" s="19">
        <f t="shared" si="15"/>
        <v>334.73430157091633</v>
      </c>
      <c r="BK46" s="19">
        <f t="shared" si="16"/>
        <v>1.7876591036505078</v>
      </c>
      <c r="BL46" s="19">
        <f t="shared" si="17"/>
        <v>1786.292383920814</v>
      </c>
      <c r="BM46" s="19">
        <f t="shared" si="18"/>
        <v>6344.5772061754624</v>
      </c>
      <c r="BN46" s="53">
        <f t="shared" si="19"/>
        <v>47.471746289775986</v>
      </c>
      <c r="BO46" s="53">
        <f t="shared" si="86"/>
        <v>142.30296792381398</v>
      </c>
      <c r="BP46" s="53">
        <f t="shared" si="87"/>
        <v>101.17494454623849</v>
      </c>
      <c r="BQ46" s="19">
        <f t="shared" si="88"/>
        <v>9638.276160358515</v>
      </c>
      <c r="BR46" s="19">
        <f t="shared" si="20"/>
        <v>802.94227970654015</v>
      </c>
      <c r="BS46" s="53">
        <f t="shared" si="21"/>
        <v>10441.218440065055</v>
      </c>
      <c r="BT46" s="56">
        <f t="shared" si="22"/>
        <v>1.4830019733027466</v>
      </c>
      <c r="BU46" s="43">
        <f t="shared" si="23"/>
        <v>15.509137118184805</v>
      </c>
      <c r="BV46" s="43">
        <f t="shared" si="24"/>
        <v>0</v>
      </c>
      <c r="BW46" s="43">
        <f t="shared" si="25"/>
        <v>235.7610267980665</v>
      </c>
      <c r="BX46" s="43">
        <f t="shared" si="26"/>
        <v>32.177863865709142</v>
      </c>
      <c r="BY46" s="58">
        <f t="shared" si="27"/>
        <v>18.921663921039862</v>
      </c>
      <c r="BZ46" s="58">
        <f t="shared" si="28"/>
        <v>184.52757060790066</v>
      </c>
      <c r="CA46" s="58">
        <f t="shared" si="29"/>
        <v>12.202577360272734</v>
      </c>
      <c r="CB46" s="58">
        <f t="shared" si="89"/>
        <v>27.750165431970732</v>
      </c>
      <c r="CC46" s="58">
        <f t="shared" si="90"/>
        <v>15.670804917759765</v>
      </c>
      <c r="CD46" s="58">
        <f t="shared" si="91"/>
        <v>544.0038119942069</v>
      </c>
      <c r="CE46" s="58">
        <f t="shared" si="30"/>
        <v>68.036188812475601</v>
      </c>
      <c r="CF46" s="58">
        <f t="shared" si="92"/>
        <v>612.04000080668254</v>
      </c>
      <c r="CG46" s="127">
        <v>66</v>
      </c>
      <c r="CH46" s="128" t="s">
        <v>169</v>
      </c>
      <c r="CI46" s="128"/>
      <c r="CJ46" s="126">
        <f t="shared" si="93"/>
        <v>43</v>
      </c>
      <c r="CK46" s="126">
        <f t="shared" si="95"/>
        <v>63</v>
      </c>
      <c r="CN46" s="147">
        <f t="shared" si="31"/>
        <v>4.3910143351520207E-2</v>
      </c>
      <c r="CO46" s="147">
        <f t="shared" si="32"/>
        <v>0.45920939174559927</v>
      </c>
      <c r="CP46" s="147">
        <f t="shared" si="33"/>
        <v>0</v>
      </c>
      <c r="CQ46" s="31">
        <f>(AI46-(P46*450/1000000))*Parameters!$C$153</f>
        <v>4.6670329813184495</v>
      </c>
      <c r="CR46" s="31">
        <f t="shared" si="34"/>
        <v>0.56025075500862753</v>
      </c>
      <c r="CS46" s="31">
        <f t="shared" si="35"/>
        <v>5.463669114111541</v>
      </c>
      <c r="CT46" s="31">
        <f>AM46*Parameters!$C$154</f>
        <v>0.32517504205261505</v>
      </c>
      <c r="CU46" s="31">
        <f>AQ46*Parameters!$C$155</f>
        <v>2.0144806666666666</v>
      </c>
      <c r="CV46" s="31">
        <f t="shared" si="36"/>
        <v>13.533728094255018</v>
      </c>
      <c r="CW46" s="188">
        <f t="shared" si="37"/>
        <v>74.681754754225267</v>
      </c>
      <c r="CY46" s="181">
        <v>27.386028025486112</v>
      </c>
      <c r="CZ46" s="181">
        <v>21.953170264575867</v>
      </c>
      <c r="DA46" s="181">
        <v>14.565867163096261</v>
      </c>
      <c r="DB46" s="181">
        <v>15.153190210412646</v>
      </c>
      <c r="DC46" s="181">
        <v>56.201748332321017</v>
      </c>
      <c r="DD46" s="181">
        <v>161.20315283131819</v>
      </c>
      <c r="DE46" s="181">
        <v>9.5855440938515546</v>
      </c>
      <c r="DF46" s="181">
        <v>9.7520891905499845</v>
      </c>
      <c r="DG46" s="181">
        <v>24.648721777578608</v>
      </c>
      <c r="DH46" s="181">
        <v>19.337633284401541</v>
      </c>
      <c r="DI46" s="181">
        <v>247.1239585371481</v>
      </c>
      <c r="DJ46" s="181">
        <v>49.339198290061979</v>
      </c>
      <c r="DK46" s="181">
        <v>340.44951188919021</v>
      </c>
      <c r="DL46" s="181"/>
      <c r="DM46" s="181">
        <v>2.8543479999999999</v>
      </c>
      <c r="DN46" s="181">
        <v>3.8076632223049809</v>
      </c>
      <c r="DO46" s="181">
        <v>0.63410678877850146</v>
      </c>
      <c r="DP46" s="181">
        <v>2.4308457789628362</v>
      </c>
      <c r="DQ46" s="181">
        <v>4.3178067033669496</v>
      </c>
      <c r="DR46" s="181">
        <v>4.9194194336281638E-2</v>
      </c>
      <c r="DS46" s="181">
        <v>1.4501835119380191</v>
      </c>
      <c r="DT46" s="181">
        <v>7.3827592711082879</v>
      </c>
      <c r="DU46" s="181">
        <v>6.6620112223049812</v>
      </c>
      <c r="DV46" s="181">
        <v>15.544148199687569</v>
      </c>
      <c r="DW46" s="181">
        <v>15.544148199687569</v>
      </c>
      <c r="DX46" s="181"/>
      <c r="DY46" s="181">
        <v>2.2834784000000004</v>
      </c>
      <c r="DZ46" s="181">
        <v>2.6653642556134867</v>
      </c>
      <c r="EA46" s="181">
        <v>0.63410678877850146</v>
      </c>
      <c r="EB46" s="181">
        <v>2.4308457789628362</v>
      </c>
      <c r="EC46" s="181">
        <v>2.0678389756106923</v>
      </c>
      <c r="ED46" s="181">
        <v>4.9194194336281638E-2</v>
      </c>
      <c r="EE46" s="181">
        <v>0.2749391568132642</v>
      </c>
      <c r="EF46" s="181">
        <v>5.1327915433520301</v>
      </c>
      <c r="EG46" s="181">
        <v>4.948842655613487</v>
      </c>
      <c r="EH46" s="181">
        <v>10.405767550115062</v>
      </c>
      <c r="EJ46" s="31">
        <f t="shared" si="38"/>
        <v>1.4830019733027466E-3</v>
      </c>
      <c r="EK46" s="31">
        <f t="shared" si="39"/>
        <v>1.5509137118184803E-2</v>
      </c>
      <c r="EL46" s="31">
        <f t="shared" si="40"/>
        <v>0</v>
      </c>
      <c r="EM46" s="31">
        <f t="shared" si="41"/>
        <v>0.15762233034305598</v>
      </c>
      <c r="EN46" s="31">
        <f t="shared" si="42"/>
        <v>1.8921663921039861E-2</v>
      </c>
      <c r="EO46" s="31">
        <f t="shared" si="43"/>
        <v>0.18452757060790062</v>
      </c>
      <c r="EP46" s="31">
        <f t="shared" si="44"/>
        <v>1.098231962424546E-2</v>
      </c>
      <c r="EQ46" s="31">
        <f t="shared" si="45"/>
        <v>6.8036188812475598E-2</v>
      </c>
      <c r="ER46" s="31">
        <f t="shared" si="46"/>
        <v>0.45708221240020508</v>
      </c>
      <c r="ES46" s="31">
        <f t="shared" si="47"/>
        <v>2.5222689159449869</v>
      </c>
      <c r="ET46" s="31"/>
      <c r="EU46" s="31">
        <f t="shared" si="48"/>
        <v>0.92492373066493638</v>
      </c>
      <c r="EV46" s="31">
        <f t="shared" si="49"/>
        <v>0.7414367692217988</v>
      </c>
      <c r="EW46" s="31">
        <f t="shared" si="50"/>
        <v>0.49194122580767163</v>
      </c>
      <c r="EX46" s="31">
        <f t="shared" si="51"/>
        <v>0.51177721748648786</v>
      </c>
      <c r="EY46" s="31">
        <f t="shared" si="52"/>
        <v>1.8981332630290959</v>
      </c>
      <c r="EZ46" s="31">
        <f t="shared" si="53"/>
        <v>5.4444047662894377</v>
      </c>
      <c r="FA46" s="31">
        <f t="shared" si="54"/>
        <v>0.32373797308202579</v>
      </c>
      <c r="FB46" s="31">
        <f t="shared" si="55"/>
        <v>0.32936279432367904</v>
      </c>
      <c r="FC46" s="31">
        <f t="shared" si="56"/>
        <v>0.83247514686772073</v>
      </c>
      <c r="FD46" s="31">
        <f t="shared" si="57"/>
        <v>0.653100767405705</v>
      </c>
      <c r="FE46" s="31">
        <f t="shared" si="58"/>
        <v>8.3462564726126942</v>
      </c>
      <c r="FF46" s="31">
        <f t="shared" si="59"/>
        <v>1.666360499886735</v>
      </c>
      <c r="FG46" s="31">
        <f t="shared" si="60"/>
        <v>11.498192886772854</v>
      </c>
      <c r="FH46" s="31"/>
      <c r="FI46" s="31">
        <f t="shared" si="61"/>
        <v>9.6401500733114709E-2</v>
      </c>
      <c r="FJ46" s="31">
        <f t="shared" si="62"/>
        <v>0.12859835202872516</v>
      </c>
      <c r="FK46" s="31">
        <f t="shared" si="63"/>
        <v>2.1416045297666483E-2</v>
      </c>
      <c r="FL46" s="31">
        <f t="shared" si="64"/>
        <v>8.2098321978530536E-2</v>
      </c>
      <c r="FM46" s="31">
        <f t="shared" si="65"/>
        <v>0.14582771479864287</v>
      </c>
      <c r="FN46" s="31">
        <f t="shared" si="66"/>
        <v>1.6614631997829428E-3</v>
      </c>
      <c r="FO46" s="31">
        <f t="shared" si="67"/>
        <v>4.8977863557367156E-2</v>
      </c>
      <c r="FP46" s="31">
        <f t="shared" si="68"/>
        <v>0.2493420820748399</v>
      </c>
      <c r="FQ46" s="31">
        <f t="shared" si="69"/>
        <v>0.22499985276183987</v>
      </c>
      <c r="FR46" s="31">
        <f t="shared" si="70"/>
        <v>0.52498126159382996</v>
      </c>
      <c r="FS46" s="31">
        <f t="shared" si="71"/>
        <v>0.52498126159382996</v>
      </c>
      <c r="FT46" s="31"/>
      <c r="FU46" s="31">
        <f t="shared" si="72"/>
        <v>7.71212005864918E-2</v>
      </c>
      <c r="FV46" s="31">
        <f t="shared" si="73"/>
        <v>9.0018846420107601E-2</v>
      </c>
      <c r="FW46" s="31">
        <f t="shared" si="74"/>
        <v>2.1416045297666483E-2</v>
      </c>
      <c r="FX46" s="31">
        <f t="shared" si="75"/>
        <v>8.2098321978530536E-2</v>
      </c>
      <c r="FY46" s="31">
        <f t="shared" si="76"/>
        <v>6.9838288997451384E-2</v>
      </c>
      <c r="FZ46" s="31">
        <f t="shared" si="77"/>
        <v>1.6614631997829428E-3</v>
      </c>
      <c r="GA46" s="31">
        <f t="shared" si="78"/>
        <v>9.2856748115842328E-3</v>
      </c>
      <c r="GB46" s="31">
        <f t="shared" si="79"/>
        <v>0.17335265627364843</v>
      </c>
      <c r="GC46" s="31">
        <f t="shared" si="80"/>
        <v>0.16714004700659943</v>
      </c>
      <c r="GD46" s="31">
        <f t="shared" si="81"/>
        <v>0.35143984129161493</v>
      </c>
    </row>
    <row r="47" spans="1:186">
      <c r="A47" s="39" t="str">
        <f>Basicinfo!A47</f>
        <v>Reichramming Großer Bach</v>
      </c>
      <c r="B47" s="63">
        <f>Basicinfo!B47</f>
        <v>1520</v>
      </c>
      <c r="C47" s="63">
        <f>Basicinfo!C47</f>
        <v>4080</v>
      </c>
      <c r="D47" s="227">
        <v>170.73598434799999</v>
      </c>
      <c r="E47" s="89">
        <v>6.3376087782395309</v>
      </c>
      <c r="F47" s="27">
        <v>4.6802828068013107E-2</v>
      </c>
      <c r="G47" s="19">
        <v>1.5294678239385582</v>
      </c>
      <c r="H47" s="19">
        <v>4.1871067663305514E-3</v>
      </c>
      <c r="I47" s="19">
        <v>0</v>
      </c>
      <c r="J47" s="19">
        <v>4.7431721262927473</v>
      </c>
      <c r="K47" s="19">
        <v>2.368633952715886E-3</v>
      </c>
      <c r="L47" s="19">
        <v>3.2239251557476612E-3</v>
      </c>
      <c r="M47" s="19">
        <v>2.842635593829735E-3</v>
      </c>
      <c r="N47" s="19">
        <v>6.3320650797679425</v>
      </c>
      <c r="O47" s="19">
        <v>5.5436984715880261E-3</v>
      </c>
      <c r="P47" s="56">
        <v>15.589385486114452</v>
      </c>
      <c r="Q47" s="43">
        <v>1845.5231299979123</v>
      </c>
      <c r="R47" s="88">
        <v>1861.1125154840267</v>
      </c>
      <c r="S47" s="61">
        <v>1.9906622583341471</v>
      </c>
      <c r="T47" s="19">
        <v>39.882502512064391</v>
      </c>
      <c r="U47" s="19">
        <v>0.10918326274682287</v>
      </c>
      <c r="V47" s="19">
        <v>0.24477881727726705</v>
      </c>
      <c r="W47" s="19">
        <v>4.6138078249947811E-2</v>
      </c>
      <c r="X47" s="19">
        <v>0</v>
      </c>
      <c r="Y47" s="19">
        <v>108.42511078619764</v>
      </c>
      <c r="Z47" s="19">
        <v>0.11276776354374354</v>
      </c>
      <c r="AA47" s="19">
        <v>1.4556639775666897</v>
      </c>
      <c r="AB47" s="19">
        <v>0.31030600535979336</v>
      </c>
      <c r="AC47" s="19">
        <v>152.57711346134045</v>
      </c>
      <c r="AD47" s="19">
        <v>0</v>
      </c>
      <c r="AE47" s="87">
        <v>152.57711346134045</v>
      </c>
      <c r="AF47" s="56">
        <v>4.9225267579142334E-2</v>
      </c>
      <c r="AG47" s="43">
        <v>0.60343488448202975</v>
      </c>
      <c r="AH47" s="43">
        <v>1.3063434725130527E-3</v>
      </c>
      <c r="AI47" s="43">
        <v>5.9491334103822978E-2</v>
      </c>
      <c r="AJ47" s="43">
        <v>0.83233707851021432</v>
      </c>
      <c r="AK47" s="43">
        <v>0</v>
      </c>
      <c r="AL47" s="58">
        <v>0.73684385803750807</v>
      </c>
      <c r="AM47" s="43">
        <v>2.8547993712091355E-2</v>
      </c>
      <c r="AN47" s="42">
        <v>0.24872753004322978</v>
      </c>
      <c r="AO47" s="42">
        <v>4.8603696160465976E-2</v>
      </c>
      <c r="AP47" s="42">
        <v>2.6085179861010177</v>
      </c>
      <c r="AQ47" s="43">
        <v>0.23502149999999999</v>
      </c>
      <c r="AR47" s="83">
        <v>2.8435394861010179</v>
      </c>
      <c r="AS47" s="19">
        <f t="shared" si="2"/>
        <v>8.6447739273548816</v>
      </c>
      <c r="AT47" s="19">
        <f t="shared" si="3"/>
        <v>282.50223571743146</v>
      </c>
      <c r="AU47" s="19">
        <f t="shared" si="4"/>
        <v>0.77338470555722105</v>
      </c>
      <c r="AV47" s="19">
        <f t="shared" si="5"/>
        <v>0</v>
      </c>
      <c r="AW47" s="19">
        <f t="shared" si="6"/>
        <v>876.09344184813187</v>
      </c>
      <c r="AX47" s="53">
        <f t="shared" si="82"/>
        <v>0.43750144773580757</v>
      </c>
      <c r="AY47" s="53">
        <f t="shared" si="83"/>
        <v>0.59547906142873508</v>
      </c>
      <c r="AZ47" s="53">
        <f t="shared" si="84"/>
        <v>0.52505250389570057</v>
      </c>
      <c r="BA47" s="19">
        <f t="shared" si="85"/>
        <v>1169.5718692115356</v>
      </c>
      <c r="BB47" s="19">
        <f t="shared" si="7"/>
        <v>1.023955645130223</v>
      </c>
      <c r="BC47" s="53">
        <f t="shared" si="8"/>
        <v>1170.5958248566658</v>
      </c>
      <c r="BD47" s="56">
        <f t="shared" si="9"/>
        <v>0.91306970499784201</v>
      </c>
      <c r="BE47" s="43">
        <f t="shared" si="10"/>
        <v>108.09221834785005</v>
      </c>
      <c r="BF47" s="58">
        <f t="shared" si="11"/>
        <v>109.00528805284789</v>
      </c>
      <c r="BG47" s="61">
        <f t="shared" si="12"/>
        <v>116.5930114812066</v>
      </c>
      <c r="BH47" s="19">
        <f t="shared" si="13"/>
        <v>2335.9166296645762</v>
      </c>
      <c r="BI47" s="19">
        <f t="shared" si="14"/>
        <v>6.3948594763879285</v>
      </c>
      <c r="BJ47" s="19">
        <f t="shared" si="15"/>
        <v>14.336685861039721</v>
      </c>
      <c r="BK47" s="19">
        <f t="shared" si="16"/>
        <v>2.7023054586962516</v>
      </c>
      <c r="BL47" s="19">
        <f t="shared" si="17"/>
        <v>0</v>
      </c>
      <c r="BM47" s="19">
        <f t="shared" si="18"/>
        <v>6350.4545453758501</v>
      </c>
      <c r="BN47" s="53">
        <f t="shared" si="19"/>
        <v>6.6048035494319928</v>
      </c>
      <c r="BO47" s="53">
        <f t="shared" si="86"/>
        <v>85.258182867866054</v>
      </c>
      <c r="BP47" s="53">
        <f t="shared" si="87"/>
        <v>18.174610732750804</v>
      </c>
      <c r="BQ47" s="19">
        <f t="shared" si="88"/>
        <v>8936.4356344678054</v>
      </c>
      <c r="BR47" s="19">
        <f t="shared" si="20"/>
        <v>0</v>
      </c>
      <c r="BS47" s="53">
        <f t="shared" si="21"/>
        <v>8936.4356344678054</v>
      </c>
      <c r="BT47" s="56">
        <f t="shared" si="22"/>
        <v>2.8831220183092565</v>
      </c>
      <c r="BU47" s="43">
        <f t="shared" si="23"/>
        <v>35.343157846098102</v>
      </c>
      <c r="BV47" s="43">
        <f t="shared" si="24"/>
        <v>7.6512486661887188E-2</v>
      </c>
      <c r="BW47" s="43">
        <f t="shared" si="25"/>
        <v>3.4844051376167831</v>
      </c>
      <c r="BX47" s="43">
        <f t="shared" si="26"/>
        <v>48.749950497471936</v>
      </c>
      <c r="BY47" s="58">
        <f t="shared" si="27"/>
        <v>0</v>
      </c>
      <c r="BZ47" s="58">
        <f t="shared" si="28"/>
        <v>43.156916267612772</v>
      </c>
      <c r="CA47" s="58">
        <f t="shared" si="29"/>
        <v>1.6720548876154806</v>
      </c>
      <c r="CB47" s="58">
        <f t="shared" si="89"/>
        <v>14.567961815024578</v>
      </c>
      <c r="CC47" s="58">
        <f t="shared" si="90"/>
        <v>2.8467166043568319</v>
      </c>
      <c r="CD47" s="58">
        <f t="shared" si="91"/>
        <v>152.78079756076764</v>
      </c>
      <c r="CE47" s="58">
        <f t="shared" si="30"/>
        <v>13.765200165477188</v>
      </c>
      <c r="CF47" s="58">
        <f t="shared" si="92"/>
        <v>166.54599772624482</v>
      </c>
      <c r="CG47" s="127">
        <v>63</v>
      </c>
      <c r="CH47" s="128" t="s">
        <v>169</v>
      </c>
      <c r="CI47" s="128"/>
      <c r="CJ47" s="126">
        <f t="shared" si="93"/>
        <v>44</v>
      </c>
      <c r="CK47" s="126">
        <f t="shared" si="95"/>
        <v>60</v>
      </c>
      <c r="CN47" s="147">
        <f t="shared" si="31"/>
        <v>4.9225267579142334E-2</v>
      </c>
      <c r="CO47" s="147">
        <f t="shared" si="32"/>
        <v>0.60343488448202975</v>
      </c>
      <c r="CP47" s="147">
        <f t="shared" si="33"/>
        <v>1.3063434725130527E-3</v>
      </c>
      <c r="CQ47" s="31">
        <f>(AI47-(P47*450/1000000))*Parameters!$C$153</f>
        <v>4.1980888508057181E-2</v>
      </c>
      <c r="CR47" s="31">
        <f t="shared" si="34"/>
        <v>0</v>
      </c>
      <c r="CS47" s="31">
        <f t="shared" si="35"/>
        <v>0.73684385803750807</v>
      </c>
      <c r="CT47" s="31">
        <f>AM47*Parameters!$C$154</f>
        <v>2.5693194340882221E-2</v>
      </c>
      <c r="CU47" s="31">
        <f>AQ47*Parameters!$C$155</f>
        <v>0.23502149999999999</v>
      </c>
      <c r="CV47" s="31">
        <f t="shared" si="36"/>
        <v>1.6935059364201326</v>
      </c>
      <c r="CW47" s="188">
        <f t="shared" si="37"/>
        <v>59.556265868571458</v>
      </c>
      <c r="CY47" s="181">
        <v>0</v>
      </c>
      <c r="CZ47" s="181">
        <v>0.48265391114084571</v>
      </c>
      <c r="DA47" s="181">
        <v>23.815112568409997</v>
      </c>
      <c r="DB47" s="181">
        <v>1.0574286971102835</v>
      </c>
      <c r="DC47" s="181">
        <v>1.9049545546962179</v>
      </c>
      <c r="DD47" s="181">
        <v>7.578569484332121</v>
      </c>
      <c r="DE47" s="181">
        <v>17.157582293986792</v>
      </c>
      <c r="DF47" s="181">
        <v>0.68827790376001374</v>
      </c>
      <c r="DG47" s="181">
        <v>18.494427412512142</v>
      </c>
      <c r="DH47" s="181">
        <v>17.845860197746806</v>
      </c>
      <c r="DI47" s="181">
        <v>34.356065304548622</v>
      </c>
      <c r="DJ47" s="181">
        <v>0.48265391114084571</v>
      </c>
      <c r="DK47" s="181">
        <v>71.179006825948406</v>
      </c>
      <c r="DL47" s="181"/>
      <c r="DM47" s="181">
        <v>0</v>
      </c>
      <c r="DN47" s="181">
        <v>0.10084393293289659</v>
      </c>
      <c r="DO47" s="181">
        <v>5.4131716425158807E-2</v>
      </c>
      <c r="DP47" s="181">
        <v>1.0289128092795026</v>
      </c>
      <c r="DQ47" s="181">
        <v>-9.0627567011547505E-4</v>
      </c>
      <c r="DR47" s="181">
        <v>5.2673956132836035E-2</v>
      </c>
      <c r="DS47" s="181">
        <v>1.8058567694894569</v>
      </c>
      <c r="DT47" s="181">
        <v>1.082138250034546</v>
      </c>
      <c r="DU47" s="181">
        <v>0.10084393293289659</v>
      </c>
      <c r="DV47" s="181">
        <v>3.0415129085897359</v>
      </c>
      <c r="DW47" s="181">
        <v>3.0415129085897359</v>
      </c>
      <c r="DX47" s="181"/>
      <c r="DY47" s="181">
        <v>0</v>
      </c>
      <c r="DZ47" s="181">
        <v>7.0590753053027602E-2</v>
      </c>
      <c r="EA47" s="181">
        <v>5.4131716425158807E-2</v>
      </c>
      <c r="EB47" s="181">
        <v>1.0289128092795026</v>
      </c>
      <c r="EC47" s="181">
        <v>1.5583470740849759E-3</v>
      </c>
      <c r="ED47" s="181">
        <v>5.2673956132836035E-2</v>
      </c>
      <c r="EE47" s="181">
        <v>1.016776283515253</v>
      </c>
      <c r="EF47" s="181">
        <v>1.0846028727787465</v>
      </c>
      <c r="EG47" s="181">
        <v>7.0590753053027602E-2</v>
      </c>
      <c r="EH47" s="181">
        <v>2.2246438654798628</v>
      </c>
      <c r="EJ47" s="31">
        <f t="shared" si="38"/>
        <v>2.8831220183092566E-3</v>
      </c>
      <c r="EK47" s="31">
        <f t="shared" si="39"/>
        <v>3.5343157846098094E-2</v>
      </c>
      <c r="EL47" s="31">
        <f t="shared" si="40"/>
        <v>7.6512486661887183E-5</v>
      </c>
      <c r="EM47" s="31">
        <f t="shared" si="41"/>
        <v>2.4588190162942031E-3</v>
      </c>
      <c r="EN47" s="31">
        <f t="shared" si="42"/>
        <v>0</v>
      </c>
      <c r="EO47" s="31">
        <f t="shared" si="43"/>
        <v>4.3156916267612776E-2</v>
      </c>
      <c r="EP47" s="31">
        <f t="shared" si="44"/>
        <v>1.5048493988539325E-3</v>
      </c>
      <c r="EQ47" s="31">
        <f t="shared" si="45"/>
        <v>1.3765200165477188E-2</v>
      </c>
      <c r="ER47" s="31">
        <f t="shared" si="46"/>
        <v>9.9188577199307335E-2</v>
      </c>
      <c r="ES47" s="31">
        <f t="shared" si="47"/>
        <v>3.4882081885668468</v>
      </c>
      <c r="ET47" s="31"/>
      <c r="EU47" s="31">
        <f t="shared" si="48"/>
        <v>0</v>
      </c>
      <c r="EV47" s="31">
        <f t="shared" si="49"/>
        <v>2.8269020908743166E-2</v>
      </c>
      <c r="EW47" s="31">
        <f t="shared" si="50"/>
        <v>1.3948502220755767</v>
      </c>
      <c r="EX47" s="31">
        <f t="shared" si="51"/>
        <v>6.1933557893396142E-2</v>
      </c>
      <c r="EY47" s="31">
        <f t="shared" si="52"/>
        <v>0.11157311459390268</v>
      </c>
      <c r="EZ47" s="31">
        <f t="shared" si="53"/>
        <v>0.44387652159401969</v>
      </c>
      <c r="FA47" s="31">
        <f t="shared" si="54"/>
        <v>1.0049189313844709</v>
      </c>
      <c r="FB47" s="31">
        <f t="shared" si="55"/>
        <v>4.0312410203881911E-2</v>
      </c>
      <c r="FC47" s="31">
        <f t="shared" si="56"/>
        <v>1.0832178982736387</v>
      </c>
      <c r="FD47" s="31">
        <f t="shared" si="57"/>
        <v>1.045231341588353</v>
      </c>
      <c r="FE47" s="31">
        <f t="shared" si="58"/>
        <v>2.0122334161568953</v>
      </c>
      <c r="FF47" s="31">
        <f t="shared" si="59"/>
        <v>2.8269020908743166E-2</v>
      </c>
      <c r="FG47" s="31">
        <f t="shared" si="60"/>
        <v>4.1689516769276302</v>
      </c>
      <c r="FH47" s="31"/>
      <c r="FI47" s="31">
        <f t="shared" si="61"/>
        <v>0</v>
      </c>
      <c r="FJ47" s="31">
        <f t="shared" si="62"/>
        <v>5.9064252517121996E-3</v>
      </c>
      <c r="FK47" s="31">
        <f t="shared" si="63"/>
        <v>3.1704925374621486E-3</v>
      </c>
      <c r="FL47" s="31">
        <f t="shared" si="64"/>
        <v>6.0263383446007311E-2</v>
      </c>
      <c r="FM47" s="31">
        <f t="shared" si="65"/>
        <v>-5.3080530948196176E-5</v>
      </c>
      <c r="FN47" s="31">
        <f t="shared" si="66"/>
        <v>3.085111573520094E-3</v>
      </c>
      <c r="FO47" s="31">
        <f t="shared" si="67"/>
        <v>0.10576896114697749</v>
      </c>
      <c r="FP47" s="31">
        <f t="shared" si="68"/>
        <v>6.338079545252126E-2</v>
      </c>
      <c r="FQ47" s="31">
        <f t="shared" si="69"/>
        <v>5.9064252517121996E-3</v>
      </c>
      <c r="FR47" s="31">
        <f t="shared" si="70"/>
        <v>0.17814129342473106</v>
      </c>
      <c r="FS47" s="31">
        <f t="shared" si="71"/>
        <v>0.17814129342473106</v>
      </c>
      <c r="FT47" s="31"/>
      <c r="FU47" s="31">
        <f t="shared" si="72"/>
        <v>0</v>
      </c>
      <c r="FV47" s="31">
        <f t="shared" si="73"/>
        <v>4.134497676198539E-3</v>
      </c>
      <c r="FW47" s="31">
        <f t="shared" si="74"/>
        <v>3.1704925374621486E-3</v>
      </c>
      <c r="FX47" s="31">
        <f t="shared" si="75"/>
        <v>6.0263383446007311E-2</v>
      </c>
      <c r="FY47" s="31">
        <f t="shared" si="76"/>
        <v>9.127232785964433E-5</v>
      </c>
      <c r="FZ47" s="31">
        <f t="shared" si="77"/>
        <v>3.085111573520094E-3</v>
      </c>
      <c r="GA47" s="31">
        <f t="shared" si="78"/>
        <v>5.9552547601378764E-2</v>
      </c>
      <c r="GB47" s="31">
        <f t="shared" si="79"/>
        <v>6.3525148311329105E-2</v>
      </c>
      <c r="GC47" s="31">
        <f t="shared" si="80"/>
        <v>4.134497676198539E-3</v>
      </c>
      <c r="GD47" s="31">
        <f t="shared" si="81"/>
        <v>0.13029730516242649</v>
      </c>
    </row>
    <row r="48" spans="1:186">
      <c r="A48" s="39" t="str">
        <f>Basicinfo!A48</f>
        <v>Teichl</v>
      </c>
      <c r="B48" s="63">
        <f>Basicinfo!B48</f>
        <v>1530</v>
      </c>
      <c r="C48" s="63">
        <f>Basicinfo!C48</f>
        <v>1560</v>
      </c>
      <c r="D48" s="227">
        <v>238.968458156</v>
      </c>
      <c r="E48" s="89">
        <v>13.077972155392096</v>
      </c>
      <c r="F48" s="27">
        <v>4.7614322419934685E-2</v>
      </c>
      <c r="G48" s="19">
        <v>3.4645527338855091</v>
      </c>
      <c r="H48" s="19">
        <v>0.11925156930984351</v>
      </c>
      <c r="I48" s="19">
        <v>8.904884429028187E-2</v>
      </c>
      <c r="J48" s="19">
        <v>9.3027535839927289</v>
      </c>
      <c r="K48" s="19">
        <v>5.3812659822333551E-3</v>
      </c>
      <c r="L48" s="19">
        <v>8.0979220863597063E-3</v>
      </c>
      <c r="M48" s="19">
        <v>8.4538954986028651E-3</v>
      </c>
      <c r="N48" s="19">
        <v>13.045154137465493</v>
      </c>
      <c r="O48" s="19">
        <v>3.2818017926602397E-2</v>
      </c>
      <c r="P48" s="56">
        <v>51.462007820011422</v>
      </c>
      <c r="Q48" s="43">
        <v>2379.7673652249441</v>
      </c>
      <c r="R48" s="88">
        <v>2431.2293730449555</v>
      </c>
      <c r="S48" s="61">
        <v>1.927001017961014</v>
      </c>
      <c r="T48" s="19">
        <v>83.293513842081495</v>
      </c>
      <c r="U48" s="19">
        <v>2.8647861377251687</v>
      </c>
      <c r="V48" s="19">
        <v>0.95085917145120835</v>
      </c>
      <c r="W48" s="19">
        <v>5.9494184130623601E-2</v>
      </c>
      <c r="X48" s="19">
        <v>21.453680401363531</v>
      </c>
      <c r="Y48" s="19">
        <v>235.75828918605197</v>
      </c>
      <c r="Z48" s="19">
        <v>0.28179407176763249</v>
      </c>
      <c r="AA48" s="19">
        <v>3.0680479271366443</v>
      </c>
      <c r="AB48" s="19">
        <v>0.62095052880872048</v>
      </c>
      <c r="AC48" s="19">
        <v>350.2784164684781</v>
      </c>
      <c r="AD48" s="19">
        <v>3.8157775000000003</v>
      </c>
      <c r="AE48" s="87">
        <v>354.09419396847812</v>
      </c>
      <c r="AF48" s="56">
        <v>5.4912927472964584E-2</v>
      </c>
      <c r="AG48" s="43">
        <v>2.2840417242035591</v>
      </c>
      <c r="AH48" s="43">
        <v>3.3524713728542245E-2</v>
      </c>
      <c r="AI48" s="43">
        <v>0.20624069584986648</v>
      </c>
      <c r="AJ48" s="43">
        <v>1.1244643733568058</v>
      </c>
      <c r="AK48" s="43">
        <v>0.92436125367032262</v>
      </c>
      <c r="AL48" s="58">
        <v>1.4451672127191086</v>
      </c>
      <c r="AM48" s="43">
        <v>8.4925251366299401E-2</v>
      </c>
      <c r="AN48" s="42">
        <v>0.55117920525982322</v>
      </c>
      <c r="AO48" s="42">
        <v>0.10878786995550738</v>
      </c>
      <c r="AP48" s="42">
        <v>6.8176052275827983</v>
      </c>
      <c r="AQ48" s="43">
        <v>0.78827066666666656</v>
      </c>
      <c r="AR48" s="83">
        <v>7.6058758942494649</v>
      </c>
      <c r="AS48" s="19">
        <f t="shared" si="2"/>
        <v>6.2835291461554723</v>
      </c>
      <c r="AT48" s="19">
        <f t="shared" si="3"/>
        <v>457.20734802786853</v>
      </c>
      <c r="AU48" s="19">
        <f t="shared" si="4"/>
        <v>15.737296540199488</v>
      </c>
      <c r="AV48" s="19">
        <f t="shared" si="5"/>
        <v>11.751527273549595</v>
      </c>
      <c r="AW48" s="19">
        <f t="shared" si="6"/>
        <v>1227.6584085138131</v>
      </c>
      <c r="AX48" s="53">
        <f t="shared" si="82"/>
        <v>0.7101506421610152</v>
      </c>
      <c r="AY48" s="53">
        <f t="shared" si="83"/>
        <v>1.0686601607846031</v>
      </c>
      <c r="AZ48" s="53">
        <f t="shared" si="84"/>
        <v>1.1156369777885105</v>
      </c>
      <c r="BA48" s="19">
        <f t="shared" si="85"/>
        <v>1721.5325572823206</v>
      </c>
      <c r="BB48" s="19">
        <f t="shared" si="7"/>
        <v>4.3309021672546946</v>
      </c>
      <c r="BC48" s="53">
        <f t="shared" si="8"/>
        <v>1725.8634594495752</v>
      </c>
      <c r="BD48" s="56">
        <f t="shared" si="9"/>
        <v>2.1535062918812793</v>
      </c>
      <c r="BE48" s="43">
        <f t="shared" si="10"/>
        <v>99.584998940379748</v>
      </c>
      <c r="BF48" s="58">
        <f t="shared" si="11"/>
        <v>101.73850523226103</v>
      </c>
      <c r="BG48" s="61">
        <f t="shared" si="12"/>
        <v>80.63829983382395</v>
      </c>
      <c r="BH48" s="19">
        <f t="shared" si="13"/>
        <v>3485.5442632394193</v>
      </c>
      <c r="BI48" s="19">
        <f t="shared" si="14"/>
        <v>119.88135002549248</v>
      </c>
      <c r="BJ48" s="19">
        <f t="shared" si="15"/>
        <v>39.790153846600212</v>
      </c>
      <c r="BK48" s="19">
        <f t="shared" si="16"/>
        <v>2.489624973509494</v>
      </c>
      <c r="BL48" s="19">
        <f t="shared" si="17"/>
        <v>897.76201289956202</v>
      </c>
      <c r="BM48" s="19">
        <f t="shared" si="18"/>
        <v>9865.6655780131277</v>
      </c>
      <c r="BN48" s="53">
        <f t="shared" si="19"/>
        <v>11.792103189772256</v>
      </c>
      <c r="BO48" s="53">
        <f t="shared" si="86"/>
        <v>128.3871499532296</v>
      </c>
      <c r="BP48" s="53">
        <f t="shared" si="87"/>
        <v>25.984622974943431</v>
      </c>
      <c r="BQ48" s="19">
        <f t="shared" si="88"/>
        <v>14657.93515894948</v>
      </c>
      <c r="BR48" s="19">
        <f t="shared" si="20"/>
        <v>159.67703559894247</v>
      </c>
      <c r="BS48" s="53">
        <f t="shared" si="21"/>
        <v>14817.612194548423</v>
      </c>
      <c r="BT48" s="56">
        <f t="shared" si="22"/>
        <v>2.2979152937881495</v>
      </c>
      <c r="BU48" s="43">
        <f t="shared" si="23"/>
        <v>95.579213333356478</v>
      </c>
      <c r="BV48" s="43">
        <f t="shared" si="24"/>
        <v>1.4028928331059123</v>
      </c>
      <c r="BW48" s="43">
        <f t="shared" si="25"/>
        <v>8.6304568159882997</v>
      </c>
      <c r="BX48" s="43">
        <f t="shared" si="26"/>
        <v>47.054928589058768</v>
      </c>
      <c r="BY48" s="58">
        <f t="shared" si="27"/>
        <v>38.681308018771844</v>
      </c>
      <c r="BZ48" s="58">
        <f t="shared" si="28"/>
        <v>60.47522856659581</v>
      </c>
      <c r="CA48" s="58">
        <f t="shared" si="29"/>
        <v>3.5538268113551501</v>
      </c>
      <c r="CB48" s="58">
        <f t="shared" si="89"/>
        <v>23.064935410848669</v>
      </c>
      <c r="CC48" s="58">
        <f t="shared" si="90"/>
        <v>4.5523945208070113</v>
      </c>
      <c r="CD48" s="58">
        <f t="shared" si="91"/>
        <v>285.29310019367608</v>
      </c>
      <c r="CE48" s="58">
        <f t="shared" si="30"/>
        <v>32.986389615991875</v>
      </c>
      <c r="CF48" s="58">
        <f t="shared" si="92"/>
        <v>318.27948980966795</v>
      </c>
      <c r="CG48" s="127">
        <v>51</v>
      </c>
      <c r="CH48" s="128" t="s">
        <v>169</v>
      </c>
      <c r="CI48" s="128"/>
      <c r="CJ48" s="126">
        <f t="shared" si="93"/>
        <v>45</v>
      </c>
      <c r="CK48" s="126">
        <f t="shared" si="95"/>
        <v>48</v>
      </c>
      <c r="CN48" s="147">
        <f t="shared" si="31"/>
        <v>5.4912927472964584E-2</v>
      </c>
      <c r="CO48" s="147">
        <f t="shared" si="32"/>
        <v>2.2840417242035591</v>
      </c>
      <c r="CP48" s="147">
        <f t="shared" si="33"/>
        <v>3.3524713728542245E-2</v>
      </c>
      <c r="CQ48" s="31">
        <f>(AI48-(P48*450/1000000))*Parameters!$C$153</f>
        <v>0.14646623386468907</v>
      </c>
      <c r="CR48" s="31">
        <f t="shared" si="34"/>
        <v>0.92436125367032262</v>
      </c>
      <c r="CS48" s="31">
        <f t="shared" si="35"/>
        <v>1.4451672127191086</v>
      </c>
      <c r="CT48" s="31">
        <f>AM48*Parameters!$C$154</f>
        <v>7.6432726229669457E-2</v>
      </c>
      <c r="CU48" s="31">
        <f>AQ48*Parameters!$C$155</f>
        <v>0.78827066666666656</v>
      </c>
      <c r="CV48" s="31">
        <f t="shared" si="36"/>
        <v>5.7531774585555233</v>
      </c>
      <c r="CW48" s="188">
        <f t="shared" si="37"/>
        <v>75.641221846721137</v>
      </c>
      <c r="CY48" s="181">
        <v>0</v>
      </c>
      <c r="CZ48" s="181">
        <v>1.1754825</v>
      </c>
      <c r="DA48" s="181">
        <v>16.970360403894251</v>
      </c>
      <c r="DB48" s="181">
        <v>0.64421624678389056</v>
      </c>
      <c r="DC48" s="181">
        <v>0</v>
      </c>
      <c r="DD48" s="181">
        <v>4.8735075293808663</v>
      </c>
      <c r="DE48" s="181">
        <v>12.400104370589007</v>
      </c>
      <c r="DF48" s="181">
        <v>0.42145652927689459</v>
      </c>
      <c r="DG48" s="181">
        <v>17.759722029197253</v>
      </c>
      <c r="DH48" s="181">
        <v>12.821560899865903</v>
      </c>
      <c r="DI48" s="181">
        <v>22.488084180059008</v>
      </c>
      <c r="DJ48" s="181">
        <v>1.1754825</v>
      </c>
      <c r="DK48" s="181">
        <v>54.24484960912217</v>
      </c>
      <c r="DL48" s="181"/>
      <c r="DM48" s="181">
        <v>0</v>
      </c>
      <c r="DN48" s="181">
        <v>0.191170983993868</v>
      </c>
      <c r="DO48" s="181">
        <v>0</v>
      </c>
      <c r="DP48" s="181">
        <v>0.57190773352106805</v>
      </c>
      <c r="DQ48" s="181">
        <v>-1.5967310125947209E-3</v>
      </c>
      <c r="DR48" s="181">
        <v>3.254078506124345E-2</v>
      </c>
      <c r="DS48" s="181">
        <v>1.3566406883948068</v>
      </c>
      <c r="DT48" s="181">
        <v>0.570311002508473</v>
      </c>
      <c r="DU48" s="181">
        <v>0.191170983993868</v>
      </c>
      <c r="DV48" s="181">
        <v>2.1506634599583911</v>
      </c>
      <c r="DW48" s="181">
        <v>2.1506634599583911</v>
      </c>
      <c r="DX48" s="181"/>
      <c r="DY48" s="181">
        <v>0</v>
      </c>
      <c r="DZ48" s="181">
        <v>0.1338196887957076</v>
      </c>
      <c r="EA48" s="181">
        <v>0</v>
      </c>
      <c r="EB48" s="181">
        <v>0.57190773352106805</v>
      </c>
      <c r="EC48" s="181">
        <v>1.1789008653125821E-3</v>
      </c>
      <c r="ED48" s="181">
        <v>3.254078506124345E-2</v>
      </c>
      <c r="EE48" s="181">
        <v>0.82189806211457195</v>
      </c>
      <c r="EF48" s="181">
        <v>0.57308663438638063</v>
      </c>
      <c r="EG48" s="181">
        <v>0.1338196887957076</v>
      </c>
      <c r="EH48" s="181">
        <v>1.5613451703579035</v>
      </c>
      <c r="EJ48" s="31">
        <f t="shared" si="38"/>
        <v>2.2979152937881494E-3</v>
      </c>
      <c r="EK48" s="31">
        <f t="shared" si="39"/>
        <v>9.557921333335645E-2</v>
      </c>
      <c r="EL48" s="31">
        <f t="shared" si="40"/>
        <v>1.4028928331059124E-3</v>
      </c>
      <c r="EM48" s="31">
        <f t="shared" si="41"/>
        <v>6.1291031877133782E-3</v>
      </c>
      <c r="EN48" s="31">
        <f t="shared" si="42"/>
        <v>3.8681308018771843E-2</v>
      </c>
      <c r="EO48" s="31">
        <f t="shared" si="43"/>
        <v>6.0475228566595804E-2</v>
      </c>
      <c r="EP48" s="31">
        <f t="shared" si="44"/>
        <v>3.1984441302196349E-3</v>
      </c>
      <c r="EQ48" s="31">
        <f t="shared" si="45"/>
        <v>3.2986389615991867E-2</v>
      </c>
      <c r="ER48" s="31">
        <f t="shared" si="46"/>
        <v>0.24075049497954309</v>
      </c>
      <c r="ES48" s="31">
        <f t="shared" si="47"/>
        <v>3.1653224208084447</v>
      </c>
      <c r="ET48" s="31"/>
      <c r="EU48" s="31">
        <f t="shared" si="48"/>
        <v>0</v>
      </c>
      <c r="EV48" s="31">
        <f t="shared" si="49"/>
        <v>4.9189859995357139E-2</v>
      </c>
      <c r="EW48" s="31">
        <f t="shared" si="50"/>
        <v>0.71015064225823055</v>
      </c>
      <c r="EX48" s="31">
        <f t="shared" si="51"/>
        <v>2.6958212466824488E-2</v>
      </c>
      <c r="EY48" s="31">
        <f t="shared" si="52"/>
        <v>0</v>
      </c>
      <c r="EZ48" s="31">
        <f t="shared" si="53"/>
        <v>0.20393936367114243</v>
      </c>
      <c r="FA48" s="31">
        <f t="shared" si="54"/>
        <v>0.51890130045924909</v>
      </c>
      <c r="FB48" s="31">
        <f t="shared" si="55"/>
        <v>1.7636491967561899E-2</v>
      </c>
      <c r="FC48" s="31">
        <f t="shared" si="56"/>
        <v>0.74318268470408766</v>
      </c>
      <c r="FD48" s="31">
        <f t="shared" si="57"/>
        <v>0.5365377924268111</v>
      </c>
      <c r="FE48" s="31">
        <f t="shared" si="58"/>
        <v>0.94104821839619757</v>
      </c>
      <c r="FF48" s="31">
        <f t="shared" si="59"/>
        <v>4.9189859995357139E-2</v>
      </c>
      <c r="FG48" s="31">
        <f t="shared" si="60"/>
        <v>2.2699585555224537</v>
      </c>
      <c r="FH48" s="31"/>
      <c r="FI48" s="31">
        <f t="shared" si="61"/>
        <v>0</v>
      </c>
      <c r="FJ48" s="31">
        <f t="shared" si="62"/>
        <v>7.9998417142178018E-3</v>
      </c>
      <c r="FK48" s="31">
        <f t="shared" si="63"/>
        <v>0</v>
      </c>
      <c r="FL48" s="31">
        <f t="shared" si="64"/>
        <v>2.393235232524802E-2</v>
      </c>
      <c r="FM48" s="31">
        <f t="shared" si="65"/>
        <v>-6.6817647187243678E-5</v>
      </c>
      <c r="FN48" s="31">
        <f t="shared" si="66"/>
        <v>1.3617188357134833E-3</v>
      </c>
      <c r="FO48" s="31">
        <f t="shared" si="67"/>
        <v>5.6770700989717392E-2</v>
      </c>
      <c r="FP48" s="31">
        <f t="shared" si="68"/>
        <v>2.3865534678060758E-2</v>
      </c>
      <c r="FQ48" s="31">
        <f t="shared" si="69"/>
        <v>7.9998417142178018E-3</v>
      </c>
      <c r="FR48" s="31">
        <f t="shared" si="70"/>
        <v>8.9997796217709425E-2</v>
      </c>
      <c r="FS48" s="31">
        <f t="shared" si="71"/>
        <v>8.9997796217709425E-2</v>
      </c>
      <c r="FT48" s="31"/>
      <c r="FU48" s="31">
        <f t="shared" si="72"/>
        <v>0</v>
      </c>
      <c r="FV48" s="31">
        <f t="shared" si="73"/>
        <v>5.5998891999524611E-3</v>
      </c>
      <c r="FW48" s="31">
        <f t="shared" si="74"/>
        <v>0</v>
      </c>
      <c r="FX48" s="31">
        <f t="shared" si="75"/>
        <v>2.393235232524802E-2</v>
      </c>
      <c r="FY48" s="31">
        <f t="shared" si="76"/>
        <v>4.9332906711185654E-5</v>
      </c>
      <c r="FZ48" s="31">
        <f t="shared" si="77"/>
        <v>1.3617188357134833E-3</v>
      </c>
      <c r="GA48" s="31">
        <f t="shared" si="78"/>
        <v>3.4393579322423887E-2</v>
      </c>
      <c r="GB48" s="31">
        <f t="shared" si="79"/>
        <v>2.3981685231959204E-2</v>
      </c>
      <c r="GC48" s="31">
        <f t="shared" si="80"/>
        <v>5.5998891999524611E-3</v>
      </c>
      <c r="GD48" s="31">
        <f t="shared" si="81"/>
        <v>6.5336872590049028E-2</v>
      </c>
    </row>
    <row r="49" spans="1:186">
      <c r="A49" s="39" t="str">
        <f>Basicinfo!A49</f>
        <v>Krumme Steyrling</v>
      </c>
      <c r="B49" s="63">
        <f>Basicinfo!B49</f>
        <v>1540</v>
      </c>
      <c r="C49" s="63">
        <f>Basicinfo!C49</f>
        <v>1560</v>
      </c>
      <c r="D49" s="227">
        <v>136.17471837900001</v>
      </c>
      <c r="E49" s="89">
        <v>4.1532941470896887</v>
      </c>
      <c r="F49" s="27">
        <v>2.7514890037589126E-2</v>
      </c>
      <c r="G49" s="19">
        <v>0.95082406137692432</v>
      </c>
      <c r="H49" s="19">
        <v>2.3029440729512168E-2</v>
      </c>
      <c r="I49" s="19">
        <v>0</v>
      </c>
      <c r="J49" s="19">
        <v>3.1295568631873025</v>
      </c>
      <c r="K49" s="19">
        <v>1.7353979140351564E-3</v>
      </c>
      <c r="L49" s="19">
        <v>2.4957512933872191E-3</v>
      </c>
      <c r="M49" s="19">
        <v>2.2538117522747114E-3</v>
      </c>
      <c r="N49" s="19">
        <v>4.1374102162910251</v>
      </c>
      <c r="O49" s="19">
        <v>1.5883930798663959E-2</v>
      </c>
      <c r="P49" s="56">
        <v>18.035368994500004</v>
      </c>
      <c r="Q49" s="43">
        <v>1678.1594663292071</v>
      </c>
      <c r="R49" s="88">
        <v>1696.1948353237071</v>
      </c>
      <c r="S49" s="61">
        <v>1.1897674504165026</v>
      </c>
      <c r="T49" s="19">
        <v>25.280794811388525</v>
      </c>
      <c r="U49" s="19">
        <v>0.61201112385676715</v>
      </c>
      <c r="V49" s="19">
        <v>0.354845371636758</v>
      </c>
      <c r="W49" s="19">
        <v>4.1953986658230177E-2</v>
      </c>
      <c r="X49" s="19">
        <v>0</v>
      </c>
      <c r="Y49" s="19">
        <v>108.65874426949733</v>
      </c>
      <c r="Z49" s="19">
        <v>8.5678689312929865E-2</v>
      </c>
      <c r="AA49" s="19">
        <v>1.1154165950184571</v>
      </c>
      <c r="AB49" s="19">
        <v>0.21485062532471116</v>
      </c>
      <c r="AC49" s="19">
        <v>137.55406292311022</v>
      </c>
      <c r="AD49" s="19">
        <v>1.769347</v>
      </c>
      <c r="AE49" s="87">
        <v>139.32340992311023</v>
      </c>
      <c r="AF49" s="56">
        <v>2.8386605045176816E-2</v>
      </c>
      <c r="AG49" s="43">
        <v>0.30074339494702401</v>
      </c>
      <c r="AH49" s="43">
        <v>2.5358899414743168E-3</v>
      </c>
      <c r="AI49" s="43">
        <v>7.5392575067049952E-2</v>
      </c>
      <c r="AJ49" s="43">
        <v>0.76169993873511233</v>
      </c>
      <c r="AK49" s="43">
        <v>0</v>
      </c>
      <c r="AL49" s="58">
        <v>0.50298259937226653</v>
      </c>
      <c r="AM49" s="43">
        <v>2.2004451607468153E-2</v>
      </c>
      <c r="AN49" s="42">
        <v>0.19143837206816533</v>
      </c>
      <c r="AO49" s="42">
        <v>3.4421477555321218E-2</v>
      </c>
      <c r="AP49" s="42">
        <v>1.9196053043390588</v>
      </c>
      <c r="AQ49" s="43">
        <v>0.13374033333333332</v>
      </c>
      <c r="AR49" s="83">
        <v>2.053345637672392</v>
      </c>
      <c r="AS49" s="19">
        <f t="shared" si="2"/>
        <v>6.3720313326473041</v>
      </c>
      <c r="AT49" s="19">
        <f t="shared" si="3"/>
        <v>220.19643555368506</v>
      </c>
      <c r="AU49" s="19">
        <f t="shared" si="4"/>
        <v>5.3332692844246363</v>
      </c>
      <c r="AV49" s="19">
        <f t="shared" si="5"/>
        <v>0</v>
      </c>
      <c r="AW49" s="19">
        <f t="shared" si="6"/>
        <v>724.75791697833029</v>
      </c>
      <c r="AX49" s="53">
        <f t="shared" si="82"/>
        <v>0.40189184357037322</v>
      </c>
      <c r="AY49" s="53">
        <f t="shared" si="83"/>
        <v>0.57797815721715406</v>
      </c>
      <c r="AZ49" s="53">
        <f t="shared" si="84"/>
        <v>0.52194862795248642</v>
      </c>
      <c r="BA49" s="19">
        <f t="shared" si="85"/>
        <v>958.16147177782727</v>
      </c>
      <c r="BB49" s="19">
        <f t="shared" si="7"/>
        <v>3.6784775296727523</v>
      </c>
      <c r="BC49" s="53">
        <f t="shared" si="8"/>
        <v>961.83994930749998</v>
      </c>
      <c r="BD49" s="56">
        <f t="shared" si="9"/>
        <v>1.3244285877136284</v>
      </c>
      <c r="BE49" s="43">
        <f t="shared" si="10"/>
        <v>123.23575817198108</v>
      </c>
      <c r="BF49" s="58">
        <f t="shared" si="11"/>
        <v>124.5601867596947</v>
      </c>
      <c r="BG49" s="61">
        <f t="shared" si="12"/>
        <v>87.370656211320707</v>
      </c>
      <c r="BH49" s="19">
        <f t="shared" si="13"/>
        <v>1856.4969410127428</v>
      </c>
      <c r="BI49" s="19">
        <f t="shared" si="14"/>
        <v>44.943079827301304</v>
      </c>
      <c r="BJ49" s="19">
        <f t="shared" si="15"/>
        <v>26.058094766838895</v>
      </c>
      <c r="BK49" s="19">
        <f t="shared" si="16"/>
        <v>3.0808939542995266</v>
      </c>
      <c r="BL49" s="19">
        <f t="shared" si="17"/>
        <v>0</v>
      </c>
      <c r="BM49" s="19">
        <f t="shared" si="18"/>
        <v>7979.3625103801933</v>
      </c>
      <c r="BN49" s="53">
        <f t="shared" si="19"/>
        <v>6.2918205620568912</v>
      </c>
      <c r="BO49" s="53">
        <f t="shared" si="86"/>
        <v>81.91069592771558</v>
      </c>
      <c r="BP49" s="53">
        <f t="shared" si="87"/>
        <v>15.777570747511389</v>
      </c>
      <c r="BQ49" s="19">
        <f t="shared" si="88"/>
        <v>10101.292263389982</v>
      </c>
      <c r="BR49" s="19">
        <f t="shared" si="20"/>
        <v>129.93212110603179</v>
      </c>
      <c r="BS49" s="53">
        <f t="shared" si="21"/>
        <v>10231.224384496014</v>
      </c>
      <c r="BT49" s="56">
        <f t="shared" si="22"/>
        <v>2.0845723334761397</v>
      </c>
      <c r="BU49" s="43">
        <f t="shared" si="23"/>
        <v>22.085112312110553</v>
      </c>
      <c r="BV49" s="43">
        <f t="shared" si="24"/>
        <v>0.18622325580409541</v>
      </c>
      <c r="BW49" s="43">
        <f t="shared" si="25"/>
        <v>5.536459040599456</v>
      </c>
      <c r="BX49" s="43">
        <f t="shared" si="26"/>
        <v>55.935488452060341</v>
      </c>
      <c r="BY49" s="58">
        <f t="shared" si="27"/>
        <v>0</v>
      </c>
      <c r="BZ49" s="58">
        <f t="shared" si="28"/>
        <v>36.93656248088363</v>
      </c>
      <c r="CA49" s="58">
        <f t="shared" si="29"/>
        <v>1.6158984479208247</v>
      </c>
      <c r="CB49" s="58">
        <f t="shared" si="89"/>
        <v>14.058290286700364</v>
      </c>
      <c r="CC49" s="58">
        <f t="shared" si="90"/>
        <v>2.5277436197459013</v>
      </c>
      <c r="CD49" s="58">
        <f t="shared" si="91"/>
        <v>140.96635022930133</v>
      </c>
      <c r="CE49" s="58">
        <f t="shared" si="30"/>
        <v>9.8212307633424771</v>
      </c>
      <c r="CF49" s="58">
        <f t="shared" si="92"/>
        <v>150.7875809926438</v>
      </c>
      <c r="CG49" s="127">
        <v>51</v>
      </c>
      <c r="CH49" s="128" t="s">
        <v>169</v>
      </c>
      <c r="CI49" s="128"/>
      <c r="CJ49" s="126">
        <f t="shared" si="93"/>
        <v>46</v>
      </c>
      <c r="CK49" s="126">
        <f t="shared" si="95"/>
        <v>48</v>
      </c>
      <c r="CN49" s="147">
        <f t="shared" si="31"/>
        <v>2.8386605045176816E-2</v>
      </c>
      <c r="CO49" s="147">
        <f t="shared" si="32"/>
        <v>0.30074339494702401</v>
      </c>
      <c r="CP49" s="147">
        <f t="shared" si="33"/>
        <v>2.5358899414743168E-3</v>
      </c>
      <c r="CQ49" s="31">
        <f>(AI49-(P49*450/1000000))*Parameters!$C$153</f>
        <v>5.3821327215619968E-2</v>
      </c>
      <c r="CR49" s="31">
        <f t="shared" si="34"/>
        <v>0</v>
      </c>
      <c r="CS49" s="31">
        <f t="shared" si="35"/>
        <v>0.50298259937226653</v>
      </c>
      <c r="CT49" s="31">
        <f>AM49*Parameters!$C$154</f>
        <v>1.9804006446721339E-2</v>
      </c>
      <c r="CU49" s="31">
        <f>AQ49*Parameters!$C$155</f>
        <v>0.13374033333333332</v>
      </c>
      <c r="CV49" s="31">
        <f t="shared" si="36"/>
        <v>1.0420141563016163</v>
      </c>
      <c r="CW49" s="188">
        <f t="shared" si="37"/>
        <v>50.747138581247867</v>
      </c>
      <c r="CY49" s="181">
        <v>0</v>
      </c>
      <c r="CZ49" s="181">
        <v>1.7171604983617381</v>
      </c>
      <c r="DA49" s="181">
        <v>33.738283826691884</v>
      </c>
      <c r="DB49" s="181">
        <v>1.5620235424166342</v>
      </c>
      <c r="DC49" s="181">
        <v>0.59575768679983876</v>
      </c>
      <c r="DD49" s="181">
        <v>15.682027597568752</v>
      </c>
      <c r="DE49" s="181">
        <v>24.023425557254232</v>
      </c>
      <c r="DF49" s="181">
        <v>0.98581022885634773</v>
      </c>
      <c r="DG49" s="181">
        <v>39.681518467266613</v>
      </c>
      <c r="DH49" s="181">
        <v>25.00923578611058</v>
      </c>
      <c r="DI49" s="181">
        <v>51.5780926534771</v>
      </c>
      <c r="DJ49" s="181">
        <v>1.7171604983617381</v>
      </c>
      <c r="DK49" s="181">
        <v>117.98600740521603</v>
      </c>
      <c r="DL49" s="181"/>
      <c r="DM49" s="181">
        <v>0</v>
      </c>
      <c r="DN49" s="181">
        <v>0.28557768895000307</v>
      </c>
      <c r="DO49" s="181">
        <v>8.8175577752544875E-3</v>
      </c>
      <c r="DP49" s="181">
        <v>1.1027135022837766</v>
      </c>
      <c r="DQ49" s="181">
        <v>-2.8407583701139938E-3</v>
      </c>
      <c r="DR49" s="181">
        <v>7.560542567954133E-2</v>
      </c>
      <c r="DS49" s="181">
        <v>2.7597806855193698</v>
      </c>
      <c r="DT49" s="181">
        <v>1.1086903016889171</v>
      </c>
      <c r="DU49" s="181">
        <v>0.28557768895000307</v>
      </c>
      <c r="DV49" s="181">
        <v>4.2296541018378315</v>
      </c>
      <c r="DW49" s="181">
        <v>4.2296541018378306</v>
      </c>
      <c r="DX49" s="181"/>
      <c r="DY49" s="181">
        <v>0</v>
      </c>
      <c r="DZ49" s="181">
        <v>0.19990438226500215</v>
      </c>
      <c r="EA49" s="181">
        <v>8.8175577752544875E-3</v>
      </c>
      <c r="EB49" s="181">
        <v>1.1027135022837766</v>
      </c>
      <c r="EC49" s="181">
        <v>3.9544977956094129E-3</v>
      </c>
      <c r="ED49" s="181">
        <v>7.560542567954133E-2</v>
      </c>
      <c r="EE49" s="181">
        <v>1.8158768419027238</v>
      </c>
      <c r="EF49" s="181">
        <v>1.1154855578546405</v>
      </c>
      <c r="EG49" s="181">
        <v>0.19990438226500215</v>
      </c>
      <c r="EH49" s="181">
        <v>3.2068722077019078</v>
      </c>
      <c r="EJ49" s="31">
        <f t="shared" si="38"/>
        <v>2.0845723334761393E-3</v>
      </c>
      <c r="EK49" s="31">
        <f t="shared" si="39"/>
        <v>2.2085112312110553E-2</v>
      </c>
      <c r="EL49" s="31">
        <f t="shared" si="40"/>
        <v>1.8622325580409539E-4</v>
      </c>
      <c r="EM49" s="31">
        <f t="shared" si="41"/>
        <v>3.9523729409026596E-3</v>
      </c>
      <c r="EN49" s="31">
        <f t="shared" si="42"/>
        <v>0</v>
      </c>
      <c r="EO49" s="31">
        <f t="shared" si="43"/>
        <v>3.6936562480883624E-2</v>
      </c>
      <c r="EP49" s="31">
        <f t="shared" si="44"/>
        <v>1.4543086031287426E-3</v>
      </c>
      <c r="EQ49" s="31">
        <f t="shared" si="45"/>
        <v>9.8212307633424797E-3</v>
      </c>
      <c r="ER49" s="31">
        <f t="shared" si="46"/>
        <v>7.6520382689648281E-2</v>
      </c>
      <c r="ES49" s="31">
        <f t="shared" si="47"/>
        <v>3.7266196828113847</v>
      </c>
      <c r="ET49" s="31"/>
      <c r="EU49" s="31">
        <f t="shared" si="48"/>
        <v>0</v>
      </c>
      <c r="EV49" s="31">
        <f t="shared" si="49"/>
        <v>0.12609980169612361</v>
      </c>
      <c r="EW49" s="31">
        <f t="shared" si="50"/>
        <v>2.4775732403420032</v>
      </c>
      <c r="EX49" s="31">
        <f t="shared" si="51"/>
        <v>0.11470730844981275</v>
      </c>
      <c r="EY49" s="31">
        <f t="shared" si="52"/>
        <v>4.3749507536467405E-2</v>
      </c>
      <c r="EZ49" s="31">
        <f t="shared" si="53"/>
        <v>1.1516107970880984</v>
      </c>
      <c r="FA49" s="31">
        <f t="shared" si="54"/>
        <v>1.7641619416015604</v>
      </c>
      <c r="FB49" s="31">
        <f t="shared" si="55"/>
        <v>7.2393043333686305E-2</v>
      </c>
      <c r="FC49" s="31">
        <f t="shared" si="56"/>
        <v>2.9140150932293789</v>
      </c>
      <c r="FD49" s="31">
        <f t="shared" si="57"/>
        <v>1.8365549849352465</v>
      </c>
      <c r="FE49" s="31">
        <f t="shared" si="58"/>
        <v>3.7876408534163812</v>
      </c>
      <c r="FF49" s="31">
        <f t="shared" si="59"/>
        <v>0.12609980169612361</v>
      </c>
      <c r="FG49" s="31">
        <f t="shared" si="60"/>
        <v>8.6643107332771301</v>
      </c>
      <c r="FH49" s="31"/>
      <c r="FI49" s="31">
        <f t="shared" si="61"/>
        <v>0</v>
      </c>
      <c r="FJ49" s="31">
        <f t="shared" si="62"/>
        <v>2.0971417627990707E-2</v>
      </c>
      <c r="FK49" s="31">
        <f t="shared" si="63"/>
        <v>6.4751797398350812E-4</v>
      </c>
      <c r="FL49" s="31">
        <f t="shared" si="64"/>
        <v>8.0977843421325565E-2</v>
      </c>
      <c r="FM49" s="31">
        <f t="shared" si="65"/>
        <v>-2.0861129025489343E-4</v>
      </c>
      <c r="FN49" s="31">
        <f t="shared" si="66"/>
        <v>5.5520897402642037E-3</v>
      </c>
      <c r="FO49" s="31">
        <f t="shared" si="67"/>
        <v>0.20266468830421061</v>
      </c>
      <c r="FP49" s="31">
        <f t="shared" si="68"/>
        <v>8.141675010505417E-2</v>
      </c>
      <c r="FQ49" s="31">
        <f t="shared" si="69"/>
        <v>2.0971417627990707E-2</v>
      </c>
      <c r="FR49" s="31">
        <f t="shared" si="70"/>
        <v>0.31060494577751974</v>
      </c>
      <c r="FS49" s="31">
        <f t="shared" si="71"/>
        <v>0.31060494577751963</v>
      </c>
      <c r="FT49" s="31"/>
      <c r="FU49" s="31">
        <f t="shared" si="72"/>
        <v>0</v>
      </c>
      <c r="FV49" s="31">
        <f t="shared" si="73"/>
        <v>1.4679992339593493E-2</v>
      </c>
      <c r="FW49" s="31">
        <f t="shared" si="74"/>
        <v>6.4751797398350812E-4</v>
      </c>
      <c r="FX49" s="31">
        <f t="shared" si="75"/>
        <v>8.0977843421325565E-2</v>
      </c>
      <c r="FY49" s="31">
        <f t="shared" si="76"/>
        <v>2.9039882312099203E-4</v>
      </c>
      <c r="FZ49" s="31">
        <f t="shared" si="77"/>
        <v>5.5520897402642037E-3</v>
      </c>
      <c r="GA49" s="31">
        <f t="shared" si="78"/>
        <v>0.13334904331131384</v>
      </c>
      <c r="GB49" s="31">
        <f t="shared" si="79"/>
        <v>8.1915760218430056E-2</v>
      </c>
      <c r="GC49" s="31">
        <f t="shared" si="80"/>
        <v>1.4679992339593493E-2</v>
      </c>
      <c r="GD49" s="31">
        <f t="shared" si="81"/>
        <v>0.23549688560960161</v>
      </c>
    </row>
    <row r="50" spans="1:186">
      <c r="A50" s="39" t="str">
        <f>Basicinfo!A50</f>
        <v>Steyr</v>
      </c>
      <c r="B50" s="63">
        <f>Basicinfo!B50</f>
        <v>1550</v>
      </c>
      <c r="C50" s="63">
        <f>Basicinfo!C50</f>
        <v>1560</v>
      </c>
      <c r="D50" s="227">
        <v>23.949311064300002</v>
      </c>
      <c r="E50" s="89">
        <v>1.5065033848160001</v>
      </c>
      <c r="F50" s="27">
        <v>3.9283159504744473E-3</v>
      </c>
      <c r="G50" s="19">
        <v>0.41551591040283148</v>
      </c>
      <c r="H50" s="19">
        <v>6.9956426609321026E-2</v>
      </c>
      <c r="I50" s="19">
        <v>0</v>
      </c>
      <c r="J50" s="19">
        <v>1.0165994836417054</v>
      </c>
      <c r="K50" s="19">
        <v>1.2488257655930021E-4</v>
      </c>
      <c r="L50" s="19">
        <v>1.8749843305925241E-4</v>
      </c>
      <c r="M50" s="19">
        <v>1.9086720204926867E-4</v>
      </c>
      <c r="N50" s="19">
        <v>1.5065033848160001</v>
      </c>
      <c r="O50" s="19">
        <v>0</v>
      </c>
      <c r="P50" s="56">
        <v>1.5952542858682932</v>
      </c>
      <c r="Q50" s="43">
        <v>309.02762014115649</v>
      </c>
      <c r="R50" s="88">
        <v>310.62287442702478</v>
      </c>
      <c r="S50" s="61">
        <v>0.1333553506007753</v>
      </c>
      <c r="T50" s="19">
        <v>9.0836473022586599</v>
      </c>
      <c r="U50" s="19">
        <v>1.5293026718209592</v>
      </c>
      <c r="V50" s="19">
        <v>7.4378704277591242E-3</v>
      </c>
      <c r="W50" s="19">
        <v>7.7256905035289116E-3</v>
      </c>
      <c r="X50" s="19">
        <v>0</v>
      </c>
      <c r="Y50" s="19">
        <v>17.792608292168694</v>
      </c>
      <c r="Z50" s="19">
        <v>6.3909009918110167E-3</v>
      </c>
      <c r="AA50" s="19">
        <v>7.3909375448677872E-2</v>
      </c>
      <c r="AB50" s="19">
        <v>1.6890642392173794E-2</v>
      </c>
      <c r="AC50" s="19">
        <v>28.651268096613041</v>
      </c>
      <c r="AD50" s="19">
        <v>0</v>
      </c>
      <c r="AE50" s="87">
        <v>28.651268096613041</v>
      </c>
      <c r="AF50" s="56">
        <v>4.0800801868676991E-3</v>
      </c>
      <c r="AG50" s="43">
        <v>0.14466817866307091</v>
      </c>
      <c r="AH50" s="43">
        <v>7.8211842739788224E-3</v>
      </c>
      <c r="AI50" s="43">
        <v>4.8880652437132428E-3</v>
      </c>
      <c r="AJ50" s="43">
        <v>0.1602427328108248</v>
      </c>
      <c r="AK50" s="43">
        <v>0</v>
      </c>
      <c r="AL50" s="58">
        <v>0.11399912847322292</v>
      </c>
      <c r="AM50" s="43">
        <v>1.8794653259469447E-3</v>
      </c>
      <c r="AN50" s="42">
        <v>1.3132616244110152E-2</v>
      </c>
      <c r="AO50" s="42">
        <v>2.9052999431262087E-3</v>
      </c>
      <c r="AP50" s="42">
        <v>0.45361675116486172</v>
      </c>
      <c r="AQ50" s="43">
        <v>0</v>
      </c>
      <c r="AR50" s="83">
        <v>0.45361675116486172</v>
      </c>
      <c r="AS50" s="19">
        <f t="shared" si="2"/>
        <v>5.1727321709403444</v>
      </c>
      <c r="AT50" s="19">
        <f t="shared" si="3"/>
        <v>547.14349466180329</v>
      </c>
      <c r="AU50" s="19">
        <f t="shared" si="4"/>
        <v>92.117299893446017</v>
      </c>
      <c r="AV50" s="19">
        <f t="shared" si="5"/>
        <v>0</v>
      </c>
      <c r="AW50" s="19">
        <f t="shared" si="6"/>
        <v>1338.6389792194998</v>
      </c>
      <c r="AX50" s="53">
        <f t="shared" si="82"/>
        <v>0.16444301565921482</v>
      </c>
      <c r="AY50" s="53">
        <f t="shared" si="83"/>
        <v>0.24689439162075585</v>
      </c>
      <c r="AZ50" s="53">
        <f t="shared" si="84"/>
        <v>0.25133032293351554</v>
      </c>
      <c r="BA50" s="19">
        <f t="shared" si="85"/>
        <v>1983.7351736759028</v>
      </c>
      <c r="BB50" s="19">
        <f t="shared" si="7"/>
        <v>0</v>
      </c>
      <c r="BC50" s="53">
        <f t="shared" si="8"/>
        <v>1983.7351736759028</v>
      </c>
      <c r="BD50" s="56">
        <f t="shared" si="9"/>
        <v>0.6660961067252813</v>
      </c>
      <c r="BE50" s="43">
        <f t="shared" si="10"/>
        <v>129.03403330119502</v>
      </c>
      <c r="BF50" s="58">
        <f t="shared" si="11"/>
        <v>129.70012940792031</v>
      </c>
      <c r="BG50" s="61">
        <f t="shared" si="12"/>
        <v>55.682332674513226</v>
      </c>
      <c r="BH50" s="19">
        <f t="shared" si="13"/>
        <v>3792.8637186558503</v>
      </c>
      <c r="BI50" s="19">
        <f t="shared" si="14"/>
        <v>638.55810620816214</v>
      </c>
      <c r="BJ50" s="19">
        <f t="shared" si="15"/>
        <v>3.1056719785340188</v>
      </c>
      <c r="BK50" s="19">
        <f t="shared" si="16"/>
        <v>3.2258508325298756</v>
      </c>
      <c r="BL50" s="19">
        <f t="shared" si="17"/>
        <v>0</v>
      </c>
      <c r="BM50" s="19">
        <f t="shared" si="18"/>
        <v>7429.2777125815592</v>
      </c>
      <c r="BN50" s="53">
        <f t="shared" si="19"/>
        <v>2.6685114133982761</v>
      </c>
      <c r="BO50" s="53">
        <f t="shared" si="86"/>
        <v>30.860752215478449</v>
      </c>
      <c r="BP50" s="53">
        <f t="shared" si="87"/>
        <v>7.0526631629716485</v>
      </c>
      <c r="BQ50" s="19">
        <f t="shared" si="88"/>
        <v>11963.295319722996</v>
      </c>
      <c r="BR50" s="19">
        <f t="shared" si="20"/>
        <v>0</v>
      </c>
      <c r="BS50" s="53">
        <f t="shared" si="21"/>
        <v>11963.295319722996</v>
      </c>
      <c r="BT50" s="56">
        <f t="shared" si="22"/>
        <v>1.7036315474434101</v>
      </c>
      <c r="BU50" s="43">
        <f t="shared" si="23"/>
        <v>60.405987577120868</v>
      </c>
      <c r="BV50" s="43">
        <f t="shared" si="24"/>
        <v>3.2657241174830522</v>
      </c>
      <c r="BW50" s="43">
        <f t="shared" si="25"/>
        <v>2.0410045326938984</v>
      </c>
      <c r="BX50" s="43">
        <f t="shared" si="26"/>
        <v>66.909120007919711</v>
      </c>
      <c r="BY50" s="58">
        <f t="shared" si="27"/>
        <v>0</v>
      </c>
      <c r="BZ50" s="58">
        <f t="shared" si="28"/>
        <v>47.60017027928437</v>
      </c>
      <c r="CA50" s="58">
        <f t="shared" si="29"/>
        <v>0.78476801311774114</v>
      </c>
      <c r="CB50" s="58">
        <f t="shared" si="89"/>
        <v>5.4835048109948614</v>
      </c>
      <c r="CC50" s="58">
        <f t="shared" si="90"/>
        <v>1.2131037654176988</v>
      </c>
      <c r="CD50" s="58">
        <f t="shared" si="91"/>
        <v>189.40701465147563</v>
      </c>
      <c r="CE50" s="58">
        <f t="shared" si="30"/>
        <v>0</v>
      </c>
      <c r="CF50" s="58">
        <f t="shared" si="92"/>
        <v>189.40701465147563</v>
      </c>
      <c r="CG50" s="127">
        <v>51</v>
      </c>
      <c r="CH50" s="128" t="s">
        <v>169</v>
      </c>
      <c r="CI50" s="128"/>
      <c r="CJ50" s="126">
        <f t="shared" si="93"/>
        <v>47</v>
      </c>
      <c r="CK50" s="126">
        <f t="shared" si="95"/>
        <v>48</v>
      </c>
      <c r="CN50" s="147">
        <f t="shared" si="31"/>
        <v>4.0800801868676991E-3</v>
      </c>
      <c r="CO50" s="147">
        <f t="shared" si="32"/>
        <v>0.14466817866307091</v>
      </c>
      <c r="CP50" s="147">
        <f t="shared" si="33"/>
        <v>7.8211842739788224E-3</v>
      </c>
      <c r="CQ50" s="31">
        <f>(AI50-(P50*450/1000000))*Parameters!$C$153</f>
        <v>3.3361606520580091E-3</v>
      </c>
      <c r="CR50" s="31">
        <f t="shared" si="34"/>
        <v>0</v>
      </c>
      <c r="CS50" s="31">
        <f t="shared" si="35"/>
        <v>0.11399912847322292</v>
      </c>
      <c r="CT50" s="31">
        <f>AM50*Parameters!$C$154</f>
        <v>1.6915187933522501E-3</v>
      </c>
      <c r="CU50" s="31">
        <f>AQ50*Parameters!$C$155</f>
        <v>0</v>
      </c>
      <c r="CV50" s="31">
        <f t="shared" si="36"/>
        <v>0.27559625104255064</v>
      </c>
      <c r="CW50" s="188">
        <f t="shared" si="37"/>
        <v>60.755307279732364</v>
      </c>
      <c r="CY50" s="181">
        <v>6.2333333333333334</v>
      </c>
      <c r="CZ50" s="181">
        <v>4.0678259670452181</v>
      </c>
      <c r="DA50" s="181">
        <v>84.023744083651863</v>
      </c>
      <c r="DB50" s="181">
        <v>7.7521656522207518</v>
      </c>
      <c r="DC50" s="181">
        <v>14.859945956362624</v>
      </c>
      <c r="DD50" s="181">
        <v>76.823188623142087</v>
      </c>
      <c r="DE50" s="181">
        <v>63.706044205035127</v>
      </c>
      <c r="DF50" s="181">
        <v>5.6039382308690495</v>
      </c>
      <c r="DG50" s="181">
        <v>25.707315048144441</v>
      </c>
      <c r="DH50" s="181">
        <v>69.309982435904175</v>
      </c>
      <c r="DI50" s="181">
        <v>183.45904431537733</v>
      </c>
      <c r="DJ50" s="181">
        <v>10.301159300378551</v>
      </c>
      <c r="DK50" s="181">
        <v>288.77750109980451</v>
      </c>
      <c r="DL50" s="181"/>
      <c r="DM50" s="181">
        <v>0.28333333333333338</v>
      </c>
      <c r="DN50" s="181">
        <v>0.7300393435314606</v>
      </c>
      <c r="DO50" s="181">
        <v>0.29760489797139478</v>
      </c>
      <c r="DP50" s="181">
        <v>3.4662280111650379</v>
      </c>
      <c r="DQ50" s="181">
        <v>8.8618019274513404E-3</v>
      </c>
      <c r="DR50" s="181">
        <v>3.6570230541741799E-2</v>
      </c>
      <c r="DS50" s="181">
        <v>1.2767090911719221</v>
      </c>
      <c r="DT50" s="181">
        <v>3.7726947110638838</v>
      </c>
      <c r="DU50" s="181">
        <v>1.0133726768647939</v>
      </c>
      <c r="DV50" s="181">
        <v>6.0993467096423419</v>
      </c>
      <c r="DW50" s="181">
        <v>6.0993467096423419</v>
      </c>
      <c r="DX50" s="181"/>
      <c r="DY50" s="181">
        <v>0.22666666666666671</v>
      </c>
      <c r="DZ50" s="181">
        <v>0.51102754047202237</v>
      </c>
      <c r="EA50" s="181">
        <v>0.29760489797139478</v>
      </c>
      <c r="EB50" s="181">
        <v>3.4662280111650379</v>
      </c>
      <c r="EC50" s="181">
        <v>1.386860641812826E-2</v>
      </c>
      <c r="ED50" s="181">
        <v>3.6570230541741799E-2</v>
      </c>
      <c r="EE50" s="181">
        <v>0.42205107019099053</v>
      </c>
      <c r="EF50" s="181">
        <v>3.7777015155545608</v>
      </c>
      <c r="EG50" s="181">
        <v>0.73769420713868905</v>
      </c>
      <c r="EH50" s="181">
        <v>4.974017023425982</v>
      </c>
      <c r="EJ50" s="31">
        <f t="shared" si="38"/>
        <v>1.70363154744341E-3</v>
      </c>
      <c r="EK50" s="31">
        <f t="shared" si="39"/>
        <v>6.0405987577120859E-2</v>
      </c>
      <c r="EL50" s="31">
        <f t="shared" si="40"/>
        <v>3.2657241174830522E-3</v>
      </c>
      <c r="EM50" s="31">
        <f t="shared" si="41"/>
        <v>1.3930090277340173E-3</v>
      </c>
      <c r="EN50" s="31">
        <f t="shared" si="42"/>
        <v>0</v>
      </c>
      <c r="EO50" s="31">
        <f t="shared" si="43"/>
        <v>4.7600170279284371E-2</v>
      </c>
      <c r="EP50" s="31">
        <f t="shared" si="44"/>
        <v>7.0629121180596703E-4</v>
      </c>
      <c r="EQ50" s="31">
        <f t="shared" si="45"/>
        <v>0</v>
      </c>
      <c r="ER50" s="31">
        <f t="shared" si="46"/>
        <v>0.11507481376087168</v>
      </c>
      <c r="ES50" s="31">
        <f t="shared" si="47"/>
        <v>25.368290184470965</v>
      </c>
      <c r="ET50" s="31"/>
      <c r="EU50" s="31">
        <f t="shared" si="48"/>
        <v>2.6027192667871941</v>
      </c>
      <c r="EV50" s="31">
        <f t="shared" si="49"/>
        <v>1.6985148157806156</v>
      </c>
      <c r="EW50" s="31">
        <f t="shared" si="50"/>
        <v>35.083992127398481</v>
      </c>
      <c r="EX50" s="31">
        <f t="shared" si="51"/>
        <v>3.2369054923573581</v>
      </c>
      <c r="EY50" s="31">
        <f t="shared" si="52"/>
        <v>6.2047488198996996</v>
      </c>
      <c r="EZ50" s="31">
        <f t="shared" si="53"/>
        <v>32.077410668258615</v>
      </c>
      <c r="FA50" s="31">
        <f t="shared" si="54"/>
        <v>26.600366095707209</v>
      </c>
      <c r="FB50" s="31">
        <f t="shared" si="55"/>
        <v>2.3399162572248478</v>
      </c>
      <c r="FC50" s="31">
        <f t="shared" si="56"/>
        <v>10.734052006391535</v>
      </c>
      <c r="FD50" s="31">
        <f t="shared" si="57"/>
        <v>28.940282352932055</v>
      </c>
      <c r="FE50" s="31">
        <f t="shared" si="58"/>
        <v>76.603057107914154</v>
      </c>
      <c r="FF50" s="31">
        <f t="shared" si="59"/>
        <v>4.3012340825678095</v>
      </c>
      <c r="FG50" s="31">
        <f t="shared" si="60"/>
        <v>120.57862554980557</v>
      </c>
      <c r="FH50" s="31"/>
      <c r="FI50" s="31">
        <f t="shared" si="61"/>
        <v>0.11830542121759974</v>
      </c>
      <c r="FJ50" s="31">
        <f t="shared" si="62"/>
        <v>0.3048268660302686</v>
      </c>
      <c r="FK50" s="31">
        <f t="shared" si="63"/>
        <v>0.12426449227385877</v>
      </c>
      <c r="FL50" s="31">
        <f t="shared" si="64"/>
        <v>1.4473184643427865</v>
      </c>
      <c r="FM50" s="31">
        <f t="shared" si="65"/>
        <v>3.7002325050849456E-3</v>
      </c>
      <c r="FN50" s="31">
        <f t="shared" si="66"/>
        <v>1.5269846570348801E-2</v>
      </c>
      <c r="FO50" s="31">
        <f t="shared" si="67"/>
        <v>0.53308802401211719</v>
      </c>
      <c r="FP50" s="31">
        <f t="shared" si="68"/>
        <v>1.5752831891217298</v>
      </c>
      <c r="FQ50" s="31">
        <f t="shared" si="69"/>
        <v>0.42313228724786833</v>
      </c>
      <c r="FR50" s="31">
        <f t="shared" si="70"/>
        <v>2.5467733469520639</v>
      </c>
      <c r="FS50" s="31">
        <f t="shared" si="71"/>
        <v>2.5467733469520639</v>
      </c>
      <c r="FT50" s="31"/>
      <c r="FU50" s="31">
        <f t="shared" si="72"/>
        <v>9.4644336974079799E-2</v>
      </c>
      <c r="FV50" s="31">
        <f t="shared" si="73"/>
        <v>0.21337880622118799</v>
      </c>
      <c r="FW50" s="31">
        <f t="shared" si="74"/>
        <v>0.12426449227385877</v>
      </c>
      <c r="FX50" s="31">
        <f t="shared" si="75"/>
        <v>1.4473184643427865</v>
      </c>
      <c r="FY50" s="31">
        <f t="shared" si="76"/>
        <v>5.7908164376391912E-3</v>
      </c>
      <c r="FZ50" s="31">
        <f t="shared" si="77"/>
        <v>1.5269846570348801E-2</v>
      </c>
      <c r="GA50" s="31">
        <f t="shared" si="78"/>
        <v>0.17622681047394312</v>
      </c>
      <c r="GB50" s="31">
        <f t="shared" si="79"/>
        <v>1.5773737730542843</v>
      </c>
      <c r="GC50" s="31">
        <f t="shared" si="80"/>
        <v>0.30802314319526775</v>
      </c>
      <c r="GD50" s="31">
        <f t="shared" si="81"/>
        <v>2.0768935732938436</v>
      </c>
    </row>
    <row r="51" spans="1:186">
      <c r="A51" s="39" t="str">
        <f>Basicinfo!A51</f>
        <v>Steyr</v>
      </c>
      <c r="B51" s="63">
        <f>Basicinfo!B51</f>
        <v>1560</v>
      </c>
      <c r="C51" s="63">
        <f>Basicinfo!C51</f>
        <v>4080</v>
      </c>
      <c r="D51" s="227">
        <v>914.96272798230007</v>
      </c>
      <c r="E51" s="89">
        <v>36.397865284254081</v>
      </c>
      <c r="F51" s="27">
        <v>0.23827227888228847</v>
      </c>
      <c r="G51" s="19">
        <v>8.9802913336901877</v>
      </c>
      <c r="H51" s="19">
        <v>0.50330766334259847</v>
      </c>
      <c r="I51" s="19">
        <v>9.2898901918683247E-2</v>
      </c>
      <c r="J51" s="19">
        <v>26.41909358429043</v>
      </c>
      <c r="K51" s="19">
        <v>2.6984814743488319E-2</v>
      </c>
      <c r="L51" s="19">
        <v>3.7020087103377591E-2</v>
      </c>
      <c r="M51" s="19">
        <v>3.698523176409136E-2</v>
      </c>
      <c r="N51" s="19">
        <v>36.334853895735137</v>
      </c>
      <c r="O51" s="19">
        <v>6.3011388518941308E-2</v>
      </c>
      <c r="P51" s="56">
        <v>834.54651900236991</v>
      </c>
      <c r="Q51" s="43">
        <v>9622.7421387633058</v>
      </c>
      <c r="R51" s="88">
        <v>10457.288657765677</v>
      </c>
      <c r="S51" s="61">
        <v>11.171693881342385</v>
      </c>
      <c r="T51" s="19">
        <v>236.58174733339396</v>
      </c>
      <c r="U51" s="19">
        <v>13.202958787094131</v>
      </c>
      <c r="V51" s="19">
        <v>9.9322879407241675</v>
      </c>
      <c r="W51" s="19">
        <v>0.24056855346908271</v>
      </c>
      <c r="X51" s="19">
        <v>22.508026888003055</v>
      </c>
      <c r="Y51" s="19">
        <v>852.13924778601734</v>
      </c>
      <c r="Z51" s="19">
        <v>1.4311085930829643</v>
      </c>
      <c r="AA51" s="19">
        <v>14.525992045983623</v>
      </c>
      <c r="AB51" s="19">
        <v>3.3186145781944822</v>
      </c>
      <c r="AC51" s="19">
        <v>1165.0522463873053</v>
      </c>
      <c r="AD51" s="19">
        <v>8.2091416666666674</v>
      </c>
      <c r="AE51" s="87">
        <v>1173.2613880539718</v>
      </c>
      <c r="AF51" s="56">
        <v>0.28684827032667076</v>
      </c>
      <c r="AG51" s="43">
        <v>5.0227579308849224</v>
      </c>
      <c r="AH51" s="43">
        <v>0.10451306434313443</v>
      </c>
      <c r="AI51" s="43">
        <v>3.3121004706508321</v>
      </c>
      <c r="AJ51" s="43">
        <v>4.5300131990223731</v>
      </c>
      <c r="AK51" s="43">
        <v>0.93438745173350779</v>
      </c>
      <c r="AL51" s="58">
        <v>4.7735032247439229</v>
      </c>
      <c r="AM51" s="43">
        <v>0.3911132126834711</v>
      </c>
      <c r="AN51" s="42">
        <v>2.5554549033772944</v>
      </c>
      <c r="AO51" s="42">
        <v>0.54575869621789264</v>
      </c>
      <c r="AP51" s="42">
        <v>22.45645042398402</v>
      </c>
      <c r="AQ51" s="43">
        <v>1.3103548333333332</v>
      </c>
      <c r="AR51" s="83">
        <v>23.766805257317355</v>
      </c>
      <c r="AS51" s="19">
        <f t="shared" si="2"/>
        <v>8.2125253379471115</v>
      </c>
      <c r="AT51" s="19">
        <f t="shared" si="3"/>
        <v>309.52350171004156</v>
      </c>
      <c r="AU51" s="19">
        <f t="shared" si="4"/>
        <v>17.347494040740024</v>
      </c>
      <c r="AV51" s="19">
        <f t="shared" si="5"/>
        <v>3.2019443867054105</v>
      </c>
      <c r="AW51" s="19">
        <f t="shared" si="6"/>
        <v>910.5863111074184</v>
      </c>
      <c r="AX51" s="53">
        <f t="shared" si="82"/>
        <v>0.93008500972195884</v>
      </c>
      <c r="AY51" s="53">
        <f t="shared" si="83"/>
        <v>1.2759705190031527</v>
      </c>
      <c r="AZ51" s="53">
        <f t="shared" si="84"/>
        <v>1.2747691607990268</v>
      </c>
      <c r="BA51" s="19">
        <f t="shared" si="85"/>
        <v>1252.3526012723764</v>
      </c>
      <c r="BB51" s="19">
        <f t="shared" si="7"/>
        <v>2.1718121269435731</v>
      </c>
      <c r="BC51" s="53">
        <f t="shared" si="8"/>
        <v>1254.5244133993201</v>
      </c>
      <c r="BD51" s="56">
        <f t="shared" si="9"/>
        <v>9.1210985265239586</v>
      </c>
      <c r="BE51" s="43">
        <f t="shared" si="10"/>
        <v>105.17086482838083</v>
      </c>
      <c r="BF51" s="58">
        <f t="shared" si="11"/>
        <v>114.29196335490479</v>
      </c>
      <c r="BG51" s="61">
        <f t="shared" si="12"/>
        <v>122.09998877198527</v>
      </c>
      <c r="BH51" s="19">
        <f t="shared" si="13"/>
        <v>2585.6981940139822</v>
      </c>
      <c r="BI51" s="19">
        <f t="shared" si="14"/>
        <v>144.30050955419401</v>
      </c>
      <c r="BJ51" s="19">
        <f t="shared" si="15"/>
        <v>108.55401686828391</v>
      </c>
      <c r="BK51" s="19">
        <f t="shared" si="16"/>
        <v>2.6292716207095213</v>
      </c>
      <c r="BL51" s="19">
        <f t="shared" si="17"/>
        <v>245.99938554478987</v>
      </c>
      <c r="BM51" s="19">
        <f t="shared" si="18"/>
        <v>9313.3766187960155</v>
      </c>
      <c r="BN51" s="53">
        <f t="shared" si="19"/>
        <v>15.641168206259971</v>
      </c>
      <c r="BO51" s="53">
        <f t="shared" si="86"/>
        <v>158.76047845158371</v>
      </c>
      <c r="BP51" s="53">
        <f t="shared" si="87"/>
        <v>36.270489241816207</v>
      </c>
      <c r="BQ51" s="19">
        <f t="shared" si="88"/>
        <v>12733.330121069623</v>
      </c>
      <c r="BR51" s="19">
        <f t="shared" si="20"/>
        <v>89.721050001344679</v>
      </c>
      <c r="BS51" s="53">
        <f t="shared" si="21"/>
        <v>12823.051171070967</v>
      </c>
      <c r="BT51" s="56">
        <f t="shared" si="22"/>
        <v>3.1350814798678863</v>
      </c>
      <c r="BU51" s="43">
        <f t="shared" si="23"/>
        <v>54.895765447858629</v>
      </c>
      <c r="BV51" s="43">
        <f t="shared" si="24"/>
        <v>1.1422658120031774</v>
      </c>
      <c r="BW51" s="43">
        <f t="shared" si="25"/>
        <v>36.199293909542774</v>
      </c>
      <c r="BX51" s="43">
        <f t="shared" si="26"/>
        <v>49.510357749895206</v>
      </c>
      <c r="BY51" s="58">
        <f t="shared" si="27"/>
        <v>10.212300710806479</v>
      </c>
      <c r="BZ51" s="58">
        <f t="shared" si="28"/>
        <v>52.171559329750814</v>
      </c>
      <c r="CA51" s="58">
        <f t="shared" si="29"/>
        <v>4.2746354657086876</v>
      </c>
      <c r="CB51" s="58">
        <f t="shared" si="89"/>
        <v>27.929606586408724</v>
      </c>
      <c r="CC51" s="58">
        <f t="shared" si="90"/>
        <v>5.9648188885400186</v>
      </c>
      <c r="CD51" s="58">
        <f t="shared" si="91"/>
        <v>245.43568538038241</v>
      </c>
      <c r="CE51" s="58">
        <f t="shared" si="30"/>
        <v>14.321401224976258</v>
      </c>
      <c r="CF51" s="58">
        <f t="shared" si="92"/>
        <v>259.75708660535867</v>
      </c>
      <c r="CG51" s="127">
        <v>63</v>
      </c>
      <c r="CH51" s="128" t="s">
        <v>169</v>
      </c>
      <c r="CI51" s="128"/>
      <c r="CJ51" s="126">
        <f t="shared" si="93"/>
        <v>48</v>
      </c>
      <c r="CK51" s="126">
        <f t="shared" si="95"/>
        <v>60</v>
      </c>
      <c r="CN51" s="147">
        <f t="shared" si="31"/>
        <v>0.28684827032667076</v>
      </c>
      <c r="CO51" s="147">
        <f t="shared" si="32"/>
        <v>5.0227579308849224</v>
      </c>
      <c r="CP51" s="147">
        <f t="shared" si="33"/>
        <v>0.10451306434313443</v>
      </c>
      <c r="CQ51" s="31">
        <f>(AI51-(P51*450/1000000))*Parameters!$C$153</f>
        <v>2.3492436296798127</v>
      </c>
      <c r="CR51" s="31">
        <f t="shared" si="34"/>
        <v>0.93438745173350779</v>
      </c>
      <c r="CS51" s="31">
        <f t="shared" si="35"/>
        <v>4.7735032247439229</v>
      </c>
      <c r="CT51" s="31">
        <f>AM51*Parameters!$C$154</f>
        <v>0.352001891415124</v>
      </c>
      <c r="CU51" s="31">
        <f>AQ51*Parameters!$C$155</f>
        <v>1.3103548333333332</v>
      </c>
      <c r="CV51" s="31">
        <f t="shared" si="36"/>
        <v>15.133610296460429</v>
      </c>
      <c r="CW51" s="188">
        <f t="shared" si="37"/>
        <v>63.675408337858421</v>
      </c>
      <c r="CY51" s="181">
        <v>6.2</v>
      </c>
      <c r="CZ51" s="181">
        <v>2.2807212169499929</v>
      </c>
      <c r="DA51" s="181">
        <v>21.71217877261083</v>
      </c>
      <c r="DB51" s="181">
        <v>1.6334989177887931</v>
      </c>
      <c r="DC51" s="181">
        <v>12.060012277233318</v>
      </c>
      <c r="DD51" s="181">
        <v>21.718714954272798</v>
      </c>
      <c r="DE51" s="181">
        <v>17.84008227098667</v>
      </c>
      <c r="DF51" s="181">
        <v>1.294519850404519</v>
      </c>
      <c r="DG51" s="181">
        <v>18.461338062757996</v>
      </c>
      <c r="DH51" s="181">
        <v>19.13460212139119</v>
      </c>
      <c r="DI51" s="181">
        <v>57.124404921905736</v>
      </c>
      <c r="DJ51" s="181">
        <v>8.480721216949993</v>
      </c>
      <c r="DK51" s="181">
        <v>103.20106632300491</v>
      </c>
      <c r="DL51" s="181"/>
      <c r="DM51" s="181">
        <v>0.55000000000000004</v>
      </c>
      <c r="DN51" s="181">
        <v>0.42683804692029648</v>
      </c>
      <c r="DO51" s="181">
        <v>0.17534495958959295</v>
      </c>
      <c r="DP51" s="181">
        <v>0.40893001646887756</v>
      </c>
      <c r="DQ51" s="181">
        <v>8.4235143446929062E-3</v>
      </c>
      <c r="DR51" s="181">
        <v>3.4041850922514751E-2</v>
      </c>
      <c r="DS51" s="181">
        <v>0.8585820268955271</v>
      </c>
      <c r="DT51" s="181">
        <v>0.59269849040316336</v>
      </c>
      <c r="DU51" s="181">
        <v>0.97683804692029652</v>
      </c>
      <c r="DV51" s="181">
        <v>2.4621604151415015</v>
      </c>
      <c r="DW51" s="181">
        <v>2.4621604151415015</v>
      </c>
      <c r="DX51" s="181"/>
      <c r="DY51" s="181">
        <v>0.44000000000000006</v>
      </c>
      <c r="DZ51" s="181">
        <v>0.29878663284420753</v>
      </c>
      <c r="EA51" s="181">
        <v>0.17534495958959295</v>
      </c>
      <c r="EB51" s="181">
        <v>0.40893001646887756</v>
      </c>
      <c r="EC51" s="181">
        <v>1.1230379004511903E-2</v>
      </c>
      <c r="ED51" s="181">
        <v>3.4041850922514751E-2</v>
      </c>
      <c r="EE51" s="181">
        <v>0.41670159569142751</v>
      </c>
      <c r="EF51" s="181">
        <v>0.5955053550629823</v>
      </c>
      <c r="EG51" s="181">
        <v>0.73878663284420765</v>
      </c>
      <c r="EH51" s="181">
        <v>1.7850354345211323</v>
      </c>
      <c r="EJ51" s="31">
        <f t="shared" si="38"/>
        <v>3.1350814798678859E-3</v>
      </c>
      <c r="EK51" s="31">
        <f t="shared" si="39"/>
        <v>5.4895765447858631E-2</v>
      </c>
      <c r="EL51" s="31">
        <f t="shared" si="40"/>
        <v>1.1422658120031773E-3</v>
      </c>
      <c r="EM51" s="31">
        <f t="shared" si="41"/>
        <v>2.5675839658085599E-2</v>
      </c>
      <c r="EN51" s="31">
        <f t="shared" si="42"/>
        <v>1.0212300710806478E-2</v>
      </c>
      <c r="EO51" s="31">
        <f t="shared" si="43"/>
        <v>5.2171559329750823E-2</v>
      </c>
      <c r="EP51" s="31">
        <f t="shared" si="44"/>
        <v>3.8471719191378196E-3</v>
      </c>
      <c r="EQ51" s="31">
        <f t="shared" si="45"/>
        <v>1.4321401224976261E-2</v>
      </c>
      <c r="ER51" s="31">
        <f t="shared" si="46"/>
        <v>0.16540138558248668</v>
      </c>
      <c r="ES51" s="31">
        <f t="shared" si="47"/>
        <v>0.69593445055709668</v>
      </c>
      <c r="ET51" s="31"/>
      <c r="EU51" s="31">
        <f t="shared" si="48"/>
        <v>6.7762323102192407E-2</v>
      </c>
      <c r="EV51" s="31">
        <f t="shared" si="49"/>
        <v>2.4926930324030788E-2</v>
      </c>
      <c r="EW51" s="31">
        <f t="shared" si="50"/>
        <v>0.23730123761971267</v>
      </c>
      <c r="EX51" s="31">
        <f t="shared" si="51"/>
        <v>1.7853174428110616E-2</v>
      </c>
      <c r="EY51" s="31">
        <f t="shared" si="52"/>
        <v>0.13180878202359536</v>
      </c>
      <c r="EZ51" s="31">
        <f t="shared" si="53"/>
        <v>0.23737267420900829</v>
      </c>
      <c r="FA51" s="31">
        <f t="shared" si="54"/>
        <v>0.19498151919617634</v>
      </c>
      <c r="FB51" s="31">
        <f t="shared" si="55"/>
        <v>1.4148334252469806E-2</v>
      </c>
      <c r="FC51" s="31">
        <f t="shared" si="56"/>
        <v>0.20177147656571129</v>
      </c>
      <c r="FD51" s="31">
        <f t="shared" si="57"/>
        <v>0.20912985344864615</v>
      </c>
      <c r="FE51" s="31">
        <f t="shared" si="58"/>
        <v>0.62433586828042698</v>
      </c>
      <c r="FF51" s="31">
        <f t="shared" si="59"/>
        <v>9.2689253426223209E-2</v>
      </c>
      <c r="FG51" s="31">
        <f t="shared" si="60"/>
        <v>1.1279264517210075</v>
      </c>
      <c r="FH51" s="31"/>
      <c r="FI51" s="31">
        <f t="shared" si="61"/>
        <v>6.0111738235815856E-3</v>
      </c>
      <c r="FJ51" s="31">
        <f t="shared" si="62"/>
        <v>4.6650867173744989E-3</v>
      </c>
      <c r="FK51" s="31">
        <f t="shared" si="63"/>
        <v>1.9164164203307851E-3</v>
      </c>
      <c r="FL51" s="31">
        <f t="shared" si="64"/>
        <v>4.4693625648627331E-3</v>
      </c>
      <c r="FM51" s="31">
        <f t="shared" si="65"/>
        <v>9.2064016238876337E-5</v>
      </c>
      <c r="FN51" s="31">
        <f t="shared" si="66"/>
        <v>3.7205724213034054E-4</v>
      </c>
      <c r="FO51" s="31">
        <f t="shared" si="67"/>
        <v>9.383792373585477E-3</v>
      </c>
      <c r="FP51" s="31">
        <f t="shared" si="68"/>
        <v>6.4778430014323938E-3</v>
      </c>
      <c r="FQ51" s="31">
        <f t="shared" si="69"/>
        <v>1.0676260540956084E-2</v>
      </c>
      <c r="FR51" s="31">
        <f t="shared" si="70"/>
        <v>2.6909953158104294E-2</v>
      </c>
      <c r="FS51" s="31">
        <f t="shared" si="71"/>
        <v>2.6909953158104294E-2</v>
      </c>
      <c r="FT51" s="31"/>
      <c r="FU51" s="31">
        <f t="shared" si="72"/>
        <v>4.8089390588652685E-3</v>
      </c>
      <c r="FV51" s="31">
        <f t="shared" si="73"/>
        <v>3.265560702162149E-3</v>
      </c>
      <c r="FW51" s="31">
        <f t="shared" si="74"/>
        <v>1.9164164203307851E-3</v>
      </c>
      <c r="FX51" s="31">
        <f t="shared" si="75"/>
        <v>4.4693625648627331E-3</v>
      </c>
      <c r="FY51" s="31">
        <f t="shared" si="76"/>
        <v>1.227413823651312E-4</v>
      </c>
      <c r="FZ51" s="31">
        <f t="shared" si="77"/>
        <v>3.7205724213034054E-4</v>
      </c>
      <c r="GA51" s="31">
        <f t="shared" si="78"/>
        <v>4.5543013168454285E-3</v>
      </c>
      <c r="GB51" s="31">
        <f t="shared" si="79"/>
        <v>6.5085203675586479E-3</v>
      </c>
      <c r="GC51" s="31">
        <f t="shared" si="80"/>
        <v>8.0744997610274188E-3</v>
      </c>
      <c r="GD51" s="31">
        <f t="shared" si="81"/>
        <v>1.9509378687561838E-2</v>
      </c>
    </row>
    <row r="52" spans="1:186">
      <c r="A52" s="39" t="str">
        <f>Basicinfo!A52</f>
        <v>Feldaist</v>
      </c>
      <c r="B52" s="63">
        <f>Basicinfo!B52</f>
        <v>1570</v>
      </c>
      <c r="C52" s="63">
        <f>Basicinfo!C52</f>
        <v>1580</v>
      </c>
      <c r="D52" s="227">
        <v>65.083340208799996</v>
      </c>
      <c r="E52" s="89">
        <v>0.66651881797970691</v>
      </c>
      <c r="F52" s="27">
        <v>1.8792835703986509E-3</v>
      </c>
      <c r="G52" s="19">
        <v>0.11282084264846876</v>
      </c>
      <c r="H52" s="19">
        <v>0</v>
      </c>
      <c r="I52" s="19">
        <v>3.0757634007438233E-2</v>
      </c>
      <c r="J52" s="19">
        <v>0.51097898345432002</v>
      </c>
      <c r="K52" s="19">
        <v>2.8485442089021479E-3</v>
      </c>
      <c r="L52" s="19">
        <v>2.0114734004689234E-3</v>
      </c>
      <c r="M52" s="19">
        <v>4.7331678008213458E-3</v>
      </c>
      <c r="N52" s="19">
        <v>0.66602992909081804</v>
      </c>
      <c r="O52" s="19">
        <v>4.8888888888888897E-4</v>
      </c>
      <c r="P52" s="56">
        <v>73.261529075867259</v>
      </c>
      <c r="Q52" s="43">
        <v>275.4294634872013</v>
      </c>
      <c r="R52" s="88">
        <v>348.69099256306856</v>
      </c>
      <c r="S52" s="61">
        <v>0.40887592366330228</v>
      </c>
      <c r="T52" s="19">
        <v>5.9086502371902823</v>
      </c>
      <c r="U52" s="19">
        <v>0</v>
      </c>
      <c r="V52" s="19">
        <v>0.72577318257028012</v>
      </c>
      <c r="W52" s="19">
        <v>6.8857365871800328E-3</v>
      </c>
      <c r="X52" s="19">
        <v>14.968005274296553</v>
      </c>
      <c r="Y52" s="19">
        <v>39.868148697149742</v>
      </c>
      <c r="Z52" s="19">
        <v>0.25444398554044551</v>
      </c>
      <c r="AA52" s="19">
        <v>0.46863830821261143</v>
      </c>
      <c r="AB52" s="19">
        <v>1.0731371980398301</v>
      </c>
      <c r="AC52" s="19">
        <v>63.682558543250231</v>
      </c>
      <c r="AD52" s="19">
        <v>0.13567488000000003</v>
      </c>
      <c r="AE52" s="87">
        <v>63.818233423250234</v>
      </c>
      <c r="AF52" s="56">
        <v>1.0579523521618277E-2</v>
      </c>
      <c r="AG52" s="43">
        <v>0.10980772064000728</v>
      </c>
      <c r="AH52" s="43">
        <v>0</v>
      </c>
      <c r="AI52" s="43">
        <v>0.26817380295073623</v>
      </c>
      <c r="AJ52" s="43">
        <v>0.12394325856924059</v>
      </c>
      <c r="AK52" s="43">
        <v>0.19399454921171444</v>
      </c>
      <c r="AL52" s="58">
        <v>0.74125472822191019</v>
      </c>
      <c r="AM52" s="43">
        <v>6.9769881744088547E-2</v>
      </c>
      <c r="AN52" s="42">
        <v>9.5252336247550778E-2</v>
      </c>
      <c r="AO52" s="42">
        <v>0.16659765346812341</v>
      </c>
      <c r="AP52" s="42">
        <v>1.7793734545749897</v>
      </c>
      <c r="AQ52" s="43">
        <v>1.73448E-2</v>
      </c>
      <c r="AR52" s="83">
        <v>1.7967182545749898</v>
      </c>
      <c r="AS52" s="19">
        <f t="shared" si="2"/>
        <v>0.9106030281475711</v>
      </c>
      <c r="AT52" s="19">
        <f t="shared" si="3"/>
        <v>54.667109622026445</v>
      </c>
      <c r="AU52" s="19">
        <f t="shared" si="4"/>
        <v>0</v>
      </c>
      <c r="AV52" s="19">
        <f t="shared" si="5"/>
        <v>14.903548941199254</v>
      </c>
      <c r="AW52" s="19">
        <f t="shared" si="6"/>
        <v>247.5938261699207</v>
      </c>
      <c r="AX52" s="53">
        <f t="shared" si="82"/>
        <v>1.3802562972911445</v>
      </c>
      <c r="AY52" s="53">
        <f t="shared" si="83"/>
        <v>0.97465534119299868</v>
      </c>
      <c r="AZ52" s="53">
        <f t="shared" si="84"/>
        <v>2.2934468219951571</v>
      </c>
      <c r="BA52" s="19">
        <f t="shared" si="85"/>
        <v>322.72344622177326</v>
      </c>
      <c r="BB52" s="19">
        <f t="shared" si="7"/>
        <v>0.23689011581976815</v>
      </c>
      <c r="BC52" s="53">
        <f t="shared" si="8"/>
        <v>322.96033633759305</v>
      </c>
      <c r="BD52" s="56">
        <f t="shared" si="9"/>
        <v>11.256571780248224</v>
      </c>
      <c r="BE52" s="43">
        <f t="shared" si="10"/>
        <v>42.319503363467526</v>
      </c>
      <c r="BF52" s="58">
        <f t="shared" si="11"/>
        <v>53.576075143715748</v>
      </c>
      <c r="BG52" s="61">
        <f t="shared" si="12"/>
        <v>62.823438740474728</v>
      </c>
      <c r="BH52" s="19">
        <f t="shared" si="13"/>
        <v>907.85909546654864</v>
      </c>
      <c r="BI52" s="19">
        <f t="shared" si="14"/>
        <v>0</v>
      </c>
      <c r="BJ52" s="19">
        <f t="shared" si="15"/>
        <v>111.51443368485064</v>
      </c>
      <c r="BK52" s="19">
        <f t="shared" si="16"/>
        <v>1.0579875840866881</v>
      </c>
      <c r="BL52" s="19">
        <f t="shared" si="17"/>
        <v>2299.8213100735584</v>
      </c>
      <c r="BM52" s="19">
        <f t="shared" si="18"/>
        <v>6125.707219273776</v>
      </c>
      <c r="BN52" s="53">
        <f t="shared" si="19"/>
        <v>39.095102483083963</v>
      </c>
      <c r="BO52" s="53">
        <f t="shared" si="86"/>
        <v>72.005878418214053</v>
      </c>
      <c r="BP52" s="53">
        <f t="shared" si="87"/>
        <v>164.88661992408464</v>
      </c>
      <c r="BQ52" s="19">
        <f t="shared" si="88"/>
        <v>9784.7710856486792</v>
      </c>
      <c r="BR52" s="19">
        <f t="shared" si="20"/>
        <v>20.846330192139593</v>
      </c>
      <c r="BS52" s="53">
        <f t="shared" si="21"/>
        <v>9805.6174158408194</v>
      </c>
      <c r="BT52" s="56">
        <f t="shared" si="22"/>
        <v>1.6255348123924047</v>
      </c>
      <c r="BU52" s="43">
        <f t="shared" si="23"/>
        <v>16.871863104708943</v>
      </c>
      <c r="BV52" s="43">
        <f t="shared" si="24"/>
        <v>0</v>
      </c>
      <c r="BW52" s="43">
        <f t="shared" si="25"/>
        <v>41.204677278452913</v>
      </c>
      <c r="BX52" s="43">
        <f t="shared" si="26"/>
        <v>19.043776513560388</v>
      </c>
      <c r="BY52" s="58">
        <f t="shared" si="27"/>
        <v>29.807097882398512</v>
      </c>
      <c r="BZ52" s="58">
        <f t="shared" si="28"/>
        <v>113.89316003816354</v>
      </c>
      <c r="CA52" s="58">
        <f t="shared" si="29"/>
        <v>10.720083130376102</v>
      </c>
      <c r="CB52" s="58">
        <f t="shared" si="89"/>
        <v>14.635440643022127</v>
      </c>
      <c r="CC52" s="58">
        <f t="shared" si="90"/>
        <v>25.597588097606202</v>
      </c>
      <c r="CD52" s="58">
        <f t="shared" si="91"/>
        <v>273.39922150068111</v>
      </c>
      <c r="CE52" s="58">
        <f t="shared" si="30"/>
        <v>2.6650138029723904</v>
      </c>
      <c r="CF52" s="58">
        <f t="shared" si="92"/>
        <v>276.0642353036535</v>
      </c>
      <c r="CG52" s="127">
        <v>53</v>
      </c>
      <c r="CH52" s="128" t="s">
        <v>169</v>
      </c>
      <c r="CI52" s="128"/>
      <c r="CJ52" s="126">
        <f t="shared" si="93"/>
        <v>49</v>
      </c>
      <c r="CK52" s="126">
        <f t="shared" si="95"/>
        <v>50</v>
      </c>
      <c r="CN52" s="147">
        <f t="shared" si="31"/>
        <v>1.0579523521618277E-2</v>
      </c>
      <c r="CO52" s="147">
        <f t="shared" si="32"/>
        <v>0.10980772064000728</v>
      </c>
      <c r="CP52" s="147">
        <f t="shared" si="33"/>
        <v>0</v>
      </c>
      <c r="CQ52" s="31">
        <f>(AI52-(P52*450/1000000))*Parameters!$C$153</f>
        <v>0.18816489189327679</v>
      </c>
      <c r="CR52" s="31">
        <f t="shared" si="34"/>
        <v>0.19399454921171444</v>
      </c>
      <c r="CS52" s="31">
        <f t="shared" si="35"/>
        <v>0.74125472822191019</v>
      </c>
      <c r="CT52" s="31">
        <f>AM52*Parameters!$C$154</f>
        <v>6.2792893569679695E-2</v>
      </c>
      <c r="CU52" s="31">
        <f>AQ52*Parameters!$C$155</f>
        <v>1.73448E-2</v>
      </c>
      <c r="CV52" s="31">
        <f t="shared" si="36"/>
        <v>1.3239391070582067</v>
      </c>
      <c r="CW52" s="188">
        <f t="shared" si="37"/>
        <v>73.686517275986702</v>
      </c>
      <c r="CY52" s="181">
        <v>0</v>
      </c>
      <c r="CZ52" s="181">
        <v>1.172850717919641</v>
      </c>
      <c r="DA52" s="181">
        <v>26.445556630005228</v>
      </c>
      <c r="DB52" s="181">
        <v>1.7317968097709318</v>
      </c>
      <c r="DC52" s="181">
        <v>4.9570018662968902</v>
      </c>
      <c r="DD52" s="181">
        <v>12.59308208975396</v>
      </c>
      <c r="DE52" s="181">
        <v>20.459226338997297</v>
      </c>
      <c r="DF52" s="181">
        <v>1.2685133197359015</v>
      </c>
      <c r="DG52" s="181">
        <v>21.729828361289545</v>
      </c>
      <c r="DH52" s="181">
        <v>21.727739658733199</v>
      </c>
      <c r="DI52" s="181">
        <v>45.72743739582701</v>
      </c>
      <c r="DJ52" s="181">
        <v>1.172850717919641</v>
      </c>
      <c r="DK52" s="181">
        <v>90.357856133769403</v>
      </c>
      <c r="DL52" s="181"/>
      <c r="DM52" s="181">
        <v>0</v>
      </c>
      <c r="DN52" s="181">
        <v>0.22590625017543242</v>
      </c>
      <c r="DO52" s="181">
        <v>0.10519009887673179</v>
      </c>
      <c r="DP52" s="181">
        <v>0.88596222778925793</v>
      </c>
      <c r="DQ52" s="181">
        <v>1.5643861051279906E-3</v>
      </c>
      <c r="DR52" s="181">
        <v>3.474445317375572E-2</v>
      </c>
      <c r="DS52" s="181">
        <v>1.4754954919421153</v>
      </c>
      <c r="DT52" s="181">
        <v>0.99271671277111806</v>
      </c>
      <c r="DU52" s="181">
        <v>0.22590625017543242</v>
      </c>
      <c r="DV52" s="181">
        <v>2.7288629080624212</v>
      </c>
      <c r="DW52" s="181">
        <v>2.7288629080624216</v>
      </c>
      <c r="DX52" s="181"/>
      <c r="DY52" s="181">
        <v>0</v>
      </c>
      <c r="DZ52" s="181">
        <v>0.15813437512280268</v>
      </c>
      <c r="EA52" s="181">
        <v>0.10519009887673179</v>
      </c>
      <c r="EB52" s="181">
        <v>0.88596222778925793</v>
      </c>
      <c r="EC52" s="181">
        <v>4.4600657639551899E-3</v>
      </c>
      <c r="ED52" s="181">
        <v>3.474445317375572E-2</v>
      </c>
      <c r="EE52" s="181">
        <v>0.96480194945740416</v>
      </c>
      <c r="EF52" s="181">
        <v>0.99561239242994493</v>
      </c>
      <c r="EG52" s="181">
        <v>0.15813437512280268</v>
      </c>
      <c r="EH52" s="181">
        <v>2.1532931701839075</v>
      </c>
      <c r="EJ52" s="31">
        <f t="shared" si="38"/>
        <v>1.625534812392405E-3</v>
      </c>
      <c r="EK52" s="31">
        <f t="shared" si="39"/>
        <v>1.6871863104708944E-2</v>
      </c>
      <c r="EL52" s="31">
        <f t="shared" si="40"/>
        <v>0</v>
      </c>
      <c r="EM52" s="31">
        <f t="shared" si="41"/>
        <v>2.8911375981872975E-2</v>
      </c>
      <c r="EN52" s="31">
        <f t="shared" si="42"/>
        <v>2.9807097882398513E-2</v>
      </c>
      <c r="EO52" s="31">
        <f t="shared" si="43"/>
        <v>0.11389316003816355</v>
      </c>
      <c r="EP52" s="31">
        <f t="shared" si="44"/>
        <v>9.6480748173384916E-3</v>
      </c>
      <c r="EQ52" s="31">
        <f t="shared" si="45"/>
        <v>2.6650138029723912E-3</v>
      </c>
      <c r="ER52" s="31">
        <f t="shared" si="46"/>
        <v>0.20342212043984728</v>
      </c>
      <c r="ES52" s="31">
        <f t="shared" si="47"/>
        <v>11.32187085659495</v>
      </c>
      <c r="ET52" s="31"/>
      <c r="EU52" s="31">
        <f t="shared" si="48"/>
        <v>0</v>
      </c>
      <c r="EV52" s="31">
        <f t="shared" si="49"/>
        <v>0.1802075176468983</v>
      </c>
      <c r="EW52" s="31">
        <f t="shared" si="50"/>
        <v>4.0633373371991581</v>
      </c>
      <c r="EX52" s="31">
        <f t="shared" si="51"/>
        <v>0.2660891103952242</v>
      </c>
      <c r="EY52" s="31">
        <f t="shared" si="52"/>
        <v>0.76163913075049094</v>
      </c>
      <c r="EZ52" s="31">
        <f t="shared" si="53"/>
        <v>1.9349163778860929</v>
      </c>
      <c r="FA52" s="31">
        <f t="shared" si="54"/>
        <v>3.1435427673748957</v>
      </c>
      <c r="FB52" s="31">
        <f t="shared" si="55"/>
        <v>0.19490599524644314</v>
      </c>
      <c r="FC52" s="31">
        <f t="shared" si="56"/>
        <v>3.3387696899968615</v>
      </c>
      <c r="FD52" s="31">
        <f t="shared" si="57"/>
        <v>3.3384487626213395</v>
      </c>
      <c r="FE52" s="31">
        <f t="shared" si="58"/>
        <v>7.0259819562309671</v>
      </c>
      <c r="FF52" s="31">
        <f t="shared" si="59"/>
        <v>0.1802075176468983</v>
      </c>
      <c r="FG52" s="31">
        <f t="shared" si="60"/>
        <v>13.883407926496067</v>
      </c>
      <c r="FH52" s="31"/>
      <c r="FI52" s="31">
        <f t="shared" si="61"/>
        <v>0</v>
      </c>
      <c r="FJ52" s="31">
        <f t="shared" si="62"/>
        <v>3.4710303658460263E-2</v>
      </c>
      <c r="FK52" s="31">
        <f t="shared" si="63"/>
        <v>1.6162369438824365E-2</v>
      </c>
      <c r="FL52" s="31">
        <f t="shared" si="64"/>
        <v>0.13612734456266673</v>
      </c>
      <c r="FM52" s="31">
        <f t="shared" si="65"/>
        <v>2.4036659767447954E-4</v>
      </c>
      <c r="FN52" s="31">
        <f t="shared" si="66"/>
        <v>5.3384557495495411E-3</v>
      </c>
      <c r="FO52" s="31">
        <f t="shared" si="67"/>
        <v>0.2267086303819747</v>
      </c>
      <c r="FP52" s="31">
        <f t="shared" si="68"/>
        <v>0.15253008059916565</v>
      </c>
      <c r="FQ52" s="31">
        <f t="shared" si="69"/>
        <v>3.4710303658460263E-2</v>
      </c>
      <c r="FR52" s="31">
        <f t="shared" si="70"/>
        <v>0.41928747038915015</v>
      </c>
      <c r="FS52" s="31">
        <f t="shared" si="71"/>
        <v>0.41928747038915021</v>
      </c>
      <c r="FT52" s="31"/>
      <c r="FU52" s="31">
        <f t="shared" si="72"/>
        <v>0</v>
      </c>
      <c r="FV52" s="31">
        <f t="shared" si="73"/>
        <v>2.4297212560922179E-2</v>
      </c>
      <c r="FW52" s="31">
        <f t="shared" si="74"/>
        <v>1.6162369438824365E-2</v>
      </c>
      <c r="FX52" s="31">
        <f t="shared" si="75"/>
        <v>0.13612734456266673</v>
      </c>
      <c r="FY52" s="31">
        <f t="shared" si="76"/>
        <v>6.8528532027496323E-4</v>
      </c>
      <c r="FZ52" s="31">
        <f t="shared" si="77"/>
        <v>5.3384557495495411E-3</v>
      </c>
      <c r="GA52" s="31">
        <f t="shared" si="78"/>
        <v>0.14824100090163353</v>
      </c>
      <c r="GB52" s="31">
        <f t="shared" si="79"/>
        <v>0.15297499932176606</v>
      </c>
      <c r="GC52" s="31">
        <f t="shared" si="80"/>
        <v>2.4297212560922179E-2</v>
      </c>
      <c r="GD52" s="31">
        <f t="shared" si="81"/>
        <v>0.33085166853387127</v>
      </c>
    </row>
    <row r="53" spans="1:186">
      <c r="A53" s="39" t="str">
        <f>Basicinfo!A53</f>
        <v>Feldaist</v>
      </c>
      <c r="B53" s="63">
        <f>Basicinfo!B53</f>
        <v>1580</v>
      </c>
      <c r="C53" s="63">
        <f>Basicinfo!C53</f>
        <v>1600</v>
      </c>
      <c r="D53" s="227">
        <v>263.0456349058</v>
      </c>
      <c r="E53" s="89">
        <v>2.591818342320177</v>
      </c>
      <c r="F53" s="27">
        <v>5.5631621745683042E-3</v>
      </c>
      <c r="G53" s="19">
        <v>0.41637737990593288</v>
      </c>
      <c r="H53" s="19">
        <v>0</v>
      </c>
      <c r="I53" s="19">
        <v>0.11582620627913918</v>
      </c>
      <c r="J53" s="19">
        <v>1.9269978747160619</v>
      </c>
      <c r="K53" s="19">
        <v>1.01922821145164E-2</v>
      </c>
      <c r="L53" s="19">
        <v>7.156266959654504E-3</v>
      </c>
      <c r="M53" s="19">
        <v>1.7311067187469695E-2</v>
      </c>
      <c r="N53" s="19">
        <v>2.4994242393373427</v>
      </c>
      <c r="O53" s="19">
        <v>9.2394102982834445E-2</v>
      </c>
      <c r="P53" s="56">
        <v>485.24514541467551</v>
      </c>
      <c r="Q53" s="43">
        <v>1188.304202381174</v>
      </c>
      <c r="R53" s="88">
        <v>1673.5493477958494</v>
      </c>
      <c r="S53" s="61">
        <v>1.5996012821292411</v>
      </c>
      <c r="T53" s="19">
        <v>22.909528717063804</v>
      </c>
      <c r="U53" s="19">
        <v>0</v>
      </c>
      <c r="V53" s="19">
        <v>3.2012137615417111</v>
      </c>
      <c r="W53" s="19">
        <v>2.9707605059529352E-2</v>
      </c>
      <c r="X53" s="19">
        <v>58.630979308979541</v>
      </c>
      <c r="Y53" s="19">
        <v>139.15285007998426</v>
      </c>
      <c r="Z53" s="19">
        <v>0.95756549903221622</v>
      </c>
      <c r="AA53" s="19">
        <v>1.6325926789785816</v>
      </c>
      <c r="AB53" s="19">
        <v>3.7510431651224572</v>
      </c>
      <c r="AC53" s="19">
        <v>231.86508209789136</v>
      </c>
      <c r="AD53" s="19">
        <v>13.082821413333333</v>
      </c>
      <c r="AE53" s="87">
        <v>244.94790351122469</v>
      </c>
      <c r="AF53" s="56">
        <v>4.1010483128852832E-2</v>
      </c>
      <c r="AG53" s="43">
        <v>0.40833719316425354</v>
      </c>
      <c r="AH53" s="43">
        <v>0</v>
      </c>
      <c r="AI53" s="43">
        <v>1.6857332117422588</v>
      </c>
      <c r="AJ53" s="43">
        <v>0.53473689107152822</v>
      </c>
      <c r="AK53" s="43">
        <v>0.70530552861575013</v>
      </c>
      <c r="AL53" s="58">
        <v>6.086473210213553</v>
      </c>
      <c r="AM53" s="43">
        <v>0.26378431752929199</v>
      </c>
      <c r="AN53" s="42">
        <v>0.33779590760985823</v>
      </c>
      <c r="AO53" s="42">
        <v>0.58549214886417134</v>
      </c>
      <c r="AP53" s="42">
        <v>10.648668891939518</v>
      </c>
      <c r="AQ53" s="43">
        <v>1.6463476333333336</v>
      </c>
      <c r="AR53" s="83">
        <v>12.29501652527285</v>
      </c>
      <c r="AS53" s="19">
        <f t="shared" si="2"/>
        <v>0.66695606790819117</v>
      </c>
      <c r="AT53" s="19">
        <f t="shared" si="3"/>
        <v>49.91862745571062</v>
      </c>
      <c r="AU53" s="19">
        <f t="shared" si="4"/>
        <v>0</v>
      </c>
      <c r="AV53" s="19">
        <f t="shared" si="5"/>
        <v>13.886165579318622</v>
      </c>
      <c r="AW53" s="19">
        <f t="shared" si="6"/>
        <v>231.02381074982736</v>
      </c>
      <c r="AX53" s="53">
        <f t="shared" si="82"/>
        <v>1.2219317339308642</v>
      </c>
      <c r="AY53" s="53">
        <f t="shared" si="83"/>
        <v>0.85795012306698548</v>
      </c>
      <c r="AZ53" s="53">
        <f t="shared" si="84"/>
        <v>2.0753882307134499</v>
      </c>
      <c r="BA53" s="19">
        <f t="shared" si="85"/>
        <v>299.65082994047611</v>
      </c>
      <c r="BB53" s="19">
        <f t="shared" si="7"/>
        <v>11.076938922442544</v>
      </c>
      <c r="BC53" s="53">
        <f t="shared" si="8"/>
        <v>310.72776886291865</v>
      </c>
      <c r="BD53" s="56">
        <f t="shared" si="9"/>
        <v>18.447184861609585</v>
      </c>
      <c r="BE53" s="43">
        <f t="shared" si="10"/>
        <v>45.174830702160143</v>
      </c>
      <c r="BF53" s="58">
        <f t="shared" si="11"/>
        <v>63.622015563769729</v>
      </c>
      <c r="BG53" s="61">
        <f t="shared" si="12"/>
        <v>60.810789835082367</v>
      </c>
      <c r="BH53" s="19">
        <f t="shared" si="13"/>
        <v>870.93362052056102</v>
      </c>
      <c r="BI53" s="19">
        <f t="shared" si="14"/>
        <v>0</v>
      </c>
      <c r="BJ53" s="19">
        <f t="shared" si="15"/>
        <v>121.69803778299178</v>
      </c>
      <c r="BK53" s="19">
        <f t="shared" si="16"/>
        <v>1.1293707675540035</v>
      </c>
      <c r="BL53" s="19">
        <f t="shared" si="17"/>
        <v>2228.9280462675629</v>
      </c>
      <c r="BM53" s="19">
        <f t="shared" si="18"/>
        <v>5290.0649778817533</v>
      </c>
      <c r="BN53" s="53">
        <f t="shared" si="19"/>
        <v>36.403018030507617</v>
      </c>
      <c r="BO53" s="53">
        <f t="shared" si="86"/>
        <v>62.064997944681124</v>
      </c>
      <c r="BP53" s="53">
        <f t="shared" si="87"/>
        <v>142.60047183317653</v>
      </c>
      <c r="BQ53" s="19">
        <f t="shared" si="88"/>
        <v>8814.6333308638696</v>
      </c>
      <c r="BR53" s="19">
        <f t="shared" si="20"/>
        <v>497.35938093093466</v>
      </c>
      <c r="BS53" s="53">
        <f t="shared" si="21"/>
        <v>9311.9927117948046</v>
      </c>
      <c r="BT53" s="56">
        <f t="shared" si="22"/>
        <v>1.5590634356483128</v>
      </c>
      <c r="BU53" s="43">
        <f t="shared" si="23"/>
        <v>15.523435441553108</v>
      </c>
      <c r="BV53" s="43">
        <f t="shared" si="24"/>
        <v>0</v>
      </c>
      <c r="BW53" s="43">
        <f t="shared" si="25"/>
        <v>64.085199982350645</v>
      </c>
      <c r="BX53" s="43">
        <f t="shared" si="26"/>
        <v>20.32867381597206</v>
      </c>
      <c r="BY53" s="58">
        <f t="shared" si="27"/>
        <v>26.813048194786774</v>
      </c>
      <c r="BZ53" s="58">
        <f t="shared" si="28"/>
        <v>231.38468777074354</v>
      </c>
      <c r="CA53" s="58">
        <f t="shared" si="29"/>
        <v>10.028081919084364</v>
      </c>
      <c r="CB53" s="58">
        <f t="shared" si="89"/>
        <v>12.841722605692629</v>
      </c>
      <c r="CC53" s="58">
        <f t="shared" si="90"/>
        <v>22.258196722171174</v>
      </c>
      <c r="CD53" s="58">
        <f t="shared" si="91"/>
        <v>404.82210988800256</v>
      </c>
      <c r="CE53" s="58">
        <f t="shared" si="30"/>
        <v>62.587909277525618</v>
      </c>
      <c r="CF53" s="58">
        <f t="shared" si="92"/>
        <v>467.41001916552818</v>
      </c>
      <c r="CG53" s="127">
        <v>55</v>
      </c>
      <c r="CH53" s="128" t="s">
        <v>169</v>
      </c>
      <c r="CI53" s="128"/>
      <c r="CJ53" s="126">
        <f t="shared" si="93"/>
        <v>50</v>
      </c>
      <c r="CK53" s="126">
        <f t="shared" si="95"/>
        <v>52</v>
      </c>
      <c r="CN53" s="147">
        <f t="shared" si="31"/>
        <v>4.1010483128852832E-2</v>
      </c>
      <c r="CO53" s="147">
        <f t="shared" si="32"/>
        <v>0.40833719316425354</v>
      </c>
      <c r="CP53" s="147">
        <f t="shared" si="33"/>
        <v>0</v>
      </c>
      <c r="CQ53" s="31">
        <f>(AI53-(P53*450/1000000))*Parameters!$C$153</f>
        <v>1.1738983170445239</v>
      </c>
      <c r="CR53" s="31">
        <f t="shared" si="34"/>
        <v>0.70530552861575013</v>
      </c>
      <c r="CS53" s="31">
        <f t="shared" si="35"/>
        <v>6.086473210213553</v>
      </c>
      <c r="CT53" s="31">
        <f>AM53*Parameters!$C$154</f>
        <v>0.23740588577636279</v>
      </c>
      <c r="CU53" s="31">
        <f>AQ53*Parameters!$C$155</f>
        <v>1.6463476333333336</v>
      </c>
      <c r="CV53" s="31">
        <f t="shared" si="36"/>
        <v>10.29877825127663</v>
      </c>
      <c r="CW53" s="188">
        <f t="shared" si="37"/>
        <v>83.763842286076809</v>
      </c>
      <c r="CY53" s="181">
        <v>0</v>
      </c>
      <c r="CZ53" s="181">
        <v>1.270322880625175</v>
      </c>
      <c r="DA53" s="181">
        <v>19.363911481441654</v>
      </c>
      <c r="DB53" s="181">
        <v>0.81622484389482763</v>
      </c>
      <c r="DC53" s="181">
        <v>7.8622544533545557E-2</v>
      </c>
      <c r="DD53" s="181">
        <v>5.2256416620009229</v>
      </c>
      <c r="DE53" s="181">
        <v>15.131038708603093</v>
      </c>
      <c r="DF53" s="181">
        <v>0.59938991455332113</v>
      </c>
      <c r="DG53" s="181">
        <v>13.832355883561943</v>
      </c>
      <c r="DH53" s="181">
        <v>15.730428623156413</v>
      </c>
      <c r="DI53" s="181">
        <v>25.484400531870946</v>
      </c>
      <c r="DJ53" s="181">
        <v>1.270322880625175</v>
      </c>
      <c r="DK53" s="181">
        <v>56.317507919214478</v>
      </c>
      <c r="DL53" s="181"/>
      <c r="DM53" s="181">
        <v>0</v>
      </c>
      <c r="DN53" s="181">
        <v>0.23305320555941539</v>
      </c>
      <c r="DO53" s="181">
        <v>1.1129165890535395E-3</v>
      </c>
      <c r="DP53" s="181">
        <v>0.15378229872378046</v>
      </c>
      <c r="DQ53" s="181">
        <v>2.07787165272455E-3</v>
      </c>
      <c r="DR53" s="181">
        <v>1.4827261038390768E-2</v>
      </c>
      <c r="DS53" s="181">
        <v>0.99981779202739773</v>
      </c>
      <c r="DT53" s="181">
        <v>0.15697308696555845</v>
      </c>
      <c r="DU53" s="181">
        <v>0.23305320555941539</v>
      </c>
      <c r="DV53" s="181">
        <v>1.4046713455907622</v>
      </c>
      <c r="DW53" s="181">
        <v>1.4046713455907625</v>
      </c>
      <c r="DX53" s="181"/>
      <c r="DY53" s="181">
        <v>0</v>
      </c>
      <c r="DZ53" s="181">
        <v>0.16313724389159076</v>
      </c>
      <c r="EA53" s="181">
        <v>1.1129165890535395E-3</v>
      </c>
      <c r="EB53" s="181">
        <v>0.15378229872378046</v>
      </c>
      <c r="EC53" s="181">
        <v>2.7033203901345448E-3</v>
      </c>
      <c r="ED53" s="181">
        <v>1.4827261038390768E-2</v>
      </c>
      <c r="EE53" s="181">
        <v>0.57359537645023329</v>
      </c>
      <c r="EF53" s="181">
        <v>0.15759853570296856</v>
      </c>
      <c r="EG53" s="181">
        <v>0.16313724389159076</v>
      </c>
      <c r="EH53" s="181">
        <v>0.90915841708318335</v>
      </c>
      <c r="EJ53" s="31">
        <f t="shared" si="38"/>
        <v>1.5590634356483129E-3</v>
      </c>
      <c r="EK53" s="31">
        <f t="shared" si="39"/>
        <v>1.552343544155311E-2</v>
      </c>
      <c r="EL53" s="31">
        <f t="shared" si="40"/>
        <v>0</v>
      </c>
      <c r="EM53" s="31">
        <f t="shared" si="41"/>
        <v>4.4627173435701065E-2</v>
      </c>
      <c r="EN53" s="31">
        <f t="shared" si="42"/>
        <v>2.6813048194786773E-2</v>
      </c>
      <c r="EO53" s="31">
        <f t="shared" si="43"/>
        <v>0.23138468777074356</v>
      </c>
      <c r="EP53" s="31">
        <f t="shared" si="44"/>
        <v>9.0252737271759274E-3</v>
      </c>
      <c r="EQ53" s="31">
        <f t="shared" si="45"/>
        <v>6.2587909277525611E-2</v>
      </c>
      <c r="ER53" s="31">
        <f t="shared" si="46"/>
        <v>0.39152059128313432</v>
      </c>
      <c r="ES53" s="31">
        <f t="shared" si="47"/>
        <v>3.184384425009513</v>
      </c>
      <c r="ET53" s="31"/>
      <c r="EU53" s="31">
        <f t="shared" si="48"/>
        <v>0</v>
      </c>
      <c r="EV53" s="31">
        <f t="shared" si="49"/>
        <v>4.8292870591830725E-2</v>
      </c>
      <c r="EW53" s="31">
        <f t="shared" si="50"/>
        <v>0.73614266544951856</v>
      </c>
      <c r="EX53" s="31">
        <f t="shared" si="51"/>
        <v>3.1029780980289908E-2</v>
      </c>
      <c r="EY53" s="31">
        <f t="shared" si="52"/>
        <v>2.9889317327657346E-3</v>
      </c>
      <c r="EZ53" s="31">
        <f t="shared" si="53"/>
        <v>0.19865912862885149</v>
      </c>
      <c r="FA53" s="31">
        <f t="shared" si="54"/>
        <v>0.57522485457786476</v>
      </c>
      <c r="FB53" s="31">
        <f t="shared" si="55"/>
        <v>2.2786537201728144E-2</v>
      </c>
      <c r="FC53" s="31">
        <f t="shared" si="56"/>
        <v>0.52585384617826814</v>
      </c>
      <c r="FD53" s="31">
        <f t="shared" si="57"/>
        <v>0.59801139177959295</v>
      </c>
      <c r="FE53" s="31">
        <f t="shared" si="58"/>
        <v>0.96882050679142562</v>
      </c>
      <c r="FF53" s="31">
        <f t="shared" si="59"/>
        <v>4.8292870591830725E-2</v>
      </c>
      <c r="FG53" s="31">
        <f t="shared" si="60"/>
        <v>2.1409786153411172</v>
      </c>
      <c r="FH53" s="31"/>
      <c r="FI53" s="31">
        <f t="shared" si="61"/>
        <v>0</v>
      </c>
      <c r="FJ53" s="31">
        <f t="shared" si="62"/>
        <v>8.8598012904823418E-3</v>
      </c>
      <c r="FK53" s="31">
        <f t="shared" si="63"/>
        <v>4.2308878816867235E-5</v>
      </c>
      <c r="FL53" s="31">
        <f t="shared" si="64"/>
        <v>5.8462212755916619E-3</v>
      </c>
      <c r="FM53" s="31">
        <f t="shared" si="65"/>
        <v>7.8992820141975063E-5</v>
      </c>
      <c r="FN53" s="31">
        <f t="shared" si="66"/>
        <v>5.6367637667511942E-4</v>
      </c>
      <c r="FO53" s="31">
        <f t="shared" si="67"/>
        <v>3.800929037980217E-2</v>
      </c>
      <c r="FP53" s="31">
        <f t="shared" si="68"/>
        <v>5.9675229745505013E-3</v>
      </c>
      <c r="FQ53" s="31">
        <f t="shared" si="69"/>
        <v>8.8598012904823418E-3</v>
      </c>
      <c r="FR53" s="31">
        <f t="shared" si="70"/>
        <v>5.3400291021510136E-2</v>
      </c>
      <c r="FS53" s="31">
        <f t="shared" si="71"/>
        <v>5.3400291021510143E-2</v>
      </c>
      <c r="FT53" s="31"/>
      <c r="FU53" s="31">
        <f t="shared" si="72"/>
        <v>0</v>
      </c>
      <c r="FV53" s="31">
        <f t="shared" si="73"/>
        <v>6.2018609033376391E-3</v>
      </c>
      <c r="FW53" s="31">
        <f t="shared" si="74"/>
        <v>4.2308878816867235E-5</v>
      </c>
      <c r="FX53" s="31">
        <f t="shared" si="75"/>
        <v>5.8462212755916619E-3</v>
      </c>
      <c r="FY53" s="31">
        <f t="shared" si="76"/>
        <v>1.0277001521438052E-4</v>
      </c>
      <c r="FZ53" s="31">
        <f t="shared" si="77"/>
        <v>5.6367637667511942E-4</v>
      </c>
      <c r="GA53" s="31">
        <f t="shared" si="78"/>
        <v>2.1805926437655776E-2</v>
      </c>
      <c r="GB53" s="31">
        <f t="shared" si="79"/>
        <v>5.9913001696229092E-3</v>
      </c>
      <c r="GC53" s="31">
        <f t="shared" si="80"/>
        <v>6.2018609033376391E-3</v>
      </c>
      <c r="GD53" s="31">
        <f t="shared" si="81"/>
        <v>3.4562763887291445E-2</v>
      </c>
    </row>
    <row r="54" spans="1:186">
      <c r="A54" s="39" t="str">
        <f>Basicinfo!A54</f>
        <v>Waldaist</v>
      </c>
      <c r="B54" s="63">
        <f>Basicinfo!B54</f>
        <v>1590</v>
      </c>
      <c r="C54" s="63">
        <f>Basicinfo!C54</f>
        <v>1600</v>
      </c>
      <c r="D54" s="227">
        <v>282.07629954999999</v>
      </c>
      <c r="E54" s="89">
        <v>3.6506930601064198</v>
      </c>
      <c r="F54" s="27">
        <v>1.2200220353383031E-2</v>
      </c>
      <c r="G54" s="19">
        <v>0.67068419626270603</v>
      </c>
      <c r="H54" s="19">
        <v>0</v>
      </c>
      <c r="I54" s="19">
        <v>5.011163430887066E-2</v>
      </c>
      <c r="J54" s="19">
        <v>2.8869417323759738</v>
      </c>
      <c r="K54" s="19">
        <v>5.5153207742269297E-3</v>
      </c>
      <c r="L54" s="19">
        <v>4.3310926737572704E-3</v>
      </c>
      <c r="M54" s="19">
        <v>1.0093031345409906E-2</v>
      </c>
      <c r="N54" s="19">
        <v>3.6398772280943277</v>
      </c>
      <c r="O54" s="19">
        <v>1.0815832012092002E-2</v>
      </c>
      <c r="P54" s="56">
        <v>140.0761020621826</v>
      </c>
      <c r="Q54" s="43">
        <v>1865.3103334411767</v>
      </c>
      <c r="R54" s="88">
        <v>2005.3864355033593</v>
      </c>
      <c r="S54" s="61">
        <v>2.0422346288290503</v>
      </c>
      <c r="T54" s="19">
        <v>33.350968200358999</v>
      </c>
      <c r="U54" s="19">
        <v>0</v>
      </c>
      <c r="V54" s="19">
        <v>1.0218422882206954</v>
      </c>
      <c r="W54" s="19">
        <v>4.6632758336029416E-2</v>
      </c>
      <c r="X54" s="19">
        <v>21.01656194440384</v>
      </c>
      <c r="Y54" s="19">
        <v>146.57749684039234</v>
      </c>
      <c r="Z54" s="19">
        <v>0.49079970941745288</v>
      </c>
      <c r="AA54" s="19">
        <v>1.0320131754774289</v>
      </c>
      <c r="AB54" s="19">
        <v>1.9969393227637662</v>
      </c>
      <c r="AC54" s="19">
        <v>207.57548886819961</v>
      </c>
      <c r="AD54" s="19">
        <v>0.96902619999999995</v>
      </c>
      <c r="AE54" s="87">
        <v>208.54451506819962</v>
      </c>
      <c r="AF54" s="56">
        <v>5.1041910995083491E-2</v>
      </c>
      <c r="AG54" s="43">
        <v>0.66037998286040989</v>
      </c>
      <c r="AH54" s="43">
        <v>0</v>
      </c>
      <c r="AI54" s="43">
        <v>0.59100850334475763</v>
      </c>
      <c r="AJ54" s="43">
        <v>0.8393896500485295</v>
      </c>
      <c r="AK54" s="43">
        <v>0.32292510175708872</v>
      </c>
      <c r="AL54" s="58">
        <v>3.3983906881990205</v>
      </c>
      <c r="AM54" s="43">
        <v>0.13978354266147799</v>
      </c>
      <c r="AN54" s="42">
        <v>0.21245827782435414</v>
      </c>
      <c r="AO54" s="42">
        <v>0.321168228462128</v>
      </c>
      <c r="AP54" s="42">
        <v>6.5365458861528509</v>
      </c>
      <c r="AQ54" s="43">
        <v>0.40314749999999994</v>
      </c>
      <c r="AR54" s="83">
        <v>6.9396933861528511</v>
      </c>
      <c r="AS54" s="19">
        <f t="shared" si="2"/>
        <v>1.3639790002849503</v>
      </c>
      <c r="AT54" s="19">
        <f t="shared" si="3"/>
        <v>74.9821833563567</v>
      </c>
      <c r="AU54" s="19">
        <f t="shared" si="4"/>
        <v>0</v>
      </c>
      <c r="AV54" s="19">
        <f t="shared" si="5"/>
        <v>5.6024575694081733</v>
      </c>
      <c r="AW54" s="19">
        <f t="shared" si="6"/>
        <v>322.75875221509267</v>
      </c>
      <c r="AX54" s="53">
        <f t="shared" si="82"/>
        <v>0.61661031505835517</v>
      </c>
      <c r="AY54" s="53">
        <f t="shared" si="83"/>
        <v>0.4842141604151276</v>
      </c>
      <c r="AZ54" s="53">
        <f t="shared" si="84"/>
        <v>1.1283962424940526</v>
      </c>
      <c r="BA54" s="19">
        <f t="shared" si="85"/>
        <v>406.93659285911008</v>
      </c>
      <c r="BB54" s="19">
        <f t="shared" si="7"/>
        <v>1.2092050231709492</v>
      </c>
      <c r="BC54" s="53">
        <f t="shared" si="8"/>
        <v>408.14579788228104</v>
      </c>
      <c r="BD54" s="56">
        <f t="shared" si="9"/>
        <v>4.9658940607788686</v>
      </c>
      <c r="BE54" s="43">
        <f t="shared" si="10"/>
        <v>66.127864567740374</v>
      </c>
      <c r="BF54" s="58">
        <f t="shared" si="11"/>
        <v>71.09375862851924</v>
      </c>
      <c r="BG54" s="61">
        <f t="shared" si="12"/>
        <v>72.400078705196208</v>
      </c>
      <c r="BH54" s="19">
        <f t="shared" si="13"/>
        <v>1182.3385464700236</v>
      </c>
      <c r="BI54" s="19">
        <f t="shared" si="14"/>
        <v>0</v>
      </c>
      <c r="BJ54" s="19">
        <f t="shared" si="15"/>
        <v>36.225740689694732</v>
      </c>
      <c r="BK54" s="19">
        <f t="shared" si="16"/>
        <v>1.6531966141935095</v>
      </c>
      <c r="BL54" s="19">
        <f t="shared" si="17"/>
        <v>745.06656454058123</v>
      </c>
      <c r="BM54" s="19">
        <f t="shared" si="18"/>
        <v>5196.3776139374104</v>
      </c>
      <c r="BN54" s="53">
        <f t="shared" si="19"/>
        <v>17.399537295420849</v>
      </c>
      <c r="BO54" s="53">
        <f t="shared" si="86"/>
        <v>36.58631289207257</v>
      </c>
      <c r="BP54" s="53">
        <f t="shared" si="87"/>
        <v>70.794296647733589</v>
      </c>
      <c r="BQ54" s="19">
        <f t="shared" si="88"/>
        <v>7358.8418877923268</v>
      </c>
      <c r="BR54" s="19">
        <f t="shared" si="20"/>
        <v>34.353336368418766</v>
      </c>
      <c r="BS54" s="53">
        <f t="shared" si="21"/>
        <v>7393.195224160746</v>
      </c>
      <c r="BT54" s="56">
        <f t="shared" si="22"/>
        <v>1.8095072530556915</v>
      </c>
      <c r="BU54" s="43">
        <f t="shared" si="23"/>
        <v>23.411395566161449</v>
      </c>
      <c r="BV54" s="43">
        <f t="shared" si="24"/>
        <v>0</v>
      </c>
      <c r="BW54" s="43">
        <f t="shared" si="25"/>
        <v>20.952079429842254</v>
      </c>
      <c r="BX54" s="43">
        <f t="shared" si="26"/>
        <v>29.757539055483171</v>
      </c>
      <c r="BY54" s="58">
        <f t="shared" si="27"/>
        <v>11.4481472662629</v>
      </c>
      <c r="BZ54" s="58">
        <f t="shared" si="28"/>
        <v>120.47771094631196</v>
      </c>
      <c r="CA54" s="58">
        <f t="shared" si="29"/>
        <v>4.9555224201564076</v>
      </c>
      <c r="CB54" s="58">
        <f t="shared" si="89"/>
        <v>7.5319435969378361</v>
      </c>
      <c r="CC54" s="58">
        <f t="shared" si="90"/>
        <v>11.385863646626529</v>
      </c>
      <c r="CD54" s="58">
        <f t="shared" si="91"/>
        <v>231.72970918083817</v>
      </c>
      <c r="CE54" s="58">
        <f t="shared" si="30"/>
        <v>14.292143673295005</v>
      </c>
      <c r="CF54" s="58">
        <f t="shared" si="92"/>
        <v>246.02185285413319</v>
      </c>
      <c r="CG54" s="127">
        <v>55</v>
      </c>
      <c r="CH54" s="128" t="s">
        <v>169</v>
      </c>
      <c r="CI54" s="128"/>
      <c r="CJ54" s="126">
        <f t="shared" si="93"/>
        <v>51</v>
      </c>
      <c r="CK54" s="126">
        <f t="shared" si="95"/>
        <v>52</v>
      </c>
      <c r="CN54" s="147">
        <f t="shared" si="31"/>
        <v>5.1041910995083491E-2</v>
      </c>
      <c r="CO54" s="147">
        <f t="shared" si="32"/>
        <v>0.66037998286040989</v>
      </c>
      <c r="CP54" s="147">
        <f t="shared" si="33"/>
        <v>0</v>
      </c>
      <c r="CQ54" s="31">
        <f>(AI54-(P54*450/1000000))*Parameters!$C$153</f>
        <v>0.42237940593342044</v>
      </c>
      <c r="CR54" s="31">
        <f t="shared" si="34"/>
        <v>0.32292510175708872</v>
      </c>
      <c r="CS54" s="31">
        <f t="shared" si="35"/>
        <v>3.3983906881990205</v>
      </c>
      <c r="CT54" s="31">
        <f>AM54*Parameters!$C$154</f>
        <v>0.1258051883953302</v>
      </c>
      <c r="CU54" s="31">
        <f>AQ54*Parameters!$C$155</f>
        <v>0.40314749999999994</v>
      </c>
      <c r="CV54" s="31">
        <f t="shared" si="36"/>
        <v>5.3840697781403533</v>
      </c>
      <c r="CW54" s="188">
        <f t="shared" si="37"/>
        <v>77.583683868274093</v>
      </c>
      <c r="CY54" s="181">
        <v>27.638053333333332</v>
      </c>
      <c r="CZ54" s="181">
        <v>7.0419202251622455</v>
      </c>
      <c r="DA54" s="181">
        <v>56.62078617225589</v>
      </c>
      <c r="DB54" s="181">
        <v>5.3563424528628083</v>
      </c>
      <c r="DC54" s="181">
        <v>23.607932715737039</v>
      </c>
      <c r="DD54" s="181">
        <v>52.652648472447829</v>
      </c>
      <c r="DE54" s="181">
        <v>44.024807319334336</v>
      </c>
      <c r="DF54" s="181">
        <v>3.8941842638644548</v>
      </c>
      <c r="DG54" s="181">
        <v>45.850686255639921</v>
      </c>
      <c r="DH54" s="181">
        <v>47.918991583198789</v>
      </c>
      <c r="DI54" s="181">
        <v>138.23770981330355</v>
      </c>
      <c r="DJ54" s="181">
        <v>34.679973558495576</v>
      </c>
      <c r="DK54" s="181">
        <v>266.68736121063785</v>
      </c>
      <c r="DL54" s="181"/>
      <c r="DM54" s="181">
        <v>4.3166666666666673</v>
      </c>
      <c r="DN54" s="181">
        <v>1.3110885524002724</v>
      </c>
      <c r="DO54" s="181">
        <v>0.38745730421599578</v>
      </c>
      <c r="DP54" s="181">
        <v>1.397935817247941</v>
      </c>
      <c r="DQ54" s="181">
        <v>2.2840088185016594E-3</v>
      </c>
      <c r="DR54" s="181">
        <v>6.482703062914727E-2</v>
      </c>
      <c r="DS54" s="181">
        <v>3.1423594477572476</v>
      </c>
      <c r="DT54" s="181">
        <v>1.7876771302824386</v>
      </c>
      <c r="DU54" s="181">
        <v>5.6277552190669402</v>
      </c>
      <c r="DV54" s="181">
        <v>10.622618827735772</v>
      </c>
      <c r="DW54" s="181">
        <v>10.622618827735772</v>
      </c>
      <c r="DX54" s="181"/>
      <c r="DY54" s="181">
        <v>3.453333333333334</v>
      </c>
      <c r="DZ54" s="181">
        <v>0.9177619866801906</v>
      </c>
      <c r="EA54" s="181">
        <v>0.38745730421599578</v>
      </c>
      <c r="EB54" s="181">
        <v>1.397935817247941</v>
      </c>
      <c r="EC54" s="181">
        <v>1.4381495819351553E-2</v>
      </c>
      <c r="ED54" s="181">
        <v>6.482703062914727E-2</v>
      </c>
      <c r="EE54" s="181">
        <v>1.8215798742750433</v>
      </c>
      <c r="EF54" s="181">
        <v>1.7997746172832882</v>
      </c>
      <c r="EG54" s="181">
        <v>4.3710953200135245</v>
      </c>
      <c r="EH54" s="181">
        <v>8.0572768422010039</v>
      </c>
      <c r="EJ54" s="31">
        <f t="shared" si="38"/>
        <v>1.8095072530556915E-3</v>
      </c>
      <c r="EK54" s="31">
        <f t="shared" si="39"/>
        <v>2.3411395566161449E-2</v>
      </c>
      <c r="EL54" s="31">
        <f t="shared" si="40"/>
        <v>0</v>
      </c>
      <c r="EM54" s="31">
        <f t="shared" si="41"/>
        <v>1.4973941681993412E-2</v>
      </c>
      <c r="EN54" s="31">
        <f t="shared" si="42"/>
        <v>1.1448147266262899E-2</v>
      </c>
      <c r="EO54" s="31">
        <f t="shared" si="43"/>
        <v>0.12047771094631196</v>
      </c>
      <c r="EP54" s="31">
        <f t="shared" si="44"/>
        <v>4.4599701781407675E-3</v>
      </c>
      <c r="EQ54" s="31">
        <f t="shared" si="45"/>
        <v>1.4292143673295005E-2</v>
      </c>
      <c r="ER54" s="31">
        <f t="shared" si="46"/>
        <v>0.1908728165652212</v>
      </c>
      <c r="ES54" s="31">
        <f t="shared" si="47"/>
        <v>2.7504502856866866</v>
      </c>
      <c r="ET54" s="31"/>
      <c r="EU54" s="31">
        <f t="shared" si="48"/>
        <v>0.97980771080110884</v>
      </c>
      <c r="EV54" s="31">
        <f t="shared" si="49"/>
        <v>0.24964593751393907</v>
      </c>
      <c r="EW54" s="31">
        <f t="shared" si="50"/>
        <v>2.0072861939334774</v>
      </c>
      <c r="EX54" s="31">
        <f t="shared" si="51"/>
        <v>0.18988984403893031</v>
      </c>
      <c r="EY54" s="31">
        <f t="shared" si="52"/>
        <v>0.83693428882182175</v>
      </c>
      <c r="EZ54" s="31">
        <f t="shared" si="53"/>
        <v>1.8666101532261052</v>
      </c>
      <c r="FA54" s="31">
        <f t="shared" si="54"/>
        <v>1.5607410969857336</v>
      </c>
      <c r="FB54" s="31">
        <f t="shared" si="55"/>
        <v>0.13805428779648973</v>
      </c>
      <c r="FC54" s="31">
        <f t="shared" si="56"/>
        <v>1.6254710632827403</v>
      </c>
      <c r="FD54" s="31">
        <f t="shared" si="57"/>
        <v>1.6987953847822233</v>
      </c>
      <c r="FE54" s="31">
        <f t="shared" si="58"/>
        <v>4.9007204800203343</v>
      </c>
      <c r="FF54" s="31">
        <f t="shared" si="59"/>
        <v>1.229453648315048</v>
      </c>
      <c r="FG54" s="31">
        <f t="shared" si="60"/>
        <v>9.4544405764003461</v>
      </c>
      <c r="FH54" s="31"/>
      <c r="FI54" s="31">
        <f t="shared" si="61"/>
        <v>0.15303188086177755</v>
      </c>
      <c r="FJ54" s="31">
        <f t="shared" si="62"/>
        <v>4.6479925980731779E-2</v>
      </c>
      <c r="FK54" s="31">
        <f t="shared" si="63"/>
        <v>1.3735904251229596E-2</v>
      </c>
      <c r="FL54" s="31">
        <f t="shared" si="64"/>
        <v>4.9558783190154089E-2</v>
      </c>
      <c r="FM54" s="31">
        <f t="shared" si="65"/>
        <v>8.0971312447921656E-5</v>
      </c>
      <c r="FN54" s="31">
        <f t="shared" si="66"/>
        <v>2.298209056647676E-3</v>
      </c>
      <c r="FO54" s="31">
        <f t="shared" si="67"/>
        <v>0.11140104478009301</v>
      </c>
      <c r="FP54" s="31">
        <f t="shared" si="68"/>
        <v>6.3375658753831624E-2</v>
      </c>
      <c r="FQ54" s="31">
        <f t="shared" si="69"/>
        <v>0.19951180684250933</v>
      </c>
      <c r="FR54" s="31">
        <f t="shared" si="70"/>
        <v>0.37658671943308158</v>
      </c>
      <c r="FS54" s="31">
        <f t="shared" si="71"/>
        <v>0.37658671943308158</v>
      </c>
      <c r="FT54" s="31"/>
      <c r="FU54" s="31">
        <f t="shared" si="72"/>
        <v>0.12242550468942204</v>
      </c>
      <c r="FV54" s="31">
        <f t="shared" si="73"/>
        <v>3.2535948186512245E-2</v>
      </c>
      <c r="FW54" s="31">
        <f t="shared" si="74"/>
        <v>1.3735904251229596E-2</v>
      </c>
      <c r="FX54" s="31">
        <f t="shared" si="75"/>
        <v>4.9558783190154089E-2</v>
      </c>
      <c r="FY54" s="31">
        <f t="shared" si="76"/>
        <v>5.0984417486667764E-4</v>
      </c>
      <c r="FZ54" s="31">
        <f t="shared" si="77"/>
        <v>2.298209056647676E-3</v>
      </c>
      <c r="GA54" s="31">
        <f t="shared" si="78"/>
        <v>6.4577558525159104E-2</v>
      </c>
      <c r="GB54" s="31">
        <f t="shared" si="79"/>
        <v>6.3804531616250368E-2</v>
      </c>
      <c r="GC54" s="31">
        <f t="shared" si="80"/>
        <v>0.1549614528759343</v>
      </c>
      <c r="GD54" s="31">
        <f t="shared" si="81"/>
        <v>0.2856417520739914</v>
      </c>
    </row>
    <row r="55" spans="1:186">
      <c r="A55" s="39" t="str">
        <f>Basicinfo!A55</f>
        <v>Aist</v>
      </c>
      <c r="B55" s="63">
        <f>Basicinfo!B55</f>
        <v>1600</v>
      </c>
      <c r="C55" s="63">
        <f>Basicinfo!C55</f>
        <v>5020</v>
      </c>
      <c r="D55" s="227">
        <v>650.04255623680001</v>
      </c>
      <c r="E55" s="89">
        <v>7.3531097449164475</v>
      </c>
      <c r="F55" s="27">
        <v>1.9564280291399776E-2</v>
      </c>
      <c r="G55" s="19">
        <v>1.2700897349917502</v>
      </c>
      <c r="H55" s="19">
        <v>0</v>
      </c>
      <c r="I55" s="19">
        <v>0.1754373164083633</v>
      </c>
      <c r="J55" s="19">
        <v>5.6873649720782193</v>
      </c>
      <c r="K55" s="19">
        <v>2.1385198679166179E-2</v>
      </c>
      <c r="L55" s="19">
        <v>1.5409844814828336E-2</v>
      </c>
      <c r="M55" s="19">
        <v>3.6889827077293179E-2</v>
      </c>
      <c r="N55" s="19">
        <v>7.22614117434102</v>
      </c>
      <c r="O55" s="19">
        <v>0.12696857057542704</v>
      </c>
      <c r="P55" s="56">
        <v>1394.1153037533845</v>
      </c>
      <c r="Q55" s="43">
        <v>4032.8938468179226</v>
      </c>
      <c r="R55" s="88">
        <v>5427.0091505713071</v>
      </c>
      <c r="S55" s="61">
        <v>4.5185739841555286</v>
      </c>
      <c r="T55" s="19">
        <v>66.925973591718702</v>
      </c>
      <c r="U55" s="19">
        <v>0</v>
      </c>
      <c r="V55" s="19">
        <v>7.8150492881668727</v>
      </c>
      <c r="W55" s="19">
        <v>0.10082234617044805</v>
      </c>
      <c r="X55" s="19">
        <v>84.791482969748273</v>
      </c>
      <c r="Y55" s="19">
        <v>347.13207291181095</v>
      </c>
      <c r="Z55" s="19">
        <v>1.9920399417158525</v>
      </c>
      <c r="AA55" s="19">
        <v>3.565338342209353</v>
      </c>
      <c r="AB55" s="19">
        <v>7.4579163730472358</v>
      </c>
      <c r="AC55" s="19">
        <v>524.2992697487432</v>
      </c>
      <c r="AD55" s="19">
        <v>16.998108879999997</v>
      </c>
      <c r="AE55" s="87">
        <v>541.29737862874322</v>
      </c>
      <c r="AF55" s="56">
        <v>0.11374018934911614</v>
      </c>
      <c r="AG55" s="43">
        <v>1.2561006746814569</v>
      </c>
      <c r="AH55" s="43">
        <v>0</v>
      </c>
      <c r="AI55" s="43">
        <v>4.2975325055991203</v>
      </c>
      <c r="AJ55" s="43">
        <v>1.8148022310680649</v>
      </c>
      <c r="AK55" s="43">
        <v>1.0787697655783819</v>
      </c>
      <c r="AL55" s="58">
        <v>10.708616768435036</v>
      </c>
      <c r="AM55" s="43">
        <v>0.5489198813506514</v>
      </c>
      <c r="AN55" s="42">
        <v>0.73422442694068002</v>
      </c>
      <c r="AO55" s="42">
        <v>1.1710486821377017</v>
      </c>
      <c r="AP55" s="42">
        <v>21.723755125140212</v>
      </c>
      <c r="AQ55" s="43">
        <v>2.6670581333333332</v>
      </c>
      <c r="AR55" s="83">
        <v>24.390813258473543</v>
      </c>
      <c r="AS55" s="19">
        <f t="shared" si="2"/>
        <v>0.94913654090798927</v>
      </c>
      <c r="AT55" s="19">
        <f t="shared" si="3"/>
        <v>61.616811850867464</v>
      </c>
      <c r="AU55" s="19">
        <f t="shared" si="4"/>
        <v>0</v>
      </c>
      <c r="AV55" s="19">
        <f t="shared" si="5"/>
        <v>8.5111215522306694</v>
      </c>
      <c r="AW55" s="19">
        <f t="shared" si="6"/>
        <v>275.9153843677305</v>
      </c>
      <c r="AX55" s="53">
        <f t="shared" si="82"/>
        <v>1.037476114564583</v>
      </c>
      <c r="AY55" s="53">
        <f t="shared" si="83"/>
        <v>0.74758930998880213</v>
      </c>
      <c r="AZ55" s="53">
        <f t="shared" si="84"/>
        <v>1.7896637313168855</v>
      </c>
      <c r="BA55" s="19">
        <f t="shared" si="85"/>
        <v>350.56718346760692</v>
      </c>
      <c r="BB55" s="19">
        <f t="shared" si="7"/>
        <v>6.1597210878729696</v>
      </c>
      <c r="BC55" s="53">
        <f t="shared" si="8"/>
        <v>356.7269045554799</v>
      </c>
      <c r="BD55" s="56">
        <f t="shared" si="9"/>
        <v>21.44652362184009</v>
      </c>
      <c r="BE55" s="43">
        <f t="shared" si="10"/>
        <v>62.040458861108853</v>
      </c>
      <c r="BF55" s="58">
        <f t="shared" si="11"/>
        <v>83.486982482948946</v>
      </c>
      <c r="BG55" s="61">
        <f t="shared" si="12"/>
        <v>69.511971805573367</v>
      </c>
      <c r="BH55" s="19">
        <f t="shared" si="13"/>
        <v>1029.5629562957206</v>
      </c>
      <c r="BI55" s="19">
        <f t="shared" si="14"/>
        <v>0</v>
      </c>
      <c r="BJ55" s="19">
        <f t="shared" si="15"/>
        <v>120.22365633120144</v>
      </c>
      <c r="BK55" s="19">
        <f t="shared" si="16"/>
        <v>1.551011471527721</v>
      </c>
      <c r="BL55" s="19">
        <f t="shared" si="17"/>
        <v>1304.3989529027097</v>
      </c>
      <c r="BM55" s="19">
        <f t="shared" si="18"/>
        <v>5340.1438041443607</v>
      </c>
      <c r="BN55" s="53">
        <f t="shared" si="19"/>
        <v>30.644761986785749</v>
      </c>
      <c r="BO55" s="53">
        <f t="shared" si="86"/>
        <v>54.847768165359284</v>
      </c>
      <c r="BP55" s="53">
        <f t="shared" si="87"/>
        <v>114.72966348883837</v>
      </c>
      <c r="BQ55" s="19">
        <f t="shared" si="88"/>
        <v>8065.6145465920772</v>
      </c>
      <c r="BR55" s="19">
        <f t="shared" si="20"/>
        <v>261.49224719078023</v>
      </c>
      <c r="BS55" s="53">
        <f t="shared" si="21"/>
        <v>8327.1067937828575</v>
      </c>
      <c r="BT55" s="56">
        <f t="shared" si="22"/>
        <v>1.7497345098077306</v>
      </c>
      <c r="BU55" s="43">
        <f t="shared" si="23"/>
        <v>19.323360642005103</v>
      </c>
      <c r="BV55" s="43">
        <f t="shared" si="24"/>
        <v>0</v>
      </c>
      <c r="BW55" s="43">
        <f t="shared" si="25"/>
        <v>66.111556302993776</v>
      </c>
      <c r="BX55" s="43">
        <f t="shared" si="26"/>
        <v>27.918206487498978</v>
      </c>
      <c r="BY55" s="58">
        <f t="shared" si="27"/>
        <v>16.595371414197128</v>
      </c>
      <c r="BZ55" s="58">
        <f t="shared" si="28"/>
        <v>164.73716475470354</v>
      </c>
      <c r="CA55" s="58">
        <f t="shared" si="29"/>
        <v>8.4443683891780257</v>
      </c>
      <c r="CB55" s="58">
        <f t="shared" si="89"/>
        <v>11.295020916649246</v>
      </c>
      <c r="CC55" s="58">
        <f t="shared" si="90"/>
        <v>18.014954111882908</v>
      </c>
      <c r="CD55" s="58">
        <f t="shared" si="91"/>
        <v>334.18973752891645</v>
      </c>
      <c r="CE55" s="58">
        <f t="shared" si="30"/>
        <v>41.02897737608685</v>
      </c>
      <c r="CF55" s="58">
        <f t="shared" si="92"/>
        <v>375.21871490500331</v>
      </c>
      <c r="CG55" s="127">
        <v>67</v>
      </c>
      <c r="CH55" s="128" t="s">
        <v>169</v>
      </c>
      <c r="CI55" s="128"/>
      <c r="CJ55" s="126">
        <f t="shared" si="93"/>
        <v>52</v>
      </c>
      <c r="CK55" s="126">
        <f t="shared" si="95"/>
        <v>64</v>
      </c>
      <c r="CN55" s="147">
        <f t="shared" si="31"/>
        <v>0.11374018934911614</v>
      </c>
      <c r="CO55" s="147">
        <f t="shared" si="32"/>
        <v>1.2561006746814569</v>
      </c>
      <c r="CP55" s="147">
        <f t="shared" si="33"/>
        <v>0</v>
      </c>
      <c r="CQ55" s="31">
        <f>(AI55-(P55*450/1000000))*Parameters!$C$153</f>
        <v>2.9361444951280777</v>
      </c>
      <c r="CR55" s="31">
        <f t="shared" si="34"/>
        <v>1.0787697655783819</v>
      </c>
      <c r="CS55" s="31">
        <f t="shared" si="35"/>
        <v>10.708616768435036</v>
      </c>
      <c r="CT55" s="31">
        <f>AM55*Parameters!$C$154</f>
        <v>0.49402789321558627</v>
      </c>
      <c r="CU55" s="31">
        <f>AQ55*Parameters!$C$155</f>
        <v>2.6670581333333332</v>
      </c>
      <c r="CV55" s="31">
        <f t="shared" si="36"/>
        <v>19.254457919720991</v>
      </c>
      <c r="CW55" s="188">
        <f t="shared" si="37"/>
        <v>78.941434693785197</v>
      </c>
      <c r="CY55" s="181">
        <v>5.3166666666666673</v>
      </c>
      <c r="CZ55" s="181">
        <v>4.9076632299097973</v>
      </c>
      <c r="DA55" s="181">
        <v>78.317314534054859</v>
      </c>
      <c r="DB55" s="181">
        <v>1.4433182338017683</v>
      </c>
      <c r="DC55" s="181">
        <v>0</v>
      </c>
      <c r="DD55" s="181">
        <v>11.619898936186299</v>
      </c>
      <c r="DE55" s="181">
        <v>67.501691004348515</v>
      </c>
      <c r="DF55" s="181">
        <v>1.1979846781926009</v>
      </c>
      <c r="DG55" s="181">
        <v>28.853601154875076</v>
      </c>
      <c r="DH55" s="181">
        <v>68.699675682541113</v>
      </c>
      <c r="DI55" s="181">
        <v>91.380531704042923</v>
      </c>
      <c r="DJ55" s="181">
        <v>10.224329896576464</v>
      </c>
      <c r="DK55" s="181">
        <v>199.15813843803556</v>
      </c>
      <c r="DL55" s="181"/>
      <c r="DM55" s="181">
        <v>0.66666666666666663</v>
      </c>
      <c r="DN55" s="181">
        <v>0.86524748706130428</v>
      </c>
      <c r="DO55" s="181">
        <v>0</v>
      </c>
      <c r="DP55" s="181">
        <v>0.17859591070580827</v>
      </c>
      <c r="DQ55" s="181">
        <v>-1.7396149792903159E-4</v>
      </c>
      <c r="DR55" s="181">
        <v>3.4576145372826723E-2</v>
      </c>
      <c r="DS55" s="181">
        <v>2.1469320210476734</v>
      </c>
      <c r="DT55" s="181">
        <v>0.17842194920787957</v>
      </c>
      <c r="DU55" s="181">
        <v>1.5319141537279708</v>
      </c>
      <c r="DV55" s="181">
        <v>3.8918442693563504</v>
      </c>
      <c r="DW55" s="181">
        <v>3.8918442693563504</v>
      </c>
      <c r="DX55" s="181"/>
      <c r="DY55" s="181">
        <v>0.53333333333333333</v>
      </c>
      <c r="DZ55" s="181">
        <v>0.60567324094291297</v>
      </c>
      <c r="EA55" s="181">
        <v>0</v>
      </c>
      <c r="EB55" s="181">
        <v>0.17859591070580827</v>
      </c>
      <c r="EC55" s="181">
        <v>1.9609938923788039E-3</v>
      </c>
      <c r="ED55" s="181">
        <v>3.4576145372826723E-2</v>
      </c>
      <c r="EE55" s="181">
        <v>1.0212591849761004</v>
      </c>
      <c r="EF55" s="181">
        <v>0.18055690459818707</v>
      </c>
      <c r="EG55" s="181">
        <v>1.1390065742762463</v>
      </c>
      <c r="EH55" s="181">
        <v>2.3753988092233604</v>
      </c>
      <c r="EJ55" s="31">
        <f t="shared" si="38"/>
        <v>1.7497345098077305E-3</v>
      </c>
      <c r="EK55" s="31">
        <f t="shared" si="39"/>
        <v>1.93233606420051E-2</v>
      </c>
      <c r="EL55" s="31">
        <f t="shared" si="40"/>
        <v>0</v>
      </c>
      <c r="EM55" s="31">
        <f t="shared" si="41"/>
        <v>4.5168496538532582E-2</v>
      </c>
      <c r="EN55" s="31">
        <f t="shared" si="42"/>
        <v>1.6595371414197126E-2</v>
      </c>
      <c r="EO55" s="31">
        <f t="shared" si="43"/>
        <v>0.16473716475470354</v>
      </c>
      <c r="EP55" s="31">
        <f t="shared" si="44"/>
        <v>7.5999315502602253E-3</v>
      </c>
      <c r="EQ55" s="31">
        <f t="shared" si="45"/>
        <v>4.1028977376086857E-2</v>
      </c>
      <c r="ER55" s="31">
        <f t="shared" si="46"/>
        <v>0.29620303678559323</v>
      </c>
      <c r="ES55" s="31">
        <f t="shared" si="47"/>
        <v>1.2144041022604697</v>
      </c>
      <c r="ET55" s="31"/>
      <c r="EU55" s="31">
        <f t="shared" si="48"/>
        <v>8.1789516942486012E-2</v>
      </c>
      <c r="EV55" s="31">
        <f t="shared" si="49"/>
        <v>7.5497568318004318E-2</v>
      </c>
      <c r="EW55" s="31">
        <f t="shared" si="50"/>
        <v>1.2048028822519909</v>
      </c>
      <c r="EX55" s="31">
        <f t="shared" si="51"/>
        <v>2.2203442220111981E-2</v>
      </c>
      <c r="EY55" s="31">
        <f t="shared" si="52"/>
        <v>0</v>
      </c>
      <c r="EZ55" s="31">
        <f t="shared" si="53"/>
        <v>0.17875597258517575</v>
      </c>
      <c r="FA55" s="31">
        <f t="shared" si="54"/>
        <v>1.0384195674068875</v>
      </c>
      <c r="FB55" s="31">
        <f t="shared" si="55"/>
        <v>1.8429326921731482E-2</v>
      </c>
      <c r="FC55" s="31">
        <f t="shared" si="56"/>
        <v>0.44387249539342732</v>
      </c>
      <c r="FD55" s="31">
        <f t="shared" si="57"/>
        <v>1.0568488943286189</v>
      </c>
      <c r="FE55" s="31">
        <f t="shared" si="58"/>
        <v>1.4057622970572785</v>
      </c>
      <c r="FF55" s="31">
        <f t="shared" si="59"/>
        <v>0.15728708526049032</v>
      </c>
      <c r="FG55" s="31">
        <f t="shared" si="60"/>
        <v>3.0637707720398151</v>
      </c>
      <c r="FH55" s="31"/>
      <c r="FI55" s="31">
        <f t="shared" si="61"/>
        <v>1.0255738801565644E-2</v>
      </c>
      <c r="FJ55" s="31">
        <f t="shared" si="62"/>
        <v>1.3310628339017678E-2</v>
      </c>
      <c r="FK55" s="31">
        <f t="shared" si="63"/>
        <v>0</v>
      </c>
      <c r="FL55" s="31">
        <f t="shared" si="64"/>
        <v>2.7474495168397662E-3</v>
      </c>
      <c r="FM55" s="31">
        <f t="shared" si="65"/>
        <v>-2.6761555264338762E-6</v>
      </c>
      <c r="FN55" s="31">
        <f t="shared" si="66"/>
        <v>5.3190587356301017E-4</v>
      </c>
      <c r="FO55" s="31">
        <f t="shared" si="67"/>
        <v>3.3027561048873555E-2</v>
      </c>
      <c r="FP55" s="31">
        <f t="shared" si="68"/>
        <v>2.7447733613133376E-3</v>
      </c>
      <c r="FQ55" s="31">
        <f t="shared" si="69"/>
        <v>2.3566367140583321E-2</v>
      </c>
      <c r="FR55" s="31">
        <f t="shared" si="70"/>
        <v>5.9870607424333228E-2</v>
      </c>
      <c r="FS55" s="31">
        <f t="shared" si="71"/>
        <v>5.9870607424333228E-2</v>
      </c>
      <c r="FT55" s="31"/>
      <c r="FU55" s="31">
        <f t="shared" si="72"/>
        <v>8.2045910412525142E-3</v>
      </c>
      <c r="FV55" s="31">
        <f t="shared" si="73"/>
        <v>9.3174398373123742E-3</v>
      </c>
      <c r="FW55" s="31">
        <f t="shared" si="74"/>
        <v>0</v>
      </c>
      <c r="FX55" s="31">
        <f t="shared" si="75"/>
        <v>2.7474495168397662E-3</v>
      </c>
      <c r="FY55" s="31">
        <f t="shared" si="76"/>
        <v>3.0167161727553812E-5</v>
      </c>
      <c r="FZ55" s="31">
        <f t="shared" si="77"/>
        <v>5.3190587356301017E-4</v>
      </c>
      <c r="GA55" s="31">
        <f t="shared" si="78"/>
        <v>1.5710651174722045E-2</v>
      </c>
      <c r="GB55" s="31">
        <f t="shared" si="79"/>
        <v>2.7776166785673201E-3</v>
      </c>
      <c r="GC55" s="31">
        <f t="shared" si="80"/>
        <v>1.7522030878564888E-2</v>
      </c>
      <c r="GD55" s="31">
        <f t="shared" si="81"/>
        <v>3.6542204605417267E-2</v>
      </c>
    </row>
    <row r="56" spans="1:186">
      <c r="A56" s="39" t="str">
        <f>Basicinfo!A56</f>
        <v>Klammbach</v>
      </c>
      <c r="B56" s="63">
        <f>Basicinfo!B56</f>
        <v>1620</v>
      </c>
      <c r="C56" s="63">
        <f>Basicinfo!C56</f>
        <v>1640</v>
      </c>
      <c r="D56" s="227">
        <v>98.794377356799998</v>
      </c>
      <c r="E56" s="89">
        <v>1.1829493162937501</v>
      </c>
      <c r="F56" s="27">
        <v>2.7024908066628091E-3</v>
      </c>
      <c r="G56" s="19">
        <v>0.20811501807666857</v>
      </c>
      <c r="H56" s="19">
        <v>0</v>
      </c>
      <c r="I56" s="19">
        <v>8.7134731419517414E-3</v>
      </c>
      <c r="J56" s="19">
        <v>0.93257694412089054</v>
      </c>
      <c r="K56" s="19">
        <v>2.3838656741491712E-3</v>
      </c>
      <c r="L56" s="19">
        <v>1.7422389687949003E-3</v>
      </c>
      <c r="M56" s="19">
        <v>5.184287438929641E-3</v>
      </c>
      <c r="N56" s="19">
        <v>1.1614183182280475</v>
      </c>
      <c r="O56" s="19">
        <v>2.1530998065702685E-2</v>
      </c>
      <c r="P56" s="56">
        <v>383.2515315333336</v>
      </c>
      <c r="Q56" s="43">
        <v>662.34156756583332</v>
      </c>
      <c r="R56" s="88">
        <v>1045.5930990991669</v>
      </c>
      <c r="S56" s="61">
        <v>0.56328467754937017</v>
      </c>
      <c r="T56" s="19">
        <v>10.564604741850815</v>
      </c>
      <c r="U56" s="19">
        <v>0</v>
      </c>
      <c r="V56" s="19">
        <v>2.5055821422613116</v>
      </c>
      <c r="W56" s="19">
        <v>1.6558539189145832E-2</v>
      </c>
      <c r="X56" s="19">
        <v>4.9679735301458647</v>
      </c>
      <c r="Y56" s="19">
        <v>48.994282965749939</v>
      </c>
      <c r="Z56" s="19">
        <v>0.21677652706140998</v>
      </c>
      <c r="AA56" s="19">
        <v>0.41206574917212979</v>
      </c>
      <c r="AB56" s="19">
        <v>0.90455141348455537</v>
      </c>
      <c r="AC56" s="19">
        <v>69.14568028646454</v>
      </c>
      <c r="AD56" s="19">
        <v>3.1466197666666673</v>
      </c>
      <c r="AE56" s="87">
        <v>72.292300053131214</v>
      </c>
      <c r="AF56" s="56">
        <v>1.393392781795557E-2</v>
      </c>
      <c r="AG56" s="43">
        <v>0.21279064428701036</v>
      </c>
      <c r="AH56" s="43">
        <v>0</v>
      </c>
      <c r="AI56" s="43">
        <v>1.6513531229857261</v>
      </c>
      <c r="AJ56" s="43">
        <v>0.298053705404625</v>
      </c>
      <c r="AK56" s="43">
        <v>2.2397004662989314E-2</v>
      </c>
      <c r="AL56" s="58">
        <v>0.70762401527069985</v>
      </c>
      <c r="AM56" s="43">
        <v>6.3470378867056018E-2</v>
      </c>
      <c r="AN56" s="42">
        <v>8.6580023586054738E-2</v>
      </c>
      <c r="AO56" s="42">
        <v>0.14689179500961813</v>
      </c>
      <c r="AP56" s="42">
        <v>3.2030946178917352</v>
      </c>
      <c r="AQ56" s="43">
        <v>0.45692200000000005</v>
      </c>
      <c r="AR56" s="83">
        <v>3.6600166178917353</v>
      </c>
      <c r="AS56" s="19">
        <f t="shared" si="2"/>
        <v>0.86265789976206841</v>
      </c>
      <c r="AT56" s="19">
        <f t="shared" si="3"/>
        <v>66.432072205514871</v>
      </c>
      <c r="AU56" s="19">
        <f t="shared" si="4"/>
        <v>0</v>
      </c>
      <c r="AV56" s="19">
        <f t="shared" si="5"/>
        <v>2.7814142500456427</v>
      </c>
      <c r="AW56" s="19">
        <f t="shared" si="6"/>
        <v>297.6864402270777</v>
      </c>
      <c r="AX56" s="53">
        <f t="shared" si="82"/>
        <v>0.76095006529026721</v>
      </c>
      <c r="AY56" s="53">
        <f t="shared" si="83"/>
        <v>0.55613739961623676</v>
      </c>
      <c r="AZ56" s="53">
        <f t="shared" si="84"/>
        <v>1.654868354335876</v>
      </c>
      <c r="BA56" s="19">
        <f t="shared" si="85"/>
        <v>370.73454040164268</v>
      </c>
      <c r="BB56" s="19">
        <f t="shared" si="7"/>
        <v>6.8728765053881311</v>
      </c>
      <c r="BC56" s="53">
        <f t="shared" si="8"/>
        <v>377.60741690703082</v>
      </c>
      <c r="BD56" s="56">
        <f t="shared" si="9"/>
        <v>38.792848519020957</v>
      </c>
      <c r="BE56" s="43">
        <f t="shared" si="10"/>
        <v>67.042435540006409</v>
      </c>
      <c r="BF56" s="58">
        <f t="shared" si="11"/>
        <v>105.83528405902737</v>
      </c>
      <c r="BG56" s="61">
        <f t="shared" si="12"/>
        <v>57.015863920579626</v>
      </c>
      <c r="BH56" s="19">
        <f t="shared" si="13"/>
        <v>1069.3528340885541</v>
      </c>
      <c r="BI56" s="19">
        <f t="shared" si="14"/>
        <v>0</v>
      </c>
      <c r="BJ56" s="19">
        <f t="shared" si="15"/>
        <v>253.61586451547723</v>
      </c>
      <c r="BK56" s="19">
        <f t="shared" si="16"/>
        <v>1.6760608885001602</v>
      </c>
      <c r="BL56" s="19">
        <f t="shared" si="17"/>
        <v>502.85994639187027</v>
      </c>
      <c r="BM56" s="19">
        <f t="shared" si="18"/>
        <v>4959.2177486786577</v>
      </c>
      <c r="BN56" s="53">
        <f t="shared" si="19"/>
        <v>21.942192750353854</v>
      </c>
      <c r="BO56" s="53">
        <f t="shared" si="86"/>
        <v>41.70943328929917</v>
      </c>
      <c r="BP56" s="53">
        <f t="shared" si="87"/>
        <v>91.558997352423248</v>
      </c>
      <c r="BQ56" s="19">
        <f t="shared" si="88"/>
        <v>6998.9489418757148</v>
      </c>
      <c r="BR56" s="19">
        <f t="shared" si="20"/>
        <v>318.50190778595822</v>
      </c>
      <c r="BS56" s="53">
        <f t="shared" si="21"/>
        <v>7317.4508496616727</v>
      </c>
      <c r="BT56" s="56">
        <f t="shared" si="22"/>
        <v>1.4103968455241751</v>
      </c>
      <c r="BU56" s="43">
        <f t="shared" si="23"/>
        <v>21.538740359535659</v>
      </c>
      <c r="BV56" s="43">
        <f t="shared" si="24"/>
        <v>0</v>
      </c>
      <c r="BW56" s="43">
        <f t="shared" si="25"/>
        <v>167.15051677706271</v>
      </c>
      <c r="BX56" s="43">
        <f t="shared" si="26"/>
        <v>30.169095993002887</v>
      </c>
      <c r="BY56" s="58">
        <f t="shared" si="27"/>
        <v>2.2670323212931036</v>
      </c>
      <c r="BZ56" s="58">
        <f t="shared" si="28"/>
        <v>71.625940079068087</v>
      </c>
      <c r="CA56" s="58">
        <f t="shared" si="29"/>
        <v>6.4244930293785956</v>
      </c>
      <c r="CB56" s="58">
        <f t="shared" si="89"/>
        <v>8.7636590160761259</v>
      </c>
      <c r="CC56" s="58">
        <f t="shared" si="90"/>
        <v>14.868436741001192</v>
      </c>
      <c r="CD56" s="58">
        <f t="shared" si="91"/>
        <v>324.21831116194249</v>
      </c>
      <c r="CE56" s="58">
        <f t="shared" si="30"/>
        <v>46.249798037575282</v>
      </c>
      <c r="CF56" s="58">
        <f t="shared" si="92"/>
        <v>370.46810919951776</v>
      </c>
      <c r="CG56" s="127">
        <v>58</v>
      </c>
      <c r="CH56" s="128" t="s">
        <v>169</v>
      </c>
      <c r="CI56" s="128"/>
      <c r="CJ56" s="126">
        <f t="shared" si="93"/>
        <v>53</v>
      </c>
      <c r="CK56" s="126">
        <f t="shared" si="95"/>
        <v>55</v>
      </c>
      <c r="CN56" s="147">
        <f t="shared" si="31"/>
        <v>1.393392781795557E-2</v>
      </c>
      <c r="CO56" s="147">
        <f t="shared" si="32"/>
        <v>0.21279064428701036</v>
      </c>
      <c r="CP56" s="147">
        <f t="shared" si="33"/>
        <v>0</v>
      </c>
      <c r="CQ56" s="31">
        <f>(AI56-(P56*450/1000000))*Parameters!$C$153</f>
        <v>1.1831119470365807</v>
      </c>
      <c r="CR56" s="31">
        <f t="shared" si="34"/>
        <v>2.2397004662989314E-2</v>
      </c>
      <c r="CS56" s="31">
        <f t="shared" si="35"/>
        <v>0.70762401527069985</v>
      </c>
      <c r="CT56" s="31">
        <f>AM56*Parameters!$C$154</f>
        <v>5.7123340980350421E-2</v>
      </c>
      <c r="CU56" s="31">
        <f>AQ56*Parameters!$C$155</f>
        <v>0.45692200000000005</v>
      </c>
      <c r="CV56" s="31">
        <f t="shared" si="36"/>
        <v>2.6539028800555866</v>
      </c>
      <c r="CW56" s="188">
        <f t="shared" si="37"/>
        <v>72.510678423758193</v>
      </c>
      <c r="CY56" s="181">
        <v>0</v>
      </c>
      <c r="CZ56" s="181">
        <v>3.5638965000000002</v>
      </c>
      <c r="DA56" s="181">
        <v>44.409323801188684</v>
      </c>
      <c r="DB56" s="181">
        <v>1.4190837902649593</v>
      </c>
      <c r="DC56" s="181">
        <v>0</v>
      </c>
      <c r="DD56" s="181">
        <v>8.5629512497134712</v>
      </c>
      <c r="DE56" s="181">
        <v>39.499070416142622</v>
      </c>
      <c r="DF56" s="181">
        <v>1.2256646713743846</v>
      </c>
      <c r="DG56" s="181">
        <v>11.468053246793279</v>
      </c>
      <c r="DH56" s="181">
        <v>40.724735087517004</v>
      </c>
      <c r="DI56" s="181">
        <v>54.391358841167111</v>
      </c>
      <c r="DJ56" s="181">
        <v>3.5638965000000002</v>
      </c>
      <c r="DK56" s="181">
        <v>110.1480436754774</v>
      </c>
      <c r="DL56" s="181"/>
      <c r="DM56" s="181">
        <v>0</v>
      </c>
      <c r="DN56" s="181">
        <v>0.5792797583113708</v>
      </c>
      <c r="DO56" s="181">
        <v>0</v>
      </c>
      <c r="DP56" s="181">
        <v>0.1579934707235004</v>
      </c>
      <c r="DQ56" s="181">
        <v>2.9529774473160408E-3</v>
      </c>
      <c r="DR56" s="181">
        <v>8.6908907026220471E-3</v>
      </c>
      <c r="DS56" s="181">
        <v>0.89990815032938443</v>
      </c>
      <c r="DT56" s="181">
        <v>0.16094644817081627</v>
      </c>
      <c r="DU56" s="181">
        <v>0.5792797583113708</v>
      </c>
      <c r="DV56" s="181">
        <v>1.6488252475141936</v>
      </c>
      <c r="DW56" s="181">
        <v>1.6488252475141936</v>
      </c>
      <c r="DX56" s="181"/>
      <c r="DY56" s="181">
        <v>0</v>
      </c>
      <c r="DZ56" s="181">
        <v>0.40549583081795953</v>
      </c>
      <c r="EA56" s="181">
        <v>0</v>
      </c>
      <c r="EB56" s="181">
        <v>0.1579934707235004</v>
      </c>
      <c r="EC56" s="181">
        <v>2.7745794909948551E-3</v>
      </c>
      <c r="ED56" s="181">
        <v>8.6908907026220471E-3</v>
      </c>
      <c r="EE56" s="181">
        <v>0.40434049494662644</v>
      </c>
      <c r="EF56" s="181">
        <v>0.16076805021449525</v>
      </c>
      <c r="EG56" s="181">
        <v>0.40549583081795953</v>
      </c>
      <c r="EH56" s="181">
        <v>0.97929526668170319</v>
      </c>
      <c r="EJ56" s="31">
        <f t="shared" si="38"/>
        <v>1.4103968455241749E-3</v>
      </c>
      <c r="EK56" s="31">
        <f t="shared" si="39"/>
        <v>2.1538740359535655E-2</v>
      </c>
      <c r="EL56" s="31">
        <f t="shared" si="40"/>
        <v>0</v>
      </c>
      <c r="EM56" s="31">
        <f t="shared" si="41"/>
        <v>0.11975498795480261</v>
      </c>
      <c r="EN56" s="31">
        <f t="shared" si="42"/>
        <v>2.2670323212931037E-3</v>
      </c>
      <c r="EO56" s="31">
        <f t="shared" si="43"/>
        <v>7.1625940079068084E-2</v>
      </c>
      <c r="EP56" s="31">
        <f t="shared" si="44"/>
        <v>5.782043726440738E-3</v>
      </c>
      <c r="EQ56" s="31">
        <f t="shared" si="45"/>
        <v>4.6249798037575278E-2</v>
      </c>
      <c r="ER56" s="31">
        <f t="shared" si="46"/>
        <v>0.2686289393242397</v>
      </c>
      <c r="ES56" s="31">
        <f t="shared" si="47"/>
        <v>7.3395551815548039</v>
      </c>
      <c r="ET56" s="31"/>
      <c r="EU56" s="31">
        <f t="shared" si="48"/>
        <v>0</v>
      </c>
      <c r="EV56" s="31">
        <f t="shared" si="49"/>
        <v>0.36073879863920189</v>
      </c>
      <c r="EW56" s="31">
        <f t="shared" si="50"/>
        <v>4.4951266447889608</v>
      </c>
      <c r="EX56" s="31">
        <f t="shared" si="51"/>
        <v>0.14364013704341486</v>
      </c>
      <c r="EY56" s="31">
        <f t="shared" si="52"/>
        <v>0</v>
      </c>
      <c r="EZ56" s="31">
        <f t="shared" si="53"/>
        <v>0.8667447964966688</v>
      </c>
      <c r="FA56" s="31">
        <f t="shared" si="54"/>
        <v>3.9981091508365996</v>
      </c>
      <c r="FB56" s="31">
        <f t="shared" si="55"/>
        <v>0.12406218897942396</v>
      </c>
      <c r="FC56" s="31">
        <f t="shared" si="56"/>
        <v>1.1608001946685618</v>
      </c>
      <c r="FD56" s="31">
        <f t="shared" si="57"/>
        <v>4.1221713398160231</v>
      </c>
      <c r="FE56" s="31">
        <f t="shared" si="58"/>
        <v>5.5055115783290445</v>
      </c>
      <c r="FF56" s="31">
        <f t="shared" si="59"/>
        <v>0.36073879863920189</v>
      </c>
      <c r="FG56" s="31">
        <f t="shared" si="60"/>
        <v>11.14922191145283</v>
      </c>
      <c r="FH56" s="31"/>
      <c r="FI56" s="31">
        <f t="shared" si="61"/>
        <v>0</v>
      </c>
      <c r="FJ56" s="31">
        <f t="shared" si="62"/>
        <v>5.8634891358166866E-2</v>
      </c>
      <c r="FK56" s="31">
        <f t="shared" si="63"/>
        <v>0</v>
      </c>
      <c r="FL56" s="31">
        <f t="shared" si="64"/>
        <v>1.5992152078948826E-2</v>
      </c>
      <c r="FM56" s="31">
        <f t="shared" si="65"/>
        <v>2.989013672965659E-4</v>
      </c>
      <c r="FN56" s="31">
        <f t="shared" si="66"/>
        <v>8.7969487081582937E-4</v>
      </c>
      <c r="FO56" s="31">
        <f t="shared" si="67"/>
        <v>9.1089004699055773E-2</v>
      </c>
      <c r="FP56" s="31">
        <f t="shared" si="68"/>
        <v>1.6291053446245377E-2</v>
      </c>
      <c r="FQ56" s="31">
        <f t="shared" si="69"/>
        <v>5.8634891358166866E-2</v>
      </c>
      <c r="FR56" s="31">
        <f t="shared" si="70"/>
        <v>0.16689464437428383</v>
      </c>
      <c r="FS56" s="31">
        <f t="shared" si="71"/>
        <v>0.16689464437428383</v>
      </c>
      <c r="FT56" s="31"/>
      <c r="FU56" s="31">
        <f t="shared" si="72"/>
        <v>0</v>
      </c>
      <c r="FV56" s="31">
        <f t="shared" si="73"/>
        <v>4.10444239507168E-2</v>
      </c>
      <c r="FW56" s="31">
        <f t="shared" si="74"/>
        <v>0</v>
      </c>
      <c r="FX56" s="31">
        <f t="shared" si="75"/>
        <v>1.5992152078948826E-2</v>
      </c>
      <c r="FY56" s="31">
        <f t="shared" si="76"/>
        <v>2.8084386634416917E-4</v>
      </c>
      <c r="FZ56" s="31">
        <f t="shared" si="77"/>
        <v>8.7969487081582937E-4</v>
      </c>
      <c r="GA56" s="31">
        <f t="shared" si="78"/>
        <v>4.0927480466457514E-2</v>
      </c>
      <c r="GB56" s="31">
        <f t="shared" si="79"/>
        <v>1.6272995945292995E-2</v>
      </c>
      <c r="GC56" s="31">
        <f t="shared" si="80"/>
        <v>4.10444239507168E-2</v>
      </c>
      <c r="GD56" s="31">
        <f t="shared" si="81"/>
        <v>9.9124595233283125E-2</v>
      </c>
    </row>
    <row r="57" spans="1:186">
      <c r="A57" s="39" t="str">
        <f>Basicinfo!A57</f>
        <v>Klammleitenbach</v>
      </c>
      <c r="B57" s="63">
        <f>Basicinfo!B57</f>
        <v>1630</v>
      </c>
      <c r="C57" s="63">
        <f>Basicinfo!C57</f>
        <v>1640</v>
      </c>
      <c r="D57" s="227">
        <v>79.3027611734</v>
      </c>
      <c r="E57" s="89">
        <v>1.1185962075819</v>
      </c>
      <c r="F57" s="27">
        <v>2.5674747975604397E-3</v>
      </c>
      <c r="G57" s="19">
        <v>0.21147655095714235</v>
      </c>
      <c r="H57" s="19">
        <v>0</v>
      </c>
      <c r="I57" s="19">
        <v>0</v>
      </c>
      <c r="J57" s="19">
        <v>0.89952263588978543</v>
      </c>
      <c r="K57" s="19">
        <v>1.3273194356774667E-3</v>
      </c>
      <c r="L57" s="19">
        <v>9.4820596446096805E-4</v>
      </c>
      <c r="M57" s="19">
        <v>2.7540205372734499E-3</v>
      </c>
      <c r="N57" s="19">
        <v>1.1185962075819</v>
      </c>
      <c r="O57" s="19">
        <v>0</v>
      </c>
      <c r="P57" s="56">
        <v>19.65276704357575</v>
      </c>
      <c r="Q57" s="43">
        <v>556.17179265126276</v>
      </c>
      <c r="R57" s="88">
        <v>575.82455969483851</v>
      </c>
      <c r="S57" s="61">
        <v>0.35965193798246803</v>
      </c>
      <c r="T57" s="19">
        <v>10.262499278606729</v>
      </c>
      <c r="U57" s="19">
        <v>0</v>
      </c>
      <c r="V57" s="19">
        <v>0.23210753216870311</v>
      </c>
      <c r="W57" s="19">
        <v>1.3904294816281568E-2</v>
      </c>
      <c r="X57" s="19">
        <v>0</v>
      </c>
      <c r="Y57" s="19">
        <v>33.334862813415711</v>
      </c>
      <c r="Z57" s="19">
        <v>0.11493001727505583</v>
      </c>
      <c r="AA57" s="19">
        <v>0.23086204843264818</v>
      </c>
      <c r="AB57" s="19">
        <v>0.57133950994331895</v>
      </c>
      <c r="AC57" s="19">
        <v>45.120157432640923</v>
      </c>
      <c r="AD57" s="19">
        <v>0</v>
      </c>
      <c r="AE57" s="87">
        <v>45.120157432640923</v>
      </c>
      <c r="AF57" s="56">
        <v>8.9113735464481612E-3</v>
      </c>
      <c r="AG57" s="43">
        <v>0.1919009323799567</v>
      </c>
      <c r="AH57" s="43">
        <v>0</v>
      </c>
      <c r="AI57" s="43">
        <v>7.2862744555248382E-2</v>
      </c>
      <c r="AJ57" s="43">
        <v>0.25027730669306825</v>
      </c>
      <c r="AK57" s="43">
        <v>0</v>
      </c>
      <c r="AL57" s="58">
        <v>0.80407973377762931</v>
      </c>
      <c r="AM57" s="43">
        <v>3.2831954067509411E-2</v>
      </c>
      <c r="AN57" s="42">
        <v>4.7091370672698515E-2</v>
      </c>
      <c r="AO57" s="42">
        <v>9.0998905953248485E-2</v>
      </c>
      <c r="AP57" s="42">
        <v>1.4989543216458074</v>
      </c>
      <c r="AQ57" s="43">
        <v>0</v>
      </c>
      <c r="AR57" s="83">
        <v>1.4989543216458074</v>
      </c>
      <c r="AS57" s="19">
        <f t="shared" ref="AS57:AS71" si="96">F57*86400*365/(D57*1000000)*1000</f>
        <v>1.0209970500122327</v>
      </c>
      <c r="AT57" s="19">
        <f t="shared" ref="AT57:AT71" si="97">G57*86400*365/(D57*1000000)*1000</f>
        <v>84.09700257979695</v>
      </c>
      <c r="AU57" s="19">
        <f t="shared" ref="AU57:AU71" si="98">H57*86400*365/(D57*1000000)*1000</f>
        <v>0</v>
      </c>
      <c r="AV57" s="19">
        <f t="shared" ref="AV57:AV71" si="99">I57*86400*365/(D57*1000000)*1000</f>
        <v>0</v>
      </c>
      <c r="AW57" s="19">
        <f t="shared" ref="AW57:AW71" si="100">J57*86400*365/(D57*1000000)*1000</f>
        <v>357.70943439653325</v>
      </c>
      <c r="AX57" s="53">
        <f t="shared" si="82"/>
        <v>0.52782961279240881</v>
      </c>
      <c r="AY57" s="53">
        <f t="shared" si="83"/>
        <v>0.37706913167698292</v>
      </c>
      <c r="AZ57" s="53">
        <f t="shared" si="84"/>
        <v>1.095179920325237</v>
      </c>
      <c r="BA57" s="19">
        <f t="shared" si="85"/>
        <v>444.82751269113703</v>
      </c>
      <c r="BB57" s="19">
        <f t="shared" ref="BB57:BB71" si="101">O57*86400*365/(D57*1000000)*1000</f>
        <v>0</v>
      </c>
      <c r="BC57" s="53">
        <f t="shared" si="8"/>
        <v>444.82751269113703</v>
      </c>
      <c r="BD57" s="56">
        <f t="shared" ref="BD57:BD71" si="102">P57/(D57*100)*1000</f>
        <v>2.4781945486871324</v>
      </c>
      <c r="BE57" s="43">
        <f t="shared" ref="BE57:BE71" si="103">Q57/(D57*100)*1000</f>
        <v>70.132714727947672</v>
      </c>
      <c r="BF57" s="58">
        <f t="shared" si="11"/>
        <v>72.6109092766348</v>
      </c>
      <c r="BG57" s="61">
        <f t="shared" ref="BG57:BG71" si="104">S57/(D57*100)*1000000</f>
        <v>45.351754801584846</v>
      </c>
      <c r="BH57" s="19">
        <f t="shared" ref="BH57:BH71" si="105">T57/(D57*100)*1000000</f>
        <v>1294.0910413153447</v>
      </c>
      <c r="BI57" s="19">
        <f t="shared" ref="BI57:BI71" si="106">U57/(D57*100)*1000000</f>
        <v>0</v>
      </c>
      <c r="BJ57" s="19">
        <f t="shared" ref="BJ57:BJ71" si="107">V57/(D57*100)*1000000</f>
        <v>29.268530973491174</v>
      </c>
      <c r="BK57" s="19">
        <f t="shared" ref="BK57:BK71" si="108">W57/(D57*100)*1000000</f>
        <v>1.7533178681986916</v>
      </c>
      <c r="BL57" s="19">
        <f t="shared" ref="BL57:BL71" si="109">X57/(D57*100)*1000000</f>
        <v>0</v>
      </c>
      <c r="BM57" s="19">
        <f t="shared" ref="BM57:BM71" si="110">Y57/(D57*100)*1000000</f>
        <v>4203.4933361938229</v>
      </c>
      <c r="BN57" s="53">
        <f t="shared" ref="BN57:BN71" si="111">Z57/(D57*100)*1000000</f>
        <v>14.492561869788469</v>
      </c>
      <c r="BO57" s="53">
        <f t="shared" si="86"/>
        <v>29.111476702287224</v>
      </c>
      <c r="BP57" s="53">
        <f t="shared" si="87"/>
        <v>72.045348924743308</v>
      </c>
      <c r="BQ57" s="19">
        <f t="shared" si="88"/>
        <v>5689.6073686492609</v>
      </c>
      <c r="BR57" s="19">
        <f t="shared" ref="BR57:BR71" si="112">AD57/(D57*100)*1000000</f>
        <v>0</v>
      </c>
      <c r="BS57" s="53">
        <f t="shared" si="21"/>
        <v>5689.6073686492609</v>
      </c>
      <c r="BT57" s="56">
        <f t="shared" ref="BT57:BT71" si="113">AF57/(D57*100)*1000000</f>
        <v>1.1237154185543345</v>
      </c>
      <c r="BU57" s="43">
        <f t="shared" ref="BU57:BU71" si="114">AG57/(D57*100)*1000000</f>
        <v>24.198518379499344</v>
      </c>
      <c r="BV57" s="43">
        <f t="shared" ref="BV57:BV71" si="115">AH57/(D57*100)*1000000</f>
        <v>0</v>
      </c>
      <c r="BW57" s="43">
        <f t="shared" ref="BW57:BW71" si="116">AI57/(D57*100)*1000000</f>
        <v>9.1879202536125888</v>
      </c>
      <c r="BX57" s="43">
        <f t="shared" ref="BX57:BX71" si="117">AJ57/(D57*100)*1000000</f>
        <v>31.559721627576454</v>
      </c>
      <c r="BY57" s="58">
        <f t="shared" ref="BY57:BY71" si="118">AK57/(D57*100)*1000000</f>
        <v>0</v>
      </c>
      <c r="BZ57" s="58">
        <f t="shared" ref="BZ57:BZ71" si="119">AL57/(D57*100)*1000000</f>
        <v>101.39366169350184</v>
      </c>
      <c r="CA57" s="58">
        <f t="shared" ref="CA57:CA71" si="120">AM57/(D57*100)*1000000</f>
        <v>4.1400770391487969</v>
      </c>
      <c r="CB57" s="58">
        <f t="shared" si="89"/>
        <v>5.9381754148169632</v>
      </c>
      <c r="CC57" s="58">
        <f t="shared" si="90"/>
        <v>11.474872325602156</v>
      </c>
      <c r="CD57" s="58">
        <f t="shared" si="91"/>
        <v>189.01666215231245</v>
      </c>
      <c r="CE57" s="58">
        <f t="shared" ref="CE57:CE71" si="121">AQ57/(D57*100)*1000000</f>
        <v>0</v>
      </c>
      <c r="CF57" s="58">
        <f t="shared" si="92"/>
        <v>189.01666215231245</v>
      </c>
      <c r="CG57" s="127">
        <v>58</v>
      </c>
      <c r="CH57" s="128" t="s">
        <v>169</v>
      </c>
      <c r="CI57" s="128"/>
      <c r="CJ57" s="126">
        <f t="shared" si="93"/>
        <v>54</v>
      </c>
      <c r="CK57" s="126">
        <f t="shared" si="95"/>
        <v>55</v>
      </c>
      <c r="CN57" s="147">
        <f t="shared" si="31"/>
        <v>8.9113735464481612E-3</v>
      </c>
      <c r="CO57" s="147">
        <f t="shared" si="32"/>
        <v>0.1919009323799567</v>
      </c>
      <c r="CP57" s="147">
        <f t="shared" si="33"/>
        <v>0</v>
      </c>
      <c r="CQ57" s="31">
        <f>(AI57-(P57*450/1000000))*Parameters!$C$153</f>
        <v>5.1215199508511437E-2</v>
      </c>
      <c r="CR57" s="31">
        <f t="shared" si="34"/>
        <v>0</v>
      </c>
      <c r="CS57" s="31">
        <f t="shared" si="35"/>
        <v>0.80407973377762931</v>
      </c>
      <c r="CT57" s="31">
        <f>AM57*Parameters!$C$154</f>
        <v>2.954875866075847E-2</v>
      </c>
      <c r="CU57" s="31">
        <f>AQ57*Parameters!$C$155</f>
        <v>0</v>
      </c>
      <c r="CV57" s="31">
        <f t="shared" si="36"/>
        <v>1.0856559978733042</v>
      </c>
      <c r="CW57" s="188">
        <f t="shared" si="37"/>
        <v>72.427557144055342</v>
      </c>
      <c r="CY57" s="181">
        <v>0</v>
      </c>
      <c r="CZ57" s="181">
        <v>0.17585699999999999</v>
      </c>
      <c r="DA57" s="181">
        <v>53.201429283225437</v>
      </c>
      <c r="DB57" s="181">
        <v>0.19701299819752954</v>
      </c>
      <c r="DC57" s="181">
        <v>0</v>
      </c>
      <c r="DD57" s="181">
        <v>1.3346547746946662</v>
      </c>
      <c r="DE57" s="181">
        <v>44.694551755190552</v>
      </c>
      <c r="DF57" s="181">
        <v>0.16030788713172497</v>
      </c>
      <c r="DG57" s="181">
        <v>8.5598729717080211</v>
      </c>
      <c r="DH57" s="181">
        <v>44.854859642322275</v>
      </c>
      <c r="DI57" s="181">
        <v>54.733097056117629</v>
      </c>
      <c r="DJ57" s="181">
        <v>0.17585699999999999</v>
      </c>
      <c r="DK57" s="181">
        <v>108.32368667014792</v>
      </c>
      <c r="DL57" s="181"/>
      <c r="DM57" s="181">
        <v>0</v>
      </c>
      <c r="DN57" s="181">
        <v>2.8587990899640571E-2</v>
      </c>
      <c r="DO57" s="181">
        <v>0</v>
      </c>
      <c r="DP57" s="181">
        <v>1.8772195051945682E-2</v>
      </c>
      <c r="DQ57" s="181">
        <v>-1.1566946851049309E-4</v>
      </c>
      <c r="DR57" s="181">
        <v>2.1981743947685744E-2</v>
      </c>
      <c r="DS57" s="181">
        <v>0.66734688301122647</v>
      </c>
      <c r="DT57" s="181">
        <v>1.8656525583435113E-2</v>
      </c>
      <c r="DU57" s="181">
        <v>2.8587990899640571E-2</v>
      </c>
      <c r="DV57" s="181">
        <v>0.73657314344198788</v>
      </c>
      <c r="DW57" s="181">
        <v>0.73657314344198788</v>
      </c>
      <c r="DX57" s="181"/>
      <c r="DY57" s="181">
        <v>0</v>
      </c>
      <c r="DZ57" s="181">
        <v>2.0011593629748397E-2</v>
      </c>
      <c r="EA57" s="181">
        <v>0</v>
      </c>
      <c r="EB57" s="181">
        <v>1.8772195051945682E-2</v>
      </c>
      <c r="EC57" s="181">
        <v>1.49164474340574E-4</v>
      </c>
      <c r="ED57" s="181">
        <v>2.1981743947685744E-2</v>
      </c>
      <c r="EE57" s="181">
        <v>0.15663381313144811</v>
      </c>
      <c r="EF57" s="181">
        <v>1.8921359526286256E-2</v>
      </c>
      <c r="EG57" s="181">
        <v>2.0011593629748397E-2</v>
      </c>
      <c r="EH57" s="181">
        <v>0.2175485102351685</v>
      </c>
      <c r="EJ57" s="31">
        <f t="shared" si="38"/>
        <v>1.1237154185543346E-3</v>
      </c>
      <c r="EK57" s="31">
        <f t="shared" ref="EK57:EK71" si="122">CO57/$D57*1000/100</f>
        <v>2.4198518379499344E-2</v>
      </c>
      <c r="EL57" s="31">
        <f t="shared" ref="EL57:EL71" si="123">CP57/$D57*1000/100</f>
        <v>0</v>
      </c>
      <c r="EM57" s="31">
        <f t="shared" ref="EM57:EM71" si="124">CQ57/$D57*1000/100</f>
        <v>6.458186165362703E-3</v>
      </c>
      <c r="EN57" s="31">
        <f t="shared" ref="EN57:EN71" si="125">CR57/$D57*1000/100</f>
        <v>0</v>
      </c>
      <c r="EO57" s="31">
        <f t="shared" ref="EO57:EO71" si="126">CS57/$D57*1000/100</f>
        <v>0.10139366169350185</v>
      </c>
      <c r="EP57" s="31">
        <f t="shared" ref="EP57:EP71" si="127">CT57/$D57*1000/100</f>
        <v>3.7260693352339181E-3</v>
      </c>
      <c r="EQ57" s="31">
        <f t="shared" ref="EQ57:EQ71" si="128">CU57/$D57*1000/100</f>
        <v>0</v>
      </c>
      <c r="ER57" s="31">
        <f t="shared" ref="ER57:ER71" si="129">CV57/$D57*1000/100</f>
        <v>0.13690015099215219</v>
      </c>
      <c r="ES57" s="31">
        <f t="shared" ref="ES57:ES71" si="130">CW57/$D57*1000/100</f>
        <v>9.1330435501089759</v>
      </c>
      <c r="ET57" s="31"/>
      <c r="EU57" s="31">
        <f t="shared" ref="EU57:EU71" si="131">CY57/$D57*1000/100</f>
        <v>0</v>
      </c>
      <c r="EV57" s="31">
        <f t="shared" ref="EV57:EV71" si="132">CZ57/$D57*1000/100</f>
        <v>2.2175394323972988E-2</v>
      </c>
      <c r="EW57" s="31">
        <f t="shared" ref="EW57:EW71" si="133">DA57/$D57*1000/100</f>
        <v>6.7086477817458947</v>
      </c>
      <c r="EX57" s="31">
        <f t="shared" ref="EX57:EX71" si="134">DB57/$D57*1000/100</f>
        <v>2.4843144839149973E-2</v>
      </c>
      <c r="EY57" s="31">
        <f t="shared" ref="EY57:EY71" si="135">DC57/$D57*1000/100</f>
        <v>0</v>
      </c>
      <c r="EZ57" s="31">
        <f t="shared" ref="EZ57:EZ71" si="136">DD57/$D57*1000/100</f>
        <v>0.16829865126339896</v>
      </c>
      <c r="FA57" s="31">
        <f t="shared" ref="FA57:FA71" si="137">DE57/$D57*1000/100</f>
        <v>5.6359389123240451</v>
      </c>
      <c r="FB57" s="31">
        <f t="shared" ref="FB57:FB71" si="138">DF57/$D57*1000/100</f>
        <v>2.0214666521031047E-2</v>
      </c>
      <c r="FC57" s="31">
        <f t="shared" ref="FC57:FC71" si="139">DG57/$D57*1000/100</f>
        <v>1.0793915426212426</v>
      </c>
      <c r="FD57" s="31">
        <f t="shared" ref="FD57:FD71" si="140">DH57/$D57*1000/100</f>
        <v>5.6561535788450756</v>
      </c>
      <c r="FE57" s="31">
        <f t="shared" ref="FE57:FE71" si="141">DI57/$D57*1000/100</f>
        <v>6.9017895778484437</v>
      </c>
      <c r="FF57" s="31">
        <f t="shared" ref="FF57:FF71" si="142">DJ57/$D57*1000/100</f>
        <v>2.2175394323972988E-2</v>
      </c>
      <c r="FG57" s="31">
        <f t="shared" ref="FG57:FG71" si="143">DK57/$D57*1000/100</f>
        <v>13.659510093638735</v>
      </c>
      <c r="FH57" s="31"/>
      <c r="FI57" s="31">
        <f t="shared" ref="FI57:FI71" si="144">DM57/$D57*1000/100</f>
        <v>0</v>
      </c>
      <c r="FJ57" s="31">
        <f t="shared" ref="FJ57:FJ71" si="145">DN57/$D57*1000/100</f>
        <v>3.6049174677702965E-3</v>
      </c>
      <c r="FK57" s="31">
        <f t="shared" ref="FK57:FK71" si="146">DO57/$D57*1000/100</f>
        <v>0</v>
      </c>
      <c r="FL57" s="31">
        <f t="shared" ref="FL57:FL71" si="147">DP57/$D57*1000/100</f>
        <v>2.3671552886915513E-3</v>
      </c>
      <c r="FM57" s="31">
        <f t="shared" ref="FM57:FM71" si="148">DQ57/$D57*1000/100</f>
        <v>-1.4585805941557976E-5</v>
      </c>
      <c r="FN57" s="31">
        <f t="shared" ref="FN57:FN71" si="149">DR57/$D57*1000/100</f>
        <v>2.7718762401754728E-3</v>
      </c>
      <c r="FO57" s="31">
        <f t="shared" ref="FO57:FO71" si="150">DS57/$D57*1000/100</f>
        <v>8.4151784015695827E-2</v>
      </c>
      <c r="FP57" s="31">
        <f t="shared" ref="FP57:FP71" si="151">DT57/$D57*1000/100</f>
        <v>2.3525694827499833E-3</v>
      </c>
      <c r="FQ57" s="31">
        <f t="shared" ref="FQ57:FQ71" si="152">DU57/$D57*1000/100</f>
        <v>3.6049174677702965E-3</v>
      </c>
      <c r="FR57" s="31">
        <f t="shared" ref="FR57:FR71" si="153">DV57/$D57*1000/100</f>
        <v>9.2881147206391554E-2</v>
      </c>
      <c r="FS57" s="31">
        <f t="shared" ref="FS57:FS71" si="154">DW57/$D57*1000/100</f>
        <v>9.2881147206391554E-2</v>
      </c>
      <c r="FT57" s="31"/>
      <c r="FU57" s="31">
        <f t="shared" ref="FU57:FU71" si="155">DY57/$D57*1000/100</f>
        <v>0</v>
      </c>
      <c r="FV57" s="31">
        <f t="shared" ref="FV57:FV71" si="156">DZ57/$D57*1000/100</f>
        <v>2.5234422274392071E-3</v>
      </c>
      <c r="FW57" s="31">
        <f t="shared" ref="FW57:FW71" si="157">EA57/$D57*1000/100</f>
        <v>0</v>
      </c>
      <c r="FX57" s="31">
        <f t="shared" ref="FX57:FX71" si="158">EB57/$D57*1000/100</f>
        <v>2.3671552886915513E-3</v>
      </c>
      <c r="FY57" s="31">
        <f t="shared" ref="FY57:FY71" si="159">EC57/$D57*1000/100</f>
        <v>1.8809493154269546E-5</v>
      </c>
      <c r="FZ57" s="31">
        <f t="shared" ref="FZ57:FZ71" si="160">ED57/$D57*1000/100</f>
        <v>2.7718762401754728E-3</v>
      </c>
      <c r="GA57" s="31">
        <f t="shared" ref="GA57:GA71" si="161">EE57/$D57*1000/100</f>
        <v>1.9751369411836667E-2</v>
      </c>
      <c r="GB57" s="31">
        <f t="shared" ref="GB57:GB71" si="162">EF57/$D57*1000/100</f>
        <v>2.3859647818458211E-3</v>
      </c>
      <c r="GC57" s="31">
        <f t="shared" ref="GC57:GC71" si="163">EG57/$D57*1000/100</f>
        <v>2.5234422274392071E-3</v>
      </c>
      <c r="GD57" s="31">
        <f t="shared" ref="GD57:GD71" si="164">EH57/$D57*1000/100</f>
        <v>2.7432652661297161E-2</v>
      </c>
    </row>
    <row r="58" spans="1:186">
      <c r="A58" s="39" t="str">
        <f>Basicinfo!A58</f>
        <v>Große Naarn</v>
      </c>
      <c r="B58" s="63">
        <f>Basicinfo!B58</f>
        <v>1640</v>
      </c>
      <c r="C58" s="63">
        <f>Basicinfo!C58</f>
        <v>5020</v>
      </c>
      <c r="D58" s="227">
        <v>469.7239325562</v>
      </c>
      <c r="E58" s="89">
        <v>5.95471702220265</v>
      </c>
      <c r="F58" s="27">
        <v>1.8254458654942719E-2</v>
      </c>
      <c r="G58" s="19">
        <v>1.0668182627693485</v>
      </c>
      <c r="H58" s="19">
        <v>0</v>
      </c>
      <c r="I58" s="19">
        <v>2.1644587212886021E-2</v>
      </c>
      <c r="J58" s="19">
        <v>4.7108248838931299</v>
      </c>
      <c r="K58" s="19">
        <v>1.2762822213059995E-2</v>
      </c>
      <c r="L58" s="19">
        <v>8.7697500750542421E-3</v>
      </c>
      <c r="M58" s="19">
        <v>2.5677283439107832E-2</v>
      </c>
      <c r="N58" s="19">
        <v>5.8647520482575288</v>
      </c>
      <c r="O58" s="19">
        <v>8.996497394512093E-2</v>
      </c>
      <c r="P58" s="56">
        <v>1235.0625319748538</v>
      </c>
      <c r="Q58" s="43">
        <v>3121.087272107578</v>
      </c>
      <c r="R58" s="88">
        <v>4356.1498040824317</v>
      </c>
      <c r="S58" s="61">
        <v>3.7503287046540774</v>
      </c>
      <c r="T58" s="19">
        <v>54.625106764561409</v>
      </c>
      <c r="U58" s="19">
        <v>0</v>
      </c>
      <c r="V58" s="19">
        <v>8.8592507414359911</v>
      </c>
      <c r="W58" s="19">
        <v>7.8027181802689444E-2</v>
      </c>
      <c r="X58" s="19">
        <v>11.347077537386028</v>
      </c>
      <c r="Y58" s="19">
        <v>270.0940244923878</v>
      </c>
      <c r="Z58" s="19">
        <v>1.1413953117545583</v>
      </c>
      <c r="AA58" s="19">
        <v>2.0927817502249448</v>
      </c>
      <c r="AB58" s="19">
        <v>4.7804010486778754</v>
      </c>
      <c r="AC58" s="19">
        <v>356.7683935328854</v>
      </c>
      <c r="AD58" s="19">
        <v>8.7817422377777774</v>
      </c>
      <c r="AE58" s="87">
        <v>365.55013577066313</v>
      </c>
      <c r="AF58" s="56">
        <v>9.2786195822165657E-2</v>
      </c>
      <c r="AG58" s="43">
        <v>1.0416241529415624</v>
      </c>
      <c r="AH58" s="43">
        <v>0</v>
      </c>
      <c r="AI58" s="43">
        <v>4.6812867026501381</v>
      </c>
      <c r="AJ58" s="43">
        <v>1.4044892724484099</v>
      </c>
      <c r="AK58" s="43">
        <v>8.8921559657554633E-2</v>
      </c>
      <c r="AL58" s="58">
        <v>3.6960330649686712</v>
      </c>
      <c r="AM58" s="43">
        <v>0.32169615874290247</v>
      </c>
      <c r="AN58" s="42">
        <v>0.42911150662699538</v>
      </c>
      <c r="AO58" s="42">
        <v>0.75606480414453803</v>
      </c>
      <c r="AP58" s="42">
        <v>12.512013418002939</v>
      </c>
      <c r="AQ58" s="43">
        <v>1.8525502666666667</v>
      </c>
      <c r="AR58" s="83">
        <v>14.364563684669605</v>
      </c>
      <c r="AS58" s="19">
        <f t="shared" si="96"/>
        <v>1.2255552000714749</v>
      </c>
      <c r="AT58" s="19">
        <f t="shared" si="97"/>
        <v>71.623305526739259</v>
      </c>
      <c r="AU58" s="19">
        <f t="shared" si="98"/>
        <v>0</v>
      </c>
      <c r="AV58" s="19">
        <f t="shared" si="99"/>
        <v>1.4531593028079446</v>
      </c>
      <c r="AW58" s="19">
        <f t="shared" si="100"/>
        <v>316.27209780434021</v>
      </c>
      <c r="AX58" s="53">
        <f t="shared" si="82"/>
        <v>0.85686151676528521</v>
      </c>
      <c r="AY58" s="53">
        <f t="shared" si="83"/>
        <v>0.58877740561754599</v>
      </c>
      <c r="AZ58" s="53">
        <f t="shared" si="84"/>
        <v>1.7239036685422056</v>
      </c>
      <c r="BA58" s="19">
        <f t="shared" si="85"/>
        <v>393.7436604248839</v>
      </c>
      <c r="BB58" s="19">
        <f t="shared" si="101"/>
        <v>6.0400061008045105</v>
      </c>
      <c r="BC58" s="53">
        <f t="shared" ref="BC58:BC71" si="165">BA58+BB58</f>
        <v>399.78366652568843</v>
      </c>
      <c r="BD58" s="56">
        <f t="shared" si="102"/>
        <v>26.29337034742391</v>
      </c>
      <c r="BE58" s="43">
        <f t="shared" si="103"/>
        <v>66.445140555706217</v>
      </c>
      <c r="BF58" s="58">
        <f t="shared" ref="BF58:BF71" si="166">SUM(BD58:BE58)</f>
        <v>92.738510903130134</v>
      </c>
      <c r="BG58" s="61">
        <f t="shared" si="104"/>
        <v>79.841124641980429</v>
      </c>
      <c r="BH58" s="19">
        <f t="shared" si="105"/>
        <v>1162.9193868682814</v>
      </c>
      <c r="BI58" s="19">
        <f t="shared" si="106"/>
        <v>0</v>
      </c>
      <c r="BJ58" s="19">
        <f t="shared" si="107"/>
        <v>188.60547924872932</v>
      </c>
      <c r="BK58" s="19">
        <f t="shared" si="108"/>
        <v>1.6611285138926555</v>
      </c>
      <c r="BL58" s="19">
        <f t="shared" si="109"/>
        <v>241.56907389487566</v>
      </c>
      <c r="BM58" s="19">
        <f t="shared" si="110"/>
        <v>5750.058827587467</v>
      </c>
      <c r="BN58" s="53">
        <f t="shared" si="111"/>
        <v>24.299279484082842</v>
      </c>
      <c r="BO58" s="53">
        <f t="shared" si="86"/>
        <v>44.553440971938436</v>
      </c>
      <c r="BP58" s="53">
        <f t="shared" si="87"/>
        <v>101.7704382798491</v>
      </c>
      <c r="BQ58" s="19">
        <f t="shared" si="88"/>
        <v>7595.278179491097</v>
      </c>
      <c r="BR58" s="19">
        <f t="shared" si="112"/>
        <v>186.95539292597334</v>
      </c>
      <c r="BS58" s="53">
        <f t="shared" ref="BS58:BS71" si="167">BQ58+BR58</f>
        <v>7782.2335724170707</v>
      </c>
      <c r="BT58" s="56">
        <f t="shared" si="113"/>
        <v>1.9753346464002934</v>
      </c>
      <c r="BU58" s="43">
        <f t="shared" si="114"/>
        <v>22.175241258692679</v>
      </c>
      <c r="BV58" s="43">
        <f t="shared" si="115"/>
        <v>0</v>
      </c>
      <c r="BW58" s="43">
        <f t="shared" si="116"/>
        <v>99.660383007843592</v>
      </c>
      <c r="BX58" s="43">
        <f t="shared" si="117"/>
        <v>29.900313250067796</v>
      </c>
      <c r="BY58" s="58">
        <f t="shared" si="118"/>
        <v>1.8930600187572013</v>
      </c>
      <c r="BZ58" s="58">
        <f t="shared" si="119"/>
        <v>78.685219312866508</v>
      </c>
      <c r="CA58" s="58">
        <f t="shared" si="120"/>
        <v>6.8486218488433774</v>
      </c>
      <c r="CB58" s="58">
        <f t="shared" si="89"/>
        <v>9.1353979834879802</v>
      </c>
      <c r="CC58" s="58">
        <f t="shared" si="90"/>
        <v>16.095939587963805</v>
      </c>
      <c r="CD58" s="58">
        <f t="shared" si="91"/>
        <v>266.36951091492324</v>
      </c>
      <c r="CE58" s="58">
        <f t="shared" si="121"/>
        <v>39.43912877900933</v>
      </c>
      <c r="CF58" s="58">
        <f t="shared" ref="CF58:CF71" si="168">CD58+CE58</f>
        <v>305.80863969393255</v>
      </c>
      <c r="CG58" s="127">
        <v>67</v>
      </c>
      <c r="CH58" s="128" t="s">
        <v>169</v>
      </c>
      <c r="CI58" s="128"/>
      <c r="CJ58" s="126">
        <f t="shared" si="93"/>
        <v>55</v>
      </c>
      <c r="CK58" s="126">
        <f t="shared" si="95"/>
        <v>64</v>
      </c>
      <c r="CN58" s="147">
        <f t="shared" ref="CN58:CN71" si="169">AF58</f>
        <v>9.2786195822165657E-2</v>
      </c>
      <c r="CO58" s="147">
        <f t="shared" ref="CO58:CO71" si="170">AG58</f>
        <v>1.0416241529415624</v>
      </c>
      <c r="CP58" s="147">
        <f t="shared" ref="CP58:CP71" si="171">AH58</f>
        <v>0</v>
      </c>
      <c r="CQ58" s="31">
        <f>(AI58-(P58*450/1000000))*Parameters!$C$153</f>
        <v>3.3004068506091637</v>
      </c>
      <c r="CR58" s="31">
        <f t="shared" ref="CR58:CR71" si="172">AK58</f>
        <v>8.8921559657554633E-2</v>
      </c>
      <c r="CS58" s="31">
        <f t="shared" ref="CS58:CS71" si="173">AL58</f>
        <v>3.6960330649686712</v>
      </c>
      <c r="CT58" s="31">
        <f>AM58*Parameters!$C$154</f>
        <v>0.28952654286861224</v>
      </c>
      <c r="CU58" s="31">
        <f>AQ58*Parameters!$C$155</f>
        <v>1.8525502666666667</v>
      </c>
      <c r="CV58" s="31">
        <f t="shared" ref="CV58:CV71" si="174">SUM(CN58:CU58)</f>
        <v>10.361848633534397</v>
      </c>
      <c r="CW58" s="188">
        <f t="shared" ref="CW58:CW71" si="175">CV58/AR58*100</f>
        <v>72.134795466102091</v>
      </c>
      <c r="CY58" s="181">
        <v>0</v>
      </c>
      <c r="CZ58" s="181">
        <v>4.7239840593807401</v>
      </c>
      <c r="DA58" s="181">
        <v>184.47377957898664</v>
      </c>
      <c r="DB58" s="181">
        <v>4.745372558922524</v>
      </c>
      <c r="DC58" s="181">
        <v>0</v>
      </c>
      <c r="DD58" s="181">
        <v>34.814447174445192</v>
      </c>
      <c r="DE58" s="181">
        <v>161.9354910829787</v>
      </c>
      <c r="DF58" s="181">
        <v>4.0413332293087052</v>
      </c>
      <c r="DG58" s="181">
        <v>50.510063939965377</v>
      </c>
      <c r="DH58" s="181">
        <v>165.97682431228742</v>
      </c>
      <c r="DI58" s="181">
        <v>224.03359931235434</v>
      </c>
      <c r="DJ58" s="181">
        <v>4.7239840593807401</v>
      </c>
      <c r="DK58" s="181">
        <v>445.24447162398792</v>
      </c>
      <c r="DL58" s="181"/>
      <c r="DM58" s="181">
        <v>0</v>
      </c>
      <c r="DN58" s="181">
        <v>0.77731465628766305</v>
      </c>
      <c r="DO58" s="181">
        <v>0</v>
      </c>
      <c r="DP58" s="181">
        <v>0.45598804751241656</v>
      </c>
      <c r="DQ58" s="181">
        <v>1.0852347831846965E-2</v>
      </c>
      <c r="DR58" s="181">
        <v>6.1292931319063604E-2</v>
      </c>
      <c r="DS58" s="181">
        <v>2.8755233177999187</v>
      </c>
      <c r="DT58" s="181">
        <v>0.46684039534426325</v>
      </c>
      <c r="DU58" s="181">
        <v>0.77731465628766305</v>
      </c>
      <c r="DV58" s="181">
        <v>4.1809713007509082</v>
      </c>
      <c r="DW58" s="181">
        <v>4.1809713007509082</v>
      </c>
      <c r="DX58" s="181"/>
      <c r="DY58" s="181">
        <v>0</v>
      </c>
      <c r="DZ58" s="181">
        <v>0.5441202594013641</v>
      </c>
      <c r="EA58" s="181">
        <v>0</v>
      </c>
      <c r="EB58" s="181">
        <v>0.45598804751241656</v>
      </c>
      <c r="EC58" s="181">
        <v>1.052362246200006E-2</v>
      </c>
      <c r="ED58" s="181">
        <v>6.1292931319063604E-2</v>
      </c>
      <c r="EE58" s="181">
        <v>0.91378859381836985</v>
      </c>
      <c r="EF58" s="181">
        <v>0.46651166997441662</v>
      </c>
      <c r="EG58" s="181">
        <v>0.5441202594013641</v>
      </c>
      <c r="EH58" s="181">
        <v>1.9857134545132142</v>
      </c>
      <c r="EJ58" s="31">
        <f t="shared" ref="EJ58:EJ71" si="176">CN58/$D58*1000/100</f>
        <v>1.9753346464002931E-3</v>
      </c>
      <c r="EK58" s="31">
        <f t="shared" si="122"/>
        <v>2.217524125869268E-2</v>
      </c>
      <c r="EL58" s="31">
        <f t="shared" si="123"/>
        <v>0</v>
      </c>
      <c r="EM58" s="31">
        <f t="shared" si="124"/>
        <v>7.0262693081202268E-2</v>
      </c>
      <c r="EN58" s="31">
        <f t="shared" si="125"/>
        <v>1.8930600187572013E-3</v>
      </c>
      <c r="EO58" s="31">
        <f t="shared" si="126"/>
        <v>7.8685219312866497E-2</v>
      </c>
      <c r="EP58" s="31">
        <f t="shared" si="127"/>
        <v>6.1637596639590401E-3</v>
      </c>
      <c r="EQ58" s="31">
        <f t="shared" si="128"/>
        <v>3.9439128779009333E-2</v>
      </c>
      <c r="ER58" s="31">
        <f t="shared" si="129"/>
        <v>0.22059443676088733</v>
      </c>
      <c r="ES58" s="31">
        <f t="shared" si="130"/>
        <v>1.5356849090816027</v>
      </c>
      <c r="ET58" s="31"/>
      <c r="EU58" s="31">
        <f t="shared" si="131"/>
        <v>0</v>
      </c>
      <c r="EV58" s="31">
        <f t="shared" si="132"/>
        <v>0.10056937132568906</v>
      </c>
      <c r="EW58" s="31">
        <f t="shared" si="133"/>
        <v>3.9272808301483622</v>
      </c>
      <c r="EX58" s="31">
        <f t="shared" si="134"/>
        <v>0.10102471324163935</v>
      </c>
      <c r="EY58" s="31">
        <f t="shared" si="135"/>
        <v>0</v>
      </c>
      <c r="EZ58" s="31">
        <f t="shared" si="136"/>
        <v>0.74116826419696691</v>
      </c>
      <c r="FA58" s="31">
        <f t="shared" si="137"/>
        <v>3.4474609416160411</v>
      </c>
      <c r="FB58" s="31">
        <f t="shared" si="138"/>
        <v>8.6036349208695698E-2</v>
      </c>
      <c r="FC58" s="31">
        <f t="shared" si="139"/>
        <v>1.0753138266788678</v>
      </c>
      <c r="FD58" s="31">
        <f t="shared" si="140"/>
        <v>3.5334972908247368</v>
      </c>
      <c r="FE58" s="31">
        <f t="shared" si="141"/>
        <v>4.7694738075869676</v>
      </c>
      <c r="FF58" s="31">
        <f t="shared" si="142"/>
        <v>0.10056937132568906</v>
      </c>
      <c r="FG58" s="31">
        <f t="shared" si="143"/>
        <v>9.4788542964162623</v>
      </c>
      <c r="FH58" s="31"/>
      <c r="FI58" s="31">
        <f t="shared" si="144"/>
        <v>0</v>
      </c>
      <c r="FJ58" s="31">
        <f t="shared" si="145"/>
        <v>1.6548329825512166E-2</v>
      </c>
      <c r="FK58" s="31">
        <f t="shared" si="146"/>
        <v>0</v>
      </c>
      <c r="FL58" s="31">
        <f t="shared" si="147"/>
        <v>9.7075753630641321E-3</v>
      </c>
      <c r="FM58" s="31">
        <f t="shared" si="148"/>
        <v>2.3103672348115961E-4</v>
      </c>
      <c r="FN58" s="31">
        <f t="shared" si="149"/>
        <v>1.304871373819775E-3</v>
      </c>
      <c r="FO58" s="31">
        <f t="shared" si="150"/>
        <v>6.1217304857164742E-2</v>
      </c>
      <c r="FP58" s="31">
        <f t="shared" si="151"/>
        <v>9.9386120865452877E-3</v>
      </c>
      <c r="FQ58" s="31">
        <f t="shared" si="152"/>
        <v>1.6548329825512166E-2</v>
      </c>
      <c r="FR58" s="31">
        <f t="shared" si="153"/>
        <v>8.9009118143041965E-2</v>
      </c>
      <c r="FS58" s="31">
        <f t="shared" si="154"/>
        <v>8.9009118143041965E-2</v>
      </c>
      <c r="FT58" s="31"/>
      <c r="FU58" s="31">
        <f t="shared" si="155"/>
        <v>0</v>
      </c>
      <c r="FV58" s="31">
        <f t="shared" si="156"/>
        <v>1.1583830877858517E-2</v>
      </c>
      <c r="FW58" s="31">
        <f t="shared" si="157"/>
        <v>0</v>
      </c>
      <c r="FX58" s="31">
        <f t="shared" si="158"/>
        <v>9.7075753630641321E-3</v>
      </c>
      <c r="FY58" s="31">
        <f t="shared" si="159"/>
        <v>2.2403845605079879E-4</v>
      </c>
      <c r="FZ58" s="31">
        <f t="shared" si="160"/>
        <v>1.304871373819775E-3</v>
      </c>
      <c r="GA58" s="31">
        <f t="shared" si="161"/>
        <v>1.9453737195071274E-2</v>
      </c>
      <c r="GB58" s="31">
        <f t="shared" si="162"/>
        <v>9.931613819114931E-3</v>
      </c>
      <c r="GC58" s="31">
        <f t="shared" si="163"/>
        <v>1.1583830877858517E-2</v>
      </c>
      <c r="GD58" s="31">
        <f t="shared" si="164"/>
        <v>4.2274053265864496E-2</v>
      </c>
    </row>
    <row r="59" spans="1:186">
      <c r="A59" s="39" t="str">
        <f>Basicinfo!A59</f>
        <v>Kartenbach</v>
      </c>
      <c r="B59" s="63">
        <f>Basicinfo!B59</f>
        <v>3650</v>
      </c>
      <c r="C59" s="63">
        <f>Basicinfo!C59</f>
        <v>0</v>
      </c>
      <c r="D59" s="227">
        <v>67.72</v>
      </c>
      <c r="E59" s="89">
        <v>0.77814879415982197</v>
      </c>
      <c r="F59" s="27">
        <v>1.1033929543039194E-3</v>
      </c>
      <c r="G59" s="19">
        <v>0.1365056702498828</v>
      </c>
      <c r="H59" s="19">
        <v>0</v>
      </c>
      <c r="I59" s="19">
        <v>5.5928127381486913E-2</v>
      </c>
      <c r="J59" s="19">
        <v>0.56771974004936876</v>
      </c>
      <c r="K59" s="19">
        <v>1.1823867059509577E-3</v>
      </c>
      <c r="L59" s="19">
        <v>1.4447386154238793E-3</v>
      </c>
      <c r="M59" s="19">
        <v>4.1565618863914217E-3</v>
      </c>
      <c r="N59" s="19">
        <v>0.76804061784280864</v>
      </c>
      <c r="O59" s="19">
        <v>1.010817631701336E-2</v>
      </c>
      <c r="P59" s="56">
        <v>128.20815291189393</v>
      </c>
      <c r="Q59" s="43">
        <v>230.31035561169625</v>
      </c>
      <c r="R59" s="88">
        <v>358.51850852359019</v>
      </c>
      <c r="S59" s="61">
        <v>0.24221790189872716</v>
      </c>
      <c r="T59" s="19">
        <v>7.2004133264464016</v>
      </c>
      <c r="U59" s="19">
        <v>0</v>
      </c>
      <c r="V59" s="19">
        <v>1.3221106987921618</v>
      </c>
      <c r="W59" s="19">
        <v>5.7577588902924066E-3</v>
      </c>
      <c r="X59" s="19">
        <v>26.952094487071271</v>
      </c>
      <c r="Y59" s="19">
        <v>28.780076815187321</v>
      </c>
      <c r="Z59" s="19">
        <v>0.10714421571260473</v>
      </c>
      <c r="AA59" s="19">
        <v>0.33421151576372643</v>
      </c>
      <c r="AB59" s="19">
        <v>1.1794100605790947</v>
      </c>
      <c r="AC59" s="19">
        <v>66.123436780341621</v>
      </c>
      <c r="AD59" s="19">
        <v>0.6888943666666667</v>
      </c>
      <c r="AE59" s="87">
        <v>66.812331147008294</v>
      </c>
      <c r="AF59" s="56">
        <v>6.4940771419579974E-3</v>
      </c>
      <c r="AG59" s="43">
        <v>0.13558781187418059</v>
      </c>
      <c r="AH59" s="43">
        <v>0</v>
      </c>
      <c r="AI59" s="43">
        <v>0.48085011292562252</v>
      </c>
      <c r="AJ59" s="43">
        <v>0.10363966002526331</v>
      </c>
      <c r="AK59" s="43">
        <v>0.3517808354494647</v>
      </c>
      <c r="AL59" s="58">
        <v>0.60849460087502383</v>
      </c>
      <c r="AM59" s="43">
        <v>2.9968231428099377E-2</v>
      </c>
      <c r="AN59" s="42">
        <v>6.8922377206138863E-2</v>
      </c>
      <c r="AO59" s="42">
        <v>0.17700380672239402</v>
      </c>
      <c r="AP59" s="42">
        <v>1.9627415136481452</v>
      </c>
      <c r="AQ59" s="43">
        <v>0.30080983333333333</v>
      </c>
      <c r="AR59" s="83">
        <v>2.2635513469814788</v>
      </c>
      <c r="AS59" s="19">
        <f t="shared" si="96"/>
        <v>0.51383048149628474</v>
      </c>
      <c r="AT59" s="19">
        <f t="shared" si="97"/>
        <v>63.568263688722745</v>
      </c>
      <c r="AU59" s="19">
        <f t="shared" si="98"/>
        <v>0</v>
      </c>
      <c r="AV59" s="19">
        <f t="shared" si="99"/>
        <v>26.044734570327396</v>
      </c>
      <c r="AW59" s="19">
        <f t="shared" si="100"/>
        <v>264.37698940042662</v>
      </c>
      <c r="AX59" s="53">
        <f t="shared" si="82"/>
        <v>0.55061646720126112</v>
      </c>
      <c r="AY59" s="53">
        <f t="shared" si="83"/>
        <v>0.67278908706449292</v>
      </c>
      <c r="AZ59" s="53">
        <f t="shared" si="84"/>
        <v>1.9356369706030694</v>
      </c>
      <c r="BA59" s="19">
        <f t="shared" si="85"/>
        <v>357.66286066584189</v>
      </c>
      <c r="BB59" s="19">
        <f t="shared" si="101"/>
        <v>4.7071979966528845</v>
      </c>
      <c r="BC59" s="53">
        <f t="shared" si="165"/>
        <v>362.37005866249478</v>
      </c>
      <c r="BD59" s="56">
        <f t="shared" si="102"/>
        <v>18.932095822784099</v>
      </c>
      <c r="BE59" s="43">
        <f t="shared" si="103"/>
        <v>34.009207857604295</v>
      </c>
      <c r="BF59" s="58">
        <f t="shared" si="166"/>
        <v>52.941303680388394</v>
      </c>
      <c r="BG59" s="61">
        <f t="shared" si="104"/>
        <v>35.767557870455867</v>
      </c>
      <c r="BH59" s="19">
        <f t="shared" si="105"/>
        <v>1063.262452221855</v>
      </c>
      <c r="BI59" s="19">
        <f t="shared" si="106"/>
        <v>0</v>
      </c>
      <c r="BJ59" s="19">
        <f t="shared" si="107"/>
        <v>195.23194016422946</v>
      </c>
      <c r="BK59" s="19">
        <f t="shared" si="108"/>
        <v>0.85023019644010733</v>
      </c>
      <c r="BL59" s="19">
        <f t="shared" si="109"/>
        <v>3979.93125916587</v>
      </c>
      <c r="BM59" s="19">
        <f t="shared" si="110"/>
        <v>4249.8636761942298</v>
      </c>
      <c r="BN59" s="53">
        <f t="shared" si="111"/>
        <v>15.821650282428342</v>
      </c>
      <c r="BO59" s="53">
        <f t="shared" si="86"/>
        <v>49.351966297065339</v>
      </c>
      <c r="BP59" s="53">
        <f t="shared" si="87"/>
        <v>174.15978449189231</v>
      </c>
      <c r="BQ59" s="19">
        <f t="shared" si="88"/>
        <v>9764.2405168844653</v>
      </c>
      <c r="BR59" s="19">
        <f t="shared" si="112"/>
        <v>101.72687044693838</v>
      </c>
      <c r="BS59" s="53">
        <f t="shared" si="167"/>
        <v>9865.9673873314041</v>
      </c>
      <c r="BT59" s="56">
        <f t="shared" si="113"/>
        <v>0.95896000324246855</v>
      </c>
      <c r="BU59" s="43">
        <f t="shared" si="114"/>
        <v>20.021826915856558</v>
      </c>
      <c r="BV59" s="43">
        <f t="shared" si="115"/>
        <v>0</v>
      </c>
      <c r="BW59" s="43">
        <f t="shared" si="116"/>
        <v>71.005628016187615</v>
      </c>
      <c r="BX59" s="43">
        <f t="shared" si="117"/>
        <v>15.304143535921929</v>
      </c>
      <c r="BY59" s="58">
        <f t="shared" si="118"/>
        <v>51.946372629867795</v>
      </c>
      <c r="BZ59" s="58">
        <f t="shared" si="119"/>
        <v>89.854489201864112</v>
      </c>
      <c r="CA59" s="58">
        <f t="shared" si="120"/>
        <v>4.4253147413023299</v>
      </c>
      <c r="CB59" s="58">
        <f t="shared" si="89"/>
        <v>10.177551270841533</v>
      </c>
      <c r="CC59" s="58">
        <f t="shared" si="90"/>
        <v>26.137596976136152</v>
      </c>
      <c r="CD59" s="58">
        <f t="shared" si="91"/>
        <v>289.83188329122049</v>
      </c>
      <c r="CE59" s="58">
        <f t="shared" si="121"/>
        <v>44.419644615081708</v>
      </c>
      <c r="CF59" s="58">
        <f t="shared" si="168"/>
        <v>334.25152790630221</v>
      </c>
      <c r="CG59" s="127">
        <v>-1</v>
      </c>
      <c r="CH59" s="128" t="s">
        <v>169</v>
      </c>
      <c r="CI59" s="128"/>
      <c r="CJ59" s="126">
        <f t="shared" si="93"/>
        <v>56</v>
      </c>
      <c r="CK59" s="126">
        <f t="shared" si="95"/>
        <v>0</v>
      </c>
      <c r="CN59" s="147">
        <f t="shared" si="169"/>
        <v>6.4940771419579974E-3</v>
      </c>
      <c r="CO59" s="147">
        <f t="shared" si="170"/>
        <v>0.13558781187418059</v>
      </c>
      <c r="CP59" s="147">
        <f t="shared" si="171"/>
        <v>0</v>
      </c>
      <c r="CQ59" s="31">
        <f>(AI59-(P59*450/1000000))*Parameters!$C$153</f>
        <v>0.33852515529221622</v>
      </c>
      <c r="CR59" s="31">
        <f t="shared" si="172"/>
        <v>0.3517808354494647</v>
      </c>
      <c r="CS59" s="31">
        <f t="shared" si="173"/>
        <v>0.60849460087502383</v>
      </c>
      <c r="CT59" s="31">
        <f>AM59*Parameters!$C$154</f>
        <v>2.697140828528944E-2</v>
      </c>
      <c r="CU59" s="31">
        <f>AQ59*Parameters!$C$155</f>
        <v>0.30080983333333333</v>
      </c>
      <c r="CV59" s="31">
        <f t="shared" si="174"/>
        <v>1.7686637222514661</v>
      </c>
      <c r="CW59" s="188">
        <f t="shared" si="175"/>
        <v>78.136673356671949</v>
      </c>
      <c r="CY59" s="181">
        <v>5.2816266666666669</v>
      </c>
      <c r="CZ59" s="181">
        <v>7.3658621968648035</v>
      </c>
      <c r="DA59" s="181">
        <v>375.17800572831328</v>
      </c>
      <c r="DB59" s="181">
        <v>8.7803254025684243</v>
      </c>
      <c r="DC59" s="181">
        <v>0</v>
      </c>
      <c r="DD59" s="181">
        <v>61.499013858682751</v>
      </c>
      <c r="DE59" s="181">
        <v>321.39543585179149</v>
      </c>
      <c r="DF59" s="181">
        <v>7.3047666693155247</v>
      </c>
      <c r="DG59" s="181">
        <v>97.068127346568815</v>
      </c>
      <c r="DH59" s="181">
        <v>328.70020252110703</v>
      </c>
      <c r="DI59" s="181">
        <v>445.45734498956449</v>
      </c>
      <c r="DJ59" s="181">
        <v>12.647488863531471</v>
      </c>
      <c r="DK59" s="181">
        <v>883.87316372077191</v>
      </c>
      <c r="DL59" s="181"/>
      <c r="DM59" s="181">
        <v>0.9754666666666667</v>
      </c>
      <c r="DN59" s="181">
        <v>1.2414910668677201</v>
      </c>
      <c r="DO59" s="181">
        <v>0</v>
      </c>
      <c r="DP59" s="181">
        <v>0.8281607390243283</v>
      </c>
      <c r="DQ59" s="181">
        <v>2.5929812837039323E-2</v>
      </c>
      <c r="DR59" s="181">
        <v>0.12874879740019685</v>
      </c>
      <c r="DS59" s="181">
        <v>5.5499945429638622</v>
      </c>
      <c r="DT59" s="181">
        <v>0.8540905518613674</v>
      </c>
      <c r="DU59" s="181">
        <v>2.2169577335343869</v>
      </c>
      <c r="DV59" s="181">
        <v>8.7497916257598138</v>
      </c>
      <c r="DW59" s="181">
        <v>8.7497916257598138</v>
      </c>
      <c r="DX59" s="181"/>
      <c r="DY59" s="181">
        <v>0.78037333333333336</v>
      </c>
      <c r="DZ59" s="181">
        <v>0.86904374680740426</v>
      </c>
      <c r="EA59" s="181">
        <v>0</v>
      </c>
      <c r="EB59" s="181">
        <v>0.8281607390243283</v>
      </c>
      <c r="EC59" s="181">
        <v>2.1805331556803059E-2</v>
      </c>
      <c r="ED59" s="181">
        <v>0.12874879740019685</v>
      </c>
      <c r="EE59" s="181">
        <v>1.5681990604424123</v>
      </c>
      <c r="EF59" s="181">
        <v>0.84996607058113138</v>
      </c>
      <c r="EG59" s="181">
        <v>1.6494170801407377</v>
      </c>
      <c r="EH59" s="181">
        <v>4.1963310085644787</v>
      </c>
      <c r="EJ59" s="31">
        <f t="shared" si="176"/>
        <v>9.589600032424686E-4</v>
      </c>
      <c r="EK59" s="31">
        <f t="shared" si="122"/>
        <v>2.0021826915856553E-2</v>
      </c>
      <c r="EL59" s="31">
        <f t="shared" si="123"/>
        <v>0</v>
      </c>
      <c r="EM59" s="31">
        <f t="shared" si="124"/>
        <v>4.9988947916747815E-2</v>
      </c>
      <c r="EN59" s="31">
        <f t="shared" si="125"/>
        <v>5.1946372629867794E-2</v>
      </c>
      <c r="EO59" s="31">
        <f t="shared" si="126"/>
        <v>8.9854489201864118E-2</v>
      </c>
      <c r="EP59" s="31">
        <f t="shared" si="127"/>
        <v>3.9827832671720971E-3</v>
      </c>
      <c r="EQ59" s="31">
        <f t="shared" si="128"/>
        <v>4.4419644615081709E-2</v>
      </c>
      <c r="ER59" s="31">
        <f t="shared" si="129"/>
        <v>0.26117302454983254</v>
      </c>
      <c r="ES59" s="31">
        <f t="shared" si="130"/>
        <v>11.538197483265202</v>
      </c>
      <c r="ET59" s="31"/>
      <c r="EU59" s="31">
        <f t="shared" si="131"/>
        <v>0.77992124433943699</v>
      </c>
      <c r="EV59" s="31">
        <f t="shared" si="132"/>
        <v>1.0876937679953935</v>
      </c>
      <c r="EW59" s="31">
        <f t="shared" si="133"/>
        <v>55.401359381026765</v>
      </c>
      <c r="EX59" s="31">
        <f t="shared" si="134"/>
        <v>1.296563113196755</v>
      </c>
      <c r="EY59" s="31">
        <f t="shared" si="135"/>
        <v>0</v>
      </c>
      <c r="EZ59" s="31">
        <f t="shared" si="136"/>
        <v>9.0813664882874701</v>
      </c>
      <c r="FA59" s="31">
        <f t="shared" si="137"/>
        <v>47.459455973389176</v>
      </c>
      <c r="FB59" s="31">
        <f t="shared" si="138"/>
        <v>1.0786719830649034</v>
      </c>
      <c r="FC59" s="31">
        <f t="shared" si="139"/>
        <v>14.333745916504549</v>
      </c>
      <c r="FD59" s="31">
        <f t="shared" si="140"/>
        <v>48.538127956454083</v>
      </c>
      <c r="FE59" s="31">
        <f t="shared" si="141"/>
        <v>65.779288982510991</v>
      </c>
      <c r="FF59" s="31">
        <f t="shared" si="142"/>
        <v>1.8676150123348305</v>
      </c>
      <c r="FG59" s="31">
        <f t="shared" si="143"/>
        <v>130.51877786780449</v>
      </c>
      <c r="FH59" s="31"/>
      <c r="FI59" s="31">
        <f t="shared" si="144"/>
        <v>0.14404410316991537</v>
      </c>
      <c r="FJ59" s="31">
        <f t="shared" si="145"/>
        <v>0.18332709197692265</v>
      </c>
      <c r="FK59" s="31">
        <f t="shared" si="146"/>
        <v>0</v>
      </c>
      <c r="FL59" s="31">
        <f t="shared" si="147"/>
        <v>0.12229189885179094</v>
      </c>
      <c r="FM59" s="31">
        <f t="shared" si="148"/>
        <v>3.8289741342349857E-3</v>
      </c>
      <c r="FN59" s="31">
        <f t="shared" si="149"/>
        <v>1.9011931098670533E-2</v>
      </c>
      <c r="FO59" s="31">
        <f t="shared" si="150"/>
        <v>0.81955028691137954</v>
      </c>
      <c r="FP59" s="31">
        <f t="shared" si="151"/>
        <v>0.12612087298602589</v>
      </c>
      <c r="FQ59" s="31">
        <f t="shared" si="152"/>
        <v>0.32737119514683799</v>
      </c>
      <c r="FR59" s="31">
        <f t="shared" si="153"/>
        <v>1.2920542861429141</v>
      </c>
      <c r="FS59" s="31">
        <f t="shared" si="154"/>
        <v>1.2920542861429141</v>
      </c>
      <c r="FT59" s="31"/>
      <c r="FU59" s="31">
        <f t="shared" si="155"/>
        <v>0.11523528253593227</v>
      </c>
      <c r="FV59" s="31">
        <f t="shared" si="156"/>
        <v>0.12832896438384586</v>
      </c>
      <c r="FW59" s="31">
        <f t="shared" si="157"/>
        <v>0</v>
      </c>
      <c r="FX59" s="31">
        <f t="shared" si="158"/>
        <v>0.12229189885179094</v>
      </c>
      <c r="FY59" s="31">
        <f t="shared" si="159"/>
        <v>3.2199249197878118E-3</v>
      </c>
      <c r="FZ59" s="31">
        <f t="shared" si="160"/>
        <v>1.9011931098670533E-2</v>
      </c>
      <c r="GA59" s="31">
        <f t="shared" si="161"/>
        <v>0.23157103668671181</v>
      </c>
      <c r="GB59" s="31">
        <f t="shared" si="162"/>
        <v>0.12551182377157877</v>
      </c>
      <c r="GC59" s="31">
        <f t="shared" si="163"/>
        <v>0.24356424691977818</v>
      </c>
      <c r="GD59" s="31">
        <f t="shared" si="164"/>
        <v>0.61965903847673931</v>
      </c>
    </row>
    <row r="60" spans="1:186">
      <c r="A60" s="39" t="str">
        <f>Basicinfo!A60</f>
        <v>Maltsch</v>
      </c>
      <c r="B60" s="63">
        <f>Basicinfo!B60</f>
        <v>3660</v>
      </c>
      <c r="C60" s="63">
        <f>Basicinfo!C60</f>
        <v>0</v>
      </c>
      <c r="D60" s="227">
        <v>97.007999999999996</v>
      </c>
      <c r="E60" s="89">
        <v>1.14928402750619</v>
      </c>
      <c r="F60" s="27">
        <v>3.3262066541541223E-3</v>
      </c>
      <c r="G60" s="19">
        <v>0.20699626316067335</v>
      </c>
      <c r="H60" s="19">
        <v>0</v>
      </c>
      <c r="I60" s="19">
        <v>3.4364758587154313E-2</v>
      </c>
      <c r="J60" s="19">
        <v>0.8961045250496531</v>
      </c>
      <c r="K60" s="19">
        <v>9.0032863861654088E-4</v>
      </c>
      <c r="L60" s="19">
        <v>1.955570748603822E-3</v>
      </c>
      <c r="M60" s="19">
        <v>3.0352878142144244E-3</v>
      </c>
      <c r="N60" s="19">
        <v>1.1466829406530696</v>
      </c>
      <c r="O60" s="19">
        <v>2.6010868531202436E-3</v>
      </c>
      <c r="P60" s="56">
        <v>49.277988224204137</v>
      </c>
      <c r="Q60" s="43">
        <v>579.90491045685985</v>
      </c>
      <c r="R60" s="88">
        <v>629.18289868106399</v>
      </c>
      <c r="S60" s="61">
        <v>0.42202838373345264</v>
      </c>
      <c r="T60" s="19">
        <v>9.3535984655316291</v>
      </c>
      <c r="U60" s="19">
        <v>0</v>
      </c>
      <c r="V60" s="19">
        <v>0.59372406882970474</v>
      </c>
      <c r="W60" s="19">
        <v>1.4497622761421497E-2</v>
      </c>
      <c r="X60" s="19">
        <v>13.700046248762609</v>
      </c>
      <c r="Y60" s="19">
        <v>51.964536232067019</v>
      </c>
      <c r="Z60" s="19">
        <v>7.5479458942196598E-2</v>
      </c>
      <c r="AA60" s="19">
        <v>0.47475942565024765</v>
      </c>
      <c r="AB60" s="19">
        <v>0.71413655283061084</v>
      </c>
      <c r="AC60" s="19">
        <v>77.312806459108899</v>
      </c>
      <c r="AD60" s="19">
        <v>0.61670400000000014</v>
      </c>
      <c r="AE60" s="87">
        <v>77.929510459108897</v>
      </c>
      <c r="AF60" s="56">
        <v>1.1358189148984109E-2</v>
      </c>
      <c r="AG60" s="43">
        <v>0.19423235047373441</v>
      </c>
      <c r="AH60" s="43">
        <v>0</v>
      </c>
      <c r="AI60" s="43">
        <v>0.17453084034857094</v>
      </c>
      <c r="AJ60" s="43">
        <v>0.26095720970558695</v>
      </c>
      <c r="AK60" s="43">
        <v>0.21446539417482768</v>
      </c>
      <c r="AL60" s="58">
        <v>0.96046469207671803</v>
      </c>
      <c r="AM60" s="43">
        <v>2.2595235719505877E-2</v>
      </c>
      <c r="AN60" s="42">
        <v>9.8376587263850915E-2</v>
      </c>
      <c r="AO60" s="42">
        <v>0.11166844616467791</v>
      </c>
      <c r="AP60" s="42">
        <v>2.0486489450764567</v>
      </c>
      <c r="AQ60" s="43">
        <v>7.8839999999999993E-2</v>
      </c>
      <c r="AR60" s="83">
        <v>2.1274889450764567</v>
      </c>
      <c r="AS60" s="19">
        <f t="shared" si="96"/>
        <v>1.0813051814840466</v>
      </c>
      <c r="AT60" s="19">
        <f t="shared" si="97"/>
        <v>67.291709498546453</v>
      </c>
      <c r="AU60" s="19">
        <f t="shared" si="98"/>
        <v>0</v>
      </c>
      <c r="AV60" s="19">
        <f t="shared" si="99"/>
        <v>11.171522212647394</v>
      </c>
      <c r="AW60" s="19">
        <f t="shared" si="100"/>
        <v>291.31156504582981</v>
      </c>
      <c r="AX60" s="53">
        <f t="shared" si="82"/>
        <v>0.2926847677244272</v>
      </c>
      <c r="AY60" s="53">
        <f t="shared" si="83"/>
        <v>0.63572982772524045</v>
      </c>
      <c r="AZ60" s="53">
        <f t="shared" si="84"/>
        <v>0.98673136760953828</v>
      </c>
      <c r="BA60" s="19">
        <f t="shared" si="85"/>
        <v>372.77124790156688</v>
      </c>
      <c r="BB60" s="19">
        <f t="shared" si="101"/>
        <v>0.8455784574468086</v>
      </c>
      <c r="BC60" s="53">
        <f t="shared" si="165"/>
        <v>373.61682635901371</v>
      </c>
      <c r="BD60" s="56">
        <f t="shared" si="102"/>
        <v>5.0797860201430955</v>
      </c>
      <c r="BE60" s="43">
        <f t="shared" si="103"/>
        <v>59.779081153807923</v>
      </c>
      <c r="BF60" s="58">
        <f t="shared" si="166"/>
        <v>64.858867173951012</v>
      </c>
      <c r="BG60" s="61">
        <f t="shared" si="104"/>
        <v>43.504492797857147</v>
      </c>
      <c r="BH60" s="19">
        <f t="shared" si="105"/>
        <v>964.20897921116091</v>
      </c>
      <c r="BI60" s="19">
        <f t="shared" si="106"/>
        <v>0</v>
      </c>
      <c r="BJ60" s="19">
        <f t="shared" si="107"/>
        <v>61.203619168491748</v>
      </c>
      <c r="BK60" s="19">
        <f t="shared" si="108"/>
        <v>1.4944770288451983</v>
      </c>
      <c r="BL60" s="19">
        <f t="shared" si="109"/>
        <v>1412.2594269300068</v>
      </c>
      <c r="BM60" s="19">
        <f t="shared" si="110"/>
        <v>5356.726891809647</v>
      </c>
      <c r="BN60" s="53">
        <f t="shared" si="111"/>
        <v>7.7807458088195416</v>
      </c>
      <c r="BO60" s="53">
        <f t="shared" si="86"/>
        <v>48.940234377602643</v>
      </c>
      <c r="BP60" s="53">
        <f t="shared" si="87"/>
        <v>73.616253590488498</v>
      </c>
      <c r="BQ60" s="19">
        <f t="shared" si="88"/>
        <v>7969.7351207229194</v>
      </c>
      <c r="BR60" s="19">
        <f t="shared" si="112"/>
        <v>63.572488866897601</v>
      </c>
      <c r="BS60" s="53">
        <f t="shared" si="167"/>
        <v>8033.3076095898168</v>
      </c>
      <c r="BT60" s="56">
        <f t="shared" si="113"/>
        <v>1.170850769934862</v>
      </c>
      <c r="BU60" s="43">
        <f t="shared" si="114"/>
        <v>20.022302333182253</v>
      </c>
      <c r="BV60" s="43">
        <f t="shared" si="115"/>
        <v>0</v>
      </c>
      <c r="BW60" s="43">
        <f t="shared" si="116"/>
        <v>17.991386313352606</v>
      </c>
      <c r="BX60" s="43">
        <f t="shared" si="117"/>
        <v>26.900586519213569</v>
      </c>
      <c r="BY60" s="58">
        <f t="shared" si="118"/>
        <v>22.1080111098907</v>
      </c>
      <c r="BZ60" s="58">
        <f t="shared" si="119"/>
        <v>99.008812889320268</v>
      </c>
      <c r="CA60" s="58">
        <f t="shared" si="120"/>
        <v>2.3292136441845908</v>
      </c>
      <c r="CB60" s="58">
        <f t="shared" si="89"/>
        <v>10.141079835049782</v>
      </c>
      <c r="CC60" s="58">
        <f t="shared" si="90"/>
        <v>11.511261562415257</v>
      </c>
      <c r="CD60" s="58">
        <f t="shared" si="91"/>
        <v>211.1835049765439</v>
      </c>
      <c r="CE60" s="58">
        <f t="shared" si="121"/>
        <v>8.1271647699158827</v>
      </c>
      <c r="CF60" s="58">
        <f t="shared" si="168"/>
        <v>219.31066974645978</v>
      </c>
      <c r="CG60" s="127">
        <v>-1</v>
      </c>
      <c r="CH60" s="128" t="s">
        <v>169</v>
      </c>
      <c r="CI60" s="128"/>
      <c r="CJ60" s="126">
        <f t="shared" si="93"/>
        <v>57</v>
      </c>
      <c r="CK60" s="126">
        <f t="shared" si="95"/>
        <v>0</v>
      </c>
      <c r="CN60" s="147">
        <f t="shared" si="169"/>
        <v>1.1358189148984109E-2</v>
      </c>
      <c r="CO60" s="147">
        <f t="shared" si="170"/>
        <v>0.19423235047373441</v>
      </c>
      <c r="CP60" s="147">
        <f t="shared" si="171"/>
        <v>0</v>
      </c>
      <c r="CQ60" s="31">
        <f>(AI60-(P60*450/1000000))*Parameters!$C$153</f>
        <v>0.12188459651814328</v>
      </c>
      <c r="CR60" s="31">
        <f t="shared" si="172"/>
        <v>0.21446539417482768</v>
      </c>
      <c r="CS60" s="31">
        <f t="shared" si="173"/>
        <v>0.96046469207671803</v>
      </c>
      <c r="CT60" s="31">
        <f>AM60*Parameters!$C$154</f>
        <v>2.033571214755529E-2</v>
      </c>
      <c r="CU60" s="31">
        <f>AQ60*Parameters!$C$155</f>
        <v>7.8839999999999993E-2</v>
      </c>
      <c r="CV60" s="31">
        <f t="shared" si="174"/>
        <v>1.601580934539963</v>
      </c>
      <c r="CW60" s="188">
        <f t="shared" si="175"/>
        <v>75.280341091615227</v>
      </c>
      <c r="CY60" s="181">
        <v>0</v>
      </c>
      <c r="CZ60" s="181">
        <v>0.73793299191282102</v>
      </c>
      <c r="DA60" s="181">
        <v>82.907147387532007</v>
      </c>
      <c r="DB60" s="181">
        <v>0.99615600236303248</v>
      </c>
      <c r="DC60" s="181">
        <v>0.46170697932352989</v>
      </c>
      <c r="DD60" s="181">
        <v>5.5283198424402169</v>
      </c>
      <c r="DE60" s="181">
        <v>63.608250829938626</v>
      </c>
      <c r="DF60" s="181">
        <v>0.73796890054131192</v>
      </c>
      <c r="DG60" s="181">
        <v>15.292839311193047</v>
      </c>
      <c r="DH60" s="181">
        <v>64.346219730479945</v>
      </c>
      <c r="DI60" s="181">
        <v>89.893330211658778</v>
      </c>
      <c r="DJ60" s="181">
        <v>0.73793299191282102</v>
      </c>
      <c r="DK60" s="181">
        <v>170.27032224524459</v>
      </c>
      <c r="DL60" s="181"/>
      <c r="DM60" s="181">
        <v>0</v>
      </c>
      <c r="DN60" s="181">
        <v>0.12899411080197196</v>
      </c>
      <c r="DO60" s="181">
        <v>9.1412107971348116E-3</v>
      </c>
      <c r="DP60" s="181">
        <v>9.9726178037165839E-2</v>
      </c>
      <c r="DQ60" s="181">
        <v>5.7781625309275553E-3</v>
      </c>
      <c r="DR60" s="181">
        <v>2.5922185321905367E-2</v>
      </c>
      <c r="DS60" s="181">
        <v>1.0753945951611334</v>
      </c>
      <c r="DT60" s="181">
        <v>0.11464555136522825</v>
      </c>
      <c r="DU60" s="181">
        <v>0.12899411080197196</v>
      </c>
      <c r="DV60" s="181">
        <v>1.3449564426502389</v>
      </c>
      <c r="DW60" s="181">
        <v>1.3449564426502387</v>
      </c>
      <c r="DX60" s="181"/>
      <c r="DY60" s="181">
        <v>0</v>
      </c>
      <c r="DZ60" s="181">
        <v>9.0295877561380369E-2</v>
      </c>
      <c r="EA60" s="181">
        <v>9.1412107971348116E-3</v>
      </c>
      <c r="EB60" s="181">
        <v>9.9726178037165839E-2</v>
      </c>
      <c r="EC60" s="181">
        <v>3.4479850983881177E-3</v>
      </c>
      <c r="ED60" s="181">
        <v>2.5922185321905367E-2</v>
      </c>
      <c r="EE60" s="181">
        <v>0.22136868695037071</v>
      </c>
      <c r="EF60" s="181">
        <v>0.11231537393268877</v>
      </c>
      <c r="EG60" s="181">
        <v>9.0295877561380369E-2</v>
      </c>
      <c r="EH60" s="181">
        <v>0.4499021237663452</v>
      </c>
      <c r="EJ60" s="31">
        <f t="shared" si="176"/>
        <v>1.1708507699348621E-3</v>
      </c>
      <c r="EK60" s="31">
        <f t="shared" si="122"/>
        <v>2.0022302333182255E-2</v>
      </c>
      <c r="EL60" s="31">
        <f t="shared" si="123"/>
        <v>0</v>
      </c>
      <c r="EM60" s="31">
        <f t="shared" si="124"/>
        <v>1.256438608343057E-2</v>
      </c>
      <c r="EN60" s="31">
        <f t="shared" si="125"/>
        <v>2.2108011109890701E-2</v>
      </c>
      <c r="EO60" s="31">
        <f t="shared" si="126"/>
        <v>9.9008812889320272E-2</v>
      </c>
      <c r="EP60" s="31">
        <f t="shared" si="127"/>
        <v>2.0962922797661317E-3</v>
      </c>
      <c r="EQ60" s="31">
        <f t="shared" si="128"/>
        <v>8.127164769915882E-3</v>
      </c>
      <c r="ER60" s="31">
        <f t="shared" si="129"/>
        <v>0.1650978202354407</v>
      </c>
      <c r="ES60" s="31">
        <f t="shared" si="130"/>
        <v>7.7602198882169748</v>
      </c>
      <c r="ET60" s="31"/>
      <c r="EU60" s="31">
        <f t="shared" si="131"/>
        <v>0</v>
      </c>
      <c r="EV60" s="31">
        <f t="shared" si="132"/>
        <v>7.6069292420503573E-2</v>
      </c>
      <c r="EW60" s="31">
        <f t="shared" si="133"/>
        <v>8.5464237369631384</v>
      </c>
      <c r="EX60" s="31">
        <f t="shared" si="134"/>
        <v>0.10268802597342823</v>
      </c>
      <c r="EY60" s="31">
        <f t="shared" si="135"/>
        <v>4.759473232347125E-2</v>
      </c>
      <c r="EZ60" s="31">
        <f t="shared" si="136"/>
        <v>0.56988288001404186</v>
      </c>
      <c r="FA60" s="31">
        <f t="shared" si="137"/>
        <v>6.5570108475526379</v>
      </c>
      <c r="FB60" s="31">
        <f t="shared" si="138"/>
        <v>7.6072994035678715E-2</v>
      </c>
      <c r="FC60" s="31">
        <f t="shared" si="139"/>
        <v>1.5764513556812889</v>
      </c>
      <c r="FD60" s="31">
        <f t="shared" si="140"/>
        <v>6.6330838415883173</v>
      </c>
      <c r="FE60" s="31">
        <f t="shared" si="141"/>
        <v>9.26658937527408</v>
      </c>
      <c r="FF60" s="31">
        <f t="shared" si="142"/>
        <v>7.6069292420503573E-2</v>
      </c>
      <c r="FG60" s="31">
        <f t="shared" si="143"/>
        <v>17.552193864964188</v>
      </c>
      <c r="FH60" s="31"/>
      <c r="FI60" s="31">
        <f t="shared" si="144"/>
        <v>0</v>
      </c>
      <c r="FJ60" s="31">
        <f t="shared" si="145"/>
        <v>1.329726525667697E-2</v>
      </c>
      <c r="FK60" s="31">
        <f t="shared" si="146"/>
        <v>9.4231514897068409E-4</v>
      </c>
      <c r="FL60" s="31">
        <f t="shared" si="147"/>
        <v>1.0280201430517675E-2</v>
      </c>
      <c r="FM60" s="31">
        <f t="shared" si="148"/>
        <v>5.956377340969359E-4</v>
      </c>
      <c r="FN60" s="31">
        <f t="shared" si="149"/>
        <v>2.672169854229071E-3</v>
      </c>
      <c r="FO60" s="31">
        <f t="shared" si="150"/>
        <v>0.11085627939563063</v>
      </c>
      <c r="FP60" s="31">
        <f t="shared" si="151"/>
        <v>1.1818154313585299E-2</v>
      </c>
      <c r="FQ60" s="31">
        <f t="shared" si="152"/>
        <v>1.329726525667697E-2</v>
      </c>
      <c r="FR60" s="31">
        <f t="shared" si="153"/>
        <v>0.13864386882012195</v>
      </c>
      <c r="FS60" s="31">
        <f t="shared" si="154"/>
        <v>0.13864386882012192</v>
      </c>
      <c r="FT60" s="31"/>
      <c r="FU60" s="31">
        <f t="shared" si="155"/>
        <v>0</v>
      </c>
      <c r="FV60" s="31">
        <f t="shared" si="156"/>
        <v>9.3080856796738803E-3</v>
      </c>
      <c r="FW60" s="31">
        <f t="shared" si="157"/>
        <v>9.4231514897068409E-4</v>
      </c>
      <c r="FX60" s="31">
        <f t="shared" si="158"/>
        <v>1.0280201430517675E-2</v>
      </c>
      <c r="FY60" s="31">
        <f t="shared" si="159"/>
        <v>3.5543306720972688E-4</v>
      </c>
      <c r="FZ60" s="31">
        <f t="shared" si="160"/>
        <v>2.672169854229071E-3</v>
      </c>
      <c r="GA60" s="31">
        <f t="shared" si="161"/>
        <v>2.2819632087082584E-2</v>
      </c>
      <c r="GB60" s="31">
        <f t="shared" si="162"/>
        <v>1.1577949646698085E-2</v>
      </c>
      <c r="GC60" s="31">
        <f t="shared" si="163"/>
        <v>9.3080856796738803E-3</v>
      </c>
      <c r="GD60" s="31">
        <f t="shared" si="164"/>
        <v>4.637783726768361E-2</v>
      </c>
    </row>
    <row r="61" spans="1:186">
      <c r="A61" s="39" t="str">
        <f>Basicinfo!A61</f>
        <v>Traun</v>
      </c>
      <c r="B61" s="63">
        <f>Basicinfo!B61</f>
        <v>4010</v>
      </c>
      <c r="C61" s="63">
        <f>Basicinfo!C61</f>
        <v>4020</v>
      </c>
      <c r="D61" s="227">
        <v>1399.3057108599999</v>
      </c>
      <c r="E61" s="89">
        <v>70.017989559786315</v>
      </c>
      <c r="F61" s="27">
        <v>1.9821105756319168</v>
      </c>
      <c r="G61" s="19">
        <v>18.124790693819904</v>
      </c>
      <c r="H61" s="19">
        <v>0.81679297619905844</v>
      </c>
      <c r="I61" s="19">
        <v>6.3017625915405884E-2</v>
      </c>
      <c r="J61" s="19">
        <v>48.564418656508472</v>
      </c>
      <c r="K61" s="19">
        <v>5.6465188003645229E-2</v>
      </c>
      <c r="L61" s="19">
        <v>8.7747243146497414E-2</v>
      </c>
      <c r="M61" s="19">
        <v>5.7380746669569355E-2</v>
      </c>
      <c r="N61" s="19">
        <v>69.752723705894468</v>
      </c>
      <c r="O61" s="19">
        <v>0.26526585389184848</v>
      </c>
      <c r="P61" s="56">
        <v>85.622687694735987</v>
      </c>
      <c r="Q61" s="43">
        <v>29317.324950320573</v>
      </c>
      <c r="R61" s="88">
        <v>29402.94763801531</v>
      </c>
      <c r="S61" s="61">
        <v>67.439989954818543</v>
      </c>
      <c r="T61" s="19">
        <v>383.00307905991514</v>
      </c>
      <c r="U61" s="19">
        <v>16.517096760664764</v>
      </c>
      <c r="V61" s="19">
        <v>1.1103761045384677</v>
      </c>
      <c r="W61" s="19">
        <v>0.73293312375801445</v>
      </c>
      <c r="X61" s="19">
        <v>4.7054018906982211</v>
      </c>
      <c r="Y61" s="19">
        <v>1139.0183587182901</v>
      </c>
      <c r="Z61" s="19">
        <v>2.3781831371309456</v>
      </c>
      <c r="AA61" s="19">
        <v>43.437890986541802</v>
      </c>
      <c r="AB61" s="19">
        <v>4.267284200932461</v>
      </c>
      <c r="AC61" s="19">
        <v>1662.6105939372883</v>
      </c>
      <c r="AD61" s="19">
        <v>128.360051</v>
      </c>
      <c r="AE61" s="87">
        <v>1790.9706449372886</v>
      </c>
      <c r="AF61" s="56">
        <v>1.8452645971284034</v>
      </c>
      <c r="AG61" s="43">
        <v>7.9951669449909648</v>
      </c>
      <c r="AH61" s="43">
        <v>0.114084475436387</v>
      </c>
      <c r="AI61" s="43">
        <v>0.26195213787662242</v>
      </c>
      <c r="AJ61" s="43">
        <v>15.82866292874674</v>
      </c>
      <c r="AK61" s="43">
        <v>0.82717578306339545</v>
      </c>
      <c r="AL61" s="58">
        <v>13.338857325485769</v>
      </c>
      <c r="AM61" s="43">
        <v>0.62283421975792586</v>
      </c>
      <c r="AN61" s="42">
        <v>7.3765717517248426</v>
      </c>
      <c r="AO61" s="42">
        <v>0.69180985693735175</v>
      </c>
      <c r="AP61" s="42">
        <v>48.902380021148403</v>
      </c>
      <c r="AQ61" s="43">
        <v>13.717838500000001</v>
      </c>
      <c r="AR61" s="83">
        <v>62.620218521148402</v>
      </c>
      <c r="AS61" s="19">
        <f t="shared" si="96"/>
        <v>44.670609594461965</v>
      </c>
      <c r="AT61" s="19">
        <f t="shared" si="97"/>
        <v>408.47642862045836</v>
      </c>
      <c r="AU61" s="19">
        <f t="shared" si="98"/>
        <v>18.407974109948174</v>
      </c>
      <c r="AV61" s="19">
        <f t="shared" si="99"/>
        <v>1.4202213536646326</v>
      </c>
      <c r="AW61" s="19">
        <f t="shared" si="100"/>
        <v>1094.490999976259</v>
      </c>
      <c r="AX61" s="53">
        <f t="shared" si="82"/>
        <v>1.2725497759803777</v>
      </c>
      <c r="AY61" s="53">
        <f t="shared" si="83"/>
        <v>1.9775500367015935</v>
      </c>
      <c r="AZ61" s="53">
        <f t="shared" si="84"/>
        <v>1.2931836216543429</v>
      </c>
      <c r="BA61" s="19">
        <f t="shared" si="85"/>
        <v>1572.0095170891286</v>
      </c>
      <c r="BB61" s="19">
        <f t="shared" si="101"/>
        <v>5.9782675818510196</v>
      </c>
      <c r="BC61" s="53">
        <f t="shared" si="165"/>
        <v>1577.9877846709796</v>
      </c>
      <c r="BD61" s="56">
        <f t="shared" si="102"/>
        <v>0.61189407740009227</v>
      </c>
      <c r="BE61" s="43">
        <f t="shared" si="103"/>
        <v>209.51336596991683</v>
      </c>
      <c r="BF61" s="58">
        <f t="shared" si="166"/>
        <v>210.12526004731691</v>
      </c>
      <c r="BG61" s="61">
        <f t="shared" si="104"/>
        <v>481.95322459858022</v>
      </c>
      <c r="BH61" s="19">
        <f t="shared" si="105"/>
        <v>2737.0936607163931</v>
      </c>
      <c r="BI61" s="19">
        <f t="shared" si="106"/>
        <v>118.03779997805852</v>
      </c>
      <c r="BJ61" s="19">
        <f t="shared" si="107"/>
        <v>7.9351931169925773</v>
      </c>
      <c r="BK61" s="19">
        <f t="shared" si="108"/>
        <v>5.237834149247921</v>
      </c>
      <c r="BL61" s="19">
        <f t="shared" si="109"/>
        <v>33.626689680315295</v>
      </c>
      <c r="BM61" s="19">
        <f t="shared" si="110"/>
        <v>8139.8821564035525</v>
      </c>
      <c r="BN61" s="53">
        <f t="shared" si="111"/>
        <v>16.995450805880989</v>
      </c>
      <c r="BO61" s="53">
        <f t="shared" si="86"/>
        <v>310.42459592225413</v>
      </c>
      <c r="BP61" s="53">
        <f t="shared" si="87"/>
        <v>30.495724899956485</v>
      </c>
      <c r="BQ61" s="19">
        <f t="shared" si="88"/>
        <v>11881.682330271231</v>
      </c>
      <c r="BR61" s="19">
        <f t="shared" si="112"/>
        <v>917.31242146586499</v>
      </c>
      <c r="BS61" s="53">
        <f t="shared" si="167"/>
        <v>12798.994751737097</v>
      </c>
      <c r="BT61" s="56">
        <f t="shared" si="113"/>
        <v>13.187001116391652</v>
      </c>
      <c r="BU61" s="43">
        <f t="shared" si="114"/>
        <v>57.136670585566407</v>
      </c>
      <c r="BV61" s="43">
        <f t="shared" si="115"/>
        <v>0.81529343124221065</v>
      </c>
      <c r="BW61" s="43">
        <f t="shared" si="116"/>
        <v>1.8720150703567782</v>
      </c>
      <c r="BX61" s="43">
        <f t="shared" si="117"/>
        <v>113.11797562105707</v>
      </c>
      <c r="BY61" s="58">
        <f t="shared" si="118"/>
        <v>5.9113300020409492</v>
      </c>
      <c r="BZ61" s="58">
        <f t="shared" si="119"/>
        <v>95.324825890175461</v>
      </c>
      <c r="CA61" s="58">
        <f t="shared" si="120"/>
        <v>4.4510232104686969</v>
      </c>
      <c r="CB61" s="58">
        <f t="shared" si="89"/>
        <v>52.71594115907147</v>
      </c>
      <c r="CC61" s="58">
        <f t="shared" si="90"/>
        <v>4.9439507862236338</v>
      </c>
      <c r="CD61" s="58">
        <f t="shared" si="91"/>
        <v>349.47602687259433</v>
      </c>
      <c r="CE61" s="58">
        <f t="shared" si="121"/>
        <v>98.033177407452655</v>
      </c>
      <c r="CF61" s="58">
        <f t="shared" si="168"/>
        <v>447.50920428004702</v>
      </c>
      <c r="CG61" s="127">
        <v>62</v>
      </c>
      <c r="CH61" s="128" t="s">
        <v>169</v>
      </c>
      <c r="CI61" s="128"/>
      <c r="CJ61" s="126">
        <f t="shared" si="93"/>
        <v>58</v>
      </c>
      <c r="CK61" s="126">
        <f t="shared" si="95"/>
        <v>59</v>
      </c>
      <c r="CN61" s="147">
        <f t="shared" si="169"/>
        <v>1.8452645971284034</v>
      </c>
      <c r="CO61" s="147">
        <f t="shared" si="170"/>
        <v>7.9951669449909648</v>
      </c>
      <c r="CP61" s="147">
        <f t="shared" si="171"/>
        <v>0.114084475436387</v>
      </c>
      <c r="CQ61" s="31">
        <f>(AI61-(P61*450/1000000))*Parameters!$C$153</f>
        <v>0.17873754273119299</v>
      </c>
      <c r="CR61" s="31">
        <f t="shared" si="172"/>
        <v>0.82717578306339545</v>
      </c>
      <c r="CS61" s="31">
        <f t="shared" si="173"/>
        <v>13.338857325485769</v>
      </c>
      <c r="CT61" s="31">
        <f>AM61*Parameters!$C$154</f>
        <v>0.56055079778213324</v>
      </c>
      <c r="CU61" s="31">
        <f>AQ61*Parameters!$C$155</f>
        <v>13.717838500000001</v>
      </c>
      <c r="CV61" s="31">
        <f t="shared" si="174"/>
        <v>38.577675966618251</v>
      </c>
      <c r="CW61" s="188">
        <f t="shared" si="175"/>
        <v>61.605783048472773</v>
      </c>
      <c r="CY61" s="181">
        <v>2.8630666666666666</v>
      </c>
      <c r="CZ61" s="181">
        <v>5.5825362091059318</v>
      </c>
      <c r="DA61" s="181">
        <v>85.975718541391132</v>
      </c>
      <c r="DB61" s="181">
        <v>13.328244201227367</v>
      </c>
      <c r="DC61" s="181">
        <v>3.4172727021280749</v>
      </c>
      <c r="DD61" s="181">
        <v>83.175012043310318</v>
      </c>
      <c r="DE61" s="181">
        <v>66.070858589444271</v>
      </c>
      <c r="DF61" s="181">
        <v>9.7952763482684322</v>
      </c>
      <c r="DG61" s="181">
        <v>29.368385158280457</v>
      </c>
      <c r="DH61" s="181">
        <v>75.866134937712701</v>
      </c>
      <c r="DI61" s="181">
        <v>185.89624748805687</v>
      </c>
      <c r="DJ61" s="181">
        <v>8.4456028757725985</v>
      </c>
      <c r="DK61" s="181">
        <v>299.57637045982261</v>
      </c>
      <c r="DL61" s="181"/>
      <c r="DM61" s="181">
        <v>0.67733333333333334</v>
      </c>
      <c r="DN61" s="181">
        <v>0.98060416744899559</v>
      </c>
      <c r="DO61" s="181">
        <v>6.5450953312948493E-2</v>
      </c>
      <c r="DP61" s="181">
        <v>4.0998187630822089</v>
      </c>
      <c r="DQ61" s="181">
        <v>8.8457001854181705E-2</v>
      </c>
      <c r="DR61" s="181">
        <v>3.8763055361257022E-2</v>
      </c>
      <c r="DS61" s="181">
        <v>1.8077210730081044</v>
      </c>
      <c r="DT61" s="181">
        <v>4.2537267182493403</v>
      </c>
      <c r="DU61" s="181">
        <v>1.6579375007823289</v>
      </c>
      <c r="DV61" s="181">
        <v>7.7581483474010309</v>
      </c>
      <c r="DW61" s="181">
        <v>7.75814834740103</v>
      </c>
      <c r="DX61" s="181"/>
      <c r="DY61" s="181">
        <v>0.54186666666666672</v>
      </c>
      <c r="DZ61" s="181">
        <v>0.68642291721429682</v>
      </c>
      <c r="EA61" s="181">
        <v>6.5450953312948493E-2</v>
      </c>
      <c r="EB61" s="181">
        <v>4.0998187630822089</v>
      </c>
      <c r="EC61" s="181">
        <v>5.3826599036091327E-2</v>
      </c>
      <c r="ED61" s="181">
        <v>3.8763055361257022E-2</v>
      </c>
      <c r="EE61" s="181">
        <v>0.7213960097388854</v>
      </c>
      <c r="EF61" s="181">
        <v>4.2190963154312495</v>
      </c>
      <c r="EG61" s="181">
        <v>1.2282895838809635</v>
      </c>
      <c r="EH61" s="181">
        <v>6.2075449644123548</v>
      </c>
      <c r="EJ61" s="31">
        <f t="shared" si="176"/>
        <v>1.3187001116391652E-2</v>
      </c>
      <c r="EK61" s="31">
        <f t="shared" si="122"/>
        <v>5.7136670585566401E-2</v>
      </c>
      <c r="EL61" s="31">
        <f t="shared" si="123"/>
        <v>8.152934312422107E-4</v>
      </c>
      <c r="EM61" s="31">
        <f t="shared" si="124"/>
        <v>1.2773301884213895E-3</v>
      </c>
      <c r="EN61" s="31">
        <f t="shared" si="125"/>
        <v>5.9113300020409484E-3</v>
      </c>
      <c r="EO61" s="31">
        <f t="shared" si="126"/>
        <v>9.5324825890175477E-2</v>
      </c>
      <c r="EP61" s="31">
        <f t="shared" si="127"/>
        <v>4.0059208894218266E-3</v>
      </c>
      <c r="EQ61" s="31">
        <f t="shared" si="128"/>
        <v>9.803317740745264E-2</v>
      </c>
      <c r="ER61" s="31">
        <f t="shared" si="129"/>
        <v>0.27569154951071256</v>
      </c>
      <c r="ES61" s="31">
        <f t="shared" si="130"/>
        <v>0.44025964140895596</v>
      </c>
      <c r="ET61" s="31"/>
      <c r="EU61" s="31">
        <f t="shared" si="131"/>
        <v>2.0460623039314639E-2</v>
      </c>
      <c r="EV61" s="31">
        <f t="shared" si="132"/>
        <v>3.9895043418889206E-2</v>
      </c>
      <c r="EW61" s="31">
        <f t="shared" si="133"/>
        <v>0.61441697746342561</v>
      </c>
      <c r="EX61" s="31">
        <f t="shared" si="134"/>
        <v>9.5248980246324846E-2</v>
      </c>
      <c r="EY61" s="31">
        <f t="shared" si="135"/>
        <v>2.4421201711724967E-2</v>
      </c>
      <c r="EZ61" s="31">
        <f t="shared" si="136"/>
        <v>0.59440200520722342</v>
      </c>
      <c r="FA61" s="31">
        <f t="shared" si="137"/>
        <v>0.47216886257712587</v>
      </c>
      <c r="FB61" s="31">
        <f t="shared" si="138"/>
        <v>7.0000974570798749E-2</v>
      </c>
      <c r="FC61" s="31">
        <f t="shared" si="139"/>
        <v>0.20987826270094281</v>
      </c>
      <c r="FD61" s="31">
        <f t="shared" si="140"/>
        <v>0.54216983714792466</v>
      </c>
      <c r="FE61" s="31">
        <f t="shared" si="141"/>
        <v>1.3284891646286985</v>
      </c>
      <c r="FF61" s="31">
        <f t="shared" si="142"/>
        <v>6.0355666458203852E-2</v>
      </c>
      <c r="FG61" s="31">
        <f t="shared" si="143"/>
        <v>2.1408929309357698</v>
      </c>
      <c r="FH61" s="31"/>
      <c r="FI61" s="31">
        <f t="shared" si="144"/>
        <v>4.8404957406845053E-3</v>
      </c>
      <c r="FJ61" s="31">
        <f t="shared" si="145"/>
        <v>7.0077907910940044E-3</v>
      </c>
      <c r="FK61" s="31">
        <f t="shared" si="146"/>
        <v>4.6773877077027702E-4</v>
      </c>
      <c r="FL61" s="31">
        <f t="shared" si="147"/>
        <v>2.9298949695292103E-2</v>
      </c>
      <c r="FM61" s="31">
        <f t="shared" si="148"/>
        <v>6.3214922348753147E-4</v>
      </c>
      <c r="FN61" s="31">
        <f t="shared" si="149"/>
        <v>2.7701634503752312E-4</v>
      </c>
      <c r="FO61" s="31">
        <f t="shared" si="150"/>
        <v>1.2918700030868138E-2</v>
      </c>
      <c r="FP61" s="31">
        <f t="shared" si="151"/>
        <v>3.0398837689549919E-2</v>
      </c>
      <c r="FQ61" s="31">
        <f t="shared" si="152"/>
        <v>1.184828653177851E-2</v>
      </c>
      <c r="FR61" s="31">
        <f t="shared" si="153"/>
        <v>5.5442840597234096E-2</v>
      </c>
      <c r="FS61" s="31">
        <f t="shared" si="154"/>
        <v>5.5442840597234089E-2</v>
      </c>
      <c r="FT61" s="31"/>
      <c r="FU61" s="31">
        <f t="shared" si="155"/>
        <v>3.8723965925476049E-3</v>
      </c>
      <c r="FV61" s="31">
        <f t="shared" si="156"/>
        <v>4.905453553765802E-3</v>
      </c>
      <c r="FW61" s="31">
        <f t="shared" si="157"/>
        <v>4.6773877077027702E-4</v>
      </c>
      <c r="FX61" s="31">
        <f t="shared" si="158"/>
        <v>2.9298949695292103E-2</v>
      </c>
      <c r="FY61" s="31">
        <f t="shared" si="159"/>
        <v>3.8466647151043224E-4</v>
      </c>
      <c r="FZ61" s="31">
        <f t="shared" si="160"/>
        <v>2.7701634503752312E-4</v>
      </c>
      <c r="GA61" s="31">
        <f t="shared" si="161"/>
        <v>5.1553853038698904E-3</v>
      </c>
      <c r="GB61" s="31">
        <f t="shared" si="162"/>
        <v>3.0151354937572816E-2</v>
      </c>
      <c r="GC61" s="31">
        <f t="shared" si="163"/>
        <v>8.7778501463134078E-3</v>
      </c>
      <c r="GD61" s="31">
        <f t="shared" si="164"/>
        <v>4.4361606732793629E-2</v>
      </c>
    </row>
    <row r="62" spans="1:186">
      <c r="A62" s="39" t="str">
        <f>Basicinfo!A62</f>
        <v>Traun</v>
      </c>
      <c r="B62" s="63">
        <f>Basicinfo!B62</f>
        <v>4020</v>
      </c>
      <c r="C62" s="63">
        <f>Basicinfo!C62</f>
        <v>5010</v>
      </c>
      <c r="D62" s="227">
        <v>4257.1506581731001</v>
      </c>
      <c r="E62" s="89">
        <v>149.13714558176312</v>
      </c>
      <c r="F62" s="27">
        <v>3.5477845726373376</v>
      </c>
      <c r="G62" s="19">
        <v>35.478637927003021</v>
      </c>
      <c r="H62" s="19">
        <v>0.89989214465075329</v>
      </c>
      <c r="I62" s="19">
        <v>0.5200892392828016</v>
      </c>
      <c r="J62" s="19">
        <v>106.39024996891686</v>
      </c>
      <c r="K62" s="19">
        <v>0.33238806368241658</v>
      </c>
      <c r="L62" s="19">
        <v>0.31794987411360981</v>
      </c>
      <c r="M62" s="19">
        <v>0.35645677838015727</v>
      </c>
      <c r="N62" s="19">
        <v>147.84344856866696</v>
      </c>
      <c r="O62" s="19">
        <v>1.2936970130961443</v>
      </c>
      <c r="P62" s="56">
        <v>37980.485358891463</v>
      </c>
      <c r="Q62" s="43">
        <v>56814.463750084389</v>
      </c>
      <c r="R62" s="88">
        <v>94794.949108975823</v>
      </c>
      <c r="S62" s="61">
        <v>187.40077871840356</v>
      </c>
      <c r="T62" s="19">
        <v>1156.044023279986</v>
      </c>
      <c r="U62" s="19">
        <v>18.212109094258992</v>
      </c>
      <c r="V62" s="19">
        <v>125.43830065800927</v>
      </c>
      <c r="W62" s="19">
        <v>1.4203615937521099</v>
      </c>
      <c r="X62" s="19">
        <v>155.63544687651381</v>
      </c>
      <c r="Y62" s="19">
        <v>4794.5953076135556</v>
      </c>
      <c r="Z62" s="19">
        <v>23.243358330108446</v>
      </c>
      <c r="AA62" s="19">
        <v>114.93904512925023</v>
      </c>
      <c r="AB62" s="19">
        <v>19.913972841710514</v>
      </c>
      <c r="AC62" s="19">
        <v>6596.842704135548</v>
      </c>
      <c r="AD62" s="19">
        <v>739.72620274722237</v>
      </c>
      <c r="AE62" s="87">
        <v>7336.5689068827705</v>
      </c>
      <c r="AF62" s="56">
        <v>4.3166278943490308</v>
      </c>
      <c r="AG62" s="43">
        <v>24.150738908166524</v>
      </c>
      <c r="AH62" s="43">
        <v>0.12080270814739094</v>
      </c>
      <c r="AI62" s="43">
        <v>91.198278477961111</v>
      </c>
      <c r="AJ62" s="43">
        <v>28.27072782122255</v>
      </c>
      <c r="AK62" s="43">
        <v>1.877910763266246</v>
      </c>
      <c r="AL62" s="58">
        <v>57.394164786586536</v>
      </c>
      <c r="AM62" s="43">
        <v>5.4208103000624774</v>
      </c>
      <c r="AN62" s="42">
        <v>20.12704399103227</v>
      </c>
      <c r="AO62" s="42">
        <v>3.1337295466762662</v>
      </c>
      <c r="AP62" s="42">
        <v>236.01083519747041</v>
      </c>
      <c r="AQ62" s="43">
        <v>36.105499541666667</v>
      </c>
      <c r="AR62" s="83">
        <v>272.11633473913707</v>
      </c>
      <c r="AS62" s="19">
        <f t="shared" si="96"/>
        <v>26.281178014663961</v>
      </c>
      <c r="AT62" s="19">
        <f t="shared" si="97"/>
        <v>262.81764858801324</v>
      </c>
      <c r="AU62" s="19">
        <f t="shared" si="98"/>
        <v>6.666195526630629</v>
      </c>
      <c r="AV62" s="19">
        <f t="shared" si="99"/>
        <v>3.852702327678704</v>
      </c>
      <c r="AW62" s="19">
        <f t="shared" si="100"/>
        <v>788.11467867091392</v>
      </c>
      <c r="AX62" s="53">
        <f t="shared" si="82"/>
        <v>2.4622548784277658</v>
      </c>
      <c r="AY62" s="53">
        <f t="shared" si="83"/>
        <v>2.35530006691135</v>
      </c>
      <c r="AZ62" s="53">
        <f t="shared" si="84"/>
        <v>2.6405504210698196</v>
      </c>
      <c r="BA62" s="19">
        <f t="shared" si="85"/>
        <v>1095.1905084943091</v>
      </c>
      <c r="BB62" s="19">
        <f t="shared" si="101"/>
        <v>9.5834120708586656</v>
      </c>
      <c r="BC62" s="53">
        <f t="shared" si="165"/>
        <v>1104.7739205651678</v>
      </c>
      <c r="BD62" s="56">
        <f t="shared" si="102"/>
        <v>89.215741721459977</v>
      </c>
      <c r="BE62" s="43">
        <f t="shared" si="103"/>
        <v>133.45654949046499</v>
      </c>
      <c r="BF62" s="58">
        <f t="shared" si="166"/>
        <v>222.67229121192497</v>
      </c>
      <c r="BG62" s="61">
        <f t="shared" si="104"/>
        <v>440.20236483437992</v>
      </c>
      <c r="BH62" s="19">
        <f t="shared" si="105"/>
        <v>2715.5346759000704</v>
      </c>
      <c r="BI62" s="19">
        <f t="shared" si="106"/>
        <v>42.780043640913753</v>
      </c>
      <c r="BJ62" s="19">
        <f t="shared" si="107"/>
        <v>294.65318643864828</v>
      </c>
      <c r="BK62" s="19">
        <f t="shared" si="108"/>
        <v>3.3364137372616249</v>
      </c>
      <c r="BL62" s="19">
        <f t="shared" si="109"/>
        <v>365.58595025928139</v>
      </c>
      <c r="BM62" s="19">
        <f t="shared" si="110"/>
        <v>11262.451561136653</v>
      </c>
      <c r="BN62" s="53">
        <f t="shared" si="111"/>
        <v>54.598392672537045</v>
      </c>
      <c r="BO62" s="53">
        <f t="shared" si="86"/>
        <v>269.99055085960902</v>
      </c>
      <c r="BP62" s="53">
        <f t="shared" si="87"/>
        <v>46.777702836235385</v>
      </c>
      <c r="BQ62" s="19">
        <f t="shared" si="88"/>
        <v>15495.91084231559</v>
      </c>
      <c r="BR62" s="19">
        <f t="shared" si="112"/>
        <v>1737.6087015550117</v>
      </c>
      <c r="BS62" s="53">
        <f t="shared" si="167"/>
        <v>17233.519543870603</v>
      </c>
      <c r="BT62" s="56">
        <f t="shared" si="113"/>
        <v>10.139711372586129</v>
      </c>
      <c r="BU62" s="43">
        <f t="shared" si="114"/>
        <v>56.729819654845137</v>
      </c>
      <c r="BV62" s="43">
        <f t="shared" si="115"/>
        <v>0.28376423069610557</v>
      </c>
      <c r="BW62" s="43">
        <f t="shared" si="116"/>
        <v>214.22375151998415</v>
      </c>
      <c r="BX62" s="43">
        <f t="shared" si="117"/>
        <v>66.407628226515612</v>
      </c>
      <c r="BY62" s="58">
        <f t="shared" si="118"/>
        <v>4.41119169616639</v>
      </c>
      <c r="BZ62" s="58">
        <f t="shared" si="119"/>
        <v>134.81826083932037</v>
      </c>
      <c r="CA62" s="58">
        <f t="shared" si="120"/>
        <v>12.73342368012117</v>
      </c>
      <c r="CB62" s="58">
        <f t="shared" si="89"/>
        <v>47.278204618836597</v>
      </c>
      <c r="CC62" s="58">
        <f t="shared" si="90"/>
        <v>7.3610961845100986</v>
      </c>
      <c r="CD62" s="58">
        <f t="shared" si="91"/>
        <v>554.38685202358181</v>
      </c>
      <c r="CE62" s="58">
        <f t="shared" si="121"/>
        <v>84.81142069132423</v>
      </c>
      <c r="CF62" s="58">
        <f t="shared" si="168"/>
        <v>639.19827271490601</v>
      </c>
      <c r="CG62" s="127">
        <v>66</v>
      </c>
      <c r="CH62" s="128" t="s">
        <v>169</v>
      </c>
      <c r="CI62" s="128"/>
      <c r="CJ62" s="126">
        <f t="shared" si="93"/>
        <v>59</v>
      </c>
      <c r="CK62" s="126">
        <f t="shared" si="95"/>
        <v>63</v>
      </c>
      <c r="CN62" s="147">
        <f t="shared" si="169"/>
        <v>4.3166278943490308</v>
      </c>
      <c r="CO62" s="147">
        <f t="shared" si="170"/>
        <v>24.150738908166524</v>
      </c>
      <c r="CP62" s="147">
        <f t="shared" si="171"/>
        <v>0.12080270814739094</v>
      </c>
      <c r="CQ62" s="31">
        <f>(AI62-(P62*450/1000000))*Parameters!$C$153</f>
        <v>59.285648053167961</v>
      </c>
      <c r="CR62" s="31">
        <f t="shared" si="172"/>
        <v>1.877910763266246</v>
      </c>
      <c r="CS62" s="31">
        <f t="shared" si="173"/>
        <v>57.394164786586536</v>
      </c>
      <c r="CT62" s="31">
        <f>AM62*Parameters!$C$154</f>
        <v>4.8787292700562297</v>
      </c>
      <c r="CU62" s="31">
        <f>AQ62*Parameters!$C$155</f>
        <v>36.105499541666667</v>
      </c>
      <c r="CV62" s="31">
        <f t="shared" si="174"/>
        <v>188.13012192540657</v>
      </c>
      <c r="CW62" s="188">
        <f t="shared" si="175"/>
        <v>69.135916484306819</v>
      </c>
      <c r="CY62" s="181">
        <v>1.8812</v>
      </c>
      <c r="CZ62" s="181">
        <v>1.4873260554510117</v>
      </c>
      <c r="DA62" s="181">
        <v>56.3523789467516</v>
      </c>
      <c r="DB62" s="181">
        <v>1.820494859256053</v>
      </c>
      <c r="DC62" s="181">
        <v>0.46714093331757028</v>
      </c>
      <c r="DD62" s="181">
        <v>11.685233673391561</v>
      </c>
      <c r="DE62" s="181">
        <v>36.436382954295333</v>
      </c>
      <c r="DF62" s="181">
        <v>1.1310630381071467</v>
      </c>
      <c r="DG62" s="181">
        <v>8.8764484357712341</v>
      </c>
      <c r="DH62" s="181">
        <v>37.567445992402476</v>
      </c>
      <c r="DI62" s="181">
        <v>70.325248412716789</v>
      </c>
      <c r="DJ62" s="181">
        <v>3.3685260554510119</v>
      </c>
      <c r="DK62" s="181">
        <v>120.13766889634151</v>
      </c>
      <c r="DL62" s="181"/>
      <c r="DM62" s="181">
        <v>0.18400000000000002</v>
      </c>
      <c r="DN62" s="181">
        <v>0.26764662849302323</v>
      </c>
      <c r="DO62" s="181">
        <v>4.9936350300229578E-3</v>
      </c>
      <c r="DP62" s="181">
        <v>0.11308123825204941</v>
      </c>
      <c r="DQ62" s="181">
        <v>1.3950086170311571E-2</v>
      </c>
      <c r="DR62" s="181">
        <v>1.8924711232631064E-2</v>
      </c>
      <c r="DS62" s="181">
        <v>0.90235670685090041</v>
      </c>
      <c r="DT62" s="181">
        <v>0.13202495945238391</v>
      </c>
      <c r="DU62" s="181">
        <v>0.45164662849302328</v>
      </c>
      <c r="DV62" s="181">
        <v>1.5049530060289387</v>
      </c>
      <c r="DW62" s="181">
        <v>1.5049530060289387</v>
      </c>
      <c r="DX62" s="181"/>
      <c r="DY62" s="181">
        <v>0.14720000000000003</v>
      </c>
      <c r="DZ62" s="181">
        <v>0.18735263994511625</v>
      </c>
      <c r="EA62" s="181">
        <v>4.9936350300229578E-3</v>
      </c>
      <c r="EB62" s="181">
        <v>0.11308123825204941</v>
      </c>
      <c r="EC62" s="181">
        <v>8.6538318490860799E-3</v>
      </c>
      <c r="ED62" s="181">
        <v>1.8924711232631064E-2</v>
      </c>
      <c r="EE62" s="181">
        <v>0.15175415643770263</v>
      </c>
      <c r="EF62" s="181">
        <v>0.12672870513115844</v>
      </c>
      <c r="EG62" s="181">
        <v>0.3345526399451163</v>
      </c>
      <c r="EH62" s="181">
        <v>0.63196021274660841</v>
      </c>
      <c r="EJ62" s="31">
        <f t="shared" si="176"/>
        <v>1.013971137258613E-2</v>
      </c>
      <c r="EK62" s="31">
        <f t="shared" si="122"/>
        <v>5.672981965484513E-2</v>
      </c>
      <c r="EL62" s="31">
        <f t="shared" si="123"/>
        <v>2.837642306961056E-4</v>
      </c>
      <c r="EM62" s="31">
        <f t="shared" si="124"/>
        <v>0.13926133419626172</v>
      </c>
      <c r="EN62" s="31">
        <f t="shared" si="125"/>
        <v>4.4111916961663894E-3</v>
      </c>
      <c r="EO62" s="31">
        <f t="shared" si="126"/>
        <v>0.13481826083932036</v>
      </c>
      <c r="EP62" s="31">
        <f t="shared" si="127"/>
        <v>1.1460081312109051E-2</v>
      </c>
      <c r="EQ62" s="31">
        <f t="shared" si="128"/>
        <v>8.4811420691324246E-2</v>
      </c>
      <c r="ER62" s="31">
        <f t="shared" si="129"/>
        <v>0.4419155839933091</v>
      </c>
      <c r="ES62" s="31">
        <f t="shared" si="130"/>
        <v>0.16239950623212285</v>
      </c>
      <c r="ET62" s="31"/>
      <c r="EU62" s="31">
        <f t="shared" si="131"/>
        <v>4.4189180770203042E-3</v>
      </c>
      <c r="EV62" s="31">
        <f t="shared" si="132"/>
        <v>3.4937125201232083E-3</v>
      </c>
      <c r="EW62" s="31">
        <f t="shared" si="133"/>
        <v>0.13237111737768398</v>
      </c>
      <c r="EX62" s="31">
        <f t="shared" si="134"/>
        <v>4.2763223701302935E-3</v>
      </c>
      <c r="EY62" s="31">
        <f t="shared" si="135"/>
        <v>1.0973089064177908E-3</v>
      </c>
      <c r="EZ62" s="31">
        <f t="shared" si="136"/>
        <v>2.7448485176247265E-2</v>
      </c>
      <c r="FA62" s="31">
        <f t="shared" si="137"/>
        <v>8.5588662182633501E-2</v>
      </c>
      <c r="FB62" s="31">
        <f t="shared" si="138"/>
        <v>2.6568546169153605E-3</v>
      </c>
      <c r="FC62" s="31">
        <f t="shared" si="139"/>
        <v>2.0850679594178249E-2</v>
      </c>
      <c r="FD62" s="31">
        <f t="shared" si="140"/>
        <v>8.8245516799548854E-2</v>
      </c>
      <c r="FE62" s="31">
        <f t="shared" si="141"/>
        <v>0.16519323383047932</v>
      </c>
      <c r="FF62" s="31">
        <f t="shared" si="142"/>
        <v>7.9126305971435138E-3</v>
      </c>
      <c r="FG62" s="31">
        <f t="shared" si="143"/>
        <v>0.28220206082134991</v>
      </c>
      <c r="FH62" s="31"/>
      <c r="FI62" s="31">
        <f t="shared" si="144"/>
        <v>4.3221397308725073E-4</v>
      </c>
      <c r="FJ62" s="31">
        <f t="shared" si="145"/>
        <v>6.2869898198030948E-4</v>
      </c>
      <c r="FK62" s="31">
        <f t="shared" si="146"/>
        <v>1.1729993676488559E-5</v>
      </c>
      <c r="FL62" s="31">
        <f t="shared" si="147"/>
        <v>2.6562658297034933E-4</v>
      </c>
      <c r="FM62" s="31">
        <f t="shared" si="148"/>
        <v>3.2768598742281919E-5</v>
      </c>
      <c r="FN62" s="31">
        <f t="shared" si="149"/>
        <v>4.4453938214045621E-5</v>
      </c>
      <c r="FO62" s="31">
        <f t="shared" si="150"/>
        <v>2.1196259641845395E-3</v>
      </c>
      <c r="FP62" s="31">
        <f t="shared" si="151"/>
        <v>3.1012517538911969E-4</v>
      </c>
      <c r="FQ62" s="31">
        <f t="shared" si="152"/>
        <v>1.0609129550675602E-3</v>
      </c>
      <c r="FR62" s="31">
        <f t="shared" si="153"/>
        <v>3.5351180328552652E-3</v>
      </c>
      <c r="FS62" s="31">
        <f t="shared" si="154"/>
        <v>3.5351180328552652E-3</v>
      </c>
      <c r="FT62" s="31"/>
      <c r="FU62" s="31">
        <f t="shared" si="155"/>
        <v>3.457711784698006E-4</v>
      </c>
      <c r="FV62" s="31">
        <f t="shared" si="156"/>
        <v>4.400892873862165E-4</v>
      </c>
      <c r="FW62" s="31">
        <f t="shared" si="157"/>
        <v>1.1729993676488559E-5</v>
      </c>
      <c r="FX62" s="31">
        <f t="shared" si="158"/>
        <v>2.6562658297034933E-4</v>
      </c>
      <c r="FY62" s="31">
        <f t="shared" si="159"/>
        <v>2.0327755684361329E-5</v>
      </c>
      <c r="FZ62" s="31">
        <f t="shared" si="160"/>
        <v>4.4453938214045621E-5</v>
      </c>
      <c r="GA62" s="31">
        <f t="shared" si="161"/>
        <v>3.5646884177415025E-4</v>
      </c>
      <c r="GB62" s="31">
        <f t="shared" si="162"/>
        <v>2.9768433233119917E-4</v>
      </c>
      <c r="GC62" s="31">
        <f t="shared" si="163"/>
        <v>7.8586046585601727E-4</v>
      </c>
      <c r="GD62" s="31">
        <f t="shared" si="164"/>
        <v>1.4844675781754122E-3</v>
      </c>
    </row>
    <row r="63" spans="1:186">
      <c r="A63" s="39" t="str">
        <f>Basicinfo!A63</f>
        <v>Enns</v>
      </c>
      <c r="B63" s="63">
        <f>Basicinfo!B63</f>
        <v>4080</v>
      </c>
      <c r="C63" s="63">
        <f>Basicinfo!C63</f>
        <v>5020</v>
      </c>
      <c r="D63" s="227">
        <v>6090.3670187233001</v>
      </c>
      <c r="E63" s="89">
        <v>203.57789359773977</v>
      </c>
      <c r="F63" s="27">
        <v>1.469750173885231</v>
      </c>
      <c r="G63" s="19">
        <v>48.118053757997387</v>
      </c>
      <c r="H63" s="19">
        <v>1.66934287686539</v>
      </c>
      <c r="I63" s="19">
        <v>0.48859115840829748</v>
      </c>
      <c r="J63" s="19">
        <v>150.59811224883623</v>
      </c>
      <c r="K63" s="19">
        <v>0.13971202077793141</v>
      </c>
      <c r="L63" s="19">
        <v>0.18272662570506948</v>
      </c>
      <c r="M63" s="19">
        <v>0.19670395916702124</v>
      </c>
      <c r="N63" s="19">
        <v>202.86299282164256</v>
      </c>
      <c r="O63" s="19">
        <v>0.71490077609715863</v>
      </c>
      <c r="P63" s="56">
        <v>2853.2912414360621</v>
      </c>
      <c r="Q63" s="43">
        <v>54069.787726106355</v>
      </c>
      <c r="R63" s="88">
        <v>56923.078967542409</v>
      </c>
      <c r="S63" s="61">
        <v>65.938381197600464</v>
      </c>
      <c r="T63" s="19">
        <v>1182.0961355925745</v>
      </c>
      <c r="U63" s="19">
        <v>40.179219788828398</v>
      </c>
      <c r="V63" s="19">
        <v>27.389745591674931</v>
      </c>
      <c r="W63" s="19">
        <v>1.3517446931526589</v>
      </c>
      <c r="X63" s="19">
        <v>132.97510136998548</v>
      </c>
      <c r="Y63" s="19">
        <v>4637.9240938017092</v>
      </c>
      <c r="Z63" s="19">
        <v>7.57753644444636</v>
      </c>
      <c r="AA63" s="19">
        <v>67.984346553849036</v>
      </c>
      <c r="AB63" s="19">
        <v>20.694661952761642</v>
      </c>
      <c r="AC63" s="19">
        <v>6184.1109669865818</v>
      </c>
      <c r="AD63" s="19">
        <v>219.18948827333332</v>
      </c>
      <c r="AE63" s="87">
        <v>6403.3004552599159</v>
      </c>
      <c r="AF63" s="56">
        <v>1.8606983362913296</v>
      </c>
      <c r="AG63" s="43">
        <v>26.423715879279296</v>
      </c>
      <c r="AH63" s="43">
        <v>0.40450792365547072</v>
      </c>
      <c r="AI63" s="43">
        <v>10.758683711357307</v>
      </c>
      <c r="AJ63" s="43">
        <v>25.193381473694593</v>
      </c>
      <c r="AK63" s="43">
        <v>5.3553336560359561</v>
      </c>
      <c r="AL63" s="58">
        <v>54.068954601473131</v>
      </c>
      <c r="AM63" s="43">
        <v>2.1118089522831296</v>
      </c>
      <c r="AN63" s="42">
        <v>12.088082674192075</v>
      </c>
      <c r="AO63" s="42">
        <v>3.3758847520039739</v>
      </c>
      <c r="AP63" s="42">
        <v>141.64105196026625</v>
      </c>
      <c r="AQ63" s="43">
        <v>22.3826389</v>
      </c>
      <c r="AR63" s="83">
        <v>164.02369086026624</v>
      </c>
      <c r="AS63" s="19">
        <f t="shared" si="96"/>
        <v>7.6103856042095854</v>
      </c>
      <c r="AT63" s="19">
        <f t="shared" si="97"/>
        <v>249.15591107189184</v>
      </c>
      <c r="AU63" s="19">
        <f t="shared" si="98"/>
        <v>8.6438792281294354</v>
      </c>
      <c r="AV63" s="19">
        <f t="shared" si="99"/>
        <v>2.5299314021955333</v>
      </c>
      <c r="AW63" s="19">
        <f t="shared" si="100"/>
        <v>779.79899294720474</v>
      </c>
      <c r="AX63" s="53">
        <f t="shared" si="82"/>
        <v>0.72343066907262488</v>
      </c>
      <c r="AY63" s="53">
        <f t="shared" si="83"/>
        <v>0.9461608554164006</v>
      </c>
      <c r="AZ63" s="53">
        <f t="shared" si="84"/>
        <v>1.0185356707109496</v>
      </c>
      <c r="BA63" s="19">
        <f t="shared" si="85"/>
        <v>1050.4272274488308</v>
      </c>
      <c r="BB63" s="19">
        <f t="shared" si="101"/>
        <v>3.7017655595616366</v>
      </c>
      <c r="BC63" s="53">
        <f t="shared" si="165"/>
        <v>1054.1289930083924</v>
      </c>
      <c r="BD63" s="56">
        <f t="shared" si="102"/>
        <v>4.6849249522472727</v>
      </c>
      <c r="BE63" s="43">
        <f t="shared" si="103"/>
        <v>88.779194357059936</v>
      </c>
      <c r="BF63" s="58">
        <f t="shared" si="166"/>
        <v>93.464119309307208</v>
      </c>
      <c r="BG63" s="61">
        <f t="shared" si="104"/>
        <v>108.26667915889061</v>
      </c>
      <c r="BH63" s="19">
        <f t="shared" si="105"/>
        <v>1940.9275860691441</v>
      </c>
      <c r="BI63" s="19">
        <f t="shared" si="106"/>
        <v>65.971754518746579</v>
      </c>
      <c r="BJ63" s="19">
        <f t="shared" si="107"/>
        <v>44.972241422351154</v>
      </c>
      <c r="BK63" s="19">
        <f t="shared" si="108"/>
        <v>2.2194798589264981</v>
      </c>
      <c r="BL63" s="19">
        <f t="shared" si="109"/>
        <v>218.336761908087</v>
      </c>
      <c r="BM63" s="19">
        <f t="shared" si="110"/>
        <v>7615.1799711636077</v>
      </c>
      <c r="BN63" s="53">
        <f t="shared" si="111"/>
        <v>12.441838761360575</v>
      </c>
      <c r="BO63" s="53">
        <f t="shared" si="86"/>
        <v>111.62602573021999</v>
      </c>
      <c r="BP63" s="53">
        <f t="shared" si="87"/>
        <v>33.979334725052063</v>
      </c>
      <c r="BQ63" s="19">
        <f t="shared" si="88"/>
        <v>10153.921673316387</v>
      </c>
      <c r="BR63" s="19">
        <f t="shared" si="112"/>
        <v>359.89536853770949</v>
      </c>
      <c r="BS63" s="53">
        <f t="shared" si="167"/>
        <v>10513.817041854096</v>
      </c>
      <c r="BT63" s="56">
        <f t="shared" si="113"/>
        <v>3.0551497644905159</v>
      </c>
      <c r="BU63" s="43">
        <f t="shared" si="114"/>
        <v>43.386081328179777</v>
      </c>
      <c r="BV63" s="43">
        <f t="shared" si="115"/>
        <v>0.66417659627394032</v>
      </c>
      <c r="BW63" s="43">
        <f t="shared" si="116"/>
        <v>17.665082708944212</v>
      </c>
      <c r="BX63" s="43">
        <f t="shared" si="117"/>
        <v>41.365949533490976</v>
      </c>
      <c r="BY63" s="58">
        <f t="shared" si="118"/>
        <v>8.7931213990426684</v>
      </c>
      <c r="BZ63" s="58">
        <f t="shared" si="119"/>
        <v>88.777826418755623</v>
      </c>
      <c r="CA63" s="58">
        <f t="shared" si="120"/>
        <v>3.4674576192057138</v>
      </c>
      <c r="CB63" s="58">
        <f t="shared" si="89"/>
        <v>19.847872282623207</v>
      </c>
      <c r="CC63" s="58">
        <f t="shared" si="90"/>
        <v>5.5429906631663837</v>
      </c>
      <c r="CD63" s="58">
        <f t="shared" si="91"/>
        <v>232.56570831417301</v>
      </c>
      <c r="CE63" s="58">
        <f t="shared" si="121"/>
        <v>36.750886820433337</v>
      </c>
      <c r="CF63" s="58">
        <f t="shared" si="168"/>
        <v>269.31659513460636</v>
      </c>
      <c r="CG63" s="127">
        <v>67</v>
      </c>
      <c r="CH63" s="128" t="s">
        <v>169</v>
      </c>
      <c r="CI63" s="128"/>
      <c r="CJ63" s="126">
        <f t="shared" si="93"/>
        <v>60</v>
      </c>
      <c r="CK63" s="126">
        <f t="shared" si="95"/>
        <v>64</v>
      </c>
      <c r="CN63" s="147">
        <f t="shared" si="169"/>
        <v>1.8606983362913296</v>
      </c>
      <c r="CO63" s="147">
        <f t="shared" si="170"/>
        <v>26.423715879279296</v>
      </c>
      <c r="CP63" s="147">
        <f t="shared" si="171"/>
        <v>0.40450792365547072</v>
      </c>
      <c r="CQ63" s="31">
        <f>(AI63-(P63*450/1000000))*Parameters!$C$153</f>
        <v>7.5797621221688631</v>
      </c>
      <c r="CR63" s="31">
        <f t="shared" si="172"/>
        <v>5.3553336560359561</v>
      </c>
      <c r="CS63" s="31">
        <f t="shared" si="173"/>
        <v>54.068954601473131</v>
      </c>
      <c r="CT63" s="31">
        <f>AM63*Parameters!$C$154</f>
        <v>1.9006280570548166</v>
      </c>
      <c r="CU63" s="31">
        <f>AQ63*Parameters!$C$155</f>
        <v>22.3826389</v>
      </c>
      <c r="CV63" s="31">
        <f t="shared" si="174"/>
        <v>119.97623947595886</v>
      </c>
      <c r="CW63" s="188">
        <f t="shared" si="175"/>
        <v>73.145677216938182</v>
      </c>
      <c r="CY63" s="181">
        <v>0</v>
      </c>
      <c r="CZ63" s="181">
        <v>0.16304550000000001</v>
      </c>
      <c r="DA63" s="181">
        <v>12.451362290306623</v>
      </c>
      <c r="DB63" s="181">
        <v>0.29319979005400443</v>
      </c>
      <c r="DC63" s="181">
        <v>5.5000870918544442E-2</v>
      </c>
      <c r="DD63" s="181">
        <v>1.8095376638477203</v>
      </c>
      <c r="DE63" s="181">
        <v>9.4631144126755338</v>
      </c>
      <c r="DF63" s="181">
        <v>0.20538552134308963</v>
      </c>
      <c r="DG63" s="181">
        <v>1.9092765813683668</v>
      </c>
      <c r="DH63" s="181">
        <v>9.6684999340186231</v>
      </c>
      <c r="DI63" s="181">
        <v>14.609100615126891</v>
      </c>
      <c r="DJ63" s="181">
        <v>0.16304550000000001</v>
      </c>
      <c r="DK63" s="181">
        <v>26.349922630513881</v>
      </c>
      <c r="DL63" s="181"/>
      <c r="DM63" s="181">
        <v>0</v>
      </c>
      <c r="DN63" s="181">
        <v>2.6494348521308296E-2</v>
      </c>
      <c r="DO63" s="181">
        <v>1.67137112220376E-3</v>
      </c>
      <c r="DP63" s="181">
        <v>6.7979977874710495E-2</v>
      </c>
      <c r="DQ63" s="181">
        <v>-1.1167731162411987E-4</v>
      </c>
      <c r="DR63" s="181">
        <v>2.415099897443694E-3</v>
      </c>
      <c r="DS63" s="181">
        <v>0.21520334877940536</v>
      </c>
      <c r="DT63" s="181">
        <v>6.95396716852901E-2</v>
      </c>
      <c r="DU63" s="181">
        <v>2.6494348521308296E-2</v>
      </c>
      <c r="DV63" s="181">
        <v>0.31365246888344744</v>
      </c>
      <c r="DW63" s="181">
        <v>0.31365246888344744</v>
      </c>
      <c r="DX63" s="181"/>
      <c r="DY63" s="181">
        <v>0</v>
      </c>
      <c r="DZ63" s="181">
        <v>1.8546043964915805E-2</v>
      </c>
      <c r="EA63" s="181">
        <v>1.67137112220376E-3</v>
      </c>
      <c r="EB63" s="181">
        <v>6.7979977874710495E-2</v>
      </c>
      <c r="EC63" s="181">
        <v>2.1427417343691108E-4</v>
      </c>
      <c r="ED63" s="181">
        <v>2.415099897443694E-3</v>
      </c>
      <c r="EE63" s="181">
        <v>5.4732298116149179E-2</v>
      </c>
      <c r="EF63" s="181">
        <v>6.9865623170351165E-2</v>
      </c>
      <c r="EG63" s="181">
        <v>1.8546043964915805E-2</v>
      </c>
      <c r="EH63" s="181">
        <v>0.14555906514885983</v>
      </c>
      <c r="EJ63" s="31">
        <f t="shared" si="176"/>
        <v>3.0551497644905161E-3</v>
      </c>
      <c r="EK63" s="31">
        <f t="shared" si="122"/>
        <v>4.3386081328179789E-2</v>
      </c>
      <c r="EL63" s="31">
        <f t="shared" si="123"/>
        <v>6.6417659627394043E-4</v>
      </c>
      <c r="EM63" s="31">
        <f t="shared" si="124"/>
        <v>1.2445493184346351E-2</v>
      </c>
      <c r="EN63" s="31">
        <f t="shared" si="125"/>
        <v>8.7931213990426697E-3</v>
      </c>
      <c r="EO63" s="31">
        <f t="shared" si="126"/>
        <v>8.8777826418755618E-2</v>
      </c>
      <c r="EP63" s="31">
        <f t="shared" si="127"/>
        <v>3.1207118572851422E-3</v>
      </c>
      <c r="EQ63" s="31">
        <f t="shared" si="128"/>
        <v>3.6750886820433336E-2</v>
      </c>
      <c r="ER63" s="31">
        <f t="shared" si="129"/>
        <v>0.19699344736880736</v>
      </c>
      <c r="ES63" s="31">
        <f t="shared" si="130"/>
        <v>0.12010060640363744</v>
      </c>
      <c r="ET63" s="31"/>
      <c r="EU63" s="31">
        <f t="shared" si="131"/>
        <v>0</v>
      </c>
      <c r="EV63" s="31">
        <f t="shared" si="132"/>
        <v>2.6771046719969039E-4</v>
      </c>
      <c r="EW63" s="31">
        <f t="shared" si="133"/>
        <v>2.0444354588201406E-2</v>
      </c>
      <c r="EX63" s="31">
        <f t="shared" si="134"/>
        <v>4.8141563415248292E-4</v>
      </c>
      <c r="EY63" s="31">
        <f t="shared" si="135"/>
        <v>9.0307974461076163E-5</v>
      </c>
      <c r="EZ63" s="31">
        <f t="shared" si="136"/>
        <v>2.9711471546538196E-3</v>
      </c>
      <c r="FA63" s="31">
        <f t="shared" si="137"/>
        <v>1.5537839318358927E-2</v>
      </c>
      <c r="FB63" s="31">
        <f t="shared" si="138"/>
        <v>3.3723012211199022E-4</v>
      </c>
      <c r="FC63" s="31">
        <f t="shared" si="139"/>
        <v>3.1349121908396927E-3</v>
      </c>
      <c r="FD63" s="31">
        <f t="shared" si="140"/>
        <v>1.5875069440470919E-2</v>
      </c>
      <c r="FE63" s="31">
        <f t="shared" si="141"/>
        <v>2.3987225351468786E-2</v>
      </c>
      <c r="FF63" s="31">
        <f t="shared" si="142"/>
        <v>2.6771046719969039E-4</v>
      </c>
      <c r="FG63" s="31">
        <f t="shared" si="143"/>
        <v>4.3264917449979089E-2</v>
      </c>
      <c r="FH63" s="31"/>
      <c r="FI63" s="31">
        <f t="shared" si="144"/>
        <v>0</v>
      </c>
      <c r="FJ63" s="31">
        <f t="shared" si="145"/>
        <v>4.3502055688693462E-5</v>
      </c>
      <c r="FK63" s="31">
        <f t="shared" si="146"/>
        <v>2.7442863739829641E-6</v>
      </c>
      <c r="FL63" s="31">
        <f t="shared" si="147"/>
        <v>1.1161885263354928E-4</v>
      </c>
      <c r="FM63" s="31">
        <f t="shared" si="148"/>
        <v>-1.8336712923998849E-7</v>
      </c>
      <c r="FN63" s="31">
        <f t="shared" si="149"/>
        <v>3.9654422960374595E-6</v>
      </c>
      <c r="FO63" s="31">
        <f t="shared" si="150"/>
        <v>3.5335037792930514E-4</v>
      </c>
      <c r="FP63" s="31">
        <f t="shared" si="151"/>
        <v>1.141797718782922E-4</v>
      </c>
      <c r="FQ63" s="31">
        <f t="shared" si="152"/>
        <v>4.3502055688693462E-5</v>
      </c>
      <c r="FR63" s="31">
        <f t="shared" si="153"/>
        <v>5.1499764779232824E-4</v>
      </c>
      <c r="FS63" s="31">
        <f t="shared" si="154"/>
        <v>5.1499764779232824E-4</v>
      </c>
      <c r="FT63" s="31"/>
      <c r="FU63" s="31">
        <f t="shared" si="155"/>
        <v>0</v>
      </c>
      <c r="FV63" s="31">
        <f t="shared" si="156"/>
        <v>3.0451438982085417E-5</v>
      </c>
      <c r="FW63" s="31">
        <f t="shared" si="157"/>
        <v>2.7442863739829641E-6</v>
      </c>
      <c r="FX63" s="31">
        <f t="shared" si="158"/>
        <v>1.1161885263354928E-4</v>
      </c>
      <c r="FY63" s="31">
        <f t="shared" si="159"/>
        <v>3.5182473039503043E-7</v>
      </c>
      <c r="FZ63" s="31">
        <f t="shared" si="160"/>
        <v>3.9654422960374595E-6</v>
      </c>
      <c r="GA63" s="31">
        <f t="shared" si="161"/>
        <v>8.9866994793398342E-5</v>
      </c>
      <c r="GB63" s="31">
        <f t="shared" si="162"/>
        <v>1.1471496373792728E-4</v>
      </c>
      <c r="GC63" s="31">
        <f t="shared" si="163"/>
        <v>3.0451438982085417E-5</v>
      </c>
      <c r="GD63" s="31">
        <f t="shared" si="164"/>
        <v>2.3899883980944847E-4</v>
      </c>
    </row>
    <row r="64" spans="1:186">
      <c r="A64" s="39" t="str">
        <f>Basicinfo!A64</f>
        <v>Donau</v>
      </c>
      <c r="B64" s="63">
        <f>Basicinfo!B64</f>
        <v>4990</v>
      </c>
      <c r="C64" s="63">
        <f>Basicinfo!C64</f>
        <v>5000</v>
      </c>
      <c r="D64" s="227">
        <v>2107.0721865157002</v>
      </c>
      <c r="E64" s="89">
        <v>28.983260566659148</v>
      </c>
      <c r="F64" s="27">
        <v>0.36831840771778424</v>
      </c>
      <c r="G64" s="19">
        <v>5.2032510361092985</v>
      </c>
      <c r="H64" s="19">
        <v>0</v>
      </c>
      <c r="I64" s="19">
        <v>0.58444284763899723</v>
      </c>
      <c r="J64" s="19">
        <v>21.63970892299977</v>
      </c>
      <c r="K64" s="19">
        <v>0.10592762147069067</v>
      </c>
      <c r="L64" s="19">
        <v>9.5762196409399633E-2</v>
      </c>
      <c r="M64" s="19">
        <v>0.16901990533539477</v>
      </c>
      <c r="N64" s="19">
        <v>28.166430937681341</v>
      </c>
      <c r="O64" s="19">
        <v>0.81682962897781719</v>
      </c>
      <c r="P64" s="56">
        <v>31145.580949378746</v>
      </c>
      <c r="Q64" s="43">
        <v>14646.432400345348</v>
      </c>
      <c r="R64" s="88">
        <v>45792.013349724097</v>
      </c>
      <c r="S64" s="61">
        <v>72.048739841305448</v>
      </c>
      <c r="T64" s="19">
        <v>321.5621347228377</v>
      </c>
      <c r="U64" s="19">
        <v>0</v>
      </c>
      <c r="V64" s="19">
        <v>156.27225197551502</v>
      </c>
      <c r="W64" s="19">
        <v>0.36616081000863371</v>
      </c>
      <c r="X64" s="19">
        <v>217.22128604356945</v>
      </c>
      <c r="Y64" s="19">
        <v>1960.1468615224039</v>
      </c>
      <c r="Z64" s="19">
        <v>9.6414415840570129</v>
      </c>
      <c r="AA64" s="19">
        <v>28.030385328827858</v>
      </c>
      <c r="AB64" s="19">
        <v>8.6073586665517094</v>
      </c>
      <c r="AC64" s="19">
        <v>2773.8966204950761</v>
      </c>
      <c r="AD64" s="19">
        <v>138.59113576077777</v>
      </c>
      <c r="AE64" s="87">
        <v>2912.4877562558545</v>
      </c>
      <c r="AF64" s="56">
        <v>1.2740534776709684</v>
      </c>
      <c r="AG64" s="43">
        <v>5.6603796888196216</v>
      </c>
      <c r="AH64" s="43">
        <v>0</v>
      </c>
      <c r="AI64" s="43">
        <v>75.185077208137571</v>
      </c>
      <c r="AJ64" s="43">
        <v>6.5908945801554069</v>
      </c>
      <c r="AK64" s="43">
        <v>1.7485823053592222</v>
      </c>
      <c r="AL64" s="58">
        <v>24.433310671085692</v>
      </c>
      <c r="AM64" s="43">
        <v>2.2116718274996465</v>
      </c>
      <c r="AN64" s="42">
        <v>5.0884195260669411</v>
      </c>
      <c r="AO64" s="42">
        <v>1.3250041331450191</v>
      </c>
      <c r="AP64" s="42">
        <v>123.51739341794011</v>
      </c>
      <c r="AQ64" s="43">
        <v>19.003844355000002</v>
      </c>
      <c r="AR64" s="83">
        <v>142.52123777294008</v>
      </c>
      <c r="AS64" s="19">
        <f t="shared" si="96"/>
        <v>5.5125255698976954</v>
      </c>
      <c r="AT64" s="19">
        <f t="shared" si="97"/>
        <v>77.875701518363798</v>
      </c>
      <c r="AU64" s="19">
        <f t="shared" si="98"/>
        <v>0</v>
      </c>
      <c r="AV64" s="19">
        <f t="shared" si="99"/>
        <v>8.7472037081089766</v>
      </c>
      <c r="AW64" s="19">
        <f t="shared" si="100"/>
        <v>323.87588093230039</v>
      </c>
      <c r="AX64" s="53">
        <f t="shared" si="82"/>
        <v>1.5853910901000874</v>
      </c>
      <c r="AY64" s="53">
        <f t="shared" si="83"/>
        <v>1.4332478238254818</v>
      </c>
      <c r="AZ64" s="53">
        <f t="shared" si="84"/>
        <v>2.5296768514946617</v>
      </c>
      <c r="BA64" s="19">
        <f t="shared" si="85"/>
        <v>421.5596274940911</v>
      </c>
      <c r="BB64" s="19">
        <f t="shared" si="101"/>
        <v>12.225276069939005</v>
      </c>
      <c r="BC64" s="53">
        <f t="shared" si="165"/>
        <v>433.78490356403012</v>
      </c>
      <c r="BD64" s="56">
        <f t="shared" si="102"/>
        <v>147.81449420051311</v>
      </c>
      <c r="BE64" s="43">
        <f t="shared" si="103"/>
        <v>69.510824043313875</v>
      </c>
      <c r="BF64" s="58">
        <f t="shared" si="166"/>
        <v>217.32531824382698</v>
      </c>
      <c r="BG64" s="61">
        <f t="shared" si="104"/>
        <v>341.93769108806276</v>
      </c>
      <c r="BH64" s="19">
        <f t="shared" si="105"/>
        <v>1526.1087720709738</v>
      </c>
      <c r="BI64" s="19">
        <f t="shared" si="106"/>
        <v>0</v>
      </c>
      <c r="BJ64" s="19">
        <f t="shared" si="107"/>
        <v>741.6559004270764</v>
      </c>
      <c r="BK64" s="19">
        <f t="shared" si="108"/>
        <v>1.7377706010828469</v>
      </c>
      <c r="BL64" s="19">
        <f t="shared" si="109"/>
        <v>1030.9152549859775</v>
      </c>
      <c r="BM64" s="19">
        <f t="shared" si="110"/>
        <v>9302.7038848808716</v>
      </c>
      <c r="BN64" s="53">
        <f t="shared" si="111"/>
        <v>45.757528601809831</v>
      </c>
      <c r="BO64" s="53">
        <f t="shared" si="86"/>
        <v>133.03001913370372</v>
      </c>
      <c r="BP64" s="53">
        <f t="shared" si="87"/>
        <v>40.849851854316498</v>
      </c>
      <c r="BQ64" s="19">
        <f t="shared" si="88"/>
        <v>13164.696673643874</v>
      </c>
      <c r="BR64" s="19">
        <f t="shared" si="112"/>
        <v>657.74270405967934</v>
      </c>
      <c r="BS64" s="53">
        <f t="shared" si="167"/>
        <v>13822.439377703553</v>
      </c>
      <c r="BT64" s="56">
        <f t="shared" si="113"/>
        <v>6.0465582803680338</v>
      </c>
      <c r="BU64" s="43">
        <f t="shared" si="114"/>
        <v>26.863719833821861</v>
      </c>
      <c r="BV64" s="43">
        <f t="shared" si="115"/>
        <v>0</v>
      </c>
      <c r="BW64" s="43">
        <f t="shared" si="116"/>
        <v>356.82250323120269</v>
      </c>
      <c r="BX64" s="43">
        <f t="shared" si="117"/>
        <v>31.279870819491247</v>
      </c>
      <c r="BY64" s="58">
        <f t="shared" si="118"/>
        <v>8.2986350280230088</v>
      </c>
      <c r="BZ64" s="58">
        <f t="shared" si="119"/>
        <v>115.95858379911103</v>
      </c>
      <c r="CA64" s="58">
        <f t="shared" si="120"/>
        <v>10.496421725147036</v>
      </c>
      <c r="CB64" s="58">
        <f t="shared" si="89"/>
        <v>24.149241580950584</v>
      </c>
      <c r="CC64" s="58">
        <f t="shared" si="90"/>
        <v>6.288366111158604</v>
      </c>
      <c r="CD64" s="58">
        <f t="shared" si="91"/>
        <v>586.20390040927407</v>
      </c>
      <c r="CE64" s="58">
        <f t="shared" si="121"/>
        <v>90.190760794129062</v>
      </c>
      <c r="CF64" s="58">
        <f t="shared" si="168"/>
        <v>676.39466120340307</v>
      </c>
      <c r="CG64" s="127">
        <v>65</v>
      </c>
      <c r="CH64" s="128" t="s">
        <v>169</v>
      </c>
      <c r="CI64" s="128"/>
      <c r="CJ64" s="126">
        <f t="shared" si="93"/>
        <v>61</v>
      </c>
      <c r="CK64" s="126">
        <f t="shared" si="95"/>
        <v>62</v>
      </c>
      <c r="CN64" s="147">
        <f t="shared" si="169"/>
        <v>1.2740534776709684</v>
      </c>
      <c r="CO64" s="147">
        <f t="shared" si="170"/>
        <v>5.6603796888196216</v>
      </c>
      <c r="CP64" s="147">
        <f t="shared" si="171"/>
        <v>0</v>
      </c>
      <c r="CQ64" s="31">
        <f>(AI64-(P64*450/1000000))*Parameters!$C$153</f>
        <v>48.935652624733713</v>
      </c>
      <c r="CR64" s="31">
        <f t="shared" si="172"/>
        <v>1.7485823053592222</v>
      </c>
      <c r="CS64" s="31">
        <f t="shared" si="173"/>
        <v>24.433310671085692</v>
      </c>
      <c r="CT64" s="31">
        <f>AM64*Parameters!$C$154</f>
        <v>1.9905046447496819</v>
      </c>
      <c r="CU64" s="31">
        <f>AQ64*Parameters!$C$155</f>
        <v>19.003844355000002</v>
      </c>
      <c r="CV64" s="31">
        <f t="shared" si="174"/>
        <v>103.0463277674189</v>
      </c>
      <c r="CW64" s="188">
        <f t="shared" si="175"/>
        <v>72.30243672987794</v>
      </c>
      <c r="CY64" s="181">
        <v>6.2366583333333327</v>
      </c>
      <c r="CZ64" s="181">
        <v>31.100216915908547</v>
      </c>
      <c r="DA64" s="181">
        <v>358.33749213591523</v>
      </c>
      <c r="DB64" s="181">
        <v>45.396803883788003</v>
      </c>
      <c r="DC64" s="181">
        <v>11.375310169272709</v>
      </c>
      <c r="DD64" s="181">
        <v>277.40636934811869</v>
      </c>
      <c r="DE64" s="181">
        <v>251.76825027649303</v>
      </c>
      <c r="DF64" s="181">
        <v>30.73688744606255</v>
      </c>
      <c r="DG64" s="181">
        <v>140.98804233701441</v>
      </c>
      <c r="DH64" s="181">
        <v>282.50513772255556</v>
      </c>
      <c r="DI64" s="181">
        <v>692.51597553709462</v>
      </c>
      <c r="DJ64" s="181">
        <v>37.336875249241878</v>
      </c>
      <c r="DK64" s="181">
        <v>1153.3460308459066</v>
      </c>
      <c r="DL64" s="181"/>
      <c r="DM64" s="181">
        <v>1.1088333333333333</v>
      </c>
      <c r="DN64" s="181">
        <v>5.5069609315732642</v>
      </c>
      <c r="DO64" s="181">
        <v>0.15883711378310403</v>
      </c>
      <c r="DP64" s="181">
        <v>7.2054789586765891</v>
      </c>
      <c r="DQ64" s="181">
        <v>0.58936146620911234</v>
      </c>
      <c r="DR64" s="181">
        <v>0.20884872338876126</v>
      </c>
      <c r="DS64" s="181">
        <v>6.4285849209494552</v>
      </c>
      <c r="DT64" s="181">
        <v>7.9536775386688054</v>
      </c>
      <c r="DU64" s="181">
        <v>6.6157942649065973</v>
      </c>
      <c r="DV64" s="181">
        <v>21.20690544791362</v>
      </c>
      <c r="DW64" s="181">
        <v>21.20690544791362</v>
      </c>
      <c r="DX64" s="181"/>
      <c r="DY64" s="181">
        <v>0.88706666666666667</v>
      </c>
      <c r="DZ64" s="181">
        <v>3.8548726521012848</v>
      </c>
      <c r="EA64" s="181">
        <v>0.15883711378310403</v>
      </c>
      <c r="EB64" s="181">
        <v>7.2054789586765891</v>
      </c>
      <c r="EC64" s="181">
        <v>0.3223204989333649</v>
      </c>
      <c r="ED64" s="181">
        <v>0.20884872338876126</v>
      </c>
      <c r="EE64" s="181">
        <v>2.0352338075870597</v>
      </c>
      <c r="EF64" s="181">
        <v>7.6866365713930591</v>
      </c>
      <c r="EG64" s="181">
        <v>4.7419393187679511</v>
      </c>
      <c r="EH64" s="181">
        <v>14.67265842113683</v>
      </c>
      <c r="EJ64" s="31">
        <f t="shared" si="176"/>
        <v>6.046558280368034E-3</v>
      </c>
      <c r="EK64" s="31">
        <f t="shared" si="122"/>
        <v>2.6863719833821863E-2</v>
      </c>
      <c r="EL64" s="31">
        <f t="shared" si="123"/>
        <v>0</v>
      </c>
      <c r="EM64" s="31">
        <f t="shared" si="124"/>
        <v>0.23224478467277745</v>
      </c>
      <c r="EN64" s="31">
        <f t="shared" si="125"/>
        <v>8.2986350280230096E-3</v>
      </c>
      <c r="EO64" s="31">
        <f t="shared" si="126"/>
        <v>0.11595858379911103</v>
      </c>
      <c r="EP64" s="31">
        <f t="shared" si="127"/>
        <v>9.4467795526323329E-3</v>
      </c>
      <c r="EQ64" s="31">
        <f t="shared" si="128"/>
        <v>9.0190760794129063E-2</v>
      </c>
      <c r="ER64" s="31">
        <f t="shared" si="129"/>
        <v>0.48904982196086277</v>
      </c>
      <c r="ES64" s="31">
        <f t="shared" si="130"/>
        <v>0.3431417167033029</v>
      </c>
      <c r="ET64" s="31"/>
      <c r="EU64" s="31">
        <f t="shared" si="131"/>
        <v>2.959869326378611E-2</v>
      </c>
      <c r="EV64" s="31">
        <f t="shared" si="132"/>
        <v>0.14759920004134519</v>
      </c>
      <c r="EW64" s="31">
        <f t="shared" si="133"/>
        <v>1.7006417455895035</v>
      </c>
      <c r="EX64" s="31">
        <f t="shared" si="134"/>
        <v>0.21544968499089312</v>
      </c>
      <c r="EY64" s="31">
        <f t="shared" si="135"/>
        <v>5.3986333463416664E-2</v>
      </c>
      <c r="EZ64" s="31">
        <f t="shared" si="136"/>
        <v>1.3165489588984791</v>
      </c>
      <c r="FA64" s="31">
        <f t="shared" si="137"/>
        <v>1.1948724485458775</v>
      </c>
      <c r="FB64" s="31">
        <f t="shared" si="138"/>
        <v>0.14587486675949971</v>
      </c>
      <c r="FC64" s="31">
        <f t="shared" si="139"/>
        <v>0.66911823543243321</v>
      </c>
      <c r="FD64" s="31">
        <f t="shared" si="140"/>
        <v>1.3407473153053768</v>
      </c>
      <c r="FE64" s="31">
        <f t="shared" si="141"/>
        <v>3.2866267229422927</v>
      </c>
      <c r="FF64" s="31">
        <f t="shared" si="142"/>
        <v>0.1771978933051313</v>
      </c>
      <c r="FG64" s="31">
        <f t="shared" si="143"/>
        <v>5.473690166985234</v>
      </c>
      <c r="FH64" s="31"/>
      <c r="FI64" s="31">
        <f t="shared" si="144"/>
        <v>5.2624363817687899E-3</v>
      </c>
      <c r="FJ64" s="31">
        <f t="shared" si="145"/>
        <v>2.6135606396474213E-2</v>
      </c>
      <c r="FK64" s="31">
        <f t="shared" si="146"/>
        <v>7.5382853420774586E-4</v>
      </c>
      <c r="FL64" s="31">
        <f t="shared" si="147"/>
        <v>3.4196640270743282E-2</v>
      </c>
      <c r="FM64" s="31">
        <f t="shared" si="148"/>
        <v>2.7970634797457655E-3</v>
      </c>
      <c r="FN64" s="31">
        <f t="shared" si="149"/>
        <v>9.9117972666194223E-4</v>
      </c>
      <c r="FO64" s="31">
        <f t="shared" si="150"/>
        <v>3.0509561855969921E-2</v>
      </c>
      <c r="FP64" s="31">
        <f t="shared" si="151"/>
        <v>3.7747532284696794E-2</v>
      </c>
      <c r="FQ64" s="31">
        <f t="shared" si="152"/>
        <v>3.1398042778243006E-2</v>
      </c>
      <c r="FR64" s="31">
        <f t="shared" si="153"/>
        <v>0.10064631664557167</v>
      </c>
      <c r="FS64" s="31">
        <f t="shared" si="154"/>
        <v>0.10064631664557167</v>
      </c>
      <c r="FT64" s="31"/>
      <c r="FU64" s="31">
        <f t="shared" si="155"/>
        <v>4.209949105415031E-3</v>
      </c>
      <c r="FV64" s="31">
        <f t="shared" si="156"/>
        <v>1.8294924477531949E-2</v>
      </c>
      <c r="FW64" s="31">
        <f t="shared" si="157"/>
        <v>7.5382853420774586E-4</v>
      </c>
      <c r="FX64" s="31">
        <f t="shared" si="158"/>
        <v>3.4196640270743282E-2</v>
      </c>
      <c r="FY64" s="31">
        <f t="shared" si="159"/>
        <v>1.5297079093733424E-3</v>
      </c>
      <c r="FZ64" s="31">
        <f t="shared" si="160"/>
        <v>9.9117972666194223E-4</v>
      </c>
      <c r="GA64" s="31">
        <f t="shared" si="161"/>
        <v>9.6590606653707764E-3</v>
      </c>
      <c r="GB64" s="31">
        <f t="shared" si="162"/>
        <v>3.6480176714324374E-2</v>
      </c>
      <c r="GC64" s="31">
        <f t="shared" si="163"/>
        <v>2.2504873582946981E-2</v>
      </c>
      <c r="GD64" s="31">
        <f t="shared" si="164"/>
        <v>6.9635290689304061E-2</v>
      </c>
    </row>
    <row r="65" spans="1:186">
      <c r="A65" s="39" t="str">
        <f>Basicinfo!A65</f>
        <v>Donau</v>
      </c>
      <c r="B65" s="63">
        <f>Basicinfo!B65</f>
        <v>5000</v>
      </c>
      <c r="C65" s="63">
        <f>Basicinfo!C65</f>
        <v>5010</v>
      </c>
      <c r="D65" s="227">
        <v>4510.9454687077014</v>
      </c>
      <c r="E65" s="89">
        <v>64.912066396251731</v>
      </c>
      <c r="F65" s="27">
        <v>0.61764807757239137</v>
      </c>
      <c r="G65" s="19">
        <v>11.877220060739743</v>
      </c>
      <c r="H65" s="19">
        <v>0</v>
      </c>
      <c r="I65" s="19">
        <v>1.3599527681007508</v>
      </c>
      <c r="J65" s="19">
        <v>48.860351604013211</v>
      </c>
      <c r="K65" s="19">
        <v>0.2039377615951834</v>
      </c>
      <c r="L65" s="19">
        <v>0.18785290838528032</v>
      </c>
      <c r="M65" s="19">
        <v>0.31551604379489834</v>
      </c>
      <c r="N65" s="19">
        <v>63.422479224201467</v>
      </c>
      <c r="O65" s="19">
        <v>1.4895871720502847</v>
      </c>
      <c r="P65" s="56">
        <v>58016.890313402735</v>
      </c>
      <c r="Q65" s="43">
        <v>35372.32313048777</v>
      </c>
      <c r="R65" s="88">
        <v>93389.21344389049</v>
      </c>
      <c r="S65" s="61">
        <v>125.43016608881987</v>
      </c>
      <c r="T65" s="19">
        <v>678.21050188232903</v>
      </c>
      <c r="U65" s="19">
        <v>0</v>
      </c>
      <c r="V65" s="19">
        <v>253.01371532829384</v>
      </c>
      <c r="W65" s="19">
        <v>0.88430807826219426</v>
      </c>
      <c r="X65" s="19">
        <v>485.04953309315061</v>
      </c>
      <c r="Y65" s="19">
        <v>3755.3270701003298</v>
      </c>
      <c r="Z65" s="19">
        <v>18.361947804743721</v>
      </c>
      <c r="AA65" s="19">
        <v>52.604722350728942</v>
      </c>
      <c r="AB65" s="19">
        <v>32.556380203949928</v>
      </c>
      <c r="AC65" s="19">
        <v>5401.4383449306069</v>
      </c>
      <c r="AD65" s="19">
        <v>261.8444248157777</v>
      </c>
      <c r="AE65" s="87">
        <v>5663.2827697463863</v>
      </c>
      <c r="AF65" s="56">
        <v>2.4442387673964574</v>
      </c>
      <c r="AG65" s="43">
        <v>12.012645636719396</v>
      </c>
      <c r="AH65" s="43">
        <v>0</v>
      </c>
      <c r="AI65" s="43">
        <v>135.30815857371306</v>
      </c>
      <c r="AJ65" s="43">
        <v>15.917545408719496</v>
      </c>
      <c r="AK65" s="43">
        <v>4.3307906974203121</v>
      </c>
      <c r="AL65" s="58">
        <v>51.085054960261957</v>
      </c>
      <c r="AM65" s="43">
        <v>4.4356995714706784</v>
      </c>
      <c r="AN65" s="42">
        <v>9.7015659039904083</v>
      </c>
      <c r="AO65" s="42">
        <v>4.9891931605202338</v>
      </c>
      <c r="AP65" s="42">
        <v>240.22489268021201</v>
      </c>
      <c r="AQ65" s="43">
        <v>34.846564138333342</v>
      </c>
      <c r="AR65" s="83">
        <v>275.07145681854536</v>
      </c>
      <c r="AS65" s="19">
        <f t="shared" si="96"/>
        <v>4.3179750031212514</v>
      </c>
      <c r="AT65" s="19">
        <f t="shared" si="97"/>
        <v>83.033593386087361</v>
      </c>
      <c r="AU65" s="19">
        <f t="shared" si="98"/>
        <v>0</v>
      </c>
      <c r="AV65" s="19">
        <f t="shared" si="99"/>
        <v>9.507423841040513</v>
      </c>
      <c r="AW65" s="19">
        <f t="shared" si="100"/>
        <v>341.58250390590223</v>
      </c>
      <c r="AX65" s="53">
        <f t="shared" si="82"/>
        <v>1.4257279974408936</v>
      </c>
      <c r="AY65" s="53">
        <f t="shared" si="83"/>
        <v>1.3132788591513052</v>
      </c>
      <c r="AZ65" s="53">
        <f t="shared" si="84"/>
        <v>2.2057712792450199</v>
      </c>
      <c r="BA65" s="19">
        <f t="shared" si="85"/>
        <v>443.38627427198861</v>
      </c>
      <c r="BB65" s="19">
        <f t="shared" si="101"/>
        <v>10.413697390856596</v>
      </c>
      <c r="BC65" s="53">
        <f t="shared" si="165"/>
        <v>453.79997166284522</v>
      </c>
      <c r="BD65" s="56">
        <f t="shared" si="102"/>
        <v>128.61359268442556</v>
      </c>
      <c r="BE65" s="43">
        <f t="shared" si="103"/>
        <v>78.414433018232103</v>
      </c>
      <c r="BF65" s="58">
        <f t="shared" si="166"/>
        <v>207.02802570265766</v>
      </c>
      <c r="BG65" s="61">
        <f t="shared" si="104"/>
        <v>278.05737612863049</v>
      </c>
      <c r="BH65" s="19">
        <f t="shared" si="105"/>
        <v>1503.4775006416187</v>
      </c>
      <c r="BI65" s="19">
        <f t="shared" si="106"/>
        <v>0</v>
      </c>
      <c r="BJ65" s="19">
        <f t="shared" si="107"/>
        <v>560.88843698830476</v>
      </c>
      <c r="BK65" s="19">
        <f t="shared" si="108"/>
        <v>1.9603608254558029</v>
      </c>
      <c r="BL65" s="19">
        <f t="shared" si="109"/>
        <v>1075.2724378025077</v>
      </c>
      <c r="BM65" s="19">
        <f t="shared" si="110"/>
        <v>8324.9223386780559</v>
      </c>
      <c r="BN65" s="53">
        <f t="shared" si="111"/>
        <v>40.705319831773679</v>
      </c>
      <c r="BO65" s="53">
        <f t="shared" si="86"/>
        <v>116.61573547196787</v>
      </c>
      <c r="BP65" s="53">
        <f t="shared" si="87"/>
        <v>72.171965788087206</v>
      </c>
      <c r="BQ65" s="19">
        <f t="shared" si="88"/>
        <v>11974.071472156402</v>
      </c>
      <c r="BR65" s="19">
        <f t="shared" si="112"/>
        <v>580.46462018258671</v>
      </c>
      <c r="BS65" s="53">
        <f t="shared" si="167"/>
        <v>12554.536092338989</v>
      </c>
      <c r="BT65" s="56">
        <f t="shared" si="113"/>
        <v>5.4184622366908917</v>
      </c>
      <c r="BU65" s="43">
        <f t="shared" si="114"/>
        <v>26.629995241686633</v>
      </c>
      <c r="BV65" s="43">
        <f t="shared" si="115"/>
        <v>0</v>
      </c>
      <c r="BW65" s="43">
        <f t="shared" si="116"/>
        <v>299.95520786571649</v>
      </c>
      <c r="BX65" s="43">
        <f t="shared" si="117"/>
        <v>35.286494858204442</v>
      </c>
      <c r="BY65" s="58">
        <f t="shared" si="118"/>
        <v>9.6006274681502628</v>
      </c>
      <c r="BZ65" s="58">
        <f t="shared" si="119"/>
        <v>113.24689095587057</v>
      </c>
      <c r="CA65" s="58">
        <f t="shared" si="120"/>
        <v>9.8331926250073245</v>
      </c>
      <c r="CB65" s="58">
        <f t="shared" si="89"/>
        <v>21.506723970151914</v>
      </c>
      <c r="CC65" s="58">
        <f t="shared" si="90"/>
        <v>11.060193910855546</v>
      </c>
      <c r="CD65" s="58">
        <f t="shared" si="91"/>
        <v>532.53778913233407</v>
      </c>
      <c r="CE65" s="58">
        <f t="shared" si="121"/>
        <v>77.248914623470739</v>
      </c>
      <c r="CF65" s="58">
        <f t="shared" si="168"/>
        <v>609.78670375580487</v>
      </c>
      <c r="CG65" s="127">
        <v>66</v>
      </c>
      <c r="CH65" s="128" t="s">
        <v>169</v>
      </c>
      <c r="CI65" s="128"/>
      <c r="CJ65" s="126">
        <f t="shared" si="93"/>
        <v>62</v>
      </c>
      <c r="CK65" s="126">
        <f t="shared" si="95"/>
        <v>63</v>
      </c>
      <c r="CN65" s="147">
        <f t="shared" si="169"/>
        <v>2.4442387673964574</v>
      </c>
      <c r="CO65" s="147">
        <f t="shared" si="170"/>
        <v>12.012645636719396</v>
      </c>
      <c r="CP65" s="147">
        <f t="shared" si="171"/>
        <v>0</v>
      </c>
      <c r="CQ65" s="31">
        <f>(AI65-(P65*450/1000000))*Parameters!$C$153</f>
        <v>87.360446346145466</v>
      </c>
      <c r="CR65" s="31">
        <f t="shared" si="172"/>
        <v>4.3307906974203121</v>
      </c>
      <c r="CS65" s="31">
        <f t="shared" si="173"/>
        <v>51.085054960261957</v>
      </c>
      <c r="CT65" s="31">
        <f>AM65*Parameters!$C$154</f>
        <v>3.9921296143236105</v>
      </c>
      <c r="CU65" s="31">
        <f>AQ65*Parameters!$C$155</f>
        <v>34.846564138333342</v>
      </c>
      <c r="CV65" s="31">
        <f t="shared" si="174"/>
        <v>196.07187016060053</v>
      </c>
      <c r="CW65" s="188">
        <f t="shared" si="175"/>
        <v>71.280340180821455</v>
      </c>
      <c r="CY65" s="181">
        <v>0</v>
      </c>
      <c r="CZ65" s="181">
        <v>4.4947520395188034</v>
      </c>
      <c r="DA65" s="181">
        <v>4.7464584765771605</v>
      </c>
      <c r="DB65" s="181">
        <v>4.4338432197428688</v>
      </c>
      <c r="DC65" s="181">
        <v>15.802012565544951</v>
      </c>
      <c r="DD65" s="181">
        <v>34.364740442274076</v>
      </c>
      <c r="DE65" s="181">
        <v>3.0119144628547097</v>
      </c>
      <c r="DF65" s="181">
        <v>2.7038487899397134</v>
      </c>
      <c r="DG65" s="181">
        <v>5.894392938210423</v>
      </c>
      <c r="DH65" s="181">
        <v>5.7157632527944227</v>
      </c>
      <c r="DI65" s="181">
        <v>59.347054704139055</v>
      </c>
      <c r="DJ65" s="181">
        <v>4.4947520395188034</v>
      </c>
      <c r="DK65" s="181">
        <v>75.451962934662703</v>
      </c>
      <c r="DL65" s="181"/>
      <c r="DM65" s="181">
        <v>0</v>
      </c>
      <c r="DN65" s="181">
        <v>0.79332100216995438</v>
      </c>
      <c r="DO65" s="181">
        <v>0.20764091671536392</v>
      </c>
      <c r="DP65" s="181">
        <v>1.1025664247158227</v>
      </c>
      <c r="DQ65" s="181">
        <v>0.1016681372220376</v>
      </c>
      <c r="DR65" s="181">
        <v>7.2901263472573983E-3</v>
      </c>
      <c r="DS65" s="181">
        <v>0.27045014938098477</v>
      </c>
      <c r="DT65" s="181">
        <v>1.4118754786532242</v>
      </c>
      <c r="DU65" s="181">
        <v>0.79332100216995438</v>
      </c>
      <c r="DV65" s="181">
        <v>2.4829367565514207</v>
      </c>
      <c r="DW65" s="181">
        <v>2.4829367565514211</v>
      </c>
      <c r="DX65" s="181"/>
      <c r="DY65" s="181">
        <v>0</v>
      </c>
      <c r="DZ65" s="181">
        <v>0.55532470151896807</v>
      </c>
      <c r="EA65" s="181">
        <v>0.20764091671536392</v>
      </c>
      <c r="EB65" s="181">
        <v>1.1025664247158227</v>
      </c>
      <c r="EC65" s="181">
        <v>7.274534646399515E-2</v>
      </c>
      <c r="ED65" s="181">
        <v>7.2901263472573983E-3</v>
      </c>
      <c r="EE65" s="181">
        <v>0.10419937824240301</v>
      </c>
      <c r="EF65" s="181">
        <v>1.3829526878951817</v>
      </c>
      <c r="EG65" s="181">
        <v>0.55532470151896807</v>
      </c>
      <c r="EH65" s="181">
        <v>2.0497668940038101</v>
      </c>
      <c r="EJ65" s="31">
        <f t="shared" si="176"/>
        <v>5.4184622366908906E-3</v>
      </c>
      <c r="EK65" s="31">
        <f t="shared" si="122"/>
        <v>2.6629995241686633E-2</v>
      </c>
      <c r="EL65" s="31">
        <f t="shared" si="123"/>
        <v>0</v>
      </c>
      <c r="EM65" s="31">
        <f t="shared" si="124"/>
        <v>0.19366327292618002</v>
      </c>
      <c r="EN65" s="31">
        <f t="shared" si="125"/>
        <v>9.6006274681502638E-3</v>
      </c>
      <c r="EO65" s="31">
        <f t="shared" si="126"/>
        <v>0.11324689095587058</v>
      </c>
      <c r="EP65" s="31">
        <f t="shared" si="127"/>
        <v>8.8498733625065936E-3</v>
      </c>
      <c r="EQ65" s="31">
        <f t="shared" si="128"/>
        <v>7.7248914623470735E-2</v>
      </c>
      <c r="ER65" s="31">
        <f t="shared" si="129"/>
        <v>0.43465803681455567</v>
      </c>
      <c r="ES65" s="31">
        <f t="shared" si="130"/>
        <v>0.15801640847864623</v>
      </c>
      <c r="ET65" s="31"/>
      <c r="EU65" s="31">
        <f t="shared" si="131"/>
        <v>0</v>
      </c>
      <c r="EV65" s="31">
        <f t="shared" si="132"/>
        <v>9.9641019176551094E-3</v>
      </c>
      <c r="EW65" s="31">
        <f t="shared" si="133"/>
        <v>1.0522092340737003E-2</v>
      </c>
      <c r="EX65" s="31">
        <f t="shared" si="134"/>
        <v>9.8290774084952067E-3</v>
      </c>
      <c r="EY65" s="31">
        <f t="shared" si="135"/>
        <v>3.5030378166091912E-2</v>
      </c>
      <c r="EZ65" s="31">
        <f t="shared" si="136"/>
        <v>7.6180793318521123E-2</v>
      </c>
      <c r="FA65" s="31">
        <f t="shared" si="137"/>
        <v>6.6769028438678178E-3</v>
      </c>
      <c r="FB65" s="31">
        <f t="shared" si="138"/>
        <v>5.9939735665089167E-3</v>
      </c>
      <c r="FC65" s="31">
        <f t="shared" si="139"/>
        <v>1.3066868085858401E-2</v>
      </c>
      <c r="FD65" s="31">
        <f t="shared" si="140"/>
        <v>1.2670876410376732E-2</v>
      </c>
      <c r="FE65" s="31">
        <f t="shared" si="141"/>
        <v>0.13156234123384525</v>
      </c>
      <c r="FF65" s="31">
        <f t="shared" si="142"/>
        <v>9.9641019176551094E-3</v>
      </c>
      <c r="FG65" s="31">
        <f t="shared" si="143"/>
        <v>0.16726418764773546</v>
      </c>
      <c r="FH65" s="31"/>
      <c r="FI65" s="31">
        <f t="shared" si="144"/>
        <v>0</v>
      </c>
      <c r="FJ65" s="31">
        <f t="shared" si="145"/>
        <v>1.7586579303013068E-3</v>
      </c>
      <c r="FK65" s="31">
        <f t="shared" si="146"/>
        <v>4.6030464822898647E-4</v>
      </c>
      <c r="FL65" s="31">
        <f t="shared" si="147"/>
        <v>2.4442025122322895E-3</v>
      </c>
      <c r="FM65" s="31">
        <f t="shared" si="148"/>
        <v>2.2538099369036164E-4</v>
      </c>
      <c r="FN65" s="31">
        <f t="shared" si="149"/>
        <v>1.6160972013137366E-5</v>
      </c>
      <c r="FO65" s="31">
        <f t="shared" si="150"/>
        <v>5.9954205001388214E-4</v>
      </c>
      <c r="FP65" s="31">
        <f t="shared" si="151"/>
        <v>3.1298881541516376E-3</v>
      </c>
      <c r="FQ65" s="31">
        <f t="shared" si="152"/>
        <v>1.7586579303013068E-3</v>
      </c>
      <c r="FR65" s="31">
        <f t="shared" si="153"/>
        <v>5.5042491064799639E-3</v>
      </c>
      <c r="FS65" s="31">
        <f t="shared" si="154"/>
        <v>5.5042491064799647E-3</v>
      </c>
      <c r="FT65" s="31"/>
      <c r="FU65" s="31">
        <f t="shared" si="155"/>
        <v>0</v>
      </c>
      <c r="FV65" s="31">
        <f t="shared" si="156"/>
        <v>1.2310605512109148E-3</v>
      </c>
      <c r="FW65" s="31">
        <f t="shared" si="157"/>
        <v>4.6030464822898647E-4</v>
      </c>
      <c r="FX65" s="31">
        <f t="shared" si="158"/>
        <v>2.4442025122322895E-3</v>
      </c>
      <c r="FY65" s="31">
        <f t="shared" si="159"/>
        <v>1.6126407860309443E-4</v>
      </c>
      <c r="FZ65" s="31">
        <f t="shared" si="160"/>
        <v>1.6160972013137366E-5</v>
      </c>
      <c r="GA65" s="31">
        <f t="shared" si="161"/>
        <v>2.3099232514609433E-4</v>
      </c>
      <c r="GB65" s="31">
        <f t="shared" si="162"/>
        <v>3.0657712390643704E-3</v>
      </c>
      <c r="GC65" s="31">
        <f t="shared" si="163"/>
        <v>1.2310605512109148E-3</v>
      </c>
      <c r="GD65" s="31">
        <f t="shared" si="164"/>
        <v>4.5439850874345166E-3</v>
      </c>
    </row>
    <row r="66" spans="1:186">
      <c r="A66" s="39" t="str">
        <f>Basicinfo!A66</f>
        <v>Donau</v>
      </c>
      <c r="B66" s="63">
        <f>Basicinfo!B66</f>
        <v>5010</v>
      </c>
      <c r="C66" s="63">
        <f>Basicinfo!C66</f>
        <v>5020</v>
      </c>
      <c r="D66" s="227">
        <v>9537.8801021062009</v>
      </c>
      <c r="E66" s="89">
        <v>223.81646083651157</v>
      </c>
      <c r="F66" s="27">
        <v>4.2101001264465951</v>
      </c>
      <c r="G66" s="19">
        <v>48.447625326381527</v>
      </c>
      <c r="H66" s="19">
        <v>0.89989214465075329</v>
      </c>
      <c r="I66" s="19">
        <v>2.0968685091741714</v>
      </c>
      <c r="J66" s="19">
        <v>161.20069119800027</v>
      </c>
      <c r="K66" s="19">
        <v>0.68630494733549008</v>
      </c>
      <c r="L66" s="19">
        <v>0.6226154907409519</v>
      </c>
      <c r="M66" s="19">
        <v>0.78068750563565947</v>
      </c>
      <c r="N66" s="19">
        <v>218.94478524836541</v>
      </c>
      <c r="O66" s="19">
        <v>4.8716755881461733</v>
      </c>
      <c r="P66" s="56">
        <v>107132.78692352248</v>
      </c>
      <c r="Q66" s="43">
        <v>98947.463066657729</v>
      </c>
      <c r="R66" s="88">
        <v>206080.24999018016</v>
      </c>
      <c r="S66" s="61">
        <v>330.39044073896633</v>
      </c>
      <c r="T66" s="19">
        <v>1897.6260482096116</v>
      </c>
      <c r="U66" s="19">
        <v>18.212109094258992</v>
      </c>
      <c r="V66" s="19">
        <v>412.78429246257974</v>
      </c>
      <c r="W66" s="19">
        <v>2.4736865766664433</v>
      </c>
      <c r="X66" s="19">
        <v>728.88073699866345</v>
      </c>
      <c r="Y66" s="19">
        <v>9229.1204101268413</v>
      </c>
      <c r="Z66" s="19">
        <v>53.420505759290442</v>
      </c>
      <c r="AA66" s="19">
        <v>197.9233635544376</v>
      </c>
      <c r="AB66" s="19">
        <v>63.365869118055656</v>
      </c>
      <c r="AC66" s="19">
        <v>12934.197462639369</v>
      </c>
      <c r="AD66" s="19">
        <v>2956.7038900796656</v>
      </c>
      <c r="AE66" s="87">
        <v>15890.901352719035</v>
      </c>
      <c r="AF66" s="56">
        <v>7.170363149945441</v>
      </c>
      <c r="AG66" s="43">
        <v>37.372778766046778</v>
      </c>
      <c r="AH66" s="43">
        <v>0.12080270814739094</v>
      </c>
      <c r="AI66" s="43">
        <v>256.52032055692706</v>
      </c>
      <c r="AJ66" s="43">
        <v>47.230577513680558</v>
      </c>
      <c r="AK66" s="43">
        <v>7.0355771837676535</v>
      </c>
      <c r="AL66" s="58">
        <v>118.19163286098632</v>
      </c>
      <c r="AM66" s="43">
        <v>12.340231917458526</v>
      </c>
      <c r="AN66" s="42">
        <v>35.30784174748112</v>
      </c>
      <c r="AO66" s="42">
        <v>9.7201047013753268</v>
      </c>
      <c r="AP66" s="42">
        <v>531.01023110581593</v>
      </c>
      <c r="AQ66" s="43">
        <v>138.24715867999998</v>
      </c>
      <c r="AR66" s="83">
        <v>669.25738978581614</v>
      </c>
      <c r="AS66" s="19">
        <f t="shared" si="96"/>
        <v>13.920254413588296</v>
      </c>
      <c r="AT66" s="19">
        <f t="shared" si="97"/>
        <v>160.18699081312437</v>
      </c>
      <c r="AU66" s="19">
        <f t="shared" si="98"/>
        <v>2.9753989743946736</v>
      </c>
      <c r="AV66" s="19">
        <f t="shared" si="99"/>
        <v>6.9330757566048895</v>
      </c>
      <c r="AW66" s="19">
        <f t="shared" si="100"/>
        <v>532.99317491918828</v>
      </c>
      <c r="AX66" s="53">
        <f t="shared" si="82"/>
        <v>2.269195312529944</v>
      </c>
      <c r="AY66" s="53">
        <f t="shared" si="83"/>
        <v>2.0586128055510793</v>
      </c>
      <c r="AZ66" s="53">
        <f t="shared" si="84"/>
        <v>2.5812613404827247</v>
      </c>
      <c r="BA66" s="19">
        <f t="shared" si="85"/>
        <v>723.91796433546426</v>
      </c>
      <c r="BB66" s="19">
        <f t="shared" si="101"/>
        <v>16.10768427607427</v>
      </c>
      <c r="BC66" s="53">
        <f t="shared" si="165"/>
        <v>740.02564861153849</v>
      </c>
      <c r="BD66" s="56">
        <f t="shared" si="102"/>
        <v>112.32347835853471</v>
      </c>
      <c r="BE66" s="43">
        <f t="shared" si="103"/>
        <v>103.74156731620862</v>
      </c>
      <c r="BF66" s="58">
        <f t="shared" si="166"/>
        <v>216.06504567474332</v>
      </c>
      <c r="BG66" s="61">
        <f t="shared" si="104"/>
        <v>346.39819037566627</v>
      </c>
      <c r="BH66" s="19">
        <f t="shared" si="105"/>
        <v>1989.5679416126948</v>
      </c>
      <c r="BI66" s="19">
        <f t="shared" si="106"/>
        <v>19.094504123864279</v>
      </c>
      <c r="BJ66" s="19">
        <f t="shared" si="107"/>
        <v>432.78410720577909</v>
      </c>
      <c r="BK66" s="19">
        <f t="shared" si="108"/>
        <v>2.5935391829052161</v>
      </c>
      <c r="BL66" s="19">
        <f t="shared" si="109"/>
        <v>764.19574286502973</v>
      </c>
      <c r="BM66" s="19">
        <f t="shared" si="110"/>
        <v>9676.2805899487266</v>
      </c>
      <c r="BN66" s="53">
        <f t="shared" si="111"/>
        <v>56.008783070667732</v>
      </c>
      <c r="BO66" s="53">
        <f t="shared" si="86"/>
        <v>207.5129498752361</v>
      </c>
      <c r="BP66" s="53">
        <f t="shared" si="87"/>
        <v>66.436009301545838</v>
      </c>
      <c r="BQ66" s="19">
        <f t="shared" si="88"/>
        <v>13560.872357562115</v>
      </c>
      <c r="BR66" s="19">
        <f t="shared" si="112"/>
        <v>3099.9591716682953</v>
      </c>
      <c r="BS66" s="53">
        <f t="shared" si="167"/>
        <v>16660.831529230411</v>
      </c>
      <c r="BT66" s="56">
        <f t="shared" si="113"/>
        <v>7.5177744668461983</v>
      </c>
      <c r="BU66" s="43">
        <f t="shared" si="114"/>
        <v>39.18352754066801</v>
      </c>
      <c r="BV66" s="43">
        <f t="shared" si="115"/>
        <v>0.12665572103460881</v>
      </c>
      <c r="BW66" s="43">
        <f t="shared" si="116"/>
        <v>268.94898846577132</v>
      </c>
      <c r="BX66" s="43">
        <f t="shared" si="117"/>
        <v>49.518946566806676</v>
      </c>
      <c r="BY66" s="58">
        <f t="shared" si="118"/>
        <v>7.3764579848451053</v>
      </c>
      <c r="BZ66" s="58">
        <f t="shared" si="119"/>
        <v>123.91813652059503</v>
      </c>
      <c r="CA66" s="58">
        <f t="shared" si="120"/>
        <v>12.938128583450629</v>
      </c>
      <c r="CB66" s="58">
        <f t="shared" si="89"/>
        <v>37.018542243662999</v>
      </c>
      <c r="CC66" s="58">
        <f t="shared" si="90"/>
        <v>10.191053564647857</v>
      </c>
      <c r="CD66" s="58">
        <f t="shared" si="91"/>
        <v>556.7382116583284</v>
      </c>
      <c r="CE66" s="58">
        <f t="shared" si="121"/>
        <v>144.94537276629379</v>
      </c>
      <c r="CF66" s="58">
        <f t="shared" si="168"/>
        <v>701.68358442462215</v>
      </c>
      <c r="CG66" s="127">
        <v>67</v>
      </c>
      <c r="CH66" s="128" t="s">
        <v>169</v>
      </c>
      <c r="CI66" s="128"/>
      <c r="CJ66" s="126">
        <f t="shared" si="93"/>
        <v>63</v>
      </c>
      <c r="CK66" s="126">
        <f t="shared" si="95"/>
        <v>64</v>
      </c>
      <c r="CN66" s="147">
        <f t="shared" si="169"/>
        <v>7.170363149945441</v>
      </c>
      <c r="CO66" s="147">
        <f t="shared" si="170"/>
        <v>37.372778766046778</v>
      </c>
      <c r="CP66" s="147">
        <f t="shared" si="171"/>
        <v>0.12080270814739094</v>
      </c>
      <c r="CQ66" s="31">
        <f>(AI66-(P66*450/1000000))*Parameters!$C$153</f>
        <v>166.64845315307355</v>
      </c>
      <c r="CR66" s="31">
        <f t="shared" si="172"/>
        <v>7.0355771837676535</v>
      </c>
      <c r="CS66" s="31">
        <f t="shared" si="173"/>
        <v>118.19163286098632</v>
      </c>
      <c r="CT66" s="31">
        <f>AM66*Parameters!$C$154</f>
        <v>11.106208725712674</v>
      </c>
      <c r="CU66" s="31">
        <f>AQ66*Parameters!$C$155</f>
        <v>138.24715867999998</v>
      </c>
      <c r="CV66" s="31">
        <f t="shared" si="174"/>
        <v>485.89297522767981</v>
      </c>
      <c r="CW66" s="188">
        <f t="shared" si="175"/>
        <v>72.60180950458853</v>
      </c>
      <c r="CY66" s="181">
        <v>18.750935010208334</v>
      </c>
      <c r="CZ66" s="181">
        <v>12.718456061569583</v>
      </c>
      <c r="DA66" s="181">
        <v>18.481598806089597</v>
      </c>
      <c r="DB66" s="181">
        <v>18.393835839763742</v>
      </c>
      <c r="DC66" s="181">
        <v>62.461046297806568</v>
      </c>
      <c r="DD66" s="181">
        <v>148.88137230052288</v>
      </c>
      <c r="DE66" s="181">
        <v>11.764651588394395</v>
      </c>
      <c r="DF66" s="181">
        <v>11.275669652177264</v>
      </c>
      <c r="DG66" s="181">
        <v>25.02862618662742</v>
      </c>
      <c r="DH66" s="181">
        <v>23.040321240571657</v>
      </c>
      <c r="DI66" s="181">
        <v>248.21785324418278</v>
      </c>
      <c r="DJ66" s="181">
        <v>31.469391071777917</v>
      </c>
      <c r="DK66" s="181">
        <v>327.75619174315977</v>
      </c>
      <c r="DL66" s="181"/>
      <c r="DM66" s="181">
        <v>2.3305000000000002</v>
      </c>
      <c r="DN66" s="181">
        <v>2.2513896917005809</v>
      </c>
      <c r="DO66" s="181">
        <v>0.79582003474058982</v>
      </c>
      <c r="DP66" s="181">
        <v>4.6334351225468797</v>
      </c>
      <c r="DQ66" s="181">
        <v>0.68251417705498785</v>
      </c>
      <c r="DR66" s="181">
        <v>4.5227344254285907E-2</v>
      </c>
      <c r="DS66" s="181">
        <v>1.1988410930098496</v>
      </c>
      <c r="DT66" s="181">
        <v>6.1117693343424575</v>
      </c>
      <c r="DU66" s="181">
        <v>4.5818896917005816</v>
      </c>
      <c r="DV66" s="181">
        <v>11.937727463307175</v>
      </c>
      <c r="DW66" s="181">
        <v>11.937727463307176</v>
      </c>
      <c r="DX66" s="181"/>
      <c r="DY66" s="181">
        <v>1.8644000000000003</v>
      </c>
      <c r="DZ66" s="181">
        <v>1.5759727841904065</v>
      </c>
      <c r="EA66" s="181">
        <v>0.79582003474058982</v>
      </c>
      <c r="EB66" s="181">
        <v>4.6334351225468797</v>
      </c>
      <c r="EC66" s="181">
        <v>0.44332632118425624</v>
      </c>
      <c r="ED66" s="181">
        <v>4.5227344254285907E-2</v>
      </c>
      <c r="EE66" s="181">
        <v>0.43546764118663261</v>
      </c>
      <c r="EF66" s="181">
        <v>5.8725814784717265</v>
      </c>
      <c r="EG66" s="181">
        <v>3.4403727841904068</v>
      </c>
      <c r="EH66" s="181">
        <v>9.7936492481030513</v>
      </c>
      <c r="EJ66" s="31">
        <f t="shared" si="176"/>
        <v>7.5177744668461985E-3</v>
      </c>
      <c r="EK66" s="31">
        <f t="shared" si="122"/>
        <v>3.9183527540668013E-2</v>
      </c>
      <c r="EL66" s="31">
        <f t="shared" si="123"/>
        <v>1.2665572103460882E-4</v>
      </c>
      <c r="EM66" s="31">
        <f t="shared" si="124"/>
        <v>0.17472273856354456</v>
      </c>
      <c r="EN66" s="31">
        <f t="shared" si="125"/>
        <v>7.376457984845106E-3</v>
      </c>
      <c r="EO66" s="31">
        <f t="shared" si="126"/>
        <v>0.12391813652059504</v>
      </c>
      <c r="EP66" s="31">
        <f t="shared" si="127"/>
        <v>1.1644315725105568E-2</v>
      </c>
      <c r="EQ66" s="31">
        <f t="shared" si="128"/>
        <v>0.14494537276629382</v>
      </c>
      <c r="ER66" s="31">
        <f t="shared" si="129"/>
        <v>0.50943497928893289</v>
      </c>
      <c r="ES66" s="31">
        <f t="shared" si="130"/>
        <v>7.6119440302626837E-2</v>
      </c>
      <c r="ET66" s="31"/>
      <c r="EU66" s="31">
        <f t="shared" si="131"/>
        <v>1.9659436698169084E-2</v>
      </c>
      <c r="EV66" s="31">
        <f t="shared" si="132"/>
        <v>1.3334678068306849E-2</v>
      </c>
      <c r="EW66" s="31">
        <f t="shared" si="133"/>
        <v>1.9377050883674245E-2</v>
      </c>
      <c r="EX66" s="31">
        <f t="shared" si="134"/>
        <v>1.9285035713231421E-2</v>
      </c>
      <c r="EY66" s="31">
        <f t="shared" si="135"/>
        <v>6.5487346904280763E-2</v>
      </c>
      <c r="EZ66" s="31">
        <f t="shared" si="136"/>
        <v>0.15609482474795022</v>
      </c>
      <c r="FA66" s="31">
        <f t="shared" si="137"/>
        <v>1.2334660807695064E-2</v>
      </c>
      <c r="FB66" s="31">
        <f t="shared" si="138"/>
        <v>1.1821987204145411E-2</v>
      </c>
      <c r="FC66" s="31">
        <f t="shared" si="139"/>
        <v>2.6241288335235494E-2</v>
      </c>
      <c r="FD66" s="31">
        <f t="shared" si="140"/>
        <v>2.4156648011840476E-2</v>
      </c>
      <c r="FE66" s="31">
        <f t="shared" si="141"/>
        <v>0.26024425824913666</v>
      </c>
      <c r="FF66" s="31">
        <f t="shared" si="142"/>
        <v>3.2994114766475936E-2</v>
      </c>
      <c r="FG66" s="31">
        <f t="shared" si="143"/>
        <v>0.34363630936268857</v>
      </c>
      <c r="FH66" s="31"/>
      <c r="FI66" s="31">
        <f t="shared" si="144"/>
        <v>2.4434150723758501E-3</v>
      </c>
      <c r="FJ66" s="31">
        <f t="shared" si="145"/>
        <v>2.3604717899561537E-3</v>
      </c>
      <c r="FK66" s="31">
        <f t="shared" si="146"/>
        <v>8.3437831700657777E-4</v>
      </c>
      <c r="FL66" s="31">
        <f t="shared" si="147"/>
        <v>4.8579297212214927E-3</v>
      </c>
      <c r="FM66" s="31">
        <f t="shared" si="148"/>
        <v>7.1558267638976894E-4</v>
      </c>
      <c r="FN66" s="31">
        <f t="shared" si="149"/>
        <v>4.7418654638255082E-5</v>
      </c>
      <c r="FO66" s="31">
        <f t="shared" si="150"/>
        <v>1.2569261514884377E-3</v>
      </c>
      <c r="FP66" s="31">
        <f t="shared" si="151"/>
        <v>6.40789071461784E-3</v>
      </c>
      <c r="FQ66" s="31">
        <f t="shared" si="152"/>
        <v>4.8038868623320047E-3</v>
      </c>
      <c r="FR66" s="31">
        <f t="shared" si="153"/>
        <v>1.2516122383076535E-2</v>
      </c>
      <c r="FS66" s="31">
        <f t="shared" si="154"/>
        <v>1.2516122383076539E-2</v>
      </c>
      <c r="FT66" s="31"/>
      <c r="FU66" s="31">
        <f t="shared" si="155"/>
        <v>1.9547320579006797E-3</v>
      </c>
      <c r="FV66" s="31">
        <f t="shared" si="156"/>
        <v>1.6523302529693076E-3</v>
      </c>
      <c r="FW66" s="31">
        <f t="shared" si="157"/>
        <v>8.3437831700657777E-4</v>
      </c>
      <c r="FX66" s="31">
        <f t="shared" si="158"/>
        <v>4.8579297212214927E-3</v>
      </c>
      <c r="FY66" s="31">
        <f t="shared" si="159"/>
        <v>4.6480592798221353E-4</v>
      </c>
      <c r="FZ66" s="31">
        <f t="shared" si="160"/>
        <v>4.7418654638255082E-5</v>
      </c>
      <c r="GA66" s="31">
        <f t="shared" si="161"/>
        <v>4.5656648702311801E-4</v>
      </c>
      <c r="GB66" s="31">
        <f t="shared" si="162"/>
        <v>6.157113966210285E-3</v>
      </c>
      <c r="GC66" s="31">
        <f t="shared" si="163"/>
        <v>3.607062310869988E-3</v>
      </c>
      <c r="GD66" s="31">
        <f t="shared" si="164"/>
        <v>1.0268161418741645E-2</v>
      </c>
    </row>
    <row r="67" spans="1:186">
      <c r="A67" s="39" t="str">
        <f>Basicinfo!A67</f>
        <v>Donau</v>
      </c>
      <c r="B67" s="63">
        <f>Basicinfo!B67</f>
        <v>5020</v>
      </c>
      <c r="C67" s="63">
        <f>Basicinfo!C67</f>
        <v>0</v>
      </c>
      <c r="D67" s="227">
        <v>17138.682834660496</v>
      </c>
      <c r="E67" s="89">
        <v>446.43583987614767</v>
      </c>
      <c r="F67" s="27">
        <v>5.8323844879736395</v>
      </c>
      <c r="G67" s="19">
        <v>99.962108646648133</v>
      </c>
      <c r="H67" s="19">
        <v>2.569235021516143</v>
      </c>
      <c r="I67" s="19">
        <v>2.7879113301971938</v>
      </c>
      <c r="J67" s="19">
        <v>326.62805129242679</v>
      </c>
      <c r="K67" s="19">
        <v>0.86773945459810486</v>
      </c>
      <c r="L67" s="19">
        <v>0.84880186804221358</v>
      </c>
      <c r="M67" s="19">
        <v>1.0493738300117705</v>
      </c>
      <c r="N67" s="19">
        <v>440.54560593141423</v>
      </c>
      <c r="O67" s="19">
        <v>5.8902339447333549</v>
      </c>
      <c r="P67" s="56">
        <v>115467.43287659412</v>
      </c>
      <c r="Q67" s="43">
        <v>163558.56733409432</v>
      </c>
      <c r="R67" s="88">
        <v>279026.00021068851</v>
      </c>
      <c r="S67" s="61">
        <v>428.61768129798315</v>
      </c>
      <c r="T67" s="19">
        <v>3254.9297120905262</v>
      </c>
      <c r="U67" s="19">
        <v>58.391328883087382</v>
      </c>
      <c r="V67" s="19">
        <v>473.76342958404354</v>
      </c>
      <c r="W67" s="19">
        <v>4.0889641833523571</v>
      </c>
      <c r="X67" s="19">
        <v>960.86963764848224</v>
      </c>
      <c r="Y67" s="19">
        <v>14771.123240892228</v>
      </c>
      <c r="Z67" s="19">
        <v>64.792474055555644</v>
      </c>
      <c r="AA67" s="19">
        <v>276.23555898530986</v>
      </c>
      <c r="AB67" s="19">
        <v>97.250560289126838</v>
      </c>
      <c r="AC67" s="19">
        <v>20390.062587909695</v>
      </c>
      <c r="AD67" s="19">
        <v>3221.1656958346666</v>
      </c>
      <c r="AE67" s="87">
        <v>23611.22828374436</v>
      </c>
      <c r="AF67" s="56">
        <v>9.8317677266396348</v>
      </c>
      <c r="AG67" s="43">
        <v>67.195332058226356</v>
      </c>
      <c r="AH67" s="43">
        <v>0.52531063180286175</v>
      </c>
      <c r="AI67" s="43">
        <v>285.98046397769207</v>
      </c>
      <c r="AJ67" s="43">
        <v>77.167551763372359</v>
      </c>
      <c r="AK67" s="43">
        <v>13.574586241046724</v>
      </c>
      <c r="AL67" s="58">
        <v>189.96174020431749</v>
      </c>
      <c r="AM67" s="43">
        <v>15.509397066172051</v>
      </c>
      <c r="AN67" s="42">
        <v>49.509446846253859</v>
      </c>
      <c r="AO67" s="42">
        <v>15.188988615474697</v>
      </c>
      <c r="AP67" s="42">
        <v>724.44458513099789</v>
      </c>
      <c r="AQ67" s="43">
        <v>167.29992072999997</v>
      </c>
      <c r="AR67" s="83">
        <v>891.74450586099829</v>
      </c>
      <c r="AS67" s="19">
        <f t="shared" si="96"/>
        <v>10.731867727942596</v>
      </c>
      <c r="AT67" s="19">
        <f t="shared" si="97"/>
        <v>183.93508350043183</v>
      </c>
      <c r="AU67" s="19">
        <f t="shared" si="98"/>
        <v>4.7275159019032111</v>
      </c>
      <c r="AV67" s="19">
        <f t="shared" si="99"/>
        <v>5.1298908181726866</v>
      </c>
      <c r="AW67" s="19">
        <f t="shared" si="100"/>
        <v>601.01131019979084</v>
      </c>
      <c r="AX67" s="53">
        <f t="shared" si="82"/>
        <v>1.5966822949114872</v>
      </c>
      <c r="AY67" s="53">
        <f t="shared" si="83"/>
        <v>1.5618362256196976</v>
      </c>
      <c r="AZ67" s="53">
        <f t="shared" si="84"/>
        <v>1.9308982739516776</v>
      </c>
      <c r="BA67" s="19">
        <f t="shared" si="85"/>
        <v>810.62508494272402</v>
      </c>
      <c r="BB67" s="19">
        <f t="shared" si="101"/>
        <v>10.838313508284882</v>
      </c>
      <c r="BC67" s="53">
        <f t="shared" si="165"/>
        <v>821.46339845100886</v>
      </c>
      <c r="BD67" s="56">
        <f t="shared" si="102"/>
        <v>67.372407780998202</v>
      </c>
      <c r="BE67" s="43">
        <f t="shared" si="103"/>
        <v>95.432402193312583</v>
      </c>
      <c r="BF67" s="58">
        <f t="shared" si="166"/>
        <v>162.80480997431079</v>
      </c>
      <c r="BG67" s="61">
        <f t="shared" si="104"/>
        <v>250.08787748330701</v>
      </c>
      <c r="BH67" s="19">
        <f t="shared" si="105"/>
        <v>1899.1714494581249</v>
      </c>
      <c r="BI67" s="19">
        <f t="shared" si="106"/>
        <v>34.069904581581611</v>
      </c>
      <c r="BJ67" s="19">
        <f t="shared" si="107"/>
        <v>276.42931149056903</v>
      </c>
      <c r="BK67" s="19">
        <f t="shared" si="108"/>
        <v>2.3858100548328141</v>
      </c>
      <c r="BL67" s="19">
        <f t="shared" si="109"/>
        <v>560.64380613034211</v>
      </c>
      <c r="BM67" s="19">
        <f t="shared" si="110"/>
        <v>8618.5871944720129</v>
      </c>
      <c r="BN67" s="53">
        <f t="shared" si="111"/>
        <v>37.804815387867656</v>
      </c>
      <c r="BO67" s="53">
        <f t="shared" si="86"/>
        <v>161.17665613524485</v>
      </c>
      <c r="BP67" s="53">
        <f t="shared" si="87"/>
        <v>56.743310572532273</v>
      </c>
      <c r="BQ67" s="19">
        <f t="shared" si="88"/>
        <v>11897.100135766415</v>
      </c>
      <c r="BR67" s="19">
        <f t="shared" si="112"/>
        <v>1879.4709762178029</v>
      </c>
      <c r="BS67" s="53">
        <f t="shared" si="167"/>
        <v>13776.571111984218</v>
      </c>
      <c r="BT67" s="56">
        <f t="shared" si="113"/>
        <v>5.736594708874776</v>
      </c>
      <c r="BU67" s="43">
        <f t="shared" si="114"/>
        <v>39.206823947015081</v>
      </c>
      <c r="BV67" s="43">
        <f t="shared" si="115"/>
        <v>0.30650583645815377</v>
      </c>
      <c r="BW67" s="43">
        <f t="shared" si="116"/>
        <v>166.8625685746037</v>
      </c>
      <c r="BX67" s="43">
        <f t="shared" si="117"/>
        <v>45.025368931684874</v>
      </c>
      <c r="BY67" s="58">
        <f t="shared" si="118"/>
        <v>7.9204372774750791</v>
      </c>
      <c r="BZ67" s="58">
        <f t="shared" si="119"/>
        <v>110.83800431859761</v>
      </c>
      <c r="CA67" s="58">
        <f t="shared" si="120"/>
        <v>9.0493518176359196</v>
      </c>
      <c r="CB67" s="58">
        <f t="shared" si="89"/>
        <v>28.887544815362467</v>
      </c>
      <c r="CC67" s="58">
        <f t="shared" si="90"/>
        <v>8.8624013653821585</v>
      </c>
      <c r="CD67" s="58">
        <f t="shared" si="91"/>
        <v>422.69560159308975</v>
      </c>
      <c r="CE67" s="58">
        <f t="shared" si="121"/>
        <v>97.615389901294037</v>
      </c>
      <c r="CF67" s="58">
        <f t="shared" si="168"/>
        <v>520.31099149438376</v>
      </c>
      <c r="CG67" s="127">
        <v>-1</v>
      </c>
      <c r="CH67" s="128" t="s">
        <v>169</v>
      </c>
      <c r="CI67" s="128"/>
      <c r="CJ67" s="126">
        <f t="shared" si="93"/>
        <v>64</v>
      </c>
      <c r="CK67" s="126">
        <f t="shared" si="95"/>
        <v>0</v>
      </c>
      <c r="CN67" s="147">
        <f t="shared" si="169"/>
        <v>9.8317677266396348</v>
      </c>
      <c r="CO67" s="147">
        <f t="shared" si="170"/>
        <v>67.195332058226356</v>
      </c>
      <c r="CP67" s="147">
        <f t="shared" si="171"/>
        <v>0.52531063180286175</v>
      </c>
      <c r="CQ67" s="31">
        <f>(AI67-(P67*450/1000000))*Parameters!$C$153</f>
        <v>187.21609534657978</v>
      </c>
      <c r="CR67" s="31">
        <f t="shared" si="172"/>
        <v>13.574586241046724</v>
      </c>
      <c r="CS67" s="31">
        <f t="shared" si="173"/>
        <v>189.96174020431749</v>
      </c>
      <c r="CT67" s="31">
        <f>AM67*Parameters!$C$154</f>
        <v>13.958457359554846</v>
      </c>
      <c r="CU67" s="31">
        <f>AQ67*Parameters!$C$155</f>
        <v>167.29992072999997</v>
      </c>
      <c r="CV67" s="31">
        <f t="shared" si="174"/>
        <v>649.56321029816775</v>
      </c>
      <c r="CW67" s="188">
        <f t="shared" si="175"/>
        <v>72.841851677123671</v>
      </c>
      <c r="CY67" s="181">
        <v>2.0937780930000001</v>
      </c>
      <c r="CZ67" s="181">
        <v>3.8639339210553718</v>
      </c>
      <c r="DA67" s="181">
        <v>34.547321667554918</v>
      </c>
      <c r="DB67" s="181">
        <v>11.297183034300922</v>
      </c>
      <c r="DC67" s="181">
        <v>22.797466075652014</v>
      </c>
      <c r="DD67" s="181">
        <v>89.795704385058144</v>
      </c>
      <c r="DE67" s="181">
        <v>22.623189024281089</v>
      </c>
      <c r="DF67" s="181">
        <v>7.0630066735329731</v>
      </c>
      <c r="DG67" s="181">
        <v>28.815260576325038</v>
      </c>
      <c r="DH67" s="181">
        <v>29.686195697814064</v>
      </c>
      <c r="DI67" s="181">
        <v>158.43767516256599</v>
      </c>
      <c r="DJ67" s="181">
        <v>5.9577120140553719</v>
      </c>
      <c r="DK67" s="181">
        <v>222.89684345076049</v>
      </c>
      <c r="DL67" s="181"/>
      <c r="DM67" s="181">
        <v>0.66769999999999996</v>
      </c>
      <c r="DN67" s="181">
        <v>0.67915535908227165</v>
      </c>
      <c r="DO67" s="181">
        <v>0.33506070521231041</v>
      </c>
      <c r="DP67" s="181">
        <v>3.802440373816836</v>
      </c>
      <c r="DQ67" s="181">
        <v>4.1067492262849559E-2</v>
      </c>
      <c r="DR67" s="181">
        <v>5.1249501575180288E-2</v>
      </c>
      <c r="DS67" s="181">
        <v>1.5445783429376703</v>
      </c>
      <c r="DT67" s="181">
        <v>4.1785685712919971</v>
      </c>
      <c r="DU67" s="181">
        <v>1.3468553590822716</v>
      </c>
      <c r="DV67" s="181">
        <v>7.1212517748871189</v>
      </c>
      <c r="DW67" s="181">
        <v>7.1212517748871189</v>
      </c>
      <c r="DX67" s="181"/>
      <c r="DY67" s="181">
        <v>0.53415999999999997</v>
      </c>
      <c r="DZ67" s="181">
        <v>0.47540875135759014</v>
      </c>
      <c r="EA67" s="181">
        <v>0.33506070521231041</v>
      </c>
      <c r="EB67" s="181">
        <v>3.802440373816836</v>
      </c>
      <c r="EC67" s="181">
        <v>5.2256722992072402E-2</v>
      </c>
      <c r="ED67" s="181">
        <v>5.1249501575180288E-2</v>
      </c>
      <c r="EE67" s="181">
        <v>0.58558653433959629</v>
      </c>
      <c r="EF67" s="181">
        <v>4.1897578020212185</v>
      </c>
      <c r="EG67" s="181">
        <v>1.0095687513575902</v>
      </c>
      <c r="EH67" s="181">
        <v>5.8361625892935853</v>
      </c>
      <c r="EJ67" s="31">
        <f t="shared" si="176"/>
        <v>5.736594708874776E-3</v>
      </c>
      <c r="EK67" s="31">
        <f t="shared" si="122"/>
        <v>3.9206823947015086E-2</v>
      </c>
      <c r="EL67" s="31">
        <f t="shared" si="123"/>
        <v>3.0650583645815377E-4</v>
      </c>
      <c r="EM67" s="31">
        <f t="shared" si="124"/>
        <v>0.10923598805852362</v>
      </c>
      <c r="EN67" s="31">
        <f t="shared" si="125"/>
        <v>7.9204372774750783E-3</v>
      </c>
      <c r="EO67" s="31">
        <f t="shared" si="126"/>
        <v>0.11083800431859761</v>
      </c>
      <c r="EP67" s="31">
        <f t="shared" si="127"/>
        <v>8.1444166358723286E-3</v>
      </c>
      <c r="EQ67" s="31">
        <f t="shared" si="128"/>
        <v>9.7615389901294036E-2</v>
      </c>
      <c r="ER67" s="31">
        <f t="shared" si="129"/>
        <v>0.37900416068411075</v>
      </c>
      <c r="ES67" s="31">
        <f t="shared" si="130"/>
        <v>4.2501429298762446E-2</v>
      </c>
      <c r="ET67" s="31"/>
      <c r="EU67" s="31">
        <f t="shared" si="131"/>
        <v>1.2216680320179787E-3</v>
      </c>
      <c r="EV67" s="31">
        <f t="shared" si="132"/>
        <v>2.2545104301954447E-3</v>
      </c>
      <c r="EW67" s="31">
        <f t="shared" si="133"/>
        <v>2.0157512686848941E-2</v>
      </c>
      <c r="EX67" s="31">
        <f t="shared" si="134"/>
        <v>6.5916285068616885E-3</v>
      </c>
      <c r="EY67" s="31">
        <f t="shared" si="135"/>
        <v>1.3301760873681292E-2</v>
      </c>
      <c r="EZ67" s="31">
        <f t="shared" si="136"/>
        <v>5.2393585464723912E-2</v>
      </c>
      <c r="FA67" s="31">
        <f t="shared" si="137"/>
        <v>1.3200074499616141E-2</v>
      </c>
      <c r="FB67" s="31">
        <f t="shared" si="138"/>
        <v>4.1210907172219025E-3</v>
      </c>
      <c r="FC67" s="31">
        <f t="shared" si="139"/>
        <v>1.6812995989429456E-2</v>
      </c>
      <c r="FD67" s="31">
        <f t="shared" si="140"/>
        <v>1.7321165216838044E-2</v>
      </c>
      <c r="FE67" s="31">
        <f t="shared" si="141"/>
        <v>9.2444487532115843E-2</v>
      </c>
      <c r="FF67" s="31">
        <f t="shared" si="142"/>
        <v>3.4761784622134233E-3</v>
      </c>
      <c r="FG67" s="31">
        <f t="shared" si="143"/>
        <v>0.13005482720059677</v>
      </c>
      <c r="FH67" s="31"/>
      <c r="FI67" s="31">
        <f t="shared" si="144"/>
        <v>3.8958653149801794E-4</v>
      </c>
      <c r="FJ67" s="31">
        <f t="shared" si="145"/>
        <v>3.9627045183937857E-4</v>
      </c>
      <c r="FK67" s="31">
        <f t="shared" si="146"/>
        <v>1.9549968246958792E-4</v>
      </c>
      <c r="FL67" s="31">
        <f t="shared" si="147"/>
        <v>2.2186304574858882E-3</v>
      </c>
      <c r="FM67" s="31">
        <f t="shared" si="148"/>
        <v>2.3961871900561996E-5</v>
      </c>
      <c r="FN67" s="31">
        <f t="shared" si="149"/>
        <v>2.9902823962373363E-5</v>
      </c>
      <c r="FO67" s="31">
        <f t="shared" si="150"/>
        <v>9.012234824802201E-4</v>
      </c>
      <c r="FP67" s="31">
        <f t="shared" si="151"/>
        <v>2.4380920118560389E-3</v>
      </c>
      <c r="FQ67" s="31">
        <f t="shared" si="152"/>
        <v>7.8585698333739657E-4</v>
      </c>
      <c r="FR67" s="31">
        <f t="shared" si="153"/>
        <v>4.1550753016360289E-3</v>
      </c>
      <c r="FS67" s="31">
        <f t="shared" si="154"/>
        <v>4.1550753016360289E-3</v>
      </c>
      <c r="FT67" s="31"/>
      <c r="FU67" s="31">
        <f t="shared" si="155"/>
        <v>3.1166922519841427E-4</v>
      </c>
      <c r="FV67" s="31">
        <f t="shared" si="156"/>
        <v>2.77389316287565E-4</v>
      </c>
      <c r="FW67" s="31">
        <f t="shared" si="157"/>
        <v>1.9549968246958792E-4</v>
      </c>
      <c r="FX67" s="31">
        <f t="shared" si="158"/>
        <v>2.2186304574858882E-3</v>
      </c>
      <c r="FY67" s="31">
        <f t="shared" si="159"/>
        <v>3.0490512891918841E-5</v>
      </c>
      <c r="FZ67" s="31">
        <f t="shared" si="160"/>
        <v>2.9902823962373363E-5</v>
      </c>
      <c r="GA67" s="31">
        <f t="shared" si="161"/>
        <v>3.4167534342565266E-4</v>
      </c>
      <c r="GB67" s="31">
        <f t="shared" si="162"/>
        <v>2.4446206528473953E-3</v>
      </c>
      <c r="GC67" s="31">
        <f t="shared" si="163"/>
        <v>5.8905854148597937E-4</v>
      </c>
      <c r="GD67" s="31">
        <f t="shared" si="164"/>
        <v>3.4052573617214003E-3</v>
      </c>
    </row>
    <row r="68" spans="1:186">
      <c r="A68" s="39" t="str">
        <f>Basicinfo!A68</f>
        <v>Talbach</v>
      </c>
      <c r="B68" s="63">
        <f>Basicinfo!B68</f>
        <v>1390</v>
      </c>
      <c r="C68" s="63">
        <f>Basicinfo!C68</f>
        <v>4050</v>
      </c>
      <c r="D68" s="227">
        <v>134.82837281799999</v>
      </c>
      <c r="E68" s="89">
        <v>5.2845489215161692</v>
      </c>
      <c r="F68" s="27">
        <v>3.5798155581563733E-2</v>
      </c>
      <c r="G68" s="19">
        <v>1.2964786652749751</v>
      </c>
      <c r="H68" s="19">
        <v>1.8289391766463676E-3</v>
      </c>
      <c r="I68" s="19">
        <v>5.6753458126615561E-3</v>
      </c>
      <c r="J68" s="19">
        <v>3.9417873422311991</v>
      </c>
      <c r="K68" s="19">
        <v>8.7201601247279882E-4</v>
      </c>
      <c r="L68" s="19">
        <v>1.0177531016791546E-3</v>
      </c>
      <c r="M68" s="19">
        <v>1.0907043249719938E-3</v>
      </c>
      <c r="N68" s="19">
        <v>5.2845489215161692</v>
      </c>
      <c r="O68" s="19">
        <v>0</v>
      </c>
      <c r="P68" s="56">
        <v>5.044026463406226</v>
      </c>
      <c r="Q68" s="43">
        <v>737.84138048287889</v>
      </c>
      <c r="R68" s="88">
        <v>742.88540694628512</v>
      </c>
      <c r="S68" s="61">
        <v>1.1988626525230548</v>
      </c>
      <c r="T68" s="19">
        <v>25.517553834187368</v>
      </c>
      <c r="U68" s="19">
        <v>3.5988166229708747E-2</v>
      </c>
      <c r="V68" s="19">
        <v>3.4041485456532607E-2</v>
      </c>
      <c r="W68" s="19">
        <v>1.8446034512071972E-2</v>
      </c>
      <c r="X68" s="19">
        <v>0.62032107742897691</v>
      </c>
      <c r="Y68" s="19">
        <v>48.679128704913857</v>
      </c>
      <c r="Z68" s="19">
        <v>4.6947388361244687E-2</v>
      </c>
      <c r="AA68" s="19">
        <v>0.31907945018244221</v>
      </c>
      <c r="AB68" s="19">
        <v>0.13242752124449148</v>
      </c>
      <c r="AC68" s="19">
        <v>76.602796315039754</v>
      </c>
      <c r="AD68" s="19">
        <v>0</v>
      </c>
      <c r="AE68" s="87">
        <v>76.602796315039754</v>
      </c>
      <c r="AF68" s="56">
        <v>5.1988997393268732E-2</v>
      </c>
      <c r="AG68" s="43">
        <v>1.0892015772035755</v>
      </c>
      <c r="AH68" s="43">
        <v>1.4419356468679963E-3</v>
      </c>
      <c r="AI68" s="43">
        <v>1.9103363961405478E-2</v>
      </c>
      <c r="AJ68" s="43">
        <v>0.33416771124328087</v>
      </c>
      <c r="AK68" s="43">
        <v>0.12387360486409422</v>
      </c>
      <c r="AL68" s="58">
        <v>4.5977466135302061</v>
      </c>
      <c r="AM68" s="43">
        <v>1.4918119268506787E-2</v>
      </c>
      <c r="AN68" s="42">
        <v>5.9630177924089471E-2</v>
      </c>
      <c r="AO68" s="42">
        <v>2.255700364856671E-2</v>
      </c>
      <c r="AP68" s="42">
        <v>6.3146291046838616</v>
      </c>
      <c r="AQ68" s="43">
        <v>0</v>
      </c>
      <c r="AR68" s="83">
        <v>6.3146291046838616</v>
      </c>
      <c r="AS68" s="19">
        <f t="shared" si="96"/>
        <v>8.3730939625304028</v>
      </c>
      <c r="AT68" s="19">
        <f t="shared" si="97"/>
        <v>303.24293272679211</v>
      </c>
      <c r="AU68" s="19">
        <f t="shared" si="98"/>
        <v>0.42778403884304489</v>
      </c>
      <c r="AV68" s="19">
        <f t="shared" si="99"/>
        <v>1.3274483835067152</v>
      </c>
      <c r="AW68" s="19">
        <f t="shared" si="100"/>
        <v>921.97363972049345</v>
      </c>
      <c r="AX68" s="53">
        <f t="shared" si="82"/>
        <v>0.20396224025089521</v>
      </c>
      <c r="AY68" s="53">
        <f t="shared" si="83"/>
        <v>0.23804976017828888</v>
      </c>
      <c r="AZ68" s="53">
        <f t="shared" si="84"/>
        <v>0.25511285846894666</v>
      </c>
      <c r="BA68" s="19">
        <f t="shared" si="85"/>
        <v>1236.0420236910636</v>
      </c>
      <c r="BB68" s="19">
        <f t="shared" si="101"/>
        <v>0</v>
      </c>
      <c r="BC68" s="53">
        <f t="shared" si="165"/>
        <v>1236.0420236910636</v>
      </c>
      <c r="BD68" s="56">
        <f t="shared" si="102"/>
        <v>0.37410719702261608</v>
      </c>
      <c r="BE68" s="43">
        <f t="shared" si="103"/>
        <v>54.724488997494959</v>
      </c>
      <c r="BF68" s="58">
        <f t="shared" si="166"/>
        <v>55.098596194517576</v>
      </c>
      <c r="BG68" s="61">
        <f t="shared" si="104"/>
        <v>88.917683085989381</v>
      </c>
      <c r="BH68" s="19">
        <f t="shared" si="105"/>
        <v>1892.5952528280231</v>
      </c>
      <c r="BI68" s="19">
        <f t="shared" si="106"/>
        <v>2.6691834572748192</v>
      </c>
      <c r="BJ68" s="19">
        <f t="shared" si="107"/>
        <v>2.5248013266824776</v>
      </c>
      <c r="BK68" s="19">
        <f t="shared" si="108"/>
        <v>1.3681122249373741</v>
      </c>
      <c r="BL68" s="19">
        <f t="shared" si="109"/>
        <v>46.008200237373345</v>
      </c>
      <c r="BM68" s="19">
        <f t="shared" si="110"/>
        <v>3610.4513973942321</v>
      </c>
      <c r="BN68" s="53">
        <f t="shared" si="111"/>
        <v>3.4820110470825965</v>
      </c>
      <c r="BO68" s="53">
        <f t="shared" si="86"/>
        <v>23.66560120199301</v>
      </c>
      <c r="BP68" s="53">
        <f t="shared" si="87"/>
        <v>9.8219327636068599</v>
      </c>
      <c r="BQ68" s="19">
        <f t="shared" si="88"/>
        <v>5681.5041755671955</v>
      </c>
      <c r="BR68" s="19">
        <f t="shared" si="112"/>
        <v>0</v>
      </c>
      <c r="BS68" s="53">
        <f t="shared" si="167"/>
        <v>5681.5041755671955</v>
      </c>
      <c r="BT68" s="56">
        <f t="shared" si="113"/>
        <v>3.8559389471715146</v>
      </c>
      <c r="BU68" s="43">
        <f t="shared" si="114"/>
        <v>80.784300398985735</v>
      </c>
      <c r="BV68" s="43">
        <f t="shared" si="115"/>
        <v>0.10694600971076124</v>
      </c>
      <c r="BW68" s="43">
        <f t="shared" si="116"/>
        <v>1.4168652756191331</v>
      </c>
      <c r="BX68" s="43">
        <f t="shared" si="117"/>
        <v>24.784672859203155</v>
      </c>
      <c r="BY68" s="58">
        <f t="shared" si="118"/>
        <v>9.187502769265544</v>
      </c>
      <c r="BZ68" s="58">
        <f t="shared" si="119"/>
        <v>341.00735011736293</v>
      </c>
      <c r="CA68" s="58">
        <f t="shared" si="120"/>
        <v>1.1064525186137359</v>
      </c>
      <c r="CB68" s="58">
        <f t="shared" si="89"/>
        <v>4.4226728156529873</v>
      </c>
      <c r="CC68" s="58">
        <f t="shared" si="90"/>
        <v>1.6730160853469325</v>
      </c>
      <c r="CD68" s="58">
        <f t="shared" si="91"/>
        <v>468.34571779693238</v>
      </c>
      <c r="CE68" s="58">
        <f t="shared" si="121"/>
        <v>0</v>
      </c>
      <c r="CF68" s="58">
        <f t="shared" si="168"/>
        <v>468.34571779693238</v>
      </c>
      <c r="CG68" s="127">
        <v>82</v>
      </c>
      <c r="CH68" s="128" t="s">
        <v>169</v>
      </c>
      <c r="CI68" s="128"/>
      <c r="CJ68" s="126">
        <f t="shared" si="93"/>
        <v>65</v>
      </c>
      <c r="CK68" s="126">
        <f t="shared" si="95"/>
        <v>79</v>
      </c>
      <c r="CN68" s="147">
        <f t="shared" si="169"/>
        <v>5.1988997393268732E-2</v>
      </c>
      <c r="CO68" s="147">
        <f t="shared" si="170"/>
        <v>1.0892015772035755</v>
      </c>
      <c r="CP68" s="147">
        <f t="shared" si="171"/>
        <v>1.4419356468679963E-3</v>
      </c>
      <c r="CQ68" s="31">
        <f>(AI68-(P68*450/1000000))*Parameters!$C$153</f>
        <v>1.3466841642298142E-2</v>
      </c>
      <c r="CR68" s="31">
        <f t="shared" si="172"/>
        <v>0.12387360486409422</v>
      </c>
      <c r="CS68" s="31">
        <f t="shared" si="173"/>
        <v>4.5977466135302061</v>
      </c>
      <c r="CT68" s="31">
        <f>AM68*Parameters!$C$154</f>
        <v>1.3426307341656108E-2</v>
      </c>
      <c r="CU68" s="31">
        <f>AQ68*Parameters!$C$155</f>
        <v>0</v>
      </c>
      <c r="CV68" s="31">
        <f t="shared" si="174"/>
        <v>5.891145877621967</v>
      </c>
      <c r="CW68" s="188">
        <f t="shared" si="175"/>
        <v>93.29361677398002</v>
      </c>
      <c r="CY68" s="181">
        <v>23.258804769875002</v>
      </c>
      <c r="CZ68" s="181">
        <v>23.047002558644138</v>
      </c>
      <c r="DA68" s="181">
        <v>59.198144008768423</v>
      </c>
      <c r="DB68" s="181">
        <v>36.441861910498424</v>
      </c>
      <c r="DC68" s="181">
        <v>90.408257021984042</v>
      </c>
      <c r="DD68" s="181">
        <v>303.45335581644292</v>
      </c>
      <c r="DE68" s="181">
        <v>38.472614996000935</v>
      </c>
      <c r="DF68" s="181">
        <v>22.638128822245278</v>
      </c>
      <c r="DG68" s="181">
        <v>65.764591046658865</v>
      </c>
      <c r="DH68" s="181">
        <v>61.110743818246213</v>
      </c>
      <c r="DI68" s="181">
        <v>489.50161875769379</v>
      </c>
      <c r="DJ68" s="181">
        <v>46.305807328519137</v>
      </c>
      <c r="DK68" s="181">
        <v>662.68276095111798</v>
      </c>
      <c r="DL68" s="181"/>
      <c r="DM68" s="181">
        <v>3.4539404375</v>
      </c>
      <c r="DN68" s="181">
        <v>4.065725465690015</v>
      </c>
      <c r="DO68" s="181">
        <v>1.1891635774825073</v>
      </c>
      <c r="DP68" s="181">
        <v>10.254610890692744</v>
      </c>
      <c r="DQ68" s="181">
        <v>2.0723240350540304</v>
      </c>
      <c r="DR68" s="181">
        <v>0.11663967610137108</v>
      </c>
      <c r="DS68" s="181">
        <v>3.4545582038162221</v>
      </c>
      <c r="DT68" s="181">
        <v>13.516098503229284</v>
      </c>
      <c r="DU68" s="181">
        <v>7.519665903190015</v>
      </c>
      <c r="DV68" s="181">
        <v>24.606962286336895</v>
      </c>
      <c r="DW68" s="181">
        <v>24.606962286336895</v>
      </c>
      <c r="DX68" s="181"/>
      <c r="DY68" s="181">
        <v>2.7631523500000004</v>
      </c>
      <c r="DZ68" s="181">
        <v>2.8460078259830102</v>
      </c>
      <c r="EA68" s="181">
        <v>1.1891635774825073</v>
      </c>
      <c r="EB68" s="181">
        <v>10.254610890692744</v>
      </c>
      <c r="EC68" s="181">
        <v>1.1363514466579612</v>
      </c>
      <c r="ED68" s="181">
        <v>0.11663967610137108</v>
      </c>
      <c r="EE68" s="181">
        <v>1.2103998770500795</v>
      </c>
      <c r="EF68" s="181">
        <v>12.580125914833214</v>
      </c>
      <c r="EG68" s="181">
        <v>5.6091601759830105</v>
      </c>
      <c r="EH68" s="181">
        <v>19.516325643967676</v>
      </c>
      <c r="EJ68" s="31">
        <f t="shared" si="176"/>
        <v>3.8559389471715146E-3</v>
      </c>
      <c r="EK68" s="31">
        <f t="shared" si="122"/>
        <v>8.0784300398985723E-2</v>
      </c>
      <c r="EL68" s="31">
        <f t="shared" si="123"/>
        <v>1.0694600971076124E-4</v>
      </c>
      <c r="EM68" s="31">
        <f t="shared" si="124"/>
        <v>9.9881362956716476E-4</v>
      </c>
      <c r="EN68" s="31">
        <f t="shared" si="125"/>
        <v>9.1875027692655438E-3</v>
      </c>
      <c r="EO68" s="31">
        <f t="shared" si="126"/>
        <v>0.34100735011736288</v>
      </c>
      <c r="EP68" s="31">
        <f t="shared" si="127"/>
        <v>9.9580726675236242E-4</v>
      </c>
      <c r="EQ68" s="31">
        <f t="shared" si="128"/>
        <v>0</v>
      </c>
      <c r="ER68" s="31">
        <f t="shared" si="129"/>
        <v>0.43693665913881602</v>
      </c>
      <c r="ES68" s="31">
        <f t="shared" si="130"/>
        <v>6.919435043535958</v>
      </c>
      <c r="ET68" s="31"/>
      <c r="EU68" s="31">
        <f t="shared" si="131"/>
        <v>1.7250675272385905</v>
      </c>
      <c r="EV68" s="31">
        <f t="shared" si="132"/>
        <v>1.7093585034771923</v>
      </c>
      <c r="EW68" s="31">
        <f t="shared" si="133"/>
        <v>4.3906295664250052</v>
      </c>
      <c r="EX68" s="31">
        <f t="shared" si="134"/>
        <v>2.7028333242358413</v>
      </c>
      <c r="EY68" s="31">
        <f t="shared" si="135"/>
        <v>6.7054326275985634</v>
      </c>
      <c r="EZ68" s="31">
        <f t="shared" si="136"/>
        <v>22.506639327766997</v>
      </c>
      <c r="FA68" s="31">
        <f t="shared" si="137"/>
        <v>2.8534509607954508</v>
      </c>
      <c r="FB68" s="31">
        <f t="shared" si="138"/>
        <v>1.6790330068585551</v>
      </c>
      <c r="FC68" s="31">
        <f t="shared" si="139"/>
        <v>4.8776522086662082</v>
      </c>
      <c r="FD68" s="31">
        <f t="shared" si="140"/>
        <v>4.5324839676540059</v>
      </c>
      <c r="FE68" s="31">
        <f t="shared" si="141"/>
        <v>36.305534846026404</v>
      </c>
      <c r="FF68" s="31">
        <f t="shared" si="142"/>
        <v>3.4344260307157821</v>
      </c>
      <c r="FG68" s="31">
        <f t="shared" si="143"/>
        <v>49.150097053062403</v>
      </c>
      <c r="FH68" s="31"/>
      <c r="FI68" s="31">
        <f t="shared" si="144"/>
        <v>0.25617311588877145</v>
      </c>
      <c r="FJ68" s="31">
        <f t="shared" si="145"/>
        <v>0.30154821130847531</v>
      </c>
      <c r="FK68" s="31">
        <f t="shared" si="146"/>
        <v>8.8198318545883281E-2</v>
      </c>
      <c r="FL68" s="31">
        <f t="shared" si="147"/>
        <v>0.76056772594408428</v>
      </c>
      <c r="FM68" s="31">
        <f t="shared" si="148"/>
        <v>0.15370088592935752</v>
      </c>
      <c r="FN68" s="31">
        <f t="shared" si="149"/>
        <v>8.6509740986653316E-3</v>
      </c>
      <c r="FO68" s="31">
        <f t="shared" si="150"/>
        <v>0.2562189346065466</v>
      </c>
      <c r="FP68" s="31">
        <f t="shared" si="151"/>
        <v>1.0024669304193252</v>
      </c>
      <c r="FQ68" s="31">
        <f t="shared" si="152"/>
        <v>0.55772132719724676</v>
      </c>
      <c r="FR68" s="31">
        <f t="shared" si="153"/>
        <v>1.8250581663217842</v>
      </c>
      <c r="FS68" s="31">
        <f t="shared" si="154"/>
        <v>1.8250581663217842</v>
      </c>
      <c r="FT68" s="31"/>
      <c r="FU68" s="31">
        <f t="shared" si="155"/>
        <v>0.20493849271101724</v>
      </c>
      <c r="FV68" s="31">
        <f t="shared" si="156"/>
        <v>0.21108374791593271</v>
      </c>
      <c r="FW68" s="31">
        <f t="shared" si="157"/>
        <v>8.8198318545883281E-2</v>
      </c>
      <c r="FX68" s="31">
        <f t="shared" si="158"/>
        <v>0.76056772594408428</v>
      </c>
      <c r="FY68" s="31">
        <f t="shared" si="159"/>
        <v>8.4281329137738795E-2</v>
      </c>
      <c r="FZ68" s="31">
        <f t="shared" si="160"/>
        <v>8.6509740986653316E-3</v>
      </c>
      <c r="GA68" s="31">
        <f t="shared" si="161"/>
        <v>8.9773380168575889E-2</v>
      </c>
      <c r="GB68" s="31">
        <f t="shared" si="162"/>
        <v>0.93304737362770651</v>
      </c>
      <c r="GC68" s="31">
        <f t="shared" si="163"/>
        <v>0.41602224062694987</v>
      </c>
      <c r="GD68" s="31">
        <f t="shared" si="164"/>
        <v>1.4474939685218977</v>
      </c>
    </row>
    <row r="69" spans="1:186">
      <c r="A69" s="39" t="str">
        <f>Basicinfo!A69</f>
        <v>Kleinsölkbach</v>
      </c>
      <c r="B69" s="63">
        <f>Basicinfo!B69</f>
        <v>1400</v>
      </c>
      <c r="C69" s="63">
        <f>Basicinfo!C69</f>
        <v>1410</v>
      </c>
      <c r="D69" s="227">
        <v>128.58915523600001</v>
      </c>
      <c r="E69" s="89">
        <v>4.2157194562012608</v>
      </c>
      <c r="F69" s="27">
        <v>2.025219512840834E-2</v>
      </c>
      <c r="G69" s="19">
        <v>0.99042328251848055</v>
      </c>
      <c r="H69" s="19">
        <v>7.0726302930674244E-4</v>
      </c>
      <c r="I69" s="19">
        <v>0</v>
      </c>
      <c r="J69" s="19">
        <v>3.2028620966269217</v>
      </c>
      <c r="K69" s="19">
        <v>3.4911747187012519E-4</v>
      </c>
      <c r="L69" s="19">
        <v>4.2580208831366939E-4</v>
      </c>
      <c r="M69" s="19">
        <v>6.9969933795870564E-4</v>
      </c>
      <c r="N69" s="19">
        <v>4.2157194562012608</v>
      </c>
      <c r="O69" s="19">
        <v>0</v>
      </c>
      <c r="P69" s="56">
        <v>2.5562105532471833</v>
      </c>
      <c r="Q69" s="43">
        <v>598.0561554571683</v>
      </c>
      <c r="R69" s="88">
        <v>600.61236601041549</v>
      </c>
      <c r="S69" s="61">
        <v>0.55330973365636582</v>
      </c>
      <c r="T69" s="19">
        <v>16.27573458264024</v>
      </c>
      <c r="U69" s="19">
        <v>1.1622483217928265E-2</v>
      </c>
      <c r="V69" s="19">
        <v>1.7021994255526578E-2</v>
      </c>
      <c r="W69" s="19">
        <v>1.4951403886429206E-2</v>
      </c>
      <c r="X69" s="19">
        <v>0</v>
      </c>
      <c r="Y69" s="19">
        <v>48.927124309917431</v>
      </c>
      <c r="Z69" s="19">
        <v>1.7370240385638194E-2</v>
      </c>
      <c r="AA69" s="19">
        <v>0.13284332001211815</v>
      </c>
      <c r="AB69" s="19">
        <v>0.11307703834311827</v>
      </c>
      <c r="AC69" s="19">
        <v>66.063055106314792</v>
      </c>
      <c r="AD69" s="19">
        <v>0</v>
      </c>
      <c r="AE69" s="87">
        <v>66.063055106314792</v>
      </c>
      <c r="AF69" s="56">
        <v>2.8063863759912971E-2</v>
      </c>
      <c r="AG69" s="43">
        <v>0.82576395635812549</v>
      </c>
      <c r="AH69" s="43">
        <v>5.5760617230543586E-4</v>
      </c>
      <c r="AI69" s="43">
        <v>1.2619345822009501E-2</v>
      </c>
      <c r="AJ69" s="43">
        <v>0.26992243013138023</v>
      </c>
      <c r="AK69" s="43">
        <v>0</v>
      </c>
      <c r="AL69" s="58">
        <v>2.4215271058802803</v>
      </c>
      <c r="AM69" s="43">
        <v>6.0814465325287424E-3</v>
      </c>
      <c r="AN69" s="42">
        <v>2.5216424752242471E-2</v>
      </c>
      <c r="AO69" s="42">
        <v>1.8334062297981325E-2</v>
      </c>
      <c r="AP69" s="42">
        <v>3.6080862417067663</v>
      </c>
      <c r="AQ69" s="43">
        <v>0</v>
      </c>
      <c r="AR69" s="83">
        <v>3.6080862417067663</v>
      </c>
      <c r="AS69" s="19">
        <f t="shared" si="96"/>
        <v>4.9667736318613089</v>
      </c>
      <c r="AT69" s="19">
        <f t="shared" si="97"/>
        <v>242.8975334675695</v>
      </c>
      <c r="AU69" s="19">
        <f t="shared" si="98"/>
        <v>0.1734535610820554</v>
      </c>
      <c r="AV69" s="19">
        <f t="shared" si="99"/>
        <v>0</v>
      </c>
      <c r="AW69" s="19">
        <f t="shared" si="100"/>
        <v>785.4897164061075</v>
      </c>
      <c r="AX69" s="53">
        <f t="shared" ref="AX69:AX88" si="177">K69*86400*365/(D69*1000000)*1000</f>
        <v>8.5619728760874189E-2</v>
      </c>
      <c r="AY69" s="53">
        <f t="shared" ref="AY69:AY88" si="178">L69*86400*365/(D69*1000000)*1000</f>
        <v>0.10442633853854362</v>
      </c>
      <c r="AZ69" s="53">
        <f t="shared" ref="AZ69:AZ88" si="179">M69*86400*365/(D69*1000000)*1000</f>
        <v>0.17159859461996207</v>
      </c>
      <c r="BA69" s="19">
        <f t="shared" ref="BA69:BA88" si="180">SUM(AS69:AZ69)</f>
        <v>1033.8891217285397</v>
      </c>
      <c r="BB69" s="19">
        <f t="shared" si="101"/>
        <v>0</v>
      </c>
      <c r="BC69" s="53">
        <f t="shared" si="165"/>
        <v>1033.8891217285397</v>
      </c>
      <c r="BD69" s="56">
        <f t="shared" si="102"/>
        <v>0.19878896852193823</v>
      </c>
      <c r="BE69" s="43">
        <f t="shared" si="103"/>
        <v>46.509066364076681</v>
      </c>
      <c r="BF69" s="58">
        <f t="shared" si="166"/>
        <v>46.707855332598619</v>
      </c>
      <c r="BG69" s="61">
        <f t="shared" si="104"/>
        <v>43.029268886701608</v>
      </c>
      <c r="BH69" s="19">
        <f t="shared" si="105"/>
        <v>1265.7159581435419</v>
      </c>
      <c r="BI69" s="19">
        <f t="shared" si="106"/>
        <v>0.9038462999929886</v>
      </c>
      <c r="BJ69" s="19">
        <f t="shared" si="107"/>
        <v>1.3237503757051727</v>
      </c>
      <c r="BK69" s="19">
        <f t="shared" si="108"/>
        <v>1.162726659101917</v>
      </c>
      <c r="BL69" s="19">
        <f t="shared" si="109"/>
        <v>0</v>
      </c>
      <c r="BM69" s="19">
        <f t="shared" si="110"/>
        <v>3804.9184023428224</v>
      </c>
      <c r="BN69" s="53">
        <f t="shared" si="111"/>
        <v>1.3508324519092256</v>
      </c>
      <c r="BO69" s="53">
        <f t="shared" ref="BO69:BO88" si="181">AA69/(D69*100)*1000000</f>
        <v>10.330833869178973</v>
      </c>
      <c r="BP69" s="53">
        <f t="shared" ref="BP69:BP88" si="182">AB69/(D69*100)*1000000</f>
        <v>8.793668341283345</v>
      </c>
      <c r="BQ69" s="19">
        <f t="shared" ref="BQ69:BQ88" si="183">SUM(BG69:BP69)</f>
        <v>5137.5292873702374</v>
      </c>
      <c r="BR69" s="19">
        <f t="shared" si="112"/>
        <v>0</v>
      </c>
      <c r="BS69" s="53">
        <f t="shared" si="167"/>
        <v>5137.5292873702374</v>
      </c>
      <c r="BT69" s="56">
        <f t="shared" si="113"/>
        <v>2.1824440566863741</v>
      </c>
      <c r="BU69" s="43">
        <f t="shared" si="114"/>
        <v>64.217231604220345</v>
      </c>
      <c r="BV69" s="43">
        <f t="shared" si="115"/>
        <v>4.3363390270513856E-2</v>
      </c>
      <c r="BW69" s="43">
        <f t="shared" si="116"/>
        <v>0.98136936966800847</v>
      </c>
      <c r="BX69" s="43">
        <f t="shared" si="117"/>
        <v>20.991072663630995</v>
      </c>
      <c r="BY69" s="58">
        <f t="shared" si="118"/>
        <v>0</v>
      </c>
      <c r="BZ69" s="58">
        <f t="shared" si="119"/>
        <v>188.31503336623103</v>
      </c>
      <c r="CA69" s="58">
        <f t="shared" si="120"/>
        <v>0.47293619134268733</v>
      </c>
      <c r="CB69" s="58">
        <f t="shared" ref="CB69:CB88" si="184">AN69/(D69*100)*1000000</f>
        <v>1.9610071087225591</v>
      </c>
      <c r="CC69" s="58">
        <f t="shared" ref="CC69:CC88" si="185">AO69/(D69*100)*1000000</f>
        <v>1.425786044268879</v>
      </c>
      <c r="CD69" s="58">
        <f t="shared" ref="CD69:CD88" si="186">SUM(BT69:CC69)</f>
        <v>280.59024379504137</v>
      </c>
      <c r="CE69" s="58">
        <f t="shared" si="121"/>
        <v>0</v>
      </c>
      <c r="CF69" s="58">
        <f t="shared" si="168"/>
        <v>280.59024379504137</v>
      </c>
      <c r="CG69" s="127">
        <v>70</v>
      </c>
      <c r="CH69" s="128" t="s">
        <v>169</v>
      </c>
      <c r="CI69" s="128"/>
      <c r="CJ69" s="126">
        <f t="shared" ref="CJ69:CJ88" si="187">CJ68+1</f>
        <v>66</v>
      </c>
      <c r="CK69" s="126">
        <f t="shared" si="95"/>
        <v>67</v>
      </c>
      <c r="CN69" s="147">
        <f t="shared" si="169"/>
        <v>2.8063863759912971E-2</v>
      </c>
      <c r="CO69" s="147">
        <f t="shared" si="170"/>
        <v>0.82576395635812549</v>
      </c>
      <c r="CP69" s="147">
        <f t="shared" si="171"/>
        <v>5.5760617230543586E-4</v>
      </c>
      <c r="CQ69" s="31">
        <f>(AI69-(P69*450/1000000))*Parameters!$C$153</f>
        <v>9.1752408584386148E-3</v>
      </c>
      <c r="CR69" s="31">
        <f t="shared" si="172"/>
        <v>0</v>
      </c>
      <c r="CS69" s="31">
        <f t="shared" si="173"/>
        <v>2.4215271058802803</v>
      </c>
      <c r="CT69" s="31">
        <f>AM69*Parameters!$C$154</f>
        <v>5.4733018792758681E-3</v>
      </c>
      <c r="CU69" s="31">
        <f>AQ69*Parameters!$C$155</f>
        <v>0</v>
      </c>
      <c r="CV69" s="31">
        <f t="shared" si="174"/>
        <v>3.2905610749083389</v>
      </c>
      <c r="CW69" s="188">
        <f t="shared" si="175"/>
        <v>91.199623691693532</v>
      </c>
      <c r="CY69" s="181">
        <v>2.7274666666666665</v>
      </c>
      <c r="CZ69" s="181">
        <v>2.9831697660981265</v>
      </c>
      <c r="DA69" s="181">
        <v>6.7989284803482013</v>
      </c>
      <c r="DB69" s="181">
        <v>5.5809106842171374</v>
      </c>
      <c r="DC69" s="181">
        <v>1.6455996495095457</v>
      </c>
      <c r="DD69" s="181">
        <v>61.016817602825938</v>
      </c>
      <c r="DE69" s="181">
        <v>4.5620642825277367</v>
      </c>
      <c r="DF69" s="181">
        <v>3.5986136042920656</v>
      </c>
      <c r="DG69" s="181">
        <v>10.009679128251776</v>
      </c>
      <c r="DH69" s="181">
        <v>8.1606778868198013</v>
      </c>
      <c r="DI69" s="181">
        <v>75.042256416900827</v>
      </c>
      <c r="DJ69" s="181">
        <v>5.7106364327647929</v>
      </c>
      <c r="DK69" s="181">
        <v>98.923249864737187</v>
      </c>
      <c r="DL69" s="181"/>
      <c r="DM69" s="181">
        <v>0.38900000000000007</v>
      </c>
      <c r="DN69" s="181">
        <v>0.52995903899553132</v>
      </c>
      <c r="DO69" s="181">
        <v>9.6003122897128108E-3</v>
      </c>
      <c r="DP69" s="181">
        <v>0.74487530902379584</v>
      </c>
      <c r="DQ69" s="181">
        <v>1.0670052228244953</v>
      </c>
      <c r="DR69" s="181">
        <v>1.4025304994169081E-2</v>
      </c>
      <c r="DS69" s="181">
        <v>0.59580696297541125</v>
      </c>
      <c r="DT69" s="181">
        <v>1.8214808441380039</v>
      </c>
      <c r="DU69" s="181">
        <v>0.91895903899553133</v>
      </c>
      <c r="DV69" s="181">
        <v>3.3502721511031153</v>
      </c>
      <c r="DW69" s="181">
        <v>3.3502721511031153</v>
      </c>
      <c r="DX69" s="181"/>
      <c r="DY69" s="181">
        <v>0.31120000000000009</v>
      </c>
      <c r="DZ69" s="181">
        <v>0.37097132729687188</v>
      </c>
      <c r="EA69" s="181">
        <v>9.6003122897128108E-3</v>
      </c>
      <c r="EB69" s="181">
        <v>0.74487530902379584</v>
      </c>
      <c r="EC69" s="181">
        <v>0.55644021430220503</v>
      </c>
      <c r="ED69" s="181">
        <v>1.4025304994169081E-2</v>
      </c>
      <c r="EE69" s="181">
        <v>0.15813437298838595</v>
      </c>
      <c r="EF69" s="181">
        <v>1.3109158356157136</v>
      </c>
      <c r="EG69" s="181">
        <v>0.68217132729687191</v>
      </c>
      <c r="EH69" s="181">
        <v>2.1652468408951404</v>
      </c>
      <c r="EJ69" s="31">
        <f t="shared" si="176"/>
        <v>2.1824440566863739E-3</v>
      </c>
      <c r="EK69" s="31">
        <f t="shared" si="122"/>
        <v>6.421723160422034E-2</v>
      </c>
      <c r="EL69" s="31">
        <f t="shared" si="123"/>
        <v>4.3363390270513861E-5</v>
      </c>
      <c r="EM69" s="31">
        <f t="shared" si="124"/>
        <v>7.1353146706650884E-4</v>
      </c>
      <c r="EN69" s="31">
        <f t="shared" si="125"/>
        <v>0</v>
      </c>
      <c r="EO69" s="31">
        <f t="shared" si="126"/>
        <v>0.18831503336623104</v>
      </c>
      <c r="EP69" s="31">
        <f t="shared" si="127"/>
        <v>4.2564257220841851E-4</v>
      </c>
      <c r="EQ69" s="31">
        <f t="shared" si="128"/>
        <v>0</v>
      </c>
      <c r="ER69" s="31">
        <f t="shared" si="129"/>
        <v>0.25589724645668321</v>
      </c>
      <c r="ES69" s="31">
        <f t="shared" si="130"/>
        <v>7.0923262171148602</v>
      </c>
      <c r="ET69" s="31"/>
      <c r="EU69" s="31">
        <f t="shared" si="131"/>
        <v>0.21210705223632115</v>
      </c>
      <c r="EV69" s="31">
        <f t="shared" si="132"/>
        <v>0.2319923294171353</v>
      </c>
      <c r="EW69" s="31">
        <f t="shared" si="133"/>
        <v>0.52873264995559777</v>
      </c>
      <c r="EX69" s="31">
        <f t="shared" si="134"/>
        <v>0.43401099213805999</v>
      </c>
      <c r="EY69" s="31">
        <f t="shared" si="135"/>
        <v>0.12797343963333241</v>
      </c>
      <c r="EZ69" s="31">
        <f t="shared" si="136"/>
        <v>4.7450982542689246</v>
      </c>
      <c r="FA69" s="31">
        <f t="shared" si="137"/>
        <v>0.3547783072495474</v>
      </c>
      <c r="FB69" s="31">
        <f t="shared" si="138"/>
        <v>0.27985358467341365</v>
      </c>
      <c r="FC69" s="31">
        <f t="shared" si="139"/>
        <v>0.77842327448850457</v>
      </c>
      <c r="FD69" s="31">
        <f t="shared" si="140"/>
        <v>0.63463189192296099</v>
      </c>
      <c r="FE69" s="31">
        <f t="shared" si="141"/>
        <v>5.8358153359959157</v>
      </c>
      <c r="FF69" s="31">
        <f t="shared" si="142"/>
        <v>0.44409938165345653</v>
      </c>
      <c r="FG69" s="31">
        <f t="shared" si="143"/>
        <v>7.6929698840608367</v>
      </c>
      <c r="FH69" s="31"/>
      <c r="FI69" s="31">
        <f t="shared" si="144"/>
        <v>3.02513846743971E-2</v>
      </c>
      <c r="FJ69" s="31">
        <f t="shared" si="145"/>
        <v>4.1213354113952771E-2</v>
      </c>
      <c r="FK69" s="31">
        <f t="shared" si="146"/>
        <v>7.465880207466433E-4</v>
      </c>
      <c r="FL69" s="31">
        <f t="shared" si="147"/>
        <v>5.7926759659998092E-2</v>
      </c>
      <c r="FM69" s="31">
        <f t="shared" si="148"/>
        <v>8.2977854615050375E-2</v>
      </c>
      <c r="FN69" s="31">
        <f t="shared" si="149"/>
        <v>1.0907066749469194E-3</v>
      </c>
      <c r="FO69" s="31">
        <f t="shared" si="150"/>
        <v>4.6334153287026822E-2</v>
      </c>
      <c r="FP69" s="31">
        <f t="shared" si="151"/>
        <v>0.14165120229579511</v>
      </c>
      <c r="FQ69" s="31">
        <f t="shared" si="152"/>
        <v>7.1464738788349885E-2</v>
      </c>
      <c r="FR69" s="31">
        <f t="shared" si="153"/>
        <v>0.26054080104611871</v>
      </c>
      <c r="FS69" s="31">
        <f t="shared" si="154"/>
        <v>0.26054080104611871</v>
      </c>
      <c r="FT69" s="31"/>
      <c r="FU69" s="31">
        <f t="shared" si="155"/>
        <v>2.4201107739517686E-2</v>
      </c>
      <c r="FV69" s="31">
        <f t="shared" si="156"/>
        <v>2.8849347879766941E-2</v>
      </c>
      <c r="FW69" s="31">
        <f t="shared" si="157"/>
        <v>7.465880207466433E-4</v>
      </c>
      <c r="FX69" s="31">
        <f t="shared" si="158"/>
        <v>5.7926759659998092E-2</v>
      </c>
      <c r="FY69" s="31">
        <f t="shared" si="159"/>
        <v>4.3272717149511468E-2</v>
      </c>
      <c r="FZ69" s="31">
        <f t="shared" si="160"/>
        <v>1.0907066749469194E-3</v>
      </c>
      <c r="GA69" s="31">
        <f t="shared" si="161"/>
        <v>1.2297644595157465E-2</v>
      </c>
      <c r="GB69" s="31">
        <f t="shared" si="162"/>
        <v>0.1019460648302562</v>
      </c>
      <c r="GC69" s="31">
        <f t="shared" si="163"/>
        <v>5.305045561928462E-2</v>
      </c>
      <c r="GD69" s="31">
        <f t="shared" si="164"/>
        <v>0.1683848717196452</v>
      </c>
    </row>
    <row r="70" spans="1:186">
      <c r="A70" s="39" t="str">
        <f>Basicinfo!A70</f>
        <v>Sölkbach</v>
      </c>
      <c r="B70" s="63">
        <f>Basicinfo!B70</f>
        <v>1410</v>
      </c>
      <c r="C70" s="63">
        <f>Basicinfo!C70</f>
        <v>4060</v>
      </c>
      <c r="D70" s="227">
        <v>286.195365364</v>
      </c>
      <c r="E70" s="89">
        <v>7.8315973649210102</v>
      </c>
      <c r="F70" s="27">
        <v>5.4637009801315702E-2</v>
      </c>
      <c r="G70" s="19">
        <v>1.7674713412591798</v>
      </c>
      <c r="H70" s="19">
        <v>2.2146234381248998E-2</v>
      </c>
      <c r="I70" s="19">
        <v>1.9068359423369179E-3</v>
      </c>
      <c r="J70" s="19">
        <v>5.9814538177109364</v>
      </c>
      <c r="K70" s="19">
        <v>1.0171816135565077E-3</v>
      </c>
      <c r="L70" s="19">
        <v>1.4401639391948707E-3</v>
      </c>
      <c r="M70" s="19">
        <v>1.5247802732402103E-3</v>
      </c>
      <c r="N70" s="19">
        <v>7.8315973649210102</v>
      </c>
      <c r="O70" s="19">
        <v>0</v>
      </c>
      <c r="P70" s="56">
        <v>5.3375703459504393</v>
      </c>
      <c r="Q70" s="43">
        <v>1403.3099486025369</v>
      </c>
      <c r="R70" s="88">
        <v>1408.6475189484872</v>
      </c>
      <c r="S70" s="61">
        <v>1.2142633542957868</v>
      </c>
      <c r="T70" s="19">
        <v>25.676368591145859</v>
      </c>
      <c r="U70" s="19">
        <v>0.27098782922755899</v>
      </c>
      <c r="V70" s="19">
        <v>3.4749657659610966E-2</v>
      </c>
      <c r="W70" s="19">
        <v>3.5082748715063422E-2</v>
      </c>
      <c r="X70" s="19">
        <v>0.37245814981019987</v>
      </c>
      <c r="Y70" s="19">
        <v>92.99804193089696</v>
      </c>
      <c r="Z70" s="19">
        <v>5.2408334849924604E-2</v>
      </c>
      <c r="AA70" s="19">
        <v>0.46093442545440189</v>
      </c>
      <c r="AB70" s="19">
        <v>0.14832827327870771</v>
      </c>
      <c r="AC70" s="19">
        <v>121.26362329533407</v>
      </c>
      <c r="AD70" s="19">
        <v>0</v>
      </c>
      <c r="AE70" s="87">
        <v>121.26362329533407</v>
      </c>
      <c r="AF70" s="56">
        <v>6.8961824309418954E-2</v>
      </c>
      <c r="AG70" s="43">
        <v>1.4699084650760532</v>
      </c>
      <c r="AH70" s="43">
        <v>1.746009118617671E-2</v>
      </c>
      <c r="AI70" s="43">
        <v>2.584156791182779E-2</v>
      </c>
      <c r="AJ70" s="43">
        <v>0.65300349957083714</v>
      </c>
      <c r="AK70" s="43">
        <v>1.4262168839309719E-2</v>
      </c>
      <c r="AL70" s="58">
        <v>3.8553983975953621</v>
      </c>
      <c r="AM70" s="43">
        <v>1.858957795811552E-2</v>
      </c>
      <c r="AN70" s="42">
        <v>8.7943170953455579E-2</v>
      </c>
      <c r="AO70" s="42">
        <v>2.7783436120283011E-2</v>
      </c>
      <c r="AP70" s="42">
        <v>6.2391521995208388</v>
      </c>
      <c r="AQ70" s="43">
        <v>0</v>
      </c>
      <c r="AR70" s="83">
        <v>6.2391521995208388</v>
      </c>
      <c r="AS70" s="19">
        <f t="shared" si="96"/>
        <v>6.0204774417043332</v>
      </c>
      <c r="AT70" s="19">
        <f t="shared" si="97"/>
        <v>194.758486557102</v>
      </c>
      <c r="AU70" s="19">
        <f t="shared" si="98"/>
        <v>2.4403038342664911</v>
      </c>
      <c r="AV70" s="19">
        <f t="shared" si="99"/>
        <v>0.21011513656433647</v>
      </c>
      <c r="AW70" s="19">
        <f t="shared" si="100"/>
        <v>659.09916939227855</v>
      </c>
      <c r="AX70" s="53">
        <f t="shared" si="177"/>
        <v>0.11208371360004224</v>
      </c>
      <c r="AY70" s="53">
        <f t="shared" si="178"/>
        <v>0.15869233217206516</v>
      </c>
      <c r="AZ70" s="53">
        <f t="shared" si="179"/>
        <v>0.16801624525171943</v>
      </c>
      <c r="BA70" s="19">
        <f t="shared" si="180"/>
        <v>862.96734465293946</v>
      </c>
      <c r="BB70" s="19">
        <f t="shared" si="101"/>
        <v>0</v>
      </c>
      <c r="BC70" s="53">
        <f t="shared" si="165"/>
        <v>862.96734465293946</v>
      </c>
      <c r="BD70" s="56">
        <f t="shared" si="102"/>
        <v>0.18650093579124893</v>
      </c>
      <c r="BE70" s="43">
        <f t="shared" si="103"/>
        <v>49.033286993230142</v>
      </c>
      <c r="BF70" s="58">
        <f t="shared" si="166"/>
        <v>49.219787929021393</v>
      </c>
      <c r="BG70" s="61">
        <f t="shared" si="104"/>
        <v>42.427778407641775</v>
      </c>
      <c r="BH70" s="19">
        <f t="shared" si="105"/>
        <v>897.16227788976084</v>
      </c>
      <c r="BI70" s="19">
        <f t="shared" si="106"/>
        <v>9.4686309431636264</v>
      </c>
      <c r="BJ70" s="19">
        <f t="shared" si="107"/>
        <v>1.2141935847009375</v>
      </c>
      <c r="BK70" s="19">
        <f t="shared" si="108"/>
        <v>1.2258321748307537</v>
      </c>
      <c r="BL70" s="19">
        <f t="shared" si="109"/>
        <v>13.014122340397995</v>
      </c>
      <c r="BM70" s="19">
        <f t="shared" si="110"/>
        <v>3249.460095645386</v>
      </c>
      <c r="BN70" s="53">
        <f t="shared" si="111"/>
        <v>1.831208369963246</v>
      </c>
      <c r="BO70" s="53">
        <f t="shared" si="181"/>
        <v>16.10558664596677</v>
      </c>
      <c r="BP70" s="53">
        <f t="shared" si="182"/>
        <v>5.1827629385282021</v>
      </c>
      <c r="BQ70" s="19">
        <f t="shared" si="183"/>
        <v>4237.0924889403395</v>
      </c>
      <c r="BR70" s="19">
        <f t="shared" si="112"/>
        <v>0</v>
      </c>
      <c r="BS70" s="53">
        <f t="shared" si="167"/>
        <v>4237.0924889403395</v>
      </c>
      <c r="BT70" s="56">
        <f t="shared" si="113"/>
        <v>2.4096066063721637</v>
      </c>
      <c r="BU70" s="43">
        <f t="shared" si="114"/>
        <v>51.360316866296486</v>
      </c>
      <c r="BV70" s="43">
        <f t="shared" si="115"/>
        <v>0.61007595856662267</v>
      </c>
      <c r="BW70" s="43">
        <f t="shared" si="116"/>
        <v>0.90293453490978004</v>
      </c>
      <c r="BX70" s="43">
        <f t="shared" si="117"/>
        <v>22.816704202750074</v>
      </c>
      <c r="BY70" s="58">
        <f t="shared" si="118"/>
        <v>0.49833682041532218</v>
      </c>
      <c r="BZ70" s="58">
        <f t="shared" si="119"/>
        <v>134.71211851008982</v>
      </c>
      <c r="CA70" s="58">
        <f t="shared" si="120"/>
        <v>0.64954154426897193</v>
      </c>
      <c r="CB70" s="58">
        <f t="shared" si="184"/>
        <v>3.0728370056448786</v>
      </c>
      <c r="CC70" s="58">
        <f t="shared" si="185"/>
        <v>0.97078567589473053</v>
      </c>
      <c r="CD70" s="58">
        <f t="shared" si="186"/>
        <v>218.00325772520884</v>
      </c>
      <c r="CE70" s="58">
        <f t="shared" si="121"/>
        <v>0</v>
      </c>
      <c r="CF70" s="58">
        <f t="shared" si="168"/>
        <v>218.00325772520884</v>
      </c>
      <c r="CG70" s="127">
        <v>83</v>
      </c>
      <c r="CH70" s="128" t="s">
        <v>169</v>
      </c>
      <c r="CI70" s="128"/>
      <c r="CJ70" s="126">
        <f t="shared" si="187"/>
        <v>67</v>
      </c>
      <c r="CK70" s="126">
        <f t="shared" si="95"/>
        <v>80</v>
      </c>
      <c r="CN70" s="147">
        <f t="shared" si="169"/>
        <v>6.8961824309418954E-2</v>
      </c>
      <c r="CO70" s="147">
        <f t="shared" si="170"/>
        <v>1.4699084650760532</v>
      </c>
      <c r="CP70" s="147">
        <f t="shared" si="171"/>
        <v>1.746009118617671E-2</v>
      </c>
      <c r="CQ70" s="31">
        <f>(AI70-(P70*450/1000000))*Parameters!$C$153</f>
        <v>1.8751729004920073E-2</v>
      </c>
      <c r="CR70" s="31">
        <f t="shared" si="172"/>
        <v>1.4262168839309719E-2</v>
      </c>
      <c r="CS70" s="31">
        <f t="shared" si="173"/>
        <v>3.8553983975953621</v>
      </c>
      <c r="CT70" s="31">
        <f>AM70*Parameters!$C$154</f>
        <v>1.673062016230397E-2</v>
      </c>
      <c r="CU70" s="31">
        <f>AQ70*Parameters!$C$155</f>
        <v>0</v>
      </c>
      <c r="CV70" s="31">
        <f t="shared" si="174"/>
        <v>5.4614732961735442</v>
      </c>
      <c r="CW70" s="188">
        <f t="shared" si="175"/>
        <v>87.535503567183056</v>
      </c>
      <c r="CY70" s="181">
        <v>0</v>
      </c>
      <c r="CZ70" s="181">
        <v>0.88381223374408346</v>
      </c>
      <c r="DA70" s="181">
        <v>10.854427627134005</v>
      </c>
      <c r="DB70" s="181">
        <v>3.127886622322209</v>
      </c>
      <c r="DC70" s="181">
        <v>0</v>
      </c>
      <c r="DD70" s="181">
        <v>25.761887732450894</v>
      </c>
      <c r="DE70" s="181">
        <v>7.1838569738170346</v>
      </c>
      <c r="DF70" s="181">
        <v>1.9673585032005712</v>
      </c>
      <c r="DG70" s="181">
        <v>8.6160592166856613</v>
      </c>
      <c r="DH70" s="181">
        <v>9.1512154770176064</v>
      </c>
      <c r="DI70" s="181">
        <v>39.744201981907111</v>
      </c>
      <c r="DJ70" s="181">
        <v>0.88381223374408346</v>
      </c>
      <c r="DK70" s="181">
        <v>58.395288909354463</v>
      </c>
      <c r="DL70" s="181"/>
      <c r="DM70" s="181">
        <v>0</v>
      </c>
      <c r="DN70" s="181">
        <v>0.15070877498124075</v>
      </c>
      <c r="DO70" s="181">
        <v>0</v>
      </c>
      <c r="DP70" s="181">
        <v>1.3431612255735201</v>
      </c>
      <c r="DQ70" s="181">
        <v>8.1250058418252946E-4</v>
      </c>
      <c r="DR70" s="181">
        <v>1.1221392449570702E-2</v>
      </c>
      <c r="DS70" s="181">
        <v>0.48478884819067436</v>
      </c>
      <c r="DT70" s="181">
        <v>1.3439737261577027</v>
      </c>
      <c r="DU70" s="181">
        <v>0.15070877498124075</v>
      </c>
      <c r="DV70" s="181">
        <v>1.9906927417791886</v>
      </c>
      <c r="DW70" s="181">
        <v>1.9906927417791884</v>
      </c>
      <c r="DX70" s="181"/>
      <c r="DY70" s="181">
        <v>0</v>
      </c>
      <c r="DZ70" s="181">
        <v>0.10549614248686852</v>
      </c>
      <c r="EA70" s="181">
        <v>0</v>
      </c>
      <c r="EB70" s="181">
        <v>1.3431612255735201</v>
      </c>
      <c r="EC70" s="181">
        <v>1.2074624885363705E-2</v>
      </c>
      <c r="ED70" s="181">
        <v>1.1221392449570702E-2</v>
      </c>
      <c r="EE70" s="181">
        <v>0.19532180061509402</v>
      </c>
      <c r="EF70" s="181">
        <v>1.3552358504588837</v>
      </c>
      <c r="EG70" s="181">
        <v>0.10549614248686852</v>
      </c>
      <c r="EH70" s="181">
        <v>1.6672751860104169</v>
      </c>
      <c r="EJ70" s="31">
        <f t="shared" si="176"/>
        <v>2.4096066063721638E-3</v>
      </c>
      <c r="EK70" s="31">
        <f t="shared" si="122"/>
        <v>5.1360316866296482E-2</v>
      </c>
      <c r="EL70" s="31">
        <f t="shared" si="123"/>
        <v>6.1007595856662263E-4</v>
      </c>
      <c r="EM70" s="31">
        <f t="shared" si="124"/>
        <v>6.5520729104297443E-4</v>
      </c>
      <c r="EN70" s="31">
        <f t="shared" si="125"/>
        <v>4.9833682041532221E-4</v>
      </c>
      <c r="EO70" s="31">
        <f t="shared" si="126"/>
        <v>0.1347121185100898</v>
      </c>
      <c r="EP70" s="31">
        <f t="shared" si="127"/>
        <v>5.8458738984207487E-4</v>
      </c>
      <c r="EQ70" s="31">
        <f t="shared" si="128"/>
        <v>0</v>
      </c>
      <c r="ER70" s="31">
        <f t="shared" si="129"/>
        <v>0.19083024944262544</v>
      </c>
      <c r="ES70" s="31">
        <f t="shared" si="130"/>
        <v>3.0585926315001744</v>
      </c>
      <c r="ET70" s="31"/>
      <c r="EU70" s="31">
        <f t="shared" si="131"/>
        <v>0</v>
      </c>
      <c r="EV70" s="31">
        <f t="shared" si="132"/>
        <v>3.0881430683547217E-2</v>
      </c>
      <c r="EW70" s="31">
        <f t="shared" si="133"/>
        <v>0.37926636629243482</v>
      </c>
      <c r="EX70" s="31">
        <f t="shared" si="134"/>
        <v>0.10929200821767257</v>
      </c>
      <c r="EY70" s="31">
        <f t="shared" si="135"/>
        <v>0</v>
      </c>
      <c r="EZ70" s="31">
        <f t="shared" si="136"/>
        <v>0.90015041647112004</v>
      </c>
      <c r="FA70" s="31">
        <f t="shared" si="137"/>
        <v>0.25101234482536727</v>
      </c>
      <c r="FB70" s="31">
        <f t="shared" si="138"/>
        <v>6.8741801625556362E-2</v>
      </c>
      <c r="FC70" s="31">
        <f t="shared" si="139"/>
        <v>0.30105516229192786</v>
      </c>
      <c r="FD70" s="31">
        <f t="shared" si="140"/>
        <v>0.3197541464509237</v>
      </c>
      <c r="FE70" s="31">
        <f t="shared" si="141"/>
        <v>1.3887087909812277</v>
      </c>
      <c r="FF70" s="31">
        <f t="shared" si="142"/>
        <v>3.0881430683547217E-2</v>
      </c>
      <c r="FG70" s="31">
        <f t="shared" si="143"/>
        <v>2.0403995304076266</v>
      </c>
      <c r="FH70" s="31"/>
      <c r="FI70" s="31">
        <f t="shared" si="144"/>
        <v>0</v>
      </c>
      <c r="FJ70" s="31">
        <f t="shared" si="145"/>
        <v>5.2659404455959839E-3</v>
      </c>
      <c r="FK70" s="31">
        <f t="shared" si="146"/>
        <v>0</v>
      </c>
      <c r="FL70" s="31">
        <f t="shared" si="147"/>
        <v>4.6931620428765822E-2</v>
      </c>
      <c r="FM70" s="31">
        <f t="shared" si="148"/>
        <v>2.8389718441077611E-5</v>
      </c>
      <c r="FN70" s="31">
        <f t="shared" si="149"/>
        <v>3.9208854536476086E-4</v>
      </c>
      <c r="FO70" s="31">
        <f t="shared" si="150"/>
        <v>1.6939088009831731E-2</v>
      </c>
      <c r="FP70" s="31">
        <f t="shared" si="151"/>
        <v>4.696001014720691E-2</v>
      </c>
      <c r="FQ70" s="31">
        <f t="shared" si="152"/>
        <v>5.2659404455959839E-3</v>
      </c>
      <c r="FR70" s="31">
        <f t="shared" si="153"/>
        <v>6.9557127147999387E-2</v>
      </c>
      <c r="FS70" s="31">
        <f t="shared" si="154"/>
        <v>6.9557127147999373E-2</v>
      </c>
      <c r="FT70" s="31"/>
      <c r="FU70" s="31">
        <f t="shared" si="155"/>
        <v>0</v>
      </c>
      <c r="FV70" s="31">
        <f t="shared" si="156"/>
        <v>3.686158311917188E-3</v>
      </c>
      <c r="FW70" s="31">
        <f t="shared" si="157"/>
        <v>0</v>
      </c>
      <c r="FX70" s="31">
        <f t="shared" si="158"/>
        <v>4.6931620428765822E-2</v>
      </c>
      <c r="FY70" s="31">
        <f t="shared" si="159"/>
        <v>4.2190148222723636E-4</v>
      </c>
      <c r="FZ70" s="31">
        <f t="shared" si="160"/>
        <v>3.9208854536476086E-4</v>
      </c>
      <c r="GA70" s="31">
        <f t="shared" si="161"/>
        <v>6.8247716159439663E-3</v>
      </c>
      <c r="GB70" s="31">
        <f t="shared" si="162"/>
        <v>4.7353521910993061E-2</v>
      </c>
      <c r="GC70" s="31">
        <f t="shared" si="163"/>
        <v>3.686158311917188E-3</v>
      </c>
      <c r="GD70" s="31">
        <f t="shared" si="164"/>
        <v>5.8256540384218972E-2</v>
      </c>
    </row>
    <row r="71" spans="1:186">
      <c r="A71" s="39" t="str">
        <f>Basicinfo!A71</f>
        <v>Salza</v>
      </c>
      <c r="B71" s="63">
        <f>Basicinfo!B71</f>
        <v>1420</v>
      </c>
      <c r="C71" s="63">
        <f>Basicinfo!C71</f>
        <v>4060</v>
      </c>
      <c r="D71" s="227">
        <v>231.82725680600001</v>
      </c>
      <c r="E71" s="89">
        <v>11.4431978844206</v>
      </c>
      <c r="F71" s="27">
        <v>3.5092419679616488E-2</v>
      </c>
      <c r="G71" s="19">
        <v>2.9608405154939739</v>
      </c>
      <c r="H71" s="19">
        <v>8.287345898296114E-2</v>
      </c>
      <c r="I71" s="19">
        <v>4.7863040637903018E-2</v>
      </c>
      <c r="J71" s="19">
        <v>8.2863880230215106</v>
      </c>
      <c r="K71" s="19">
        <v>4.7299389894231826E-3</v>
      </c>
      <c r="L71" s="19">
        <v>5.9211610722619337E-3</v>
      </c>
      <c r="M71" s="19">
        <v>5.2252051155870002E-3</v>
      </c>
      <c r="N71" s="19">
        <v>11.428933762993237</v>
      </c>
      <c r="O71" s="19">
        <v>1.4264121427363436E-2</v>
      </c>
      <c r="P71" s="56">
        <v>13.937382330959736</v>
      </c>
      <c r="Q71" s="43">
        <v>1572.5576174234793</v>
      </c>
      <c r="R71" s="88">
        <v>1586.494999754439</v>
      </c>
      <c r="S71" s="61">
        <v>1.5192413975970496</v>
      </c>
      <c r="T71" s="19">
        <v>75.420559079044111</v>
      </c>
      <c r="U71" s="19">
        <v>2.1099862650924748</v>
      </c>
      <c r="V71" s="19">
        <v>7.7558502653244155E-2</v>
      </c>
      <c r="W71" s="19">
        <v>3.9313940435586982E-2</v>
      </c>
      <c r="X71" s="19">
        <v>11.938641035858346</v>
      </c>
      <c r="Y71" s="19">
        <v>261.45211953038825</v>
      </c>
      <c r="Z71" s="19">
        <v>0.25679140894941366</v>
      </c>
      <c r="AA71" s="19">
        <v>2.165408899046172</v>
      </c>
      <c r="AB71" s="19">
        <v>0.39817019263388165</v>
      </c>
      <c r="AC71" s="19">
        <v>355.37779025169851</v>
      </c>
      <c r="AD71" s="19">
        <v>6.2333333333333334</v>
      </c>
      <c r="AE71" s="87">
        <v>361.61112358503186</v>
      </c>
      <c r="AF71" s="56">
        <v>4.5158216935970441E-2</v>
      </c>
      <c r="AG71" s="43">
        <v>1.7346783036800399</v>
      </c>
      <c r="AH71" s="43">
        <v>1.220623746259048E-2</v>
      </c>
      <c r="AI71" s="43">
        <v>6.6641056076203922E-2</v>
      </c>
      <c r="AJ71" s="43">
        <v>0.73970397580663239</v>
      </c>
      <c r="AK71" s="43">
        <v>0.84847989022960402</v>
      </c>
      <c r="AL71" s="58">
        <v>6.0321197573130814</v>
      </c>
      <c r="AM71" s="43">
        <v>7.0761942509197817E-2</v>
      </c>
      <c r="AN71" s="42">
        <v>0.38458520297361809</v>
      </c>
      <c r="AO71" s="42">
        <v>6.7325389541410957E-2</v>
      </c>
      <c r="AP71" s="42">
        <v>10.001659972528348</v>
      </c>
      <c r="AQ71" s="43">
        <v>0.28333333333333338</v>
      </c>
      <c r="AR71" s="83">
        <v>10.284993305861681</v>
      </c>
      <c r="AS71" s="19">
        <f t="shared" si="96"/>
        <v>4.7737033266217015</v>
      </c>
      <c r="AT71" s="19">
        <f t="shared" si="97"/>
        <v>402.77000980413334</v>
      </c>
      <c r="AU71" s="19">
        <f t="shared" si="98"/>
        <v>11.273469041104669</v>
      </c>
      <c r="AV71" s="19">
        <f t="shared" si="99"/>
        <v>6.5109205464136952</v>
      </c>
      <c r="AW71" s="19">
        <f t="shared" si="100"/>
        <v>1127.2166021128671</v>
      </c>
      <c r="AX71" s="53">
        <f t="shared" si="177"/>
        <v>0.64342458270674296</v>
      </c>
      <c r="AY71" s="53">
        <f t="shared" si="178"/>
        <v>0.80546928841552656</v>
      </c>
      <c r="AZ71" s="53">
        <f t="shared" si="179"/>
        <v>0.7107967837580299</v>
      </c>
      <c r="BA71" s="19">
        <f t="shared" si="180"/>
        <v>1554.7043954860208</v>
      </c>
      <c r="BB71" s="19">
        <f t="shared" si="101"/>
        <v>1.9403815562109135</v>
      </c>
      <c r="BC71" s="53">
        <f t="shared" si="165"/>
        <v>1556.6447770422317</v>
      </c>
      <c r="BD71" s="56">
        <f t="shared" si="102"/>
        <v>0.60119687921869147</v>
      </c>
      <c r="BE71" s="43">
        <f t="shared" si="103"/>
        <v>67.833163325546423</v>
      </c>
      <c r="BF71" s="58">
        <f t="shared" si="166"/>
        <v>68.434360204765113</v>
      </c>
      <c r="BG71" s="61">
        <f t="shared" si="104"/>
        <v>65.533337991761528</v>
      </c>
      <c r="BH71" s="19">
        <f t="shared" si="105"/>
        <v>3253.3085245518951</v>
      </c>
      <c r="BI71" s="19">
        <f t="shared" si="106"/>
        <v>91.015452374445104</v>
      </c>
      <c r="BJ71" s="19">
        <f t="shared" si="107"/>
        <v>3.3455299312861828</v>
      </c>
      <c r="BK71" s="19">
        <f t="shared" si="108"/>
        <v>1.6958290831386607</v>
      </c>
      <c r="BL71" s="19">
        <f t="shared" si="109"/>
        <v>514.98004161991003</v>
      </c>
      <c r="BM71" s="19">
        <f t="shared" si="110"/>
        <v>11277.885229396439</v>
      </c>
      <c r="BN71" s="53">
        <f t="shared" si="111"/>
        <v>11.07684283924838</v>
      </c>
      <c r="BO71" s="53">
        <f t="shared" si="181"/>
        <v>93.406139074416558</v>
      </c>
      <c r="BP71" s="53">
        <f t="shared" si="182"/>
        <v>17.175296732561627</v>
      </c>
      <c r="BQ71" s="19">
        <f t="shared" si="183"/>
        <v>15329.422223595102</v>
      </c>
      <c r="BR71" s="19">
        <f t="shared" si="112"/>
        <v>268.87836310592132</v>
      </c>
      <c r="BS71" s="53">
        <f t="shared" si="167"/>
        <v>15598.300586701023</v>
      </c>
      <c r="BT71" s="56">
        <f t="shared" si="113"/>
        <v>1.9479252594426457</v>
      </c>
      <c r="BU71" s="43">
        <f t="shared" si="114"/>
        <v>74.82633093190033</v>
      </c>
      <c r="BV71" s="43">
        <f t="shared" si="115"/>
        <v>0.52652296501981322</v>
      </c>
      <c r="BW71" s="43">
        <f t="shared" si="116"/>
        <v>2.8745996909229339</v>
      </c>
      <c r="BX71" s="43">
        <f t="shared" si="117"/>
        <v>31.907549871309513</v>
      </c>
      <c r="BY71" s="58">
        <f t="shared" si="118"/>
        <v>36.599660536881451</v>
      </c>
      <c r="BZ71" s="58">
        <f t="shared" si="119"/>
        <v>260.19890156233612</v>
      </c>
      <c r="CA71" s="58">
        <f t="shared" si="120"/>
        <v>3.0523564607596394</v>
      </c>
      <c r="CB71" s="58">
        <f t="shared" si="184"/>
        <v>16.589300510744106</v>
      </c>
      <c r="CC71" s="58">
        <f t="shared" si="185"/>
        <v>2.9041188024646671</v>
      </c>
      <c r="CD71" s="58">
        <f t="shared" si="186"/>
        <v>431.42726659178123</v>
      </c>
      <c r="CE71" s="58">
        <f t="shared" si="121"/>
        <v>12.22174377754188</v>
      </c>
      <c r="CF71" s="58">
        <f t="shared" si="168"/>
        <v>443.64901036932309</v>
      </c>
      <c r="CG71" s="127">
        <v>83</v>
      </c>
      <c r="CH71" s="128" t="s">
        <v>169</v>
      </c>
      <c r="CI71" s="128"/>
      <c r="CJ71" s="126">
        <f t="shared" si="187"/>
        <v>68</v>
      </c>
      <c r="CK71" s="126">
        <f t="shared" si="95"/>
        <v>80</v>
      </c>
      <c r="CN71" s="147">
        <f t="shared" si="169"/>
        <v>4.5158216935970441E-2</v>
      </c>
      <c r="CO71" s="147">
        <f t="shared" si="170"/>
        <v>1.7346783036800399</v>
      </c>
      <c r="CP71" s="147">
        <f t="shared" si="171"/>
        <v>1.220623746259048E-2</v>
      </c>
      <c r="CQ71" s="31">
        <f>(AI71-(P71*450/1000000))*Parameters!$C$153</f>
        <v>4.8295387221817636E-2</v>
      </c>
      <c r="CR71" s="31">
        <f t="shared" si="172"/>
        <v>0.84847989022960402</v>
      </c>
      <c r="CS71" s="31">
        <f t="shared" si="173"/>
        <v>6.0321197573130814</v>
      </c>
      <c r="CT71" s="31">
        <f>AM71*Parameters!$C$154</f>
        <v>6.3685748258278038E-2</v>
      </c>
      <c r="CU71" s="31">
        <f>AQ71*Parameters!$C$155</f>
        <v>0.28333333333333338</v>
      </c>
      <c r="CV71" s="31">
        <f t="shared" si="174"/>
        <v>9.0679568744347154</v>
      </c>
      <c r="CW71" s="188">
        <f t="shared" si="175"/>
        <v>88.166871914896177</v>
      </c>
      <c r="CY71" s="181">
        <v>11.316132605277778</v>
      </c>
      <c r="CZ71" s="181">
        <v>11.568920644601132</v>
      </c>
      <c r="DA71" s="181">
        <v>40.450401107304074</v>
      </c>
      <c r="DB71" s="181">
        <v>24.043012252964072</v>
      </c>
      <c r="DC71" s="181">
        <v>6.2283924620196203</v>
      </c>
      <c r="DD71" s="181">
        <v>244.95556253621501</v>
      </c>
      <c r="DE71" s="181">
        <v>26.993406877414031</v>
      </c>
      <c r="DF71" s="181">
        <v>15.433215332100637</v>
      </c>
      <c r="DG71" s="181">
        <v>49.941055490372555</v>
      </c>
      <c r="DH71" s="181">
        <v>42.426622209514669</v>
      </c>
      <c r="DI71" s="181">
        <v>315.6773683585028</v>
      </c>
      <c r="DJ71" s="181">
        <v>22.885053249878908</v>
      </c>
      <c r="DK71" s="181">
        <v>430.93009930826895</v>
      </c>
      <c r="DL71" s="181"/>
      <c r="DM71" s="181">
        <v>1.7765029583333334</v>
      </c>
      <c r="DN71" s="181">
        <v>2.0754457617290942</v>
      </c>
      <c r="DO71" s="181">
        <v>6.201996719765656E-2</v>
      </c>
      <c r="DP71" s="181">
        <v>6.1696580638410827</v>
      </c>
      <c r="DQ71" s="181">
        <v>3.0230911717047562</v>
      </c>
      <c r="DR71" s="181">
        <v>8.0372566905557913E-2</v>
      </c>
      <c r="DS71" s="181">
        <v>2.6877926292420771</v>
      </c>
      <c r="DT71" s="181">
        <v>9.2547692027434962</v>
      </c>
      <c r="DU71" s="181">
        <v>3.8519487200624276</v>
      </c>
      <c r="DV71" s="181">
        <v>15.874883118953559</v>
      </c>
      <c r="DW71" s="181">
        <v>15.874883118953559</v>
      </c>
      <c r="DX71" s="181"/>
      <c r="DY71" s="181">
        <v>1.4212023666666669</v>
      </c>
      <c r="DZ71" s="181">
        <v>1.452812033210366</v>
      </c>
      <c r="EA71" s="181">
        <v>6.201996719765656E-2</v>
      </c>
      <c r="EB71" s="181">
        <v>6.1696580638410827</v>
      </c>
      <c r="EC71" s="181">
        <v>1.5677755346123758</v>
      </c>
      <c r="ED71" s="181">
        <v>8.0372566905557913E-2</v>
      </c>
      <c r="EE71" s="181">
        <v>0.85074131198590797</v>
      </c>
      <c r="EF71" s="181">
        <v>7.799453565651115</v>
      </c>
      <c r="EG71" s="181">
        <v>2.8740143998770331</v>
      </c>
      <c r="EH71" s="181">
        <v>11.604581844419613</v>
      </c>
      <c r="EJ71" s="31">
        <f t="shared" si="176"/>
        <v>1.9479252594426458E-3</v>
      </c>
      <c r="EK71" s="31">
        <f t="shared" si="122"/>
        <v>7.4826330931900331E-2</v>
      </c>
      <c r="EL71" s="31">
        <f t="shared" si="123"/>
        <v>5.2652296501981327E-4</v>
      </c>
      <c r="EM71" s="31">
        <f t="shared" si="124"/>
        <v>2.0832488762196183E-3</v>
      </c>
      <c r="EN71" s="31">
        <f t="shared" si="125"/>
        <v>3.6599660536881455E-2</v>
      </c>
      <c r="EO71" s="31">
        <f t="shared" si="126"/>
        <v>0.26019890156233616</v>
      </c>
      <c r="EP71" s="31">
        <f t="shared" si="127"/>
        <v>2.7471208146836756E-3</v>
      </c>
      <c r="EQ71" s="31">
        <f t="shared" si="128"/>
        <v>1.2221743777541878E-2</v>
      </c>
      <c r="ER71" s="31">
        <f t="shared" si="129"/>
        <v>0.39115145472402552</v>
      </c>
      <c r="ES71" s="31">
        <f t="shared" si="130"/>
        <v>3.8031279466278143</v>
      </c>
      <c r="ET71" s="31"/>
      <c r="EU71" s="31">
        <f t="shared" si="131"/>
        <v>0.48812778795667916</v>
      </c>
      <c r="EV71" s="31">
        <f t="shared" si="132"/>
        <v>0.49903194318010463</v>
      </c>
      <c r="EW71" s="31">
        <f t="shared" si="133"/>
        <v>1.7448509577609412</v>
      </c>
      <c r="EX71" s="31">
        <f t="shared" si="134"/>
        <v>1.037108948456565</v>
      </c>
      <c r="EY71" s="31">
        <f t="shared" si="135"/>
        <v>0.26866523582391894</v>
      </c>
      <c r="EZ71" s="31">
        <f t="shared" si="136"/>
        <v>10.566296901886785</v>
      </c>
      <c r="FA71" s="31">
        <f t="shared" si="137"/>
        <v>1.1643758913130273</v>
      </c>
      <c r="FB71" s="31">
        <f t="shared" si="138"/>
        <v>0.66572048277375828</v>
      </c>
      <c r="FC71" s="31">
        <f t="shared" si="139"/>
        <v>2.1542357088823567</v>
      </c>
      <c r="FD71" s="31">
        <f t="shared" si="140"/>
        <v>1.8300963740867857</v>
      </c>
      <c r="FE71" s="31">
        <f t="shared" si="141"/>
        <v>13.616922043928211</v>
      </c>
      <c r="FF71" s="31">
        <f t="shared" si="142"/>
        <v>0.98715973113678368</v>
      </c>
      <c r="FG71" s="31">
        <f t="shared" si="143"/>
        <v>18.588413858034141</v>
      </c>
      <c r="FH71" s="31"/>
      <c r="FI71" s="31">
        <f t="shared" si="144"/>
        <v>7.6630461094571126E-2</v>
      </c>
      <c r="FJ71" s="31">
        <f t="shared" si="145"/>
        <v>8.9525528202487839E-2</v>
      </c>
      <c r="FK71" s="31">
        <f t="shared" si="146"/>
        <v>2.6752664053458016E-3</v>
      </c>
      <c r="FL71" s="31">
        <f t="shared" si="147"/>
        <v>0.26613169429874406</v>
      </c>
      <c r="FM71" s="31">
        <f t="shared" si="148"/>
        <v>0.130402749588439</v>
      </c>
      <c r="FN71" s="31">
        <f t="shared" si="149"/>
        <v>3.4669161863402492E-3</v>
      </c>
      <c r="FO71" s="31">
        <f t="shared" si="150"/>
        <v>0.11593945708857274</v>
      </c>
      <c r="FP71" s="31">
        <f t="shared" si="151"/>
        <v>0.39920971029252889</v>
      </c>
      <c r="FQ71" s="31">
        <f t="shared" si="152"/>
        <v>0.16615598929705894</v>
      </c>
      <c r="FR71" s="31">
        <f t="shared" si="153"/>
        <v>0.68477207286450081</v>
      </c>
      <c r="FS71" s="31">
        <f t="shared" si="154"/>
        <v>0.68477207286450081</v>
      </c>
      <c r="FT71" s="31"/>
      <c r="FU71" s="31">
        <f t="shared" si="155"/>
        <v>6.1304368875656913E-2</v>
      </c>
      <c r="FV71" s="31">
        <f t="shared" si="156"/>
        <v>6.2667869741741489E-2</v>
      </c>
      <c r="FW71" s="31">
        <f t="shared" si="157"/>
        <v>2.6752664053458016E-3</v>
      </c>
      <c r="FX71" s="31">
        <f t="shared" si="158"/>
        <v>0.26613169429874406</v>
      </c>
      <c r="FY71" s="31">
        <f t="shared" si="159"/>
        <v>6.762688547552187E-2</v>
      </c>
      <c r="FZ71" s="31">
        <f t="shared" si="160"/>
        <v>3.4669161863402492E-3</v>
      </c>
      <c r="GA71" s="31">
        <f t="shared" si="161"/>
        <v>3.669720824492323E-2</v>
      </c>
      <c r="GB71" s="31">
        <f t="shared" si="162"/>
        <v>0.33643384617961175</v>
      </c>
      <c r="GC71" s="31">
        <f t="shared" si="163"/>
        <v>0.12397223861739841</v>
      </c>
      <c r="GD71" s="31">
        <f t="shared" si="164"/>
        <v>0.50057020922827355</v>
      </c>
    </row>
    <row r="72" spans="1:186">
      <c r="A72" s="39" t="str">
        <f>Basicinfo!A72</f>
        <v>Donnersbach</v>
      </c>
      <c r="B72" s="63">
        <f>Basicinfo!B72</f>
        <v>1430</v>
      </c>
      <c r="C72" s="63">
        <f>Basicinfo!C72</f>
        <v>4060</v>
      </c>
      <c r="D72" s="227">
        <v>196.227323807</v>
      </c>
      <c r="E72" s="89">
        <v>2.6732958287508302</v>
      </c>
      <c r="F72" s="27">
        <v>3.1966635122782333E-2</v>
      </c>
      <c r="G72" s="19">
        <v>0.50045916253193434</v>
      </c>
      <c r="H72" s="19">
        <v>2.464476474394587E-2</v>
      </c>
      <c r="I72" s="19">
        <v>4.0906226765707265E-2</v>
      </c>
      <c r="J72" s="19">
        <v>2.054250149917642</v>
      </c>
      <c r="K72" s="19">
        <v>1.5355668678210164E-3</v>
      </c>
      <c r="L72" s="19">
        <v>2.1289781069845919E-3</v>
      </c>
      <c r="M72" s="19">
        <v>6.9189734780479252E-3</v>
      </c>
      <c r="N72" s="19">
        <v>2.6628104575348654</v>
      </c>
      <c r="O72" s="19">
        <v>1.0485371215964824E-2</v>
      </c>
      <c r="P72" s="56">
        <v>10.710980311798721</v>
      </c>
      <c r="Q72" s="43">
        <v>1017.0839274625419</v>
      </c>
      <c r="R72" s="88">
        <v>1027.7949077743406</v>
      </c>
      <c r="S72" s="61">
        <v>0.92564097539337153</v>
      </c>
      <c r="T72" s="19">
        <v>9.1232415252100445</v>
      </c>
      <c r="U72" s="19">
        <v>0.44839739201025358</v>
      </c>
      <c r="V72" s="19">
        <v>6.7586074329194876E-2</v>
      </c>
      <c r="W72" s="19">
        <v>2.5427098186563548E-2</v>
      </c>
      <c r="X72" s="19">
        <v>10.182541557154192</v>
      </c>
      <c r="Y72" s="19">
        <v>75.351868966806364</v>
      </c>
      <c r="Z72" s="19">
        <v>7.324463842111778E-2</v>
      </c>
      <c r="AA72" s="19">
        <v>0.77291612538238352</v>
      </c>
      <c r="AB72" s="19">
        <v>1.2414659855262722</v>
      </c>
      <c r="AC72" s="19">
        <v>98.212330338419761</v>
      </c>
      <c r="AD72" s="19">
        <v>6.2</v>
      </c>
      <c r="AE72" s="87">
        <v>104.41233033841976</v>
      </c>
      <c r="AF72" s="56">
        <v>3.6664063717193114E-2</v>
      </c>
      <c r="AG72" s="43">
        <v>0.42799696852098668</v>
      </c>
      <c r="AH72" s="43">
        <v>1.9429932524126926E-2</v>
      </c>
      <c r="AI72" s="43">
        <v>5.3012897241475926E-2</v>
      </c>
      <c r="AJ72" s="43">
        <v>0.48035198326114265</v>
      </c>
      <c r="AK72" s="43">
        <v>0.34245861859909421</v>
      </c>
      <c r="AL72" s="58">
        <v>1.9015921804809823</v>
      </c>
      <c r="AM72" s="43">
        <v>2.4100505310069867E-2</v>
      </c>
      <c r="AN72" s="42">
        <v>0.14076407032278843</v>
      </c>
      <c r="AO72" s="42">
        <v>0.19170651467266692</v>
      </c>
      <c r="AP72" s="42">
        <v>3.6180777346505275</v>
      </c>
      <c r="AQ72" s="43">
        <v>0.55000000000000004</v>
      </c>
      <c r="AR72" s="83">
        <v>4.1680777346505273</v>
      </c>
      <c r="AS72" s="19">
        <f t="shared" ref="AS72:AS84" si="188">F72*86400*365/(D72*1000000)*1000</f>
        <v>5.1374079087150131</v>
      </c>
      <c r="AT72" s="19">
        <f t="shared" ref="AT72:AT84" si="189">G72*86400*365/(D72*1000000)*1000</f>
        <v>80.429574451772012</v>
      </c>
      <c r="AU72" s="19">
        <f t="shared" ref="AU72:AU84" si="190">H72*86400*365/(D72*1000000)*1000</f>
        <v>3.9606986727775579</v>
      </c>
      <c r="AV72" s="19">
        <f t="shared" ref="AV72:AV84" si="191">I72*86400*365/(D72*1000000)*1000</f>
        <v>6.5741036582252228</v>
      </c>
      <c r="AW72" s="19">
        <f t="shared" ref="AW72:AW84" si="192">J72*86400*365/(D72*1000000)*1000</f>
        <v>330.14175330404095</v>
      </c>
      <c r="AX72" s="53">
        <f t="shared" si="177"/>
        <v>0.24678335210458641</v>
      </c>
      <c r="AY72" s="53">
        <f t="shared" si="178"/>
        <v>0.34215140011745415</v>
      </c>
      <c r="AZ72" s="53">
        <f t="shared" si="179"/>
        <v>1.1119590451038686</v>
      </c>
      <c r="BA72" s="19">
        <f t="shared" si="180"/>
        <v>427.94443179285668</v>
      </c>
      <c r="BB72" s="19">
        <f t="shared" ref="BB72:BB84" si="193">O72*86400*365/(D72*1000000)*1000</f>
        <v>1.6851204014375438</v>
      </c>
      <c r="BC72" s="53">
        <f t="shared" ref="BC72:BC84" si="194">BA72+BB72</f>
        <v>429.62955219429421</v>
      </c>
      <c r="BD72" s="56">
        <f t="shared" ref="BD72:BD84" si="195">P72/(D72*100)*1000</f>
        <v>0.54584550734298043</v>
      </c>
      <c r="BE72" s="43">
        <f t="shared" ref="BE72:BE84" si="196">Q72/(D72*100)*1000</f>
        <v>51.831921657500565</v>
      </c>
      <c r="BF72" s="58">
        <f t="shared" ref="BF72:BF84" si="197">SUM(BD72:BE72)</f>
        <v>52.377767164843547</v>
      </c>
      <c r="BG72" s="61">
        <f t="shared" ref="BG72:BG84" si="198">S72/(D72*100)*1000000</f>
        <v>47.171869719009607</v>
      </c>
      <c r="BH72" s="19">
        <f t="shared" ref="BH72:BH84" si="199">T72/(D72*100)*1000000</f>
        <v>464.93227080766985</v>
      </c>
      <c r="BI72" s="19">
        <f t="shared" ref="BI72:BI84" si="200">U72/(D72*100)*1000000</f>
        <v>22.850915117778211</v>
      </c>
      <c r="BJ72" s="19">
        <f t="shared" ref="BJ72:BJ84" si="201">V72/(D72*100)*1000000</f>
        <v>3.4442743761653385</v>
      </c>
      <c r="BK72" s="19">
        <f t="shared" ref="BK72:BK84" si="202">W72/(D72*100)*1000000</f>
        <v>1.2957980414375141</v>
      </c>
      <c r="BL72" s="19">
        <f t="shared" ref="BL72:BL84" si="203">X72/(D72*100)*1000000</f>
        <v>518.9155801344599</v>
      </c>
      <c r="BM72" s="19">
        <f t="shared" ref="BM72:BM84" si="204">Y72/(D72*100)*1000000</f>
        <v>3840.0293855568725</v>
      </c>
      <c r="BN72" s="53">
        <f t="shared" ref="BN72:BN84" si="205">Z72/(D72*100)*1000000</f>
        <v>3.7326421723591245</v>
      </c>
      <c r="BO72" s="53">
        <f t="shared" si="181"/>
        <v>39.38881244400946</v>
      </c>
      <c r="BP72" s="53">
        <f t="shared" si="182"/>
        <v>63.26672358571836</v>
      </c>
      <c r="BQ72" s="19">
        <f t="shared" si="183"/>
        <v>5005.0282719554789</v>
      </c>
      <c r="BR72" s="19">
        <f t="shared" ref="BR72:BR84" si="206">AD72/(D72*100)*1000000</f>
        <v>315.9600752695394</v>
      </c>
      <c r="BS72" s="53">
        <f t="shared" ref="BS72:BS84" si="207">BQ72+BR72</f>
        <v>5320.9883472250185</v>
      </c>
      <c r="BT72" s="56">
        <f t="shared" ref="BT72:BT84" si="208">AF72/(D72*100)*1000000</f>
        <v>1.8684484406083104</v>
      </c>
      <c r="BU72" s="43">
        <f t="shared" ref="BU72:BU84" si="209">AG72/(D72*100)*1000000</f>
        <v>21.811282965971877</v>
      </c>
      <c r="BV72" s="43">
        <f t="shared" ref="BV72:BV84" si="210">AH72/(D72*100)*1000000</f>
        <v>0.99017466819438971</v>
      </c>
      <c r="BW72" s="43">
        <f t="shared" ref="BW72:BW84" si="211">AI72/(D72*100)*1000000</f>
        <v>2.7016062907537246</v>
      </c>
      <c r="BX72" s="43">
        <f t="shared" ref="BX72:BX84" si="212">AJ72/(D72*100)*1000000</f>
        <v>24.479362707590834</v>
      </c>
      <c r="BY72" s="58">
        <f t="shared" ref="BY72:BY84" si="213">AK72/(D72*100)*1000000</f>
        <v>17.452137243431014</v>
      </c>
      <c r="BZ72" s="58">
        <f t="shared" ref="BZ72:BZ84" si="214">AL72/(D72*100)*1000000</f>
        <v>96.907614270441741</v>
      </c>
      <c r="CA72" s="58">
        <f t="shared" ref="CA72:CA84" si="215">AM72/(D72*100)*1000000</f>
        <v>1.2281931406134854</v>
      </c>
      <c r="CB72" s="58">
        <f t="shared" si="184"/>
        <v>7.1735203636185432</v>
      </c>
      <c r="CC72" s="58">
        <f t="shared" si="185"/>
        <v>9.7696136783285326</v>
      </c>
      <c r="CD72" s="58">
        <f t="shared" si="186"/>
        <v>184.38195376955247</v>
      </c>
      <c r="CE72" s="58">
        <f t="shared" ref="CE72:CE84" si="216">AQ72/(D72*100)*1000000</f>
        <v>28.028716354555918</v>
      </c>
      <c r="CF72" s="58">
        <f t="shared" ref="CF72:CF84" si="217">CD72+CE72</f>
        <v>212.41067012410838</v>
      </c>
      <c r="CG72" s="127">
        <v>83</v>
      </c>
      <c r="CH72" s="128" t="s">
        <v>169</v>
      </c>
      <c r="CI72" s="128"/>
      <c r="CJ72" s="126">
        <f t="shared" si="187"/>
        <v>69</v>
      </c>
      <c r="CK72" s="126">
        <f>IF(CG72&gt;0,CG72-3,0)</f>
        <v>80</v>
      </c>
      <c r="CM72" s="136"/>
      <c r="CN72" s="147">
        <f t="shared" ref="CN72:CN84" si="218">AF72</f>
        <v>3.6664063717193114E-2</v>
      </c>
      <c r="CO72" s="147">
        <f t="shared" ref="CO72:CO84" si="219">AG72</f>
        <v>0.42799696852098668</v>
      </c>
      <c r="CP72" s="147">
        <f t="shared" ref="CP72:CP84" si="220">AH72</f>
        <v>1.9429932524126926E-2</v>
      </c>
      <c r="CQ72" s="31">
        <f>(AI72-(P72*450/1000000))*Parameters!$C$153</f>
        <v>3.8554364880933202E-2</v>
      </c>
      <c r="CR72" s="31">
        <f t="shared" ref="CR72:CR84" si="221">AK72</f>
        <v>0.34245861859909421</v>
      </c>
      <c r="CS72" s="31">
        <f t="shared" ref="CS72:CS84" si="222">AL72</f>
        <v>1.9015921804809823</v>
      </c>
      <c r="CT72" s="31">
        <f>AM72*Parameters!$C$154</f>
        <v>2.1690454779062882E-2</v>
      </c>
      <c r="CU72" s="31">
        <f>AQ72*Parameters!$C$155</f>
        <v>0.55000000000000004</v>
      </c>
      <c r="CV72" s="31">
        <f t="shared" ref="CV72:CV84" si="223">SUM(CN72:CU72)</f>
        <v>3.3383865835023796</v>
      </c>
      <c r="CW72" s="188">
        <f t="shared" ref="CW72:CW84" si="224">CV72/AR72*100</f>
        <v>80.094153613051247</v>
      </c>
      <c r="CY72" s="181">
        <v>0.61509133333333332</v>
      </c>
      <c r="CZ72" s="181">
        <v>1.8578505437536577</v>
      </c>
      <c r="DA72" s="181">
        <v>4.0554156868010951</v>
      </c>
      <c r="DB72" s="181">
        <v>5.8823441905973626</v>
      </c>
      <c r="DC72" s="181">
        <v>29.623399161418888</v>
      </c>
      <c r="DD72" s="181">
        <v>42.329632655115269</v>
      </c>
      <c r="DE72" s="181">
        <v>2.520383161037453</v>
      </c>
      <c r="DF72" s="181">
        <v>3.4872936813241284</v>
      </c>
      <c r="DG72" s="181">
        <v>6.4967436869153312</v>
      </c>
      <c r="DH72" s="181">
        <v>6.0076768423615814</v>
      </c>
      <c r="DI72" s="181">
        <v>81.890791693932613</v>
      </c>
      <c r="DJ72" s="181">
        <v>2.4729418770869911</v>
      </c>
      <c r="DK72" s="181">
        <v>96.868154100296522</v>
      </c>
      <c r="DL72" s="181"/>
      <c r="DM72" s="181">
        <v>0.1195</v>
      </c>
      <c r="DN72" s="181">
        <v>0.34027799681656323</v>
      </c>
      <c r="DO72" s="181">
        <v>0.40087792849476395</v>
      </c>
      <c r="DP72" s="181">
        <v>1.6068987940630133</v>
      </c>
      <c r="DQ72" s="181">
        <v>0.16968824101504482</v>
      </c>
      <c r="DR72" s="181">
        <v>6.5522174613888992E-3</v>
      </c>
      <c r="DS72" s="181">
        <v>0.31803406225381092</v>
      </c>
      <c r="DT72" s="181">
        <v>2.177464963572822</v>
      </c>
      <c r="DU72" s="181">
        <v>0.45977799681656323</v>
      </c>
      <c r="DV72" s="181">
        <v>2.9618292401045849</v>
      </c>
      <c r="DW72" s="181">
        <v>2.9618292401045854</v>
      </c>
      <c r="DX72" s="181"/>
      <c r="DY72" s="181">
        <v>9.5600000000000004E-2</v>
      </c>
      <c r="DZ72" s="181">
        <v>0.23819459777159424</v>
      </c>
      <c r="EA72" s="181">
        <v>0.40087792849476395</v>
      </c>
      <c r="EB72" s="181">
        <v>1.6068987940630133</v>
      </c>
      <c r="EC72" s="181">
        <v>0.1184278015331397</v>
      </c>
      <c r="ED72" s="181">
        <v>6.5522174613888992E-3</v>
      </c>
      <c r="EE72" s="181">
        <v>0.14488337162160703</v>
      </c>
      <c r="EF72" s="181">
        <v>2.1262045240909169</v>
      </c>
      <c r="EG72" s="181">
        <v>0.33379459777159426</v>
      </c>
      <c r="EH72" s="181">
        <v>2.6114347109455069</v>
      </c>
      <c r="EJ72" s="31">
        <f t="shared" ref="EJ72:EJ84" si="225">CN72/$D72*1000/100</f>
        <v>1.8684484406083105E-3</v>
      </c>
      <c r="EK72" s="31">
        <f t="shared" ref="EK72:EK84" si="226">CO72/$D72*1000/100</f>
        <v>2.1811282965971873E-2</v>
      </c>
      <c r="EL72" s="31">
        <f t="shared" ref="EL72:EL84" si="227">CP72/$D72*1000/100</f>
        <v>9.9017466819438949E-4</v>
      </c>
      <c r="EM72" s="31">
        <f t="shared" ref="EM72:EM84" si="228">CQ72/$D72*1000/100</f>
        <v>1.9647806499595065E-3</v>
      </c>
      <c r="EN72" s="31">
        <f t="shared" ref="EN72:EN84" si="229">CR72/$D72*1000/100</f>
        <v>1.7452137243431014E-2</v>
      </c>
      <c r="EO72" s="31">
        <f t="shared" ref="EO72:EO84" si="230">CS72/$D72*1000/100</f>
        <v>9.6907614270441728E-2</v>
      </c>
      <c r="EP72" s="31">
        <f t="shared" ref="EP72:EP84" si="231">CT72/$D72*1000/100</f>
        <v>1.1053738265521368E-3</v>
      </c>
      <c r="EQ72" s="31">
        <f t="shared" ref="EQ72:EQ84" si="232">CU72/$D72*1000/100</f>
        <v>2.8028716354555915E-2</v>
      </c>
      <c r="ER72" s="31">
        <f t="shared" ref="ER72:ER84" si="233">CV72/$D72*1000/100</f>
        <v>0.17012852841971488</v>
      </c>
      <c r="ES72" s="31">
        <f t="shared" ref="ES72:ES84" si="234">CW72/$D72*1000/100</f>
        <v>4.0817023877789875</v>
      </c>
      <c r="ET72" s="31"/>
      <c r="EU72" s="31">
        <f t="shared" ref="EU72:EU84" si="235">CY72/$D72*1000/100</f>
        <v>3.134585548026473E-2</v>
      </c>
      <c r="EV72" s="31">
        <f t="shared" ref="EV72:EV84" si="236">CZ72/$D72*1000/100</f>
        <v>9.4678483490961349E-2</v>
      </c>
      <c r="EW72" s="31">
        <f t="shared" ref="EW72:EW84" si="237">DA72/$D72*1000/100</f>
        <v>0.20666926542757175</v>
      </c>
      <c r="EX72" s="31">
        <f t="shared" ref="EX72:EX84" si="238">DB72/$D72*1000/100</f>
        <v>0.29977192148749687</v>
      </c>
      <c r="EY72" s="31">
        <f t="shared" ref="EY72:EY84" si="239">DC72/$D72*1000/100</f>
        <v>1.5096470046421808</v>
      </c>
      <c r="EZ72" s="31">
        <f t="shared" ref="EZ72:EZ84" si="240">DD72/$D72*1000/100</f>
        <v>2.1571732128777699</v>
      </c>
      <c r="FA72" s="31">
        <f t="shared" ref="FA72:FA84" si="241">DE72/$D72*1000/100</f>
        <v>0.12844200859185054</v>
      </c>
      <c r="FB72" s="31">
        <f t="shared" ref="FB72:FB84" si="242">DF72/$D72*1000/100</f>
        <v>0.17771702807067108</v>
      </c>
      <c r="FC72" s="31">
        <f t="shared" ref="FC72:FC84" si="243">DG72/$D72*1000/100</f>
        <v>0.33108252005236666</v>
      </c>
      <c r="FD72" s="31">
        <f t="shared" ref="FD72:FD84" si="244">DH72/$D72*1000/100</f>
        <v>0.30615903666252164</v>
      </c>
      <c r="FE72" s="31">
        <f t="shared" ref="FE72:FE84" si="245">DI72/$D72*1000/100</f>
        <v>4.1732614044350189</v>
      </c>
      <c r="FF72" s="31">
        <f t="shared" ref="FF72:FF84" si="246">DJ72/$D72*1000/100</f>
        <v>0.12602433897122609</v>
      </c>
      <c r="FG72" s="31">
        <f t="shared" ref="FG72:FG84" si="247">DK72/$D72*1000/100</f>
        <v>4.9365273001211341</v>
      </c>
      <c r="FH72" s="31"/>
      <c r="FI72" s="31">
        <f t="shared" ref="FI72:FI84" si="248">DM72/$D72*1000/100</f>
        <v>6.0898756443080581E-3</v>
      </c>
      <c r="FJ72" s="31">
        <f t="shared" ref="FJ72:FJ84" si="249">DN72/$D72*1000/100</f>
        <v>1.734100991721442E-2</v>
      </c>
      <c r="FK72" s="31">
        <f t="shared" ref="FK72:FK84" si="250">DO72/$D72*1000/100</f>
        <v>2.0429261364693977E-2</v>
      </c>
      <c r="FL72" s="31">
        <f t="shared" ref="FL72:FL84" si="251">DP72/$D72*1000/100</f>
        <v>8.1889655471400286E-2</v>
      </c>
      <c r="FM72" s="31">
        <f t="shared" ref="FM72:FM84" si="252">DQ72/$D72*1000/100</f>
        <v>8.647533774753113E-3</v>
      </c>
      <c r="FN72" s="31">
        <f t="shared" ref="FN72:FN84" si="253">DR72/$D72*1000/100</f>
        <v>3.339095358520689E-4</v>
      </c>
      <c r="FO72" s="31">
        <f t="shared" ref="FO72:FO84" si="254">DS72/$D72*1000/100</f>
        <v>1.6207430039998624E-2</v>
      </c>
      <c r="FP72" s="31">
        <f t="shared" ref="FP72:FP84" si="255">DT72/$D72*1000/100</f>
        <v>0.11096645061084737</v>
      </c>
      <c r="FQ72" s="31">
        <f t="shared" ref="FQ72:FQ84" si="256">DU72/$D72*1000/100</f>
        <v>2.3430885561522476E-2</v>
      </c>
      <c r="FR72" s="31">
        <f t="shared" ref="FR72:FR84" si="257">DV72/$D72*1000/100</f>
        <v>0.15093867574822054</v>
      </c>
      <c r="FS72" s="31">
        <f t="shared" ref="FS72:FS84" si="258">DW72/$D72*1000/100</f>
        <v>0.15093867574822054</v>
      </c>
      <c r="FT72" s="31"/>
      <c r="FU72" s="31">
        <f t="shared" ref="FU72:FU84" si="259">DY72/$D72*1000/100</f>
        <v>4.8719005154464461E-3</v>
      </c>
      <c r="FV72" s="31">
        <f t="shared" ref="FV72:FV84" si="260">DZ72/$D72*1000/100</f>
        <v>1.2138706942050095E-2</v>
      </c>
      <c r="FW72" s="31">
        <f t="shared" ref="FW72:FW84" si="261">EA72/$D72*1000/100</f>
        <v>2.0429261364693977E-2</v>
      </c>
      <c r="FX72" s="31">
        <f t="shared" ref="FX72:FX84" si="262">EB72/$D72*1000/100</f>
        <v>8.1889655471400286E-2</v>
      </c>
      <c r="FY72" s="31">
        <f t="shared" ref="FY72:FY84" si="263">EC72/$D72*1000/100</f>
        <v>6.0352350139382081E-3</v>
      </c>
      <c r="FZ72" s="31">
        <f t="shared" ref="FZ72:FZ84" si="264">ED72/$D72*1000/100</f>
        <v>3.339095358520689E-4</v>
      </c>
      <c r="GA72" s="31">
        <f t="shared" ref="GA72:GA84" si="265">EE72/$D72*1000/100</f>
        <v>7.3834453230431614E-3</v>
      </c>
      <c r="GB72" s="31">
        <f t="shared" ref="GB72:GB84" si="266">EF72/$D72*1000/100</f>
        <v>0.10835415185003246</v>
      </c>
      <c r="GC72" s="31">
        <f t="shared" ref="GC72:GC84" si="267">EG72/$D72*1000/100</f>
        <v>1.7010607457496541E-2</v>
      </c>
      <c r="GD72" s="31">
        <f t="shared" ref="GD72:GD84" si="268">EH72/$D72*1000/100</f>
        <v>0.13308211416642421</v>
      </c>
    </row>
    <row r="73" spans="1:186">
      <c r="A73" s="39" t="str">
        <f>Basicinfo!A73</f>
        <v>Gufling</v>
      </c>
      <c r="B73" s="63">
        <f>Basicinfo!B73</f>
        <v>1440</v>
      </c>
      <c r="C73" s="63">
        <f>Basicinfo!C73</f>
        <v>4060</v>
      </c>
      <c r="D73" s="227">
        <v>168.19289652500001</v>
      </c>
      <c r="E73" s="89">
        <v>5.1171615004434203</v>
      </c>
      <c r="F73" s="27">
        <v>2.5046090657325736E-2</v>
      </c>
      <c r="G73" s="19">
        <v>1.1771646767443646</v>
      </c>
      <c r="H73" s="19">
        <v>5.0369487506823542E-3</v>
      </c>
      <c r="I73" s="19">
        <v>1.8492124779826331E-2</v>
      </c>
      <c r="J73" s="19">
        <v>3.8846487381859189</v>
      </c>
      <c r="K73" s="19">
        <v>1.8116753980466612E-3</v>
      </c>
      <c r="L73" s="19">
        <v>2.4866898795709831E-3</v>
      </c>
      <c r="M73" s="19">
        <v>2.4745560476846333E-3</v>
      </c>
      <c r="N73" s="19">
        <v>5.1171615004434203</v>
      </c>
      <c r="O73" s="19">
        <v>0</v>
      </c>
      <c r="P73" s="56">
        <v>10.583983175942421</v>
      </c>
      <c r="Q73" s="43">
        <v>1202.8111940687697</v>
      </c>
      <c r="R73" s="88">
        <v>1213.3951772447122</v>
      </c>
      <c r="S73" s="61">
        <v>0.72440470680619007</v>
      </c>
      <c r="T73" s="19">
        <v>21.426005574859232</v>
      </c>
      <c r="U73" s="19">
        <v>9.1476809111911597E-2</v>
      </c>
      <c r="V73" s="19">
        <v>5.7454593128598325E-2</v>
      </c>
      <c r="W73" s="19">
        <v>3.0070279851719242E-2</v>
      </c>
      <c r="X73" s="19">
        <v>4.9553052634020158</v>
      </c>
      <c r="Y73" s="19">
        <v>60.324747562820477</v>
      </c>
      <c r="Z73" s="19">
        <v>8.4351524136530673E-2</v>
      </c>
      <c r="AA73" s="19">
        <v>0.9254500973074945</v>
      </c>
      <c r="AB73" s="19">
        <v>0.24654616933481005</v>
      </c>
      <c r="AC73" s="19">
        <v>88.86581258075897</v>
      </c>
      <c r="AD73" s="19">
        <v>0</v>
      </c>
      <c r="AE73" s="87">
        <v>88.86581258075897</v>
      </c>
      <c r="AF73" s="56">
        <v>2.8422973044515291E-2</v>
      </c>
      <c r="AG73" s="43">
        <v>0.98581883346852273</v>
      </c>
      <c r="AH73" s="43">
        <v>3.9711303950379683E-3</v>
      </c>
      <c r="AI73" s="43">
        <v>4.5175688479792447E-2</v>
      </c>
      <c r="AJ73" s="43">
        <v>0.54583140397330021</v>
      </c>
      <c r="AK73" s="43">
        <v>0.22059150109623907</v>
      </c>
      <c r="AL73" s="58">
        <v>2.6522029139242762</v>
      </c>
      <c r="AM73" s="43">
        <v>2.7431787278920705E-2</v>
      </c>
      <c r="AN73" s="42">
        <v>0.16722251112668152</v>
      </c>
      <c r="AO73" s="42">
        <v>4.2851267992542123E-2</v>
      </c>
      <c r="AP73" s="42">
        <v>4.719520010779827</v>
      </c>
      <c r="AQ73" s="43">
        <v>0</v>
      </c>
      <c r="AR73" s="83">
        <v>4.719520010779827</v>
      </c>
      <c r="AS73" s="19">
        <f t="shared" si="188"/>
        <v>4.6961169662240856</v>
      </c>
      <c r="AT73" s="19">
        <f t="shared" si="189"/>
        <v>220.71720038600057</v>
      </c>
      <c r="AU73" s="19">
        <f t="shared" si="190"/>
        <v>0.94442285663299796</v>
      </c>
      <c r="AV73" s="19">
        <f t="shared" si="191"/>
        <v>3.4672549144780431</v>
      </c>
      <c r="AW73" s="19">
        <f t="shared" si="192"/>
        <v>728.36775594278413</v>
      </c>
      <c r="AX73" s="53">
        <f t="shared" si="177"/>
        <v>0.33968732647580824</v>
      </c>
      <c r="AY73" s="53">
        <f t="shared" si="178"/>
        <v>0.46625186712623284</v>
      </c>
      <c r="AZ73" s="53">
        <f t="shared" si="179"/>
        <v>0.46397678577455964</v>
      </c>
      <c r="BA73" s="19">
        <f t="shared" si="180"/>
        <v>959.46266704549646</v>
      </c>
      <c r="BB73" s="19">
        <f t="shared" si="193"/>
        <v>0</v>
      </c>
      <c r="BC73" s="53">
        <f t="shared" si="194"/>
        <v>959.46266704549646</v>
      </c>
      <c r="BD73" s="56">
        <f t="shared" si="195"/>
        <v>0.62927646735480469</v>
      </c>
      <c r="BE73" s="43">
        <f t="shared" si="196"/>
        <v>71.513792729646298</v>
      </c>
      <c r="BF73" s="58">
        <f t="shared" si="197"/>
        <v>72.143069197001097</v>
      </c>
      <c r="BG73" s="61">
        <f t="shared" si="198"/>
        <v>43.069875230938507</v>
      </c>
      <c r="BH73" s="19">
        <f t="shared" si="199"/>
        <v>1273.8947968396808</v>
      </c>
      <c r="BI73" s="19">
        <f t="shared" si="200"/>
        <v>5.438803362204693</v>
      </c>
      <c r="BJ73" s="19">
        <f t="shared" si="201"/>
        <v>3.4159940351617846</v>
      </c>
      <c r="BK73" s="19">
        <f t="shared" si="202"/>
        <v>1.7878448182411575</v>
      </c>
      <c r="BL73" s="19">
        <f t="shared" si="203"/>
        <v>294.62036541272511</v>
      </c>
      <c r="BM73" s="19">
        <f t="shared" si="204"/>
        <v>3586.6406256850373</v>
      </c>
      <c r="BN73" s="53">
        <f t="shared" si="205"/>
        <v>5.0151656746093769</v>
      </c>
      <c r="BO73" s="53">
        <f t="shared" si="181"/>
        <v>55.023138100837492</v>
      </c>
      <c r="BP73" s="53">
        <f t="shared" si="182"/>
        <v>14.658536384630473</v>
      </c>
      <c r="BQ73" s="19">
        <f t="shared" si="183"/>
        <v>5283.5651455440666</v>
      </c>
      <c r="BR73" s="19">
        <f t="shared" si="206"/>
        <v>0</v>
      </c>
      <c r="BS73" s="53">
        <f t="shared" si="207"/>
        <v>5283.5651455440666</v>
      </c>
      <c r="BT73" s="56">
        <f t="shared" si="208"/>
        <v>1.6899032974493386</v>
      </c>
      <c r="BU73" s="43">
        <f t="shared" si="209"/>
        <v>58.612394092516972</v>
      </c>
      <c r="BV73" s="43">
        <f t="shared" si="210"/>
        <v>0.23610571415824946</v>
      </c>
      <c r="BW73" s="43">
        <f t="shared" si="211"/>
        <v>2.6859450912112441</v>
      </c>
      <c r="BX73" s="43">
        <f t="shared" si="212"/>
        <v>32.452702536826131</v>
      </c>
      <c r="BY73" s="58">
        <f t="shared" si="213"/>
        <v>13.115387489830798</v>
      </c>
      <c r="BZ73" s="58">
        <f t="shared" si="214"/>
        <v>157.68816452542964</v>
      </c>
      <c r="CA73" s="58">
        <f t="shared" si="215"/>
        <v>1.6309718094927554</v>
      </c>
      <c r="CB73" s="58">
        <f t="shared" si="184"/>
        <v>9.9423052091754514</v>
      </c>
      <c r="CC73" s="58">
        <f t="shared" si="185"/>
        <v>2.5477454088658709</v>
      </c>
      <c r="CD73" s="58">
        <f t="shared" si="186"/>
        <v>280.60162517495644</v>
      </c>
      <c r="CE73" s="58">
        <f t="shared" si="216"/>
        <v>0</v>
      </c>
      <c r="CF73" s="58">
        <f t="shared" si="217"/>
        <v>280.60162517495644</v>
      </c>
      <c r="CG73" s="127">
        <v>83</v>
      </c>
      <c r="CH73" s="128" t="s">
        <v>169</v>
      </c>
      <c r="CI73" s="128"/>
      <c r="CJ73" s="126">
        <f t="shared" si="187"/>
        <v>70</v>
      </c>
      <c r="CK73" s="126">
        <f>IF(CG73&gt;0,CG73-3,0)</f>
        <v>80</v>
      </c>
      <c r="CM73" s="136"/>
      <c r="CN73" s="147">
        <f t="shared" si="218"/>
        <v>2.8422973044515291E-2</v>
      </c>
      <c r="CO73" s="147">
        <f t="shared" si="219"/>
        <v>0.98581883346852273</v>
      </c>
      <c r="CP73" s="147">
        <f t="shared" si="220"/>
        <v>3.9711303950379683E-3</v>
      </c>
      <c r="CQ73" s="31">
        <f>(AI73-(P73*450/1000000))*Parameters!$C$153</f>
        <v>3.2330316840494693E-2</v>
      </c>
      <c r="CR73" s="31">
        <f t="shared" si="221"/>
        <v>0.22059150109623907</v>
      </c>
      <c r="CS73" s="31">
        <f t="shared" si="222"/>
        <v>2.6522029139242762</v>
      </c>
      <c r="CT73" s="31">
        <f>AM73*Parameters!$C$154</f>
        <v>2.4688608551028637E-2</v>
      </c>
      <c r="CU73" s="31">
        <f>AQ73*Parameters!$C$155</f>
        <v>0</v>
      </c>
      <c r="CV73" s="31">
        <f t="shared" si="223"/>
        <v>3.9480262773201149</v>
      </c>
      <c r="CW73" s="188">
        <f t="shared" si="224"/>
        <v>83.653131426552946</v>
      </c>
      <c r="CY73" s="181">
        <v>0</v>
      </c>
      <c r="CZ73" s="181">
        <v>1.4122474300022292</v>
      </c>
      <c r="DA73" s="181">
        <v>10.982207535247195</v>
      </c>
      <c r="DB73" s="181">
        <v>5.5882485258161738</v>
      </c>
      <c r="DC73" s="181">
        <v>14.504197293157514</v>
      </c>
      <c r="DD73" s="181">
        <v>36.083490862530702</v>
      </c>
      <c r="DE73" s="181">
        <v>7.134092305902727</v>
      </c>
      <c r="DF73" s="181">
        <v>3.4684371237010456</v>
      </c>
      <c r="DG73" s="181">
        <v>9.8613828066251568</v>
      </c>
      <c r="DH73" s="181">
        <v>10.602529429603774</v>
      </c>
      <c r="DI73" s="181">
        <v>67.15814421675158</v>
      </c>
      <c r="DJ73" s="181">
        <v>1.4122474300022292</v>
      </c>
      <c r="DK73" s="181">
        <v>89.034303882982726</v>
      </c>
      <c r="DL73" s="181"/>
      <c r="DM73" s="181">
        <v>0</v>
      </c>
      <c r="DN73" s="181">
        <v>0.27349466241465037</v>
      </c>
      <c r="DO73" s="181">
        <v>0.22632387258195588</v>
      </c>
      <c r="DP73" s="181">
        <v>1.6377985637805672</v>
      </c>
      <c r="DQ73" s="181">
        <v>4.4035003111317306E-2</v>
      </c>
      <c r="DR73" s="181">
        <v>1.1670913395906968E-2</v>
      </c>
      <c r="DS73" s="181">
        <v>0.51788051483017117</v>
      </c>
      <c r="DT73" s="181">
        <v>1.9081574394738405</v>
      </c>
      <c r="DU73" s="181">
        <v>0.27349466241465037</v>
      </c>
      <c r="DV73" s="181">
        <v>2.7112035301145694</v>
      </c>
      <c r="DW73" s="181">
        <v>2.7112035301145694</v>
      </c>
      <c r="DX73" s="181"/>
      <c r="DY73" s="181">
        <v>0</v>
      </c>
      <c r="DZ73" s="181">
        <v>0.19144626369025525</v>
      </c>
      <c r="EA73" s="181">
        <v>0.22632387258195588</v>
      </c>
      <c r="EB73" s="181">
        <v>1.6377985637805672</v>
      </c>
      <c r="EC73" s="181">
        <v>3.890873575757145E-2</v>
      </c>
      <c r="ED73" s="181">
        <v>1.1670913395906968E-2</v>
      </c>
      <c r="EE73" s="181">
        <v>0.21812131731160236</v>
      </c>
      <c r="EF73" s="181">
        <v>1.9030311721200945</v>
      </c>
      <c r="EG73" s="181">
        <v>0.19144626369025525</v>
      </c>
      <c r="EH73" s="181">
        <v>2.3242696665178593</v>
      </c>
      <c r="EJ73" s="31">
        <f t="shared" si="225"/>
        <v>1.6899032974493386E-3</v>
      </c>
      <c r="EK73" s="31">
        <f t="shared" si="226"/>
        <v>5.8612394092516971E-2</v>
      </c>
      <c r="EL73" s="31">
        <f t="shared" si="227"/>
        <v>2.3610571415824948E-4</v>
      </c>
      <c r="EM73" s="31">
        <f t="shared" si="228"/>
        <v>1.9222165447212662E-3</v>
      </c>
      <c r="EN73" s="31">
        <f t="shared" si="229"/>
        <v>1.3115387489830797E-2</v>
      </c>
      <c r="EO73" s="31">
        <f t="shared" si="230"/>
        <v>0.15768816452542964</v>
      </c>
      <c r="EP73" s="31">
        <f t="shared" si="231"/>
        <v>1.4678746285434802E-3</v>
      </c>
      <c r="EQ73" s="31">
        <f t="shared" si="232"/>
        <v>0</v>
      </c>
      <c r="ER73" s="31">
        <f t="shared" si="233"/>
        <v>0.23473204629264974</v>
      </c>
      <c r="ES73" s="31">
        <f t="shared" si="234"/>
        <v>4.9736423567756818</v>
      </c>
      <c r="ET73" s="31"/>
      <c r="EU73" s="31">
        <f t="shared" si="235"/>
        <v>0</v>
      </c>
      <c r="EV73" s="31">
        <f t="shared" si="236"/>
        <v>8.3965937871360363E-2</v>
      </c>
      <c r="EW73" s="31">
        <f t="shared" si="237"/>
        <v>0.6529531128928987</v>
      </c>
      <c r="EX73" s="31">
        <f t="shared" si="238"/>
        <v>0.33225235079922316</v>
      </c>
      <c r="EY73" s="31">
        <f t="shared" si="239"/>
        <v>0.86235492656502444</v>
      </c>
      <c r="EZ73" s="31">
        <f t="shared" si="240"/>
        <v>2.1453635443615355</v>
      </c>
      <c r="FA73" s="31">
        <f t="shared" si="241"/>
        <v>0.42416133221430807</v>
      </c>
      <c r="FB73" s="31">
        <f t="shared" si="242"/>
        <v>0.20621781272347023</v>
      </c>
      <c r="FC73" s="31">
        <f t="shared" si="243"/>
        <v>0.58631386998911528</v>
      </c>
      <c r="FD73" s="31">
        <f t="shared" si="244"/>
        <v>0.63037914493777836</v>
      </c>
      <c r="FE73" s="31">
        <f t="shared" si="245"/>
        <v>3.9929239346186818</v>
      </c>
      <c r="FF73" s="31">
        <f t="shared" si="246"/>
        <v>8.3965937871360363E-2</v>
      </c>
      <c r="FG73" s="31">
        <f t="shared" si="247"/>
        <v>5.2935828874169344</v>
      </c>
      <c r="FH73" s="31"/>
      <c r="FI73" s="31">
        <f t="shared" si="248"/>
        <v>0</v>
      </c>
      <c r="FJ73" s="31">
        <f t="shared" si="249"/>
        <v>1.6260773675064122E-2</v>
      </c>
      <c r="FK73" s="31">
        <f t="shared" si="250"/>
        <v>1.3456208749476846E-2</v>
      </c>
      <c r="FL73" s="31">
        <f t="shared" si="251"/>
        <v>9.7376203015632504E-2</v>
      </c>
      <c r="FM73" s="31">
        <f t="shared" si="252"/>
        <v>2.6181250231796793E-3</v>
      </c>
      <c r="FN73" s="31">
        <f t="shared" si="253"/>
        <v>6.9390049383995331E-4</v>
      </c>
      <c r="FO73" s="31">
        <f t="shared" si="254"/>
        <v>3.0790867244098741E-2</v>
      </c>
      <c r="FP73" s="31">
        <f t="shared" si="255"/>
        <v>0.11345053678828904</v>
      </c>
      <c r="FQ73" s="31">
        <f t="shared" si="256"/>
        <v>1.6260773675064122E-2</v>
      </c>
      <c r="FR73" s="31">
        <f t="shared" si="257"/>
        <v>0.16119607820129186</v>
      </c>
      <c r="FS73" s="31">
        <f t="shared" si="258"/>
        <v>0.16119607820129186</v>
      </c>
      <c r="FT73" s="31"/>
      <c r="FU73" s="31">
        <f t="shared" si="259"/>
        <v>0</v>
      </c>
      <c r="FV73" s="31">
        <f t="shared" si="260"/>
        <v>1.1382541572544883E-2</v>
      </c>
      <c r="FW73" s="31">
        <f t="shared" si="261"/>
        <v>1.3456208749476846E-2</v>
      </c>
      <c r="FX73" s="31">
        <f t="shared" si="262"/>
        <v>9.7376203015632504E-2</v>
      </c>
      <c r="FY73" s="31">
        <f t="shared" si="263"/>
        <v>2.3133400138446451E-3</v>
      </c>
      <c r="FZ73" s="31">
        <f t="shared" si="264"/>
        <v>6.9390049383995331E-4</v>
      </c>
      <c r="GA73" s="31">
        <f t="shared" si="265"/>
        <v>1.2968521371482598E-2</v>
      </c>
      <c r="GB73" s="31">
        <f t="shared" si="266"/>
        <v>0.11314575177895399</v>
      </c>
      <c r="GC73" s="31">
        <f t="shared" si="267"/>
        <v>1.1382541572544883E-2</v>
      </c>
      <c r="GD73" s="31">
        <f t="shared" si="268"/>
        <v>0.13819071521682144</v>
      </c>
    </row>
    <row r="74" spans="1:186">
      <c r="A74" s="39" t="str">
        <f>Basicinfo!A74</f>
        <v>Triebenbach</v>
      </c>
      <c r="B74" s="63">
        <f>Basicinfo!B74</f>
        <v>1450</v>
      </c>
      <c r="C74" s="63">
        <f>Basicinfo!C74</f>
        <v>1460</v>
      </c>
      <c r="D74" s="227">
        <v>111.643536563</v>
      </c>
      <c r="E74" s="89">
        <v>3.1563719445488303</v>
      </c>
      <c r="F74" s="27">
        <v>1.4865625142644945E-2</v>
      </c>
      <c r="G74" s="19">
        <v>0.71327706888468756</v>
      </c>
      <c r="H74" s="19">
        <v>7.9259430493966859E-2</v>
      </c>
      <c r="I74" s="19">
        <v>2.9116538105641518E-4</v>
      </c>
      <c r="J74" s="19">
        <v>2.3437475971561206</v>
      </c>
      <c r="K74" s="19">
        <v>1.0723984404331268E-3</v>
      </c>
      <c r="L74" s="19">
        <v>1.3226858209744478E-3</v>
      </c>
      <c r="M74" s="19">
        <v>2.5359732289463839E-3</v>
      </c>
      <c r="N74" s="19">
        <v>3.1563719445488303</v>
      </c>
      <c r="O74" s="19">
        <v>0</v>
      </c>
      <c r="P74" s="56">
        <v>6.4438239338179528</v>
      </c>
      <c r="Q74" s="43">
        <v>966.94460007574287</v>
      </c>
      <c r="R74" s="88">
        <v>973.38842400956082</v>
      </c>
      <c r="S74" s="61">
        <v>0.48713412427255981</v>
      </c>
      <c r="T74" s="19">
        <v>14.015469756689336</v>
      </c>
      <c r="U74" s="19">
        <v>1.5533006426645555</v>
      </c>
      <c r="V74" s="19">
        <v>3.2000593199022043E-2</v>
      </c>
      <c r="W74" s="19">
        <v>2.4173615001893575E-2</v>
      </c>
      <c r="X74" s="19">
        <v>6.8334057882434671E-2</v>
      </c>
      <c r="Y74" s="19">
        <v>43.69665883029419</v>
      </c>
      <c r="Z74" s="19">
        <v>5.3842709307960673E-2</v>
      </c>
      <c r="AA74" s="19">
        <v>0.45008992819433874</v>
      </c>
      <c r="AB74" s="19">
        <v>0.44278193863382204</v>
      </c>
      <c r="AC74" s="19">
        <v>60.823786196140105</v>
      </c>
      <c r="AD74" s="19">
        <v>0</v>
      </c>
      <c r="AE74" s="87">
        <v>60.823786196140105</v>
      </c>
      <c r="AF74" s="56">
        <v>1.9615250207826732E-2</v>
      </c>
      <c r="AG74" s="43">
        <v>0.5155670497475211</v>
      </c>
      <c r="AH74" s="43">
        <v>5.2582276018608223E-2</v>
      </c>
      <c r="AI74" s="43">
        <v>2.4121882933128416E-2</v>
      </c>
      <c r="AJ74" s="43">
        <v>0.50776860656629585</v>
      </c>
      <c r="AK74" s="43">
        <v>1.200639357775267E-3</v>
      </c>
      <c r="AL74" s="58">
        <v>0.8105917242336057</v>
      </c>
      <c r="AM74" s="43">
        <v>1.7074637170392173E-2</v>
      </c>
      <c r="AN74" s="42">
        <v>8.2433021542947349E-2</v>
      </c>
      <c r="AO74" s="42">
        <v>6.8834259141743528E-2</v>
      </c>
      <c r="AP74" s="42">
        <v>2.0997893469198443</v>
      </c>
      <c r="AQ74" s="43">
        <v>0</v>
      </c>
      <c r="AR74" s="83">
        <v>2.0997893469198443</v>
      </c>
      <c r="AS74" s="19">
        <f t="shared" si="188"/>
        <v>4.1990998219042242</v>
      </c>
      <c r="AT74" s="19">
        <f t="shared" si="189"/>
        <v>201.47969454240899</v>
      </c>
      <c r="AU74" s="19">
        <f t="shared" si="190"/>
        <v>22.388446989470516</v>
      </c>
      <c r="AV74" s="19">
        <f t="shared" si="191"/>
        <v>8.2245616178717493E-2</v>
      </c>
      <c r="AW74" s="19">
        <f t="shared" si="192"/>
        <v>662.03943819181086</v>
      </c>
      <c r="AX74" s="53">
        <f t="shared" si="177"/>
        <v>0.30292086992797002</v>
      </c>
      <c r="AY74" s="53">
        <f t="shared" si="178"/>
        <v>0.37361965891068089</v>
      </c>
      <c r="AZ74" s="53">
        <f t="shared" si="179"/>
        <v>0.71633749888354625</v>
      </c>
      <c r="BA74" s="19">
        <f t="shared" si="180"/>
        <v>891.58180318949553</v>
      </c>
      <c r="BB74" s="19">
        <f t="shared" si="193"/>
        <v>0</v>
      </c>
      <c r="BC74" s="53">
        <f t="shared" si="194"/>
        <v>891.58180318949553</v>
      </c>
      <c r="BD74" s="56">
        <f t="shared" si="195"/>
        <v>0.57717841374379331</v>
      </c>
      <c r="BE74" s="43">
        <f t="shared" si="196"/>
        <v>86.609993721409907</v>
      </c>
      <c r="BF74" s="58">
        <f t="shared" si="197"/>
        <v>87.187172135153702</v>
      </c>
      <c r="BG74" s="61">
        <f t="shared" si="198"/>
        <v>43.632989357845354</v>
      </c>
      <c r="BH74" s="19">
        <f t="shared" si="199"/>
        <v>1255.3767274096035</v>
      </c>
      <c r="BI74" s="19">
        <f t="shared" si="200"/>
        <v>139.13036889404111</v>
      </c>
      <c r="BJ74" s="19">
        <f t="shared" si="201"/>
        <v>2.8663184797056509</v>
      </c>
      <c r="BK74" s="19">
        <f t="shared" si="202"/>
        <v>2.165249843035248</v>
      </c>
      <c r="BL74" s="19">
        <f t="shared" si="203"/>
        <v>6.1207356902272654</v>
      </c>
      <c r="BM74" s="19">
        <f t="shared" si="204"/>
        <v>3913.9443424596589</v>
      </c>
      <c r="BN74" s="53">
        <f t="shared" si="205"/>
        <v>4.8227341201769836</v>
      </c>
      <c r="BO74" s="53">
        <f t="shared" si="181"/>
        <v>40.314911373338191</v>
      </c>
      <c r="BP74" s="53">
        <f t="shared" si="182"/>
        <v>39.660328959927021</v>
      </c>
      <c r="BQ74" s="19">
        <f t="shared" si="183"/>
        <v>5448.0347065875594</v>
      </c>
      <c r="BR74" s="19">
        <f t="shared" si="206"/>
        <v>0</v>
      </c>
      <c r="BS74" s="53">
        <f t="shared" si="207"/>
        <v>5448.0347065875594</v>
      </c>
      <c r="BT74" s="56">
        <f t="shared" si="208"/>
        <v>1.756953497863974</v>
      </c>
      <c r="BU74" s="43">
        <f t="shared" si="209"/>
        <v>46.179749013646543</v>
      </c>
      <c r="BV74" s="43">
        <f t="shared" si="210"/>
        <v>4.7098361120920114</v>
      </c>
      <c r="BW74" s="43">
        <f t="shared" si="211"/>
        <v>2.1606161606602754</v>
      </c>
      <c r="BX74" s="43">
        <f t="shared" si="212"/>
        <v>45.481236280952466</v>
      </c>
      <c r="BY74" s="58">
        <f t="shared" si="213"/>
        <v>0.10754221827232703</v>
      </c>
      <c r="BZ74" s="58">
        <f t="shared" si="214"/>
        <v>72.605342789028555</v>
      </c>
      <c r="CA74" s="58">
        <f t="shared" si="215"/>
        <v>1.5293887757449376</v>
      </c>
      <c r="CB74" s="58">
        <f t="shared" si="184"/>
        <v>7.3835910327357581</v>
      </c>
      <c r="CC74" s="58">
        <f t="shared" si="185"/>
        <v>6.1655391132204631</v>
      </c>
      <c r="CD74" s="58">
        <f t="shared" si="186"/>
        <v>188.07979499421731</v>
      </c>
      <c r="CE74" s="58">
        <f t="shared" si="216"/>
        <v>0</v>
      </c>
      <c r="CF74" s="58">
        <f t="shared" si="217"/>
        <v>188.07979499421731</v>
      </c>
      <c r="CG74" s="127">
        <v>75</v>
      </c>
      <c r="CH74" s="128" t="s">
        <v>169</v>
      </c>
      <c r="CI74" s="128"/>
      <c r="CJ74" s="126">
        <f t="shared" si="187"/>
        <v>71</v>
      </c>
      <c r="CK74" s="126">
        <f>IF(CG74&gt;0,CG74-3,0)</f>
        <v>72</v>
      </c>
      <c r="CM74" s="136"/>
      <c r="CN74" s="147">
        <f t="shared" si="218"/>
        <v>1.9615250207826732E-2</v>
      </c>
      <c r="CO74" s="147">
        <f t="shared" si="219"/>
        <v>0.5155670497475211</v>
      </c>
      <c r="CP74" s="147">
        <f t="shared" si="220"/>
        <v>5.2582276018608223E-2</v>
      </c>
      <c r="CQ74" s="31">
        <f>(AI74-(P74*450/1000000))*Parameters!$C$153</f>
        <v>1.6977729730328271E-2</v>
      </c>
      <c r="CR74" s="31">
        <f t="shared" si="221"/>
        <v>1.200639357775267E-3</v>
      </c>
      <c r="CS74" s="31">
        <f t="shared" si="222"/>
        <v>0.8105917242336057</v>
      </c>
      <c r="CT74" s="31">
        <f>AM74*Parameters!$C$154</f>
        <v>1.5367173453352955E-2</v>
      </c>
      <c r="CU74" s="31">
        <f>AQ74*Parameters!$C$155</f>
        <v>0</v>
      </c>
      <c r="CV74" s="31">
        <f t="shared" si="223"/>
        <v>1.4319018427490182</v>
      </c>
      <c r="CW74" s="188">
        <f t="shared" si="224"/>
        <v>68.192642507185681</v>
      </c>
      <c r="CY74" s="181">
        <v>12.402042666666667</v>
      </c>
      <c r="CZ74" s="181">
        <v>7.8595345404795829</v>
      </c>
      <c r="DA74" s="181">
        <v>154.24127321984045</v>
      </c>
      <c r="DB74" s="181">
        <v>7.2001381894120806</v>
      </c>
      <c r="DC74" s="181">
        <v>1.894677761860424</v>
      </c>
      <c r="DD74" s="181">
        <v>68.674279584217544</v>
      </c>
      <c r="DE74" s="181">
        <v>115.6427332238857</v>
      </c>
      <c r="DF74" s="181">
        <v>5.1058724964913775</v>
      </c>
      <c r="DG74" s="181">
        <v>49.347010333610463</v>
      </c>
      <c r="DH74" s="181">
        <v>120.74860572037707</v>
      </c>
      <c r="DI74" s="181">
        <v>232.01036875533052</v>
      </c>
      <c r="DJ74" s="181">
        <v>20.261577207146249</v>
      </c>
      <c r="DK74" s="181">
        <v>422.36756201646432</v>
      </c>
      <c r="DL74" s="181"/>
      <c r="DM74" s="181">
        <v>1.0529599999999999</v>
      </c>
      <c r="DN74" s="181">
        <v>1.3965593522596795</v>
      </c>
      <c r="DO74" s="181">
        <v>5.8307459185238567E-2</v>
      </c>
      <c r="DP74" s="181">
        <v>5.4355045243234095</v>
      </c>
      <c r="DQ74" s="181">
        <v>1.4791538106170066E-2</v>
      </c>
      <c r="DR74" s="181">
        <v>0.27321521285421563</v>
      </c>
      <c r="DS74" s="181">
        <v>2.0950646180433545</v>
      </c>
      <c r="DT74" s="181">
        <v>5.5086035216148179</v>
      </c>
      <c r="DU74" s="181">
        <v>2.4495193522596796</v>
      </c>
      <c r="DV74" s="181">
        <v>10.326402704772066</v>
      </c>
      <c r="DW74" s="181">
        <v>10.326402704772068</v>
      </c>
      <c r="DX74" s="181"/>
      <c r="DY74" s="181">
        <v>0.84236800000000001</v>
      </c>
      <c r="DZ74" s="181">
        <v>0.97759154658177561</v>
      </c>
      <c r="EA74" s="181">
        <v>5.8307459185238567E-2</v>
      </c>
      <c r="EB74" s="181">
        <v>5.4355045243234095</v>
      </c>
      <c r="EC74" s="181">
        <v>1.3980972331431918E-2</v>
      </c>
      <c r="ED74" s="181">
        <v>0.27321521285421563</v>
      </c>
      <c r="EE74" s="181">
        <v>0.83186196316375716</v>
      </c>
      <c r="EF74" s="181">
        <v>5.5077929558400793</v>
      </c>
      <c r="EG74" s="181">
        <v>1.8199595465817757</v>
      </c>
      <c r="EH74" s="181">
        <v>8.4328296784398287</v>
      </c>
      <c r="EJ74" s="31">
        <f t="shared" si="225"/>
        <v>1.7569534978639739E-3</v>
      </c>
      <c r="EK74" s="31">
        <f t="shared" si="226"/>
        <v>4.6179749013646541E-2</v>
      </c>
      <c r="EL74" s="31">
        <f t="shared" si="227"/>
        <v>4.7098361120920121E-3</v>
      </c>
      <c r="EM74" s="31">
        <f t="shared" si="228"/>
        <v>1.5207086995804549E-3</v>
      </c>
      <c r="EN74" s="31">
        <f t="shared" si="229"/>
        <v>1.0754221827232703E-4</v>
      </c>
      <c r="EO74" s="31">
        <f t="shared" si="230"/>
        <v>7.260534278902854E-2</v>
      </c>
      <c r="EP74" s="31">
        <f t="shared" si="231"/>
        <v>1.3764498981704437E-3</v>
      </c>
      <c r="EQ74" s="31">
        <f t="shared" si="232"/>
        <v>0</v>
      </c>
      <c r="ER74" s="31">
        <f t="shared" si="233"/>
        <v>0.1282565822286543</v>
      </c>
      <c r="ES74" s="31">
        <f t="shared" si="234"/>
        <v>6.1080690030546325</v>
      </c>
      <c r="ET74" s="31"/>
      <c r="EU74" s="31">
        <f t="shared" si="235"/>
        <v>1.1108607850010415</v>
      </c>
      <c r="EV74" s="31">
        <f t="shared" si="236"/>
        <v>0.70398473413142726</v>
      </c>
      <c r="EW74" s="31">
        <f t="shared" si="237"/>
        <v>13.815513012954648</v>
      </c>
      <c r="EX74" s="31">
        <f t="shared" si="238"/>
        <v>0.64492208067495893</v>
      </c>
      <c r="EY74" s="31">
        <f t="shared" si="239"/>
        <v>0.16970778785669022</v>
      </c>
      <c r="EZ74" s="31">
        <f t="shared" si="240"/>
        <v>6.151209617537055</v>
      </c>
      <c r="FA74" s="31">
        <f t="shared" si="241"/>
        <v>10.358211212579151</v>
      </c>
      <c r="FB74" s="31">
        <f t="shared" si="242"/>
        <v>0.45733704374459289</v>
      </c>
      <c r="FC74" s="31">
        <f t="shared" si="243"/>
        <v>4.4200508021137566</v>
      </c>
      <c r="FD74" s="31">
        <f t="shared" si="244"/>
        <v>10.815548256323744</v>
      </c>
      <c r="FE74" s="31">
        <f t="shared" si="245"/>
        <v>20.781352499023356</v>
      </c>
      <c r="FF74" s="31">
        <f t="shared" si="246"/>
        <v>1.8148455191324688</v>
      </c>
      <c r="FG74" s="31">
        <f t="shared" si="247"/>
        <v>37.831797076593325</v>
      </c>
      <c r="FH74" s="31"/>
      <c r="FI74" s="31">
        <f t="shared" si="248"/>
        <v>9.4314461223271875E-2</v>
      </c>
      <c r="FJ74" s="31">
        <f t="shared" si="249"/>
        <v>0.12509092736162175</v>
      </c>
      <c r="FK74" s="31">
        <f t="shared" si="250"/>
        <v>5.2226453031014386E-3</v>
      </c>
      <c r="FL74" s="31">
        <f t="shared" si="251"/>
        <v>0.48686244557079006</v>
      </c>
      <c r="FM74" s="31">
        <f t="shared" si="252"/>
        <v>1.3248897841769156E-3</v>
      </c>
      <c r="FN74" s="31">
        <f t="shared" si="253"/>
        <v>2.4472103022286595E-2</v>
      </c>
      <c r="FO74" s="31">
        <f t="shared" si="254"/>
        <v>0.18765659728641057</v>
      </c>
      <c r="FP74" s="31">
        <f t="shared" si="255"/>
        <v>0.49340998065806835</v>
      </c>
      <c r="FQ74" s="31">
        <f t="shared" si="256"/>
        <v>0.21940538858489364</v>
      </c>
      <c r="FR74" s="31">
        <f t="shared" si="257"/>
        <v>0.92494406955165898</v>
      </c>
      <c r="FS74" s="31">
        <f t="shared" si="258"/>
        <v>0.92494406955165909</v>
      </c>
      <c r="FT74" s="31"/>
      <c r="FU74" s="31">
        <f t="shared" si="259"/>
        <v>7.5451568978617503E-2</v>
      </c>
      <c r="FV74" s="31">
        <f t="shared" si="260"/>
        <v>8.756364915313522E-2</v>
      </c>
      <c r="FW74" s="31">
        <f t="shared" si="261"/>
        <v>5.2226453031014386E-3</v>
      </c>
      <c r="FX74" s="31">
        <f t="shared" si="262"/>
        <v>0.48686244557079006</v>
      </c>
      <c r="FY74" s="31">
        <f t="shared" si="263"/>
        <v>1.2522867657047492E-3</v>
      </c>
      <c r="FZ74" s="31">
        <f t="shared" si="264"/>
        <v>2.4472103022286595E-2</v>
      </c>
      <c r="GA74" s="31">
        <f t="shared" si="265"/>
        <v>7.4510534937626313E-2</v>
      </c>
      <c r="GB74" s="31">
        <f t="shared" si="266"/>
        <v>0.49333737763959618</v>
      </c>
      <c r="GC74" s="31">
        <f t="shared" si="267"/>
        <v>0.16301521813175274</v>
      </c>
      <c r="GD74" s="31">
        <f t="shared" si="268"/>
        <v>0.75533523373126188</v>
      </c>
    </row>
    <row r="75" spans="1:186">
      <c r="A75" s="39" t="str">
        <f>Basicinfo!A75</f>
        <v>Patten</v>
      </c>
      <c r="B75" s="63">
        <f>Basicinfo!B75</f>
        <v>1460</v>
      </c>
      <c r="C75" s="63">
        <f>Basicinfo!C75</f>
        <v>4070</v>
      </c>
      <c r="D75" s="227">
        <v>371.631754161</v>
      </c>
      <c r="E75" s="89">
        <v>11.581260373571249</v>
      </c>
      <c r="F75" s="27">
        <v>4.7149741189601635E-2</v>
      </c>
      <c r="G75" s="19">
        <v>2.6538875173086121</v>
      </c>
      <c r="H75" s="19">
        <v>9.6423211582499696E-2</v>
      </c>
      <c r="I75" s="19">
        <v>7.5282777104014029E-2</v>
      </c>
      <c r="J75" s="19">
        <v>8.6101224334109379</v>
      </c>
      <c r="K75" s="19">
        <v>7.8408160332077096E-3</v>
      </c>
      <c r="L75" s="19">
        <v>9.9273163766853342E-3</v>
      </c>
      <c r="M75" s="19">
        <v>1.2128124915430055E-2</v>
      </c>
      <c r="N75" s="19">
        <v>11.512761937920986</v>
      </c>
      <c r="O75" s="19">
        <v>6.8498435650262118E-2</v>
      </c>
      <c r="P75" s="56">
        <v>26.240726764500437</v>
      </c>
      <c r="Q75" s="43">
        <v>3070.1683352991386</v>
      </c>
      <c r="R75" s="88">
        <v>3096.4090620636389</v>
      </c>
      <c r="S75" s="61">
        <v>1.4935257566424134</v>
      </c>
      <c r="T75" s="19">
        <v>47.40164036387776</v>
      </c>
      <c r="U75" s="19">
        <v>1.8477529843230531</v>
      </c>
      <c r="V75" s="19">
        <v>0.13338801390990704</v>
      </c>
      <c r="W75" s="19">
        <v>7.675420838247847E-2</v>
      </c>
      <c r="X75" s="19">
        <v>25.693408176665571</v>
      </c>
      <c r="Y75" s="19">
        <v>158.37980925939394</v>
      </c>
      <c r="Z75" s="19">
        <v>0.40022504338944931</v>
      </c>
      <c r="AA75" s="19">
        <v>3.3522417996571998</v>
      </c>
      <c r="AB75" s="19">
        <v>1.3481465359061322</v>
      </c>
      <c r="AC75" s="19">
        <v>240.12689214214785</v>
      </c>
      <c r="AD75" s="19">
        <v>27.638053333333332</v>
      </c>
      <c r="AE75" s="87">
        <v>267.76494547548123</v>
      </c>
      <c r="AF75" s="56">
        <v>6.5605877086935993E-2</v>
      </c>
      <c r="AG75" s="43">
        <v>2.2189563583955318</v>
      </c>
      <c r="AH75" s="43">
        <v>6.54523986293164E-2</v>
      </c>
      <c r="AI75" s="43">
        <v>9.6102640263739436E-2</v>
      </c>
      <c r="AJ75" s="43">
        <v>1.4712471412782329</v>
      </c>
      <c r="AK75" s="43">
        <v>0.48087634641305083</v>
      </c>
      <c r="AL75" s="58">
        <v>2.4159187630381536</v>
      </c>
      <c r="AM75" s="43">
        <v>0.12818416705412358</v>
      </c>
      <c r="AN75" s="42">
        <v>0.61717995646241763</v>
      </c>
      <c r="AO75" s="42">
        <v>0.22271903793826642</v>
      </c>
      <c r="AP75" s="42">
        <v>7.7822426865597683</v>
      </c>
      <c r="AQ75" s="43">
        <v>4.3166666666666673</v>
      </c>
      <c r="AR75" s="83">
        <v>12.098909353226436</v>
      </c>
      <c r="AS75" s="19">
        <f t="shared" si="188"/>
        <v>4.0010419494753648</v>
      </c>
      <c r="AT75" s="19">
        <f t="shared" si="189"/>
        <v>225.20410543170786</v>
      </c>
      <c r="AU75" s="19">
        <f t="shared" si="190"/>
        <v>8.1822997265953745</v>
      </c>
      <c r="AV75" s="19">
        <f t="shared" si="191"/>
        <v>6.3883606074298482</v>
      </c>
      <c r="AW75" s="19">
        <f t="shared" si="192"/>
        <v>730.63945160728747</v>
      </c>
      <c r="AX75" s="53">
        <f t="shared" si="177"/>
        <v>0.66535749880005068</v>
      </c>
      <c r="AY75" s="53">
        <f t="shared" si="178"/>
        <v>0.84241415258481933</v>
      </c>
      <c r="AZ75" s="53">
        <f t="shared" si="179"/>
        <v>1.029170793535866</v>
      </c>
      <c r="BA75" s="19">
        <f t="shared" si="180"/>
        <v>976.95220176741668</v>
      </c>
      <c r="BB75" s="19">
        <f t="shared" si="193"/>
        <v>5.8126536348958728</v>
      </c>
      <c r="BC75" s="53">
        <f t="shared" si="194"/>
        <v>982.76485540231261</v>
      </c>
      <c r="BD75" s="56">
        <f t="shared" si="195"/>
        <v>0.7060948498263232</v>
      </c>
      <c r="BE75" s="43">
        <f t="shared" si="196"/>
        <v>82.613186330925487</v>
      </c>
      <c r="BF75" s="58">
        <f t="shared" si="197"/>
        <v>83.319281180751815</v>
      </c>
      <c r="BG75" s="61">
        <f t="shared" si="198"/>
        <v>40.188324596056489</v>
      </c>
      <c r="BH75" s="19">
        <f t="shared" si="199"/>
        <v>1275.500272329856</v>
      </c>
      <c r="BI75" s="19">
        <f t="shared" si="200"/>
        <v>49.719997380055986</v>
      </c>
      <c r="BJ75" s="19">
        <f t="shared" si="201"/>
        <v>3.5892523288556251</v>
      </c>
      <c r="BK75" s="19">
        <f t="shared" si="202"/>
        <v>2.0653296582731375</v>
      </c>
      <c r="BL75" s="19">
        <f t="shared" si="203"/>
        <v>691.36740574473504</v>
      </c>
      <c r="BM75" s="19">
        <f t="shared" si="204"/>
        <v>4261.740486007553</v>
      </c>
      <c r="BN75" s="53">
        <f t="shared" si="205"/>
        <v>10.769398441018632</v>
      </c>
      <c r="BO75" s="53">
        <f t="shared" si="181"/>
        <v>90.203319875753309</v>
      </c>
      <c r="BP75" s="53">
        <f t="shared" si="182"/>
        <v>36.276408590264921</v>
      </c>
      <c r="BQ75" s="19">
        <f t="shared" si="183"/>
        <v>6461.4201949524222</v>
      </c>
      <c r="BR75" s="19">
        <f t="shared" si="206"/>
        <v>743.69461231130026</v>
      </c>
      <c r="BS75" s="53">
        <f t="shared" si="207"/>
        <v>7205.1148072637225</v>
      </c>
      <c r="BT75" s="56">
        <f t="shared" si="208"/>
        <v>1.7653463772235654</v>
      </c>
      <c r="BU75" s="43">
        <f t="shared" si="209"/>
        <v>59.708470375602666</v>
      </c>
      <c r="BV75" s="43">
        <f t="shared" si="210"/>
        <v>1.7612165240584048</v>
      </c>
      <c r="BW75" s="43">
        <f t="shared" si="211"/>
        <v>2.5859641752277556</v>
      </c>
      <c r="BX75" s="43">
        <f t="shared" si="212"/>
        <v>39.588843655185947</v>
      </c>
      <c r="BY75" s="58">
        <f t="shared" si="213"/>
        <v>12.939592514064969</v>
      </c>
      <c r="BZ75" s="58">
        <f t="shared" si="214"/>
        <v>65.008405121148982</v>
      </c>
      <c r="CA75" s="58">
        <f t="shared" si="215"/>
        <v>3.4492253586756494</v>
      </c>
      <c r="CB75" s="58">
        <f t="shared" si="184"/>
        <v>16.607298745387624</v>
      </c>
      <c r="CC75" s="58">
        <f t="shared" si="185"/>
        <v>5.9930034353786432</v>
      </c>
      <c r="CD75" s="58">
        <f t="shared" si="186"/>
        <v>209.40736628195421</v>
      </c>
      <c r="CE75" s="58">
        <f t="shared" si="216"/>
        <v>116.1544087213974</v>
      </c>
      <c r="CF75" s="58">
        <f t="shared" si="217"/>
        <v>325.56177500335161</v>
      </c>
      <c r="CG75" s="127">
        <v>84</v>
      </c>
      <c r="CH75" s="128" t="s">
        <v>169</v>
      </c>
      <c r="CI75" s="128"/>
      <c r="CJ75" s="126">
        <f t="shared" si="187"/>
        <v>72</v>
      </c>
      <c r="CK75" s="126">
        <f>IF(CG75&gt;0,CG75-3,0)</f>
        <v>81</v>
      </c>
      <c r="CM75" s="136"/>
      <c r="CN75" s="147">
        <f t="shared" si="218"/>
        <v>6.5605877086935993E-2</v>
      </c>
      <c r="CO75" s="147">
        <f t="shared" si="219"/>
        <v>2.2189563583955318</v>
      </c>
      <c r="CP75" s="147">
        <f t="shared" si="220"/>
        <v>6.54523986293164E-2</v>
      </c>
      <c r="CQ75" s="31">
        <f>(AI75-(P75*450/1000000))*Parameters!$C$153</f>
        <v>6.7435450575771397E-2</v>
      </c>
      <c r="CR75" s="31">
        <f t="shared" si="221"/>
        <v>0.48087634641305083</v>
      </c>
      <c r="CS75" s="31">
        <f t="shared" si="222"/>
        <v>2.4159187630381536</v>
      </c>
      <c r="CT75" s="31">
        <f>AM75*Parameters!$C$154</f>
        <v>0.11536575034871123</v>
      </c>
      <c r="CU75" s="31">
        <f>AQ75*Parameters!$C$155</f>
        <v>4.3166666666666673</v>
      </c>
      <c r="CV75" s="31">
        <f t="shared" si="223"/>
        <v>9.746277611154138</v>
      </c>
      <c r="CW75" s="188">
        <f t="shared" si="224"/>
        <v>80.555009766686808</v>
      </c>
      <c r="CY75" s="181">
        <v>123.65142600000001</v>
      </c>
      <c r="CZ75" s="181">
        <v>66.737033590475207</v>
      </c>
      <c r="DA75" s="181">
        <v>627.6318868428707</v>
      </c>
      <c r="DB75" s="181">
        <v>26.158407813082572</v>
      </c>
      <c r="DC75" s="181">
        <v>10.365045727769344</v>
      </c>
      <c r="DD75" s="181">
        <v>201.367784349473</v>
      </c>
      <c r="DE75" s="181">
        <v>456.84589713943274</v>
      </c>
      <c r="DF75" s="181">
        <v>17.90585042897245</v>
      </c>
      <c r="DG75" s="181">
        <v>230.93954042254256</v>
      </c>
      <c r="DH75" s="181">
        <v>474.75174756840516</v>
      </c>
      <c r="DI75" s="181">
        <v>865.52312473319569</v>
      </c>
      <c r="DJ75" s="181">
        <v>190.38845959047524</v>
      </c>
      <c r="DK75" s="181">
        <v>1761.6028723146187</v>
      </c>
      <c r="DL75" s="181"/>
      <c r="DM75" s="181">
        <v>14.137793333333333</v>
      </c>
      <c r="DN75" s="181">
        <v>11.645119770277034</v>
      </c>
      <c r="DO75" s="181">
        <v>0.26568638640040759</v>
      </c>
      <c r="DP75" s="181">
        <v>10.579524498377321</v>
      </c>
      <c r="DQ75" s="181">
        <v>7.5893908037481417E-2</v>
      </c>
      <c r="DR75" s="181">
        <v>2.1005955337733471</v>
      </c>
      <c r="DS75" s="181">
        <v>11.266070464565544</v>
      </c>
      <c r="DT75" s="181">
        <v>10.921104792815209</v>
      </c>
      <c r="DU75" s="181">
        <v>25.782913103610369</v>
      </c>
      <c r="DV75" s="181">
        <v>50.070683894764471</v>
      </c>
      <c r="DW75" s="181">
        <v>50.070683894764471</v>
      </c>
      <c r="DX75" s="181"/>
      <c r="DY75" s="181">
        <v>11.310234666666666</v>
      </c>
      <c r="DZ75" s="181">
        <v>8.1515838391939255</v>
      </c>
      <c r="EA75" s="181">
        <v>0.26568638640040759</v>
      </c>
      <c r="EB75" s="181">
        <v>10.579524498377321</v>
      </c>
      <c r="EC75" s="181">
        <v>6.1926862177509701E-2</v>
      </c>
      <c r="ED75" s="181">
        <v>2.1005955337733471</v>
      </c>
      <c r="EE75" s="181">
        <v>2.6489746856035072</v>
      </c>
      <c r="EF75" s="181">
        <v>10.907137746955236</v>
      </c>
      <c r="EG75" s="181">
        <v>19.461818505860588</v>
      </c>
      <c r="EH75" s="181">
        <v>35.118526472192684</v>
      </c>
      <c r="EJ75" s="31">
        <f t="shared" si="225"/>
        <v>1.765346377223565E-3</v>
      </c>
      <c r="EK75" s="31">
        <f t="shared" si="226"/>
        <v>5.970847037560266E-2</v>
      </c>
      <c r="EL75" s="31">
        <f t="shared" si="227"/>
        <v>1.7612165240584047E-3</v>
      </c>
      <c r="EM75" s="31">
        <f t="shared" si="228"/>
        <v>1.8145771942447281E-3</v>
      </c>
      <c r="EN75" s="31">
        <f t="shared" si="229"/>
        <v>1.2939592514064967E-2</v>
      </c>
      <c r="EO75" s="31">
        <f t="shared" si="230"/>
        <v>6.5008405121148985E-2</v>
      </c>
      <c r="EP75" s="31">
        <f t="shared" si="231"/>
        <v>3.1043028228080844E-3</v>
      </c>
      <c r="EQ75" s="31">
        <f t="shared" si="232"/>
        <v>0.1161544087213974</v>
      </c>
      <c r="ER75" s="31">
        <f t="shared" si="233"/>
        <v>0.2622563196505488</v>
      </c>
      <c r="ES75" s="31">
        <f t="shared" si="234"/>
        <v>2.1676029796901695</v>
      </c>
      <c r="ET75" s="31"/>
      <c r="EU75" s="31">
        <f t="shared" si="235"/>
        <v>3.3272567431477125</v>
      </c>
      <c r="EV75" s="31">
        <f t="shared" si="236"/>
        <v>1.7957839405069538</v>
      </c>
      <c r="EW75" s="31">
        <f t="shared" si="237"/>
        <v>16.888543021836753</v>
      </c>
      <c r="EX75" s="31">
        <f t="shared" si="238"/>
        <v>0.70387978207454538</v>
      </c>
      <c r="EY75" s="31">
        <f t="shared" si="239"/>
        <v>0.27890635317667045</v>
      </c>
      <c r="EZ75" s="31">
        <f t="shared" si="240"/>
        <v>5.4184762764442231</v>
      </c>
      <c r="FA75" s="31">
        <f t="shared" si="241"/>
        <v>12.292972600546827</v>
      </c>
      <c r="FB75" s="31">
        <f t="shared" si="242"/>
        <v>0.48181701989909065</v>
      </c>
      <c r="FC75" s="31">
        <f t="shared" si="243"/>
        <v>6.2142036528583047</v>
      </c>
      <c r="FD75" s="31">
        <f t="shared" si="244"/>
        <v>12.774789620445917</v>
      </c>
      <c r="FE75" s="31">
        <f t="shared" si="245"/>
        <v>23.289805433532187</v>
      </c>
      <c r="FF75" s="31">
        <f t="shared" si="246"/>
        <v>5.1230406836546658</v>
      </c>
      <c r="FG75" s="31">
        <f t="shared" si="247"/>
        <v>47.401839390491077</v>
      </c>
      <c r="FH75" s="31"/>
      <c r="FI75" s="31">
        <f t="shared" si="248"/>
        <v>0.38042479349621167</v>
      </c>
      <c r="FJ75" s="31">
        <f t="shared" si="249"/>
        <v>0.31335104279684567</v>
      </c>
      <c r="FK75" s="31">
        <f t="shared" si="250"/>
        <v>7.1491841971422533E-3</v>
      </c>
      <c r="FL75" s="31">
        <f t="shared" si="251"/>
        <v>0.28467762455503226</v>
      </c>
      <c r="FM75" s="31">
        <f t="shared" si="252"/>
        <v>2.0421803892624931E-3</v>
      </c>
      <c r="FN75" s="31">
        <f t="shared" si="253"/>
        <v>5.65235750243053E-2</v>
      </c>
      <c r="FO75" s="31">
        <f t="shared" si="254"/>
        <v>0.30315144866993271</v>
      </c>
      <c r="FP75" s="31">
        <f t="shared" si="255"/>
        <v>0.29386898914143694</v>
      </c>
      <c r="FQ75" s="31">
        <f t="shared" si="256"/>
        <v>0.69377583629305728</v>
      </c>
      <c r="FR75" s="31">
        <f t="shared" si="257"/>
        <v>1.3473198491287326</v>
      </c>
      <c r="FS75" s="31">
        <f t="shared" si="258"/>
        <v>1.3473198491287326</v>
      </c>
      <c r="FT75" s="31"/>
      <c r="FU75" s="31">
        <f t="shared" si="259"/>
        <v>0.30433983479696936</v>
      </c>
      <c r="FV75" s="31">
        <f t="shared" si="260"/>
        <v>0.21934572995779203</v>
      </c>
      <c r="FW75" s="31">
        <f t="shared" si="261"/>
        <v>7.1491841971422533E-3</v>
      </c>
      <c r="FX75" s="31">
        <f t="shared" si="262"/>
        <v>0.28467762455503226</v>
      </c>
      <c r="FY75" s="31">
        <f t="shared" si="263"/>
        <v>1.6663501297760864E-3</v>
      </c>
      <c r="FZ75" s="31">
        <f t="shared" si="264"/>
        <v>5.65235750243053E-2</v>
      </c>
      <c r="GA75" s="31">
        <f t="shared" si="265"/>
        <v>7.1279557140747074E-2</v>
      </c>
      <c r="GB75" s="31">
        <f t="shared" si="266"/>
        <v>0.29349315888195054</v>
      </c>
      <c r="GC75" s="31">
        <f t="shared" si="267"/>
        <v>0.52368556475476125</v>
      </c>
      <c r="GD75" s="31">
        <f t="shared" si="268"/>
        <v>0.94498185580176441</v>
      </c>
    </row>
    <row r="76" spans="1:186">
      <c r="A76" s="39" t="str">
        <f>Basicinfo!A76</f>
        <v>Erzbach</v>
      </c>
      <c r="B76" s="63">
        <f>Basicinfo!B76</f>
        <v>1470</v>
      </c>
      <c r="C76" s="63">
        <f>Basicinfo!C76</f>
        <v>4070</v>
      </c>
      <c r="D76" s="227">
        <v>255.00777515999999</v>
      </c>
      <c r="E76" s="89">
        <v>9.8404752907949007</v>
      </c>
      <c r="F76" s="27">
        <v>5.9201922944170801E-2</v>
      </c>
      <c r="G76" s="19">
        <v>2.3849025820822849</v>
      </c>
      <c r="H76" s="19">
        <v>0.13575513773233411</v>
      </c>
      <c r="I76" s="19">
        <v>0</v>
      </c>
      <c r="J76" s="19">
        <v>7.2071762420907657</v>
      </c>
      <c r="K76" s="19">
        <v>5.3799812166182527E-3</v>
      </c>
      <c r="L76" s="19">
        <v>9.2477569328487212E-3</v>
      </c>
      <c r="M76" s="19">
        <v>6.5522394177277383E-3</v>
      </c>
      <c r="N76" s="19">
        <v>9.8082158624167501</v>
      </c>
      <c r="O76" s="19">
        <v>3.2259428378149838E-2</v>
      </c>
      <c r="P76" s="56">
        <v>2.5290460988999257</v>
      </c>
      <c r="Q76" s="43">
        <v>2471.6275306233429</v>
      </c>
      <c r="R76" s="88">
        <v>2474.1565767222428</v>
      </c>
      <c r="S76" s="61">
        <v>2.1434601708896475</v>
      </c>
      <c r="T76" s="19">
        <v>55.36078156851989</v>
      </c>
      <c r="U76" s="19">
        <v>3.1512793190292716</v>
      </c>
      <c r="V76" s="19">
        <v>1.4966733617112192E-2</v>
      </c>
      <c r="W76" s="19">
        <v>6.1790688265583572E-2</v>
      </c>
      <c r="X76" s="19">
        <v>0</v>
      </c>
      <c r="Y76" s="19">
        <v>188.31146316956244</v>
      </c>
      <c r="Z76" s="19">
        <v>0.29036054617061852</v>
      </c>
      <c r="AA76" s="19">
        <v>3.5262571841087835</v>
      </c>
      <c r="AB76" s="19">
        <v>0.16612395680126085</v>
      </c>
      <c r="AC76" s="19">
        <v>253.02648333696462</v>
      </c>
      <c r="AD76" s="19">
        <v>5.3166666666666673</v>
      </c>
      <c r="AE76" s="87">
        <v>258.34315000363131</v>
      </c>
      <c r="AF76" s="56">
        <v>5.9873263529983317E-2</v>
      </c>
      <c r="AG76" s="43">
        <v>1.3623753089630299</v>
      </c>
      <c r="AH76" s="43">
        <v>4.6425701546539723E-2</v>
      </c>
      <c r="AI76" s="43">
        <v>1.0474087978075803E-2</v>
      </c>
      <c r="AJ76" s="43">
        <v>1.1757803536291176</v>
      </c>
      <c r="AK76" s="43">
        <v>0</v>
      </c>
      <c r="AL76" s="58">
        <v>0.25844204184598096</v>
      </c>
      <c r="AM76" s="43">
        <v>8.9274172927100381E-2</v>
      </c>
      <c r="AN76" s="42">
        <v>0.63759741520030966</v>
      </c>
      <c r="AO76" s="42">
        <v>4.6282301622005556E-2</v>
      </c>
      <c r="AP76" s="42">
        <v>3.6865246472421429</v>
      </c>
      <c r="AQ76" s="43">
        <v>0.66666666666666663</v>
      </c>
      <c r="AR76" s="83">
        <v>4.3531913139088099</v>
      </c>
      <c r="AS76" s="19">
        <f t="shared" si="188"/>
        <v>7.3213134022912056</v>
      </c>
      <c r="AT76" s="19">
        <f t="shared" si="189"/>
        <v>294.93331245040514</v>
      </c>
      <c r="AU76" s="19">
        <f t="shared" si="190"/>
        <v>16.788405847001112</v>
      </c>
      <c r="AV76" s="19">
        <f t="shared" si="191"/>
        <v>0</v>
      </c>
      <c r="AW76" s="19">
        <f t="shared" si="192"/>
        <v>891.2885492529324</v>
      </c>
      <c r="AX76" s="53">
        <f t="shared" si="177"/>
        <v>0.66532515544210846</v>
      </c>
      <c r="AY76" s="53">
        <f t="shared" si="178"/>
        <v>1.143640669196595</v>
      </c>
      <c r="AZ76" s="53">
        <f t="shared" si="179"/>
        <v>0.81029459649932178</v>
      </c>
      <c r="BA76" s="19">
        <f t="shared" si="180"/>
        <v>1212.9508413737678</v>
      </c>
      <c r="BB76" s="19">
        <f t="shared" si="193"/>
        <v>3.9894208429332245</v>
      </c>
      <c r="BC76" s="53">
        <f t="shared" si="194"/>
        <v>1216.9402622167011</v>
      </c>
      <c r="BD76" s="56">
        <f t="shared" si="195"/>
        <v>9.9175254453050365E-2</v>
      </c>
      <c r="BE76" s="43">
        <f t="shared" si="196"/>
        <v>96.923614547539387</v>
      </c>
      <c r="BF76" s="58">
        <f t="shared" si="197"/>
        <v>97.022789801992431</v>
      </c>
      <c r="BG76" s="61">
        <f t="shared" si="198"/>
        <v>84.054698706530516</v>
      </c>
      <c r="BH76" s="19">
        <f t="shared" si="199"/>
        <v>2170.944848006488</v>
      </c>
      <c r="BI76" s="19">
        <f t="shared" si="200"/>
        <v>123.57581321008972</v>
      </c>
      <c r="BJ76" s="19">
        <f t="shared" si="201"/>
        <v>0.58691283462716337</v>
      </c>
      <c r="BK76" s="19">
        <f t="shared" si="202"/>
        <v>2.4230903636884848</v>
      </c>
      <c r="BL76" s="19">
        <f t="shared" si="203"/>
        <v>0</v>
      </c>
      <c r="BM76" s="19">
        <f t="shared" si="204"/>
        <v>7384.5381009033872</v>
      </c>
      <c r="BN76" s="53">
        <f t="shared" si="205"/>
        <v>11.386340906211078</v>
      </c>
      <c r="BO76" s="53">
        <f t="shared" si="181"/>
        <v>138.2803791726075</v>
      </c>
      <c r="BP76" s="53">
        <f t="shared" si="182"/>
        <v>6.5144663411548684</v>
      </c>
      <c r="BQ76" s="19">
        <f t="shared" si="183"/>
        <v>9922.3046504447848</v>
      </c>
      <c r="BR76" s="19">
        <f t="shared" si="206"/>
        <v>208.49037498291264</v>
      </c>
      <c r="BS76" s="53">
        <f t="shared" si="207"/>
        <v>10130.795025427697</v>
      </c>
      <c r="BT76" s="56">
        <f t="shared" si="208"/>
        <v>2.347899529432659</v>
      </c>
      <c r="BU76" s="43">
        <f t="shared" si="209"/>
        <v>53.424853736645183</v>
      </c>
      <c r="BV76" s="43">
        <f t="shared" si="210"/>
        <v>1.8205602365422293</v>
      </c>
      <c r="BW76" s="43">
        <f t="shared" si="211"/>
        <v>0.4107360244801958</v>
      </c>
      <c r="BX76" s="43">
        <f t="shared" si="212"/>
        <v>46.107627616114669</v>
      </c>
      <c r="BY76" s="58">
        <f t="shared" si="213"/>
        <v>0</v>
      </c>
      <c r="BZ76" s="58">
        <f t="shared" si="214"/>
        <v>10.134673018649185</v>
      </c>
      <c r="CA76" s="58">
        <f t="shared" si="215"/>
        <v>3.5008412143938328</v>
      </c>
      <c r="CB76" s="58">
        <f t="shared" si="184"/>
        <v>25.003057840109417</v>
      </c>
      <c r="CC76" s="58">
        <f t="shared" si="185"/>
        <v>1.8149368815506339</v>
      </c>
      <c r="CD76" s="58">
        <f t="shared" si="186"/>
        <v>144.565186097918</v>
      </c>
      <c r="CE76" s="58">
        <f t="shared" si="216"/>
        <v>26.142993728264901</v>
      </c>
      <c r="CF76" s="58">
        <f t="shared" si="217"/>
        <v>170.70817982618291</v>
      </c>
      <c r="CG76" s="127">
        <v>84</v>
      </c>
      <c r="CH76" s="128" t="s">
        <v>169</v>
      </c>
      <c r="CI76" s="128"/>
      <c r="CJ76" s="126">
        <f t="shared" si="187"/>
        <v>73</v>
      </c>
      <c r="CK76" s="126">
        <f>IF(CG76&gt;0,CG76-3,0)</f>
        <v>81</v>
      </c>
      <c r="CM76" s="136"/>
      <c r="CN76" s="147">
        <f t="shared" si="218"/>
        <v>5.9873263529983317E-2</v>
      </c>
      <c r="CO76" s="147">
        <f t="shared" si="219"/>
        <v>1.3623753089630299</v>
      </c>
      <c r="CP76" s="147">
        <f t="shared" si="220"/>
        <v>4.6425701546539723E-2</v>
      </c>
      <c r="CQ76" s="31">
        <f>(AI76-(P76*450/1000000))*Parameters!$C$153</f>
        <v>7.4688137868566696E-3</v>
      </c>
      <c r="CR76" s="31">
        <f t="shared" si="221"/>
        <v>0</v>
      </c>
      <c r="CS76" s="31">
        <f t="shared" si="222"/>
        <v>0.25844204184598096</v>
      </c>
      <c r="CT76" s="31">
        <f>AM76*Parameters!$C$154</f>
        <v>8.0346755634390352E-2</v>
      </c>
      <c r="CU76" s="31">
        <f>AQ76*Parameters!$C$155</f>
        <v>0.66666666666666663</v>
      </c>
      <c r="CV76" s="31">
        <f t="shared" si="223"/>
        <v>2.4815985519734474</v>
      </c>
      <c r="CW76" s="188">
        <f t="shared" si="224"/>
        <v>57.006420646952336</v>
      </c>
      <c r="CY76" s="181">
        <v>776.13955577469449</v>
      </c>
      <c r="CZ76" s="181">
        <v>338.55469624148816</v>
      </c>
      <c r="DA76" s="181">
        <v>1226.9791111842194</v>
      </c>
      <c r="DB76" s="181">
        <v>416.86479188426449</v>
      </c>
      <c r="DC76" s="181">
        <v>227.98150732429821</v>
      </c>
      <c r="DD76" s="181">
        <v>2830.3746622207095</v>
      </c>
      <c r="DE76" s="181">
        <v>812.42894320472749</v>
      </c>
      <c r="DF76" s="181">
        <v>234.10678429021448</v>
      </c>
      <c r="DG76" s="181">
        <v>994.5293959232622</v>
      </c>
      <c r="DH76" s="181">
        <v>1046.535727494942</v>
      </c>
      <c r="DI76" s="181">
        <v>4702.200072613492</v>
      </c>
      <c r="DJ76" s="181">
        <v>1114.6942520161826</v>
      </c>
      <c r="DK76" s="181">
        <v>7857.9594480478791</v>
      </c>
      <c r="DL76" s="181"/>
      <c r="DM76" s="181">
        <v>42.260758857500001</v>
      </c>
      <c r="DN76" s="181">
        <v>58.294154755646709</v>
      </c>
      <c r="DO76" s="181">
        <v>1.6399784234514336</v>
      </c>
      <c r="DP76" s="181">
        <v>28.757127010176017</v>
      </c>
      <c r="DQ76" s="181">
        <v>69.117617493328439</v>
      </c>
      <c r="DR76" s="181">
        <v>5.2092089196481837</v>
      </c>
      <c r="DS76" s="181">
        <v>36.725792720987521</v>
      </c>
      <c r="DT76" s="181">
        <v>99.514722926955912</v>
      </c>
      <c r="DU76" s="181">
        <v>100.55491361314671</v>
      </c>
      <c r="DV76" s="181">
        <v>242.00463818073825</v>
      </c>
      <c r="DW76" s="181">
        <v>242.00463818073828</v>
      </c>
      <c r="DX76" s="181"/>
      <c r="DY76" s="181">
        <v>33.808607086000002</v>
      </c>
      <c r="DZ76" s="181">
        <v>40.805908328952697</v>
      </c>
      <c r="EA76" s="181">
        <v>1.6399784234514336</v>
      </c>
      <c r="EB76" s="181">
        <v>28.757127010176017</v>
      </c>
      <c r="EC76" s="181">
        <v>30.793367106207164</v>
      </c>
      <c r="ED76" s="181">
        <v>5.2092089196481837</v>
      </c>
      <c r="EE76" s="181">
        <v>15.87080226953468</v>
      </c>
      <c r="EF76" s="181">
        <v>61.19047253983463</v>
      </c>
      <c r="EG76" s="181">
        <v>74.614515414952692</v>
      </c>
      <c r="EH76" s="181">
        <v>156.88499914397016</v>
      </c>
      <c r="EJ76" s="31">
        <f t="shared" si="225"/>
        <v>2.3478995294326584E-3</v>
      </c>
      <c r="EK76" s="31">
        <f t="shared" si="226"/>
        <v>5.3424853736645177E-2</v>
      </c>
      <c r="EL76" s="31">
        <f t="shared" si="227"/>
        <v>1.8205602365422293E-3</v>
      </c>
      <c r="EM76" s="31">
        <f t="shared" si="228"/>
        <v>2.9288572798105857E-4</v>
      </c>
      <c r="EN76" s="31">
        <f t="shared" si="229"/>
        <v>0</v>
      </c>
      <c r="EO76" s="31">
        <f t="shared" si="230"/>
        <v>1.0134673018649183E-2</v>
      </c>
      <c r="EP76" s="31">
        <f t="shared" si="231"/>
        <v>3.1507570929544498E-3</v>
      </c>
      <c r="EQ76" s="31">
        <f t="shared" si="232"/>
        <v>2.61429937282649E-2</v>
      </c>
      <c r="ER76" s="31">
        <f t="shared" si="233"/>
        <v>9.7314623070469661E-2</v>
      </c>
      <c r="ES76" s="31">
        <f t="shared" si="234"/>
        <v>2.2354777461661586</v>
      </c>
      <c r="ET76" s="31"/>
      <c r="EU76" s="31">
        <f t="shared" si="235"/>
        <v>30.435917308314224</v>
      </c>
      <c r="EV76" s="31">
        <f t="shared" si="236"/>
        <v>13.276249950773781</v>
      </c>
      <c r="EW76" s="31">
        <f t="shared" si="237"/>
        <v>48.115360812601637</v>
      </c>
      <c r="EX76" s="31">
        <f t="shared" si="238"/>
        <v>16.347140459647171</v>
      </c>
      <c r="EY76" s="31">
        <f t="shared" si="239"/>
        <v>8.9401786742092604</v>
      </c>
      <c r="EZ76" s="31">
        <f t="shared" si="240"/>
        <v>110.99170056461385</v>
      </c>
      <c r="FA76" s="31">
        <f t="shared" si="241"/>
        <v>31.85898715029311</v>
      </c>
      <c r="FB76" s="31">
        <f t="shared" si="242"/>
        <v>9.1803782901650131</v>
      </c>
      <c r="FC76" s="31">
        <f t="shared" si="243"/>
        <v>38.999963640295391</v>
      </c>
      <c r="FD76" s="31">
        <f t="shared" si="244"/>
        <v>41.039365440458134</v>
      </c>
      <c r="FE76" s="31">
        <f t="shared" si="245"/>
        <v>184.39438051107194</v>
      </c>
      <c r="FF76" s="31">
        <f t="shared" si="246"/>
        <v>43.712167259087998</v>
      </c>
      <c r="FG76" s="31">
        <f t="shared" si="247"/>
        <v>308.14587685091351</v>
      </c>
      <c r="FH76" s="31"/>
      <c r="FI76" s="31">
        <f t="shared" si="248"/>
        <v>1.6572341306450071</v>
      </c>
      <c r="FJ76" s="31">
        <f t="shared" si="249"/>
        <v>2.2859755832570636</v>
      </c>
      <c r="FK76" s="31">
        <f t="shared" si="250"/>
        <v>6.4310918458170885E-2</v>
      </c>
      <c r="FL76" s="31">
        <f t="shared" si="251"/>
        <v>1.1276960866049235</v>
      </c>
      <c r="FM76" s="31">
        <f t="shared" si="252"/>
        <v>2.7104121609610474</v>
      </c>
      <c r="FN76" s="31">
        <f t="shared" si="253"/>
        <v>0.2042764741733761</v>
      </c>
      <c r="FO76" s="31">
        <f t="shared" si="254"/>
        <v>1.4401832531555003</v>
      </c>
      <c r="FP76" s="31">
        <f t="shared" si="255"/>
        <v>3.9024191660241421</v>
      </c>
      <c r="FQ76" s="31">
        <f t="shared" si="256"/>
        <v>3.9432097139020703</v>
      </c>
      <c r="FR76" s="31">
        <f t="shared" si="257"/>
        <v>9.4900886072550854</v>
      </c>
      <c r="FS76" s="31">
        <f t="shared" si="258"/>
        <v>9.4900886072550872</v>
      </c>
      <c r="FT76" s="31"/>
      <c r="FU76" s="31">
        <f t="shared" si="259"/>
        <v>1.3257873045160056</v>
      </c>
      <c r="FV76" s="31">
        <f t="shared" si="260"/>
        <v>1.6001829082799446</v>
      </c>
      <c r="FW76" s="31">
        <f t="shared" si="261"/>
        <v>6.4310918458170885E-2</v>
      </c>
      <c r="FX76" s="31">
        <f t="shared" si="262"/>
        <v>1.1276960866049235</v>
      </c>
      <c r="FY76" s="31">
        <f t="shared" si="263"/>
        <v>1.2075462046945991</v>
      </c>
      <c r="FZ76" s="31">
        <f t="shared" si="264"/>
        <v>0.2042764741733761</v>
      </c>
      <c r="GA76" s="31">
        <f t="shared" si="265"/>
        <v>0.62236542629246638</v>
      </c>
      <c r="GB76" s="31">
        <f t="shared" si="266"/>
        <v>2.3995532097576939</v>
      </c>
      <c r="GC76" s="31">
        <f t="shared" si="267"/>
        <v>2.9259702127959497</v>
      </c>
      <c r="GD76" s="31">
        <f t="shared" si="268"/>
        <v>6.152165323019485</v>
      </c>
    </row>
    <row r="77" spans="1:186">
      <c r="A77" s="39" t="str">
        <f>Basicinfo!A77</f>
        <v>Aschbach</v>
      </c>
      <c r="B77" s="63">
        <f>Basicinfo!B77</f>
        <v>1480</v>
      </c>
      <c r="C77" s="63">
        <f>Basicinfo!C77</f>
        <v>1510</v>
      </c>
      <c r="D77" s="227">
        <v>114.208372387</v>
      </c>
      <c r="E77" s="89">
        <v>2.91064352195446</v>
      </c>
      <c r="F77" s="27">
        <v>8.1741640501786384E-3</v>
      </c>
      <c r="G77" s="19">
        <v>0.6420467527443523</v>
      </c>
      <c r="H77" s="19">
        <v>9.9559928257796568E-3</v>
      </c>
      <c r="I77" s="19">
        <v>0</v>
      </c>
      <c r="J77" s="19">
        <v>2.2483541917879188</v>
      </c>
      <c r="K77" s="19">
        <v>4.6409294931730048E-4</v>
      </c>
      <c r="L77" s="19">
        <v>7.7592294263145484E-4</v>
      </c>
      <c r="M77" s="19">
        <v>8.7240465428205195E-4</v>
      </c>
      <c r="N77" s="19">
        <v>2.91064352195446</v>
      </c>
      <c r="O77" s="19">
        <v>0</v>
      </c>
      <c r="P77" s="56">
        <v>2.3216180635779438</v>
      </c>
      <c r="Q77" s="43">
        <v>1175.7563382146957</v>
      </c>
      <c r="R77" s="88">
        <v>1178.0779562782736</v>
      </c>
      <c r="S77" s="61">
        <v>0.30417730975529172</v>
      </c>
      <c r="T77" s="19">
        <v>15.317568567255773</v>
      </c>
      <c r="U77" s="19">
        <v>0.23751061689702568</v>
      </c>
      <c r="V77" s="19">
        <v>1.334928370051155E-2</v>
      </c>
      <c r="W77" s="19">
        <v>2.9393908455367393E-2</v>
      </c>
      <c r="X77" s="19">
        <v>0</v>
      </c>
      <c r="Y77" s="19">
        <v>88.913411173498829</v>
      </c>
      <c r="Z77" s="19">
        <v>2.490824361073753E-2</v>
      </c>
      <c r="AA77" s="19">
        <v>0.30046097357261853</v>
      </c>
      <c r="AB77" s="19">
        <v>8.3423343131958844E-2</v>
      </c>
      <c r="AC77" s="19">
        <v>105.22420341987811</v>
      </c>
      <c r="AD77" s="19">
        <v>0</v>
      </c>
      <c r="AE77" s="87">
        <v>105.22420341987811</v>
      </c>
      <c r="AF77" s="56">
        <v>8.2782733707301472E-3</v>
      </c>
      <c r="AG77" s="43">
        <v>8.5260282230756587E-2</v>
      </c>
      <c r="AH77" s="43">
        <v>4.7095828463068095E-4</v>
      </c>
      <c r="AI77" s="43">
        <v>9.6347612728365974E-3</v>
      </c>
      <c r="AJ77" s="43">
        <v>0.53151147137142574</v>
      </c>
      <c r="AK77" s="43">
        <v>0</v>
      </c>
      <c r="AL77" s="58">
        <v>0.24611000298137439</v>
      </c>
      <c r="AM77" s="43">
        <v>7.4988927600137525E-3</v>
      </c>
      <c r="AN77" s="42">
        <v>5.3966230666034246E-2</v>
      </c>
      <c r="AO77" s="42">
        <v>1.4781374820424673E-2</v>
      </c>
      <c r="AP77" s="42">
        <v>0.95751224775822674</v>
      </c>
      <c r="AQ77" s="43">
        <v>0</v>
      </c>
      <c r="AR77" s="83">
        <v>0.95751224775822674</v>
      </c>
      <c r="AS77" s="19">
        <f t="shared" si="188"/>
        <v>2.2571063057700655</v>
      </c>
      <c r="AT77" s="19">
        <f t="shared" si="189"/>
        <v>177.28635800829099</v>
      </c>
      <c r="AU77" s="19">
        <f t="shared" si="190"/>
        <v>2.74911710228983</v>
      </c>
      <c r="AV77" s="19">
        <f t="shared" si="191"/>
        <v>0</v>
      </c>
      <c r="AW77" s="19">
        <f t="shared" si="192"/>
        <v>620.8309978533116</v>
      </c>
      <c r="AX77" s="53">
        <f t="shared" si="177"/>
        <v>0.12814853187887931</v>
      </c>
      <c r="AY77" s="53">
        <f t="shared" si="178"/>
        <v>0.21425317082629969</v>
      </c>
      <c r="AZ77" s="53">
        <f t="shared" si="179"/>
        <v>0.24089436354291677</v>
      </c>
      <c r="BA77" s="19">
        <f t="shared" si="180"/>
        <v>803.70687533591058</v>
      </c>
      <c r="BB77" s="19">
        <f t="shared" si="193"/>
        <v>0</v>
      </c>
      <c r="BC77" s="53">
        <f t="shared" si="194"/>
        <v>803.70687533591058</v>
      </c>
      <c r="BD77" s="56">
        <f t="shared" si="195"/>
        <v>0.20327914802174404</v>
      </c>
      <c r="BE77" s="43">
        <f t="shared" si="196"/>
        <v>102.94834902563839</v>
      </c>
      <c r="BF77" s="58">
        <f t="shared" si="197"/>
        <v>103.15162817366014</v>
      </c>
      <c r="BG77" s="61">
        <f t="shared" si="198"/>
        <v>26.633538627498673</v>
      </c>
      <c r="BH77" s="19">
        <f t="shared" si="199"/>
        <v>1341.194892030466</v>
      </c>
      <c r="BI77" s="19">
        <f t="shared" si="200"/>
        <v>20.796252668080299</v>
      </c>
      <c r="BJ77" s="19">
        <f t="shared" si="201"/>
        <v>1.1688533354872552</v>
      </c>
      <c r="BK77" s="19">
        <f t="shared" si="202"/>
        <v>2.5737087256409596</v>
      </c>
      <c r="BL77" s="19">
        <f t="shared" si="203"/>
        <v>0</v>
      </c>
      <c r="BM77" s="19">
        <f t="shared" si="204"/>
        <v>7785.1920411063993</v>
      </c>
      <c r="BN77" s="53">
        <f t="shared" si="205"/>
        <v>2.1809472537035086</v>
      </c>
      <c r="BO77" s="53">
        <f t="shared" si="181"/>
        <v>26.30813900004577</v>
      </c>
      <c r="BP77" s="53">
        <f t="shared" si="182"/>
        <v>7.3044857735363955</v>
      </c>
      <c r="BQ77" s="19">
        <f t="shared" si="183"/>
        <v>9213.3528585208587</v>
      </c>
      <c r="BR77" s="19">
        <f t="shared" si="206"/>
        <v>0</v>
      </c>
      <c r="BS77" s="53">
        <f t="shared" si="207"/>
        <v>9213.3528585208587</v>
      </c>
      <c r="BT77" s="56">
        <f t="shared" si="208"/>
        <v>0.7248394489572848</v>
      </c>
      <c r="BU77" s="43">
        <f t="shared" si="209"/>
        <v>7.4653267924919238</v>
      </c>
      <c r="BV77" s="43">
        <f t="shared" si="210"/>
        <v>4.1236756534347455E-2</v>
      </c>
      <c r="BW77" s="43">
        <f t="shared" si="211"/>
        <v>0.84361251907073787</v>
      </c>
      <c r="BX77" s="43">
        <f t="shared" si="212"/>
        <v>46.538748452729557</v>
      </c>
      <c r="BY77" s="58">
        <f t="shared" si="213"/>
        <v>0</v>
      </c>
      <c r="BZ77" s="58">
        <f t="shared" si="214"/>
        <v>21.549208507010331</v>
      </c>
      <c r="CA77" s="58">
        <f t="shared" si="215"/>
        <v>0.65659746332812008</v>
      </c>
      <c r="CB77" s="58">
        <f t="shared" si="184"/>
        <v>4.7252429518185703</v>
      </c>
      <c r="CC77" s="58">
        <f t="shared" si="185"/>
        <v>1.2942461670268222</v>
      </c>
      <c r="CD77" s="58">
        <f t="shared" si="186"/>
        <v>83.839059058967706</v>
      </c>
      <c r="CE77" s="58">
        <f t="shared" si="216"/>
        <v>0</v>
      </c>
      <c r="CF77" s="58">
        <f t="shared" si="217"/>
        <v>83.839059058967706</v>
      </c>
      <c r="CG77" s="127">
        <v>80</v>
      </c>
      <c r="CH77" s="128" t="s">
        <v>169</v>
      </c>
      <c r="CI77" s="128"/>
      <c r="CJ77" s="126">
        <f t="shared" si="187"/>
        <v>74</v>
      </c>
      <c r="CK77" s="126">
        <f t="shared" ref="CK77:CK84" si="269">IF(CG77&gt;0,CG77-3,0)</f>
        <v>77</v>
      </c>
      <c r="CM77" s="136"/>
      <c r="CN77" s="147">
        <f t="shared" si="218"/>
        <v>8.2782733707301472E-3</v>
      </c>
      <c r="CO77" s="147">
        <f t="shared" si="219"/>
        <v>8.5260282230756587E-2</v>
      </c>
      <c r="CP77" s="147">
        <f t="shared" si="220"/>
        <v>4.7095828463068095E-4</v>
      </c>
      <c r="CQ77" s="31">
        <f>(AI77-(P77*450/1000000))*Parameters!$C$153</f>
        <v>6.8720265153812193E-3</v>
      </c>
      <c r="CR77" s="31">
        <f t="shared" si="221"/>
        <v>0</v>
      </c>
      <c r="CS77" s="31">
        <f t="shared" si="222"/>
        <v>0.24611000298137439</v>
      </c>
      <c r="CT77" s="31">
        <f>AM77*Parameters!$C$154</f>
        <v>6.749003484012377E-3</v>
      </c>
      <c r="CU77" s="31">
        <f>AQ77*Parameters!$C$155</f>
        <v>0</v>
      </c>
      <c r="CV77" s="31">
        <f t="shared" si="223"/>
        <v>0.35374054686688539</v>
      </c>
      <c r="CW77" s="188">
        <f t="shared" si="224"/>
        <v>36.943709878915868</v>
      </c>
      <c r="CY77" s="181">
        <v>41.538333333333341</v>
      </c>
      <c r="CZ77" s="181">
        <v>13.807155754196744</v>
      </c>
      <c r="DA77" s="181">
        <v>184.98325862098878</v>
      </c>
      <c r="DB77" s="181">
        <v>17.585313877488687</v>
      </c>
      <c r="DC77" s="181">
        <v>3.4594710857438749</v>
      </c>
      <c r="DD77" s="181">
        <v>80.108958196709665</v>
      </c>
      <c r="DE77" s="181">
        <v>137.05692173150214</v>
      </c>
      <c r="DF77" s="181">
        <v>12.510582450834818</v>
      </c>
      <c r="DG77" s="181">
        <v>95.041754484626082</v>
      </c>
      <c r="DH77" s="181">
        <v>149.56750418233696</v>
      </c>
      <c r="DI77" s="181">
        <v>286.13700178093097</v>
      </c>
      <c r="DJ77" s="181">
        <v>55.345489087530083</v>
      </c>
      <c r="DK77" s="181">
        <v>586.09174953542401</v>
      </c>
      <c r="DL77" s="181"/>
      <c r="DM77" s="181">
        <v>3.3533333333333335</v>
      </c>
      <c r="DN77" s="181">
        <v>2.5809038348354929</v>
      </c>
      <c r="DO77" s="181">
        <v>0.10204744379474466</v>
      </c>
      <c r="DP77" s="181">
        <v>6.0948391920103191</v>
      </c>
      <c r="DQ77" s="181">
        <v>8.8805185554068355E-3</v>
      </c>
      <c r="DR77" s="181">
        <v>0.14147476576670243</v>
      </c>
      <c r="DS77" s="181">
        <v>6.1128945780035249</v>
      </c>
      <c r="DT77" s="181">
        <v>6.2057671543604691</v>
      </c>
      <c r="DU77" s="181">
        <v>5.934237168168826</v>
      </c>
      <c r="DV77" s="181">
        <v>18.394373666299522</v>
      </c>
      <c r="DW77" s="181">
        <v>18.394373666299522</v>
      </c>
      <c r="DX77" s="181"/>
      <c r="DY77" s="181">
        <v>2.682666666666667</v>
      </c>
      <c r="DZ77" s="181">
        <v>1.806632684384845</v>
      </c>
      <c r="EA77" s="181">
        <v>0.10204744379474466</v>
      </c>
      <c r="EB77" s="181">
        <v>6.0948391920103191</v>
      </c>
      <c r="EC77" s="181">
        <v>2.3798493058587722E-2</v>
      </c>
      <c r="ED77" s="181">
        <v>0.14147476576670243</v>
      </c>
      <c r="EE77" s="181">
        <v>3.5241163873973163</v>
      </c>
      <c r="EF77" s="181">
        <v>6.2206851288636509</v>
      </c>
      <c r="EG77" s="181">
        <v>4.4892993510515113</v>
      </c>
      <c r="EH77" s="181">
        <v>14.37557563307918</v>
      </c>
      <c r="EJ77" s="31">
        <f t="shared" si="225"/>
        <v>7.2483944895728489E-4</v>
      </c>
      <c r="EK77" s="31">
        <f t="shared" si="226"/>
        <v>7.4653267924919232E-3</v>
      </c>
      <c r="EL77" s="31">
        <f t="shared" si="227"/>
        <v>4.1236756534347453E-5</v>
      </c>
      <c r="EM77" s="31">
        <f t="shared" si="228"/>
        <v>6.0170952196876256E-4</v>
      </c>
      <c r="EN77" s="31">
        <f t="shared" si="229"/>
        <v>0</v>
      </c>
      <c r="EO77" s="31">
        <f t="shared" si="230"/>
        <v>2.154920850701033E-2</v>
      </c>
      <c r="EP77" s="31">
        <f t="shared" si="231"/>
        <v>5.9093771699530811E-4</v>
      </c>
      <c r="EQ77" s="31">
        <f t="shared" si="232"/>
        <v>0</v>
      </c>
      <c r="ER77" s="31">
        <f t="shared" si="233"/>
        <v>3.0973258743957954E-2</v>
      </c>
      <c r="ES77" s="31">
        <f t="shared" si="234"/>
        <v>3.2347637136207941</v>
      </c>
      <c r="ET77" s="31"/>
      <c r="EU77" s="31">
        <f t="shared" si="235"/>
        <v>3.6370655202561601</v>
      </c>
      <c r="EV77" s="31">
        <f t="shared" si="236"/>
        <v>1.208944271389369</v>
      </c>
      <c r="EW77" s="31">
        <f t="shared" si="237"/>
        <v>16.196996310757765</v>
      </c>
      <c r="EX77" s="31">
        <f t="shared" si="238"/>
        <v>1.5397569819049775</v>
      </c>
      <c r="EY77" s="31">
        <f t="shared" si="239"/>
        <v>0.30290871093244442</v>
      </c>
      <c r="EZ77" s="31">
        <f t="shared" si="240"/>
        <v>7.0142806978508556</v>
      </c>
      <c r="FA77" s="31">
        <f t="shared" si="241"/>
        <v>12.00060195824163</v>
      </c>
      <c r="FB77" s="31">
        <f t="shared" si="242"/>
        <v>1.0954172789051024</v>
      </c>
      <c r="FC77" s="31">
        <f t="shared" si="243"/>
        <v>8.3217852157609773</v>
      </c>
      <c r="FD77" s="31">
        <f t="shared" si="244"/>
        <v>13.096019237146731</v>
      </c>
      <c r="FE77" s="31">
        <f t="shared" si="245"/>
        <v>25.05394270144604</v>
      </c>
      <c r="FF77" s="31">
        <f t="shared" si="246"/>
        <v>4.8460097916455291</v>
      </c>
      <c r="FG77" s="31">
        <f t="shared" si="247"/>
        <v>51.317756945999271</v>
      </c>
      <c r="FH77" s="31"/>
      <c r="FI77" s="31">
        <f t="shared" si="248"/>
        <v>0.29361536840490282</v>
      </c>
      <c r="FJ77" s="31">
        <f t="shared" si="249"/>
        <v>0.22598201698295714</v>
      </c>
      <c r="FK77" s="31">
        <f t="shared" si="250"/>
        <v>8.935198152457028E-3</v>
      </c>
      <c r="FL77" s="31">
        <f t="shared" si="251"/>
        <v>0.53365957894555172</v>
      </c>
      <c r="FM77" s="31">
        <f t="shared" si="252"/>
        <v>7.7757158864980719E-4</v>
      </c>
      <c r="FN77" s="31">
        <f t="shared" si="253"/>
        <v>1.2387425090632504E-2</v>
      </c>
      <c r="FO77" s="31">
        <f t="shared" si="254"/>
        <v>0.53524049509170113</v>
      </c>
      <c r="FP77" s="31">
        <f t="shared" si="255"/>
        <v>0.5433723486866584</v>
      </c>
      <c r="FQ77" s="31">
        <f t="shared" si="256"/>
        <v>0.51959738538785993</v>
      </c>
      <c r="FR77" s="31">
        <f t="shared" si="257"/>
        <v>1.6105976542568521</v>
      </c>
      <c r="FS77" s="31">
        <f t="shared" si="258"/>
        <v>1.6105976542568521</v>
      </c>
      <c r="FT77" s="31"/>
      <c r="FU77" s="31">
        <f t="shared" si="259"/>
        <v>0.23489229472392226</v>
      </c>
      <c r="FV77" s="31">
        <f t="shared" si="260"/>
        <v>0.15818741188807001</v>
      </c>
      <c r="FW77" s="31">
        <f t="shared" si="261"/>
        <v>8.935198152457028E-3</v>
      </c>
      <c r="FX77" s="31">
        <f t="shared" si="262"/>
        <v>0.53365957894555172</v>
      </c>
      <c r="FY77" s="31">
        <f t="shared" si="263"/>
        <v>2.0837783221308416E-3</v>
      </c>
      <c r="FZ77" s="31">
        <f t="shared" si="264"/>
        <v>1.2387425090632504E-2</v>
      </c>
      <c r="GA77" s="31">
        <f t="shared" si="265"/>
        <v>0.3085690053839219</v>
      </c>
      <c r="GB77" s="31">
        <f t="shared" si="266"/>
        <v>0.54467855542013954</v>
      </c>
      <c r="GC77" s="31">
        <f t="shared" si="267"/>
        <v>0.39307970661199226</v>
      </c>
      <c r="GD77" s="31">
        <f t="shared" si="268"/>
        <v>1.2587146925066861</v>
      </c>
    </row>
    <row r="78" spans="1:186">
      <c r="A78" s="39" t="str">
        <f>Basicinfo!A78</f>
        <v>Lassingbach</v>
      </c>
      <c r="B78" s="63">
        <f>Basicinfo!B78</f>
        <v>1490</v>
      </c>
      <c r="C78" s="63">
        <f>Basicinfo!C78</f>
        <v>1500</v>
      </c>
      <c r="D78" s="227">
        <v>106.197558699</v>
      </c>
      <c r="E78" s="89">
        <v>4.5282511779965295</v>
      </c>
      <c r="F78" s="27">
        <v>2.7039822816929182E-2</v>
      </c>
      <c r="G78" s="19">
        <v>1.1345227815774777</v>
      </c>
      <c r="H78" s="19">
        <v>7.8458253452223046E-3</v>
      </c>
      <c r="I78" s="19">
        <v>0</v>
      </c>
      <c r="J78" s="19">
        <v>3.3569794152069696</v>
      </c>
      <c r="K78" s="19">
        <v>5.8553744841190875E-4</v>
      </c>
      <c r="L78" s="19">
        <v>7.9841557688617839E-4</v>
      </c>
      <c r="M78" s="19">
        <v>4.7938002463262906E-4</v>
      </c>
      <c r="N78" s="19">
        <v>4.5282511779965295</v>
      </c>
      <c r="O78" s="19">
        <v>0</v>
      </c>
      <c r="P78" s="56">
        <v>0.58391116891561978</v>
      </c>
      <c r="Q78" s="43">
        <v>1155.1882222607624</v>
      </c>
      <c r="R78" s="88">
        <v>1155.772133429678</v>
      </c>
      <c r="S78" s="61">
        <v>0.96925688685523592</v>
      </c>
      <c r="T78" s="19">
        <v>26.341247501208063</v>
      </c>
      <c r="U78" s="19">
        <v>0.18216119794443697</v>
      </c>
      <c r="V78" s="19">
        <v>3.2739468128220204E-3</v>
      </c>
      <c r="W78" s="19">
        <v>2.8879705556519062E-2</v>
      </c>
      <c r="X78" s="19">
        <v>0</v>
      </c>
      <c r="Y78" s="19">
        <v>86.500259711736561</v>
      </c>
      <c r="Z78" s="19">
        <v>2.5141144121972478E-2</v>
      </c>
      <c r="AA78" s="19">
        <v>0.39747917442501507</v>
      </c>
      <c r="AB78" s="19">
        <v>3.7205449742866908E-2</v>
      </c>
      <c r="AC78" s="19">
        <v>114.4849047184035</v>
      </c>
      <c r="AD78" s="19">
        <v>0</v>
      </c>
      <c r="AE78" s="87">
        <v>114.4849047184035</v>
      </c>
      <c r="AF78" s="56">
        <v>2.5458229904106365E-2</v>
      </c>
      <c r="AG78" s="43">
        <v>9.3163833370663029E-2</v>
      </c>
      <c r="AH78" s="43">
        <v>3.7113892213039594E-4</v>
      </c>
      <c r="AI78" s="43">
        <v>2.4715010684985884E-3</v>
      </c>
      <c r="AJ78" s="43">
        <v>0.52161385978202413</v>
      </c>
      <c r="AK78" s="43">
        <v>0</v>
      </c>
      <c r="AL78" s="58">
        <v>0.11318622243360471</v>
      </c>
      <c r="AM78" s="43">
        <v>6.1862815871420477E-3</v>
      </c>
      <c r="AN78" s="42">
        <v>6.7064938376169128E-2</v>
      </c>
      <c r="AO78" s="42">
        <v>6.0594328008764121E-3</v>
      </c>
      <c r="AP78" s="42">
        <v>0.83557543824521474</v>
      </c>
      <c r="AQ78" s="43">
        <v>0</v>
      </c>
      <c r="AR78" s="83">
        <v>0.83557543824521474</v>
      </c>
      <c r="AS78" s="19">
        <f t="shared" si="188"/>
        <v>8.0296370538196591</v>
      </c>
      <c r="AT78" s="19">
        <f t="shared" si="189"/>
        <v>336.90332318500128</v>
      </c>
      <c r="AU78" s="19">
        <f t="shared" si="190"/>
        <v>2.3298647456503203</v>
      </c>
      <c r="AV78" s="19">
        <f t="shared" si="191"/>
        <v>0</v>
      </c>
      <c r="AW78" s="19">
        <f t="shared" si="192"/>
        <v>996.87510838197716</v>
      </c>
      <c r="AX78" s="53">
        <f t="shared" si="177"/>
        <v>0.17387884617437852</v>
      </c>
      <c r="AY78" s="53">
        <f t="shared" si="178"/>
        <v>0.23709427920135057</v>
      </c>
      <c r="AZ78" s="53">
        <f t="shared" si="179"/>
        <v>0.14235476447875203</v>
      </c>
      <c r="BA78" s="19">
        <f t="shared" si="180"/>
        <v>1344.6912612563028</v>
      </c>
      <c r="BB78" s="19">
        <f t="shared" si="193"/>
        <v>0</v>
      </c>
      <c r="BC78" s="53">
        <f t="shared" si="194"/>
        <v>1344.6912612563028</v>
      </c>
      <c r="BD78" s="56">
        <f t="shared" si="195"/>
        <v>5.4983483242832594E-2</v>
      </c>
      <c r="BE78" s="43">
        <f t="shared" si="196"/>
        <v>108.77728607066747</v>
      </c>
      <c r="BF78" s="58">
        <f t="shared" si="197"/>
        <v>108.83226955391031</v>
      </c>
      <c r="BG78" s="61">
        <f t="shared" si="198"/>
        <v>91.269224898327423</v>
      </c>
      <c r="BH78" s="19">
        <f t="shared" si="199"/>
        <v>2480.4004747291901</v>
      </c>
      <c r="BI78" s="19">
        <f t="shared" si="200"/>
        <v>17.153049484004029</v>
      </c>
      <c r="BJ78" s="19">
        <f t="shared" si="201"/>
        <v>0.30828833100594139</v>
      </c>
      <c r="BK78" s="19">
        <f t="shared" si="202"/>
        <v>2.7194321517666866</v>
      </c>
      <c r="BL78" s="19">
        <f t="shared" si="203"/>
        <v>0</v>
      </c>
      <c r="BM78" s="19">
        <f t="shared" si="204"/>
        <v>8145.2211116178032</v>
      </c>
      <c r="BN78" s="53">
        <f t="shared" si="205"/>
        <v>2.3673937922839667</v>
      </c>
      <c r="BO78" s="53">
        <f t="shared" si="181"/>
        <v>37.428277946728159</v>
      </c>
      <c r="BP78" s="53">
        <f t="shared" si="182"/>
        <v>3.503418552993276</v>
      </c>
      <c r="BQ78" s="19">
        <f t="shared" si="183"/>
        <v>10780.370671504103</v>
      </c>
      <c r="BR78" s="19">
        <f t="shared" si="206"/>
        <v>0</v>
      </c>
      <c r="BS78" s="53">
        <f t="shared" si="207"/>
        <v>10780.370671504103</v>
      </c>
      <c r="BT78" s="56">
        <f t="shared" si="208"/>
        <v>2.3972518969351873</v>
      </c>
      <c r="BU78" s="43">
        <f t="shared" si="209"/>
        <v>8.7726906825345221</v>
      </c>
      <c r="BV78" s="43">
        <f t="shared" si="210"/>
        <v>3.494797118475481E-2</v>
      </c>
      <c r="BW78" s="43">
        <f t="shared" si="211"/>
        <v>0.232726731082742</v>
      </c>
      <c r="BX78" s="43">
        <f t="shared" si="212"/>
        <v>49.117311751059667</v>
      </c>
      <c r="BY78" s="58">
        <f t="shared" si="213"/>
        <v>0</v>
      </c>
      <c r="BZ78" s="58">
        <f t="shared" si="214"/>
        <v>10.658081392851315</v>
      </c>
      <c r="CA78" s="58">
        <f t="shared" si="215"/>
        <v>0.58252578147074674</v>
      </c>
      <c r="CB78" s="58">
        <f t="shared" si="184"/>
        <v>6.3151111191034035</v>
      </c>
      <c r="CC78" s="58">
        <f t="shared" si="185"/>
        <v>0.57058117673410036</v>
      </c>
      <c r="CD78" s="58">
        <f t="shared" si="186"/>
        <v>78.681228502956429</v>
      </c>
      <c r="CE78" s="58">
        <f t="shared" si="216"/>
        <v>0</v>
      </c>
      <c r="CF78" s="58">
        <f t="shared" si="217"/>
        <v>78.681228502956429</v>
      </c>
      <c r="CG78" s="127">
        <v>79</v>
      </c>
      <c r="CH78" s="128" t="s">
        <v>169</v>
      </c>
      <c r="CI78" s="128"/>
      <c r="CJ78" s="126">
        <f t="shared" si="187"/>
        <v>75</v>
      </c>
      <c r="CK78" s="126">
        <f t="shared" si="269"/>
        <v>76</v>
      </c>
      <c r="CM78" s="136"/>
      <c r="CN78" s="147">
        <f t="shared" si="218"/>
        <v>2.5458229904106365E-2</v>
      </c>
      <c r="CO78" s="147">
        <f t="shared" si="219"/>
        <v>9.3163833370663029E-2</v>
      </c>
      <c r="CP78" s="147">
        <f t="shared" si="220"/>
        <v>3.7113892213039594E-4</v>
      </c>
      <c r="CQ78" s="31">
        <f>(AI78-(P78*450/1000000))*Parameters!$C$153</f>
        <v>1.7669928339892477E-3</v>
      </c>
      <c r="CR78" s="31">
        <f t="shared" si="221"/>
        <v>0</v>
      </c>
      <c r="CS78" s="31">
        <f t="shared" si="222"/>
        <v>0.11318622243360471</v>
      </c>
      <c r="CT78" s="31">
        <f>AM78*Parameters!$C$154</f>
        <v>5.5676534284278432E-3</v>
      </c>
      <c r="CU78" s="31">
        <f>AQ78*Parameters!$C$155</f>
        <v>0</v>
      </c>
      <c r="CV78" s="31">
        <f t="shared" si="223"/>
        <v>0.23951407089292159</v>
      </c>
      <c r="CW78" s="188">
        <f t="shared" si="224"/>
        <v>28.664565750750544</v>
      </c>
      <c r="CY78" s="181">
        <v>99.924249173333337</v>
      </c>
      <c r="CZ78" s="181">
        <v>36.924534838520145</v>
      </c>
      <c r="DA78" s="181">
        <v>462.53654958805032</v>
      </c>
      <c r="DB78" s="181">
        <v>45.639085644534006</v>
      </c>
      <c r="DC78" s="181">
        <v>79.355946234912125</v>
      </c>
      <c r="DD78" s="181">
        <v>370.58672030877284</v>
      </c>
      <c r="DE78" s="181">
        <v>346.39332808628473</v>
      </c>
      <c r="DF78" s="181">
        <v>32.313009368916696</v>
      </c>
      <c r="DG78" s="181">
        <v>298.95567479022759</v>
      </c>
      <c r="DH78" s="181">
        <v>378.70633745520144</v>
      </c>
      <c r="DI78" s="181">
        <v>958.11830177626939</v>
      </c>
      <c r="DJ78" s="181">
        <v>136.84878401185347</v>
      </c>
      <c r="DK78" s="181">
        <v>1772.6290980335518</v>
      </c>
      <c r="DL78" s="181"/>
      <c r="DM78" s="181">
        <v>10.518173900000001</v>
      </c>
      <c r="DN78" s="181">
        <v>6.7906733911321702</v>
      </c>
      <c r="DO78" s="181">
        <v>1.5282989277521435</v>
      </c>
      <c r="DP78" s="181">
        <v>21.204323566631913</v>
      </c>
      <c r="DQ78" s="181">
        <v>2.7072894565066008E-2</v>
      </c>
      <c r="DR78" s="181">
        <v>0.48223369133684046</v>
      </c>
      <c r="DS78" s="181">
        <v>17.431511569962638</v>
      </c>
      <c r="DT78" s="181">
        <v>22.759695388949126</v>
      </c>
      <c r="DU78" s="181">
        <v>17.308847291132167</v>
      </c>
      <c r="DV78" s="181">
        <v>57.982287941380768</v>
      </c>
      <c r="DW78" s="181">
        <v>57.982287941380768</v>
      </c>
      <c r="DX78" s="181"/>
      <c r="DY78" s="181">
        <v>8.4145391200000006</v>
      </c>
      <c r="DZ78" s="181">
        <v>4.7534713737925181</v>
      </c>
      <c r="EA78" s="181">
        <v>1.5282989277521435</v>
      </c>
      <c r="EB78" s="181">
        <v>21.204323566631913</v>
      </c>
      <c r="EC78" s="181">
        <v>9.5565267611051496E-2</v>
      </c>
      <c r="ED78" s="181">
        <v>0.48223369133684046</v>
      </c>
      <c r="EE78" s="181">
        <v>9.8878768547849294</v>
      </c>
      <c r="EF78" s="181">
        <v>22.82818776199511</v>
      </c>
      <c r="EG78" s="181">
        <v>13.168010493792519</v>
      </c>
      <c r="EH78" s="181">
        <v>46.366308801909398</v>
      </c>
      <c r="EJ78" s="31">
        <f t="shared" si="225"/>
        <v>2.3972518969351876E-3</v>
      </c>
      <c r="EK78" s="31">
        <f t="shared" si="226"/>
        <v>8.7726906825345216E-3</v>
      </c>
      <c r="EL78" s="31">
        <f t="shared" si="227"/>
        <v>3.4947971184754812E-5</v>
      </c>
      <c r="EM78" s="31">
        <f t="shared" si="228"/>
        <v>1.6638733089877389E-4</v>
      </c>
      <c r="EN78" s="31">
        <f t="shared" si="229"/>
        <v>0</v>
      </c>
      <c r="EO78" s="31">
        <f t="shared" si="230"/>
        <v>1.0658081392851316E-2</v>
      </c>
      <c r="EP78" s="31">
        <f t="shared" si="231"/>
        <v>5.2427320332367215E-4</v>
      </c>
      <c r="EQ78" s="31">
        <f t="shared" si="232"/>
        <v>0</v>
      </c>
      <c r="ER78" s="31">
        <f t="shared" si="233"/>
        <v>2.2553632477728222E-2</v>
      </c>
      <c r="ES78" s="31">
        <f t="shared" si="234"/>
        <v>2.6991737005928425</v>
      </c>
      <c r="ET78" s="31"/>
      <c r="EU78" s="31">
        <f t="shared" si="235"/>
        <v>9.4092793090048943</v>
      </c>
      <c r="EV78" s="31">
        <f t="shared" si="236"/>
        <v>3.4769664473339579</v>
      </c>
      <c r="EW78" s="31">
        <f t="shared" si="237"/>
        <v>43.554348636114717</v>
      </c>
      <c r="EX78" s="31">
        <f t="shared" si="238"/>
        <v>4.297564482992561</v>
      </c>
      <c r="EY78" s="31">
        <f t="shared" si="239"/>
        <v>7.4724830972653402</v>
      </c>
      <c r="EZ78" s="31">
        <f t="shared" si="240"/>
        <v>34.895973584396764</v>
      </c>
      <c r="FA78" s="31">
        <f t="shared" si="241"/>
        <v>32.617824018731092</v>
      </c>
      <c r="FB78" s="31">
        <f t="shared" si="242"/>
        <v>3.0427261949121402</v>
      </c>
      <c r="FC78" s="31">
        <f t="shared" si="243"/>
        <v>28.150898989831738</v>
      </c>
      <c r="FD78" s="31">
        <f t="shared" si="244"/>
        <v>35.660550213643234</v>
      </c>
      <c r="FE78" s="31">
        <f t="shared" si="245"/>
        <v>90.22036980076939</v>
      </c>
      <c r="FF78" s="31">
        <f t="shared" si="246"/>
        <v>12.886245756338848</v>
      </c>
      <c r="FG78" s="31">
        <f t="shared" si="247"/>
        <v>166.91806476058321</v>
      </c>
      <c r="FH78" s="31"/>
      <c r="FI78" s="31">
        <f t="shared" si="248"/>
        <v>0.99043462287227169</v>
      </c>
      <c r="FJ78" s="31">
        <f t="shared" si="249"/>
        <v>0.63943780575778097</v>
      </c>
      <c r="FK78" s="31">
        <f t="shared" si="250"/>
        <v>0.14391092850673362</v>
      </c>
      <c r="FL78" s="31">
        <f t="shared" si="251"/>
        <v>1.9966865365269064</v>
      </c>
      <c r="FM78" s="31">
        <f t="shared" si="252"/>
        <v>2.5492953789832211E-3</v>
      </c>
      <c r="FN78" s="31">
        <f t="shared" si="253"/>
        <v>4.5409112718273949E-2</v>
      </c>
      <c r="FO78" s="31">
        <f t="shared" si="254"/>
        <v>1.6414230028930767</v>
      </c>
      <c r="FP78" s="31">
        <f t="shared" si="255"/>
        <v>2.1431467604126233</v>
      </c>
      <c r="FQ78" s="31">
        <f t="shared" si="256"/>
        <v>1.6298724286300523</v>
      </c>
      <c r="FR78" s="31">
        <f t="shared" si="257"/>
        <v>5.4598513046540269</v>
      </c>
      <c r="FS78" s="31">
        <f t="shared" si="258"/>
        <v>5.4598513046540269</v>
      </c>
      <c r="FT78" s="31"/>
      <c r="FU78" s="31">
        <f t="shared" si="259"/>
        <v>0.79234769829781737</v>
      </c>
      <c r="FV78" s="31">
        <f t="shared" si="260"/>
        <v>0.44760646403044652</v>
      </c>
      <c r="FW78" s="31">
        <f t="shared" si="261"/>
        <v>0.14391092850673362</v>
      </c>
      <c r="FX78" s="31">
        <f t="shared" si="262"/>
        <v>1.9966865365269064</v>
      </c>
      <c r="FY78" s="31">
        <f t="shared" si="263"/>
        <v>8.9988196321834444E-3</v>
      </c>
      <c r="FZ78" s="31">
        <f t="shared" si="264"/>
        <v>4.5409112718273949E-2</v>
      </c>
      <c r="GA78" s="31">
        <f t="shared" si="265"/>
        <v>0.93108325425921845</v>
      </c>
      <c r="GB78" s="31">
        <f t="shared" si="266"/>
        <v>2.1495962846658232</v>
      </c>
      <c r="GC78" s="31">
        <f t="shared" si="267"/>
        <v>1.2399541623282639</v>
      </c>
      <c r="GD78" s="31">
        <f t="shared" si="268"/>
        <v>4.3660428139715792</v>
      </c>
    </row>
    <row r="79" spans="1:186">
      <c r="A79" s="39" t="str">
        <f>Basicinfo!A79</f>
        <v>Salza</v>
      </c>
      <c r="B79" s="63">
        <f>Basicinfo!B79</f>
        <v>1500</v>
      </c>
      <c r="C79" s="63">
        <f>Basicinfo!C79</f>
        <v>1510</v>
      </c>
      <c r="D79" s="227">
        <v>430.76105858700004</v>
      </c>
      <c r="E79" s="89">
        <v>17.834993992270132</v>
      </c>
      <c r="F79" s="27">
        <v>0.1060435708923996</v>
      </c>
      <c r="G79" s="19">
        <v>4.4359199814383183</v>
      </c>
      <c r="H79" s="19">
        <v>0.21394866358921544</v>
      </c>
      <c r="I79" s="19">
        <v>0</v>
      </c>
      <c r="J79" s="19">
        <v>13.069412072019324</v>
      </c>
      <c r="K79" s="19">
        <v>2.2388475491083573E-3</v>
      </c>
      <c r="L79" s="19">
        <v>3.6589635936697651E-3</v>
      </c>
      <c r="M79" s="19">
        <v>3.7718931880951719E-3</v>
      </c>
      <c r="N79" s="19">
        <v>17.834993992270132</v>
      </c>
      <c r="O79" s="19">
        <v>0</v>
      </c>
      <c r="P79" s="56">
        <v>14.73542529815677</v>
      </c>
      <c r="Q79" s="43">
        <v>4683.9211442998085</v>
      </c>
      <c r="R79" s="88">
        <v>4698.6565695979652</v>
      </c>
      <c r="S79" s="61">
        <v>3.7005679369423063</v>
      </c>
      <c r="T79" s="19">
        <v>99.850944577354724</v>
      </c>
      <c r="U79" s="19">
        <v>4.7712322177659718</v>
      </c>
      <c r="V79" s="19">
        <v>8.2508921586498571E-2</v>
      </c>
      <c r="W79" s="19">
        <v>0.11709802860749521</v>
      </c>
      <c r="X79" s="19">
        <v>0</v>
      </c>
      <c r="Y79" s="19">
        <v>357.08808733166154</v>
      </c>
      <c r="Z79" s="19">
        <v>0.10524279042565106</v>
      </c>
      <c r="AA79" s="19">
        <v>1.6266243666749829</v>
      </c>
      <c r="AB79" s="19">
        <v>0.3676967727983198</v>
      </c>
      <c r="AC79" s="19">
        <v>467.71000294381747</v>
      </c>
      <c r="AD79" s="19">
        <v>0</v>
      </c>
      <c r="AE79" s="87">
        <v>467.71000294381747</v>
      </c>
      <c r="AF79" s="56">
        <v>9.9041338736090306E-2</v>
      </c>
      <c r="AG79" s="43">
        <v>0.43638737275138334</v>
      </c>
      <c r="AH79" s="43">
        <v>1.0120627582424248E-2</v>
      </c>
      <c r="AI79" s="43">
        <v>5.7924095919249158E-2</v>
      </c>
      <c r="AJ79" s="43">
        <v>2.1554563754272653</v>
      </c>
      <c r="AK79" s="43">
        <v>0</v>
      </c>
      <c r="AL79" s="58">
        <v>0.5075708501216909</v>
      </c>
      <c r="AM79" s="43">
        <v>3.0156203143062919E-2</v>
      </c>
      <c r="AN79" s="42">
        <v>0.28341804345155763</v>
      </c>
      <c r="AO79" s="42">
        <v>6.2350215878028588E-2</v>
      </c>
      <c r="AP79" s="42">
        <v>3.6424251230107525</v>
      </c>
      <c r="AQ79" s="43">
        <v>0</v>
      </c>
      <c r="AR79" s="83">
        <v>3.6424251230107525</v>
      </c>
      <c r="AS79" s="19">
        <f t="shared" si="188"/>
        <v>7.7634456156098768</v>
      </c>
      <c r="AT79" s="19">
        <f t="shared" si="189"/>
        <v>324.7535257562871</v>
      </c>
      <c r="AU79" s="19">
        <f t="shared" si="190"/>
        <v>15.663173168627548</v>
      </c>
      <c r="AV79" s="19">
        <f t="shared" si="191"/>
        <v>0</v>
      </c>
      <c r="AW79" s="19">
        <f t="shared" si="192"/>
        <v>956.81113899936895</v>
      </c>
      <c r="AX79" s="53">
        <f t="shared" si="177"/>
        <v>0.16390594019868057</v>
      </c>
      <c r="AY79" s="53">
        <f t="shared" si="178"/>
        <v>0.26787257944920484</v>
      </c>
      <c r="AZ79" s="53">
        <f t="shared" si="179"/>
        <v>0.27614015057432389</v>
      </c>
      <c r="BA79" s="19">
        <f t="shared" si="180"/>
        <v>1305.6992022101158</v>
      </c>
      <c r="BB79" s="19">
        <f t="shared" si="193"/>
        <v>0</v>
      </c>
      <c r="BC79" s="53">
        <f t="shared" si="194"/>
        <v>1305.6992022101158</v>
      </c>
      <c r="BD79" s="56">
        <f t="shared" si="195"/>
        <v>0.34207886261800247</v>
      </c>
      <c r="BE79" s="43">
        <f t="shared" si="196"/>
        <v>108.73594655153364</v>
      </c>
      <c r="BF79" s="58">
        <f t="shared" si="197"/>
        <v>109.07802541415164</v>
      </c>
      <c r="BG79" s="61">
        <f t="shared" si="198"/>
        <v>85.907671159530068</v>
      </c>
      <c r="BH79" s="19">
        <f t="shared" si="199"/>
        <v>2318.0123315902756</v>
      </c>
      <c r="BI79" s="19">
        <f t="shared" si="200"/>
        <v>110.76284920964682</v>
      </c>
      <c r="BJ79" s="19">
        <f t="shared" si="201"/>
        <v>1.9154220174206951</v>
      </c>
      <c r="BK79" s="19">
        <f t="shared" si="202"/>
        <v>2.7183986637883413</v>
      </c>
      <c r="BL79" s="19">
        <f t="shared" si="203"/>
        <v>0</v>
      </c>
      <c r="BM79" s="19">
        <f t="shared" si="204"/>
        <v>8289.7021495628342</v>
      </c>
      <c r="BN79" s="53">
        <f t="shared" si="205"/>
        <v>2.443182556261533</v>
      </c>
      <c r="BO79" s="53">
        <f t="shared" si="181"/>
        <v>37.761639179054448</v>
      </c>
      <c r="BP79" s="53">
        <f t="shared" si="182"/>
        <v>8.5359798772074189</v>
      </c>
      <c r="BQ79" s="19">
        <f t="shared" si="183"/>
        <v>10857.75962381602</v>
      </c>
      <c r="BR79" s="19">
        <f t="shared" si="206"/>
        <v>0</v>
      </c>
      <c r="BS79" s="53">
        <f t="shared" si="207"/>
        <v>10857.75962381602</v>
      </c>
      <c r="BT79" s="56">
        <f t="shared" si="208"/>
        <v>2.2992175537168968</v>
      </c>
      <c r="BU79" s="43">
        <f t="shared" si="209"/>
        <v>10.130613342413982</v>
      </c>
      <c r="BV79" s="43">
        <f t="shared" si="210"/>
        <v>0.23494759752941324</v>
      </c>
      <c r="BW79" s="43">
        <f t="shared" si="211"/>
        <v>1.3446920227481598</v>
      </c>
      <c r="BX79" s="43">
        <f t="shared" si="212"/>
        <v>50.038329427866138</v>
      </c>
      <c r="BY79" s="58">
        <f t="shared" si="213"/>
        <v>0</v>
      </c>
      <c r="BZ79" s="58">
        <f t="shared" si="214"/>
        <v>11.783118274122677</v>
      </c>
      <c r="CA79" s="58">
        <f t="shared" si="215"/>
        <v>0.70006799690720711</v>
      </c>
      <c r="CB79" s="58">
        <f t="shared" si="184"/>
        <v>6.5794722573399991</v>
      </c>
      <c r="CC79" s="58">
        <f t="shared" si="185"/>
        <v>1.4474431853833842</v>
      </c>
      <c r="CD79" s="58">
        <f t="shared" si="186"/>
        <v>84.557901658027845</v>
      </c>
      <c r="CE79" s="58">
        <f t="shared" si="216"/>
        <v>0</v>
      </c>
      <c r="CF79" s="58">
        <f t="shared" si="217"/>
        <v>84.557901658027845</v>
      </c>
      <c r="CG79" s="127">
        <v>80</v>
      </c>
      <c r="CH79" s="128" t="s">
        <v>169</v>
      </c>
      <c r="CI79" s="128"/>
      <c r="CJ79" s="126">
        <f t="shared" si="187"/>
        <v>76</v>
      </c>
      <c r="CK79" s="126">
        <f t="shared" si="269"/>
        <v>77</v>
      </c>
      <c r="CM79" s="136"/>
      <c r="CN79" s="147">
        <f t="shared" si="218"/>
        <v>9.9041338736090306E-2</v>
      </c>
      <c r="CO79" s="147">
        <f t="shared" si="219"/>
        <v>0.43638737275138334</v>
      </c>
      <c r="CP79" s="147">
        <f t="shared" si="220"/>
        <v>1.0120627582424248E-2</v>
      </c>
      <c r="CQ79" s="31">
        <f>(AI79-(P79*450/1000000))*Parameters!$C$153</f>
        <v>4.1034523628062897E-2</v>
      </c>
      <c r="CR79" s="31">
        <f t="shared" si="221"/>
        <v>0</v>
      </c>
      <c r="CS79" s="31">
        <f t="shared" si="222"/>
        <v>0.5075708501216909</v>
      </c>
      <c r="CT79" s="31">
        <f>AM79*Parameters!$C$154</f>
        <v>2.7140582828756626E-2</v>
      </c>
      <c r="CU79" s="31">
        <f>AQ79*Parameters!$C$155</f>
        <v>0</v>
      </c>
      <c r="CV79" s="31">
        <f t="shared" si="223"/>
        <v>1.1212952956484084</v>
      </c>
      <c r="CW79" s="188">
        <f t="shared" si="224"/>
        <v>30.784305998899136</v>
      </c>
      <c r="CY79" s="181">
        <v>144.56059583999999</v>
      </c>
      <c r="CZ79" s="181">
        <v>62.849246995417843</v>
      </c>
      <c r="DA79" s="181">
        <v>1210.1396627296363</v>
      </c>
      <c r="DB79" s="181">
        <v>74.612561031965384</v>
      </c>
      <c r="DC79" s="181">
        <v>109.05256051124303</v>
      </c>
      <c r="DD79" s="181">
        <v>598.32297410152205</v>
      </c>
      <c r="DE79" s="181">
        <v>982.27838981449054</v>
      </c>
      <c r="DF79" s="181">
        <v>55.742687749641249</v>
      </c>
      <c r="DG79" s="181">
        <v>600.6031600135434</v>
      </c>
      <c r="DH79" s="181">
        <v>1038.0210775641317</v>
      </c>
      <c r="DI79" s="181">
        <v>1992.1277583743667</v>
      </c>
      <c r="DJ79" s="181">
        <v>207.40984283541783</v>
      </c>
      <c r="DK79" s="181">
        <v>3838.1618387874596</v>
      </c>
      <c r="DL79" s="181"/>
      <c r="DM79" s="181">
        <v>17.193640566666666</v>
      </c>
      <c r="DN79" s="181">
        <v>11.431917779174547</v>
      </c>
      <c r="DO79" s="181">
        <v>2.0037412075749281</v>
      </c>
      <c r="DP79" s="181">
        <v>26.545935131893092</v>
      </c>
      <c r="DQ79" s="181">
        <v>6.821958239029291E-2</v>
      </c>
      <c r="DR79" s="181">
        <v>0.87138430990796967</v>
      </c>
      <c r="DS79" s="181">
        <v>33.573789022338289</v>
      </c>
      <c r="DT79" s="181">
        <v>28.617895921858313</v>
      </c>
      <c r="DU79" s="181">
        <v>28.625558345841217</v>
      </c>
      <c r="DV79" s="181">
        <v>91.688627599945789</v>
      </c>
      <c r="DW79" s="181">
        <v>91.688627599945789</v>
      </c>
      <c r="DX79" s="181"/>
      <c r="DY79" s="181">
        <v>13.754912453333334</v>
      </c>
      <c r="DZ79" s="181">
        <v>8.0023424454221832</v>
      </c>
      <c r="EA79" s="181">
        <v>2.0037412075749281</v>
      </c>
      <c r="EB79" s="181">
        <v>26.545935131893092</v>
      </c>
      <c r="EC79" s="181">
        <v>0.15828682238572492</v>
      </c>
      <c r="ED79" s="181">
        <v>0.87138430990796967</v>
      </c>
      <c r="EE79" s="181">
        <v>16.338991338314621</v>
      </c>
      <c r="EF79" s="181">
        <v>28.707963161853741</v>
      </c>
      <c r="EG79" s="181">
        <v>21.757254898755519</v>
      </c>
      <c r="EH79" s="181">
        <v>67.675593708831855</v>
      </c>
      <c r="EJ79" s="31">
        <f t="shared" si="225"/>
        <v>2.2992175537168967E-3</v>
      </c>
      <c r="EK79" s="31">
        <f t="shared" si="226"/>
        <v>1.0130613342413983E-2</v>
      </c>
      <c r="EL79" s="31">
        <f t="shared" si="227"/>
        <v>2.3494759752941324E-4</v>
      </c>
      <c r="EM79" s="31">
        <f t="shared" si="228"/>
        <v>9.5260522765604693E-4</v>
      </c>
      <c r="EN79" s="31">
        <f t="shared" si="229"/>
        <v>0</v>
      </c>
      <c r="EO79" s="31">
        <f t="shared" si="230"/>
        <v>1.1783118274122676E-2</v>
      </c>
      <c r="EP79" s="31">
        <f t="shared" si="231"/>
        <v>6.3006119721648643E-4</v>
      </c>
      <c r="EQ79" s="31">
        <f t="shared" si="232"/>
        <v>0</v>
      </c>
      <c r="ER79" s="31">
        <f t="shared" si="233"/>
        <v>2.6030563192655499E-2</v>
      </c>
      <c r="ES79" s="31">
        <f t="shared" si="234"/>
        <v>0.71464923268317404</v>
      </c>
      <c r="ET79" s="31"/>
      <c r="EU79" s="31">
        <f t="shared" si="235"/>
        <v>3.3559346407540533</v>
      </c>
      <c r="EV79" s="31">
        <f t="shared" si="236"/>
        <v>1.4590280561009508</v>
      </c>
      <c r="EW79" s="31">
        <f t="shared" si="237"/>
        <v>28.093060842110141</v>
      </c>
      <c r="EX79" s="31">
        <f t="shared" si="238"/>
        <v>1.7321101697705112</v>
      </c>
      <c r="EY79" s="31">
        <f t="shared" si="239"/>
        <v>2.5316253253941219</v>
      </c>
      <c r="EZ79" s="31">
        <f t="shared" si="240"/>
        <v>13.889903977489642</v>
      </c>
      <c r="FA79" s="31">
        <f t="shared" si="241"/>
        <v>22.803323797109243</v>
      </c>
      <c r="FB79" s="31">
        <f t="shared" si="242"/>
        <v>1.2940512295259623</v>
      </c>
      <c r="FC79" s="31">
        <f t="shared" si="243"/>
        <v>13.942837868949118</v>
      </c>
      <c r="FD79" s="31">
        <f t="shared" si="244"/>
        <v>24.097375026635198</v>
      </c>
      <c r="FE79" s="31">
        <f t="shared" si="245"/>
        <v>46.246700314764418</v>
      </c>
      <c r="FF79" s="31">
        <f t="shared" si="246"/>
        <v>4.8149626968550043</v>
      </c>
      <c r="FG79" s="31">
        <f t="shared" si="247"/>
        <v>89.101875907203734</v>
      </c>
      <c r="FH79" s="31"/>
      <c r="FI79" s="31">
        <f t="shared" si="248"/>
        <v>0.39914565683040026</v>
      </c>
      <c r="FJ79" s="31">
        <f t="shared" si="249"/>
        <v>0.26538884031611376</v>
      </c>
      <c r="FK79" s="31">
        <f t="shared" si="250"/>
        <v>4.6516303357310933E-2</v>
      </c>
      <c r="FL79" s="31">
        <f t="shared" si="251"/>
        <v>0.61625661379350649</v>
      </c>
      <c r="FM79" s="31">
        <f t="shared" si="252"/>
        <v>1.5836989214872293E-3</v>
      </c>
      <c r="FN79" s="31">
        <f t="shared" si="253"/>
        <v>2.0228948103301628E-2</v>
      </c>
      <c r="FO79" s="31">
        <f t="shared" si="254"/>
        <v>0.77940631709998121</v>
      </c>
      <c r="FP79" s="31">
        <f t="shared" si="255"/>
        <v>0.66435661607230467</v>
      </c>
      <c r="FQ79" s="31">
        <f t="shared" si="256"/>
        <v>0.66453449714651402</v>
      </c>
      <c r="FR79" s="31">
        <f t="shared" si="257"/>
        <v>2.1285263784221016</v>
      </c>
      <c r="FS79" s="31">
        <f t="shared" si="258"/>
        <v>2.1285263784221016</v>
      </c>
      <c r="FT79" s="31"/>
      <c r="FU79" s="31">
        <f t="shared" si="259"/>
        <v>0.31931652546432021</v>
      </c>
      <c r="FV79" s="31">
        <f t="shared" si="260"/>
        <v>0.18577218822127964</v>
      </c>
      <c r="FW79" s="31">
        <f t="shared" si="261"/>
        <v>4.6516303357310933E-2</v>
      </c>
      <c r="FX79" s="31">
        <f t="shared" si="262"/>
        <v>0.61625661379350649</v>
      </c>
      <c r="FY79" s="31">
        <f t="shared" si="263"/>
        <v>3.6745852307296253E-3</v>
      </c>
      <c r="FZ79" s="31">
        <f t="shared" si="264"/>
        <v>2.0228948103301628E-2</v>
      </c>
      <c r="GA79" s="31">
        <f t="shared" si="265"/>
        <v>0.37930520906208293</v>
      </c>
      <c r="GB79" s="31">
        <f t="shared" si="266"/>
        <v>0.66644750238154704</v>
      </c>
      <c r="GC79" s="31">
        <f t="shared" si="267"/>
        <v>0.50508871368559993</v>
      </c>
      <c r="GD79" s="31">
        <f t="shared" si="268"/>
        <v>1.5710703732325313</v>
      </c>
    </row>
    <row r="80" spans="1:186">
      <c r="A80" s="39" t="str">
        <f>Basicinfo!A80</f>
        <v>Salza</v>
      </c>
      <c r="B80" s="63">
        <f>Basicinfo!B80</f>
        <v>1510</v>
      </c>
      <c r="C80" s="63">
        <f>Basicinfo!C80</f>
        <v>4070</v>
      </c>
      <c r="D80" s="227">
        <v>866.69655388000001</v>
      </c>
      <c r="E80" s="89">
        <v>29.792839192746651</v>
      </c>
      <c r="F80" s="27">
        <v>0.17964013797455475</v>
      </c>
      <c r="G80" s="19">
        <v>7.1165463690494084</v>
      </c>
      <c r="H80" s="19">
        <v>0.29601059539548019</v>
      </c>
      <c r="I80" s="19">
        <v>0</v>
      </c>
      <c r="J80" s="19">
        <v>22.165971686955949</v>
      </c>
      <c r="K80" s="19">
        <v>5.5971783553514778E-3</v>
      </c>
      <c r="L80" s="19">
        <v>8.9360647456485573E-3</v>
      </c>
      <c r="M80" s="19">
        <v>1.000038536750331E-2</v>
      </c>
      <c r="N80" s="19">
        <v>29.782702417843893</v>
      </c>
      <c r="O80" s="19">
        <v>1.0136774902756638E-2</v>
      </c>
      <c r="P80" s="56">
        <v>26.927033912067373</v>
      </c>
      <c r="Q80" s="43">
        <v>9333.924165737184</v>
      </c>
      <c r="R80" s="88">
        <v>9360.8511996492525</v>
      </c>
      <c r="S80" s="61">
        <v>6.4714724520049067</v>
      </c>
      <c r="T80" s="19">
        <v>163.95157296157785</v>
      </c>
      <c r="U80" s="19">
        <v>6.7341395565817894</v>
      </c>
      <c r="V80" s="19">
        <v>0.151327587590838</v>
      </c>
      <c r="W80" s="19">
        <v>0.2333481041434296</v>
      </c>
      <c r="X80" s="19">
        <v>0</v>
      </c>
      <c r="Y80" s="19">
        <v>704.13713235391231</v>
      </c>
      <c r="Z80" s="19">
        <v>0.27631010272200685</v>
      </c>
      <c r="AA80" s="19">
        <v>3.7833043836887277</v>
      </c>
      <c r="AB80" s="19">
        <v>1.0595725756834506</v>
      </c>
      <c r="AC80" s="19">
        <v>886.79818007790527</v>
      </c>
      <c r="AD80" s="19">
        <v>5.2816266666666669</v>
      </c>
      <c r="AE80" s="87">
        <v>892.0798067445719</v>
      </c>
      <c r="AF80" s="56">
        <v>0.17350552545564049</v>
      </c>
      <c r="AG80" s="43">
        <v>0.79695969694154023</v>
      </c>
      <c r="AH80" s="43">
        <v>1.4002485204587795E-2</v>
      </c>
      <c r="AI80" s="43">
        <v>0.11366998933599926</v>
      </c>
      <c r="AJ80" s="43">
        <v>4.2676917678530115</v>
      </c>
      <c r="AK80" s="43">
        <v>0</v>
      </c>
      <c r="AL80" s="58">
        <v>1.3675340383123236</v>
      </c>
      <c r="AM80" s="43">
        <v>7.9728323653642102E-2</v>
      </c>
      <c r="AN80" s="42">
        <v>0.66419447374175444</v>
      </c>
      <c r="AO80" s="42">
        <v>0.17733974147811168</v>
      </c>
      <c r="AP80" s="42">
        <v>7.654626041976611</v>
      </c>
      <c r="AQ80" s="43">
        <v>0.9754666666666667</v>
      </c>
      <c r="AR80" s="83">
        <v>8.6300927086432768</v>
      </c>
      <c r="AS80" s="19">
        <f t="shared" si="188"/>
        <v>6.5364646551368821</v>
      </c>
      <c r="AT80" s="19">
        <f t="shared" si="189"/>
        <v>258.94576976178405</v>
      </c>
      <c r="AU80" s="19">
        <f t="shared" si="190"/>
        <v>10.770771032377215</v>
      </c>
      <c r="AV80" s="19">
        <f t="shared" si="191"/>
        <v>0</v>
      </c>
      <c r="AW80" s="19">
        <f t="shared" si="192"/>
        <v>806.54074368989336</v>
      </c>
      <c r="AX80" s="53">
        <f t="shared" si="177"/>
        <v>0.2036613804729672</v>
      </c>
      <c r="AY80" s="53">
        <f t="shared" si="178"/>
        <v>0.32515156147464164</v>
      </c>
      <c r="AZ80" s="53">
        <f t="shared" si="179"/>
        <v>0.36387839727495885</v>
      </c>
      <c r="BA80" s="19">
        <f t="shared" si="180"/>
        <v>1083.6864404784142</v>
      </c>
      <c r="BB80" s="19">
        <f t="shared" si="193"/>
        <v>0.36884112657680457</v>
      </c>
      <c r="BC80" s="53">
        <f t="shared" si="194"/>
        <v>1084.055281604991</v>
      </c>
      <c r="BD80" s="56">
        <f t="shared" si="195"/>
        <v>0.31068583106187825</v>
      </c>
      <c r="BE80" s="43">
        <f t="shared" si="196"/>
        <v>107.69541108651424</v>
      </c>
      <c r="BF80" s="58">
        <f t="shared" si="197"/>
        <v>108.00609691757612</v>
      </c>
      <c r="BG80" s="61">
        <f t="shared" si="198"/>
        <v>74.66826103131045</v>
      </c>
      <c r="BH80" s="19">
        <f t="shared" si="199"/>
        <v>1891.6836836099624</v>
      </c>
      <c r="BI80" s="19">
        <f t="shared" si="200"/>
        <v>77.698930801496829</v>
      </c>
      <c r="BJ80" s="19">
        <f t="shared" si="201"/>
        <v>1.7460273369425481</v>
      </c>
      <c r="BK80" s="19">
        <f t="shared" si="202"/>
        <v>2.692385277162856</v>
      </c>
      <c r="BL80" s="19">
        <f t="shared" si="203"/>
        <v>0</v>
      </c>
      <c r="BM80" s="19">
        <f t="shared" si="204"/>
        <v>8124.3790482568929</v>
      </c>
      <c r="BN80" s="53">
        <f t="shared" si="205"/>
        <v>3.1880835511002141</v>
      </c>
      <c r="BO80" s="53">
        <f t="shared" si="181"/>
        <v>43.652006769286771</v>
      </c>
      <c r="BP80" s="53">
        <f t="shared" si="182"/>
        <v>12.225415815258401</v>
      </c>
      <c r="BQ80" s="19">
        <f t="shared" si="183"/>
        <v>10231.933842449414</v>
      </c>
      <c r="BR80" s="19">
        <f t="shared" si="206"/>
        <v>60.939744631751978</v>
      </c>
      <c r="BS80" s="53">
        <f t="shared" si="207"/>
        <v>10292.873587081167</v>
      </c>
      <c r="BT80" s="56">
        <f t="shared" si="208"/>
        <v>2.001917795552508</v>
      </c>
      <c r="BU80" s="43">
        <f t="shared" si="209"/>
        <v>9.1953717062071618</v>
      </c>
      <c r="BV80" s="43">
        <f t="shared" si="210"/>
        <v>0.16156156548565823</v>
      </c>
      <c r="BW80" s="43">
        <f t="shared" si="211"/>
        <v>1.3115315715416775</v>
      </c>
      <c r="BX80" s="43">
        <f t="shared" si="212"/>
        <v>49.240899236849884</v>
      </c>
      <c r="BY80" s="58">
        <f t="shared" si="213"/>
        <v>0</v>
      </c>
      <c r="BZ80" s="58">
        <f t="shared" si="214"/>
        <v>15.778694771430553</v>
      </c>
      <c r="CA80" s="58">
        <f t="shared" si="215"/>
        <v>0.91991047266447334</v>
      </c>
      <c r="CB80" s="58">
        <f t="shared" si="184"/>
        <v>7.6635181110194734</v>
      </c>
      <c r="CC80" s="58">
        <f t="shared" si="185"/>
        <v>2.0461572240503632</v>
      </c>
      <c r="CD80" s="58">
        <f t="shared" si="186"/>
        <v>88.319562454801741</v>
      </c>
      <c r="CE80" s="58">
        <f t="shared" si="216"/>
        <v>11.254996484060403</v>
      </c>
      <c r="CF80" s="58">
        <f t="shared" si="217"/>
        <v>99.57455893886214</v>
      </c>
      <c r="CG80" s="127">
        <v>84</v>
      </c>
      <c r="CH80" s="128" t="s">
        <v>169</v>
      </c>
      <c r="CI80" s="128"/>
      <c r="CJ80" s="126">
        <f t="shared" si="187"/>
        <v>77</v>
      </c>
      <c r="CK80" s="126">
        <f t="shared" si="269"/>
        <v>81</v>
      </c>
      <c r="CM80" s="136"/>
      <c r="CN80" s="147">
        <f t="shared" si="218"/>
        <v>0.17350552545564049</v>
      </c>
      <c r="CO80" s="147">
        <f t="shared" si="219"/>
        <v>0.79695969694154023</v>
      </c>
      <c r="CP80" s="147">
        <f t="shared" si="220"/>
        <v>1.4002485204587795E-2</v>
      </c>
      <c r="CQ80" s="31">
        <f>(AI80-(P80*450/1000000))*Parameters!$C$153</f>
        <v>8.1242259260455155E-2</v>
      </c>
      <c r="CR80" s="31">
        <f t="shared" si="221"/>
        <v>0</v>
      </c>
      <c r="CS80" s="31">
        <f t="shared" si="222"/>
        <v>1.3675340383123236</v>
      </c>
      <c r="CT80" s="31">
        <f>AM80*Parameters!$C$154</f>
        <v>7.1755491288277892E-2</v>
      </c>
      <c r="CU80" s="31">
        <f>AQ80*Parameters!$C$155</f>
        <v>0.9754666666666667</v>
      </c>
      <c r="CV80" s="31">
        <f t="shared" si="223"/>
        <v>3.480466163129492</v>
      </c>
      <c r="CW80" s="188">
        <f t="shared" si="224"/>
        <v>40.329418010118346</v>
      </c>
      <c r="CY80" s="181">
        <v>225.53857084000001</v>
      </c>
      <c r="CZ80" s="181">
        <v>141.82513503714515</v>
      </c>
      <c r="DA80" s="181">
        <v>1819.0898475962565</v>
      </c>
      <c r="DB80" s="181">
        <v>184.18568259833907</v>
      </c>
      <c r="DC80" s="181">
        <v>121.18566561137598</v>
      </c>
      <c r="DD80" s="181">
        <v>1233.0019382573551</v>
      </c>
      <c r="DE80" s="181">
        <v>1414.7462010043705</v>
      </c>
      <c r="DF80" s="181">
        <v>130.03476794147235</v>
      </c>
      <c r="DG80" s="181">
        <v>901.70533728799205</v>
      </c>
      <c r="DH80" s="181">
        <v>1544.7809689458429</v>
      </c>
      <c r="DI80" s="181">
        <v>3357.4631340633268</v>
      </c>
      <c r="DJ80" s="181">
        <v>367.36370587714515</v>
      </c>
      <c r="DK80" s="181">
        <v>6171.3131461743069</v>
      </c>
      <c r="DL80" s="181"/>
      <c r="DM80" s="181">
        <v>23.432115566666663</v>
      </c>
      <c r="DN80" s="181">
        <v>25.271308939963991</v>
      </c>
      <c r="DO80" s="181">
        <v>2.1752719114001118</v>
      </c>
      <c r="DP80" s="181">
        <v>37.991730435325572</v>
      </c>
      <c r="DQ80" s="181">
        <v>2.1232031163966907</v>
      </c>
      <c r="DR80" s="181">
        <v>1.4401296819393172</v>
      </c>
      <c r="DS80" s="181">
        <v>45.554788892175658</v>
      </c>
      <c r="DT80" s="181">
        <v>42.290205463122376</v>
      </c>
      <c r="DU80" s="181">
        <v>48.703424506630661</v>
      </c>
      <c r="DV80" s="181">
        <v>137.98854854386803</v>
      </c>
      <c r="DW80" s="181">
        <v>137.98854854386803</v>
      </c>
      <c r="DX80" s="181"/>
      <c r="DY80" s="181">
        <v>18.745692453333337</v>
      </c>
      <c r="DZ80" s="181">
        <v>17.689916257974794</v>
      </c>
      <c r="EA80" s="181">
        <v>2.1752719114001118</v>
      </c>
      <c r="EB80" s="181">
        <v>37.991730435325572</v>
      </c>
      <c r="EC80" s="181">
        <v>1.2429851976990958</v>
      </c>
      <c r="ED80" s="181">
        <v>1.4401296819393172</v>
      </c>
      <c r="EE80" s="181">
        <v>20.158464928800672</v>
      </c>
      <c r="EF80" s="181">
        <v>41.409987544424773</v>
      </c>
      <c r="EG80" s="181">
        <v>36.435608711308134</v>
      </c>
      <c r="EH80" s="181">
        <v>99.444190866472894</v>
      </c>
      <c r="EJ80" s="31">
        <f t="shared" si="225"/>
        <v>2.0019177955525082E-3</v>
      </c>
      <c r="EK80" s="31">
        <f t="shared" si="226"/>
        <v>9.1953717062071613E-3</v>
      </c>
      <c r="EL80" s="31">
        <f t="shared" si="227"/>
        <v>1.6156156548565823E-4</v>
      </c>
      <c r="EM80" s="31">
        <f t="shared" si="228"/>
        <v>9.3737835805106579E-4</v>
      </c>
      <c r="EN80" s="31">
        <f t="shared" si="229"/>
        <v>0</v>
      </c>
      <c r="EO80" s="31">
        <f t="shared" si="230"/>
        <v>1.5778694771430554E-2</v>
      </c>
      <c r="EP80" s="31">
        <f t="shared" si="231"/>
        <v>8.2791942539802614E-4</v>
      </c>
      <c r="EQ80" s="31">
        <f t="shared" si="232"/>
        <v>1.1254996484060403E-2</v>
      </c>
      <c r="ER80" s="31">
        <f t="shared" si="233"/>
        <v>4.015784010618538E-2</v>
      </c>
      <c r="ES80" s="31">
        <f t="shared" si="234"/>
        <v>0.46532339178658172</v>
      </c>
      <c r="ET80" s="31"/>
      <c r="EU80" s="31">
        <f t="shared" si="235"/>
        <v>2.6022783848662603</v>
      </c>
      <c r="EV80" s="31">
        <f t="shared" si="236"/>
        <v>1.6363874345897285</v>
      </c>
      <c r="EW80" s="31">
        <f t="shared" si="237"/>
        <v>20.988774438442288</v>
      </c>
      <c r="EX80" s="31">
        <f t="shared" si="238"/>
        <v>2.1251461284088693</v>
      </c>
      <c r="EY80" s="31">
        <f t="shared" si="239"/>
        <v>1.3982479227459228</v>
      </c>
      <c r="EZ80" s="31">
        <f t="shared" si="240"/>
        <v>14.226454838634012</v>
      </c>
      <c r="FA80" s="31">
        <f t="shared" si="241"/>
        <v>16.32343170941293</v>
      </c>
      <c r="FB80" s="31">
        <f t="shared" si="242"/>
        <v>1.5003494286360868</v>
      </c>
      <c r="FC80" s="31">
        <f t="shared" si="243"/>
        <v>10.403933571112818</v>
      </c>
      <c r="FD80" s="31">
        <f t="shared" si="244"/>
        <v>17.823781138049018</v>
      </c>
      <c r="FE80" s="31">
        <f t="shared" si="245"/>
        <v>38.7386233282311</v>
      </c>
      <c r="FF80" s="31">
        <f t="shared" si="246"/>
        <v>4.2386658194559885</v>
      </c>
      <c r="FG80" s="31">
        <f t="shared" si="247"/>
        <v>71.205003856848919</v>
      </c>
      <c r="FH80" s="31"/>
      <c r="FI80" s="31">
        <f t="shared" si="248"/>
        <v>0.27036124075683121</v>
      </c>
      <c r="FJ80" s="31">
        <f t="shared" si="249"/>
        <v>0.29158197095431132</v>
      </c>
      <c r="FK80" s="31">
        <f t="shared" si="250"/>
        <v>2.5098425759995498E-2</v>
      </c>
      <c r="FL80" s="31">
        <f t="shared" si="251"/>
        <v>0.43835100376533609</v>
      </c>
      <c r="FM80" s="31">
        <f t="shared" si="252"/>
        <v>2.4497652689301711E-2</v>
      </c>
      <c r="FN80" s="31">
        <f t="shared" si="253"/>
        <v>1.6616307927984596E-2</v>
      </c>
      <c r="FO80" s="31">
        <f t="shared" si="254"/>
        <v>0.52561405359508351</v>
      </c>
      <c r="FP80" s="31">
        <f t="shared" si="255"/>
        <v>0.48794708221463329</v>
      </c>
      <c r="FQ80" s="31">
        <f t="shared" si="256"/>
        <v>0.5619432117111427</v>
      </c>
      <c r="FR80" s="31">
        <f t="shared" si="257"/>
        <v>1.5921206554488447</v>
      </c>
      <c r="FS80" s="31">
        <f t="shared" si="258"/>
        <v>1.5921206554488447</v>
      </c>
      <c r="FT80" s="31"/>
      <c r="FU80" s="31">
        <f t="shared" si="259"/>
        <v>0.21628899260546505</v>
      </c>
      <c r="FV80" s="31">
        <f t="shared" si="260"/>
        <v>0.20410737966801798</v>
      </c>
      <c r="FW80" s="31">
        <f t="shared" si="261"/>
        <v>2.5098425759995498E-2</v>
      </c>
      <c r="FX80" s="31">
        <f t="shared" si="262"/>
        <v>0.43835100376533609</v>
      </c>
      <c r="FY80" s="31">
        <f t="shared" si="263"/>
        <v>1.4341642321462322E-2</v>
      </c>
      <c r="FZ80" s="31">
        <f t="shared" si="264"/>
        <v>1.6616307927984596E-2</v>
      </c>
      <c r="GA80" s="31">
        <f t="shared" si="265"/>
        <v>0.23258965134401294</v>
      </c>
      <c r="GB80" s="31">
        <f t="shared" si="266"/>
        <v>0.47779107184679381</v>
      </c>
      <c r="GC80" s="31">
        <f t="shared" si="267"/>
        <v>0.42039637227348309</v>
      </c>
      <c r="GD80" s="31">
        <f t="shared" si="268"/>
        <v>1.1473934033922746</v>
      </c>
    </row>
    <row r="81" spans="1:186">
      <c r="A81" s="39" t="str">
        <f>Basicinfo!A81</f>
        <v>Traun</v>
      </c>
      <c r="B81" s="63">
        <f>Basicinfo!B81</f>
        <v>4000</v>
      </c>
      <c r="C81" s="63">
        <f>Basicinfo!C81</f>
        <v>4010</v>
      </c>
      <c r="D81" s="227">
        <v>317.43871244799999</v>
      </c>
      <c r="E81" s="89">
        <v>19.924093844269802</v>
      </c>
      <c r="F81" s="27">
        <v>0.31784277314272658</v>
      </c>
      <c r="G81" s="19">
        <v>5.4672883031328814</v>
      </c>
      <c r="H81" s="19">
        <v>0.47205779900578593</v>
      </c>
      <c r="I81" s="19">
        <v>7.8608838818759966E-3</v>
      </c>
      <c r="J81" s="19">
        <v>13.595950385791546</v>
      </c>
      <c r="K81" s="19">
        <v>6.6976103522789366E-3</v>
      </c>
      <c r="L81" s="19">
        <v>1.0538064808435913E-2</v>
      </c>
      <c r="M81" s="19">
        <v>7.3775573861318521E-3</v>
      </c>
      <c r="N81" s="19">
        <v>19.885613377501663</v>
      </c>
      <c r="O81" s="19">
        <v>3.8480466768138002E-2</v>
      </c>
      <c r="P81" s="56">
        <v>15.226485082087947</v>
      </c>
      <c r="Q81" s="43">
        <v>2549.2513108260528</v>
      </c>
      <c r="R81" s="88">
        <v>2564.4777959081407</v>
      </c>
      <c r="S81" s="61">
        <v>9.8363393083918798</v>
      </c>
      <c r="T81" s="19">
        <v>113.23199792400619</v>
      </c>
      <c r="U81" s="19">
        <v>9.7760190855335285</v>
      </c>
      <c r="V81" s="19">
        <v>9.4670323250876182E-2</v>
      </c>
      <c r="W81" s="19">
        <v>6.3731282770651321E-2</v>
      </c>
      <c r="X81" s="19">
        <v>1.2364838935724365</v>
      </c>
      <c r="Y81" s="19">
        <v>298.02166178277974</v>
      </c>
      <c r="Z81" s="19">
        <v>0.29715993559401738</v>
      </c>
      <c r="AA81" s="19">
        <v>4.8725002180536432</v>
      </c>
      <c r="AB81" s="19">
        <v>0.51894274995581147</v>
      </c>
      <c r="AC81" s="19">
        <v>437.94950650390876</v>
      </c>
      <c r="AD81" s="19">
        <v>12.402042666666667</v>
      </c>
      <c r="AE81" s="87">
        <v>450.35154917057542</v>
      </c>
      <c r="AF81" s="56">
        <v>0.29168690194751928</v>
      </c>
      <c r="AG81" s="43">
        <v>2.4550666929757248</v>
      </c>
      <c r="AH81" s="43">
        <v>4.8027434078652571E-2</v>
      </c>
      <c r="AI81" s="43">
        <v>6.8457755852892349E-2</v>
      </c>
      <c r="AJ81" s="43">
        <v>1.2741179597597778</v>
      </c>
      <c r="AK81" s="43">
        <v>0.16597621853376118</v>
      </c>
      <c r="AL81" s="58">
        <v>6.067715712972892</v>
      </c>
      <c r="AM81" s="43">
        <v>8.1105058912876365E-2</v>
      </c>
      <c r="AN81" s="42">
        <v>0.83666141892353063</v>
      </c>
      <c r="AO81" s="42">
        <v>8.6732313628002364E-2</v>
      </c>
      <c r="AP81" s="42">
        <v>11.37554746758563</v>
      </c>
      <c r="AQ81" s="43">
        <v>1.0529599999999999</v>
      </c>
      <c r="AR81" s="83">
        <v>12.42850746758563</v>
      </c>
      <c r="AS81" s="19">
        <f t="shared" si="188"/>
        <v>31.576141474776755</v>
      </c>
      <c r="AT81" s="19">
        <f t="shared" si="189"/>
        <v>543.14863678084714</v>
      </c>
      <c r="AU81" s="19">
        <f t="shared" si="190"/>
        <v>46.896658049812025</v>
      </c>
      <c r="AV81" s="19">
        <f t="shared" si="191"/>
        <v>0.78094077495179592</v>
      </c>
      <c r="AW81" s="19">
        <f t="shared" si="192"/>
        <v>1350.691880205248</v>
      </c>
      <c r="AX81" s="53">
        <f t="shared" si="177"/>
        <v>0.66537517885147057</v>
      </c>
      <c r="AY81" s="53">
        <f t="shared" si="178"/>
        <v>1.0469057451626165</v>
      </c>
      <c r="AZ81" s="53">
        <f t="shared" si="179"/>
        <v>0.73292462641010159</v>
      </c>
      <c r="BA81" s="19">
        <f t="shared" si="180"/>
        <v>1975.5394628360598</v>
      </c>
      <c r="BB81" s="19">
        <f t="shared" si="193"/>
        <v>3.8228481669474639</v>
      </c>
      <c r="BC81" s="53">
        <f t="shared" si="194"/>
        <v>1979.3623110030073</v>
      </c>
      <c r="BD81" s="56">
        <f t="shared" si="195"/>
        <v>0.4796669241966578</v>
      </c>
      <c r="BE81" s="43">
        <f t="shared" si="196"/>
        <v>80.306881639196675</v>
      </c>
      <c r="BF81" s="58">
        <f t="shared" si="197"/>
        <v>80.786548563393339</v>
      </c>
      <c r="BG81" s="61">
        <f t="shared" si="198"/>
        <v>309.86577637417753</v>
      </c>
      <c r="BH81" s="19">
        <f t="shared" si="199"/>
        <v>3567.0506930548008</v>
      </c>
      <c r="BI81" s="19">
        <f t="shared" si="200"/>
        <v>307.96556003341743</v>
      </c>
      <c r="BJ81" s="19">
        <f t="shared" si="201"/>
        <v>2.9823181464165067</v>
      </c>
      <c r="BK81" s="19">
        <f t="shared" si="202"/>
        <v>2.0076720409799171</v>
      </c>
      <c r="BL81" s="19">
        <f t="shared" si="203"/>
        <v>38.951893549372507</v>
      </c>
      <c r="BM81" s="19">
        <f t="shared" si="204"/>
        <v>9388.3212757674919</v>
      </c>
      <c r="BN81" s="53">
        <f t="shared" si="205"/>
        <v>9.3611750533638975</v>
      </c>
      <c r="BO81" s="53">
        <f t="shared" si="181"/>
        <v>153.49420303775372</v>
      </c>
      <c r="BP81" s="53">
        <f t="shared" si="182"/>
        <v>16.347809186657411</v>
      </c>
      <c r="BQ81" s="19">
        <f t="shared" si="183"/>
        <v>13796.348376244432</v>
      </c>
      <c r="BR81" s="19">
        <f t="shared" si="206"/>
        <v>390.69093277960729</v>
      </c>
      <c r="BS81" s="53">
        <f t="shared" si="207"/>
        <v>14187.03930902404</v>
      </c>
      <c r="BT81" s="56">
        <f t="shared" si="208"/>
        <v>9.1887627598445754</v>
      </c>
      <c r="BU81" s="43">
        <f t="shared" si="209"/>
        <v>77.339864254202837</v>
      </c>
      <c r="BV81" s="43">
        <f t="shared" si="210"/>
        <v>1.5129671396496733</v>
      </c>
      <c r="BW81" s="43">
        <f t="shared" si="211"/>
        <v>2.1565660761715222</v>
      </c>
      <c r="BX81" s="43">
        <f t="shared" si="212"/>
        <v>40.137447318070649</v>
      </c>
      <c r="BY81" s="58">
        <f t="shared" si="213"/>
        <v>5.2286067207681848</v>
      </c>
      <c r="BZ81" s="58">
        <f t="shared" si="214"/>
        <v>191.14605355409674</v>
      </c>
      <c r="CA81" s="58">
        <f t="shared" si="215"/>
        <v>2.5549832371551808</v>
      </c>
      <c r="CB81" s="58">
        <f t="shared" si="184"/>
        <v>26.356628417228258</v>
      </c>
      <c r="CC81" s="58">
        <f t="shared" si="185"/>
        <v>2.7322538249713344</v>
      </c>
      <c r="CD81" s="58">
        <f t="shared" si="186"/>
        <v>358.35413330215897</v>
      </c>
      <c r="CE81" s="58">
        <f t="shared" si="216"/>
        <v>33.170497444368465</v>
      </c>
      <c r="CF81" s="58">
        <f t="shared" si="217"/>
        <v>391.52463074652746</v>
      </c>
      <c r="CG81" s="127">
        <v>61</v>
      </c>
      <c r="CH81" s="128" t="s">
        <v>169</v>
      </c>
      <c r="CI81" s="128"/>
      <c r="CJ81" s="126">
        <f t="shared" si="187"/>
        <v>78</v>
      </c>
      <c r="CK81" s="126">
        <f t="shared" si="269"/>
        <v>58</v>
      </c>
      <c r="CN81" s="147">
        <f t="shared" si="218"/>
        <v>0.29168690194751928</v>
      </c>
      <c r="CO81" s="147">
        <f t="shared" si="219"/>
        <v>2.4550666929757248</v>
      </c>
      <c r="CP81" s="147">
        <f t="shared" si="220"/>
        <v>4.8027434078652571E-2</v>
      </c>
      <c r="CQ81" s="31">
        <f>(AI81-(P81*450/1000000))*Parameters!$C$153</f>
        <v>4.9284670052762221E-2</v>
      </c>
      <c r="CR81" s="31">
        <f t="shared" si="221"/>
        <v>0.16597621853376118</v>
      </c>
      <c r="CS81" s="31">
        <f t="shared" si="222"/>
        <v>6.067715712972892</v>
      </c>
      <c r="CT81" s="31">
        <f>AM81*Parameters!$C$154</f>
        <v>7.2994553021588734E-2</v>
      </c>
      <c r="CU81" s="31">
        <f>AQ81*Parameters!$C$155</f>
        <v>1.0529599999999999</v>
      </c>
      <c r="CV81" s="31">
        <f t="shared" si="223"/>
        <v>10.203712183582901</v>
      </c>
      <c r="CW81" s="188">
        <f t="shared" si="224"/>
        <v>82.099256167282007</v>
      </c>
      <c r="CY81" s="181">
        <v>14847.247383822005</v>
      </c>
      <c r="CZ81" s="181">
        <v>4073.6940614752139</v>
      </c>
      <c r="DA81" s="181">
        <v>14019.998512830529</v>
      </c>
      <c r="DB81" s="181">
        <v>9141.7564066696523</v>
      </c>
      <c r="DC81" s="181">
        <v>12424.633783627571</v>
      </c>
      <c r="DD81" s="181">
        <v>45690.171770292363</v>
      </c>
      <c r="DE81" s="181">
        <v>8211.2005697766472</v>
      </c>
      <c r="DF81" s="181">
        <v>4667.4501397590157</v>
      </c>
      <c r="DG81" s="181">
        <v>15607.448946411114</v>
      </c>
      <c r="DH81" s="181">
        <v>12878.650709535663</v>
      </c>
      <c r="DI81" s="181">
        <v>81276.560473420119</v>
      </c>
      <c r="DJ81" s="181">
        <v>18920.94144529722</v>
      </c>
      <c r="DK81" s="181">
        <v>128683.60157466412</v>
      </c>
      <c r="DL81" s="181"/>
      <c r="DM81" s="181">
        <v>1250.8059398695507</v>
      </c>
      <c r="DN81" s="181">
        <v>682.74170270579123</v>
      </c>
      <c r="DO81" s="181">
        <v>58.591386142428604</v>
      </c>
      <c r="DP81" s="181">
        <v>1226.4588529166897</v>
      </c>
      <c r="DQ81" s="181">
        <v>1485.2531721147866</v>
      </c>
      <c r="DR81" s="181">
        <v>24.06638655044949</v>
      </c>
      <c r="DS81" s="181">
        <v>1154.4142717931379</v>
      </c>
      <c r="DT81" s="181">
        <v>2770.3034111739062</v>
      </c>
      <c r="DU81" s="181">
        <v>1933.5476425753418</v>
      </c>
      <c r="DV81" s="181">
        <v>5882.3317120928386</v>
      </c>
      <c r="DW81" s="181">
        <v>5882.3317120928377</v>
      </c>
      <c r="DX81" s="181"/>
      <c r="DY81" s="181">
        <v>1000.6447518956412</v>
      </c>
      <c r="DZ81" s="181">
        <v>477.91919189405388</v>
      </c>
      <c r="EA81" s="181">
        <v>58.591386142428604</v>
      </c>
      <c r="EB81" s="181">
        <v>1226.4588529166897</v>
      </c>
      <c r="EC81" s="181">
        <v>683.14819675087472</v>
      </c>
      <c r="ED81" s="181">
        <v>24.06638655044949</v>
      </c>
      <c r="EE81" s="181">
        <v>263.55259932298122</v>
      </c>
      <c r="EF81" s="181">
        <v>1968.198435809993</v>
      </c>
      <c r="EG81" s="181">
        <v>1478.5639437896941</v>
      </c>
      <c r="EH81" s="181">
        <v>3734.3813654731175</v>
      </c>
      <c r="EJ81" s="31">
        <f t="shared" si="225"/>
        <v>9.1887627598445758E-3</v>
      </c>
      <c r="EK81" s="31">
        <f t="shared" si="226"/>
        <v>7.7339864254202834E-2</v>
      </c>
      <c r="EL81" s="31">
        <f t="shared" si="227"/>
        <v>1.5129671396496736E-3</v>
      </c>
      <c r="EM81" s="31">
        <f t="shared" si="228"/>
        <v>1.552572768226421E-3</v>
      </c>
      <c r="EN81" s="31">
        <f t="shared" si="229"/>
        <v>5.2286067207681841E-3</v>
      </c>
      <c r="EO81" s="31">
        <f t="shared" si="230"/>
        <v>0.19114605355409672</v>
      </c>
      <c r="EP81" s="31">
        <f t="shared" si="231"/>
        <v>2.299484913439663E-3</v>
      </c>
      <c r="EQ81" s="31">
        <f t="shared" si="232"/>
        <v>3.3170497444368466E-2</v>
      </c>
      <c r="ER81" s="31">
        <f t="shared" si="233"/>
        <v>0.32143880955459658</v>
      </c>
      <c r="ES81" s="31">
        <f t="shared" si="234"/>
        <v>2.5863025821316858</v>
      </c>
      <c r="ET81" s="31"/>
      <c r="EU81" s="31">
        <f t="shared" si="235"/>
        <v>467.72012365234593</v>
      </c>
      <c r="EV81" s="31">
        <f t="shared" si="236"/>
        <v>128.33009654241621</v>
      </c>
      <c r="EW81" s="31">
        <f t="shared" si="237"/>
        <v>441.66001067456955</v>
      </c>
      <c r="EX81" s="31">
        <f t="shared" si="238"/>
        <v>287.98492585138541</v>
      </c>
      <c r="EY81" s="31">
        <f t="shared" si="239"/>
        <v>391.40260139704492</v>
      </c>
      <c r="EZ81" s="31">
        <f t="shared" si="240"/>
        <v>1439.3383660720626</v>
      </c>
      <c r="FA81" s="31">
        <f t="shared" si="241"/>
        <v>258.67042196757063</v>
      </c>
      <c r="FB81" s="31">
        <f t="shared" si="242"/>
        <v>147.03468596394322</v>
      </c>
      <c r="FC81" s="31">
        <f t="shared" si="243"/>
        <v>491.66810267250526</v>
      </c>
      <c r="FD81" s="31">
        <f t="shared" si="244"/>
        <v>405.70510793151385</v>
      </c>
      <c r="FE81" s="31">
        <f t="shared" si="245"/>
        <v>2560.3859039950626</v>
      </c>
      <c r="FF81" s="31">
        <f t="shared" si="246"/>
        <v>596.05022019476223</v>
      </c>
      <c r="FG81" s="31">
        <f t="shared" si="247"/>
        <v>4053.8093347938438</v>
      </c>
      <c r="FH81" s="31"/>
      <c r="FI81" s="31">
        <f t="shared" si="248"/>
        <v>39.403068712813244</v>
      </c>
      <c r="FJ81" s="31">
        <f t="shared" si="249"/>
        <v>21.507827367389286</v>
      </c>
      <c r="FK81" s="31">
        <f t="shared" si="250"/>
        <v>1.8457542777498042</v>
      </c>
      <c r="FL81" s="31">
        <f t="shared" si="251"/>
        <v>38.636083275999219</v>
      </c>
      <c r="FM81" s="31">
        <f t="shared" si="252"/>
        <v>46.788659160721856</v>
      </c>
      <c r="FN81" s="31">
        <f t="shared" si="253"/>
        <v>0.75814277234355387</v>
      </c>
      <c r="FO81" s="31">
        <f t="shared" si="254"/>
        <v>36.366524513995557</v>
      </c>
      <c r="FP81" s="31">
        <f t="shared" si="255"/>
        <v>87.270496714470923</v>
      </c>
      <c r="FQ81" s="31">
        <f t="shared" si="256"/>
        <v>60.910896080202519</v>
      </c>
      <c r="FR81" s="31">
        <f t="shared" si="257"/>
        <v>185.30606008101265</v>
      </c>
      <c r="FS81" s="31">
        <f t="shared" si="258"/>
        <v>185.30606008101262</v>
      </c>
      <c r="FT81" s="31"/>
      <c r="FU81" s="31">
        <f t="shared" si="259"/>
        <v>31.522454970250614</v>
      </c>
      <c r="FV81" s="31">
        <f t="shared" si="260"/>
        <v>15.055479157172501</v>
      </c>
      <c r="FW81" s="31">
        <f t="shared" si="261"/>
        <v>1.8457542777498042</v>
      </c>
      <c r="FX81" s="31">
        <f t="shared" si="262"/>
        <v>38.636083275999219</v>
      </c>
      <c r="FY81" s="31">
        <f t="shared" si="263"/>
        <v>21.520632801293324</v>
      </c>
      <c r="FZ81" s="31">
        <f t="shared" si="264"/>
        <v>0.75814277234355387</v>
      </c>
      <c r="GA81" s="31">
        <f t="shared" si="265"/>
        <v>8.3024719099487303</v>
      </c>
      <c r="GB81" s="31">
        <f t="shared" si="266"/>
        <v>62.002470355042341</v>
      </c>
      <c r="GC81" s="31">
        <f t="shared" si="267"/>
        <v>46.577934127423084</v>
      </c>
      <c r="GD81" s="31">
        <f t="shared" si="268"/>
        <v>117.64101916475771</v>
      </c>
    </row>
    <row r="82" spans="1:186">
      <c r="A82" s="39" t="str">
        <f>Basicinfo!A82</f>
        <v>Enns</v>
      </c>
      <c r="B82" s="63">
        <f>Basicinfo!B82</f>
        <v>4050</v>
      </c>
      <c r="C82" s="63">
        <f>Basicinfo!C82</f>
        <v>4060</v>
      </c>
      <c r="D82" s="227">
        <v>662.45554127299988</v>
      </c>
      <c r="E82" s="89">
        <v>23.996216938055071</v>
      </c>
      <c r="F82" s="27">
        <v>0.11692593892703348</v>
      </c>
      <c r="G82" s="19">
        <v>5.7208694123103543</v>
      </c>
      <c r="H82" s="19">
        <v>0.16944176630122074</v>
      </c>
      <c r="I82" s="19">
        <v>1.3203790469446117E-2</v>
      </c>
      <c r="J82" s="19">
        <v>17.811289459363774</v>
      </c>
      <c r="K82" s="19">
        <v>1.385527191226802E-2</v>
      </c>
      <c r="L82" s="19">
        <v>1.7720713198486417E-2</v>
      </c>
      <c r="M82" s="19">
        <v>2.2676778706261547E-2</v>
      </c>
      <c r="N82" s="19">
        <v>23.885983131188844</v>
      </c>
      <c r="O82" s="19">
        <v>0.11023380686622695</v>
      </c>
      <c r="P82" s="56">
        <v>29.284092526741006</v>
      </c>
      <c r="Q82" s="43">
        <v>5078.9281993923832</v>
      </c>
      <c r="R82" s="88">
        <v>5108.2122919191243</v>
      </c>
      <c r="S82" s="61">
        <v>4.8551116854325045</v>
      </c>
      <c r="T82" s="19">
        <v>147.57244464319706</v>
      </c>
      <c r="U82" s="19">
        <v>4.6598179743418076</v>
      </c>
      <c r="V82" s="19">
        <v>0.16918240671746038</v>
      </c>
      <c r="W82" s="19">
        <v>0.12697320498480957</v>
      </c>
      <c r="X82" s="19">
        <v>1.8740933414928895</v>
      </c>
      <c r="Y82" s="19">
        <v>583.21150529531019</v>
      </c>
      <c r="Z82" s="19">
        <v>0.72722692221232332</v>
      </c>
      <c r="AA82" s="19">
        <v>6.2973401461619591</v>
      </c>
      <c r="AB82" s="19">
        <v>3.1120571571288873</v>
      </c>
      <c r="AC82" s="19">
        <v>752.6057527769799</v>
      </c>
      <c r="AD82" s="19">
        <v>41.538333333333341</v>
      </c>
      <c r="AE82" s="87">
        <v>794.1440861103132</v>
      </c>
      <c r="AF82" s="56">
        <v>0.15206657337238827</v>
      </c>
      <c r="AG82" s="43">
        <v>2.8745261884356923</v>
      </c>
      <c r="AH82" s="43">
        <v>2.2291771044763931E-2</v>
      </c>
      <c r="AI82" s="43">
        <v>0.10482775476507952</v>
      </c>
      <c r="AJ82" s="43">
        <v>2.4714284835601155</v>
      </c>
      <c r="AK82" s="43">
        <v>0.21011364571916372</v>
      </c>
      <c r="AL82" s="58">
        <v>13.102593681670683</v>
      </c>
      <c r="AM82" s="43">
        <v>0.21624224819323834</v>
      </c>
      <c r="AN82" s="42">
        <v>1.1362902682677987</v>
      </c>
      <c r="AO82" s="42">
        <v>0.50078793841596325</v>
      </c>
      <c r="AP82" s="42">
        <v>20.791168553444887</v>
      </c>
      <c r="AQ82" s="43">
        <v>3.3533333333333335</v>
      </c>
      <c r="AR82" s="83">
        <v>24.144501886778222</v>
      </c>
      <c r="AS82" s="19">
        <f t="shared" si="188"/>
        <v>5.5662247204048203</v>
      </c>
      <c r="AT82" s="19">
        <f t="shared" si="189"/>
        <v>272.34029538032115</v>
      </c>
      <c r="AU82" s="19">
        <f t="shared" si="190"/>
        <v>8.0662251413989132</v>
      </c>
      <c r="AV82" s="19">
        <f t="shared" si="191"/>
        <v>0.62856253786373761</v>
      </c>
      <c r="AW82" s="19">
        <f t="shared" si="192"/>
        <v>847.90116376884396</v>
      </c>
      <c r="AX82" s="53">
        <f t="shared" si="177"/>
        <v>0.65957611915456837</v>
      </c>
      <c r="AY82" s="53">
        <f t="shared" si="178"/>
        <v>0.84358930767426066</v>
      </c>
      <c r="AZ82" s="53">
        <f t="shared" si="179"/>
        <v>1.0795213395097181</v>
      </c>
      <c r="BA82" s="19">
        <f t="shared" si="180"/>
        <v>1137.0851583151709</v>
      </c>
      <c r="BB82" s="19">
        <f t="shared" si="193"/>
        <v>5.2476477540712816</v>
      </c>
      <c r="BC82" s="53">
        <f t="shared" si="194"/>
        <v>1142.3328060692422</v>
      </c>
      <c r="BD82" s="56">
        <f t="shared" si="195"/>
        <v>0.4420537032638836</v>
      </c>
      <c r="BE82" s="43">
        <f t="shared" si="196"/>
        <v>76.668212173642942</v>
      </c>
      <c r="BF82" s="58">
        <f t="shared" si="197"/>
        <v>77.110265876906823</v>
      </c>
      <c r="BG82" s="61">
        <f t="shared" si="198"/>
        <v>73.289622970059796</v>
      </c>
      <c r="BH82" s="19">
        <f t="shared" si="199"/>
        <v>2227.6580909809618</v>
      </c>
      <c r="BI82" s="19">
        <f t="shared" si="200"/>
        <v>70.341595533902904</v>
      </c>
      <c r="BJ82" s="19">
        <f t="shared" si="201"/>
        <v>2.5538680889037928</v>
      </c>
      <c r="BK82" s="19">
        <f t="shared" si="202"/>
        <v>1.9167053043410736</v>
      </c>
      <c r="BL82" s="19">
        <f t="shared" si="203"/>
        <v>28.290099859253353</v>
      </c>
      <c r="BM82" s="19">
        <f t="shared" si="204"/>
        <v>8803.7833327590361</v>
      </c>
      <c r="BN82" s="53">
        <f t="shared" si="205"/>
        <v>10.977746835883602</v>
      </c>
      <c r="BO82" s="53">
        <f t="shared" si="181"/>
        <v>95.060570163859609</v>
      </c>
      <c r="BP82" s="53">
        <f t="shared" si="182"/>
        <v>46.977600204666402</v>
      </c>
      <c r="BQ82" s="19">
        <f t="shared" si="183"/>
        <v>11360.849232700868</v>
      </c>
      <c r="BR82" s="19">
        <f t="shared" si="206"/>
        <v>627.03578950387657</v>
      </c>
      <c r="BS82" s="53">
        <f t="shared" si="207"/>
        <v>11987.885022204744</v>
      </c>
      <c r="BT82" s="56">
        <f t="shared" si="208"/>
        <v>2.2954985489316213</v>
      </c>
      <c r="BU82" s="43">
        <f t="shared" si="209"/>
        <v>43.391986470697994</v>
      </c>
      <c r="BV82" s="43">
        <f t="shared" si="210"/>
        <v>0.33650214476170298</v>
      </c>
      <c r="BW82" s="43">
        <f t="shared" si="211"/>
        <v>1.5824119240309851</v>
      </c>
      <c r="BX82" s="43">
        <f t="shared" si="212"/>
        <v>37.3070844695619</v>
      </c>
      <c r="BY82" s="58">
        <f t="shared" si="213"/>
        <v>3.1717395753894868</v>
      </c>
      <c r="BZ82" s="58">
        <f t="shared" si="214"/>
        <v>197.78827204754361</v>
      </c>
      <c r="CA82" s="58">
        <f t="shared" si="215"/>
        <v>3.2642529908905131</v>
      </c>
      <c r="CB82" s="58">
        <f t="shared" si="184"/>
        <v>17.152702294319404</v>
      </c>
      <c r="CC82" s="58">
        <f t="shared" si="185"/>
        <v>7.5595705253461993</v>
      </c>
      <c r="CD82" s="58">
        <f t="shared" si="186"/>
        <v>313.8500209914734</v>
      </c>
      <c r="CE82" s="58">
        <f t="shared" si="216"/>
        <v>50.619749166705439</v>
      </c>
      <c r="CF82" s="58">
        <f t="shared" si="217"/>
        <v>364.46977015817885</v>
      </c>
      <c r="CG82" s="127">
        <v>83</v>
      </c>
      <c r="CH82" s="128" t="s">
        <v>169</v>
      </c>
      <c r="CI82" s="128"/>
      <c r="CJ82" s="126">
        <f t="shared" si="187"/>
        <v>79</v>
      </c>
      <c r="CK82" s="126">
        <f t="shared" si="269"/>
        <v>80</v>
      </c>
      <c r="CM82" s="136"/>
      <c r="CN82" s="147">
        <f t="shared" si="218"/>
        <v>0.15206657337238827</v>
      </c>
      <c r="CO82" s="147">
        <f t="shared" si="219"/>
        <v>2.8745261884356923</v>
      </c>
      <c r="CP82" s="147">
        <f t="shared" si="220"/>
        <v>2.2291771044763931E-2</v>
      </c>
      <c r="CQ82" s="31">
        <f>(AI82-(P82*450/1000000))*Parameters!$C$153</f>
        <v>7.3319930502436861E-2</v>
      </c>
      <c r="CR82" s="31">
        <f t="shared" si="221"/>
        <v>0.21011364571916372</v>
      </c>
      <c r="CS82" s="31">
        <f t="shared" si="222"/>
        <v>13.102593681670683</v>
      </c>
      <c r="CT82" s="31">
        <f>AM82*Parameters!$C$154</f>
        <v>0.19461802337391451</v>
      </c>
      <c r="CU82" s="31">
        <f>AQ82*Parameters!$C$155</f>
        <v>3.3533333333333335</v>
      </c>
      <c r="CV82" s="31">
        <f t="shared" si="223"/>
        <v>19.982863147452377</v>
      </c>
      <c r="CW82" s="188">
        <f t="shared" si="224"/>
        <v>82.763617328528099</v>
      </c>
      <c r="CY82" s="181">
        <v>15039.836797363323</v>
      </c>
      <c r="CZ82" s="181">
        <v>4218.0842618271718</v>
      </c>
      <c r="DA82" s="181">
        <v>14348.512566125963</v>
      </c>
      <c r="DB82" s="181">
        <v>9486.2971807178346</v>
      </c>
      <c r="DC82" s="181">
        <v>12988.955875761874</v>
      </c>
      <c r="DD82" s="181">
        <v>47609.453847281839</v>
      </c>
      <c r="DE82" s="181">
        <v>8384.0030660492739</v>
      </c>
      <c r="DF82" s="181">
        <v>4838.7377838501798</v>
      </c>
      <c r="DG82" s="181">
        <v>15968.782505773248</v>
      </c>
      <c r="DH82" s="181">
        <v>13222.740849899454</v>
      </c>
      <c r="DI82" s="181">
        <v>84433.21946988751</v>
      </c>
      <c r="DJ82" s="181">
        <v>19257.921059190496</v>
      </c>
      <c r="DK82" s="181">
        <v>132882.66388475071</v>
      </c>
      <c r="DL82" s="181"/>
      <c r="DM82" s="181">
        <v>1277.766910765384</v>
      </c>
      <c r="DN82" s="181">
        <v>707.54306147831858</v>
      </c>
      <c r="DO82" s="181">
        <v>62.025075379468198</v>
      </c>
      <c r="DP82" s="181">
        <v>1282.9102225736472</v>
      </c>
      <c r="DQ82" s="181">
        <v>1532.4858304763216</v>
      </c>
      <c r="DR82" s="181">
        <v>25.268442630405708</v>
      </c>
      <c r="DS82" s="181">
        <v>1173.4173857596963</v>
      </c>
      <c r="DT82" s="181">
        <v>2877.4211284294374</v>
      </c>
      <c r="DU82" s="181">
        <v>1985.3099722437028</v>
      </c>
      <c r="DV82" s="181">
        <v>6061.4169290632435</v>
      </c>
      <c r="DW82" s="181">
        <v>6061.4169290632435</v>
      </c>
      <c r="DX82" s="181"/>
      <c r="DY82" s="181">
        <v>1022.2135286123078</v>
      </c>
      <c r="DZ82" s="181">
        <v>495.28014303482314</v>
      </c>
      <c r="EA82" s="181">
        <v>62.025075379468198</v>
      </c>
      <c r="EB82" s="181">
        <v>1282.9102225736472</v>
      </c>
      <c r="EC82" s="181">
        <v>704.92330870356898</v>
      </c>
      <c r="ED82" s="181">
        <v>25.268442630405708</v>
      </c>
      <c r="EE82" s="181">
        <v>271.36894709995369</v>
      </c>
      <c r="EF82" s="181">
        <v>2049.8586066566845</v>
      </c>
      <c r="EG82" s="181">
        <v>1517.49367164713</v>
      </c>
      <c r="EH82" s="181">
        <v>3863.9896680341744</v>
      </c>
      <c r="EJ82" s="31">
        <f t="shared" si="225"/>
        <v>2.2954985489316206E-3</v>
      </c>
      <c r="EK82" s="31">
        <f t="shared" si="226"/>
        <v>4.3391986470697981E-2</v>
      </c>
      <c r="EL82" s="31">
        <f t="shared" si="227"/>
        <v>3.3650214476170298E-4</v>
      </c>
      <c r="EM82" s="31">
        <f t="shared" si="228"/>
        <v>1.1067902060497899E-3</v>
      </c>
      <c r="EN82" s="31">
        <f t="shared" si="229"/>
        <v>3.1717395753894867E-3</v>
      </c>
      <c r="EO82" s="31">
        <f t="shared" si="230"/>
        <v>0.19778827204754357</v>
      </c>
      <c r="EP82" s="31">
        <f t="shared" si="231"/>
        <v>2.9378276918014612E-3</v>
      </c>
      <c r="EQ82" s="31">
        <f t="shared" si="232"/>
        <v>5.0619749166705433E-2</v>
      </c>
      <c r="ER82" s="31">
        <f t="shared" si="233"/>
        <v>0.30164836585188104</v>
      </c>
      <c r="ES82" s="31">
        <f t="shared" si="234"/>
        <v>1.2493459888566465</v>
      </c>
      <c r="ET82" s="31"/>
      <c r="EU82" s="31">
        <f t="shared" si="235"/>
        <v>227.03164001711266</v>
      </c>
      <c r="EV82" s="31">
        <f t="shared" si="236"/>
        <v>63.673469373077324</v>
      </c>
      <c r="EW82" s="31">
        <f t="shared" si="237"/>
        <v>216.5958569620131</v>
      </c>
      <c r="EX82" s="31">
        <f t="shared" si="238"/>
        <v>143.19900113581363</v>
      </c>
      <c r="EY82" s="31">
        <f t="shared" si="239"/>
        <v>196.0728692947726</v>
      </c>
      <c r="EZ82" s="31">
        <f t="shared" si="240"/>
        <v>718.68149454669344</v>
      </c>
      <c r="FA82" s="31">
        <f t="shared" si="241"/>
        <v>126.55948276828138</v>
      </c>
      <c r="FB82" s="31">
        <f t="shared" si="242"/>
        <v>73.04245315167681</v>
      </c>
      <c r="FC82" s="31">
        <f t="shared" si="243"/>
        <v>241.05440306359316</v>
      </c>
      <c r="FD82" s="31">
        <f t="shared" si="244"/>
        <v>199.60193591995821</v>
      </c>
      <c r="FE82" s="31">
        <f t="shared" si="245"/>
        <v>1274.5492219392929</v>
      </c>
      <c r="FF82" s="31">
        <f t="shared" si="246"/>
        <v>290.70510939018999</v>
      </c>
      <c r="FG82" s="31">
        <f t="shared" si="247"/>
        <v>2005.9106703130342</v>
      </c>
      <c r="FH82" s="31"/>
      <c r="FI82" s="31">
        <f t="shared" si="248"/>
        <v>19.288342102324002</v>
      </c>
      <c r="FJ82" s="31">
        <f t="shared" si="249"/>
        <v>10.680612016901192</v>
      </c>
      <c r="FK82" s="31">
        <f t="shared" si="250"/>
        <v>0.93629038501630535</v>
      </c>
      <c r="FL82" s="31">
        <f t="shared" si="251"/>
        <v>19.365982207777414</v>
      </c>
      <c r="FM82" s="31">
        <f t="shared" si="252"/>
        <v>23.133414017964711</v>
      </c>
      <c r="FN82" s="31">
        <f t="shared" si="253"/>
        <v>0.38143605202318787</v>
      </c>
      <c r="FO82" s="31">
        <f t="shared" si="254"/>
        <v>17.713149225151209</v>
      </c>
      <c r="FP82" s="31">
        <f t="shared" si="255"/>
        <v>43.435686610758438</v>
      </c>
      <c r="FQ82" s="31">
        <f t="shared" si="256"/>
        <v>29.968954119225199</v>
      </c>
      <c r="FR82" s="31">
        <f t="shared" si="257"/>
        <v>91.499226007158072</v>
      </c>
      <c r="FS82" s="31">
        <f t="shared" si="258"/>
        <v>91.499226007158072</v>
      </c>
      <c r="FT82" s="31"/>
      <c r="FU82" s="31">
        <f t="shared" si="259"/>
        <v>15.43067368185921</v>
      </c>
      <c r="FV82" s="31">
        <f t="shared" si="260"/>
        <v>7.4764284118308364</v>
      </c>
      <c r="FW82" s="31">
        <f t="shared" si="261"/>
        <v>0.93629038501630535</v>
      </c>
      <c r="FX82" s="31">
        <f t="shared" si="262"/>
        <v>19.365982207777414</v>
      </c>
      <c r="FY82" s="31">
        <f t="shared" si="263"/>
        <v>10.641065924951905</v>
      </c>
      <c r="FZ82" s="31">
        <f t="shared" si="264"/>
        <v>0.38143605202318787</v>
      </c>
      <c r="GA82" s="31">
        <f t="shared" si="265"/>
        <v>4.0964099504471001</v>
      </c>
      <c r="GB82" s="31">
        <f t="shared" si="266"/>
        <v>30.94333851774563</v>
      </c>
      <c r="GC82" s="31">
        <f t="shared" si="267"/>
        <v>22.907102093690032</v>
      </c>
      <c r="GD82" s="31">
        <f t="shared" si="268"/>
        <v>58.328286613905959</v>
      </c>
    </row>
    <row r="83" spans="1:186">
      <c r="A83" s="39" t="str">
        <f>Basicinfo!A83</f>
        <v>Enns</v>
      </c>
      <c r="B83" s="63">
        <f>Basicinfo!B83</f>
        <v>4060</v>
      </c>
      <c r="C83" s="63">
        <f>Basicinfo!C83</f>
        <v>4070</v>
      </c>
      <c r="D83" s="227">
        <v>2153.8465542710001</v>
      </c>
      <c r="E83" s="89">
        <v>71.165884351298232</v>
      </c>
      <c r="F83" s="27">
        <v>0.3900212496847717</v>
      </c>
      <c r="G83" s="19">
        <v>16.799791370843074</v>
      </c>
      <c r="H83" s="19">
        <v>0.40609319571368635</v>
      </c>
      <c r="I83" s="19">
        <v>0.25563258984262788</v>
      </c>
      <c r="J83" s="19">
        <v>52.929045962720643</v>
      </c>
      <c r="K83" s="19">
        <v>3.7416515243275425E-2</v>
      </c>
      <c r="L83" s="19">
        <v>4.7422748644426832E-2</v>
      </c>
      <c r="M83" s="19">
        <v>5.8421669053890041E-2</v>
      </c>
      <c r="N83" s="19">
        <v>70.923845301746411</v>
      </c>
      <c r="O83" s="19">
        <v>0.24203904955183492</v>
      </c>
      <c r="P83" s="56">
        <v>127.72384031072954</v>
      </c>
      <c r="Q83" s="43">
        <v>14038.18278520801</v>
      </c>
      <c r="R83" s="88">
        <v>14165.906625518739</v>
      </c>
      <c r="S83" s="61">
        <v>13.579286350898608</v>
      </c>
      <c r="T83" s="19">
        <v>368.00745150987763</v>
      </c>
      <c r="U83" s="19">
        <v>9.5103640578622333</v>
      </c>
      <c r="V83" s="19">
        <v>0.74195167495520531</v>
      </c>
      <c r="W83" s="19">
        <v>0.35095456963020022</v>
      </c>
      <c r="X83" s="19">
        <v>66.148037112324999</v>
      </c>
      <c r="Y83" s="19">
        <v>1488.0795294788554</v>
      </c>
      <c r="Z83" s="19">
        <v>1.9944431031914545</v>
      </c>
      <c r="AA83" s="19">
        <v>16.329908297092619</v>
      </c>
      <c r="AB83" s="19">
        <v>7.2628213804388313</v>
      </c>
      <c r="AC83" s="19">
        <v>1972.0047475351273</v>
      </c>
      <c r="AD83" s="19">
        <v>99.924249173333337</v>
      </c>
      <c r="AE83" s="87">
        <v>2071.9289967084605</v>
      </c>
      <c r="AF83" s="56">
        <v>0.52026350698138102</v>
      </c>
      <c r="AG83" s="43">
        <v>10.27310376514766</v>
      </c>
      <c r="AH83" s="43">
        <v>0.11032232799239745</v>
      </c>
      <c r="AI83" s="43">
        <v>0.55529143699063432</v>
      </c>
      <c r="AJ83" s="43">
        <v>6.6493072614313053</v>
      </c>
      <c r="AK83" s="43">
        <v>3.6695929314363624</v>
      </c>
      <c r="AL83" s="58">
        <v>36.272351738015047</v>
      </c>
      <c r="AM83" s="43">
        <v>0.60535472325082029</v>
      </c>
      <c r="AN83" s="42">
        <v>2.976399598778892</v>
      </c>
      <c r="AO83" s="42">
        <v>1.1909821240765239</v>
      </c>
      <c r="AP83" s="42">
        <v>62.82296941410101</v>
      </c>
      <c r="AQ83" s="43">
        <v>10.518173900000001</v>
      </c>
      <c r="AR83" s="83">
        <v>73.341143314101018</v>
      </c>
      <c r="AS83" s="19">
        <f t="shared" si="188"/>
        <v>5.7105786415792164</v>
      </c>
      <c r="AT83" s="19">
        <f t="shared" si="189"/>
        <v>245.97769958140074</v>
      </c>
      <c r="AU83" s="19">
        <f t="shared" si="190"/>
        <v>5.9458994396011535</v>
      </c>
      <c r="AV83" s="19">
        <f t="shared" si="191"/>
        <v>3.7428986467449104</v>
      </c>
      <c r="AW83" s="19">
        <f t="shared" si="192"/>
        <v>774.97182432539307</v>
      </c>
      <c r="AX83" s="53">
        <f t="shared" si="177"/>
        <v>0.54784182390899716</v>
      </c>
      <c r="AY83" s="53">
        <f t="shared" si="178"/>
        <v>0.69435020720722884</v>
      </c>
      <c r="AZ83" s="53">
        <f t="shared" si="179"/>
        <v>0.85539322735414547</v>
      </c>
      <c r="BA83" s="19">
        <f t="shared" si="180"/>
        <v>1038.4464858931894</v>
      </c>
      <c r="BB83" s="19">
        <f t="shared" si="193"/>
        <v>3.5438659506782479</v>
      </c>
      <c r="BC83" s="53">
        <f t="shared" si="194"/>
        <v>1041.9903518438678</v>
      </c>
      <c r="BD83" s="56">
        <f t="shared" si="195"/>
        <v>0.59300343405363665</v>
      </c>
      <c r="BE83" s="43">
        <f t="shared" si="196"/>
        <v>65.177265099831743</v>
      </c>
      <c r="BF83" s="58">
        <f t="shared" si="197"/>
        <v>65.770268533885385</v>
      </c>
      <c r="BG83" s="61">
        <f t="shared" si="198"/>
        <v>63.046674908067942</v>
      </c>
      <c r="BH83" s="19">
        <f t="shared" si="199"/>
        <v>1708.6057072177778</v>
      </c>
      <c r="BI83" s="19">
        <f t="shared" si="200"/>
        <v>44.155253488246522</v>
      </c>
      <c r="BJ83" s="19">
        <f t="shared" si="201"/>
        <v>3.4447749932971865</v>
      </c>
      <c r="BK83" s="19">
        <f t="shared" si="202"/>
        <v>1.6294316274957932</v>
      </c>
      <c r="BL83" s="19">
        <f t="shared" si="203"/>
        <v>307.11582949656201</v>
      </c>
      <c r="BM83" s="19">
        <f t="shared" si="204"/>
        <v>6908.9393881288679</v>
      </c>
      <c r="BN83" s="53">
        <f t="shared" si="205"/>
        <v>9.2599126861500203</v>
      </c>
      <c r="BO83" s="53">
        <f t="shared" si="181"/>
        <v>75.817417284026092</v>
      </c>
      <c r="BP83" s="53">
        <f t="shared" si="182"/>
        <v>33.720235854485168</v>
      </c>
      <c r="BQ83" s="19">
        <f t="shared" si="183"/>
        <v>9155.734625684976</v>
      </c>
      <c r="BR83" s="19">
        <f t="shared" si="206"/>
        <v>463.93392776837857</v>
      </c>
      <c r="BS83" s="53">
        <f t="shared" si="207"/>
        <v>9619.6685534533553</v>
      </c>
      <c r="BT83" s="56">
        <f t="shared" si="208"/>
        <v>2.4155086904854817</v>
      </c>
      <c r="BU83" s="43">
        <f t="shared" si="209"/>
        <v>47.696544327990615</v>
      </c>
      <c r="BV83" s="43">
        <f t="shared" si="210"/>
        <v>0.5122107133102507</v>
      </c>
      <c r="BW83" s="43">
        <f t="shared" si="211"/>
        <v>2.5781383352937159</v>
      </c>
      <c r="BX83" s="43">
        <f t="shared" si="212"/>
        <v>30.871777974368545</v>
      </c>
      <c r="BY83" s="58">
        <f t="shared" si="213"/>
        <v>17.037392585649577</v>
      </c>
      <c r="BZ83" s="58">
        <f t="shared" si="214"/>
        <v>168.40731604620709</v>
      </c>
      <c r="CA83" s="58">
        <f t="shared" si="215"/>
        <v>2.8105749782890692</v>
      </c>
      <c r="CB83" s="58">
        <f t="shared" si="184"/>
        <v>13.818995568077025</v>
      </c>
      <c r="CC83" s="58">
        <f t="shared" si="185"/>
        <v>5.5295588337750852</v>
      </c>
      <c r="CD83" s="58">
        <f t="shared" si="186"/>
        <v>291.67801805344641</v>
      </c>
      <c r="CE83" s="58">
        <f t="shared" si="216"/>
        <v>48.834369742555893</v>
      </c>
      <c r="CF83" s="58">
        <f t="shared" si="217"/>
        <v>340.51238779600232</v>
      </c>
      <c r="CG83" s="127">
        <v>84</v>
      </c>
      <c r="CH83" s="128" t="s">
        <v>169</v>
      </c>
      <c r="CI83" s="128"/>
      <c r="CJ83" s="126">
        <f t="shared" si="187"/>
        <v>80</v>
      </c>
      <c r="CK83" s="126">
        <f t="shared" si="269"/>
        <v>81</v>
      </c>
      <c r="CM83" s="136"/>
      <c r="CN83" s="147">
        <f t="shared" si="218"/>
        <v>0.52026350698138102</v>
      </c>
      <c r="CO83" s="147">
        <f t="shared" si="219"/>
        <v>10.27310376514766</v>
      </c>
      <c r="CP83" s="147">
        <f t="shared" si="220"/>
        <v>0.11032232799239745</v>
      </c>
      <c r="CQ83" s="31">
        <f>(AI83-(P83*450/1000000))*Parameters!$C$153</f>
        <v>0.39825256708064488</v>
      </c>
      <c r="CR83" s="31">
        <f t="shared" si="221"/>
        <v>3.6695929314363624</v>
      </c>
      <c r="CS83" s="31">
        <f t="shared" si="222"/>
        <v>36.272351738015047</v>
      </c>
      <c r="CT83" s="31">
        <f>AM83*Parameters!$C$154</f>
        <v>0.54481925092573824</v>
      </c>
      <c r="CU83" s="31">
        <f>AQ83*Parameters!$C$155</f>
        <v>10.518173900000001</v>
      </c>
      <c r="CV83" s="31">
        <f t="shared" si="223"/>
        <v>62.306879987579237</v>
      </c>
      <c r="CW83" s="188">
        <f t="shared" si="224"/>
        <v>84.954879583394401</v>
      </c>
      <c r="CY83" s="181">
        <v>17770.312839496848</v>
      </c>
      <c r="CZ83" s="181">
        <v>4664.4144970445523</v>
      </c>
      <c r="DA83" s="181">
        <v>15614.746356086158</v>
      </c>
      <c r="DB83" s="181">
        <v>9956.7392669458259</v>
      </c>
      <c r="DC83" s="181">
        <v>13316.746832717659</v>
      </c>
      <c r="DD83" s="181">
        <v>50849.721501549349</v>
      </c>
      <c r="DE83" s="181">
        <v>9219.9042720587695</v>
      </c>
      <c r="DF83" s="181">
        <v>5105.1592034274945</v>
      </c>
      <c r="DG83" s="181">
        <v>17054.911167020444</v>
      </c>
      <c r="DH83" s="181">
        <v>14325.063475486264</v>
      </c>
      <c r="DI83" s="181">
        <v>89737.953957299003</v>
      </c>
      <c r="DJ83" s="181">
        <v>22434.7273365414</v>
      </c>
      <c r="DK83" s="181">
        <v>143552.65593634712</v>
      </c>
      <c r="DL83" s="181"/>
      <c r="DM83" s="181">
        <v>1389.8886842895508</v>
      </c>
      <c r="DN83" s="181">
        <v>784.48931189345399</v>
      </c>
      <c r="DO83" s="181">
        <v>64.606895687450447</v>
      </c>
      <c r="DP83" s="181">
        <v>1317.2341718435707</v>
      </c>
      <c r="DQ83" s="181">
        <v>1622.0434216155063</v>
      </c>
      <c r="DR83" s="181">
        <v>30.884518820691731</v>
      </c>
      <c r="DS83" s="181">
        <v>1214.5838369886062</v>
      </c>
      <c r="DT83" s="181">
        <v>3003.8844891465278</v>
      </c>
      <c r="DU83" s="181">
        <v>2174.3779961830051</v>
      </c>
      <c r="DV83" s="181">
        <v>6423.7308411388331</v>
      </c>
      <c r="DW83" s="181">
        <v>6423.7308411388331</v>
      </c>
      <c r="DX83" s="181"/>
      <c r="DY83" s="181">
        <v>1111.9109474316408</v>
      </c>
      <c r="DZ83" s="181">
        <v>549.14251832541765</v>
      </c>
      <c r="EA83" s="181">
        <v>64.606895687450447</v>
      </c>
      <c r="EB83" s="181">
        <v>1317.2341718435707</v>
      </c>
      <c r="EC83" s="181">
        <v>745.28228968944222</v>
      </c>
      <c r="ED83" s="181">
        <v>30.884518820691731</v>
      </c>
      <c r="EE83" s="181">
        <v>288.5018231047078</v>
      </c>
      <c r="EF83" s="181">
        <v>2127.1233572204637</v>
      </c>
      <c r="EG83" s="181">
        <v>1661.0534657570586</v>
      </c>
      <c r="EH83" s="181">
        <v>4107.5631649029201</v>
      </c>
      <c r="EJ83" s="31">
        <f t="shared" si="225"/>
        <v>2.4155086904854815E-3</v>
      </c>
      <c r="EK83" s="31">
        <f t="shared" si="226"/>
        <v>4.7696544327990614E-2</v>
      </c>
      <c r="EL83" s="31">
        <f t="shared" si="227"/>
        <v>5.1221071331025063E-4</v>
      </c>
      <c r="EM83" s="31">
        <f t="shared" si="228"/>
        <v>1.8490294319756643E-3</v>
      </c>
      <c r="EN83" s="31">
        <f t="shared" si="229"/>
        <v>1.7037392585649576E-2</v>
      </c>
      <c r="EO83" s="31">
        <f t="shared" si="230"/>
        <v>0.16840731604620707</v>
      </c>
      <c r="EP83" s="31">
        <f t="shared" si="231"/>
        <v>2.5295174804601628E-3</v>
      </c>
      <c r="EQ83" s="31">
        <f t="shared" si="232"/>
        <v>4.8834369742555894E-2</v>
      </c>
      <c r="ER83" s="31">
        <f t="shared" si="233"/>
        <v>0.28928188901863477</v>
      </c>
      <c r="ES83" s="31">
        <f t="shared" si="234"/>
        <v>0.3944332961646313</v>
      </c>
      <c r="ET83" s="31"/>
      <c r="EU83" s="31">
        <f t="shared" si="235"/>
        <v>82.505008559031083</v>
      </c>
      <c r="EV83" s="31">
        <f t="shared" si="236"/>
        <v>21.65620613871117</v>
      </c>
      <c r="EW83" s="31">
        <f t="shared" si="237"/>
        <v>72.497023175224243</v>
      </c>
      <c r="EX83" s="31">
        <f t="shared" si="238"/>
        <v>46.227709430841166</v>
      </c>
      <c r="EY83" s="31">
        <f t="shared" si="239"/>
        <v>61.827741657413014</v>
      </c>
      <c r="EZ83" s="31">
        <f t="shared" si="240"/>
        <v>236.08794879429169</v>
      </c>
      <c r="FA83" s="31">
        <f t="shared" si="241"/>
        <v>42.806690447729579</v>
      </c>
      <c r="FB83" s="31">
        <f t="shared" si="242"/>
        <v>23.702520466484245</v>
      </c>
      <c r="FC83" s="31">
        <f t="shared" si="243"/>
        <v>79.183501411468555</v>
      </c>
      <c r="FD83" s="31">
        <f t="shared" si="244"/>
        <v>66.509210914213824</v>
      </c>
      <c r="FE83" s="31">
        <f t="shared" si="245"/>
        <v>416.64042305777019</v>
      </c>
      <c r="FF83" s="31">
        <f t="shared" si="246"/>
        <v>104.16121469774225</v>
      </c>
      <c r="FG83" s="31">
        <f t="shared" si="247"/>
        <v>666.49435008119485</v>
      </c>
      <c r="FH83" s="31"/>
      <c r="FI83" s="31">
        <f t="shared" si="248"/>
        <v>6.4530534059329874</v>
      </c>
      <c r="FJ83" s="31">
        <f t="shared" si="249"/>
        <v>3.6422711280793889</v>
      </c>
      <c r="FK83" s="31">
        <f t="shared" si="250"/>
        <v>0.2999605313541826</v>
      </c>
      <c r="FL83" s="31">
        <f t="shared" si="251"/>
        <v>6.1157289465748734</v>
      </c>
      <c r="FM83" s="31">
        <f t="shared" si="252"/>
        <v>7.5309144859881156</v>
      </c>
      <c r="FN83" s="31">
        <f t="shared" si="253"/>
        <v>0.14339238215205649</v>
      </c>
      <c r="FO83" s="31">
        <f t="shared" si="254"/>
        <v>5.6391381947805437</v>
      </c>
      <c r="FP83" s="31">
        <f t="shared" si="255"/>
        <v>13.946603963917175</v>
      </c>
      <c r="FQ83" s="31">
        <f t="shared" si="256"/>
        <v>10.095324534012377</v>
      </c>
      <c r="FR83" s="31">
        <f t="shared" si="257"/>
        <v>29.824459074862165</v>
      </c>
      <c r="FS83" s="31">
        <f t="shared" si="258"/>
        <v>29.824459074862165</v>
      </c>
      <c r="FT83" s="31"/>
      <c r="FU83" s="31">
        <f t="shared" si="259"/>
        <v>5.1624427247463913</v>
      </c>
      <c r="FV83" s="31">
        <f t="shared" si="260"/>
        <v>2.5495897896555717</v>
      </c>
      <c r="FW83" s="31">
        <f t="shared" si="261"/>
        <v>0.2999605313541826</v>
      </c>
      <c r="FX83" s="31">
        <f t="shared" si="262"/>
        <v>6.1157289465748734</v>
      </c>
      <c r="FY83" s="31">
        <f t="shared" si="263"/>
        <v>3.4602385588312887</v>
      </c>
      <c r="FZ83" s="31">
        <f t="shared" si="264"/>
        <v>0.14339238215205649</v>
      </c>
      <c r="GA83" s="31">
        <f t="shared" si="265"/>
        <v>1.3394725011056108</v>
      </c>
      <c r="GB83" s="31">
        <f t="shared" si="266"/>
        <v>9.8759280367603477</v>
      </c>
      <c r="GC83" s="31">
        <f t="shared" si="267"/>
        <v>7.7120325144019626</v>
      </c>
      <c r="GD83" s="31">
        <f t="shared" si="268"/>
        <v>19.070825434419973</v>
      </c>
    </row>
    <row r="84" spans="1:186">
      <c r="A84" s="39" t="str">
        <f>Basicinfo!A84</f>
        <v>Enns</v>
      </c>
      <c r="B84" s="63">
        <f>Basicinfo!B84</f>
        <v>4070</v>
      </c>
      <c r="C84" s="63">
        <f>Basicinfo!C84</f>
        <v>4080</v>
      </c>
      <c r="D84" s="227">
        <v>4357.9923661729999</v>
      </c>
      <c r="E84" s="89">
        <v>136.52225065717744</v>
      </c>
      <c r="F84" s="27">
        <v>0.87494418745900837</v>
      </c>
      <c r="G84" s="19">
        <v>31.869532855827931</v>
      </c>
      <c r="H84" s="19">
        <v>1.1618481067564608</v>
      </c>
      <c r="I84" s="19">
        <v>0.35418831005906015</v>
      </c>
      <c r="J84" s="19">
        <v>101.63286422770305</v>
      </c>
      <c r="K84" s="19">
        <v>6.548776182283618E-2</v>
      </c>
      <c r="L84" s="19">
        <v>8.8457553815491141E-2</v>
      </c>
      <c r="M84" s="19">
        <v>0.10160456900502929</v>
      </c>
      <c r="N84" s="19">
        <v>136.14892757244886</v>
      </c>
      <c r="O84" s="19">
        <v>0.37332308472856413</v>
      </c>
      <c r="P84" s="56">
        <v>223.38596922311808</v>
      </c>
      <c r="Q84" s="43">
        <v>35807.310679125345</v>
      </c>
      <c r="R84" s="88">
        <v>36030.696648348458</v>
      </c>
      <c r="S84" s="61">
        <v>31.973927821822205</v>
      </c>
      <c r="T84" s="19">
        <v>706.79515135954557</v>
      </c>
      <c r="U84" s="19">
        <v>26.867077738987437</v>
      </c>
      <c r="V84" s="19">
        <v>1.8295200969348304</v>
      </c>
      <c r="W84" s="19">
        <v>0.89518276697813359</v>
      </c>
      <c r="X84" s="19">
        <v>97.51548309591314</v>
      </c>
      <c r="Y84" s="19">
        <v>3068.8111361992619</v>
      </c>
      <c r="Z84" s="19">
        <v>3.4335056273545548</v>
      </c>
      <c r="AA84" s="19">
        <v>32.080900472760717</v>
      </c>
      <c r="AB84" s="19">
        <v>11.16276040663891</v>
      </c>
      <c r="AC84" s="19">
        <v>3981.3646455861972</v>
      </c>
      <c r="AD84" s="19">
        <v>144.56059583999999</v>
      </c>
      <c r="AE84" s="87">
        <v>4125.9252414261964</v>
      </c>
      <c r="AF84" s="56">
        <v>1.0504108525678688</v>
      </c>
      <c r="AG84" s="43">
        <v>16.329141079415088</v>
      </c>
      <c r="AH84" s="43">
        <v>0.29868851583982331</v>
      </c>
      <c r="AI84" s="43">
        <v>0.92956422478449441</v>
      </c>
      <c r="AJ84" s="43">
        <v>16.767964600297375</v>
      </c>
      <c r="AK84" s="43">
        <v>4.315836659081393</v>
      </c>
      <c r="AL84" s="58">
        <v>41.609880187469358</v>
      </c>
      <c r="AM84" s="43">
        <v>1.0368053567446991</v>
      </c>
      <c r="AN84" s="42">
        <v>5.7938674982279608</v>
      </c>
      <c r="AO84" s="42">
        <v>1.8529776210877822</v>
      </c>
      <c r="AP84" s="42">
        <v>89.985136595515826</v>
      </c>
      <c r="AQ84" s="43">
        <v>17.193640566666666</v>
      </c>
      <c r="AR84" s="83">
        <v>107.17877716218248</v>
      </c>
      <c r="AS84" s="19">
        <f t="shared" si="188"/>
        <v>6.3314107913267392</v>
      </c>
      <c r="AT84" s="19">
        <f t="shared" si="189"/>
        <v>230.61940079164708</v>
      </c>
      <c r="AU84" s="19">
        <f t="shared" si="190"/>
        <v>8.4075507288801052</v>
      </c>
      <c r="AV84" s="19">
        <f t="shared" si="191"/>
        <v>2.5630339861818645</v>
      </c>
      <c r="AW84" s="19">
        <f t="shared" si="192"/>
        <v>735.451955162422</v>
      </c>
      <c r="AX84" s="53">
        <f t="shared" si="177"/>
        <v>0.47389299551677511</v>
      </c>
      <c r="AY84" s="53">
        <f t="shared" si="178"/>
        <v>0.64011067086265494</v>
      </c>
      <c r="AZ84" s="53">
        <f t="shared" si="179"/>
        <v>0.73524720075551542</v>
      </c>
      <c r="BA84" s="19">
        <f t="shared" si="180"/>
        <v>985.22260232759277</v>
      </c>
      <c r="BB84" s="19">
        <f t="shared" si="193"/>
        <v>2.7015000970133958</v>
      </c>
      <c r="BC84" s="53">
        <f t="shared" si="194"/>
        <v>987.92410242460619</v>
      </c>
      <c r="BD84" s="56">
        <f t="shared" si="195"/>
        <v>0.51258917054801079</v>
      </c>
      <c r="BE84" s="43">
        <f t="shared" si="196"/>
        <v>82.16469344247561</v>
      </c>
      <c r="BF84" s="58">
        <f t="shared" si="197"/>
        <v>82.677282613023621</v>
      </c>
      <c r="BG84" s="61">
        <f t="shared" si="198"/>
        <v>73.368480564596126</v>
      </c>
      <c r="BH84" s="19">
        <f t="shared" si="199"/>
        <v>1621.8365980760595</v>
      </c>
      <c r="BI84" s="19">
        <f t="shared" si="200"/>
        <v>61.650125749488033</v>
      </c>
      <c r="BJ84" s="19">
        <f t="shared" si="201"/>
        <v>4.1980800864537438</v>
      </c>
      <c r="BK84" s="19">
        <f t="shared" si="202"/>
        <v>2.0541173360618901</v>
      </c>
      <c r="BL84" s="19">
        <f t="shared" si="203"/>
        <v>223.76239998223542</v>
      </c>
      <c r="BM84" s="19">
        <f t="shared" si="204"/>
        <v>7041.8001647262145</v>
      </c>
      <c r="BN84" s="53">
        <f t="shared" si="205"/>
        <v>7.8786407567063046</v>
      </c>
      <c r="BO84" s="53">
        <f t="shared" si="181"/>
        <v>73.61394370897618</v>
      </c>
      <c r="BP84" s="53">
        <f t="shared" si="182"/>
        <v>25.614456081394106</v>
      </c>
      <c r="BQ84" s="19">
        <f t="shared" si="183"/>
        <v>9135.7770070681854</v>
      </c>
      <c r="BR84" s="19">
        <f t="shared" si="206"/>
        <v>331.71374269052893</v>
      </c>
      <c r="BS84" s="53">
        <f t="shared" si="207"/>
        <v>9467.4907497587137</v>
      </c>
      <c r="BT84" s="56">
        <f t="shared" si="208"/>
        <v>2.4103090696560674</v>
      </c>
      <c r="BU84" s="43">
        <f t="shared" si="209"/>
        <v>37.469411846984556</v>
      </c>
      <c r="BV84" s="43">
        <f t="shared" si="210"/>
        <v>0.68538099827402543</v>
      </c>
      <c r="BW84" s="43">
        <f t="shared" si="211"/>
        <v>2.1330102181908992</v>
      </c>
      <c r="BX84" s="43">
        <f t="shared" si="212"/>
        <v>38.476351474250684</v>
      </c>
      <c r="BY84" s="58">
        <f t="shared" si="213"/>
        <v>9.9032680565968345</v>
      </c>
      <c r="BZ84" s="58">
        <f t="shared" si="214"/>
        <v>95.47947011208133</v>
      </c>
      <c r="CA84" s="58">
        <f t="shared" si="215"/>
        <v>2.3790894284084683</v>
      </c>
      <c r="CB84" s="58">
        <f t="shared" si="184"/>
        <v>13.294808736243574</v>
      </c>
      <c r="CC84" s="58">
        <f t="shared" si="185"/>
        <v>4.2519065326288921</v>
      </c>
      <c r="CD84" s="58">
        <f t="shared" si="186"/>
        <v>206.4830064733153</v>
      </c>
      <c r="CE84" s="58">
        <f t="shared" si="216"/>
        <v>39.453122268236953</v>
      </c>
      <c r="CF84" s="58">
        <f t="shared" si="217"/>
        <v>245.93612874155224</v>
      </c>
      <c r="CG84" s="127">
        <v>63</v>
      </c>
      <c r="CH84" s="128" t="s">
        <v>169</v>
      </c>
      <c r="CI84" s="128"/>
      <c r="CJ84" s="126">
        <f t="shared" si="187"/>
        <v>81</v>
      </c>
      <c r="CK84" s="126">
        <f t="shared" si="269"/>
        <v>60</v>
      </c>
      <c r="CM84" s="136"/>
      <c r="CN84" s="147">
        <f t="shared" si="218"/>
        <v>1.0504108525678688</v>
      </c>
      <c r="CO84" s="147">
        <f t="shared" si="219"/>
        <v>16.329141079415088</v>
      </c>
      <c r="CP84" s="147">
        <f t="shared" si="220"/>
        <v>0.29868851583982331</v>
      </c>
      <c r="CQ84" s="31">
        <f>(AI84-(P84*450/1000000))*Parameters!$C$153</f>
        <v>0.66323243090727313</v>
      </c>
      <c r="CR84" s="31">
        <f t="shared" si="221"/>
        <v>4.315836659081393</v>
      </c>
      <c r="CS84" s="31">
        <f t="shared" si="222"/>
        <v>41.609880187469358</v>
      </c>
      <c r="CT84" s="31">
        <f>AM84*Parameters!$C$154</f>
        <v>0.9331248210702292</v>
      </c>
      <c r="CU84" s="31">
        <f>AQ84*Parameters!$C$155</f>
        <v>17.193640566666666</v>
      </c>
      <c r="CV84" s="31">
        <f t="shared" si="223"/>
        <v>82.393955113017682</v>
      </c>
      <c r="CW84" s="188">
        <f t="shared" si="224"/>
        <v>76.875252073775286</v>
      </c>
      <c r="CY84" s="181">
        <v>18091.220576220607</v>
      </c>
      <c r="CZ84" s="181">
        <v>4858.8429331377974</v>
      </c>
      <c r="DA84" s="181">
        <v>17607.842651747647</v>
      </c>
      <c r="DB84" s="181">
        <v>10256.802970961202</v>
      </c>
      <c r="DC84" s="181">
        <v>13536.632099375211</v>
      </c>
      <c r="DD84" s="181">
        <v>53045.281603768279</v>
      </c>
      <c r="DE84" s="181">
        <v>10747.882708024732</v>
      </c>
      <c r="DF84" s="181">
        <v>5308.1288690220199</v>
      </c>
      <c r="DG84" s="181">
        <v>18192.004824675005</v>
      </c>
      <c r="DH84" s="181">
        <v>16056.011577046753</v>
      </c>
      <c r="DI84" s="181">
        <v>94446.559325852344</v>
      </c>
      <c r="DJ84" s="181">
        <v>22950.063509358406</v>
      </c>
      <c r="DK84" s="181">
        <v>151644.6392369325</v>
      </c>
      <c r="DL84" s="181"/>
      <c r="DM84" s="181">
        <v>1423.576556377051</v>
      </c>
      <c r="DN84" s="181">
        <v>819.16958544307056</v>
      </c>
      <c r="DO84" s="181">
        <v>68.049647988413696</v>
      </c>
      <c r="DP84" s="181">
        <v>1376.0322482381778</v>
      </c>
      <c r="DQ84" s="181">
        <v>1650.875496628265</v>
      </c>
      <c r="DR84" s="181">
        <v>33.149241022508811</v>
      </c>
      <c r="DS84" s="181">
        <v>1272.3444138442535</v>
      </c>
      <c r="DT84" s="181">
        <v>3094.9573928548566</v>
      </c>
      <c r="DU84" s="181">
        <v>2242.7461418201215</v>
      </c>
      <c r="DV84" s="181">
        <v>6643.1971895417446</v>
      </c>
      <c r="DW84" s="181">
        <v>6643.1971895417446</v>
      </c>
      <c r="DX84" s="181"/>
      <c r="DY84" s="181">
        <v>1138.8612451016409</v>
      </c>
      <c r="DZ84" s="181">
        <v>573.41870981014927</v>
      </c>
      <c r="EA84" s="181">
        <v>68.049647988413696</v>
      </c>
      <c r="EB84" s="181">
        <v>1376.0322482381778</v>
      </c>
      <c r="EC84" s="181">
        <v>758.69446913223157</v>
      </c>
      <c r="ED84" s="181">
        <v>33.149241022508811</v>
      </c>
      <c r="EE84" s="181">
        <v>312.73103295990541</v>
      </c>
      <c r="EF84" s="181">
        <v>2202.7763653588236</v>
      </c>
      <c r="EG84" s="181">
        <v>1712.2799549117897</v>
      </c>
      <c r="EH84" s="181">
        <v>4260.9365942530267</v>
      </c>
      <c r="EJ84" s="31">
        <f t="shared" si="225"/>
        <v>2.4103090696560676E-3</v>
      </c>
      <c r="EK84" s="31">
        <f t="shared" si="226"/>
        <v>3.746941184698456E-2</v>
      </c>
      <c r="EL84" s="31">
        <f t="shared" si="227"/>
        <v>6.8538099827402537E-4</v>
      </c>
      <c r="EM84" s="31">
        <f t="shared" si="228"/>
        <v>1.5218760731554358E-3</v>
      </c>
      <c r="EN84" s="31">
        <f t="shared" si="229"/>
        <v>9.9032680565968364E-3</v>
      </c>
      <c r="EO84" s="31">
        <f t="shared" si="230"/>
        <v>9.5479470112081341E-2</v>
      </c>
      <c r="EP84" s="31">
        <f t="shared" si="231"/>
        <v>2.1411804855676216E-3</v>
      </c>
      <c r="EQ84" s="31">
        <f t="shared" si="232"/>
        <v>3.9453122268236961E-2</v>
      </c>
      <c r="ER84" s="31">
        <f t="shared" si="233"/>
        <v>0.18906401891055283</v>
      </c>
      <c r="ES84" s="31">
        <f t="shared" si="234"/>
        <v>0.17640061205817073</v>
      </c>
      <c r="ET84" s="31"/>
      <c r="EU84" s="31">
        <f t="shared" si="235"/>
        <v>41.51274040001941</v>
      </c>
      <c r="EV84" s="31">
        <f t="shared" si="236"/>
        <v>11.149269032347165</v>
      </c>
      <c r="EW84" s="31">
        <f t="shared" si="237"/>
        <v>40.403564697406971</v>
      </c>
      <c r="EX84" s="31">
        <f t="shared" si="238"/>
        <v>23.535614817903596</v>
      </c>
      <c r="EY84" s="31">
        <f t="shared" si="239"/>
        <v>31.06162416540095</v>
      </c>
      <c r="EZ84" s="31">
        <f t="shared" si="240"/>
        <v>121.71953768324367</v>
      </c>
      <c r="FA84" s="31">
        <f t="shared" si="241"/>
        <v>24.662463366045444</v>
      </c>
      <c r="FB84" s="31">
        <f t="shared" si="242"/>
        <v>12.180216078908344</v>
      </c>
      <c r="FC84" s="31">
        <f t="shared" si="243"/>
        <v>41.744003422040031</v>
      </c>
      <c r="FD84" s="31">
        <f t="shared" si="244"/>
        <v>36.842679444953795</v>
      </c>
      <c r="FE84" s="31">
        <f t="shared" si="245"/>
        <v>216.72034136395519</v>
      </c>
      <c r="FF84" s="31">
        <f t="shared" si="246"/>
        <v>52.662009432366588</v>
      </c>
      <c r="FG84" s="31">
        <f t="shared" si="247"/>
        <v>347.96903366331566</v>
      </c>
      <c r="FH84" s="31"/>
      <c r="FI84" s="31">
        <f t="shared" si="248"/>
        <v>3.2665879991597468</v>
      </c>
      <c r="FJ84" s="31">
        <f t="shared" si="249"/>
        <v>1.879694860875651</v>
      </c>
      <c r="FK84" s="31">
        <f t="shared" si="250"/>
        <v>0.15614907569967118</v>
      </c>
      <c r="FL84" s="31">
        <f t="shared" si="251"/>
        <v>3.157491185434429</v>
      </c>
      <c r="FM84" s="31">
        <f t="shared" si="252"/>
        <v>3.7881560083548114</v>
      </c>
      <c r="FN84" s="31">
        <f t="shared" si="253"/>
        <v>7.6065394881861717E-2</v>
      </c>
      <c r="FO84" s="31">
        <f t="shared" si="254"/>
        <v>2.9195654946995035</v>
      </c>
      <c r="FP84" s="31">
        <f t="shared" si="255"/>
        <v>7.1017962694889114</v>
      </c>
      <c r="FQ84" s="31">
        <f t="shared" si="256"/>
        <v>5.1462828600353978</v>
      </c>
      <c r="FR84" s="31">
        <f t="shared" si="257"/>
        <v>15.243710019105684</v>
      </c>
      <c r="FS84" s="31">
        <f t="shared" si="258"/>
        <v>15.243710019105684</v>
      </c>
      <c r="FT84" s="31"/>
      <c r="FU84" s="31">
        <f t="shared" si="259"/>
        <v>2.613270399327797</v>
      </c>
      <c r="FV84" s="31">
        <f t="shared" si="260"/>
        <v>1.3157864026129553</v>
      </c>
      <c r="FW84" s="31">
        <f t="shared" si="261"/>
        <v>0.15614907569967118</v>
      </c>
      <c r="FX84" s="31">
        <f t="shared" si="262"/>
        <v>3.157491185434429</v>
      </c>
      <c r="FY84" s="31">
        <f t="shared" si="263"/>
        <v>1.7409265675205488</v>
      </c>
      <c r="FZ84" s="31">
        <f t="shared" si="264"/>
        <v>7.6065394881861717E-2</v>
      </c>
      <c r="GA84" s="31">
        <f t="shared" si="265"/>
        <v>0.71760344370344142</v>
      </c>
      <c r="GB84" s="31">
        <f t="shared" si="266"/>
        <v>5.054566828654651</v>
      </c>
      <c r="GC84" s="31">
        <f t="shared" si="267"/>
        <v>3.9290568019407517</v>
      </c>
      <c r="GD84" s="31">
        <f t="shared" si="268"/>
        <v>9.7772924691807042</v>
      </c>
    </row>
    <row r="85" spans="1:186" s="136" customFormat="1">
      <c r="A85" s="39" t="str">
        <f>Basicinfo!A85</f>
        <v>EZG_restlich1</v>
      </c>
      <c r="B85" s="63">
        <f>Basicinfo!B85</f>
        <v>61141</v>
      </c>
      <c r="C85" s="63">
        <f>Basicinfo!C85</f>
        <v>1100</v>
      </c>
      <c r="D85" s="227">
        <v>131.97466666666665</v>
      </c>
      <c r="E85" s="89">
        <v>2.5747195238153675</v>
      </c>
      <c r="F85" s="27">
        <v>4.4513651650286189E-3</v>
      </c>
      <c r="G85" s="19">
        <v>0.52067612000845098</v>
      </c>
      <c r="H85" s="19">
        <v>0</v>
      </c>
      <c r="I85" s="19">
        <v>0.20721045242267108</v>
      </c>
      <c r="J85" s="19">
        <v>1.8130163620496893</v>
      </c>
      <c r="K85" s="19">
        <v>2.1515773677922785E-4</v>
      </c>
      <c r="L85" s="19">
        <v>7.6275175575640152E-3</v>
      </c>
      <c r="M85" s="19">
        <v>2.38844816488439E-3</v>
      </c>
      <c r="N85" s="19">
        <v>2.5555854231050681</v>
      </c>
      <c r="O85" s="19">
        <v>1.9134100710299341E-2</v>
      </c>
      <c r="P85" s="56">
        <v>16.473699150393145</v>
      </c>
      <c r="Q85" s="43">
        <v>562.11696239115349</v>
      </c>
      <c r="R85" s="88">
        <v>578.59066154154664</v>
      </c>
      <c r="S85" s="61">
        <v>0.43804980767169716</v>
      </c>
      <c r="T85" s="19">
        <v>26.949617076534203</v>
      </c>
      <c r="U85" s="19">
        <v>0</v>
      </c>
      <c r="V85" s="19">
        <v>0.22954979085876334</v>
      </c>
      <c r="W85" s="19">
        <v>1.4052924059778838E-2</v>
      </c>
      <c r="X85" s="19">
        <v>64.430816986709871</v>
      </c>
      <c r="Y85" s="19">
        <v>113.57244043258754</v>
      </c>
      <c r="Z85" s="19">
        <v>1.6079985841796401E-2</v>
      </c>
      <c r="AA85" s="19">
        <v>2.5447323911906885</v>
      </c>
      <c r="AB85" s="19">
        <v>1.5097752683974526</v>
      </c>
      <c r="AC85" s="19">
        <v>209.70511466385179</v>
      </c>
      <c r="AD85" s="19">
        <v>7.4260000000000002</v>
      </c>
      <c r="AE85" s="87">
        <v>217.13111466385178</v>
      </c>
      <c r="AF85" s="56">
        <v>7.0165008770241765E-3</v>
      </c>
      <c r="AG85" s="43">
        <v>0.33598276719800524</v>
      </c>
      <c r="AH85" s="43">
        <v>0</v>
      </c>
      <c r="AI85" s="43">
        <v>9.0472971156343659E-2</v>
      </c>
      <c r="AJ85" s="43">
        <v>0.25295263307601906</v>
      </c>
      <c r="AK85" s="43">
        <v>0.39207532965608127</v>
      </c>
      <c r="AL85" s="58">
        <v>0.28016300576400621</v>
      </c>
      <c r="AM85" s="43">
        <v>3.2189245067572292E-3</v>
      </c>
      <c r="AN85" s="42">
        <v>0.43339196328909207</v>
      </c>
      <c r="AO85" s="42">
        <v>0.21096434575095896</v>
      </c>
      <c r="AP85" s="42">
        <v>2.006238441274288</v>
      </c>
      <c r="AQ85" s="43">
        <v>1.444</v>
      </c>
      <c r="AR85" s="83">
        <v>3.4502384412742879</v>
      </c>
      <c r="AS85" s="19">
        <f>F85*86400*365/(D85*1000000)*1000</f>
        <v>1.0636757446707641</v>
      </c>
      <c r="AT85" s="19">
        <f>G85*86400*365/(D85*1000000)*1000</f>
        <v>124.41813671755068</v>
      </c>
      <c r="AU85" s="19">
        <f>H85*86400*365/(D85*1000000)*1000</f>
        <v>0</v>
      </c>
      <c r="AV85" s="19">
        <f>I85*86400*365/(D85*1000000)*1000</f>
        <v>49.51396349502447</v>
      </c>
      <c r="AW85" s="19">
        <f>J85*86400*365/(D85*1000000)*1000</f>
        <v>433.22923586546159</v>
      </c>
      <c r="AX85" s="53">
        <f t="shared" si="177"/>
        <v>5.1413006438632634E-2</v>
      </c>
      <c r="AY85" s="53">
        <f t="shared" si="178"/>
        <v>1.8226330838393643</v>
      </c>
      <c r="AZ85" s="53">
        <f t="shared" si="179"/>
        <v>0.57073151408700251</v>
      </c>
      <c r="BA85" s="19">
        <f t="shared" si="180"/>
        <v>610.6697894270726</v>
      </c>
      <c r="BB85" s="19">
        <f>O85*86400*365/(D85*1000000)*1000</f>
        <v>4.5721880967054291</v>
      </c>
      <c r="BC85" s="53">
        <f>BA85+BB85</f>
        <v>615.24197752377802</v>
      </c>
      <c r="BD85" s="56">
        <f>P85/(D85*100)*1000</f>
        <v>1.2482470739631708</v>
      </c>
      <c r="BE85" s="43">
        <f>Q85/(D85*100)*1000</f>
        <v>42.592792737329908</v>
      </c>
      <c r="BF85" s="58">
        <f>SUM(BD85:BE85)</f>
        <v>43.841039811293079</v>
      </c>
      <c r="BG85" s="61">
        <f>S85/(D85*100)*1000000</f>
        <v>33.191961664741001</v>
      </c>
      <c r="BH85" s="19">
        <f>T85/(D85*100)*1000000</f>
        <v>2042.0295619766071</v>
      </c>
      <c r="BI85" s="19">
        <f>U85/(D85*100)*1000000</f>
        <v>0</v>
      </c>
      <c r="BJ85" s="19">
        <f>V85/(D85*100)*1000000</f>
        <v>17.393473812557211</v>
      </c>
      <c r="BK85" s="19">
        <f>W85/(D85*100)*1000000</f>
        <v>1.0648198184332476</v>
      </c>
      <c r="BL85" s="19">
        <f>X85/(D85*100)*1000000</f>
        <v>4882.0594598996177</v>
      </c>
      <c r="BM85" s="19">
        <f>Y85/(D85*100)*1000000</f>
        <v>8605.624344514672</v>
      </c>
      <c r="BN85" s="53">
        <f>Z85/(D85*100)*1000000</f>
        <v>1.2184145827327773</v>
      </c>
      <c r="BO85" s="53">
        <f t="shared" si="181"/>
        <v>192.81976272143305</v>
      </c>
      <c r="BP85" s="53">
        <f t="shared" si="182"/>
        <v>114.39886961114654</v>
      </c>
      <c r="BQ85" s="19">
        <f t="shared" si="183"/>
        <v>15889.80066860194</v>
      </c>
      <c r="BR85" s="19">
        <f>AD85/(D85*100)*1000000</f>
        <v>562.68374738586203</v>
      </c>
      <c r="BS85" s="53">
        <f>BQ85+BR85</f>
        <v>16452.484415987801</v>
      </c>
      <c r="BT85" s="56">
        <f>AF85/(D85*100)*1000000</f>
        <v>0.53165513156748589</v>
      </c>
      <c r="BU85" s="43">
        <f>AG85/(D85*100)*1000000</f>
        <v>25.458125842182231</v>
      </c>
      <c r="BV85" s="43">
        <f>AH85/(D85*100)*1000000</f>
        <v>0</v>
      </c>
      <c r="BW85" s="43">
        <f>AI85/(D85*100)*1000000</f>
        <v>6.855328635521742</v>
      </c>
      <c r="BX85" s="43">
        <f>AJ85/(D85*100)*1000000</f>
        <v>19.166756731798458</v>
      </c>
      <c r="BY85" s="58">
        <f>AK85/(D85*100)*1000000</f>
        <v>29.70837809701468</v>
      </c>
      <c r="BZ85" s="58">
        <f>AL85/(D85*100)*1000000</f>
        <v>21.228544298704264</v>
      </c>
      <c r="CA85" s="58">
        <f>AM85/(D85*100)*1000000</f>
        <v>0.24390472717672304</v>
      </c>
      <c r="CB85" s="58">
        <f t="shared" si="184"/>
        <v>32.83902693110992</v>
      </c>
      <c r="CC85" s="58">
        <f t="shared" si="185"/>
        <v>15.985215274973907</v>
      </c>
      <c r="CD85" s="58">
        <f t="shared" si="186"/>
        <v>152.01693567004941</v>
      </c>
      <c r="CE85" s="58">
        <f>AQ85/(D85*100)*1000000</f>
        <v>109.41493822046657</v>
      </c>
      <c r="CF85" s="58">
        <f>CD85+CE85</f>
        <v>261.43187389051599</v>
      </c>
      <c r="CG85" s="127">
        <v>18</v>
      </c>
      <c r="CH85" s="128" t="s">
        <v>169</v>
      </c>
      <c r="CI85" s="128"/>
      <c r="CJ85" s="126">
        <f t="shared" si="187"/>
        <v>82</v>
      </c>
      <c r="CK85" s="126">
        <f>IF(CG85&gt;0,CG85-3,0)</f>
        <v>15</v>
      </c>
    </row>
    <row r="86" spans="1:186" s="136" customFormat="1">
      <c r="A86" s="39" t="str">
        <f>Basicinfo!A86</f>
        <v>EZG_restlich2</v>
      </c>
      <c r="B86" s="63">
        <f>Basicinfo!B86</f>
        <v>61142</v>
      </c>
      <c r="C86" s="63">
        <f>Basicinfo!C86</f>
        <v>1140</v>
      </c>
      <c r="D86" s="227">
        <v>65.987333333333325</v>
      </c>
      <c r="E86" s="89">
        <v>1.2873597619076835</v>
      </c>
      <c r="F86" s="27">
        <v>2.2256825825143095E-3</v>
      </c>
      <c r="G86" s="19">
        <v>0.26280254795230679</v>
      </c>
      <c r="H86" s="19">
        <v>0</v>
      </c>
      <c r="I86" s="19">
        <v>0.10360522621133554</v>
      </c>
      <c r="J86" s="19">
        <v>0.91361074343191306</v>
      </c>
      <c r="K86" s="19">
        <v>1.0757886838961393E-4</v>
      </c>
      <c r="L86" s="19">
        <v>3.8137587787820076E-3</v>
      </c>
      <c r="M86" s="19">
        <v>1.194224082442195E-3</v>
      </c>
      <c r="N86" s="19">
        <v>1.2873597619076835</v>
      </c>
      <c r="O86" s="19">
        <v>0</v>
      </c>
      <c r="P86" s="56">
        <v>9.6523882419210736</v>
      </c>
      <c r="Q86" s="43">
        <v>310.45662302809598</v>
      </c>
      <c r="R86" s="88">
        <v>320.10901127001705</v>
      </c>
      <c r="S86" s="61">
        <v>0.2162130613256871</v>
      </c>
      <c r="T86" s="19">
        <v>13.430980407724295</v>
      </c>
      <c r="U86" s="19">
        <v>0</v>
      </c>
      <c r="V86" s="19">
        <v>7.5935820139549456E-2</v>
      </c>
      <c r="W86" s="19">
        <v>7.7614155757023988E-3</v>
      </c>
      <c r="X86" s="19">
        <v>28.424357966045886</v>
      </c>
      <c r="Y86" s="19">
        <v>54.725054203514865</v>
      </c>
      <c r="Z86" s="19">
        <v>7.9698351142050636E-3</v>
      </c>
      <c r="AA86" s="19">
        <v>1.2701064595504978</v>
      </c>
      <c r="AB86" s="19">
        <v>0.75465548575735086</v>
      </c>
      <c r="AC86" s="19">
        <v>98.91303465474806</v>
      </c>
      <c r="AD86" s="19">
        <v>0</v>
      </c>
      <c r="AE86" s="87">
        <v>98.91303465474806</v>
      </c>
      <c r="AF86" s="56">
        <v>3.5082504385120883E-3</v>
      </c>
      <c r="AG86" s="43">
        <v>0.16954529804481869</v>
      </c>
      <c r="AH86" s="43">
        <v>0</v>
      </c>
      <c r="AI86" s="43">
        <v>4.9392236233580807E-2</v>
      </c>
      <c r="AJ86" s="43">
        <v>0.13970548036264319</v>
      </c>
      <c r="AK86" s="43">
        <v>0.19603766482804064</v>
      </c>
      <c r="AL86" s="58">
        <v>0.14117905239906375</v>
      </c>
      <c r="AM86" s="43">
        <v>1.6094622533786146E-3</v>
      </c>
      <c r="AN86" s="42">
        <v>0.21669598164454604</v>
      </c>
      <c r="AO86" s="42">
        <v>0.10548217287547948</v>
      </c>
      <c r="AP86" s="42">
        <v>1.0231555990800634</v>
      </c>
      <c r="AQ86" s="43">
        <v>0</v>
      </c>
      <c r="AR86" s="83">
        <v>1.0231555990800634</v>
      </c>
      <c r="AS86" s="19">
        <f>F86*86400*365/(D86*1000000)*1000</f>
        <v>1.0636757446707641</v>
      </c>
      <c r="AT86" s="19">
        <f>G86*86400*365/(D86*1000000)*1000</f>
        <v>125.59593991105284</v>
      </c>
      <c r="AU86" s="19">
        <f>H86*86400*365/(D86*1000000)*1000</f>
        <v>0</v>
      </c>
      <c r="AV86" s="19">
        <f>I86*86400*365/(D86*1000000)*1000</f>
        <v>49.51396349502447</v>
      </c>
      <c r="AW86" s="19">
        <f>J86*86400*365/(D86*1000000)*1000</f>
        <v>436.62362076866492</v>
      </c>
      <c r="AX86" s="53">
        <f t="shared" si="177"/>
        <v>5.1413006438632634E-2</v>
      </c>
      <c r="AY86" s="53">
        <f t="shared" si="178"/>
        <v>1.8226330838393643</v>
      </c>
      <c r="AZ86" s="53">
        <f t="shared" si="179"/>
        <v>0.57073151408700251</v>
      </c>
      <c r="BA86" s="19">
        <f t="shared" si="180"/>
        <v>615.24197752377813</v>
      </c>
      <c r="BB86" s="19">
        <f>O86*86400*365/(D86*1000000)*1000</f>
        <v>0</v>
      </c>
      <c r="BC86" s="53">
        <f>BA86+BB86</f>
        <v>615.24197752377813</v>
      </c>
      <c r="BD86" s="56">
        <f>P86/(D86*100)*1000</f>
        <v>1.462763799404089</v>
      </c>
      <c r="BE86" s="43">
        <f>Q86/(D86*100)*1000</f>
        <v>47.047911674174237</v>
      </c>
      <c r="BF86" s="58">
        <f>SUM(BD86:BE86)</f>
        <v>48.510675473578324</v>
      </c>
      <c r="BG86" s="61">
        <f>S86/(D86*100)*1000000</f>
        <v>32.765843140454301</v>
      </c>
      <c r="BH86" s="19">
        <f>T86/(D86*100)*1000000</f>
        <v>2035.3876614286021</v>
      </c>
      <c r="BI86" s="19">
        <f>U86/(D86*100)*1000000</f>
        <v>0</v>
      </c>
      <c r="BJ86" s="19">
        <f>V86/(D86*100)*1000000</f>
        <v>11.507635830040533</v>
      </c>
      <c r="BK86" s="19">
        <f>W86/(D86*100)*1000000</f>
        <v>1.1761977918543558</v>
      </c>
      <c r="BL86" s="19">
        <f>X86/(D86*100)*1000000</f>
        <v>4307.5476050018524</v>
      </c>
      <c r="BM86" s="19">
        <f>Y86/(D86*100)*1000000</f>
        <v>8293.2665163286201</v>
      </c>
      <c r="BN86" s="53">
        <f>Z86/(D86*100)*1000000</f>
        <v>1.2077825715346984</v>
      </c>
      <c r="BO86" s="53">
        <f t="shared" si="181"/>
        <v>192.47731274949203</v>
      </c>
      <c r="BP86" s="53">
        <f t="shared" si="182"/>
        <v>114.36368885301486</v>
      </c>
      <c r="BQ86" s="19">
        <f t="shared" si="183"/>
        <v>14989.700243695466</v>
      </c>
      <c r="BR86" s="19">
        <f>AD86/(D86*100)*1000000</f>
        <v>0</v>
      </c>
      <c r="BS86" s="53">
        <f>BQ86+BR86</f>
        <v>14989.700243695466</v>
      </c>
      <c r="BT86" s="56">
        <f>AF86/(D86*100)*1000000</f>
        <v>0.53165513156748589</v>
      </c>
      <c r="BU86" s="43">
        <f>AG86/(D86*100)*1000000</f>
        <v>25.693612619313612</v>
      </c>
      <c r="BV86" s="43">
        <f>AH86/(D86*100)*1000000</f>
        <v>0</v>
      </c>
      <c r="BW86" s="43">
        <f>AI86/(D86*100)*1000000</f>
        <v>7.4851086926148671</v>
      </c>
      <c r="BX86" s="43">
        <f>AJ86/(D86*100)*1000000</f>
        <v>21.171560253378406</v>
      </c>
      <c r="BY86" s="58">
        <f>AK86/(D86*100)*1000000</f>
        <v>29.70837809701468</v>
      </c>
      <c r="BZ86" s="58">
        <f>AL86/(D86*100)*1000000</f>
        <v>21.394871601478634</v>
      </c>
      <c r="CA86" s="58">
        <f>AM86/(D86*100)*1000000</f>
        <v>0.24390472717672304</v>
      </c>
      <c r="CB86" s="58">
        <f t="shared" si="184"/>
        <v>32.83902693110992</v>
      </c>
      <c r="CC86" s="58">
        <f t="shared" si="185"/>
        <v>15.985215274973907</v>
      </c>
      <c r="CD86" s="58">
        <f t="shared" si="186"/>
        <v>155.05333332862824</v>
      </c>
      <c r="CE86" s="58">
        <f>AQ86/(D86*100)*1000000</f>
        <v>0</v>
      </c>
      <c r="CF86" s="58">
        <f>CD86+CE86</f>
        <v>155.05333332862824</v>
      </c>
      <c r="CG86" s="127">
        <v>22</v>
      </c>
      <c r="CH86" s="128" t="s">
        <v>169</v>
      </c>
      <c r="CI86" s="128"/>
      <c r="CJ86" s="126">
        <f t="shared" si="187"/>
        <v>83</v>
      </c>
      <c r="CK86" s="126">
        <f>IF(CG86&gt;0,CG86-3,0)</f>
        <v>19</v>
      </c>
      <c r="CN86" s="185">
        <f>MAX(CN4:CN84)</f>
        <v>9.8317677266396348</v>
      </c>
      <c r="CO86" s="185">
        <f>MAX(CO4:CO84)</f>
        <v>67.195332058226356</v>
      </c>
      <c r="CP86" s="185">
        <f>MAX(CP4:CP84)</f>
        <v>0.52531063180286175</v>
      </c>
      <c r="CQ86" s="185">
        <f>MAX(CQ4:CQ84)</f>
        <v>187.21609534657978</v>
      </c>
    </row>
    <row r="87" spans="1:186" s="136" customFormat="1">
      <c r="A87" s="39" t="str">
        <f>Basicinfo!A87</f>
        <v>EZG_restlich3</v>
      </c>
      <c r="B87" s="63">
        <f>Basicinfo!B87</f>
        <v>61151</v>
      </c>
      <c r="C87" s="63">
        <f>Basicinfo!C87</f>
        <v>1130</v>
      </c>
      <c r="D87" s="227">
        <v>26.457000000000001</v>
      </c>
      <c r="E87" s="89">
        <v>0.28200135084805245</v>
      </c>
      <c r="F87" s="27">
        <v>1.156335468843146E-4</v>
      </c>
      <c r="G87" s="19">
        <v>5.0284793419463215E-2</v>
      </c>
      <c r="H87" s="19">
        <v>0</v>
      </c>
      <c r="I87" s="19">
        <v>0</v>
      </c>
      <c r="J87" s="19">
        <v>0.23060492867576729</v>
      </c>
      <c r="K87" s="19">
        <v>0</v>
      </c>
      <c r="L87" s="19">
        <v>0</v>
      </c>
      <c r="M87" s="19">
        <v>9.9599520593763886E-4</v>
      </c>
      <c r="N87" s="19">
        <v>0.28200135084805245</v>
      </c>
      <c r="O87" s="19">
        <v>0</v>
      </c>
      <c r="P87" s="56">
        <v>2.7406491886909521</v>
      </c>
      <c r="Q87" s="43">
        <v>198.88932079540314</v>
      </c>
      <c r="R87" s="88">
        <v>201.62996998409409</v>
      </c>
      <c r="S87" s="61">
        <v>1.2406912480713539E-2</v>
      </c>
      <c r="T87" s="19">
        <v>2.6204089978110368</v>
      </c>
      <c r="U87" s="19">
        <v>0</v>
      </c>
      <c r="V87" s="19">
        <v>1.6987057864487405E-2</v>
      </c>
      <c r="W87" s="19">
        <v>4.9722330198850783E-3</v>
      </c>
      <c r="X87" s="19">
        <v>0</v>
      </c>
      <c r="Y87" s="19">
        <v>18.138030000634878</v>
      </c>
      <c r="Z87" s="19">
        <v>0</v>
      </c>
      <c r="AA87" s="19">
        <v>0</v>
      </c>
      <c r="AB87" s="19">
        <v>1.9342117029556123</v>
      </c>
      <c r="AC87" s="19">
        <v>22.727016904766611</v>
      </c>
      <c r="AD87" s="19">
        <v>0</v>
      </c>
      <c r="AE87" s="87">
        <v>22.727016904766611</v>
      </c>
      <c r="AF87" s="56">
        <v>2.1517596962434602E-4</v>
      </c>
      <c r="AG87" s="43">
        <v>2.0504030566734097E-2</v>
      </c>
      <c r="AH87" s="43">
        <v>0</v>
      </c>
      <c r="AI87" s="43">
        <v>1.1808358084524502E-2</v>
      </c>
      <c r="AJ87" s="43">
        <v>8.9500194357931412E-2</v>
      </c>
      <c r="AK87" s="43">
        <v>0</v>
      </c>
      <c r="AL87" s="58">
        <v>2.7153699304272236E-2</v>
      </c>
      <c r="AM87" s="43">
        <v>0</v>
      </c>
      <c r="AN87" s="42">
        <v>0</v>
      </c>
      <c r="AO87" s="42">
        <v>0.26917315519172363</v>
      </c>
      <c r="AP87" s="42">
        <v>0.41835461347481023</v>
      </c>
      <c r="AQ87" s="43">
        <v>0</v>
      </c>
      <c r="AR87" s="83">
        <v>0.41835461347481023</v>
      </c>
      <c r="AS87" s="19">
        <f>F87*86400*365/(D87*1000000)*1000</f>
        <v>0.13783193614331729</v>
      </c>
      <c r="AT87" s="19">
        <f>G87*86400*365/(D87*1000000)*1000</f>
        <v>59.938059692187011</v>
      </c>
      <c r="AU87" s="19">
        <f>H87*86400*365/(D87*1000000)*1000</f>
        <v>0</v>
      </c>
      <c r="AV87" s="19">
        <f>I87*86400*365/(D87*1000000)*1000</f>
        <v>0</v>
      </c>
      <c r="AW87" s="19">
        <f>J87*86400*365/(D87*1000000)*1000</f>
        <v>274.87459011675543</v>
      </c>
      <c r="AX87" s="53">
        <f t="shared" si="177"/>
        <v>0</v>
      </c>
      <c r="AY87" s="53">
        <f t="shared" si="178"/>
        <v>0</v>
      </c>
      <c r="AZ87" s="53">
        <f t="shared" si="179"/>
        <v>1.1871982769947229</v>
      </c>
      <c r="BA87" s="19">
        <f t="shared" si="180"/>
        <v>336.13768002208047</v>
      </c>
      <c r="BB87" s="19">
        <f>O87*86400*365/(D87*1000000)*1000</f>
        <v>0</v>
      </c>
      <c r="BC87" s="53">
        <f>BA87+BB87</f>
        <v>336.13768002208047</v>
      </c>
      <c r="BD87" s="56">
        <f>P87/(D87*100)*1000</f>
        <v>1.0358881160717208</v>
      </c>
      <c r="BE87" s="43">
        <f>Q87/(D87*100)*1000</f>
        <v>75.174555238841563</v>
      </c>
      <c r="BF87" s="58">
        <f>SUM(BD87:BE87)</f>
        <v>76.210443354913281</v>
      </c>
      <c r="BG87" s="61">
        <f>S87/(D87*100)*1000000</f>
        <v>4.6894630837636688</v>
      </c>
      <c r="BH87" s="19">
        <f>T87/(D87*100)*1000000</f>
        <v>990.44071429528549</v>
      </c>
      <c r="BI87" s="19">
        <f>U87/(D87*100)*1000000</f>
        <v>0</v>
      </c>
      <c r="BJ87" s="19">
        <f>V87/(D87*100)*1000000</f>
        <v>6.4206288938607559</v>
      </c>
      <c r="BK87" s="19">
        <f>W87/(D87*100)*1000000</f>
        <v>1.8793638809710389</v>
      </c>
      <c r="BL87" s="19">
        <f>X87/(D87*100)*1000000</f>
        <v>0</v>
      </c>
      <c r="BM87" s="19">
        <f>Y87/(D87*100)*1000000</f>
        <v>6855.6639077124673</v>
      </c>
      <c r="BN87" s="53">
        <f>Z87/(D87*100)*1000000</f>
        <v>0</v>
      </c>
      <c r="BO87" s="53">
        <f t="shared" si="181"/>
        <v>0</v>
      </c>
      <c r="BP87" s="53">
        <f t="shared" si="182"/>
        <v>731.07748533681524</v>
      </c>
      <c r="BQ87" s="19">
        <f t="shared" si="183"/>
        <v>8590.1715632031628</v>
      </c>
      <c r="BR87" s="19">
        <f>AD87/(D87*100)*1000000</f>
        <v>0</v>
      </c>
      <c r="BS87" s="53">
        <f>BQ87+BR87</f>
        <v>8590.1715632031628</v>
      </c>
      <c r="BT87" s="56">
        <f>AF87/(D87*100)*1000000</f>
        <v>8.1330449266487512E-2</v>
      </c>
      <c r="BU87" s="43">
        <f>AG87/(D87*100)*1000000</f>
        <v>7.7499454082980295</v>
      </c>
      <c r="BV87" s="43">
        <f>AH87/(D87*100)*1000000</f>
        <v>0</v>
      </c>
      <c r="BW87" s="43">
        <f>AI87/(D87*100)*1000000</f>
        <v>4.4632263992608765</v>
      </c>
      <c r="BX87" s="43">
        <f>AJ87/(D87*100)*1000000</f>
        <v>33.828549857478706</v>
      </c>
      <c r="BY87" s="58">
        <f>AK87/(D87*100)*1000000</f>
        <v>0</v>
      </c>
      <c r="BZ87" s="58">
        <f>AL87/(D87*100)*1000000</f>
        <v>10.26333269239605</v>
      </c>
      <c r="CA87" s="58">
        <f>AM87/(D87*100)*1000000</f>
        <v>0</v>
      </c>
      <c r="CB87" s="58">
        <f t="shared" si="184"/>
        <v>0</v>
      </c>
      <c r="CC87" s="58">
        <f t="shared" si="185"/>
        <v>101.73986286870152</v>
      </c>
      <c r="CD87" s="58">
        <f t="shared" si="186"/>
        <v>158.12624767540166</v>
      </c>
      <c r="CE87" s="58">
        <f>AQ87/(D87*100)*1000000</f>
        <v>0</v>
      </c>
      <c r="CF87" s="58">
        <f>CD87+CE87</f>
        <v>158.12624767540166</v>
      </c>
      <c r="CG87" s="127">
        <v>21</v>
      </c>
      <c r="CH87" s="128" t="s">
        <v>169</v>
      </c>
      <c r="CI87" s="128"/>
      <c r="CJ87" s="126">
        <f t="shared" si="187"/>
        <v>84</v>
      </c>
      <c r="CK87" s="126">
        <f>IF(CG87&gt;0,CG87-3,0)</f>
        <v>18</v>
      </c>
      <c r="CN87" s="185">
        <f>MIN(CN4:CN84)</f>
        <v>4.0800801868676991E-3</v>
      </c>
      <c r="CO87" s="185">
        <f>MIN(CO4:CO84)</f>
        <v>5.8929453130559757E-2</v>
      </c>
      <c r="CP87" s="185">
        <f>MIN(CP4:CP84)</f>
        <v>0</v>
      </c>
      <c r="CQ87" s="185">
        <f>MIN(CQ4:CQ84)</f>
        <v>1.7669928339892477E-3</v>
      </c>
    </row>
    <row r="88" spans="1:186" s="136" customFormat="1">
      <c r="A88" s="39" t="str">
        <f>Basicinfo!A88</f>
        <v>EZG_restlich4</v>
      </c>
      <c r="B88" s="63">
        <f>Basicinfo!B88</f>
        <v>61152</v>
      </c>
      <c r="C88" s="63">
        <f>Basicinfo!C88</f>
        <v>1120</v>
      </c>
      <c r="D88" s="227">
        <v>26.457000000000001</v>
      </c>
      <c r="E88" s="89">
        <v>0.28200135084805245</v>
      </c>
      <c r="F88" s="27">
        <v>1.156335468843146E-4</v>
      </c>
      <c r="G88" s="19">
        <v>5.0284793419463215E-2</v>
      </c>
      <c r="H88" s="19">
        <v>0</v>
      </c>
      <c r="I88" s="19">
        <v>0</v>
      </c>
      <c r="J88" s="19">
        <v>0.23060492867576729</v>
      </c>
      <c r="K88" s="19">
        <v>0</v>
      </c>
      <c r="L88" s="19">
        <v>0</v>
      </c>
      <c r="M88" s="19">
        <v>9.9599520593763886E-4</v>
      </c>
      <c r="N88" s="19">
        <v>0.28200135084805245</v>
      </c>
      <c r="O88" s="19">
        <v>0</v>
      </c>
      <c r="P88" s="56">
        <v>2.4447177745938689</v>
      </c>
      <c r="Q88" s="43">
        <v>185.92011774177854</v>
      </c>
      <c r="R88" s="88">
        <v>188.36483551637241</v>
      </c>
      <c r="S88" s="61">
        <v>1.1375212491791161E-2</v>
      </c>
      <c r="T88" s="19">
        <v>2.4071109924471914</v>
      </c>
      <c r="U88" s="19">
        <v>0</v>
      </c>
      <c r="V88" s="19">
        <v>1.9241462588713586E-2</v>
      </c>
      <c r="W88" s="19">
        <v>4.6480029435444631E-3</v>
      </c>
      <c r="X88" s="19">
        <v>0</v>
      </c>
      <c r="Y88" s="19">
        <v>17.513736240725713</v>
      </c>
      <c r="Z88" s="19">
        <v>0</v>
      </c>
      <c r="AA88" s="19">
        <v>0</v>
      </c>
      <c r="AB88" s="19">
        <v>1.9342117029556123</v>
      </c>
      <c r="AC88" s="19">
        <v>21.890323614152564</v>
      </c>
      <c r="AD88" s="19">
        <v>0</v>
      </c>
      <c r="AE88" s="87">
        <v>21.890323614152564</v>
      </c>
      <c r="AF88" s="56">
        <v>2.1517596962434602E-4</v>
      </c>
      <c r="AG88" s="43">
        <v>2.0495416390518658E-2</v>
      </c>
      <c r="AH88" s="43">
        <v>0</v>
      </c>
      <c r="AI88" s="43">
        <v>1.0538692038165248E-2</v>
      </c>
      <c r="AJ88" s="43">
        <v>8.3664052983800336E-2</v>
      </c>
      <c r="AK88" s="43">
        <v>0</v>
      </c>
      <c r="AL88" s="58">
        <v>2.7153699304272236E-2</v>
      </c>
      <c r="AM88" s="43">
        <v>0</v>
      </c>
      <c r="AN88" s="42">
        <v>0</v>
      </c>
      <c r="AO88" s="42">
        <v>0.26917315519172363</v>
      </c>
      <c r="AP88" s="42">
        <v>0.41124019187810446</v>
      </c>
      <c r="AQ88" s="43">
        <v>0</v>
      </c>
      <c r="AR88" s="83">
        <v>0.41124019187810446</v>
      </c>
      <c r="AS88" s="19">
        <f>F88*86400*365/(D88*1000000)*1000</f>
        <v>0.13783193614331729</v>
      </c>
      <c r="AT88" s="19">
        <f>G88*86400*365/(D88*1000000)*1000</f>
        <v>59.938059692187011</v>
      </c>
      <c r="AU88" s="19">
        <f>H88*86400*365/(D88*1000000)*1000</f>
        <v>0</v>
      </c>
      <c r="AV88" s="19">
        <f>I88*86400*365/(D88*1000000)*1000</f>
        <v>0</v>
      </c>
      <c r="AW88" s="19">
        <f>J88*86400*365/(D88*1000000)*1000</f>
        <v>274.87459011675543</v>
      </c>
      <c r="AX88" s="53">
        <f t="shared" si="177"/>
        <v>0</v>
      </c>
      <c r="AY88" s="53">
        <f t="shared" si="178"/>
        <v>0</v>
      </c>
      <c r="AZ88" s="53">
        <f t="shared" si="179"/>
        <v>1.1871982769947229</v>
      </c>
      <c r="BA88" s="19">
        <f t="shared" si="180"/>
        <v>336.13768002208047</v>
      </c>
      <c r="BB88" s="19">
        <f>O88*86400*365/(D88*1000000)*1000</f>
        <v>0</v>
      </c>
      <c r="BC88" s="53">
        <f>BA88+BB88</f>
        <v>336.13768002208047</v>
      </c>
      <c r="BD88" s="56">
        <f>P88/(D88*100)*1000</f>
        <v>0.92403438583129927</v>
      </c>
      <c r="BE88" s="43">
        <f>Q88/(D88*100)*1000</f>
        <v>70.272562173254158</v>
      </c>
      <c r="BF88" s="58">
        <f>SUM(BD88:BE88)</f>
        <v>71.196596559085464</v>
      </c>
      <c r="BG88" s="61">
        <f>S88/(D88*100)*1000000</f>
        <v>4.2995095784825041</v>
      </c>
      <c r="BH88" s="19">
        <f>T88/(D88*100)*1000000</f>
        <v>909.8200825668788</v>
      </c>
      <c r="BI88" s="19">
        <f>U88/(D88*100)*1000000</f>
        <v>0</v>
      </c>
      <c r="BJ88" s="19">
        <f>V88/(D88*100)*1000000</f>
        <v>7.2727303128523957</v>
      </c>
      <c r="BK88" s="19">
        <f>W88/(D88*100)*1000000</f>
        <v>1.7568140543313537</v>
      </c>
      <c r="BL88" s="19">
        <f>X88/(D88*100)*1000000</f>
        <v>0</v>
      </c>
      <c r="BM88" s="19">
        <f>Y88/(D88*100)*1000000</f>
        <v>6619.698469488495</v>
      </c>
      <c r="BN88" s="53">
        <f>Z88/(D88*100)*1000000</f>
        <v>0</v>
      </c>
      <c r="BO88" s="53">
        <f t="shared" si="181"/>
        <v>0</v>
      </c>
      <c r="BP88" s="53">
        <f t="shared" si="182"/>
        <v>731.07748533681524</v>
      </c>
      <c r="BQ88" s="19">
        <f t="shared" si="183"/>
        <v>8273.9250913378546</v>
      </c>
      <c r="BR88" s="19">
        <f>AD88/(D88*100)*1000000</f>
        <v>0</v>
      </c>
      <c r="BS88" s="53">
        <f>BQ88+BR88</f>
        <v>8273.9250913378546</v>
      </c>
      <c r="BT88" s="56">
        <f>AF88/(D88*100)*1000000</f>
        <v>8.1330449266487512E-2</v>
      </c>
      <c r="BU88" s="43">
        <f>AG88/(D88*100)*1000000</f>
        <v>7.7466894925799066</v>
      </c>
      <c r="BV88" s="43">
        <f>AH88/(D88*100)*1000000</f>
        <v>0</v>
      </c>
      <c r="BW88" s="43">
        <f>AI88/(D88*100)*1000000</f>
        <v>3.9833284341252773</v>
      </c>
      <c r="BX88" s="43">
        <f>AJ88/(D88*100)*1000000</f>
        <v>31.622652977964368</v>
      </c>
      <c r="BY88" s="58">
        <f>AK88/(D88*100)*1000000</f>
        <v>0</v>
      </c>
      <c r="BZ88" s="58">
        <f>AL88/(D88*100)*1000000</f>
        <v>10.26333269239605</v>
      </c>
      <c r="CA88" s="58">
        <f>AM88/(D88*100)*1000000</f>
        <v>0</v>
      </c>
      <c r="CB88" s="58">
        <f t="shared" si="184"/>
        <v>0</v>
      </c>
      <c r="CC88" s="58">
        <f t="shared" si="185"/>
        <v>101.73986286870152</v>
      </c>
      <c r="CD88" s="58">
        <f t="shared" si="186"/>
        <v>155.43719691503361</v>
      </c>
      <c r="CE88" s="58">
        <f>AQ88/(D88*100)*1000000</f>
        <v>0</v>
      </c>
      <c r="CF88" s="58">
        <f>CD88+CE88</f>
        <v>155.43719691503361</v>
      </c>
      <c r="CG88" s="127">
        <v>20</v>
      </c>
      <c r="CH88" s="128" t="s">
        <v>169</v>
      </c>
      <c r="CI88" s="128"/>
      <c r="CJ88" s="126">
        <f t="shared" si="187"/>
        <v>85</v>
      </c>
      <c r="CK88" s="126">
        <f>IF(CG88&gt;0,CG88-3,0)</f>
        <v>17</v>
      </c>
      <c r="CN88" s="185">
        <f>AVERAGE(CN4:CN84)</f>
        <v>0.49046685791536415</v>
      </c>
      <c r="CO88" s="185">
        <f>AVERAGE(CO4:CO84)</f>
        <v>3.4504702316459666</v>
      </c>
      <c r="CP88" s="185">
        <f>AVERAGE(CP4:CP84)</f>
        <v>2.7212852550766612E-2</v>
      </c>
      <c r="CQ88" s="185">
        <f>AVERAGE(CQ4:CQ84)</f>
        <v>9.8876163022959513</v>
      </c>
    </row>
    <row r="89" spans="1:186" s="136" customFormat="1"/>
    <row r="90" spans="1:186" s="136" customFormat="1"/>
    <row r="91" spans="1:186" s="136" customFormat="1"/>
    <row r="92" spans="1:186" s="136" customFormat="1"/>
    <row r="93" spans="1:186" s="136" customFormat="1"/>
    <row r="94" spans="1:186" s="136" customFormat="1"/>
    <row r="95" spans="1:186" s="136" customFormat="1"/>
    <row r="96" spans="1:186" s="136" customFormat="1"/>
    <row r="97" s="136" customFormat="1"/>
    <row r="98" s="136" customFormat="1"/>
    <row r="99" s="136" customFormat="1"/>
    <row r="100" s="136" customFormat="1"/>
    <row r="101" s="136" customFormat="1"/>
    <row r="102" s="136" customFormat="1"/>
    <row r="103" s="136" customFormat="1"/>
    <row r="104" s="136" customFormat="1"/>
    <row r="105" s="136" customFormat="1"/>
    <row r="106" s="136" customFormat="1"/>
    <row r="107" s="136" customFormat="1"/>
    <row r="108" s="136" customFormat="1"/>
    <row r="109" s="136" customFormat="1"/>
    <row r="110" s="136" customFormat="1"/>
    <row r="111" s="136" customFormat="1"/>
    <row r="112" s="136" customFormat="1"/>
    <row r="113" s="136" customFormat="1"/>
    <row r="114" s="136" customFormat="1"/>
    <row r="115" s="136" customFormat="1"/>
    <row r="116" s="136" customFormat="1"/>
    <row r="117" s="136" customFormat="1"/>
    <row r="118" s="136" customFormat="1"/>
    <row r="119" s="136" customFormat="1"/>
    <row r="120" s="136" customFormat="1"/>
    <row r="121" s="136" customFormat="1"/>
    <row r="122" s="136" customFormat="1"/>
    <row r="123" s="136" customFormat="1"/>
    <row r="124" s="136" customFormat="1"/>
    <row r="125" s="136" customFormat="1"/>
    <row r="126" s="136" customFormat="1"/>
    <row r="127" s="136" customFormat="1"/>
    <row r="128" s="136" customFormat="1"/>
    <row r="129" s="136" customFormat="1"/>
    <row r="130" s="136" customFormat="1"/>
    <row r="131" s="136" customFormat="1"/>
    <row r="132" s="136" customFormat="1"/>
    <row r="133" s="136" customFormat="1"/>
    <row r="134" s="136" customFormat="1"/>
    <row r="135" s="136" customFormat="1"/>
    <row r="136" s="136" customFormat="1"/>
    <row r="137" s="136" customFormat="1"/>
    <row r="138" s="136" customFormat="1"/>
    <row r="139" s="136" customFormat="1"/>
    <row r="140" s="136" customFormat="1"/>
    <row r="141" s="136" customFormat="1"/>
    <row r="142" s="136" customFormat="1"/>
    <row r="143" s="136" customFormat="1"/>
    <row r="144" s="136" customFormat="1"/>
    <row r="145" s="136" customFormat="1"/>
    <row r="146" s="136" customFormat="1"/>
    <row r="147" s="136" customFormat="1"/>
    <row r="148" s="136" customFormat="1"/>
    <row r="149" s="136" customFormat="1"/>
    <row r="150" s="136" customFormat="1"/>
    <row r="151" s="136" customFormat="1"/>
    <row r="152" s="136" customFormat="1"/>
    <row r="153" s="136" customFormat="1"/>
    <row r="154" s="136" customFormat="1"/>
    <row r="155" s="136" customFormat="1"/>
    <row r="156" s="136" customFormat="1"/>
    <row r="157" s="136" customFormat="1"/>
    <row r="158" s="136" customFormat="1"/>
    <row r="159" s="136" customFormat="1"/>
    <row r="160" s="136" customFormat="1"/>
    <row r="161" s="136" customFormat="1"/>
    <row r="162" s="136" customFormat="1"/>
    <row r="163" s="136" customFormat="1"/>
    <row r="164" s="136" customFormat="1"/>
    <row r="165" s="136" customFormat="1"/>
    <row r="166" s="136" customFormat="1"/>
    <row r="167" s="136" customFormat="1"/>
    <row r="168" s="136" customFormat="1"/>
    <row r="169" s="136" customFormat="1"/>
    <row r="170" s="136" customFormat="1"/>
    <row r="171" s="136" customFormat="1"/>
    <row r="172" s="136" customFormat="1"/>
    <row r="173" s="136" customFormat="1"/>
    <row r="174" s="136" customFormat="1"/>
    <row r="175" s="136" customFormat="1"/>
    <row r="176" s="136" customFormat="1"/>
    <row r="177" s="136" customFormat="1"/>
    <row r="178" s="136" customFormat="1"/>
    <row r="179" s="136" customFormat="1"/>
    <row r="180" s="136" customFormat="1"/>
    <row r="181" s="136" customFormat="1"/>
    <row r="182" s="136" customFormat="1"/>
    <row r="183" s="136" customFormat="1"/>
    <row r="184" s="136" customFormat="1"/>
    <row r="185" s="136" customFormat="1"/>
    <row r="186" s="136" customFormat="1"/>
    <row r="187" s="136" customFormat="1"/>
    <row r="188" s="136" customFormat="1"/>
    <row r="189" s="136" customFormat="1"/>
    <row r="190" s="136" customFormat="1"/>
    <row r="191" s="136" customFormat="1"/>
    <row r="192" s="136" customFormat="1"/>
    <row r="193" spans="91:92" s="136" customFormat="1"/>
    <row r="194" spans="91:92" s="136" customFormat="1"/>
    <row r="195" spans="91:92" s="136" customFormat="1">
      <c r="CM195"/>
      <c r="CN195"/>
    </row>
  </sheetData>
  <autoFilter ref="CQ1:CQ195" xr:uid="{00000000-0009-0000-0000-000004000000}"/>
  <phoneticPr fontId="2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indexed="51"/>
  </sheetPr>
  <dimension ref="A1:EE574"/>
  <sheetViews>
    <sheetView workbookViewId="0">
      <pane xSplit="3" ySplit="3" topLeftCell="O4" activePane="bottomRight" state="frozen"/>
      <selection pane="topRight" activeCell="D1" sqref="D1"/>
      <selection pane="bottomLeft" activeCell="A4" sqref="A4"/>
      <selection pane="bottomRight" activeCell="Z4" sqref="Z4"/>
    </sheetView>
  </sheetViews>
  <sheetFormatPr baseColWidth="10" defaultRowHeight="13"/>
  <cols>
    <col min="1" max="1" width="13.83203125" customWidth="1"/>
    <col min="62" max="64" width="10.33203125" customWidth="1"/>
    <col min="86" max="86" width="20" customWidth="1"/>
    <col min="87" max="87" width="19" customWidth="1"/>
  </cols>
  <sheetData>
    <row r="1" spans="1:135" ht="15.75" customHeight="1">
      <c r="A1" s="37" t="str">
        <f>Basicinfo!A1</f>
        <v>Catchments</v>
      </c>
      <c r="B1" s="3"/>
      <c r="C1" s="28"/>
      <c r="D1" s="59" t="s">
        <v>158</v>
      </c>
      <c r="E1" s="49"/>
      <c r="F1" s="10"/>
      <c r="G1" s="10"/>
      <c r="H1" s="10"/>
      <c r="I1" s="10"/>
      <c r="J1" s="10"/>
      <c r="K1" s="10"/>
      <c r="L1" s="10"/>
      <c r="M1" s="10"/>
      <c r="N1" s="10"/>
      <c r="O1" s="10"/>
      <c r="P1" s="54" t="s">
        <v>159</v>
      </c>
      <c r="Q1" s="45"/>
      <c r="R1" s="18"/>
      <c r="S1" s="45"/>
      <c r="T1" s="45"/>
      <c r="U1" s="59" t="s">
        <v>572</v>
      </c>
      <c r="V1" s="49"/>
      <c r="W1" s="49"/>
      <c r="X1" s="59" t="s">
        <v>571</v>
      </c>
      <c r="Y1" s="49"/>
      <c r="Z1" s="49"/>
      <c r="AA1" s="49"/>
      <c r="AB1" s="54" t="s">
        <v>285</v>
      </c>
      <c r="AC1" s="18"/>
      <c r="AD1" s="18"/>
      <c r="AE1" s="59" t="s">
        <v>289</v>
      </c>
      <c r="AF1" s="80"/>
      <c r="AG1" s="80"/>
      <c r="AH1" s="54" t="s">
        <v>215</v>
      </c>
      <c r="AI1" s="45"/>
      <c r="AJ1" s="77"/>
      <c r="AK1" s="45"/>
      <c r="AL1" s="77"/>
      <c r="AM1" s="77"/>
      <c r="AN1" s="77"/>
      <c r="AO1" s="45"/>
      <c r="AP1" s="45"/>
      <c r="AQ1" s="45"/>
      <c r="AR1" s="45"/>
      <c r="AS1" s="45"/>
      <c r="AT1" s="45"/>
      <c r="AU1" s="45"/>
      <c r="AV1" s="45"/>
      <c r="AW1" s="45"/>
      <c r="AX1" s="59" t="s">
        <v>114</v>
      </c>
      <c r="AY1" s="80"/>
      <c r="AZ1" s="80"/>
      <c r="BA1" s="54" t="s">
        <v>113</v>
      </c>
      <c r="BB1" s="18"/>
      <c r="BC1" s="46"/>
      <c r="CH1" s="426" t="s">
        <v>929</v>
      </c>
      <c r="CI1" s="426"/>
      <c r="CK1" s="426" t="s">
        <v>933</v>
      </c>
      <c r="CL1" s="426"/>
      <c r="CX1" s="249"/>
      <c r="DY1" t="str">
        <f>Basicinfo!EI1</f>
        <v>gemessen</v>
      </c>
      <c r="DZ1">
        <f>Intermediate!CR1</f>
        <v>0</v>
      </c>
    </row>
    <row r="2" spans="1:135" s="103" customFormat="1" ht="124.5" customHeight="1">
      <c r="A2" s="104" t="str">
        <f>Basicinfo!A2</f>
        <v>Name</v>
      </c>
      <c r="B2" s="132" t="str">
        <f>Basicinfo!B2</f>
        <v>ID</v>
      </c>
      <c r="C2" s="113" t="str">
        <f>Basicinfo!C2</f>
        <v>Downstream ID</v>
      </c>
      <c r="D2" s="123" t="s">
        <v>338</v>
      </c>
      <c r="E2" s="107" t="s">
        <v>172</v>
      </c>
      <c r="F2" s="107" t="s">
        <v>157</v>
      </c>
      <c r="G2" s="107" t="s">
        <v>339</v>
      </c>
      <c r="H2" s="107" t="s">
        <v>340</v>
      </c>
      <c r="I2" s="108" t="s">
        <v>380</v>
      </c>
      <c r="J2" s="107" t="s">
        <v>173</v>
      </c>
      <c r="K2" s="107" t="s">
        <v>174</v>
      </c>
      <c r="L2" s="107" t="s">
        <v>280</v>
      </c>
      <c r="M2" s="108" t="s">
        <v>178</v>
      </c>
      <c r="N2" s="108" t="s">
        <v>179</v>
      </c>
      <c r="O2" s="108" t="s">
        <v>281</v>
      </c>
      <c r="P2" s="109" t="s">
        <v>118</v>
      </c>
      <c r="Q2" s="117" t="s">
        <v>168</v>
      </c>
      <c r="R2" s="110" t="s">
        <v>145</v>
      </c>
      <c r="S2" s="110" t="s">
        <v>119</v>
      </c>
      <c r="T2" s="112" t="s">
        <v>156</v>
      </c>
      <c r="U2" s="106" t="s">
        <v>124</v>
      </c>
      <c r="V2" s="107" t="s">
        <v>125</v>
      </c>
      <c r="W2" s="107" t="s">
        <v>126</v>
      </c>
      <c r="X2" s="106" t="s">
        <v>124</v>
      </c>
      <c r="Y2" s="107" t="s">
        <v>125</v>
      </c>
      <c r="Z2" s="107" t="s">
        <v>126</v>
      </c>
      <c r="AA2" s="114" t="s">
        <v>224</v>
      </c>
      <c r="AB2" s="109" t="s">
        <v>124</v>
      </c>
      <c r="AC2" s="110" t="s">
        <v>125</v>
      </c>
      <c r="AD2" s="112" t="s">
        <v>126</v>
      </c>
      <c r="AE2" s="106" t="s">
        <v>286</v>
      </c>
      <c r="AF2" s="107" t="s">
        <v>287</v>
      </c>
      <c r="AG2" s="108" t="s">
        <v>288</v>
      </c>
      <c r="AH2" s="229" t="s">
        <v>565</v>
      </c>
      <c r="AI2" s="225" t="s">
        <v>566</v>
      </c>
      <c r="AJ2" s="225" t="s">
        <v>675</v>
      </c>
      <c r="AK2" s="225" t="s">
        <v>676</v>
      </c>
      <c r="AL2" s="110" t="s">
        <v>216</v>
      </c>
      <c r="AM2" s="110" t="s">
        <v>106</v>
      </c>
      <c r="AN2" s="111" t="s">
        <v>107</v>
      </c>
      <c r="AO2" s="110" t="s">
        <v>108</v>
      </c>
      <c r="AP2" s="111" t="s">
        <v>77</v>
      </c>
      <c r="AQ2" s="110" t="s">
        <v>76</v>
      </c>
      <c r="AR2" s="225" t="s">
        <v>565</v>
      </c>
      <c r="AS2" s="225" t="s">
        <v>566</v>
      </c>
      <c r="AT2" s="224" t="s">
        <v>563</v>
      </c>
      <c r="AU2" s="224" t="s">
        <v>564</v>
      </c>
      <c r="AV2" s="225" t="s">
        <v>567</v>
      </c>
      <c r="AW2" s="225" t="s">
        <v>568</v>
      </c>
      <c r="AX2" s="106" t="s">
        <v>283</v>
      </c>
      <c r="AY2" s="107" t="s">
        <v>282</v>
      </c>
      <c r="AZ2" s="108" t="s">
        <v>284</v>
      </c>
      <c r="BA2" s="109" t="s">
        <v>283</v>
      </c>
      <c r="BB2" s="110" t="s">
        <v>282</v>
      </c>
      <c r="BC2" s="110" t="s">
        <v>284</v>
      </c>
      <c r="BF2" s="103" t="s">
        <v>495</v>
      </c>
      <c r="BG2" s="103" t="s">
        <v>496</v>
      </c>
      <c r="BH2" s="103" t="s">
        <v>583</v>
      </c>
      <c r="BI2" s="103" t="s">
        <v>584</v>
      </c>
      <c r="BJ2" s="103" t="str">
        <f>Basicinfo!CP2</f>
        <v>Pges filtr.
2000 - 2006</v>
      </c>
      <c r="BK2" s="103" t="str">
        <f>Basicinfo!CQ2</f>
        <v>Orthophosphat
2007 - 2013</v>
      </c>
      <c r="BM2" s="103" t="s">
        <v>585</v>
      </c>
      <c r="BN2" s="231" t="s">
        <v>586</v>
      </c>
      <c r="BO2" s="231" t="str">
        <f>CP2</f>
        <v>o-P</v>
      </c>
      <c r="BP2" s="231" t="s">
        <v>587</v>
      </c>
      <c r="BQ2" s="329" t="s">
        <v>742</v>
      </c>
      <c r="BR2" s="231" t="str">
        <f>Basicinfo!CW2</f>
        <v>PO4-P
Richtwert für Zustandsgrenze gut/mäßig gemäß Bioregionszuordnung</v>
      </c>
      <c r="BS2" s="231" t="s">
        <v>617</v>
      </c>
      <c r="BT2" s="253" t="s">
        <v>992</v>
      </c>
      <c r="BU2" s="103" t="s">
        <v>595</v>
      </c>
      <c r="BV2" s="103" t="s">
        <v>596</v>
      </c>
      <c r="BW2" s="103" t="s">
        <v>599</v>
      </c>
      <c r="BX2" s="103" t="s">
        <v>600</v>
      </c>
      <c r="BY2" s="231" t="str">
        <f>CS2</f>
        <v>DIN</v>
      </c>
      <c r="BZ2" s="231" t="s">
        <v>601</v>
      </c>
      <c r="CA2" s="329" t="str">
        <f>BY2</f>
        <v>DIN</v>
      </c>
      <c r="CB2" s="231" t="str">
        <f>Basicinfo!CV2</f>
        <v>NO3-N 
Richtwert für Zustandsgrenze gut/mäßig gemäß Bioregionszuordnung</v>
      </c>
      <c r="CC2" s="231" t="s">
        <v>620</v>
      </c>
      <c r="CD2" s="231"/>
      <c r="CE2" s="103" t="s">
        <v>612</v>
      </c>
      <c r="CF2" s="103" t="s">
        <v>613</v>
      </c>
      <c r="CH2" s="103" t="s">
        <v>654</v>
      </c>
      <c r="CI2" s="103" t="s">
        <v>655</v>
      </c>
      <c r="CK2" s="103" t="str">
        <f>Basicinfo!EM2</f>
        <v>PO4-P, Messwert &lt; RW: 0; Messwert&gt;RW: 1; kein Messwert: 2</v>
      </c>
      <c r="CL2" s="103" t="str">
        <f>Basicinfo!EN2</f>
        <v>NO3-N, Messwert &lt; RW: 0; Messwert&gt;RW: 1; kein Messwert: 2</v>
      </c>
      <c r="CM2" s="103" t="s">
        <v>931</v>
      </c>
      <c r="CN2" s="103" t="s">
        <v>932</v>
      </c>
      <c r="CO2" s="103" t="s">
        <v>921</v>
      </c>
      <c r="CP2" s="425" t="str">
        <f>[1]Basicinfo!DD2</f>
        <v>o-P</v>
      </c>
      <c r="CQ2" s="425"/>
      <c r="CR2" s="269" t="s">
        <v>920</v>
      </c>
      <c r="CS2" s="425" t="str">
        <f>[1]Basicinfo!DL2</f>
        <v>DIN</v>
      </c>
      <c r="CT2" s="425"/>
      <c r="CU2" s="103" t="s">
        <v>803</v>
      </c>
      <c r="CV2" s="253" t="s">
        <v>805</v>
      </c>
      <c r="CW2" s="253" t="s">
        <v>806</v>
      </c>
      <c r="CX2" s="253"/>
      <c r="CY2" s="103" t="s">
        <v>911</v>
      </c>
      <c r="DD2" s="103" t="s">
        <v>917</v>
      </c>
      <c r="DI2" s="103" t="s">
        <v>919</v>
      </c>
      <c r="DJ2" s="103" t="str">
        <f>Basicinfo!DA2</f>
        <v>Ges.P unfiltriert</v>
      </c>
      <c r="DK2" s="103">
        <f>Basicinfo!DB2</f>
        <v>0</v>
      </c>
      <c r="DL2" s="103" t="s">
        <v>288</v>
      </c>
      <c r="DR2" s="103" t="str">
        <f>CE2</f>
        <v>NO3 GW_measured</v>
      </c>
      <c r="DS2" s="103" t="str">
        <f t="shared" ref="DS2:DS65" si="0">CF2</f>
        <v>NO3 GW calculated</v>
      </c>
      <c r="DT2" s="103" t="s">
        <v>922</v>
      </c>
      <c r="DY2" t="str">
        <f>Basicinfo!EI2</f>
        <v>PO4-P</v>
      </c>
      <c r="DZ2" t="str">
        <f>Intermediate!CR2</f>
        <v>P-groundwater</v>
      </c>
      <c r="EA2" s="103" t="s">
        <v>928</v>
      </c>
    </row>
    <row r="3" spans="1:135" ht="15.75" customHeight="1">
      <c r="A3" s="38"/>
      <c r="B3" s="62"/>
      <c r="C3" s="51"/>
      <c r="D3" s="76" t="s">
        <v>479</v>
      </c>
      <c r="E3" s="41" t="s">
        <v>479</v>
      </c>
      <c r="F3" s="41" t="s">
        <v>479</v>
      </c>
      <c r="G3" s="41" t="s">
        <v>229</v>
      </c>
      <c r="H3" s="41" t="s">
        <v>229</v>
      </c>
      <c r="I3" s="52" t="s">
        <v>229</v>
      </c>
      <c r="J3" s="41" t="s">
        <v>229</v>
      </c>
      <c r="K3" s="41" t="s">
        <v>229</v>
      </c>
      <c r="L3" s="41" t="s">
        <v>229</v>
      </c>
      <c r="M3" s="52" t="s">
        <v>229</v>
      </c>
      <c r="N3" s="52" t="s">
        <v>229</v>
      </c>
      <c r="O3" s="85" t="s">
        <v>229</v>
      </c>
      <c r="P3" s="55" t="s">
        <v>397</v>
      </c>
      <c r="Q3" s="77" t="s">
        <v>397</v>
      </c>
      <c r="R3" s="44" t="s">
        <v>397</v>
      </c>
      <c r="S3" s="44" t="s">
        <v>397</v>
      </c>
      <c r="T3" s="57" t="s">
        <v>397</v>
      </c>
      <c r="U3" s="60" t="s">
        <v>397</v>
      </c>
      <c r="V3" s="41" t="s">
        <v>397</v>
      </c>
      <c r="W3" s="41" t="s">
        <v>397</v>
      </c>
      <c r="X3" s="60" t="s">
        <v>397</v>
      </c>
      <c r="Y3" s="41" t="s">
        <v>397</v>
      </c>
      <c r="Z3" s="41" t="s">
        <v>397</v>
      </c>
      <c r="AA3" s="50" t="s">
        <v>234</v>
      </c>
      <c r="AB3" s="55" t="s">
        <v>397</v>
      </c>
      <c r="AC3" s="44" t="s">
        <v>397</v>
      </c>
      <c r="AD3" s="57" t="s">
        <v>397</v>
      </c>
      <c r="AE3" s="129" t="s">
        <v>410</v>
      </c>
      <c r="AF3" s="40" t="s">
        <v>410</v>
      </c>
      <c r="AG3" s="85" t="s">
        <v>410</v>
      </c>
      <c r="AH3" s="55" t="s">
        <v>397</v>
      </c>
      <c r="AI3" s="44" t="s">
        <v>397</v>
      </c>
      <c r="AJ3" s="44" t="s">
        <v>397</v>
      </c>
      <c r="AK3" s="57" t="s">
        <v>397</v>
      </c>
      <c r="AL3" s="44" t="s">
        <v>397</v>
      </c>
      <c r="AM3" s="44" t="s">
        <v>397</v>
      </c>
      <c r="AN3" s="65" t="s">
        <v>397</v>
      </c>
      <c r="AO3" s="44" t="s">
        <v>397</v>
      </c>
      <c r="AP3" s="65" t="s">
        <v>397</v>
      </c>
      <c r="AQ3" s="44" t="s">
        <v>397</v>
      </c>
      <c r="AR3" s="44" t="s">
        <v>410</v>
      </c>
      <c r="AS3" s="189" t="s">
        <v>410</v>
      </c>
      <c r="AT3" s="44" t="s">
        <v>410</v>
      </c>
      <c r="AU3" s="189" t="s">
        <v>410</v>
      </c>
      <c r="AV3" s="44" t="s">
        <v>410</v>
      </c>
      <c r="AW3" s="189" t="s">
        <v>410</v>
      </c>
      <c r="AX3" s="76" t="s">
        <v>415</v>
      </c>
      <c r="AY3" s="41" t="s">
        <v>415</v>
      </c>
      <c r="AZ3" s="50" t="s">
        <v>415</v>
      </c>
      <c r="BA3" s="55" t="s">
        <v>415</v>
      </c>
      <c r="BB3" s="44" t="s">
        <v>415</v>
      </c>
      <c r="BC3" s="44" t="s">
        <v>415</v>
      </c>
      <c r="BF3" s="187" t="s">
        <v>410</v>
      </c>
      <c r="BG3" s="187" t="s">
        <v>410</v>
      </c>
      <c r="BH3" s="187" t="s">
        <v>79</v>
      </c>
      <c r="BI3" s="187" t="s">
        <v>79</v>
      </c>
      <c r="BJ3" s="103" t="str">
        <f>Basicinfo!CP3</f>
        <v>t/a</v>
      </c>
      <c r="BK3" s="103" t="str">
        <f>Basicinfo!CQ3</f>
        <v>t/a</v>
      </c>
      <c r="BM3" t="s">
        <v>416</v>
      </c>
      <c r="BN3" t="s">
        <v>416</v>
      </c>
      <c r="BO3" s="231" t="str">
        <f>CP3</f>
        <v>MW</v>
      </c>
      <c r="BP3" t="s">
        <v>416</v>
      </c>
      <c r="BQ3" s="305" t="str">
        <f>CQ3</f>
        <v>C-90%</v>
      </c>
      <c r="BR3" s="231" t="str">
        <f>Basicinfo!CW3</f>
        <v>mg/l</v>
      </c>
      <c r="BS3" s="231" t="s">
        <v>494</v>
      </c>
      <c r="BU3" t="s">
        <v>416</v>
      </c>
      <c r="BV3" t="s">
        <v>416</v>
      </c>
      <c r="BY3" s="231" t="str">
        <f t="shared" ref="BY3:BY63" si="1">CS3</f>
        <v>MW</v>
      </c>
      <c r="BZ3" t="s">
        <v>416</v>
      </c>
      <c r="CA3" s="305" t="str">
        <f>CT3</f>
        <v>C-90%</v>
      </c>
      <c r="CB3" s="231" t="str">
        <f>Basicinfo!CV3</f>
        <v>mg/l</v>
      </c>
      <c r="CC3" s="231" t="s">
        <v>494</v>
      </c>
      <c r="CE3" s="103" t="str">
        <f>'Local emissions'!FC3</f>
        <v>mg/l</v>
      </c>
      <c r="CF3" s="103" t="s">
        <v>416</v>
      </c>
      <c r="CH3" s="103" t="s">
        <v>494</v>
      </c>
      <c r="CK3" s="103"/>
      <c r="CL3" s="103"/>
      <c r="CO3" t="s">
        <v>749</v>
      </c>
      <c r="CP3" s="103" t="str">
        <f>[1]Basicinfo!DD3</f>
        <v>MW</v>
      </c>
      <c r="CQ3" s="103" t="str">
        <f>[1]Basicinfo!DE3</f>
        <v>C-90%</v>
      </c>
      <c r="CR3" s="103" t="s">
        <v>749</v>
      </c>
      <c r="CS3" s="103" t="str">
        <f>[1]Basicinfo!DL3</f>
        <v>MW</v>
      </c>
      <c r="CT3" s="103" t="str">
        <f>[1]Basicinfo!DM3</f>
        <v>C-90%</v>
      </c>
      <c r="CU3" t="s">
        <v>804</v>
      </c>
      <c r="CV3" s="249" t="s">
        <v>410</v>
      </c>
      <c r="CW3" s="249" t="s">
        <v>410</v>
      </c>
      <c r="CX3" s="249"/>
      <c r="CY3" s="249" t="s">
        <v>901</v>
      </c>
      <c r="CZ3" s="249" t="s">
        <v>912</v>
      </c>
      <c r="DA3" s="249" t="s">
        <v>913</v>
      </c>
      <c r="DB3" s="249" t="s">
        <v>914</v>
      </c>
      <c r="DC3" s="249" t="s">
        <v>915</v>
      </c>
      <c r="DD3" s="249" t="s">
        <v>901</v>
      </c>
      <c r="DE3" s="249" t="s">
        <v>912</v>
      </c>
      <c r="DF3" s="249" t="s">
        <v>913</v>
      </c>
      <c r="DG3" s="249" t="s">
        <v>914</v>
      </c>
      <c r="DH3" s="249" t="s">
        <v>915</v>
      </c>
      <c r="DI3" s="249"/>
      <c r="DJ3" s="103" t="str">
        <f>Basicinfo!DA3</f>
        <v>MW</v>
      </c>
      <c r="DK3" s="103" t="str">
        <f>Basicinfo!DB3</f>
        <v>C-90%</v>
      </c>
      <c r="DL3" s="249" t="s">
        <v>901</v>
      </c>
      <c r="DM3" s="249" t="s">
        <v>912</v>
      </c>
      <c r="DN3" s="249" t="s">
        <v>913</v>
      </c>
      <c r="DO3" s="249" t="s">
        <v>914</v>
      </c>
      <c r="DP3" s="249" t="s">
        <v>915</v>
      </c>
      <c r="DR3" s="103" t="str">
        <f t="shared" ref="DR3:DR66" si="2">CE3</f>
        <v>mg/l</v>
      </c>
      <c r="DS3" s="103" t="str">
        <f t="shared" si="0"/>
        <v>mg/l</v>
      </c>
      <c r="DT3" s="249" t="s">
        <v>901</v>
      </c>
      <c r="DU3" s="249" t="s">
        <v>912</v>
      </c>
      <c r="DV3" s="249" t="s">
        <v>913</v>
      </c>
      <c r="DW3" s="249" t="s">
        <v>914</v>
      </c>
      <c r="DX3" s="249" t="s">
        <v>915</v>
      </c>
      <c r="DY3" t="str">
        <f>Basicinfo!EI3</f>
        <v>mg/l</v>
      </c>
      <c r="DZ3" t="str">
        <f>Intermediate!CR3</f>
        <v>mg/l</v>
      </c>
      <c r="EA3" s="249" t="s">
        <v>901</v>
      </c>
      <c r="EB3" s="249" t="s">
        <v>912</v>
      </c>
      <c r="EC3" s="249" t="s">
        <v>913</v>
      </c>
      <c r="ED3" s="249" t="s">
        <v>914</v>
      </c>
      <c r="EE3" s="249" t="s">
        <v>915</v>
      </c>
    </row>
    <row r="4" spans="1:135">
      <c r="A4" s="39" t="str">
        <f>Basicinfo!A4</f>
        <v>Moosb./Mühlheimerache</v>
      </c>
      <c r="B4" s="63">
        <f>Basicinfo!B4</f>
        <v>580</v>
      </c>
      <c r="C4" s="63">
        <f>Basicinfo!C4</f>
        <v>0</v>
      </c>
      <c r="D4" s="61">
        <f>IF(Intermediate!D4=0,0,Basicinfo!AP4*86400*365/(Intermediate!D4*1000000))</f>
        <v>28.266879199385968</v>
      </c>
      <c r="E4" s="19">
        <f>IF(Intermediate!E4=0,0,IF((Intermediate!E4-Basicinfo!AA4)&lt;0,0,'Summed emissions'!E4*86400*365/((Intermediate!E4-Basicinfo!AA4)*1000000)))</f>
        <v>0</v>
      </c>
      <c r="F4" s="19">
        <f>IF(Basicinfo!AA4=0,0,'Summed emissions'!E4*86400*365/(Basicinfo!AA4*1000000))</f>
        <v>0</v>
      </c>
      <c r="G4" s="19">
        <f>IF(D4=0,1,1/(1+Parameters!$C$138*EXP(Parameters!$C$139*Basicinfo!AQ4)*D4^Parameters!$C$140))</f>
        <v>0.74718847222845786</v>
      </c>
      <c r="H4" s="19">
        <f>IF(D4=0,1,1/(1+Parameters!$C$141*EXP(Parameters!$C$142*Basicinfo!AQ4)*D4^Parameters!$C$143))</f>
        <v>0.62017154753884762</v>
      </c>
      <c r="I4" s="161">
        <f>IF(Intermediate!AS4=0,1,IF(D4=0,1/(1+Parameters!$C$144*Intermediate!AS4^Parameters!$C$145),(1/(1+Parameters!$C$144*Intermediate!AS4^Parameters!$C$145)+1/(1+Parameters!$C$146*D4^Parameters!$C$147))/2))</f>
        <v>0.60842317853919581</v>
      </c>
      <c r="J4" s="19">
        <f>IF(E4=0,1,1/(1+Parameters!$C$138*EXP(Parameters!$C$139*Basicinfo!AQ4)*E4^Parameters!$C$140))</f>
        <v>1</v>
      </c>
      <c r="K4" s="19">
        <f>IF(E4=0,1,1/(1+Parameters!$C$141*EXP(Parameters!$C$142*Basicinfo!AQ4)*E4^Parameters!$C$143))</f>
        <v>1</v>
      </c>
      <c r="L4" s="19">
        <f>IF(E4=0,1,1/(1+Parameters!$C$146*E4^Parameters!$C$147))</f>
        <v>1</v>
      </c>
      <c r="M4" s="53">
        <f>IF(F4=0,1,1/(1+Parameters!$C$138*EXP(Parameters!$C$139*Basicinfo!AQ4)*F4^Parameters!$C$140))</f>
        <v>1</v>
      </c>
      <c r="N4" s="53">
        <f>IF(F4=0,1,1/(1+Parameters!$C$141*EXP(Parameters!$C$142*Basicinfo!AQ4)*F4^Parameters!$C$143))</f>
        <v>1</v>
      </c>
      <c r="O4" s="53">
        <f>IF(F4=0,1,1/(1+Parameters!$C$146*F4^Parameters!$C$147))</f>
        <v>1</v>
      </c>
      <c r="P4" s="64">
        <f>Basicinfo!CE4+Basicinfo!CJ4</f>
        <v>0</v>
      </c>
      <c r="Q4" s="86">
        <f>Parameters!$C$126*Intermediate!BB4*Basicinfo!P4/1000+Parameters!$C$127*Intermediate!BB4*Basicinfo!S4/1000</f>
        <v>2.0248584821124931</v>
      </c>
      <c r="R4" s="48">
        <f>'Local emissions'!AE4-P4-Q4</f>
        <v>147.04774706971148</v>
      </c>
      <c r="S4" s="48">
        <f>Basicinfo!CF4+Basicinfo!CK4</f>
        <v>0</v>
      </c>
      <c r="T4" s="86">
        <f>'Local emissions'!AR4-S4</f>
        <v>3.4113784973384931</v>
      </c>
      <c r="U4" s="61">
        <f>(R4*G4+P4)*M4+Q4</f>
        <v>111.89723995976691</v>
      </c>
      <c r="V4" s="27">
        <f t="shared" ref="V4:V57" si="3">(R4*H4+P4)*N4</f>
        <v>91.194828862324016</v>
      </c>
      <c r="W4" s="27">
        <f t="shared" ref="W4:W57" si="4">(T4*I4+S4)*O4</f>
        <v>2.0755617485509514</v>
      </c>
      <c r="X4" s="61">
        <f>U4+TN!CI4</f>
        <v>111.89723995976691</v>
      </c>
      <c r="Y4" s="27">
        <f>V4+DIN!CI4</f>
        <v>91.194828862324016</v>
      </c>
      <c r="Z4" s="27">
        <f>W4+TP!CI4</f>
        <v>2.0755617485509514</v>
      </c>
      <c r="AA4" s="73">
        <f>'Summed emissions'!E4</f>
        <v>1.4660504824059599</v>
      </c>
      <c r="AB4" s="131" t="str">
        <f>IF(Basicinfo!AR4="","",Basicinfo!AR4)</f>
        <v/>
      </c>
      <c r="AC4" s="131" t="str">
        <f>IF(Basicinfo!AS4="","",Basicinfo!AS4)</f>
        <v/>
      </c>
      <c r="AD4" s="131" t="str">
        <f>IF(Basicinfo!AT4="","",Basicinfo!AT4)</f>
        <v/>
      </c>
      <c r="AE4" s="174" t="str">
        <f>IF(AB4="","",X4/AB4*100-100)</f>
        <v/>
      </c>
      <c r="AF4" s="19" t="str">
        <f t="shared" ref="AF4:AF57" si="5">IF(AC4="","",Y4/AC4*100-100)</f>
        <v/>
      </c>
      <c r="AG4" s="27" t="str">
        <f t="shared" ref="AG4:AG57" si="6">IF(AD4="","",Z4/AD4*100-100)</f>
        <v/>
      </c>
      <c r="AH4" s="56">
        <f>'Local emissions'!AE4-U4</f>
        <v>37.175365592057076</v>
      </c>
      <c r="AI4" s="228">
        <f>'Local emissions'!AR4-W4</f>
        <v>1.3358167487875416</v>
      </c>
      <c r="AJ4" s="43">
        <f t="shared" ref="AJ4:AJ57" si="7">R4*(1-G4)</f>
        <v>37.175365592057069</v>
      </c>
      <c r="AK4" s="58">
        <f t="shared" ref="AK4:AK57" si="8">T4*(1-I4)</f>
        <v>1.3358167487875416</v>
      </c>
      <c r="AL4" s="43">
        <f>TN!CI93</f>
        <v>0</v>
      </c>
      <c r="AM4" s="43">
        <f>TP!CI93</f>
        <v>0</v>
      </c>
      <c r="AN4" s="42">
        <f>TN!CI182+(AH4-AJ4)</f>
        <v>7.1054273576010019E-15</v>
      </c>
      <c r="AO4" s="43">
        <f>TP!CI182+(AI4-AK4)</f>
        <v>0</v>
      </c>
      <c r="AP4" s="42">
        <f t="shared" ref="AP4:AP57" si="9">AJ4+AL4+AN4</f>
        <v>37.175365592057076</v>
      </c>
      <c r="AQ4" s="42">
        <f t="shared" ref="AQ4:AQ57" si="10">AK4+AM4+AO4</f>
        <v>1.3358167487875416</v>
      </c>
      <c r="AR4" s="42">
        <f>AH4/'Local emissions'!AE4*100</f>
        <v>24.937757983396445</v>
      </c>
      <c r="AS4" s="42">
        <f>AI4/'Local emissions'!AR4*100</f>
        <v>39.157682146080418</v>
      </c>
      <c r="AT4" s="42">
        <f>AP4/(X4+AP4)*100</f>
        <v>24.937757983396445</v>
      </c>
      <c r="AU4" s="42">
        <f t="shared" ref="AU4:AU56" si="11">AQ4/(Z4+AQ4)*100</f>
        <v>39.157682146080418</v>
      </c>
      <c r="AV4" s="42">
        <f>('Summed emissions'!AE4-'River loads'!X4)/'Summed emissions'!AE4*100</f>
        <v>24.937757983396445</v>
      </c>
      <c r="AW4" s="42">
        <f>('Summed emissions'!AR4-'River loads'!Z4)/'Summed emissions'!AR4*100</f>
        <v>39.157682146080418</v>
      </c>
      <c r="AX4" s="61">
        <f>X4/('Summed emissions'!$D4*100)*1000</f>
        <v>8.838536008106221</v>
      </c>
      <c r="AY4" s="19">
        <f>Y4/('Summed emissions'!$D4*100)*1000</f>
        <v>7.2032945490214599</v>
      </c>
      <c r="AZ4" s="72">
        <f>Z4/('Summed emissions'!$D4*100)*1000</f>
        <v>0.16394441237524254</v>
      </c>
      <c r="BA4" s="43" t="str">
        <f>IF(AB4="","",AB4/('Summed emissions'!$D4*100)*1000)</f>
        <v/>
      </c>
      <c r="BB4" s="43" t="str">
        <f>IF(AC4="","",AC4/('Summed emissions'!$D4*100)*1000)</f>
        <v/>
      </c>
      <c r="BC4" s="43" t="str">
        <f>IF(AD4="","",AD4/('Summed emissions'!$D4*100)*1000)</f>
        <v/>
      </c>
      <c r="BF4" s="181">
        <f>('Summed emissions'!AE4-'River loads'!Y4)/'Summed emissions'!AE4*100</f>
        <v>38.825226456097049</v>
      </c>
      <c r="BG4" s="188">
        <f>('Summed emissions'!AR4-'River loads'!Z4)/'Summed emissions'!AR4*100</f>
        <v>39.157682146080418</v>
      </c>
      <c r="BH4" s="181">
        <f>'Summed emissions'!CV4*(100-'River loads'!BG4)/100</f>
        <v>1.7138104043793916</v>
      </c>
      <c r="BI4" s="181">
        <f t="shared" ref="BI4:BI57" si="12">BH4*0.76</f>
        <v>1.3024959073283375</v>
      </c>
      <c r="BJ4" s="233"/>
      <c r="BK4" s="233"/>
      <c r="BM4" s="31">
        <f>BI4*1000000/24/3600/365/$AA4</f>
        <v>2.8172204693323454E-2</v>
      </c>
      <c r="BN4" s="31"/>
      <c r="BO4" s="231"/>
      <c r="BP4" s="31">
        <f>BM4/Parameters!$C$156</f>
        <v>4.3341853374343771E-2</v>
      </c>
      <c r="BQ4" s="305" t="s">
        <v>934</v>
      </c>
      <c r="BR4" s="237">
        <f>Basicinfo!CW4</f>
        <v>0.05</v>
      </c>
      <c r="BS4" s="237">
        <f t="shared" ref="BS4:BS57" si="13">BP4/BR4</f>
        <v>0.86683706748687539</v>
      </c>
      <c r="BT4" s="237"/>
      <c r="BU4" s="31">
        <f t="shared" ref="BU4:BU35" si="14">Z4/AA4*1000000/3600/24/365</f>
        <v>4.4893154830520046E-2</v>
      </c>
      <c r="BV4" s="232"/>
      <c r="BW4" s="31">
        <f t="shared" ref="BW4:BW35" si="15">Y4/AA4*1000000/3600/24/365</f>
        <v>1.9724894114652691</v>
      </c>
      <c r="BX4" s="31"/>
      <c r="BY4" s="231"/>
      <c r="BZ4" s="147">
        <f t="shared" ref="BZ4:BZ57" si="16">BW4/0.74</f>
        <v>2.6655262317098232</v>
      </c>
      <c r="CA4" s="305"/>
      <c r="CB4" s="231">
        <f>Basicinfo!CV4</f>
        <v>4</v>
      </c>
      <c r="CC4" s="147">
        <f t="shared" ref="CC4:CC57" si="17">BZ4/CB4</f>
        <v>0.66638155792745579</v>
      </c>
      <c r="CD4" s="147"/>
      <c r="CE4" s="233">
        <f>'Local emissions'!FC4/14*62</f>
        <v>22.076666666666672</v>
      </c>
      <c r="CF4" s="233">
        <f>'Local emissions'!FD4/14*62</f>
        <v>18.461452325519563</v>
      </c>
      <c r="CH4">
        <f t="shared" ref="CH4:CH57" si="18">IF(BR4&lt;0.031,0,IF(BS4&lt;0.75,0,IF(BS4&lt;1.25,1,2)))</f>
        <v>1</v>
      </c>
      <c r="CI4">
        <f t="shared" ref="CI4:CI57" si="19">IF(CB4&lt;1,0,IF(CC4&lt;0.75,0,IF(CC4&lt;1.25,1,2)))</f>
        <v>0</v>
      </c>
      <c r="CK4" s="276">
        <f>Basicinfo!EM4</f>
        <v>0</v>
      </c>
      <c r="CL4" s="276">
        <f>Basicinfo!EN4</f>
        <v>0</v>
      </c>
      <c r="CM4">
        <f>IF(BQ4="n.b.",2,IF(BQ4&gt;BR4,1,0))</f>
        <v>2</v>
      </c>
      <c r="CN4">
        <f>IF(CA4="n.b.",2,IF(CA4&gt;CB4,1,0))</f>
        <v>0</v>
      </c>
      <c r="CO4" s="31"/>
      <c r="CP4" s="270"/>
      <c r="CQ4" s="270"/>
      <c r="CR4" s="236"/>
      <c r="CS4" s="236"/>
      <c r="CT4" s="236"/>
      <c r="CU4" s="147">
        <f>'Summed emissions'!D4</f>
        <v>126.601554666</v>
      </c>
      <c r="CV4" s="188"/>
      <c r="CW4" s="188"/>
      <c r="DI4" s="31"/>
      <c r="DJ4" s="233"/>
      <c r="DK4" s="233"/>
      <c r="DR4" s="236">
        <f t="shared" si="2"/>
        <v>22.076666666666672</v>
      </c>
      <c r="DS4" s="236">
        <f t="shared" si="0"/>
        <v>18.461452325519563</v>
      </c>
      <c r="DY4" s="31">
        <f>Basicinfo!EI4</f>
        <v>3.0369449122807014E-2</v>
      </c>
      <c r="DZ4" s="31">
        <f>Intermediate!CR4</f>
        <v>3.0369449122807014E-2</v>
      </c>
    </row>
    <row r="5" spans="1:135">
      <c r="A5" s="39" t="str">
        <f>Basicinfo!A5</f>
        <v>Enknach</v>
      </c>
      <c r="B5" s="63">
        <f>Basicinfo!B5</f>
        <v>600</v>
      </c>
      <c r="C5" s="63">
        <f>Basicinfo!C5</f>
        <v>610</v>
      </c>
      <c r="D5" s="61">
        <f>IF(Intermediate!D5=0,0,Basicinfo!AP5*86400*365/(Intermediate!D5*1000000))</f>
        <v>32.410744359730508</v>
      </c>
      <c r="E5" s="19">
        <f>IF(Intermediate!E5=0,0,IF((Intermediate!E5-Basicinfo!AA5)&lt;0,0,'Summed emissions'!E5*86400*365/((Intermediate!E5-Basicinfo!AA5)*1000000)))</f>
        <v>0</v>
      </c>
      <c r="F5" s="19">
        <f>IF(Basicinfo!AA5=0,0,'Summed emissions'!E5*86400*365/(Basicinfo!AA5*1000000))</f>
        <v>0</v>
      </c>
      <c r="G5" s="19">
        <f>IF(D5=0,1,1/(1+Parameters!$C$138*EXP(Parameters!$C$139*Basicinfo!AQ5)*D5^Parameters!$C$140))</f>
        <v>0.778016521029812</v>
      </c>
      <c r="H5" s="19">
        <f>IF(D5=0,1,1/(1+Parameters!$C$141*EXP(Parameters!$C$142*Basicinfo!AQ5)*D5^Parameters!$C$143))</f>
        <v>0.65942840105223366</v>
      </c>
      <c r="I5" s="161">
        <f>IF(Intermediate!AS5=0,1,IF(D5=0,1/(1+Parameters!$C$144*Intermediate!AS5^Parameters!$C$145),(1/(1+Parameters!$C$144*Intermediate!AS5^Parameters!$C$145)+1/(1+Parameters!$C$146*D5^Parameters!$C$147))/2))</f>
        <v>0.48860480963384711</v>
      </c>
      <c r="J5" s="19">
        <f>IF(E5=0,1,1/(1+Parameters!$C$138*EXP(Parameters!$C$139*Basicinfo!AQ5)*E5^Parameters!$C$140))</f>
        <v>1</v>
      </c>
      <c r="K5" s="19">
        <f>IF(E5=0,1,1/(1+Parameters!$C$141*EXP(Parameters!$C$142*Basicinfo!AQ5)*E5^Parameters!$C$143))</f>
        <v>1</v>
      </c>
      <c r="L5" s="19">
        <f>IF(E5=0,1,1/(1+Parameters!$C$146*E5^Parameters!$C$147))</f>
        <v>1</v>
      </c>
      <c r="M5" s="53">
        <f>IF(F5=0,1,1/(1+Parameters!$C$138*EXP(Parameters!$C$139*Basicinfo!AQ5)*F5^Parameters!$C$140))</f>
        <v>1</v>
      </c>
      <c r="N5" s="53">
        <f>IF(F5=0,1,1/(1+Parameters!$C$141*EXP(Parameters!$C$142*Basicinfo!AQ5)*F5^Parameters!$C$143))</f>
        <v>1</v>
      </c>
      <c r="O5" s="53">
        <f>IF(F5=0,1,1/(1+Parameters!$C$146*F5^Parameters!$C$147))</f>
        <v>1</v>
      </c>
      <c r="P5" s="64">
        <f>Basicinfo!CE5+Basicinfo!CJ5</f>
        <v>0</v>
      </c>
      <c r="Q5" s="86">
        <f>Parameters!$C$126*Intermediate!BB5*Basicinfo!P5/1000+Parameters!$C$127*Intermediate!BB5*Basicinfo!S5/1000</f>
        <v>1.9591159220271213E-3</v>
      </c>
      <c r="R5" s="48">
        <f>'Local emissions'!AE5-P5-Q5</f>
        <v>30.373819432980753</v>
      </c>
      <c r="S5" s="48">
        <f>Basicinfo!CF5+Basicinfo!CK5</f>
        <v>0</v>
      </c>
      <c r="T5" s="86">
        <f>'Local emissions'!AR5-S5</f>
        <v>3.2827930061451469</v>
      </c>
      <c r="U5" s="61">
        <f t="shared" ref="U5:U57" si="20">(R5*G5+P5)*M5+Q5</f>
        <v>23.633292441557408</v>
      </c>
      <c r="V5" s="27">
        <f t="shared" si="3"/>
        <v>20.029359182539761</v>
      </c>
      <c r="W5" s="27">
        <f t="shared" si="4"/>
        <v>1.6039884518348742</v>
      </c>
      <c r="X5" s="61">
        <f>U5+TN!CI5</f>
        <v>23.633292441557408</v>
      </c>
      <c r="Y5" s="27">
        <f>V5+DIN!CI5</f>
        <v>20.029359182539761</v>
      </c>
      <c r="Z5" s="27">
        <f>W5+TP!CI5</f>
        <v>1.6039884518348742</v>
      </c>
      <c r="AA5" s="73">
        <f>'Summed emissions'!E5</f>
        <v>0.44046045544155299</v>
      </c>
      <c r="AB5" s="131" t="str">
        <f>IF(Basicinfo!AR5="","",Basicinfo!AR5)</f>
        <v/>
      </c>
      <c r="AC5" s="131" t="str">
        <f>IF(Basicinfo!AS5="","",Basicinfo!AS5)</f>
        <v/>
      </c>
      <c r="AD5" s="131" t="str">
        <f>IF(Basicinfo!AT5="","",Basicinfo!AT5)</f>
        <v/>
      </c>
      <c r="AE5" s="174" t="str">
        <f t="shared" ref="AE5:AE57" si="21">IF(AB5="","",X5/AB5*100-100)</f>
        <v/>
      </c>
      <c r="AF5" s="19" t="str">
        <f t="shared" si="5"/>
        <v/>
      </c>
      <c r="AG5" s="27" t="str">
        <f t="shared" si="6"/>
        <v/>
      </c>
      <c r="AH5" s="56">
        <f>'Local emissions'!AE5-U5</f>
        <v>6.7424861073453712</v>
      </c>
      <c r="AI5" s="228">
        <f>'Local emissions'!AR5-W5</f>
        <v>1.6788045543102728</v>
      </c>
      <c r="AJ5" s="43">
        <f t="shared" si="7"/>
        <v>6.7424861073453703</v>
      </c>
      <c r="AK5" s="58">
        <f t="shared" si="8"/>
        <v>1.6788045543102728</v>
      </c>
      <c r="AL5" s="43">
        <f>TN!CI94</f>
        <v>0</v>
      </c>
      <c r="AM5" s="43">
        <f>TP!CI94</f>
        <v>0</v>
      </c>
      <c r="AN5" s="42">
        <f>TN!CI183+(AH5-AJ5)</f>
        <v>8.8817841970012523E-16</v>
      </c>
      <c r="AO5" s="43">
        <f>TP!CI183+(AI5-AK5)</f>
        <v>0</v>
      </c>
      <c r="AP5" s="42">
        <f t="shared" si="9"/>
        <v>6.7424861073453712</v>
      </c>
      <c r="AQ5" s="42">
        <f t="shared" si="10"/>
        <v>1.6788045543102728</v>
      </c>
      <c r="AR5" s="42">
        <f>AH5/'Local emissions'!AE5*100</f>
        <v>22.196916192585689</v>
      </c>
      <c r="AS5" s="42">
        <f>AI5/'Local emissions'!AR5*100</f>
        <v>51.13951903661529</v>
      </c>
      <c r="AT5" s="42">
        <f t="shared" ref="AT5:AT56" si="22">AP5/(X5+AP5)*100</f>
        <v>22.196916192585689</v>
      </c>
      <c r="AU5" s="42">
        <f t="shared" si="11"/>
        <v>51.13951903661529</v>
      </c>
      <c r="AV5" s="42">
        <f>('Summed emissions'!AE5-'River loads'!X5)/'Summed emissions'!AE5*100</f>
        <v>22.196916192585689</v>
      </c>
      <c r="AW5" s="42">
        <f>('Summed emissions'!AR5-'River loads'!Z5)/'Summed emissions'!AR5*100</f>
        <v>51.13951903661529</v>
      </c>
      <c r="AX5" s="61">
        <f>X5/('Summed emissions'!$D5*100)*1000</f>
        <v>1.9687165157817099</v>
      </c>
      <c r="AY5" s="19">
        <f>Y5/('Summed emissions'!$D5*100)*1000</f>
        <v>1.668499229242032</v>
      </c>
      <c r="AZ5" s="72">
        <f>Z5/('Summed emissions'!$D5*100)*1000</f>
        <v>0.13361653117352773</v>
      </c>
      <c r="BA5" s="43" t="str">
        <f>IF(AB5="","",AB5/('Summed emissions'!$D5*100)*1000)</f>
        <v/>
      </c>
      <c r="BB5" s="43" t="str">
        <f>IF(AC5="","",AC5/('Summed emissions'!$D5*100)*1000)</f>
        <v/>
      </c>
      <c r="BC5" s="43" t="str">
        <f>IF(AD5="","",AD5/('Summed emissions'!$D5*100)*1000)</f>
        <v/>
      </c>
      <c r="BF5" s="188">
        <f>('Summed emissions'!AE5-'River loads'!Y5)/'Summed emissions'!AE5*100</f>
        <v>34.061412943559752</v>
      </c>
      <c r="BG5" s="188">
        <f>('Summed emissions'!AR5-'River loads'!Z5)/'Summed emissions'!AR5*100</f>
        <v>51.13951903661529</v>
      </c>
      <c r="BH5" s="181">
        <f>'Summed emissions'!CV5*(100-'River loads'!BG5)/100</f>
        <v>1.027278311624519</v>
      </c>
      <c r="BI5" s="181">
        <f t="shared" si="12"/>
        <v>0.78073151683463449</v>
      </c>
      <c r="BJ5" s="233"/>
      <c r="BK5" s="233"/>
      <c r="BM5" s="31">
        <f>BI5*1000000/24/3600/365/$AA5</f>
        <v>5.6206712062668633E-2</v>
      </c>
      <c r="BN5" s="31"/>
      <c r="BO5" s="231"/>
      <c r="BP5" s="31">
        <f>BM5/Parameters!$C$156</f>
        <v>8.6471864711797894E-2</v>
      </c>
      <c r="BQ5" s="305" t="s">
        <v>934</v>
      </c>
      <c r="BR5" s="237">
        <f>Basicinfo!CW5</f>
        <v>0.05</v>
      </c>
      <c r="BS5" s="237">
        <f t="shared" si="13"/>
        <v>1.7294372942359577</v>
      </c>
      <c r="BT5" s="237"/>
      <c r="BU5" s="31">
        <f t="shared" si="14"/>
        <v>0.11547492975517214</v>
      </c>
      <c r="BV5" s="232"/>
      <c r="BW5" s="31">
        <f t="shared" si="15"/>
        <v>1.4419610328235679</v>
      </c>
      <c r="BX5" s="31"/>
      <c r="BY5" s="231"/>
      <c r="BZ5" s="147">
        <f t="shared" si="16"/>
        <v>1.9485959903021188</v>
      </c>
      <c r="CA5" s="305"/>
      <c r="CB5" s="231">
        <f>Basicinfo!CV5</f>
        <v>4</v>
      </c>
      <c r="CC5" s="147">
        <f t="shared" si="17"/>
        <v>0.48714899757552971</v>
      </c>
      <c r="CD5" s="147"/>
      <c r="CE5" s="233">
        <f>'Local emissions'!FC5/14*62</f>
        <v>16.776000000000003</v>
      </c>
      <c r="CF5" s="233">
        <f>'Local emissions'!FD5/14*62</f>
        <v>35.466457071676736</v>
      </c>
      <c r="CH5">
        <f t="shared" si="18"/>
        <v>2</v>
      </c>
      <c r="CI5">
        <f t="shared" si="19"/>
        <v>0</v>
      </c>
      <c r="CK5" s="276">
        <f>Basicinfo!EM5</f>
        <v>0</v>
      </c>
      <c r="CL5" s="276">
        <f>Basicinfo!EN5</f>
        <v>0</v>
      </c>
      <c r="CM5">
        <f t="shared" ref="CM5:CM68" si="23">IF(BQ5="n.b.",2,IF(BQ5&gt;BR5,1,0))</f>
        <v>2</v>
      </c>
      <c r="CN5">
        <f t="shared" ref="CN5:CN68" si="24">IF(CA5="n.b.",2,IF(CA5&gt;CB5,1,0))</f>
        <v>0</v>
      </c>
      <c r="CO5" s="31"/>
      <c r="CP5" s="270"/>
      <c r="CQ5" s="270"/>
      <c r="CR5" s="236"/>
      <c r="CS5" s="236"/>
      <c r="CT5" s="236"/>
      <c r="CU5" s="147">
        <f>'Summed emissions'!D5</f>
        <v>120.044162032</v>
      </c>
      <c r="CV5" s="188"/>
      <c r="CW5" s="252"/>
      <c r="DI5" s="31"/>
      <c r="DJ5" s="233"/>
      <c r="DK5" s="233"/>
      <c r="DR5" s="236">
        <f t="shared" si="2"/>
        <v>16.776000000000003</v>
      </c>
      <c r="DS5" s="236">
        <f t="shared" si="0"/>
        <v>35.466457071676736</v>
      </c>
      <c r="DY5" s="31">
        <f>Basicinfo!EI5</f>
        <v>1.8990404210526318E-2</v>
      </c>
      <c r="DZ5" s="31">
        <f>Intermediate!CR5</f>
        <v>1.8990404210526318E-2</v>
      </c>
    </row>
    <row r="6" spans="1:135">
      <c r="A6" s="39" t="str">
        <f>Basicinfo!A6</f>
        <v>Enknach</v>
      </c>
      <c r="B6" s="63">
        <f>Basicinfo!B6</f>
        <v>610</v>
      </c>
      <c r="C6" s="63">
        <f>Basicinfo!C6</f>
        <v>1050</v>
      </c>
      <c r="D6" s="61">
        <f>IF(Intermediate!D6=0,0,Basicinfo!AP6*86400*365/(Intermediate!D6*1000000))</f>
        <v>134.95684638321131</v>
      </c>
      <c r="E6" s="19">
        <f>IF(Intermediate!E6=0,0,IF((Intermediate!E6-Basicinfo!AA6)&lt;0,0,'Summed emissions'!E6*86400*365/((Intermediate!E6-Basicinfo!AA6)*1000000)))</f>
        <v>2204.2805938997376</v>
      </c>
      <c r="F6" s="19">
        <f>IF(Basicinfo!AA6=0,0,'Summed emissions'!E6*86400*365/(Basicinfo!AA6*1000000))</f>
        <v>0</v>
      </c>
      <c r="G6" s="19">
        <f>IF(D6=0,1,1/(1+Parameters!$C$138*EXP(Parameters!$C$139*Basicinfo!AQ6)*D6^Parameters!$C$140))</f>
        <v>0.93410940200713533</v>
      </c>
      <c r="H6" s="19">
        <f>IF(D6=0,1,1/(1+Parameters!$C$141*EXP(Parameters!$C$142*Basicinfo!AQ6)*D6^Parameters!$C$143))</f>
        <v>0.88677366753564213</v>
      </c>
      <c r="I6" s="161">
        <f>IF(Intermediate!AS6=0,1,IF(D6=0,1/(1+Parameters!$C$144*Intermediate!AS6^Parameters!$C$145),(1/(1+Parameters!$C$144*Intermediate!AS6^Parameters!$C$145)+1/(1+Parameters!$C$146*D6^Parameters!$C$147))/2))</f>
        <v>0.81405645632103685</v>
      </c>
      <c r="J6" s="19">
        <f>IF(E6=0,1,1/(1+Parameters!$C$138*EXP(Parameters!$C$139*Basicinfo!AQ6)*E6^Parameters!$C$140))</f>
        <v>0.99569986393744436</v>
      </c>
      <c r="K6" s="19">
        <f>IF(E6=0,1,1/(1+Parameters!$C$141*EXP(Parameters!$C$142*Basicinfo!AQ6)*E6^Parameters!$C$143))</f>
        <v>0.99224323130815839</v>
      </c>
      <c r="L6" s="19">
        <f>IF(E6=0,1,1/(1+Parameters!$C$146*E6^Parameters!$C$147))</f>
        <v>0.98845750569729607</v>
      </c>
      <c r="M6" s="53">
        <f>IF(F6=0,1,1/(1+Parameters!$C$138*EXP(Parameters!$C$139*Basicinfo!AQ6)*F6^Parameters!$C$140))</f>
        <v>1</v>
      </c>
      <c r="N6" s="53">
        <f>IF(F6=0,1,1/(1+Parameters!$C$141*EXP(Parameters!$C$142*Basicinfo!AQ6)*F6^Parameters!$C$143))</f>
        <v>1</v>
      </c>
      <c r="O6" s="53">
        <f>IF(F6=0,1,1/(1+Parameters!$C$146*F6^Parameters!$C$147))</f>
        <v>1</v>
      </c>
      <c r="P6" s="64">
        <f>Basicinfo!CE6+Basicinfo!CJ6</f>
        <v>0</v>
      </c>
      <c r="Q6" s="86">
        <f>Parameters!$C$126*Intermediate!BB6*Basicinfo!P6/1000+Parameters!$C$127*Intermediate!BB6*Basicinfo!S6/1000</f>
        <v>5.2551064034689777E-3</v>
      </c>
      <c r="R6" s="48">
        <f>'Local emissions'!AE6-P6-Q6</f>
        <v>30.841214352829446</v>
      </c>
      <c r="S6" s="48">
        <f>Basicinfo!CF6+Basicinfo!CK6</f>
        <v>0</v>
      </c>
      <c r="T6" s="86">
        <f>'Local emissions'!AR6-S6</f>
        <v>0.58692058739419328</v>
      </c>
      <c r="U6" s="61">
        <f t="shared" si="20"/>
        <v>28.814323402698861</v>
      </c>
      <c r="V6" s="27">
        <f t="shared" si="3"/>
        <v>27.349176762911455</v>
      </c>
      <c r="W6" s="27">
        <f t="shared" si="4"/>
        <v>0.47778649351597841</v>
      </c>
      <c r="X6" s="61">
        <f>U6+TN!CI6</f>
        <v>52.345997895616435</v>
      </c>
      <c r="Y6" s="27">
        <f>V6+DIN!CI6</f>
        <v>47.223172839226436</v>
      </c>
      <c r="Z6" s="27">
        <f>W6+TP!CI6</f>
        <v>2.0632609177839458</v>
      </c>
      <c r="AA6" s="73">
        <f>'Summed emissions'!E6</f>
        <v>0.8155121836763759</v>
      </c>
      <c r="AB6" s="131" t="str">
        <f>IF(Basicinfo!AR6="","",Basicinfo!AR6)</f>
        <v/>
      </c>
      <c r="AC6" s="131" t="str">
        <f>IF(Basicinfo!AS6="","",Basicinfo!AS6)</f>
        <v/>
      </c>
      <c r="AD6" s="131" t="str">
        <f>IF(Basicinfo!AT6="","",Basicinfo!AT6)</f>
        <v/>
      </c>
      <c r="AE6" s="174" t="str">
        <f t="shared" si="21"/>
        <v/>
      </c>
      <c r="AF6" s="19" t="str">
        <f t="shared" si="5"/>
        <v/>
      </c>
      <c r="AG6" s="27" t="str">
        <f t="shared" si="6"/>
        <v/>
      </c>
      <c r="AH6" s="56">
        <f>'Local emissions'!AE6-U6</f>
        <v>2.032146056534053</v>
      </c>
      <c r="AI6" s="228">
        <f>'Local emissions'!AR6-W6</f>
        <v>0.10913409387821488</v>
      </c>
      <c r="AJ6" s="43">
        <f t="shared" si="7"/>
        <v>2.032146056534053</v>
      </c>
      <c r="AK6" s="58">
        <f t="shared" si="8"/>
        <v>0.10913409387821489</v>
      </c>
      <c r="AL6" s="43">
        <f>TN!CI95</f>
        <v>0.10161794863983754</v>
      </c>
      <c r="AM6" s="43">
        <f>TP!CI95</f>
        <v>1.8514027566906933E-2</v>
      </c>
      <c r="AN6" s="42">
        <f>TN!CI184+(AH6-AJ6)</f>
        <v>0</v>
      </c>
      <c r="AO6" s="43">
        <f>TP!CI184+(AI6-AK6)</f>
        <v>-1.3877787807814457E-17</v>
      </c>
      <c r="AP6" s="42">
        <f t="shared" si="9"/>
        <v>2.1337640051738904</v>
      </c>
      <c r="AQ6" s="42">
        <f t="shared" si="10"/>
        <v>0.12764812144512183</v>
      </c>
      <c r="AR6" s="42">
        <f>AH6/'Local emissions'!AE6*100</f>
        <v>6.5879372652995611</v>
      </c>
      <c r="AS6" s="42">
        <f>AI6/'Local emissions'!AR6*100</f>
        <v>18.594354367896312</v>
      </c>
      <c r="AT6" s="42">
        <f t="shared" si="22"/>
        <v>3.9166177140413247</v>
      </c>
      <c r="AU6" s="42">
        <f t="shared" si="11"/>
        <v>5.8262629419813052</v>
      </c>
      <c r="AV6" s="42">
        <f>('Summed emissions'!AE6-'River loads'!X6)/'Summed emissions'!AE6*100</f>
        <v>14.498406055490992</v>
      </c>
      <c r="AW6" s="42">
        <f>('Summed emissions'!AR6-'River loads'!Z6)/'Summed emissions'!AR6*100</f>
        <v>46.681818488359134</v>
      </c>
      <c r="AX6" s="61">
        <f>X6/('Summed emissions'!$D6*100)*1000</f>
        <v>3.7413672235178375</v>
      </c>
      <c r="AY6" s="19">
        <f>Y6/('Summed emissions'!$D6*100)*1000</f>
        <v>3.3752194657463024</v>
      </c>
      <c r="AZ6" s="72">
        <f>Z6/('Summed emissions'!$D6*100)*1000</f>
        <v>0.14746909184452908</v>
      </c>
      <c r="BA6" s="43" t="str">
        <f>IF(AB6="","",AB6/('Summed emissions'!$D6*100)*1000)</f>
        <v/>
      </c>
      <c r="BB6" s="43" t="str">
        <f>IF(AC6="","",AC6/('Summed emissions'!$D6*100)*1000)</f>
        <v/>
      </c>
      <c r="BC6" s="43" t="str">
        <f>IF(AD6="","",AD6/('Summed emissions'!$D6*100)*1000)</f>
        <v/>
      </c>
      <c r="BF6" s="188">
        <f>('Summed emissions'!AE6-'River loads'!Y6)/'Summed emissions'!AE6*100</f>
        <v>22.865993367393092</v>
      </c>
      <c r="BG6" s="188">
        <f>('Summed emissions'!AR6-'River loads'!Z6)/'Summed emissions'!AR6*100</f>
        <v>46.681818488359134</v>
      </c>
      <c r="BH6" s="181">
        <f>'Summed emissions'!CV6*(100-'River loads'!BG6)/100</f>
        <v>1.3072079914142174</v>
      </c>
      <c r="BI6" s="181">
        <f t="shared" si="12"/>
        <v>0.99347807347480521</v>
      </c>
      <c r="BJ6" s="233"/>
      <c r="BK6" s="233"/>
      <c r="BM6" s="31">
        <f>BI6*1000000/24/3600/365/$AA6</f>
        <v>3.8629690249752005E-2</v>
      </c>
      <c r="BN6" s="31"/>
      <c r="BO6" s="231"/>
      <c r="BP6" s="31">
        <f>BM6/Parameters!$C$156</f>
        <v>5.9430292691926158E-2</v>
      </c>
      <c r="BQ6" s="305" t="s">
        <v>934</v>
      </c>
      <c r="BR6" s="237">
        <f>Basicinfo!CW6</f>
        <v>0.05</v>
      </c>
      <c r="BS6" s="237">
        <f t="shared" si="13"/>
        <v>1.1886058538385231</v>
      </c>
      <c r="BT6" s="237"/>
      <c r="BU6" s="31">
        <f t="shared" si="14"/>
        <v>8.0226360587548631E-2</v>
      </c>
      <c r="BV6" s="232"/>
      <c r="BW6" s="31">
        <f t="shared" si="15"/>
        <v>1.8361920490196721</v>
      </c>
      <c r="BX6" s="31"/>
      <c r="BY6" s="231"/>
      <c r="BZ6" s="147">
        <f t="shared" si="16"/>
        <v>2.4813406067833408</v>
      </c>
      <c r="CA6" s="305"/>
      <c r="CB6" s="231">
        <f>Basicinfo!CV6</f>
        <v>4</v>
      </c>
      <c r="CC6" s="147">
        <f t="shared" si="17"/>
        <v>0.6203351516958352</v>
      </c>
      <c r="CD6" s="147"/>
      <c r="CE6" s="233">
        <f>'Local emissions'!FC6/14*62</f>
        <v>18.640000000000004</v>
      </c>
      <c r="CF6" s="233">
        <f>'Local emissions'!FD6/14*62</f>
        <v>13.15165521391698</v>
      </c>
      <c r="CH6">
        <f t="shared" si="18"/>
        <v>1</v>
      </c>
      <c r="CI6">
        <f t="shared" si="19"/>
        <v>0</v>
      </c>
      <c r="CK6" s="276">
        <f>Basicinfo!EM6</f>
        <v>0</v>
      </c>
      <c r="CL6" s="276">
        <f>Basicinfo!EN6</f>
        <v>0</v>
      </c>
      <c r="CM6">
        <f t="shared" si="23"/>
        <v>2</v>
      </c>
      <c r="CN6">
        <f t="shared" si="24"/>
        <v>0</v>
      </c>
      <c r="CO6" s="31"/>
      <c r="CP6" s="270"/>
      <c r="CQ6" s="270"/>
      <c r="CR6" s="236"/>
      <c r="CS6" s="236"/>
      <c r="CT6" s="236"/>
      <c r="CU6" s="147">
        <f>'Summed emissions'!D6</f>
        <v>139.9114141124</v>
      </c>
      <c r="CV6" s="188"/>
      <c r="CW6" s="188"/>
      <c r="DI6" s="31"/>
      <c r="DJ6" s="233"/>
      <c r="DK6" s="233"/>
      <c r="DR6" s="236">
        <f t="shared" si="2"/>
        <v>18.640000000000004</v>
      </c>
      <c r="DS6" s="236">
        <f t="shared" si="0"/>
        <v>13.15165521391698</v>
      </c>
      <c r="DY6" s="31">
        <f>Basicinfo!EI6</f>
        <v>1.5731031578947369E-2</v>
      </c>
      <c r="DZ6" s="31">
        <f>Intermediate!CR6</f>
        <v>1.5731031578947369E-2</v>
      </c>
    </row>
    <row r="7" spans="1:135">
      <c r="A7" s="39" t="str">
        <f>Basicinfo!A7</f>
        <v>Schwemmbach</v>
      </c>
      <c r="B7" s="63">
        <f>Basicinfo!B7</f>
        <v>620</v>
      </c>
      <c r="C7" s="63">
        <f>Basicinfo!C7</f>
        <v>630</v>
      </c>
      <c r="D7" s="61">
        <f>IF(Intermediate!D7=0,0,Basicinfo!AP7*86400*365/(Intermediate!D7*1000000))</f>
        <v>58.721689934667879</v>
      </c>
      <c r="E7" s="19">
        <f>IF(Intermediate!E7=0,0,IF((Intermediate!E7-Basicinfo!AA7)&lt;0,0,'Summed emissions'!E7*86400*365/((Intermediate!E7-Basicinfo!AA7)*1000000)))</f>
        <v>0</v>
      </c>
      <c r="F7" s="19">
        <f>IF(Basicinfo!AA7=0,0,'Summed emissions'!E7*86400*365/(Basicinfo!AA7*1000000))</f>
        <v>0</v>
      </c>
      <c r="G7" s="19">
        <f>IF(D7=0,1,1/(1+Parameters!$C$138*EXP(Parameters!$C$139*Basicinfo!AQ7)*D7^Parameters!$C$140))</f>
        <v>0.86560927756366501</v>
      </c>
      <c r="H7" s="19">
        <f>IF(D7=0,1,1/(1+Parameters!$C$141*EXP(Parameters!$C$142*Basicinfo!AQ7)*D7^Parameters!$C$143))</f>
        <v>0.78062040455746962</v>
      </c>
      <c r="I7" s="161">
        <f>IF(Intermediate!AS7=0,1,IF(D7=0,1/(1+Parameters!$C$144*Intermediate!AS7^Parameters!$C$145),(1/(1+Parameters!$C$144*Intermediate!AS7^Parameters!$C$145)+1/(1+Parameters!$C$146*D7^Parameters!$C$147))/2))</f>
        <v>0.62334780562767422</v>
      </c>
      <c r="J7" s="19">
        <f>IF(E7=0,1,1/(1+Parameters!$C$138*EXP(Parameters!$C$139*Basicinfo!AQ7)*E7^Parameters!$C$140))</f>
        <v>1</v>
      </c>
      <c r="K7" s="19">
        <f>IF(E7=0,1,1/(1+Parameters!$C$141*EXP(Parameters!$C$142*Basicinfo!AQ7)*E7^Parameters!$C$143))</f>
        <v>1</v>
      </c>
      <c r="L7" s="19">
        <f>IF(E7=0,1,1/(1+Parameters!$C$146*E7^Parameters!$C$147))</f>
        <v>1</v>
      </c>
      <c r="M7" s="53">
        <f>IF(F7=0,1,1/(1+Parameters!$C$138*EXP(Parameters!$C$139*Basicinfo!AQ7)*F7^Parameters!$C$140))</f>
        <v>1</v>
      </c>
      <c r="N7" s="53">
        <f>IF(F7=0,1,1/(1+Parameters!$C$141*EXP(Parameters!$C$142*Basicinfo!AQ7)*F7^Parameters!$C$143))</f>
        <v>1</v>
      </c>
      <c r="O7" s="53">
        <f>IF(F7=0,1,1/(1+Parameters!$C$146*F7^Parameters!$C$147))</f>
        <v>1</v>
      </c>
      <c r="P7" s="64">
        <f>Basicinfo!CE7+Basicinfo!CJ7</f>
        <v>0</v>
      </c>
      <c r="Q7" s="86">
        <f>Parameters!$C$126*Intermediate!BB7*Basicinfo!P7/1000+Parameters!$C$127*Intermediate!BB7*Basicinfo!S7/1000</f>
        <v>2.5786896543829613E-3</v>
      </c>
      <c r="R7" s="48">
        <f>'Local emissions'!AE7-P7-Q7</f>
        <v>83.872508788038672</v>
      </c>
      <c r="S7" s="48">
        <f>Basicinfo!CF7+Basicinfo!CK7</f>
        <v>0</v>
      </c>
      <c r="T7" s="86">
        <f>'Local emissions'!AR7-S7</f>
        <v>3.0420798996414344</v>
      </c>
      <c r="U7" s="61">
        <f t="shared" si="20"/>
        <v>72.603400429120683</v>
      </c>
      <c r="V7" s="27">
        <f t="shared" si="3"/>
        <v>65.472591741368674</v>
      </c>
      <c r="W7" s="27">
        <f t="shared" si="4"/>
        <v>1.8962738299855435</v>
      </c>
      <c r="X7" s="61">
        <f>U7+TN!CI7</f>
        <v>72.603400429120683</v>
      </c>
      <c r="Y7" s="27">
        <f>V7+DIN!CI7</f>
        <v>65.472591741368674</v>
      </c>
      <c r="Z7" s="27">
        <f>W7+TP!CI7</f>
        <v>1.8962738299855435</v>
      </c>
      <c r="AA7" s="73">
        <f>'Summed emissions'!E7</f>
        <v>1.38201598465747</v>
      </c>
      <c r="AB7" s="131" t="str">
        <f>IF(Basicinfo!AR7="","",Basicinfo!AR7)</f>
        <v/>
      </c>
      <c r="AC7" s="131" t="str">
        <f>IF(Basicinfo!AS7="","",Basicinfo!AS7)</f>
        <v/>
      </c>
      <c r="AD7" s="131" t="str">
        <f>IF(Basicinfo!AT7="","",Basicinfo!AT7)</f>
        <v/>
      </c>
      <c r="AE7" s="174" t="str">
        <f t="shared" si="21"/>
        <v/>
      </c>
      <c r="AF7" s="19" t="str">
        <f t="shared" si="5"/>
        <v/>
      </c>
      <c r="AG7" s="27" t="str">
        <f t="shared" si="6"/>
        <v/>
      </c>
      <c r="AH7" s="56">
        <f>'Local emissions'!AE7-U7</f>
        <v>11.271687048572375</v>
      </c>
      <c r="AI7" s="228">
        <f>'Local emissions'!AR7-W7</f>
        <v>1.1458060696558909</v>
      </c>
      <c r="AJ7" s="43">
        <f t="shared" si="7"/>
        <v>11.271687048572373</v>
      </c>
      <c r="AK7" s="58">
        <f t="shared" si="8"/>
        <v>1.1458060696558909</v>
      </c>
      <c r="AL7" s="43">
        <f>TN!CI96</f>
        <v>0</v>
      </c>
      <c r="AM7" s="43">
        <f>TP!CI96</f>
        <v>0</v>
      </c>
      <c r="AN7" s="42">
        <f>TN!CI185+(AH7-AJ7)</f>
        <v>1.7763568394002505E-15</v>
      </c>
      <c r="AO7" s="43">
        <f>TP!CI185+(AI7-AK7)</f>
        <v>0</v>
      </c>
      <c r="AP7" s="42">
        <f t="shared" si="9"/>
        <v>11.271687048572375</v>
      </c>
      <c r="AQ7" s="42">
        <f t="shared" si="10"/>
        <v>1.1458060696558909</v>
      </c>
      <c r="AR7" s="42">
        <f>AH7/'Local emissions'!AE7*100</f>
        <v>13.43865906735433</v>
      </c>
      <c r="AS7" s="42">
        <f>AI7/'Local emissions'!AR7*100</f>
        <v>37.665219437232579</v>
      </c>
      <c r="AT7" s="42">
        <f t="shared" si="22"/>
        <v>13.43865906735433</v>
      </c>
      <c r="AU7" s="42">
        <f t="shared" si="11"/>
        <v>37.665219437232579</v>
      </c>
      <c r="AV7" s="42">
        <f>('Summed emissions'!AE7-'River loads'!X7)/'Summed emissions'!AE7*100</f>
        <v>13.43865906735433</v>
      </c>
      <c r="AW7" s="42">
        <f>('Summed emissions'!AR7-'River loads'!Z7)/'Summed emissions'!AR7*100</f>
        <v>37.665219437232579</v>
      </c>
      <c r="AX7" s="61">
        <f>X7/('Summed emissions'!$D7*100)*1000</f>
        <v>3.2745050563117886</v>
      </c>
      <c r="AY7" s="19">
        <f>Y7/('Summed emissions'!$D7*100)*1000</f>
        <v>2.9528965783944026</v>
      </c>
      <c r="AZ7" s="72">
        <f>Z7/('Summed emissions'!$D7*100)*1000</f>
        <v>8.5524344696517207E-2</v>
      </c>
      <c r="BA7" s="43" t="str">
        <f>IF(AB7="","",AB7/('Summed emissions'!$D7*100)*1000)</f>
        <v/>
      </c>
      <c r="BB7" s="43" t="str">
        <f>IF(AC7="","",AC7/('Summed emissions'!$D7*100)*1000)</f>
        <v/>
      </c>
      <c r="BC7" s="43" t="str">
        <f>IF(AD7="","",AD7/('Summed emissions'!$D7*100)*1000)</f>
        <v/>
      </c>
      <c r="BF7" s="188">
        <f>('Summed emissions'!AE7-'River loads'!Y7)/'Summed emissions'!AE7*100</f>
        <v>21.940359515235805</v>
      </c>
      <c r="BG7" s="188">
        <f>('Summed emissions'!AR7-'River loads'!Z7)/'Summed emissions'!AR7*100</f>
        <v>37.665219437232579</v>
      </c>
      <c r="BH7" s="181">
        <f>'Summed emissions'!CV7*(100-'River loads'!BG7)/100</f>
        <v>0.75405589953629715</v>
      </c>
      <c r="BI7" s="181">
        <f t="shared" si="12"/>
        <v>0.57308248364758585</v>
      </c>
      <c r="BJ7" s="233"/>
      <c r="BK7" s="233"/>
      <c r="BM7" s="31">
        <f t="shared" ref="BM7:BM63" si="25">BI7*1000000/24/3600/365/$AA7</f>
        <v>1.3149143387446487E-2</v>
      </c>
      <c r="BN7" s="31"/>
      <c r="BO7" s="231"/>
      <c r="BP7" s="31">
        <f>BM7/Parameters!$C$156</f>
        <v>2.0229451365302287E-2</v>
      </c>
      <c r="BQ7" s="305" t="s">
        <v>934</v>
      </c>
      <c r="BR7" s="237">
        <f>Basicinfo!CW7</f>
        <v>0.05</v>
      </c>
      <c r="BS7" s="237">
        <f t="shared" si="13"/>
        <v>0.40458902730604573</v>
      </c>
      <c r="BT7" s="237"/>
      <c r="BU7" s="31">
        <f t="shared" si="14"/>
        <v>4.3509228084652997E-2</v>
      </c>
      <c r="BV7" s="232"/>
      <c r="BW7" s="31">
        <f t="shared" si="15"/>
        <v>1.5022418610239929</v>
      </c>
      <c r="BX7" s="31"/>
      <c r="BY7" s="231"/>
      <c r="BZ7" s="147">
        <f t="shared" si="16"/>
        <v>2.0300565689513417</v>
      </c>
      <c r="CA7" s="305"/>
      <c r="CB7" s="231">
        <f>Basicinfo!CV7</f>
        <v>4</v>
      </c>
      <c r="CC7" s="147">
        <f t="shared" si="17"/>
        <v>0.50751414223783542</v>
      </c>
      <c r="CD7" s="147"/>
      <c r="CE7" s="233">
        <f>'Local emissions'!FC7/14*62</f>
        <v>8.7419999999999991</v>
      </c>
      <c r="CF7" s="233">
        <f>'Local emissions'!FD7/14*62</f>
        <v>18.623541543768972</v>
      </c>
      <c r="CH7">
        <f t="shared" si="18"/>
        <v>0</v>
      </c>
      <c r="CI7">
        <f t="shared" si="19"/>
        <v>0</v>
      </c>
      <c r="CK7" s="276">
        <f>Basicinfo!EM7</f>
        <v>2</v>
      </c>
      <c r="CL7" s="276">
        <f>Basicinfo!EN7</f>
        <v>2</v>
      </c>
      <c r="CM7">
        <f t="shared" si="23"/>
        <v>2</v>
      </c>
      <c r="CN7">
        <f t="shared" si="24"/>
        <v>0</v>
      </c>
      <c r="CO7" s="31"/>
      <c r="CP7" s="270"/>
      <c r="CQ7" s="270"/>
      <c r="CR7" s="236"/>
      <c r="CS7" s="236"/>
      <c r="CT7" s="236"/>
      <c r="CU7" s="147">
        <f>'Summed emissions'!D7</f>
        <v>221.723280864</v>
      </c>
      <c r="CV7" s="188"/>
      <c r="CW7" s="188"/>
      <c r="DI7" s="31"/>
      <c r="DJ7" s="233"/>
      <c r="DK7" s="233"/>
      <c r="DR7" s="236">
        <f t="shared" si="2"/>
        <v>8.7419999999999991</v>
      </c>
      <c r="DS7" s="236">
        <f t="shared" si="0"/>
        <v>18.623541543768972</v>
      </c>
      <c r="DY7" s="31">
        <f>Basicinfo!EI7</f>
        <v>1.4726631578947371E-2</v>
      </c>
      <c r="DZ7" s="31">
        <f>Intermediate!CR7</f>
        <v>1.4726631578947371E-2</v>
      </c>
    </row>
    <row r="8" spans="1:135">
      <c r="A8" s="39" t="str">
        <f>Basicinfo!A8</f>
        <v>Mattig</v>
      </c>
      <c r="B8" s="63">
        <f>Basicinfo!B8</f>
        <v>630</v>
      </c>
      <c r="C8" s="63">
        <f>Basicinfo!C8</f>
        <v>1050</v>
      </c>
      <c r="D8" s="61">
        <f>IF(Intermediate!D8=0,0,Basicinfo!AP8*86400*365/(Intermediate!D8*1000000))</f>
        <v>12.929754831152033</v>
      </c>
      <c r="E8" s="19">
        <f>IF(Intermediate!E8=0,0,IF((Intermediate!E8-Basicinfo!AA8)&lt;0,0,'Summed emissions'!E8*86400*365/((Intermediate!E8-Basicinfo!AA8)*1000000)))</f>
        <v>0</v>
      </c>
      <c r="F8" s="19">
        <f>IF(Basicinfo!AA8=0,0,'Summed emissions'!E8*86400*365/(Basicinfo!AA8*1000000))</f>
        <v>0</v>
      </c>
      <c r="G8" s="19">
        <f>IF(D8=0,1,1/(1+Parameters!$C$138*EXP(Parameters!$C$139*Basicinfo!AQ8)*D8^Parameters!$C$140))</f>
        <v>0.5756152839339238</v>
      </c>
      <c r="H8" s="19">
        <f>IF(D8=0,1,1/(1+Parameters!$C$141*EXP(Parameters!$C$142*Basicinfo!AQ8)*D8^Parameters!$C$143))</f>
        <v>0.42834722185743845</v>
      </c>
      <c r="I8" s="161">
        <f>IF(Intermediate!AS8=0,1,IF(D8=0,1/(1+Parameters!$C$144*Intermediate!AS8^Parameters!$C$145),(1/(1+Parameters!$C$144*Intermediate!AS8^Parameters!$C$145)+1/(1+Parameters!$C$146*D8^Parameters!$C$147))/2))</f>
        <v>0.5646775217147294</v>
      </c>
      <c r="J8" s="19">
        <f>IF(E8=0,1,1/(1+Parameters!$C$138*EXP(Parameters!$C$139*Basicinfo!AQ8)*E8^Parameters!$C$140))</f>
        <v>1</v>
      </c>
      <c r="K8" s="19">
        <f>IF(E8=0,1,1/(1+Parameters!$C$141*EXP(Parameters!$C$142*Basicinfo!AQ8)*E8^Parameters!$C$143))</f>
        <v>1</v>
      </c>
      <c r="L8" s="19">
        <f>IF(E8=0,1,1/(1+Parameters!$C$146*E8^Parameters!$C$147))</f>
        <v>1</v>
      </c>
      <c r="M8" s="53">
        <f>IF(F8=0,1,1/(1+Parameters!$C$138*EXP(Parameters!$C$139*Basicinfo!AQ8)*F8^Parameters!$C$140))</f>
        <v>1</v>
      </c>
      <c r="N8" s="53">
        <f>IF(F8=0,1,1/(1+Parameters!$C$141*EXP(Parameters!$C$142*Basicinfo!AQ8)*F8^Parameters!$C$143))</f>
        <v>1</v>
      </c>
      <c r="O8" s="53">
        <f>IF(F8=0,1,1/(1+Parameters!$C$146*F8^Parameters!$C$147))</f>
        <v>1</v>
      </c>
      <c r="P8" s="64">
        <f>Basicinfo!CE8+Basicinfo!CJ8</f>
        <v>45.218196833333337</v>
      </c>
      <c r="Q8" s="86">
        <f>Parameters!$C$126*Intermediate!BB8*Basicinfo!P8/1000+Parameters!$C$127*Intermediate!BB8*Basicinfo!S8/1000</f>
        <v>0.27364500725058516</v>
      </c>
      <c r="R8" s="48">
        <f>'Local emissions'!AE8-P8-Q8</f>
        <v>401.81442205438179</v>
      </c>
      <c r="S8" s="48">
        <f>Basicinfo!CF8+Basicinfo!CK8</f>
        <v>2.7975053333333326</v>
      </c>
      <c r="T8" s="86">
        <f>'Local emissions'!AR8-S8</f>
        <v>7.6841925259424011</v>
      </c>
      <c r="U8" s="61">
        <f t="shared" si="20"/>
        <v>276.78236448016241</v>
      </c>
      <c r="V8" s="27">
        <f t="shared" si="3"/>
        <v>217.33428822258003</v>
      </c>
      <c r="W8" s="27">
        <f t="shared" si="4"/>
        <v>7.1365961252613346</v>
      </c>
      <c r="X8" s="61">
        <f>U8+TN!CI8</f>
        <v>349.38576490928313</v>
      </c>
      <c r="Y8" s="27">
        <f>V8+DIN!CI8</f>
        <v>282.80687996394869</v>
      </c>
      <c r="Z8" s="27">
        <f>W8+TP!CI8</f>
        <v>9.0328699552468787</v>
      </c>
      <c r="AA8" s="73">
        <f>'Summed emissions'!E8</f>
        <v>5.9989159846574704</v>
      </c>
      <c r="AB8" s="131">
        <f>IF(Basicinfo!AR8="","",Basicinfo!AR8)</f>
        <v>337.92575466406788</v>
      </c>
      <c r="AC8" s="131">
        <f>IF(Basicinfo!AS8="","",Basicinfo!AS8)</f>
        <v>307.205231512789</v>
      </c>
      <c r="AD8" s="131">
        <f>IF(Basicinfo!AT8="","",Basicinfo!AT8)</f>
        <v>12.165444532178199</v>
      </c>
      <c r="AE8" s="174">
        <f t="shared" si="21"/>
        <v>3.3912805067514427</v>
      </c>
      <c r="AF8" s="19">
        <f t="shared" si="5"/>
        <v>-7.9420364779252139</v>
      </c>
      <c r="AG8" s="27">
        <f t="shared" si="6"/>
        <v>-25.749774853237028</v>
      </c>
      <c r="AH8" s="56">
        <f>'Local emissions'!AE8-U8</f>
        <v>170.52389941480328</v>
      </c>
      <c r="AI8" s="228">
        <f>'Local emissions'!AR8-W8</f>
        <v>3.3451017340143991</v>
      </c>
      <c r="AJ8" s="43">
        <f t="shared" si="7"/>
        <v>170.52389941480331</v>
      </c>
      <c r="AK8" s="58">
        <f t="shared" si="8"/>
        <v>3.3451017340143996</v>
      </c>
      <c r="AL8" s="43">
        <f>TN!CI97</f>
        <v>0</v>
      </c>
      <c r="AM8" s="43">
        <f>TP!CI97</f>
        <v>0</v>
      </c>
      <c r="AN8" s="42">
        <f>TN!CI186+(AH8-AJ8)</f>
        <v>-2.8421709430404007E-14</v>
      </c>
      <c r="AO8" s="43">
        <f>TP!CI186+(AI8-AK8)</f>
        <v>-4.4408920985006262E-16</v>
      </c>
      <c r="AP8" s="42">
        <f t="shared" si="9"/>
        <v>170.52389941480328</v>
      </c>
      <c r="AQ8" s="42">
        <f t="shared" si="10"/>
        <v>3.3451017340143991</v>
      </c>
      <c r="AR8" s="42">
        <f>AH8/'Local emissions'!AE8*100</f>
        <v>38.122403636816692</v>
      </c>
      <c r="AS8" s="42">
        <f>AI8/'Local emissions'!AR8*100</f>
        <v>31.91373934762073</v>
      </c>
      <c r="AT8" s="42">
        <f t="shared" si="22"/>
        <v>32.798755460046031</v>
      </c>
      <c r="AU8" s="42">
        <f t="shared" si="11"/>
        <v>27.024635521799585</v>
      </c>
      <c r="AV8" s="42">
        <f>('Summed emissions'!AE8-'River loads'!X8)/'Summed emissions'!AE8*100</f>
        <v>34.224768244138538</v>
      </c>
      <c r="AW8" s="42">
        <f>('Summed emissions'!AR8-'River loads'!Z8)/'Summed emissions'!AR8*100</f>
        <v>33.207494856303157</v>
      </c>
      <c r="AX8" s="61">
        <f>X8/('Summed emissions'!$D8*100)*1000</f>
        <v>7.7576412105614514</v>
      </c>
      <c r="AY8" s="19">
        <f>Y8/('Summed emissions'!$D8*100)*1000</f>
        <v>6.279346576149937</v>
      </c>
      <c r="AZ8" s="72">
        <f>Z8/('Summed emissions'!$D8*100)*1000</f>
        <v>0.20056273395299884</v>
      </c>
      <c r="BA8" s="43">
        <f>IF(AB8="","",AB8/('Summed emissions'!$D8*100)*1000)</f>
        <v>7.5031870894130934</v>
      </c>
      <c r="BB8" s="43">
        <f>IF(AC8="","",AC8/('Summed emissions'!$D8*100)*1000)</f>
        <v>6.8210791721937216</v>
      </c>
      <c r="BC8" s="43">
        <f>IF(AD8="","",AD8/('Summed emissions'!$D8*100)*1000)</f>
        <v>0.27011734113474622</v>
      </c>
      <c r="BF8" s="188">
        <f>('Summed emissions'!AE8-'River loads'!Y8)/'Summed emissions'!AE8*100</f>
        <v>46.758883904126186</v>
      </c>
      <c r="BG8" s="188">
        <f>('Summed emissions'!AR8-'River loads'!Z8)/'Summed emissions'!AR8*100</f>
        <v>33.207494856303157</v>
      </c>
      <c r="BH8" s="181">
        <f>'Summed emissions'!CV8*(100-'River loads'!BG8)/100</f>
        <v>6.4239384582962229</v>
      </c>
      <c r="BI8" s="181">
        <f t="shared" si="12"/>
        <v>4.8821932283051295</v>
      </c>
      <c r="BJ8" s="233"/>
      <c r="BK8" s="233">
        <f>Basicinfo!CQ8</f>
        <v>4.7597707995360201</v>
      </c>
      <c r="BM8" s="31">
        <f t="shared" si="25"/>
        <v>2.5806884458799331E-2</v>
      </c>
      <c r="BN8" s="31">
        <f>BK8*1000000/24/3600/365/$AA8</f>
        <v>2.5159769253261514E-2</v>
      </c>
      <c r="BO8" s="231">
        <v>2.6880808080808099E-2</v>
      </c>
      <c r="BP8" s="31">
        <f>BM8/Parameters!$C$156</f>
        <v>3.9702899167383586E-2</v>
      </c>
      <c r="BQ8" s="305">
        <v>0.04</v>
      </c>
      <c r="BR8" s="237">
        <f>Basicinfo!CW8</f>
        <v>0.05</v>
      </c>
      <c r="BS8" s="237">
        <f t="shared" si="13"/>
        <v>0.79405798334767164</v>
      </c>
      <c r="BT8" s="237">
        <f t="shared" ref="BT8:BT66" si="26">BQ8/BR8</f>
        <v>0.79999999999999993</v>
      </c>
      <c r="BU8" s="31">
        <f t="shared" si="14"/>
        <v>4.7747030968567604E-2</v>
      </c>
      <c r="BV8" s="232">
        <v>6.4090909090909101E-2</v>
      </c>
      <c r="BW8" s="31">
        <f t="shared" si="15"/>
        <v>1.4948946373261036</v>
      </c>
      <c r="BX8" s="31">
        <v>1.7702222222222199</v>
      </c>
      <c r="BY8" s="231">
        <f t="shared" si="1"/>
        <v>1.8053202247191007</v>
      </c>
      <c r="BZ8" s="147">
        <f t="shared" si="16"/>
        <v>2.0201278882785183</v>
      </c>
      <c r="CA8" s="305">
        <v>2.0865999999999998</v>
      </c>
      <c r="CB8" s="231">
        <f>Basicinfo!CV8</f>
        <v>4</v>
      </c>
      <c r="CC8" s="147">
        <f t="shared" si="17"/>
        <v>0.50503197206962958</v>
      </c>
      <c r="CD8" s="147"/>
      <c r="CE8" s="233">
        <f>'Local emissions'!FC8/14*62</f>
        <v>12.329545454545455</v>
      </c>
      <c r="CF8" s="233">
        <f>'Local emissions'!FD8/14*62</f>
        <v>14.98368571006892</v>
      </c>
      <c r="CH8">
        <f t="shared" si="18"/>
        <v>1</v>
      </c>
      <c r="CI8">
        <f t="shared" si="19"/>
        <v>0</v>
      </c>
      <c r="CK8" s="276">
        <f>Basicinfo!EM8</f>
        <v>1</v>
      </c>
      <c r="CL8" s="276">
        <f>Basicinfo!EN8</f>
        <v>0</v>
      </c>
      <c r="CM8">
        <f t="shared" si="23"/>
        <v>0</v>
      </c>
      <c r="CN8">
        <f t="shared" si="24"/>
        <v>0</v>
      </c>
      <c r="CO8" s="31">
        <f t="shared" ref="CO8:CO63" si="27">BN8</f>
        <v>2.5159769253261514E-2</v>
      </c>
      <c r="CP8" s="270">
        <f>Basicinfo!DC8</f>
        <v>3.4674157303370777E-2</v>
      </c>
      <c r="CQ8" s="270">
        <f>Basicinfo!DD8</f>
        <v>5.3800000000000008E-2</v>
      </c>
      <c r="CR8" s="236">
        <f t="shared" ref="CR8:CR63" si="28">BX8</f>
        <v>1.7702222222222199</v>
      </c>
      <c r="CS8" s="236">
        <f>Basicinfo!DK8</f>
        <v>1.8053202247191007</v>
      </c>
      <c r="CT8" s="236">
        <f>Basicinfo!DL8</f>
        <v>2.2220000000000009</v>
      </c>
      <c r="CU8" s="147">
        <f>'Summed emissions'!D8</f>
        <v>450.37628761899998</v>
      </c>
      <c r="CV8" s="188">
        <f>(BW8-CS8)/CS8*100</f>
        <v>-17.195042914965285</v>
      </c>
      <c r="CW8" s="188">
        <f>(BM8-CP8)/CP8*100</f>
        <v>-25.573145922451683</v>
      </c>
      <c r="CX8" s="188"/>
      <c r="CY8" s="188"/>
      <c r="DI8" s="31" t="e">
        <f>#REF!</f>
        <v>#REF!</v>
      </c>
      <c r="DJ8" s="233">
        <f>Basicinfo!DA8</f>
        <v>6.0842696629213502E-2</v>
      </c>
      <c r="DK8" s="233">
        <f>Basicinfo!DB8</f>
        <v>0.11</v>
      </c>
      <c r="DR8" s="236">
        <f t="shared" si="2"/>
        <v>12.329545454545455</v>
      </c>
      <c r="DS8" s="236">
        <f t="shared" si="0"/>
        <v>14.98368571006892</v>
      </c>
      <c r="DY8" s="31">
        <f>Basicinfo!EI8</f>
        <v>2.4476735263157894E-2</v>
      </c>
      <c r="DZ8" s="31">
        <f>Intermediate!CR8</f>
        <v>2.4476735263157894E-2</v>
      </c>
    </row>
    <row r="9" spans="1:135">
      <c r="A9" s="39" t="str">
        <f>Basicinfo!A9</f>
        <v>Moosbach</v>
      </c>
      <c r="B9" s="63">
        <f>Basicinfo!B9</f>
        <v>640</v>
      </c>
      <c r="C9" s="63">
        <f>Basicinfo!C9</f>
        <v>650</v>
      </c>
      <c r="D9" s="61">
        <f>IF(Intermediate!D9=0,0,Basicinfo!AP9*86400*365/(Intermediate!D9*1000000))</f>
        <v>80.83206775668944</v>
      </c>
      <c r="E9" s="19">
        <f>IF(Intermediate!E9=0,0,IF((Intermediate!E9-Basicinfo!AA9)&lt;0,0,'Summed emissions'!E9*86400*365/((Intermediate!E9-Basicinfo!AA9)*1000000)))</f>
        <v>0</v>
      </c>
      <c r="F9" s="19">
        <f>IF(Basicinfo!AA9=0,0,'Summed emissions'!E9*86400*365/(Basicinfo!AA9*1000000))</f>
        <v>0</v>
      </c>
      <c r="G9" s="19">
        <f>IF(D9=0,1,1/(1+Parameters!$C$138*EXP(Parameters!$C$139*Basicinfo!AQ9)*D9^Parameters!$C$140))</f>
        <v>0.89961467650168658</v>
      </c>
      <c r="H9" s="19">
        <f>IF(D9=0,1,1/(1+Parameters!$C$141*EXP(Parameters!$C$142*Basicinfo!AQ9)*D9^Parameters!$C$143))</f>
        <v>0.83195600495250455</v>
      </c>
      <c r="I9" s="161">
        <f>IF(Intermediate!AS9=0,1,IF(D9=0,1/(1+Parameters!$C$144*Intermediate!AS9^Parameters!$C$145),(1/(1+Parameters!$C$144*Intermediate!AS9^Parameters!$C$145)+1/(1+Parameters!$C$146*D9^Parameters!$C$147))/2))</f>
        <v>0.73037032633930421</v>
      </c>
      <c r="J9" s="19">
        <f>IF(E9=0,1,1/(1+Parameters!$C$138*EXP(Parameters!$C$139*Basicinfo!AQ9)*E9^Parameters!$C$140))</f>
        <v>1</v>
      </c>
      <c r="K9" s="19">
        <f>IF(E9=0,1,1/(1+Parameters!$C$141*EXP(Parameters!$C$142*Basicinfo!AQ9)*E9^Parameters!$C$143))</f>
        <v>1</v>
      </c>
      <c r="L9" s="19">
        <f>IF(E9=0,1,1/(1+Parameters!$C$146*E9^Parameters!$C$147))</f>
        <v>1</v>
      </c>
      <c r="M9" s="53">
        <f>IF(F9=0,1,1/(1+Parameters!$C$138*EXP(Parameters!$C$139*Basicinfo!AQ9)*F9^Parameters!$C$140))</f>
        <v>1</v>
      </c>
      <c r="N9" s="53">
        <f>IF(F9=0,1,1/(1+Parameters!$C$141*EXP(Parameters!$C$142*Basicinfo!AQ9)*F9^Parameters!$C$143))</f>
        <v>1</v>
      </c>
      <c r="O9" s="53">
        <f>IF(F9=0,1,1/(1+Parameters!$C$146*F9^Parameters!$C$147))</f>
        <v>1</v>
      </c>
      <c r="P9" s="64">
        <f>Basicinfo!CE9+Basicinfo!CJ9</f>
        <v>0</v>
      </c>
      <c r="Q9" s="86">
        <f>Parameters!$C$126*Intermediate!BB9*Basicinfo!P9/1000+Parameters!$C$127*Intermediate!BB9*Basicinfo!S9/1000</f>
        <v>8.4464877930890882E-3</v>
      </c>
      <c r="R9" s="48">
        <f>'Local emissions'!AE9-P9-Q9</f>
        <v>39.900386920341738</v>
      </c>
      <c r="S9" s="48">
        <f>Basicinfo!CF9+Basicinfo!CK9</f>
        <v>0</v>
      </c>
      <c r="T9" s="86">
        <f>'Local emissions'!AR9-S9</f>
        <v>0.94310272659582695</v>
      </c>
      <c r="U9" s="61">
        <f t="shared" si="20"/>
        <v>35.90342015942845</v>
      </c>
      <c r="V9" s="27">
        <f t="shared" si="3"/>
        <v>33.195366498306676</v>
      </c>
      <c r="W9" s="27">
        <f t="shared" si="4"/>
        <v>0.68881424619528175</v>
      </c>
      <c r="X9" s="61">
        <f>U9+TN!CI9</f>
        <v>35.90342015942845</v>
      </c>
      <c r="Y9" s="27">
        <f>V9+DIN!CI9</f>
        <v>33.195366498306676</v>
      </c>
      <c r="Z9" s="27">
        <f>W9+TP!CI9</f>
        <v>0.68881424619528175</v>
      </c>
      <c r="AA9" s="73">
        <f>'Summed emissions'!E9</f>
        <v>0.52182466627041502</v>
      </c>
      <c r="AB9" s="131" t="str">
        <f>IF(Basicinfo!AR9="","",Basicinfo!AR9)</f>
        <v/>
      </c>
      <c r="AC9" s="131" t="str">
        <f>IF(Basicinfo!AS9="","",Basicinfo!AS9)</f>
        <v/>
      </c>
      <c r="AD9" s="131" t="str">
        <f>IF(Basicinfo!AT9="","",Basicinfo!AT9)</f>
        <v/>
      </c>
      <c r="AE9" s="174" t="str">
        <f t="shared" si="21"/>
        <v/>
      </c>
      <c r="AF9" s="19" t="str">
        <f t="shared" si="5"/>
        <v/>
      </c>
      <c r="AG9" s="27" t="str">
        <f t="shared" si="6"/>
        <v/>
      </c>
      <c r="AH9" s="56">
        <f>'Local emissions'!AE9-U9</f>
        <v>4.0054132487063754</v>
      </c>
      <c r="AI9" s="228">
        <f>'Local emissions'!AR9-W9</f>
        <v>0.25428848040054519</v>
      </c>
      <c r="AJ9" s="43">
        <f t="shared" si="7"/>
        <v>4.0054132487063789</v>
      </c>
      <c r="AK9" s="58">
        <f t="shared" si="8"/>
        <v>0.25428848040054525</v>
      </c>
      <c r="AL9" s="43">
        <f>TN!CI98</f>
        <v>0</v>
      </c>
      <c r="AM9" s="43">
        <f>TP!CI98</f>
        <v>0</v>
      </c>
      <c r="AN9" s="42">
        <f>TN!CI187+(AH9-AJ9)</f>
        <v>-3.5527136788005009E-15</v>
      </c>
      <c r="AO9" s="43">
        <f>TP!CI187+(AI9-AK9)</f>
        <v>-5.5511151231257827E-17</v>
      </c>
      <c r="AP9" s="42">
        <f t="shared" si="9"/>
        <v>4.0054132487063754</v>
      </c>
      <c r="AQ9" s="42">
        <f t="shared" si="10"/>
        <v>0.25428848040054519</v>
      </c>
      <c r="AR9" s="42">
        <f>AH9/'Local emissions'!AE9*100</f>
        <v>10.03640774899206</v>
      </c>
      <c r="AS9" s="42">
        <f>AI9/'Local emissions'!AR9*100</f>
        <v>26.962967366069574</v>
      </c>
      <c r="AT9" s="42">
        <f t="shared" si="22"/>
        <v>10.03640774899206</v>
      </c>
      <c r="AU9" s="42">
        <f t="shared" si="11"/>
        <v>26.962967366069574</v>
      </c>
      <c r="AV9" s="42">
        <f>('Summed emissions'!AE9-'River loads'!X9)/'Summed emissions'!AE9*100</f>
        <v>10.03640774899206</v>
      </c>
      <c r="AW9" s="42">
        <f>('Summed emissions'!AR9-'River loads'!Z9)/'Summed emissions'!AR9*100</f>
        <v>26.962967366069574</v>
      </c>
      <c r="AX9" s="61">
        <f>X9/('Summed emissions'!$D9*100)*1000</f>
        <v>8.2872413951710335</v>
      </c>
      <c r="AY9" s="19">
        <f>Y9/('Summed emissions'!$D9*100)*1000</f>
        <v>7.6621673966177406</v>
      </c>
      <c r="AZ9" s="72">
        <f>Z9/('Summed emissions'!$D9*100)*1000</f>
        <v>0.15899237201651439</v>
      </c>
      <c r="BA9" s="43"/>
      <c r="BB9" s="43" t="str">
        <f>IF(AC9="","",AC9/('Summed emissions'!$D9*100)*1000)</f>
        <v/>
      </c>
      <c r="BC9" s="43" t="str">
        <f>IF(AD9="","",AD9/('Summed emissions'!$D9*100)*1000)</f>
        <v/>
      </c>
      <c r="BF9" s="188">
        <f>('Summed emissions'!AE9-'River loads'!Y9)/'Summed emissions'!AE9*100</f>
        <v>16.82200740164885</v>
      </c>
      <c r="BG9" s="188">
        <f>('Summed emissions'!AR9-'River loads'!Z9)/'Summed emissions'!AR9*100</f>
        <v>26.962967366069574</v>
      </c>
      <c r="BH9" s="181">
        <f>'Summed emissions'!CV9*(100-'River loads'!BG9)/100</f>
        <v>0.46229890981521615</v>
      </c>
      <c r="BI9" s="181">
        <f t="shared" si="12"/>
        <v>0.35134717145956429</v>
      </c>
      <c r="BJ9" s="233"/>
      <c r="BK9" s="233"/>
      <c r="BM9" s="31">
        <f t="shared" si="25"/>
        <v>2.1350362374961778E-2</v>
      </c>
      <c r="BN9" s="31"/>
      <c r="BO9" s="231"/>
      <c r="BP9" s="31">
        <f>BM9/Parameters!$C$156</f>
        <v>3.2846711346095042E-2</v>
      </c>
      <c r="BQ9" s="305" t="s">
        <v>934</v>
      </c>
      <c r="BR9" s="237">
        <f>Basicinfo!CW9</f>
        <v>0.05</v>
      </c>
      <c r="BS9" s="237">
        <f t="shared" si="13"/>
        <v>0.65693422692190084</v>
      </c>
      <c r="BT9" s="237"/>
      <c r="BU9" s="31">
        <f t="shared" si="14"/>
        <v>4.1857270984172218E-2</v>
      </c>
      <c r="BV9" s="232"/>
      <c r="BW9" s="31">
        <f t="shared" si="15"/>
        <v>2.0171874472883862</v>
      </c>
      <c r="BX9" s="31"/>
      <c r="BY9" s="231"/>
      <c r="BZ9" s="147">
        <f t="shared" si="16"/>
        <v>2.7259289828221434</v>
      </c>
      <c r="CA9" s="305"/>
      <c r="CB9" s="231">
        <f>Basicinfo!CV9</f>
        <v>4</v>
      </c>
      <c r="CC9" s="147">
        <f t="shared" si="17"/>
        <v>0.68148224570553584</v>
      </c>
      <c r="CD9" s="147"/>
      <c r="CE9" s="233">
        <f>'Local emissions'!FC9/14*62</f>
        <v>14.68</v>
      </c>
      <c r="CF9" s="233">
        <f>'Local emissions'!FD9/14*62</f>
        <v>15.045822641583046</v>
      </c>
      <c r="CH9">
        <f t="shared" si="18"/>
        <v>0</v>
      </c>
      <c r="CI9">
        <f t="shared" si="19"/>
        <v>0</v>
      </c>
      <c r="CK9" s="276">
        <f>Basicinfo!EM9</f>
        <v>0</v>
      </c>
      <c r="CL9" s="276">
        <f>Basicinfo!EN9</f>
        <v>0</v>
      </c>
      <c r="CM9">
        <f t="shared" si="23"/>
        <v>2</v>
      </c>
      <c r="CN9">
        <f t="shared" si="24"/>
        <v>0</v>
      </c>
      <c r="CO9" s="31">
        <f t="shared" si="27"/>
        <v>0</v>
      </c>
      <c r="CP9" s="270"/>
      <c r="CQ9" s="270"/>
      <c r="CR9" s="236">
        <f t="shared" si="28"/>
        <v>0</v>
      </c>
      <c r="CS9" s="236"/>
      <c r="CT9" s="236"/>
      <c r="CU9" s="147">
        <f>'Summed emissions'!D9</f>
        <v>43.323729148699996</v>
      </c>
      <c r="CV9" s="252"/>
      <c r="CW9" s="252"/>
      <c r="CX9" s="188"/>
      <c r="CY9" s="188"/>
      <c r="DI9" s="31" t="e">
        <f>#REF!</f>
        <v>#REF!</v>
      </c>
      <c r="DJ9" s="233"/>
      <c r="DK9" s="233"/>
      <c r="DR9" s="236">
        <f t="shared" si="2"/>
        <v>14.68</v>
      </c>
      <c r="DS9" s="236">
        <f t="shared" si="0"/>
        <v>15.045822641583046</v>
      </c>
      <c r="DY9" s="31">
        <f>Basicinfo!EI9</f>
        <v>1.2095873684210523E-2</v>
      </c>
      <c r="DZ9" s="31">
        <f>Intermediate!CR9</f>
        <v>1.2095873684210523E-2</v>
      </c>
    </row>
    <row r="10" spans="1:135">
      <c r="A10" s="39" t="str">
        <f>Basicinfo!A10</f>
        <v>Mühlheimer Ache</v>
      </c>
      <c r="B10" s="63">
        <f>Basicinfo!B10</f>
        <v>650</v>
      </c>
      <c r="C10" s="63">
        <f>Basicinfo!C10</f>
        <v>1050</v>
      </c>
      <c r="D10" s="61">
        <f>IF(Intermediate!D10=0,0,Basicinfo!AP10*86400*365/(Intermediate!D10*1000000))</f>
        <v>71.254264742263885</v>
      </c>
      <c r="E10" s="19">
        <f>IF(Intermediate!E10=0,0,IF((Intermediate!E10-Basicinfo!AA10)&lt;0,0,'Summed emissions'!E10*86400*365/((Intermediate!E10-Basicinfo!AA10)*1000000)))</f>
        <v>0</v>
      </c>
      <c r="F10" s="19">
        <f>IF(Basicinfo!AA10=0,0,'Summed emissions'!E10*86400*365/(Basicinfo!AA10*1000000))</f>
        <v>0</v>
      </c>
      <c r="G10" s="19">
        <f>IF(D10=0,1,1/(1+Parameters!$C$138*EXP(Parameters!$C$139*Basicinfo!AQ10)*D10^Parameters!$C$140))</f>
        <v>0.87462569071104956</v>
      </c>
      <c r="H10" s="19">
        <f>IF(D10=0,1,1/(1+Parameters!$C$141*EXP(Parameters!$C$142*Basicinfo!AQ10)*D10^Parameters!$C$143))</f>
        <v>0.7939817138322447</v>
      </c>
      <c r="I10" s="161">
        <f>IF(Intermediate!AS10=0,1,IF(D10=0,1/(1+Parameters!$C$144*Intermediate!AS10^Parameters!$C$145),(1/(1+Parameters!$C$144*Intermediate!AS10^Parameters!$C$145)+1/(1+Parameters!$C$146*D10^Parameters!$C$147))/2))</f>
        <v>0.74039864799058563</v>
      </c>
      <c r="J10" s="19">
        <f>IF(E10=0,1,1/(1+Parameters!$C$138*EXP(Parameters!$C$139*Basicinfo!AQ10)*E10^Parameters!$C$140))</f>
        <v>1</v>
      </c>
      <c r="K10" s="19">
        <f>IF(E10=0,1,1/(1+Parameters!$C$141*EXP(Parameters!$C$142*Basicinfo!AQ10)*E10^Parameters!$C$143))</f>
        <v>1</v>
      </c>
      <c r="L10" s="19">
        <f>IF(E10=0,1,1/(1+Parameters!$C$146*E10^Parameters!$C$147))</f>
        <v>1</v>
      </c>
      <c r="M10" s="53">
        <f>IF(F10=0,1,1/(1+Parameters!$C$138*EXP(Parameters!$C$139*Basicinfo!AQ10)*F10^Parameters!$C$140))</f>
        <v>1</v>
      </c>
      <c r="N10" s="53">
        <f>IF(F10=0,1,1/(1+Parameters!$C$141*EXP(Parameters!$C$142*Basicinfo!AQ10)*F10^Parameters!$C$143))</f>
        <v>1</v>
      </c>
      <c r="O10" s="53">
        <f>IF(F10=0,1,1/(1+Parameters!$C$146*F10^Parameters!$C$147))</f>
        <v>1</v>
      </c>
      <c r="P10" s="64">
        <f>Basicinfo!CE10+Basicinfo!CJ10</f>
        <v>6.007641374666667</v>
      </c>
      <c r="Q10" s="86">
        <f>Parameters!$C$126*Intermediate!BB10*Basicinfo!P10/1000+Parameters!$C$127*Intermediate!BB10*Basicinfo!S10/1000</f>
        <v>5.0542340127037403E-3</v>
      </c>
      <c r="R10" s="48">
        <f>'Local emissions'!AE10-P10-Q10</f>
        <v>412.36552199825331</v>
      </c>
      <c r="S10" s="48">
        <f>Basicinfo!CF10+Basicinfo!CK10</f>
        <v>1.9921928133333333</v>
      </c>
      <c r="T10" s="86">
        <f>'Local emissions'!AR10-S10</f>
        <v>17.539847628075812</v>
      </c>
      <c r="U10" s="61">
        <f t="shared" si="20"/>
        <v>366.67817511182415</v>
      </c>
      <c r="V10" s="27">
        <f t="shared" si="3"/>
        <v>333.41832525616803</v>
      </c>
      <c r="W10" s="27">
        <f t="shared" si="4"/>
        <v>14.978672283121544</v>
      </c>
      <c r="X10" s="61">
        <f>U10+TN!CI10</f>
        <v>402.58159527125258</v>
      </c>
      <c r="Y10" s="27">
        <f>V10+DIN!CI10</f>
        <v>366.6136917544747</v>
      </c>
      <c r="Z10" s="27">
        <f>W10+TP!CI10</f>
        <v>15.667486529316825</v>
      </c>
      <c r="AA10" s="73">
        <f>'Summed emissions'!E10</f>
        <v>4.6306881308101255</v>
      </c>
      <c r="AB10" s="131">
        <f>IF(Basicinfo!AR10="","",Basicinfo!AR10)</f>
        <v>483.14666988690192</v>
      </c>
      <c r="AC10" s="131">
        <f>IF(Basicinfo!AS10="","",Basicinfo!AS10)</f>
        <v>439.224245351729</v>
      </c>
      <c r="AD10" s="131">
        <f>IF(Basicinfo!AT10="","",Basicinfo!AT10)</f>
        <v>12.1096039547683</v>
      </c>
      <c r="AE10" s="174">
        <f t="shared" si="21"/>
        <v>-16.675076045646449</v>
      </c>
      <c r="AF10" s="19">
        <f t="shared" si="5"/>
        <v>-16.531544960389894</v>
      </c>
      <c r="AG10" s="27">
        <f t="shared" si="6"/>
        <v>29.380668334306392</v>
      </c>
      <c r="AH10" s="56">
        <f>'Local emissions'!AE10-U10</f>
        <v>51.700042495108505</v>
      </c>
      <c r="AI10" s="228">
        <f>'Local emissions'!AR10-W10</f>
        <v>4.5533681582876007</v>
      </c>
      <c r="AJ10" s="43">
        <f t="shared" si="7"/>
        <v>51.700042495108505</v>
      </c>
      <c r="AK10" s="58">
        <f t="shared" si="8"/>
        <v>4.5533681582876007</v>
      </c>
      <c r="AL10" s="43">
        <f>TN!CI99</f>
        <v>0</v>
      </c>
      <c r="AM10" s="43">
        <f>TP!CI99</f>
        <v>0</v>
      </c>
      <c r="AN10" s="42">
        <f>TN!CI188+(AH10-AJ10)</f>
        <v>0</v>
      </c>
      <c r="AO10" s="43">
        <f>TP!CI188+(AI10-AK10)</f>
        <v>0</v>
      </c>
      <c r="AP10" s="42">
        <f t="shared" si="9"/>
        <v>51.700042495108505</v>
      </c>
      <c r="AQ10" s="42">
        <f t="shared" si="10"/>
        <v>4.5533681582876007</v>
      </c>
      <c r="AR10" s="42">
        <f>AH10/'Local emissions'!AE10*100</f>
        <v>12.357250047773954</v>
      </c>
      <c r="AS10" s="42">
        <f>AI10/'Local emissions'!AR10*100</f>
        <v>23.312301507599667</v>
      </c>
      <c r="AT10" s="42">
        <f t="shared" si="22"/>
        <v>11.380614622530274</v>
      </c>
      <c r="AU10" s="42">
        <f t="shared" si="11"/>
        <v>22.518178527235342</v>
      </c>
      <c r="AV10" s="42">
        <f>('Summed emissions'!AE10-'River loads'!X10)/'Summed emissions'!AE10*100</f>
        <v>12.155145038558693</v>
      </c>
      <c r="AW10" s="42">
        <f>('Summed emissions'!AR10-'River loads'!Z10)/'Summed emissions'!AR10*100</f>
        <v>23.480454320830955</v>
      </c>
      <c r="AX10" s="61">
        <f>X10/('Summed emissions'!$D10*100)*1000</f>
        <v>12.838287939230876</v>
      </c>
      <c r="AY10" s="19">
        <f>Y10/('Summed emissions'!$D10*100)*1000</f>
        <v>11.691274992432502</v>
      </c>
      <c r="AZ10" s="72">
        <f>Z10/('Summed emissions'!$D10*100)*1000</f>
        <v>0.49963462242197942</v>
      </c>
      <c r="BA10" s="43">
        <f>IF(AB10="","",AB10/('Summed emissions'!$D10*100)*1000)</f>
        <v>15.407500337190651</v>
      </c>
      <c r="BB10" s="43">
        <f>IF(AC10="","",AC10/('Summed emissions'!$D10*100)*1000)</f>
        <v>14.006818488355137</v>
      </c>
      <c r="BC10" s="43">
        <f>IF(AD10="","",AD10/('Summed emissions'!$D10*100)*1000)</f>
        <v>0.38617409297266475</v>
      </c>
      <c r="BF10" s="188">
        <f>('Summed emissions'!AE10-'River loads'!Y10)/'Summed emissions'!AE10*100</f>
        <v>20.003480145804684</v>
      </c>
      <c r="BG10" s="188">
        <f>('Summed emissions'!AR10-'River loads'!Z10)/'Summed emissions'!AR10*100</f>
        <v>23.480454320830955</v>
      </c>
      <c r="BH10" s="181">
        <f>'Summed emissions'!CV10*(100-'River loads'!BG10)/100</f>
        <v>12.094475132523035</v>
      </c>
      <c r="BI10" s="181">
        <f t="shared" si="12"/>
        <v>9.1918011007175071</v>
      </c>
      <c r="BJ10" s="233"/>
      <c r="BK10" s="233">
        <f>Basicinfo!CQ10</f>
        <v>7.5805375680351199</v>
      </c>
      <c r="BM10" s="31">
        <f t="shared" si="25"/>
        <v>6.2943150699483336E-2</v>
      </c>
      <c r="BN10" s="31">
        <f>BK10*1000000/24/3600/365/$AA10</f>
        <v>5.1909621770501964E-2</v>
      </c>
      <c r="BO10" s="231">
        <v>4.2868686868686799E-2</v>
      </c>
      <c r="BP10" s="31">
        <f>BM10/Parameters!$C$156</f>
        <v>9.6835616460743595E-2</v>
      </c>
      <c r="BQ10" s="305">
        <v>6.1199999999999997E-2</v>
      </c>
      <c r="BR10" s="237">
        <f>Basicinfo!CW10</f>
        <v>0.05</v>
      </c>
      <c r="BS10" s="237">
        <f t="shared" si="13"/>
        <v>1.9367123292148718</v>
      </c>
      <c r="BT10" s="237">
        <f t="shared" si="26"/>
        <v>1.224</v>
      </c>
      <c r="BU10" s="31">
        <f t="shared" si="14"/>
        <v>0.10728702186777461</v>
      </c>
      <c r="BV10" s="232">
        <v>7.7757575757575706E-2</v>
      </c>
      <c r="BW10" s="31">
        <f t="shared" si="15"/>
        <v>2.5104786968023642</v>
      </c>
      <c r="BX10" s="31">
        <v>2.9039767676767698</v>
      </c>
      <c r="BY10" s="231">
        <f t="shared" si="1"/>
        <v>3.0234438202247196</v>
      </c>
      <c r="BZ10" s="147">
        <f t="shared" si="16"/>
        <v>3.3925387794626545</v>
      </c>
      <c r="CA10" s="305">
        <v>3.25888</v>
      </c>
      <c r="CB10" s="231">
        <f>Basicinfo!CV10</f>
        <v>4</v>
      </c>
      <c r="CC10" s="147">
        <f t="shared" si="17"/>
        <v>0.84813469486566362</v>
      </c>
      <c r="CD10" s="147"/>
      <c r="CE10" s="233">
        <f>'Local emissions'!FC10/14*62</f>
        <v>13.346</v>
      </c>
      <c r="CF10" s="233">
        <f>'Local emissions'!FD10/14*62</f>
        <v>16.259524198911407</v>
      </c>
      <c r="CH10">
        <f t="shared" si="18"/>
        <v>2</v>
      </c>
      <c r="CI10">
        <f t="shared" si="19"/>
        <v>1</v>
      </c>
      <c r="CK10" s="276">
        <f>Basicinfo!EM10</f>
        <v>1</v>
      </c>
      <c r="CL10" s="276">
        <f>Basicinfo!EN10</f>
        <v>0</v>
      </c>
      <c r="CM10">
        <f t="shared" si="23"/>
        <v>1</v>
      </c>
      <c r="CN10">
        <f t="shared" si="24"/>
        <v>0</v>
      </c>
      <c r="CO10" s="31">
        <f t="shared" si="27"/>
        <v>5.1909621770501964E-2</v>
      </c>
      <c r="CP10" s="270">
        <f>Basicinfo!DC10</f>
        <v>4.5584269662921333E-2</v>
      </c>
      <c r="CQ10" s="270">
        <f>Basicinfo!DD10</f>
        <v>7.0999999999999994E-2</v>
      </c>
      <c r="CR10" s="236">
        <f t="shared" si="28"/>
        <v>2.9039767676767698</v>
      </c>
      <c r="CS10" s="236">
        <f>Basicinfo!DK10</f>
        <v>3.0234438202247196</v>
      </c>
      <c r="CT10" s="236">
        <f>Basicinfo!DL10</f>
        <v>3.552</v>
      </c>
      <c r="CU10" s="147">
        <f>'Summed emissions'!D10</f>
        <v>313.57887996969998</v>
      </c>
      <c r="CV10" s="188">
        <f t="shared" ref="CV10:CV63" si="29">(BW10-CS10)/CS10*100</f>
        <v>-16.966252853483773</v>
      </c>
      <c r="CW10" s="188">
        <f t="shared" ref="CW10:CW63" si="30">(BM10-CP10)/CP10*100</f>
        <v>38.080858078728582</v>
      </c>
      <c r="CX10" s="188"/>
      <c r="CY10" s="188"/>
      <c r="DI10" s="31" t="e">
        <f>#REF!</f>
        <v>#REF!</v>
      </c>
      <c r="DJ10" s="233">
        <f>Basicinfo!DA10</f>
        <v>6.9741573033707885E-2</v>
      </c>
      <c r="DK10" s="233">
        <f>Basicinfo!DB10</f>
        <v>0.12</v>
      </c>
      <c r="DR10" s="236">
        <f t="shared" si="2"/>
        <v>13.346</v>
      </c>
      <c r="DS10" s="236">
        <f t="shared" si="0"/>
        <v>16.259524198911407</v>
      </c>
      <c r="DY10" s="31">
        <f>Basicinfo!EI10</f>
        <v>5.0690547368421053E-2</v>
      </c>
      <c r="DZ10" s="31">
        <f>Intermediate!CR10</f>
        <v>5.0690547368421053E-2</v>
      </c>
    </row>
    <row r="11" spans="1:135">
      <c r="A11" s="39" t="str">
        <f>Basicinfo!A11</f>
        <v>Gurtenbach</v>
      </c>
      <c r="B11" s="63">
        <f>Basicinfo!B11</f>
        <v>660</v>
      </c>
      <c r="C11" s="63">
        <f>Basicinfo!C11</f>
        <v>1050</v>
      </c>
      <c r="D11" s="61">
        <f>IF(Intermediate!D11=0,0,Basicinfo!AP11*86400*365/(Intermediate!D11*1000000))</f>
        <v>100.16953790032737</v>
      </c>
      <c r="E11" s="19">
        <f>IF(Intermediate!E11=0,0,IF((Intermediate!E11-Basicinfo!AA11)&lt;0,0,'Summed emissions'!E11*86400*365/((Intermediate!E11-Basicinfo!AA11)*1000000)))</f>
        <v>0</v>
      </c>
      <c r="F11" s="19">
        <f>IF(Basicinfo!AA11=0,0,'Summed emissions'!E11*86400*365/(Basicinfo!AA11*1000000))</f>
        <v>0</v>
      </c>
      <c r="G11" s="19">
        <f>IF(D11=0,1,1/(1+Parameters!$C$138*EXP(Parameters!$C$139*Basicinfo!AQ11)*D11^Parameters!$C$140))</f>
        <v>0.91618674169602143</v>
      </c>
      <c r="H11" s="19">
        <f>IF(D11=0,1,1/(1+Parameters!$C$141*EXP(Parameters!$C$142*Basicinfo!AQ11)*D11^Parameters!$C$143))</f>
        <v>0.85793360861528256</v>
      </c>
      <c r="I11" s="161">
        <f>IF(Intermediate!AS11=0,1,IF(D11=0,1/(1+Parameters!$C$144*Intermediate!AS11^Parameters!$C$145),(1/(1+Parameters!$C$144*Intermediate!AS11^Parameters!$C$145)+1/(1+Parameters!$C$146*D11^Parameters!$C$147))/2))</f>
        <v>0.76798012466923704</v>
      </c>
      <c r="J11" s="19">
        <f>IF(E11=0,1,1/(1+Parameters!$C$138*EXP(Parameters!$C$139*Basicinfo!AQ11)*E11^Parameters!$C$140))</f>
        <v>1</v>
      </c>
      <c r="K11" s="19">
        <f>IF(E11=0,1,1/(1+Parameters!$C$141*EXP(Parameters!$C$142*Basicinfo!AQ11)*E11^Parameters!$C$143))</f>
        <v>1</v>
      </c>
      <c r="L11" s="19">
        <f>IF(E11=0,1,1/(1+Parameters!$C$146*E11^Parameters!$C$147))</f>
        <v>1</v>
      </c>
      <c r="M11" s="53">
        <f>IF(F11=0,1,1/(1+Parameters!$C$138*EXP(Parameters!$C$139*Basicinfo!AQ11)*F11^Parameters!$C$140))</f>
        <v>1</v>
      </c>
      <c r="N11" s="53">
        <f>IF(F11=0,1,1/(1+Parameters!$C$141*EXP(Parameters!$C$142*Basicinfo!AQ11)*F11^Parameters!$C$143))</f>
        <v>1</v>
      </c>
      <c r="O11" s="53">
        <f>IF(F11=0,1,1/(1+Parameters!$C$146*F11^Parameters!$C$147))</f>
        <v>1</v>
      </c>
      <c r="P11" s="64">
        <f>Basicinfo!CE11+Basicinfo!CJ11</f>
        <v>0</v>
      </c>
      <c r="Q11" s="86">
        <f>Parameters!$C$126*Intermediate!BB11*Basicinfo!P11/1000+Parameters!$C$127*Intermediate!BB11*Basicinfo!S11/1000</f>
        <v>2.6481175291360971E-3</v>
      </c>
      <c r="R11" s="48">
        <f>'Local emissions'!AE11-P11-Q11</f>
        <v>173.46013110652459</v>
      </c>
      <c r="S11" s="48">
        <f>Basicinfo!CF11+Basicinfo!CK11</f>
        <v>0</v>
      </c>
      <c r="T11" s="86">
        <f>'Local emissions'!AR11-S11</f>
        <v>10.711777353719851</v>
      </c>
      <c r="U11" s="61">
        <f t="shared" si="20"/>
        <v>158.92452045018058</v>
      </c>
      <c r="V11" s="27">
        <f t="shared" si="3"/>
        <v>148.81727623110066</v>
      </c>
      <c r="W11" s="27">
        <f t="shared" si="4"/>
        <v>8.2264321075388818</v>
      </c>
      <c r="X11" s="61">
        <f>U11+TN!CI11</f>
        <v>158.92452045018058</v>
      </c>
      <c r="Y11" s="27">
        <f>V11+DIN!CI11</f>
        <v>148.81727623110066</v>
      </c>
      <c r="Z11" s="27">
        <f>W11+TP!CI11</f>
        <v>8.2264321075388818</v>
      </c>
      <c r="AA11" s="73">
        <f>'Summed emissions'!E11</f>
        <v>1.4346109469466097</v>
      </c>
      <c r="AB11" s="131" t="str">
        <f>IF(Basicinfo!AR11="","",Basicinfo!AR11)</f>
        <v/>
      </c>
      <c r="AC11" s="131" t="str">
        <f>IF(Basicinfo!AS11="","",Basicinfo!AS11)</f>
        <v/>
      </c>
      <c r="AD11" s="131" t="str">
        <f>IF(Basicinfo!AT11="","",Basicinfo!AT11)</f>
        <v/>
      </c>
      <c r="AE11" s="174" t="str">
        <f t="shared" si="21"/>
        <v/>
      </c>
      <c r="AF11" s="19" t="str">
        <f t="shared" si="5"/>
        <v/>
      </c>
      <c r="AG11" s="27" t="str">
        <f t="shared" si="6"/>
        <v/>
      </c>
      <c r="AH11" s="56">
        <f>'Local emissions'!AE11-U11</f>
        <v>14.538258773873139</v>
      </c>
      <c r="AI11" s="228">
        <f>'Local emissions'!AR11-W11</f>
        <v>2.4853452461809695</v>
      </c>
      <c r="AJ11" s="43">
        <f t="shared" si="7"/>
        <v>14.538258773873132</v>
      </c>
      <c r="AK11" s="58">
        <f t="shared" si="8"/>
        <v>2.48534524618097</v>
      </c>
      <c r="AL11" s="43">
        <f>TN!CI100</f>
        <v>0</v>
      </c>
      <c r="AM11" s="43">
        <f>TP!CI100</f>
        <v>0</v>
      </c>
      <c r="AN11" s="42">
        <f>TN!CI189+(AH11-AJ11)</f>
        <v>7.1054273576010019E-15</v>
      </c>
      <c r="AO11" s="43">
        <f>TP!CI189+(AI11-AK11)</f>
        <v>-4.4408920985006262E-16</v>
      </c>
      <c r="AP11" s="42">
        <f t="shared" si="9"/>
        <v>14.538258773873139</v>
      </c>
      <c r="AQ11" s="42">
        <f t="shared" si="10"/>
        <v>2.4853452461809695</v>
      </c>
      <c r="AR11" s="42">
        <f>AH11/'Local emissions'!AE11*100</f>
        <v>8.3811978793991031</v>
      </c>
      <c r="AS11" s="42">
        <f>AI11/'Local emissions'!AR11*100</f>
        <v>23.201987533076291</v>
      </c>
      <c r="AT11" s="42">
        <f t="shared" si="22"/>
        <v>8.3811978793991031</v>
      </c>
      <c r="AU11" s="42">
        <f t="shared" si="11"/>
        <v>23.201987533076291</v>
      </c>
      <c r="AV11" s="42">
        <f>('Summed emissions'!AE11-'River loads'!X11)/'Summed emissions'!AE11*100</f>
        <v>8.3811978793991031</v>
      </c>
      <c r="AW11" s="42">
        <f>('Summed emissions'!AR11-'River loads'!Z11)/'Summed emissions'!AR11*100</f>
        <v>23.201987533076291</v>
      </c>
      <c r="AX11" s="61">
        <f>X11/('Summed emissions'!$D11*100)*1000</f>
        <v>16.085972992086742</v>
      </c>
      <c r="AY11" s="19">
        <f>Y11/('Summed emissions'!$D11*100)*1000</f>
        <v>15.062941070568307</v>
      </c>
      <c r="AZ11" s="72">
        <f>Z11/('Summed emissions'!$D11*100)*1000</f>
        <v>0.83266046251552694</v>
      </c>
      <c r="BA11" s="43" t="str">
        <f>IF(AB11="","",AB11/('Summed emissions'!$D11*100)*1000)</f>
        <v/>
      </c>
      <c r="BB11" s="43" t="str">
        <f>IF(AC11="","",AC11/('Summed emissions'!$D11*100)*1000)</f>
        <v/>
      </c>
      <c r="BC11" s="43" t="str">
        <f>IF(AD11="","",AD11/('Summed emissions'!$D11*100)*1000)</f>
        <v/>
      </c>
      <c r="BF11" s="188">
        <f>('Summed emissions'!AE11-'River loads'!Y11)/'Summed emissions'!AE11*100</f>
        <v>14.207948877101535</v>
      </c>
      <c r="BG11" s="188">
        <f>('Summed emissions'!AR11-'River loads'!Z11)/'Summed emissions'!AR11*100</f>
        <v>23.201987533076291</v>
      </c>
      <c r="BH11" s="181">
        <f>'Summed emissions'!CV11*(100-'River loads'!BG11)/100</f>
        <v>5.4299438609274162</v>
      </c>
      <c r="BI11" s="181">
        <f t="shared" si="12"/>
        <v>4.1267573343048367</v>
      </c>
      <c r="BJ11" s="233"/>
      <c r="BK11" s="233"/>
      <c r="BM11" s="31">
        <f t="shared" si="25"/>
        <v>9.1215403672192413E-2</v>
      </c>
      <c r="BN11" s="31"/>
      <c r="BO11" s="231"/>
      <c r="BP11" s="31">
        <f>BM11/Parameters!$C$156</f>
        <v>0.1403313902649114</v>
      </c>
      <c r="BQ11" s="305" t="s">
        <v>934</v>
      </c>
      <c r="BR11" s="237">
        <f>Basicinfo!CW11</f>
        <v>0.05</v>
      </c>
      <c r="BS11" s="237">
        <f t="shared" si="13"/>
        <v>2.8066278052982279</v>
      </c>
      <c r="BT11" s="237"/>
      <c r="BU11" s="31">
        <f t="shared" si="14"/>
        <v>0.18183219043032167</v>
      </c>
      <c r="BV11" s="232"/>
      <c r="BW11" s="31">
        <f t="shared" si="15"/>
        <v>3.2893690675666201</v>
      </c>
      <c r="BX11" s="31"/>
      <c r="BY11" s="231"/>
      <c r="BZ11" s="147">
        <f t="shared" si="16"/>
        <v>4.4450933345494867</v>
      </c>
      <c r="CA11" s="305"/>
      <c r="CB11" s="231">
        <f>Basicinfo!CV11</f>
        <v>4</v>
      </c>
      <c r="CC11" s="147">
        <f t="shared" si="17"/>
        <v>1.1112733336373717</v>
      </c>
      <c r="CD11" s="147"/>
      <c r="CE11" s="233">
        <f>'Local emissions'!FC11/14*62</f>
        <v>8.1</v>
      </c>
      <c r="CF11" s="233">
        <f>'Local emissions'!FD11/14*62</f>
        <v>18.465507163384395</v>
      </c>
      <c r="CH11">
        <f t="shared" si="18"/>
        <v>2</v>
      </c>
      <c r="CI11">
        <f t="shared" si="19"/>
        <v>1</v>
      </c>
      <c r="CK11" s="276">
        <f>Basicinfo!EM11</f>
        <v>1</v>
      </c>
      <c r="CL11" s="276">
        <f>Basicinfo!EN11</f>
        <v>0</v>
      </c>
      <c r="CM11">
        <f t="shared" si="23"/>
        <v>2</v>
      </c>
      <c r="CN11">
        <f t="shared" si="24"/>
        <v>0</v>
      </c>
      <c r="CO11" s="31"/>
      <c r="CP11" s="270">
        <f>Basicinfo!DC11</f>
        <v>0.08</v>
      </c>
      <c r="CQ11" s="270">
        <f>Basicinfo!DD11</f>
        <v>0.12</v>
      </c>
      <c r="CR11" s="236"/>
      <c r="CS11" s="236">
        <f>Basicinfo!DK11</f>
        <v>3.4</v>
      </c>
      <c r="CT11" s="236">
        <f>Basicinfo!DL11</f>
        <v>3.7</v>
      </c>
      <c r="CU11" s="147">
        <f>'Summed emissions'!D11</f>
        <v>98.796958398699999</v>
      </c>
      <c r="CV11" s="188">
        <f>(BW11-CS11)/CS11*100</f>
        <v>-3.253850953922937</v>
      </c>
      <c r="CW11" s="188">
        <f>(BM11-CP11)/CP11*100</f>
        <v>14.019254590240514</v>
      </c>
      <c r="CX11" s="188"/>
      <c r="CY11" s="188"/>
      <c r="CZ11" s="181">
        <v>3.6758000000000002</v>
      </c>
      <c r="DE11" s="232">
        <f>CQ11</f>
        <v>0.12</v>
      </c>
      <c r="DI11" s="31">
        <f>DJ11</f>
        <v>0.12</v>
      </c>
      <c r="DJ11" s="233">
        <f>Basicinfo!DA11</f>
        <v>0.12</v>
      </c>
      <c r="DK11" s="233">
        <f>Basicinfo!DB11</f>
        <v>0.16</v>
      </c>
      <c r="DM11" s="31">
        <f>DI11</f>
        <v>0.12</v>
      </c>
      <c r="DR11" s="236">
        <f t="shared" si="2"/>
        <v>8.1</v>
      </c>
      <c r="DS11" s="236">
        <f t="shared" si="0"/>
        <v>18.465507163384395</v>
      </c>
      <c r="DU11" s="181">
        <f>DR11</f>
        <v>8.1</v>
      </c>
      <c r="DY11" s="31">
        <f>Basicinfo!EI11</f>
        <v>3.8494385964912281E-2</v>
      </c>
      <c r="DZ11" s="31">
        <f>Intermediate!CR11</f>
        <v>3.8494385964912281E-2</v>
      </c>
      <c r="EB11" s="31">
        <f>DY11</f>
        <v>3.8494385964912281E-2</v>
      </c>
    </row>
    <row r="12" spans="1:135">
      <c r="A12" s="39" t="str">
        <f>Basicinfo!A12</f>
        <v>Antiesen</v>
      </c>
      <c r="B12" s="63">
        <f>Basicinfo!B12</f>
        <v>670</v>
      </c>
      <c r="C12" s="63">
        <f>Basicinfo!C12</f>
        <v>680</v>
      </c>
      <c r="D12" s="61">
        <f>IF(Intermediate!D12=0,0,Basicinfo!AP12*86400*365/(Intermediate!D12*1000000))</f>
        <v>87.942009210944022</v>
      </c>
      <c r="E12" s="19">
        <f>IF(Intermediate!E12=0,0,IF((Intermediate!E12-Basicinfo!AA12)&lt;0,0,'Summed emissions'!E12*86400*365/((Intermediate!E12-Basicinfo!AA12)*1000000)))</f>
        <v>0</v>
      </c>
      <c r="F12" s="19">
        <f>IF(Basicinfo!AA12=0,0,'Summed emissions'!E12*86400*365/(Basicinfo!AA12*1000000))</f>
        <v>0</v>
      </c>
      <c r="G12" s="19">
        <f>IF(D12=0,1,1/(1+Parameters!$C$138*EXP(Parameters!$C$139*Basicinfo!AQ12)*D12^Parameters!$C$140))</f>
        <v>0.90298867690623386</v>
      </c>
      <c r="H12" s="19">
        <f>IF(D12=0,1,1/(1+Parameters!$C$141*EXP(Parameters!$C$142*Basicinfo!AQ12)*D12^Parameters!$C$143))</f>
        <v>0.83719250282371427</v>
      </c>
      <c r="I12" s="161">
        <f>IF(Intermediate!AS12=0,1,IF(D12=0,1/(1+Parameters!$C$144*Intermediate!AS12^Parameters!$C$145),(1/(1+Parameters!$C$144*Intermediate!AS12^Parameters!$C$145)+1/(1+Parameters!$C$146*D12^Parameters!$C$147))/2))</f>
        <v>0.75285442171164241</v>
      </c>
      <c r="J12" s="19">
        <f>IF(E12=0,1,1/(1+Parameters!$C$138*EXP(Parameters!$C$139*Basicinfo!AQ12)*E12^Parameters!$C$140))</f>
        <v>1</v>
      </c>
      <c r="K12" s="19">
        <f>IF(E12=0,1,1/(1+Parameters!$C$141*EXP(Parameters!$C$142*Basicinfo!AQ12)*E12^Parameters!$C$143))</f>
        <v>1</v>
      </c>
      <c r="L12" s="19">
        <f>IF(E12=0,1,1/(1+Parameters!$C$146*E12^Parameters!$C$147))</f>
        <v>1</v>
      </c>
      <c r="M12" s="53">
        <f>IF(F12=0,1,1/(1+Parameters!$C$138*EXP(Parameters!$C$139*Basicinfo!AQ12)*F12^Parameters!$C$140))</f>
        <v>1</v>
      </c>
      <c r="N12" s="53">
        <f>IF(F12=0,1,1/(1+Parameters!$C$141*EXP(Parameters!$C$142*Basicinfo!AQ12)*F12^Parameters!$C$143))</f>
        <v>1</v>
      </c>
      <c r="O12" s="53">
        <f>IF(F12=0,1,1/(1+Parameters!$C$146*F12^Parameters!$C$147))</f>
        <v>1</v>
      </c>
      <c r="P12" s="64">
        <f>Basicinfo!CE12+Basicinfo!CJ12</f>
        <v>0</v>
      </c>
      <c r="Q12" s="86">
        <f>Parameters!$C$126*Intermediate!BB12*Basicinfo!P12/1000+Parameters!$C$127*Intermediate!BB12*Basicinfo!S12/1000</f>
        <v>0</v>
      </c>
      <c r="R12" s="48">
        <f>'Local emissions'!AE12-P12-Q12</f>
        <v>233.11957031150902</v>
      </c>
      <c r="S12" s="48">
        <f>Basicinfo!CF12+Basicinfo!CK12</f>
        <v>0</v>
      </c>
      <c r="T12" s="86">
        <f>'Local emissions'!AR12-S12</f>
        <v>13.662608182630491</v>
      </c>
      <c r="U12" s="61">
        <f t="shared" si="20"/>
        <v>210.50433235653929</v>
      </c>
      <c r="V12" s="27">
        <f t="shared" si="3"/>
        <v>195.16595652628106</v>
      </c>
      <c r="W12" s="27">
        <f t="shared" si="4"/>
        <v>10.285954982407032</v>
      </c>
      <c r="X12" s="61">
        <f>U12+TN!CI12</f>
        <v>210.50433235653929</v>
      </c>
      <c r="Y12" s="27">
        <f>V12+DIN!CI12</f>
        <v>195.16595652628106</v>
      </c>
      <c r="Z12" s="27">
        <f>W12+TP!CI12</f>
        <v>10.285954982407032</v>
      </c>
      <c r="AA12" s="73">
        <f>'Summed emissions'!E12</f>
        <v>2.1045518022938299</v>
      </c>
      <c r="AB12" s="131">
        <f>IF(Basicinfo!AR12="","",Basicinfo!AR12)</f>
        <v>186.75872349374788</v>
      </c>
      <c r="AC12" s="131">
        <f>IF(Basicinfo!AS12="","",Basicinfo!AS12)</f>
        <v>169.78065772158899</v>
      </c>
      <c r="AD12" s="131">
        <f>IF(Basicinfo!AT12="","",Basicinfo!AT12)</f>
        <v>12.523893477966</v>
      </c>
      <c r="AE12" s="174">
        <f t="shared" si="21"/>
        <v>12.714591542807568</v>
      </c>
      <c r="AF12" s="19">
        <f t="shared" si="5"/>
        <v>14.951820275263387</v>
      </c>
      <c r="AG12" s="27">
        <f t="shared" si="6"/>
        <v>-17.869351088751287</v>
      </c>
      <c r="AH12" s="56">
        <f>'Local emissions'!AE12-U12</f>
        <v>22.615237954969729</v>
      </c>
      <c r="AI12" s="228">
        <f>'Local emissions'!AR12-W12</f>
        <v>3.3766532002234584</v>
      </c>
      <c r="AJ12" s="43">
        <f t="shared" si="7"/>
        <v>22.615237954969736</v>
      </c>
      <c r="AK12" s="58">
        <f t="shared" si="8"/>
        <v>3.3766532002234588</v>
      </c>
      <c r="AL12" s="43">
        <f>TN!CI101</f>
        <v>0</v>
      </c>
      <c r="AM12" s="43">
        <f>TP!CI101</f>
        <v>0</v>
      </c>
      <c r="AN12" s="42">
        <f>TN!CI190+(AH12-AJ12)</f>
        <v>-7.1054273576010019E-15</v>
      </c>
      <c r="AO12" s="43">
        <f>TP!CI190+(AI12-AK12)</f>
        <v>-4.4408920985006262E-16</v>
      </c>
      <c r="AP12" s="42">
        <f t="shared" si="9"/>
        <v>22.615237954969729</v>
      </c>
      <c r="AQ12" s="42">
        <f t="shared" si="10"/>
        <v>3.3766532002234584</v>
      </c>
      <c r="AR12" s="42">
        <f>AH12/'Local emissions'!AE12*100</f>
        <v>9.7011323093766109</v>
      </c>
      <c r="AS12" s="42">
        <f>AI12/'Local emissions'!AR12*100</f>
        <v>24.714557828835755</v>
      </c>
      <c r="AT12" s="42">
        <f t="shared" si="22"/>
        <v>9.7011323093766109</v>
      </c>
      <c r="AU12" s="42">
        <f t="shared" si="11"/>
        <v>24.714557828835755</v>
      </c>
      <c r="AV12" s="42">
        <f>('Summed emissions'!AE12-'River loads'!X12)/'Summed emissions'!AE12*100</f>
        <v>9.7011323093766109</v>
      </c>
      <c r="AW12" s="42">
        <f>('Summed emissions'!AR12-'River loads'!Z12)/'Summed emissions'!AR12*100</f>
        <v>24.714557828835755</v>
      </c>
      <c r="AX12" s="61">
        <f>X12/('Summed emissions'!$D12*100)*1000</f>
        <v>15.079143948741505</v>
      </c>
      <c r="AY12" s="19">
        <f>Y12/('Summed emissions'!$D12*100)*1000</f>
        <v>13.980403725701262</v>
      </c>
      <c r="AZ12" s="72">
        <f>Z12/('Summed emissions'!$D12*100)*1000</f>
        <v>0.73681806969790031</v>
      </c>
      <c r="BA12" s="43">
        <f>IF(AB12="","",AB12/('Summed emissions'!$D12*100)*1000)</f>
        <v>13.378164922874817</v>
      </c>
      <c r="BB12" s="43">
        <f>IF(AC12="","",AC12/('Summed emissions'!$D12*100)*1000)</f>
        <v>12.161968111704379</v>
      </c>
      <c r="BC12" s="43">
        <f>IF(AD12="","",AD12/('Summed emissions'!$D12*100)*1000)</f>
        <v>0.89712924403423866</v>
      </c>
      <c r="BF12" s="188">
        <f>('Summed emissions'!AE12-'River loads'!Y12)/'Summed emissions'!AE12*100</f>
        <v>16.280749717628577</v>
      </c>
      <c r="BG12" s="188">
        <f>('Summed emissions'!AR12-'River loads'!Z12)/'Summed emissions'!AR12*100</f>
        <v>24.714557828835755</v>
      </c>
      <c r="BH12" s="181">
        <f>'Summed emissions'!CV12*(100-'River loads'!BG12)/100</f>
        <v>7.5581232221901304</v>
      </c>
      <c r="BI12" s="181">
        <f t="shared" si="12"/>
        <v>5.744173648864499</v>
      </c>
      <c r="BJ12" s="233"/>
      <c r="BK12" s="233">
        <f>Basicinfo!CQ12</f>
        <v>9.5890281560386192</v>
      </c>
      <c r="BM12" s="31">
        <f t="shared" si="25"/>
        <v>8.6548856305455127E-2</v>
      </c>
      <c r="BN12" s="31">
        <f>BK12*1000000/24/3600/365/$AA12</f>
        <v>0.14448021085678825</v>
      </c>
      <c r="BO12" s="231">
        <v>0.138265306122449</v>
      </c>
      <c r="BP12" s="31">
        <f>BM12/Parameters!$C$156</f>
        <v>0.13315208662377712</v>
      </c>
      <c r="BQ12" s="305">
        <v>0.2</v>
      </c>
      <c r="BR12" s="237">
        <f>Basicinfo!CW12</f>
        <v>0.05</v>
      </c>
      <c r="BS12" s="237">
        <f t="shared" si="13"/>
        <v>2.6630417324755422</v>
      </c>
      <c r="BT12" s="237">
        <f t="shared" si="26"/>
        <v>4</v>
      </c>
      <c r="BU12" s="31">
        <f t="shared" si="14"/>
        <v>0.15498097623018542</v>
      </c>
      <c r="BV12" s="232">
        <v>0.19737755102040799</v>
      </c>
      <c r="BW12" s="31">
        <f t="shared" si="15"/>
        <v>2.9406127599309033</v>
      </c>
      <c r="BX12" s="31">
        <v>2.3237448979591799</v>
      </c>
      <c r="BY12" s="231">
        <f t="shared" si="1"/>
        <v>2.7018222222222232</v>
      </c>
      <c r="BZ12" s="147">
        <f t="shared" si="16"/>
        <v>3.973801026933653</v>
      </c>
      <c r="CA12" s="305">
        <v>3.149</v>
      </c>
      <c r="CB12" s="231">
        <f>Basicinfo!CV12</f>
        <v>4</v>
      </c>
      <c r="CC12" s="147">
        <f t="shared" si="17"/>
        <v>0.99345025673341325</v>
      </c>
      <c r="CD12" s="147"/>
      <c r="CE12" s="233">
        <f>'Local emissions'!FC12/14*62</f>
        <v>11.65</v>
      </c>
      <c r="CF12" s="233">
        <f>'Local emissions'!FD12/14*62</f>
        <v>18.495909847983199</v>
      </c>
      <c r="CH12">
        <f t="shared" si="18"/>
        <v>2</v>
      </c>
      <c r="CI12">
        <f t="shared" si="19"/>
        <v>1</v>
      </c>
      <c r="CK12" s="276">
        <f>Basicinfo!EM12</f>
        <v>1</v>
      </c>
      <c r="CL12" s="276">
        <f>Basicinfo!EN12</f>
        <v>0</v>
      </c>
      <c r="CM12">
        <f t="shared" si="23"/>
        <v>1</v>
      </c>
      <c r="CN12">
        <f t="shared" si="24"/>
        <v>0</v>
      </c>
      <c r="CO12" s="31">
        <f t="shared" si="27"/>
        <v>0.14448021085678825</v>
      </c>
      <c r="CP12" s="270">
        <f>Basicinfo!DC12</f>
        <v>0.13777777777777778</v>
      </c>
      <c r="CQ12" s="270">
        <f>Basicinfo!DD12</f>
        <v>0.2010000000000001</v>
      </c>
      <c r="CR12" s="236">
        <f t="shared" si="28"/>
        <v>2.3237448979591799</v>
      </c>
      <c r="CS12" s="236">
        <f>Basicinfo!DK12</f>
        <v>2.7018222222222232</v>
      </c>
      <c r="CT12" s="236">
        <f>Basicinfo!DL12</f>
        <v>3.5441000000000016</v>
      </c>
      <c r="CU12" s="147">
        <f>'Summed emissions'!D12</f>
        <v>139.59965703099999</v>
      </c>
      <c r="CV12" s="188">
        <f t="shared" si="29"/>
        <v>8.8381291612990402</v>
      </c>
      <c r="CW12" s="188">
        <f t="shared" si="30"/>
        <v>-37.182281713782565</v>
      </c>
      <c r="CX12" s="188"/>
      <c r="CY12" s="188"/>
      <c r="DA12" s="181">
        <f>CT12</f>
        <v>3.5441000000000016</v>
      </c>
      <c r="DF12" s="232">
        <f>CQ12</f>
        <v>0.2010000000000001</v>
      </c>
      <c r="DI12" s="31" t="e">
        <f>#REF!</f>
        <v>#REF!</v>
      </c>
      <c r="DJ12" s="233">
        <f>Basicinfo!DA12</f>
        <v>0.17509999999999998</v>
      </c>
      <c r="DK12" s="233">
        <f>Basicinfo!DB12</f>
        <v>0.27</v>
      </c>
      <c r="DN12" s="31" t="e">
        <f>DI12</f>
        <v>#REF!</v>
      </c>
      <c r="DR12" s="236">
        <f t="shared" si="2"/>
        <v>11.65</v>
      </c>
      <c r="DS12" s="236">
        <f t="shared" si="0"/>
        <v>18.495909847983199</v>
      </c>
      <c r="DU12" s="181"/>
      <c r="DV12" s="181">
        <f>DR12</f>
        <v>11.65</v>
      </c>
      <c r="DY12" s="31">
        <f>Basicinfo!EI12</f>
        <v>2.5731876315789475E-2</v>
      </c>
      <c r="DZ12" s="31">
        <f>Intermediate!CR12</f>
        <v>2.5731876315789475E-2</v>
      </c>
      <c r="EC12" s="31">
        <f>DY12</f>
        <v>2.5731876315789475E-2</v>
      </c>
    </row>
    <row r="13" spans="1:135">
      <c r="A13" s="39" t="str">
        <f>Basicinfo!A13</f>
        <v>Antiesen</v>
      </c>
      <c r="B13" s="63">
        <f>Basicinfo!B13</f>
        <v>680</v>
      </c>
      <c r="C13" s="63">
        <f>Basicinfo!C13</f>
        <v>1050</v>
      </c>
      <c r="D13" s="61">
        <f>IF(Intermediate!D13=0,0,Basicinfo!AP13*86400*365/(Intermediate!D13*1000000))</f>
        <v>66.945972529667372</v>
      </c>
      <c r="E13" s="19">
        <f>IF(Intermediate!E13=0,0,IF((Intermediate!E13-Basicinfo!AA13)&lt;0,0,'Summed emissions'!E13*86400*365/((Intermediate!E13-Basicinfo!AA13)*1000000)))</f>
        <v>810.38219869055604</v>
      </c>
      <c r="F13" s="19">
        <f>IF(Basicinfo!AA13=0,0,'Summed emissions'!E13*86400*365/(Basicinfo!AA13*1000000))</f>
        <v>0</v>
      </c>
      <c r="G13" s="19">
        <f>IF(D13=0,1,1/(1+Parameters!$C$138*EXP(Parameters!$C$139*Basicinfo!AQ13)*D13^Parameters!$C$140))</f>
        <v>0.87474675460926987</v>
      </c>
      <c r="H13" s="19">
        <f>IF(D13=0,1,1/(1+Parameters!$C$141*EXP(Parameters!$C$142*Basicinfo!AQ13)*D13^Parameters!$C$143))</f>
        <v>0.79416232259172737</v>
      </c>
      <c r="I13" s="161">
        <f>IF(Intermediate!AS13=0,1,IF(D13=0,1/(1+Parameters!$C$144*Intermediate!AS13^Parameters!$C$145),(1/(1+Parameters!$C$144*Intermediate!AS13^Parameters!$C$145)+1/(1+Parameters!$C$146*D13^Parameters!$C$147))/2))</f>
        <v>0.72344448284840812</v>
      </c>
      <c r="J13" s="19">
        <f>IF(E13=0,1,1/(1+Parameters!$C$138*EXP(Parameters!$C$139*Basicinfo!AQ13)*E13^Parameters!$C$140))</f>
        <v>0.98830947089904508</v>
      </c>
      <c r="K13" s="19">
        <f>IF(E13=0,1,1/(1+Parameters!$C$141*EXP(Parameters!$C$142*Basicinfo!AQ13)*E13^Parameters!$C$143))</f>
        <v>0.97903719720198623</v>
      </c>
      <c r="L13" s="19">
        <f>IF(E13=0,1,1/(1+Parameters!$C$146*E13^Parameters!$C$147))</f>
        <v>0.96921502617642341</v>
      </c>
      <c r="M13" s="53">
        <f>IF(F13=0,1,1/(1+Parameters!$C$138*EXP(Parameters!$C$139*Basicinfo!AQ13)*F13^Parameters!$C$140))</f>
        <v>1</v>
      </c>
      <c r="N13" s="53">
        <f>IF(F13=0,1,1/(1+Parameters!$C$141*EXP(Parameters!$C$142*Basicinfo!AQ13)*F13^Parameters!$C$143))</f>
        <v>1</v>
      </c>
      <c r="O13" s="53">
        <f>IF(F13=0,1,1/(1+Parameters!$C$146*F13^Parameters!$C$147))</f>
        <v>1</v>
      </c>
      <c r="P13" s="64">
        <f>Basicinfo!CE13+Basicinfo!CJ13</f>
        <v>6.5248667777777776</v>
      </c>
      <c r="Q13" s="86">
        <f>Parameters!$C$126*Intermediate!BB13*Basicinfo!P13/1000+Parameters!$C$127*Intermediate!BB13*Basicinfo!S13/1000</f>
        <v>0</v>
      </c>
      <c r="R13" s="48">
        <f>'Local emissions'!AE13-P13-Q13</f>
        <v>235.20964998112231</v>
      </c>
      <c r="S13" s="48">
        <f>Basicinfo!CF13+Basicinfo!CK13</f>
        <v>0.91579162500000011</v>
      </c>
      <c r="T13" s="86">
        <f>'Local emissions'!AR13-S13</f>
        <v>15.03814994829346</v>
      </c>
      <c r="U13" s="61">
        <f t="shared" si="20"/>
        <v>212.27374475154684</v>
      </c>
      <c r="V13" s="27">
        <f t="shared" si="3"/>
        <v>193.31950870277313</v>
      </c>
      <c r="W13" s="27">
        <f t="shared" si="4"/>
        <v>11.795058237339978</v>
      </c>
      <c r="X13" s="61">
        <f>U13+TN!CI13</f>
        <v>420.31717008479495</v>
      </c>
      <c r="Y13" s="27">
        <f>V13+DIN!CI13</f>
        <v>384.39423976950803</v>
      </c>
      <c r="Z13" s="27">
        <f>W13+TP!CI13</f>
        <v>21.764360364863123</v>
      </c>
      <c r="AA13" s="73">
        <f>'Summed emissions'!E13</f>
        <v>4.0716438533673696</v>
      </c>
      <c r="AB13" s="131">
        <f>IF(Basicinfo!AR13="","",Basicinfo!AR13)</f>
        <v>397.68077041425039</v>
      </c>
      <c r="AC13" s="131">
        <f>IF(Basicinfo!AS13="","",Basicinfo!AS13)</f>
        <v>361.52797310386399</v>
      </c>
      <c r="AD13" s="131">
        <f>IF(Basicinfo!AT13="","",Basicinfo!AT13)</f>
        <v>23.713880846571499</v>
      </c>
      <c r="AE13" s="174">
        <f t="shared" si="21"/>
        <v>5.6921031527285066</v>
      </c>
      <c r="AF13" s="19">
        <f t="shared" si="5"/>
        <v>6.3248955452403663</v>
      </c>
      <c r="AG13" s="27">
        <f t="shared" si="6"/>
        <v>-8.2210098563020892</v>
      </c>
      <c r="AH13" s="56">
        <f>'Local emissions'!AE13-U13</f>
        <v>29.460772007353256</v>
      </c>
      <c r="AI13" s="228">
        <f>'Local emissions'!AR13-W13</f>
        <v>4.1588833359534831</v>
      </c>
      <c r="AJ13" s="43">
        <f t="shared" si="7"/>
        <v>29.460772007353256</v>
      </c>
      <c r="AK13" s="58">
        <f t="shared" si="8"/>
        <v>4.1588833359534823</v>
      </c>
      <c r="AL13" s="43">
        <f>TN!CI102</f>
        <v>2.4609070232912083</v>
      </c>
      <c r="AM13" s="43">
        <f>TP!CI102</f>
        <v>0.31665285488388767</v>
      </c>
      <c r="AN13" s="42">
        <f>TN!CI191+(AH13-AJ13)</f>
        <v>0</v>
      </c>
      <c r="AO13" s="43">
        <f>TP!CI191+(AI13-AK13)</f>
        <v>8.8817841970012523E-16</v>
      </c>
      <c r="AP13" s="42">
        <f t="shared" si="9"/>
        <v>31.921679030644466</v>
      </c>
      <c r="AQ13" s="42">
        <f t="shared" si="10"/>
        <v>4.4755361908373708</v>
      </c>
      <c r="AR13" s="42">
        <f>AH13/'Local emissions'!AE13*100</f>
        <v>12.187242600830848</v>
      </c>
      <c r="AS13" s="42">
        <f>AI13/'Local emissions'!AR13*100</f>
        <v>26.068061719088654</v>
      </c>
      <c r="AT13" s="42">
        <f t="shared" si="22"/>
        <v>7.058588419168756</v>
      </c>
      <c r="AU13" s="42">
        <f t="shared" si="11"/>
        <v>17.056226503549539</v>
      </c>
      <c r="AV13" s="42">
        <f>('Summed emissions'!AE13-'River loads'!X13)/'Summed emissions'!AE13*100</f>
        <v>11.484984223696429</v>
      </c>
      <c r="AW13" s="42">
        <f>('Summed emissions'!AR13-'River loads'!Z13)/'Summed emissions'!AR13*100</f>
        <v>26.512843176441308</v>
      </c>
      <c r="AX13" s="61">
        <f>X13/('Summed emissions'!$D13*100)*1000</f>
        <v>14.849253038492394</v>
      </c>
      <c r="AY13" s="19">
        <f>Y13/('Summed emissions'!$D13*100)*1000</f>
        <v>13.580143137442645</v>
      </c>
      <c r="AZ13" s="72">
        <f>Z13/('Summed emissions'!$D13*100)*1000</f>
        <v>0.76890623862353236</v>
      </c>
      <c r="BA13" s="43">
        <f>IF(AB13="","",AB13/('Summed emissions'!$D13*100)*1000)</f>
        <v>14.049538797647676</v>
      </c>
      <c r="BB13" s="43">
        <f>IF(AC13="","",AC13/('Summed emissions'!$D13*100)*1000)</f>
        <v>12.772307997861525</v>
      </c>
      <c r="BC13" s="43">
        <f>IF(AD13="","",AD13/('Summed emissions'!$D13*100)*1000)</f>
        <v>0.83778023425585713</v>
      </c>
      <c r="BF13" s="188">
        <f>('Summed emissions'!AE13-'River loads'!Y13)/'Summed emissions'!AE13*100</f>
        <v>19.050030264873378</v>
      </c>
      <c r="BG13" s="188">
        <f>('Summed emissions'!AR13-'River loads'!Z13)/'Summed emissions'!AR13*100</f>
        <v>26.512843176441308</v>
      </c>
      <c r="BH13" s="181">
        <f>'Summed emissions'!CV13*(100-'River loads'!BG13)/100</f>
        <v>15.062959310515881</v>
      </c>
      <c r="BI13" s="181">
        <f t="shared" si="12"/>
        <v>11.447849075992069</v>
      </c>
      <c r="BJ13" s="233"/>
      <c r="BK13" s="233"/>
      <c r="BM13" s="31">
        <f t="shared" si="25"/>
        <v>8.9155369657643577E-2</v>
      </c>
      <c r="BN13" s="31"/>
      <c r="BO13" s="231">
        <v>0.124071428571429</v>
      </c>
      <c r="BP13" s="31">
        <f>BM13/Parameters!$C$156</f>
        <v>0.13716210716560551</v>
      </c>
      <c r="BQ13" s="305">
        <v>0.18</v>
      </c>
      <c r="BR13" s="237">
        <f>Basicinfo!CW13</f>
        <v>0.05</v>
      </c>
      <c r="BS13" s="237">
        <f t="shared" si="13"/>
        <v>2.7432421433121101</v>
      </c>
      <c r="BT13" s="237">
        <f t="shared" si="26"/>
        <v>3.5999999999999996</v>
      </c>
      <c r="BU13" s="31">
        <f t="shared" si="14"/>
        <v>0.16949992796121682</v>
      </c>
      <c r="BV13" s="232">
        <v>0.18812244897959199</v>
      </c>
      <c r="BW13" s="31">
        <f t="shared" si="15"/>
        <v>2.9936462573384737</v>
      </c>
      <c r="BX13" s="31">
        <v>2.4810642857142899</v>
      </c>
      <c r="BY13" s="231">
        <f t="shared" si="1"/>
        <v>2.788411111111111</v>
      </c>
      <c r="BZ13" s="147">
        <f t="shared" si="16"/>
        <v>4.0454679153222619</v>
      </c>
      <c r="CA13" s="305">
        <v>3.5156000000000001</v>
      </c>
      <c r="CB13" s="231">
        <f>Basicinfo!CV13</f>
        <v>4</v>
      </c>
      <c r="CC13" s="147">
        <f t="shared" si="17"/>
        <v>1.0113669788305655</v>
      </c>
      <c r="CD13" s="147"/>
      <c r="CE13" s="233">
        <f>'Local emissions'!FC13/14*62</f>
        <v>11.578000000000001</v>
      </c>
      <c r="CF13" s="233">
        <f>'Local emissions'!FD13/14*62</f>
        <v>20.241196008571304</v>
      </c>
      <c r="CH13">
        <f t="shared" si="18"/>
        <v>2</v>
      </c>
      <c r="CI13">
        <f t="shared" si="19"/>
        <v>1</v>
      </c>
      <c r="CK13" s="276">
        <f>Basicinfo!EM13</f>
        <v>1</v>
      </c>
      <c r="CL13" s="276">
        <f>Basicinfo!EN13</f>
        <v>0</v>
      </c>
      <c r="CM13">
        <f t="shared" si="23"/>
        <v>1</v>
      </c>
      <c r="CN13">
        <f t="shared" si="24"/>
        <v>0</v>
      </c>
      <c r="CO13" s="31"/>
      <c r="CP13" s="270">
        <f>Basicinfo!DC13</f>
        <v>0.12955555555555562</v>
      </c>
      <c r="CQ13" s="270">
        <f>Basicinfo!DD13</f>
        <v>0.2010000000000001</v>
      </c>
      <c r="CR13" s="236"/>
      <c r="CS13" s="236">
        <f>Basicinfo!DK13</f>
        <v>2.788411111111111</v>
      </c>
      <c r="CT13" s="236">
        <f>Basicinfo!DL13</f>
        <v>3.7690999999999999</v>
      </c>
      <c r="CU13" s="147">
        <f>'Summed emissions'!D13</f>
        <v>283.05610322299998</v>
      </c>
      <c r="CV13" s="188">
        <f t="shared" si="29"/>
        <v>7.3602900737826191</v>
      </c>
      <c r="CW13" s="188">
        <f t="shared" si="30"/>
        <v>-31.183676936638783</v>
      </c>
      <c r="CX13" s="188"/>
      <c r="CY13" s="188"/>
      <c r="DA13" s="181">
        <f>CT13</f>
        <v>3.7690999999999999</v>
      </c>
      <c r="DF13" s="232">
        <f>CQ13</f>
        <v>0.2010000000000001</v>
      </c>
      <c r="DI13" s="31">
        <f>DJ13</f>
        <v>0.18301111111111118</v>
      </c>
      <c r="DJ13" s="233">
        <f>Basicinfo!DA13</f>
        <v>0.18301111111111118</v>
      </c>
      <c r="DK13" s="233">
        <f>Basicinfo!DB13</f>
        <v>0.28999999999999998</v>
      </c>
      <c r="DN13" s="31">
        <f>DI13</f>
        <v>0.18301111111111118</v>
      </c>
      <c r="DR13" s="236">
        <f t="shared" si="2"/>
        <v>11.578000000000001</v>
      </c>
      <c r="DS13" s="236">
        <f t="shared" si="0"/>
        <v>20.241196008571304</v>
      </c>
      <c r="DV13" s="181">
        <f>DR13</f>
        <v>11.578000000000001</v>
      </c>
      <c r="DY13" s="31">
        <f>Basicinfo!EI13</f>
        <v>4.5473802105263153E-2</v>
      </c>
      <c r="DZ13" s="31">
        <f>Intermediate!CR13</f>
        <v>4.5473802105263153E-2</v>
      </c>
      <c r="EC13" s="31">
        <f>DY13</f>
        <v>4.5473802105263153E-2</v>
      </c>
    </row>
    <row r="14" spans="1:135">
      <c r="A14" s="39" t="str">
        <f>Basicinfo!A14</f>
        <v>Pram</v>
      </c>
      <c r="B14" s="63">
        <f>Basicinfo!B14</f>
        <v>690</v>
      </c>
      <c r="C14" s="63">
        <f>Basicinfo!C14</f>
        <v>700</v>
      </c>
      <c r="D14" s="61">
        <f>IF(Intermediate!D14=0,0,Basicinfo!AP14*86400*365/(Intermediate!D14*1000000))</f>
        <v>57.974366893585369</v>
      </c>
      <c r="E14" s="19">
        <f>IF(Intermediate!E14=0,0,IF((Intermediate!E14-Basicinfo!AA14)&lt;0,0,'Summed emissions'!E14*86400*365/((Intermediate!E14-Basicinfo!AA14)*1000000)))</f>
        <v>0</v>
      </c>
      <c r="F14" s="19">
        <f>IF(Basicinfo!AA14=0,0,'Summed emissions'!E14*86400*365/(Basicinfo!AA14*1000000))</f>
        <v>0</v>
      </c>
      <c r="G14" s="19">
        <f>IF(D14=0,1,1/(1+Parameters!$C$138*EXP(Parameters!$C$139*Basicinfo!AQ14)*D14^Parameters!$C$140))</f>
        <v>0.86367535642604876</v>
      </c>
      <c r="H14" s="19">
        <f>IF(D14=0,1,1/(1+Parameters!$C$141*EXP(Parameters!$C$142*Basicinfo!AQ14)*D14^Parameters!$C$143))</f>
        <v>0.77777744605569854</v>
      </c>
      <c r="I14" s="161">
        <f>IF(Intermediate!AS14=0,1,IF(D14=0,1/(1+Parameters!$C$144*Intermediate!AS14^Parameters!$C$145),(1/(1+Parameters!$C$144*Intermediate!AS14^Parameters!$C$145)+1/(1+Parameters!$C$146*D14^Parameters!$C$147))/2))</f>
        <v>0.71096429659793303</v>
      </c>
      <c r="J14" s="19">
        <f>IF(E14=0,1,1/(1+Parameters!$C$138*EXP(Parameters!$C$139*Basicinfo!AQ14)*E14^Parameters!$C$140))</f>
        <v>1</v>
      </c>
      <c r="K14" s="19">
        <f>IF(E14=0,1,1/(1+Parameters!$C$141*EXP(Parameters!$C$142*Basicinfo!AQ14)*E14^Parameters!$C$143))</f>
        <v>1</v>
      </c>
      <c r="L14" s="19">
        <f>IF(E14=0,1,1/(1+Parameters!$C$146*E14^Parameters!$C$147))</f>
        <v>1</v>
      </c>
      <c r="M14" s="53">
        <f>IF(F14=0,1,1/(1+Parameters!$C$138*EXP(Parameters!$C$139*Basicinfo!AQ14)*F14^Parameters!$C$140))</f>
        <v>1</v>
      </c>
      <c r="N14" s="53">
        <f>IF(F14=0,1,1/(1+Parameters!$C$141*EXP(Parameters!$C$142*Basicinfo!AQ14)*F14^Parameters!$C$143))</f>
        <v>1</v>
      </c>
      <c r="O14" s="53">
        <f>IF(F14=0,1,1/(1+Parameters!$C$146*F14^Parameters!$C$147))</f>
        <v>1</v>
      </c>
      <c r="P14" s="64">
        <f>Basicinfo!CE14+Basicinfo!CJ14</f>
        <v>0</v>
      </c>
      <c r="Q14" s="86">
        <f>Parameters!$C$126*Intermediate!BB14*Basicinfo!P14/1000+Parameters!$C$127*Intermediate!BB14*Basicinfo!S14/1000</f>
        <v>0</v>
      </c>
      <c r="R14" s="48">
        <f>'Local emissions'!AE14-P14-Q14</f>
        <v>134.27738350017134</v>
      </c>
      <c r="S14" s="48">
        <f>Basicinfo!CF14+Basicinfo!CK14</f>
        <v>0</v>
      </c>
      <c r="T14" s="86">
        <f>'Local emissions'!AR14-S14</f>
        <v>7.5504995496293708</v>
      </c>
      <c r="U14" s="61">
        <f t="shared" si="20"/>
        <v>115.97206705446771</v>
      </c>
      <c r="V14" s="27">
        <f t="shared" si="3"/>
        <v>104.43792040180486</v>
      </c>
      <c r="W14" s="27">
        <f t="shared" si="4"/>
        <v>5.3681356012652559</v>
      </c>
      <c r="X14" s="61">
        <f>U14+TN!CI14</f>
        <v>115.97206705446771</v>
      </c>
      <c r="Y14" s="27">
        <f>V14+DIN!CI14</f>
        <v>104.43792040180486</v>
      </c>
      <c r="Z14" s="27">
        <f>W14+TP!CI14</f>
        <v>5.3681356012652559</v>
      </c>
      <c r="AA14" s="73">
        <f>'Summed emissions'!E14</f>
        <v>1.1858115665776405</v>
      </c>
      <c r="AB14" s="131">
        <f>IF(Basicinfo!AR14="","",Basicinfo!AR14)</f>
        <v>120.7559408118514</v>
      </c>
      <c r="AC14" s="131">
        <f>IF(Basicinfo!AS14="","",Basicinfo!AS14)</f>
        <v>109.778128010774</v>
      </c>
      <c r="AD14" s="131">
        <f>IF(Basicinfo!AT14="","",Basicinfo!AT14)</f>
        <v>8.0078290704862507</v>
      </c>
      <c r="AE14" s="174">
        <f t="shared" si="21"/>
        <v>-3.9616053050651914</v>
      </c>
      <c r="AF14" s="19">
        <f t="shared" si="5"/>
        <v>-4.8645460673596403</v>
      </c>
      <c r="AG14" s="27">
        <f t="shared" si="6"/>
        <v>-32.963908769604984</v>
      </c>
      <c r="AH14" s="56">
        <f>'Local emissions'!AE14-U14</f>
        <v>18.305316445703625</v>
      </c>
      <c r="AI14" s="228">
        <f>'Local emissions'!AR14-W14</f>
        <v>2.1823639483641148</v>
      </c>
      <c r="AJ14" s="43">
        <f t="shared" si="7"/>
        <v>18.305316445703621</v>
      </c>
      <c r="AK14" s="58">
        <f t="shared" si="8"/>
        <v>2.1823639483641148</v>
      </c>
      <c r="AL14" s="43">
        <f>TN!CI103</f>
        <v>0</v>
      </c>
      <c r="AM14" s="43">
        <f>TP!CI103</f>
        <v>0</v>
      </c>
      <c r="AN14" s="42">
        <f>TN!CI192+(AH14-AJ14)</f>
        <v>3.5527136788005009E-15</v>
      </c>
      <c r="AO14" s="43">
        <f>TP!CI192+(AI14-AK14)</f>
        <v>0</v>
      </c>
      <c r="AP14" s="42">
        <f t="shared" si="9"/>
        <v>18.305316445703625</v>
      </c>
      <c r="AQ14" s="42">
        <f t="shared" si="10"/>
        <v>2.1823639483641148</v>
      </c>
      <c r="AR14" s="42">
        <f>AH14/'Local emissions'!AE14*100</f>
        <v>13.632464357395127</v>
      </c>
      <c r="AS14" s="42">
        <f>AI14/'Local emissions'!AR14*100</f>
        <v>28.903570340206699</v>
      </c>
      <c r="AT14" s="42">
        <f t="shared" si="22"/>
        <v>13.632464357395127</v>
      </c>
      <c r="AU14" s="42">
        <f t="shared" si="11"/>
        <v>28.903570340206699</v>
      </c>
      <c r="AV14" s="42">
        <f>('Summed emissions'!AE14-'River loads'!X14)/'Summed emissions'!AE14*100</f>
        <v>13.632464357395127</v>
      </c>
      <c r="AW14" s="42">
        <f>('Summed emissions'!AR14-'River loads'!Z14)/'Summed emissions'!AR14*100</f>
        <v>28.903570340206699</v>
      </c>
      <c r="AX14" s="61">
        <f>X14/('Summed emissions'!$D14*100)*1000</f>
        <v>13.844361395819275</v>
      </c>
      <c r="AY14" s="19">
        <f>Y14/('Summed emissions'!$D14*100)*1000</f>
        <v>12.46745315655467</v>
      </c>
      <c r="AZ14" s="72">
        <f>Z14/('Summed emissions'!$D14*100)*1000</f>
        <v>0.64083025484727485</v>
      </c>
      <c r="BA14" s="43">
        <f>IF(AB14="","",AB14/('Summed emissions'!$D14*100)*1000)</f>
        <v>14.415444406162534</v>
      </c>
      <c r="BB14" s="43">
        <f>IF(AC14="","",AC14/('Summed emissions'!$D14*100)*1000)</f>
        <v>13.104949460147756</v>
      </c>
      <c r="BC14" s="43">
        <f>IF(AD14="","",AD14/('Summed emissions'!$D14*100)*1000)</f>
        <v>0.95594812150490405</v>
      </c>
      <c r="BF14" s="188">
        <f>('Summed emissions'!AE14-'River loads'!Y14)/'Summed emissions'!AE14*100</f>
        <v>22.222255394430146</v>
      </c>
      <c r="BG14" s="188">
        <f>('Summed emissions'!AR14-'River loads'!Z14)/'Summed emissions'!AR14*100</f>
        <v>28.903570340206699</v>
      </c>
      <c r="BH14" s="181">
        <f>'Summed emissions'!CV14*(100-'River loads'!BG14)/100</f>
        <v>3.8195743143465437</v>
      </c>
      <c r="BI14" s="181">
        <f t="shared" si="12"/>
        <v>2.9028764789033734</v>
      </c>
      <c r="BJ14" s="233"/>
      <c r="BK14" s="233">
        <f>Basicinfo!CQ14</f>
        <v>4.4629309103653103</v>
      </c>
      <c r="BM14" s="31">
        <f t="shared" si="25"/>
        <v>7.7625831873315634E-2</v>
      </c>
      <c r="BN14" s="31">
        <f>BK14*1000000/24/3600/365/$AA14</f>
        <v>0.11934325384768564</v>
      </c>
      <c r="BO14" s="231">
        <v>0.13381000000000001</v>
      </c>
      <c r="BP14" s="31">
        <f>BM14/Parameters!$C$156</f>
        <v>0.11942435672817789</v>
      </c>
      <c r="BQ14" s="305">
        <v>0.24099999999999999</v>
      </c>
      <c r="BR14" s="237">
        <f>Basicinfo!CW14</f>
        <v>0.05</v>
      </c>
      <c r="BS14" s="237">
        <f t="shared" si="13"/>
        <v>2.3884871345635577</v>
      </c>
      <c r="BT14" s="237">
        <f t="shared" si="26"/>
        <v>4.8199999999999994</v>
      </c>
      <c r="BU14" s="31">
        <f t="shared" si="14"/>
        <v>0.14354933621371205</v>
      </c>
      <c r="BV14" s="232">
        <v>0.21401999999999999</v>
      </c>
      <c r="BW14" s="31">
        <f t="shared" si="15"/>
        <v>2.7927748594290365</v>
      </c>
      <c r="BX14" s="31">
        <v>2.1632099999999999</v>
      </c>
      <c r="BY14" s="231">
        <f t="shared" si="1"/>
        <v>2.4173870967741942</v>
      </c>
      <c r="BZ14" s="147">
        <f t="shared" si="16"/>
        <v>3.774020080309509</v>
      </c>
      <c r="CA14" s="305">
        <v>3.5972</v>
      </c>
      <c r="CB14" s="231">
        <f>Basicinfo!CV14</f>
        <v>4</v>
      </c>
      <c r="CC14" s="147">
        <f t="shared" si="17"/>
        <v>0.94350502007737724</v>
      </c>
      <c r="CD14" s="147"/>
      <c r="CE14" s="233">
        <f>'Local emissions'!FC14/14*62</f>
        <v>14.886666666666663</v>
      </c>
      <c r="CF14" s="233">
        <f>'Local emissions'!FD14/14*62</f>
        <v>19.806286088720732</v>
      </c>
      <c r="CH14">
        <f t="shared" si="18"/>
        <v>2</v>
      </c>
      <c r="CI14">
        <f t="shared" si="19"/>
        <v>1</v>
      </c>
      <c r="CK14" s="276">
        <f>Basicinfo!EM14</f>
        <v>1</v>
      </c>
      <c r="CL14" s="276">
        <f>Basicinfo!EN14</f>
        <v>0</v>
      </c>
      <c r="CM14">
        <f t="shared" si="23"/>
        <v>1</v>
      </c>
      <c r="CN14">
        <f t="shared" si="24"/>
        <v>0</v>
      </c>
      <c r="CO14" s="31">
        <f t="shared" si="27"/>
        <v>0.11934325384768564</v>
      </c>
      <c r="CP14" s="270">
        <f>Basicinfo!DC14</f>
        <v>0.1745268817204301</v>
      </c>
      <c r="CQ14" s="270">
        <f>Basicinfo!DD14</f>
        <v>0.32</v>
      </c>
      <c r="CR14" s="236">
        <f t="shared" si="28"/>
        <v>2.1632099999999999</v>
      </c>
      <c r="CS14" s="236">
        <f>Basicinfo!DK14</f>
        <v>2.4173870967741942</v>
      </c>
      <c r="CT14" s="236">
        <f>Basicinfo!DL14</f>
        <v>3.5657999999999994</v>
      </c>
      <c r="CU14" s="147">
        <f>'Summed emissions'!D14</f>
        <v>83.768448207000006</v>
      </c>
      <c r="CV14" s="188">
        <f t="shared" si="29"/>
        <v>15.528657497831713</v>
      </c>
      <c r="CW14" s="188">
        <f t="shared" si="30"/>
        <v>-55.522134408118085</v>
      </c>
      <c r="CX14" s="188"/>
      <c r="CY14" s="188"/>
      <c r="DA14" s="181">
        <f>CT14</f>
        <v>3.5657999999999994</v>
      </c>
      <c r="DF14" s="232">
        <f>CQ14</f>
        <v>0.32</v>
      </c>
      <c r="DI14" s="31" t="e">
        <f>#REF!</f>
        <v>#REF!</v>
      </c>
      <c r="DJ14" s="233">
        <f>Basicinfo!DA14</f>
        <v>0.2405698924731183</v>
      </c>
      <c r="DK14" s="233">
        <f>Basicinfo!DB14</f>
        <v>0.40799999999999997</v>
      </c>
      <c r="DN14" s="31" t="e">
        <f>DI14</f>
        <v>#REF!</v>
      </c>
      <c r="DR14" s="236">
        <f t="shared" si="2"/>
        <v>14.886666666666663</v>
      </c>
      <c r="DS14" s="236">
        <f t="shared" si="0"/>
        <v>19.806286088720732</v>
      </c>
      <c r="DU14" s="181"/>
      <c r="DV14" s="181">
        <f>DR14</f>
        <v>14.886666666666663</v>
      </c>
      <c r="DY14" s="31">
        <f>Basicinfo!EI14</f>
        <v>2.9986136842105268E-2</v>
      </c>
      <c r="DZ14" s="31">
        <f>Intermediate!CR14</f>
        <v>2.9986136842105268E-2</v>
      </c>
      <c r="EC14" s="31">
        <f>DY14</f>
        <v>2.9986136842105268E-2</v>
      </c>
    </row>
    <row r="15" spans="1:135">
      <c r="A15" s="39" t="str">
        <f>Basicinfo!A15</f>
        <v>Pram</v>
      </c>
      <c r="B15" s="63">
        <f>Basicinfo!B15</f>
        <v>700</v>
      </c>
      <c r="C15" s="63">
        <f>Basicinfo!C15</f>
        <v>710</v>
      </c>
      <c r="D15" s="61">
        <f>IF(Intermediate!D15=0,0,Basicinfo!AP15*86400*365/(Intermediate!D15*1000000))</f>
        <v>75.352270487442567</v>
      </c>
      <c r="E15" s="19">
        <f>IF(Intermediate!E15=0,0,IF((Intermediate!E15-Basicinfo!AA15)&lt;0,0,'Summed emissions'!E15*86400*365/((Intermediate!E15-Basicinfo!AA15)*1000000)))</f>
        <v>1855.8223852595554</v>
      </c>
      <c r="F15" s="19">
        <f>IF(Basicinfo!AA15=0,0,'Summed emissions'!E15*86400*365/(Basicinfo!AA15*1000000))</f>
        <v>0</v>
      </c>
      <c r="G15" s="19">
        <f>IF(D15=0,1,1/(1+Parameters!$C$138*EXP(Parameters!$C$139*Basicinfo!AQ15)*D15^Parameters!$C$140))</f>
        <v>0.88859198734072919</v>
      </c>
      <c r="H15" s="19">
        <f>IF(D15=0,1,1/(1+Parameters!$C$141*EXP(Parameters!$C$142*Basicinfo!AQ15)*D15^Parameters!$C$143))</f>
        <v>0.81503163887194763</v>
      </c>
      <c r="I15" s="161">
        <f>IF(Intermediate!AS15=0,1,IF(D15=0,1/(1+Parameters!$C$144*Intermediate!AS15^Parameters!$C$145),(1/(1+Parameters!$C$144*Intermediate!AS15^Parameters!$C$145)+1/(1+Parameters!$C$146*D15^Parameters!$C$147))/2))</f>
        <v>0.73354444053404266</v>
      </c>
      <c r="J15" s="19">
        <f>IF(E15=0,1,1/(1+Parameters!$C$138*EXP(Parameters!$C$139*Basicinfo!AQ15)*E15^Parameters!$C$140))</f>
        <v>0.99493512499828696</v>
      </c>
      <c r="K15" s="19">
        <f>IF(E15=0,1,1/(1+Parameters!$C$141*EXP(Parameters!$C$142*Basicinfo!AQ15)*E15^Parameters!$C$143))</f>
        <v>0.99086939971014176</v>
      </c>
      <c r="L15" s="19">
        <f>IF(E15=0,1,1/(1+Parameters!$C$146*E15^Parameters!$C$147))</f>
        <v>0.98631987958430134</v>
      </c>
      <c r="M15" s="53">
        <f>IF(F15=0,1,1/(1+Parameters!$C$138*EXP(Parameters!$C$139*Basicinfo!AQ15)*F15^Parameters!$C$140))</f>
        <v>1</v>
      </c>
      <c r="N15" s="53">
        <f>IF(F15=0,1,1/(1+Parameters!$C$141*EXP(Parameters!$C$142*Basicinfo!AQ15)*F15^Parameters!$C$143))</f>
        <v>1</v>
      </c>
      <c r="O15" s="53">
        <f>IF(F15=0,1,1/(1+Parameters!$C$146*F15^Parameters!$C$147))</f>
        <v>1</v>
      </c>
      <c r="P15" s="64">
        <f>Basicinfo!CE15+Basicinfo!CJ15</f>
        <v>2.6384472666666663</v>
      </c>
      <c r="Q15" s="86">
        <f>Parameters!$C$126*Intermediate!BB15*Basicinfo!P15/1000+Parameters!$C$127*Intermediate!BB15*Basicinfo!S15/1000</f>
        <v>4.230853957099363E-3</v>
      </c>
      <c r="R15" s="48">
        <f>'Local emissions'!AE15-P15-Q15</f>
        <v>323.76728584792249</v>
      </c>
      <c r="S15" s="48">
        <f>Basicinfo!CF15+Basicinfo!CK15</f>
        <v>1.0852463333333333</v>
      </c>
      <c r="T15" s="86">
        <f>'Local emissions'!AR15-S15</f>
        <v>18.604915551462888</v>
      </c>
      <c r="U15" s="61">
        <f t="shared" si="20"/>
        <v>290.33969408814318</v>
      </c>
      <c r="V15" s="27">
        <f t="shared" si="3"/>
        <v>266.51902886442127</v>
      </c>
      <c r="W15" s="27">
        <f t="shared" si="4"/>
        <v>14.732778702714288</v>
      </c>
      <c r="X15" s="61">
        <f>U15+TN!CI15</f>
        <v>405.72437711928973</v>
      </c>
      <c r="Y15" s="27">
        <f>V15+DIN!CI15</f>
        <v>370.00336835993323</v>
      </c>
      <c r="Z15" s="27">
        <f>W15+TP!CI15</f>
        <v>20.027477562546437</v>
      </c>
      <c r="AA15" s="73">
        <f>'Summed emissions'!E15</f>
        <v>4.1442831648501794</v>
      </c>
      <c r="AB15" s="131">
        <f>IF(Basicinfo!AR15="","",Basicinfo!AR15)</f>
        <v>522.08058524862463</v>
      </c>
      <c r="AC15" s="131">
        <f>IF(Basicinfo!AS15="","",Basicinfo!AS15)</f>
        <v>474.61871386238602</v>
      </c>
      <c r="AD15" s="131">
        <f>IF(Basicinfo!AT15="","",Basicinfo!AT15)</f>
        <v>29.9119091203629</v>
      </c>
      <c r="AE15" s="174">
        <f t="shared" si="21"/>
        <v>-22.287020704653074</v>
      </c>
      <c r="AF15" s="19">
        <f t="shared" si="5"/>
        <v>-22.041976527032944</v>
      </c>
      <c r="AG15" s="27">
        <f t="shared" si="6"/>
        <v>-33.045137700981826</v>
      </c>
      <c r="AH15" s="56">
        <f>'Local emissions'!AE15-U15</f>
        <v>36.070269880403089</v>
      </c>
      <c r="AI15" s="228">
        <f>'Local emissions'!AR15-W15</f>
        <v>4.9573831820819336</v>
      </c>
      <c r="AJ15" s="43">
        <f t="shared" si="7"/>
        <v>36.070269880403096</v>
      </c>
      <c r="AK15" s="58">
        <f t="shared" si="8"/>
        <v>4.9573831820819336</v>
      </c>
      <c r="AL15" s="43">
        <f>TN!CI104</f>
        <v>0.58738402332116224</v>
      </c>
      <c r="AM15" s="43">
        <f>TP!CI104</f>
        <v>7.3436741433107633E-2</v>
      </c>
      <c r="AN15" s="42">
        <f>TN!CI193+(AH15-AJ15)</f>
        <v>-7.1054273576010019E-15</v>
      </c>
      <c r="AO15" s="43">
        <f>TP!CI193+(AI15-AK15)</f>
        <v>0</v>
      </c>
      <c r="AP15" s="42">
        <f t="shared" si="9"/>
        <v>36.657653903724253</v>
      </c>
      <c r="AQ15" s="42">
        <f t="shared" si="10"/>
        <v>5.0308199235150415</v>
      </c>
      <c r="AR15" s="42">
        <f>AH15/'Local emissions'!AE15*100</f>
        <v>11.050603186819052</v>
      </c>
      <c r="AS15" s="42">
        <f>AI15/'Local emissions'!AR15*100</f>
        <v>25.176954923411689</v>
      </c>
      <c r="AT15" s="42">
        <f t="shared" si="22"/>
        <v>8.2864247037685903</v>
      </c>
      <c r="AU15" s="42">
        <f t="shared" si="11"/>
        <v>20.076463400250571</v>
      </c>
      <c r="AV15" s="42">
        <f>('Summed emissions'!AE15-'River loads'!X15)/'Summed emissions'!AE15*100</f>
        <v>11.930644644665445</v>
      </c>
      <c r="AW15" s="42">
        <f>('Summed emissions'!AR15-'River loads'!Z15)/'Summed emissions'!AR15*100</f>
        <v>26.479474036424978</v>
      </c>
      <c r="AX15" s="61">
        <f>X15/('Summed emissions'!$D15*100)*1000</f>
        <v>13.264421879558299</v>
      </c>
      <c r="AY15" s="19">
        <f>Y15/('Summed emissions'!$D15*100)*1000</f>
        <v>12.096588352986165</v>
      </c>
      <c r="AZ15" s="344">
        <f>Z15/('Summed emissions'!$D15*100)*1000</f>
        <v>0.65476201715850424</v>
      </c>
      <c r="BA15" s="43">
        <f>IF(AB15="","",AB15/('Summed emissions'!$D15*100)*1000)</f>
        <v>17.068476848824794</v>
      </c>
      <c r="BB15" s="43">
        <f>IF(AC15="","",AC15/('Summed emissions'!$D15*100)*1000)</f>
        <v>15.516797135295269</v>
      </c>
      <c r="BC15" s="43">
        <f>IF(AD15="","",AD15/('Summed emissions'!$D15*100)*1000)</f>
        <v>0.97791556083613318</v>
      </c>
      <c r="BF15" s="188">
        <f>('Summed emissions'!AE15-'River loads'!Y15)/'Summed emissions'!AE15*100</f>
        <v>19.684495267138225</v>
      </c>
      <c r="BG15" s="188">
        <f>('Summed emissions'!AR15-'River loads'!Z15)/'Summed emissions'!AR15*100</f>
        <v>26.479474036424978</v>
      </c>
      <c r="BH15" s="181">
        <f>'Summed emissions'!CV15*(100-'River loads'!BG15)/100</f>
        <v>13.860603894416233</v>
      </c>
      <c r="BI15" s="181">
        <f t="shared" si="12"/>
        <v>10.534058959756337</v>
      </c>
      <c r="BJ15" s="233"/>
      <c r="BK15" s="233">
        <f>Basicinfo!CQ15</f>
        <v>13.0526457537651</v>
      </c>
      <c r="BM15" s="31">
        <f t="shared" si="25"/>
        <v>8.060086752558103E-2</v>
      </c>
      <c r="BN15" s="31">
        <f>BK15*1000000/24/3600/365/$AA15</f>
        <v>9.9871718515793628E-2</v>
      </c>
      <c r="BO15" s="231">
        <v>9.8799999999999999E-2</v>
      </c>
      <c r="BP15" s="31">
        <f>BM15/Parameters!$C$156</f>
        <v>0.12400133465474004</v>
      </c>
      <c r="BQ15" s="305">
        <v>0.15</v>
      </c>
      <c r="BR15" s="237">
        <f>Basicinfo!CW15</f>
        <v>0.05</v>
      </c>
      <c r="BS15" s="237">
        <f t="shared" si="13"/>
        <v>2.4800266930948007</v>
      </c>
      <c r="BT15" s="237">
        <f t="shared" si="26"/>
        <v>2.9999999999999996</v>
      </c>
      <c r="BU15" s="31">
        <f t="shared" si="14"/>
        <v>0.15323932323307321</v>
      </c>
      <c r="BV15" s="232">
        <v>0.19069</v>
      </c>
      <c r="BW15" s="31">
        <f t="shared" si="15"/>
        <v>2.8310637515064339</v>
      </c>
      <c r="BX15" s="31">
        <v>3.1379779999999999</v>
      </c>
      <c r="BY15" s="231">
        <f t="shared" si="1"/>
        <v>3.1153655913978486</v>
      </c>
      <c r="BZ15" s="147">
        <f t="shared" si="16"/>
        <v>3.8257618263600457</v>
      </c>
      <c r="CA15" s="305">
        <v>4.4706999999999999</v>
      </c>
      <c r="CB15" s="231">
        <f>Basicinfo!CV15</f>
        <v>4</v>
      </c>
      <c r="CC15" s="147">
        <f t="shared" si="17"/>
        <v>0.95644045659001142</v>
      </c>
      <c r="CD15" s="147"/>
      <c r="CE15" s="233">
        <f>'Local emissions'!FC15/14*62</f>
        <v>17.341428571428573</v>
      </c>
      <c r="CF15" s="233">
        <f>'Local emissions'!FD15/14*62</f>
        <v>18.171571813727798</v>
      </c>
      <c r="CH15">
        <f t="shared" si="18"/>
        <v>2</v>
      </c>
      <c r="CI15">
        <f t="shared" si="19"/>
        <v>1</v>
      </c>
      <c r="CK15" s="276">
        <f>Basicinfo!EM15</f>
        <v>1</v>
      </c>
      <c r="CL15" s="276">
        <f>Basicinfo!EN15</f>
        <v>0</v>
      </c>
      <c r="CM15">
        <f t="shared" si="23"/>
        <v>1</v>
      </c>
      <c r="CN15">
        <f t="shared" si="24"/>
        <v>1</v>
      </c>
      <c r="CO15" s="31">
        <f t="shared" si="27"/>
        <v>9.9871718515793628E-2</v>
      </c>
      <c r="CP15" s="270">
        <f>Basicinfo!DC15</f>
        <v>9.9526881720430088E-2</v>
      </c>
      <c r="CQ15" s="270">
        <f>Basicinfo!DD15</f>
        <v>0.14000000000000001</v>
      </c>
      <c r="CR15" s="236">
        <f t="shared" si="28"/>
        <v>3.1379779999999999</v>
      </c>
      <c r="CS15" s="236">
        <f>Basicinfo!DK15</f>
        <v>3.1153655913978486</v>
      </c>
      <c r="CT15" s="236">
        <f>Basicinfo!DL15</f>
        <v>3.8408000000000002</v>
      </c>
      <c r="CU15" s="147">
        <f>'Summed emissions'!D15</f>
        <v>305.874150267</v>
      </c>
      <c r="CV15" s="188">
        <f t="shared" si="29"/>
        <v>-9.1257937969280203</v>
      </c>
      <c r="CW15" s="188">
        <f t="shared" si="30"/>
        <v>-19.015982283070038</v>
      </c>
      <c r="CX15" s="188"/>
      <c r="CY15" s="188"/>
      <c r="DI15" s="31" t="e">
        <f>#REF!</f>
        <v>#REF!</v>
      </c>
      <c r="DJ15" s="233">
        <f>Basicinfo!DA15</f>
        <v>0.15892473118279565</v>
      </c>
      <c r="DK15" s="233">
        <f>Basicinfo!DB15</f>
        <v>0.21799999999999997</v>
      </c>
      <c r="DR15" s="236">
        <f t="shared" si="2"/>
        <v>17.341428571428573</v>
      </c>
      <c r="DS15" s="236">
        <f t="shared" si="0"/>
        <v>18.171571813727798</v>
      </c>
      <c r="DY15" s="31">
        <f>Basicinfo!EI15</f>
        <v>5.1469649624060143E-2</v>
      </c>
      <c r="DZ15" s="31">
        <f>Intermediate!CR15</f>
        <v>5.1469649624060143E-2</v>
      </c>
    </row>
    <row r="16" spans="1:135">
      <c r="A16" s="39" t="str">
        <f>Basicinfo!A16</f>
        <v>Pram</v>
      </c>
      <c r="B16" s="63">
        <f>Basicinfo!B16</f>
        <v>710</v>
      </c>
      <c r="C16" s="63">
        <f>Basicinfo!C16</f>
        <v>1050</v>
      </c>
      <c r="D16" s="61">
        <f>IF(Intermediate!D16=0,0,Basicinfo!AP16*86400*365/(Intermediate!D16*1000000))</f>
        <v>57.261942648511855</v>
      </c>
      <c r="E16" s="19">
        <f>IF(Intermediate!E16=0,0,IF((Intermediate!E16-Basicinfo!AA16)&lt;0,0,'Summed emissions'!E16*86400*365/((Intermediate!E16-Basicinfo!AA16)*1000000)))</f>
        <v>1350.4400780847793</v>
      </c>
      <c r="F16" s="19">
        <f>IF(Basicinfo!AA16=0,0,'Summed emissions'!E16*86400*365/(Basicinfo!AA16*1000000))</f>
        <v>0</v>
      </c>
      <c r="G16" s="19">
        <f>IF(D16=0,1,1/(1+Parameters!$C$138*EXP(Parameters!$C$139*Basicinfo!AQ16)*D16^Parameters!$C$140))</f>
        <v>0.85135725321943234</v>
      </c>
      <c r="H16" s="19">
        <f>IF(D16=0,1,1/(1+Parameters!$C$141*EXP(Parameters!$C$142*Basicinfo!AQ16)*D16^Parameters!$C$143))</f>
        <v>0.75985583835712978</v>
      </c>
      <c r="I16" s="161">
        <f>IF(Intermediate!AS16=0,1,IF(D16=0,1/(1+Parameters!$C$144*Intermediate!AS16^Parameters!$C$145),(1/(1+Parameters!$C$144*Intermediate!AS16^Parameters!$C$145)+1/(1+Parameters!$C$146*D16^Parameters!$C$147))/2))</f>
        <v>0.71203673448680826</v>
      </c>
      <c r="J16" s="19">
        <f>IF(E16=0,1,1/(1+Parameters!$C$138*EXP(Parameters!$C$139*Basicinfo!AQ16)*E16^Parameters!$C$140))</f>
        <v>0.99265115154367267</v>
      </c>
      <c r="K16" s="19">
        <f>IF(E16=0,1,1/(1+Parameters!$C$141*EXP(Parameters!$C$142*Basicinfo!AQ16)*E16^Parameters!$C$143))</f>
        <v>0.98677638084343866</v>
      </c>
      <c r="L16" s="19">
        <f>IF(E16=0,1,1/(1+Parameters!$C$146*E16^Parameters!$C$147))</f>
        <v>0.98129605244989293</v>
      </c>
      <c r="M16" s="53">
        <f>IF(F16=0,1,1/(1+Parameters!$C$138*EXP(Parameters!$C$139*Basicinfo!AQ16)*F16^Parameters!$C$140))</f>
        <v>1</v>
      </c>
      <c r="N16" s="53">
        <f>IF(F16=0,1,1/(1+Parameters!$C$141*EXP(Parameters!$C$142*Basicinfo!AQ16)*F16^Parameters!$C$143))</f>
        <v>1</v>
      </c>
      <c r="O16" s="53">
        <f>IF(F16=0,1,1/(1+Parameters!$C$146*F16^Parameters!$C$147))</f>
        <v>1</v>
      </c>
      <c r="P16" s="64">
        <f>Basicinfo!CE16+Basicinfo!CJ16</f>
        <v>0.61660000000000004</v>
      </c>
      <c r="Q16" s="86">
        <f>Parameters!$C$126*Intermediate!BB16*Basicinfo!P16/1000+Parameters!$C$127*Intermediate!BB16*Basicinfo!S16/1000</f>
        <v>0</v>
      </c>
      <c r="R16" s="48">
        <f>'Local emissions'!AE16-P16-Q16</f>
        <v>118.70177926138668</v>
      </c>
      <c r="S16" s="48">
        <f>Basicinfo!CF16+Basicinfo!CK16</f>
        <v>0.39703116666666671</v>
      </c>
      <c r="T16" s="86">
        <f>'Local emissions'!AR16-S16</f>
        <v>8.6439065063871805</v>
      </c>
      <c r="U16" s="61">
        <f t="shared" si="20"/>
        <v>101.67422074423355</v>
      </c>
      <c r="V16" s="27">
        <f t="shared" si="3"/>
        <v>90.812839995143932</v>
      </c>
      <c r="W16" s="27">
        <f t="shared" si="4"/>
        <v>6.5518101286838695</v>
      </c>
      <c r="X16" s="61">
        <f>U16+TN!CI16</f>
        <v>504.41702199294036</v>
      </c>
      <c r="Y16" s="27">
        <f>V16+DIN!CI16</f>
        <v>455.92342472524047</v>
      </c>
      <c r="Z16" s="27">
        <f>W16+TP!CI16</f>
        <v>26.204694801339489</v>
      </c>
      <c r="AA16" s="73">
        <f>'Summed emissions'!E16</f>
        <v>5.2500232372011997</v>
      </c>
      <c r="AB16" s="131">
        <f>IF(Basicinfo!AR16="","",Basicinfo!AR16)</f>
        <v>656.73854650129874</v>
      </c>
      <c r="AC16" s="131">
        <f>IF(Basicinfo!AS16="","",Basicinfo!AS16)</f>
        <v>597.03504227390795</v>
      </c>
      <c r="AD16" s="131">
        <f>IF(Basicinfo!AT16="","",Basicinfo!AT16)</f>
        <v>45.859530323565998</v>
      </c>
      <c r="AE16" s="174">
        <f t="shared" si="21"/>
        <v>-23.19363243102363</v>
      </c>
      <c r="AF16" s="19">
        <f t="shared" si="5"/>
        <v>-23.635399525498585</v>
      </c>
      <c r="AG16" s="27">
        <f t="shared" si="6"/>
        <v>-42.85878067993734</v>
      </c>
      <c r="AH16" s="56">
        <f>'Local emissions'!AE16-U16</f>
        <v>17.64415851715313</v>
      </c>
      <c r="AI16" s="228">
        <f>'Local emissions'!AR16-W16</f>
        <v>2.4891275443699774</v>
      </c>
      <c r="AJ16" s="43">
        <f t="shared" si="7"/>
        <v>17.644158517153137</v>
      </c>
      <c r="AK16" s="58">
        <f t="shared" si="8"/>
        <v>2.4891275443699774</v>
      </c>
      <c r="AL16" s="43">
        <f>TN!CI105</f>
        <v>2.9815758705828874</v>
      </c>
      <c r="AM16" s="43">
        <f>TP!CI105</f>
        <v>0.37459288989081474</v>
      </c>
      <c r="AN16" s="42">
        <f>TN!CI194+(AH16-AJ16)</f>
        <v>-7.1054273576010019E-15</v>
      </c>
      <c r="AO16" s="43">
        <f>TP!CI194+(AI16-AK16)</f>
        <v>0</v>
      </c>
      <c r="AP16" s="42">
        <f t="shared" si="9"/>
        <v>20.625734387736017</v>
      </c>
      <c r="AQ16" s="42">
        <f t="shared" si="10"/>
        <v>2.863720434260792</v>
      </c>
      <c r="AR16" s="42">
        <f>AH16/'Local emissions'!AE16*100</f>
        <v>14.78746076369398</v>
      </c>
      <c r="AS16" s="42">
        <f>AI16/'Local emissions'!AR16*100</f>
        <v>27.531741002802423</v>
      </c>
      <c r="AT16" s="42">
        <f t="shared" si="22"/>
        <v>3.9283913809071884</v>
      </c>
      <c r="AU16" s="42">
        <f t="shared" si="11"/>
        <v>9.8516565524823481</v>
      </c>
      <c r="AV16" s="42">
        <f>('Summed emissions'!AE16-'River loads'!X16)/'Summed emissions'!AE16*100</f>
        <v>13.032406621794927</v>
      </c>
      <c r="AW16" s="42">
        <f>('Summed emissions'!AR16-'River loads'!Z16)/'Summed emissions'!AR16*100</f>
        <v>27.774145996951383</v>
      </c>
      <c r="AX16" s="61">
        <f>X16/('Summed emissions'!$D16*100)*1000</f>
        <v>13.154953480337602</v>
      </c>
      <c r="AY16" s="19">
        <f>Y16/('Summed emissions'!$D16*100)*1000</f>
        <v>11.890263772543111</v>
      </c>
      <c r="AZ16" s="344">
        <f>Z16/('Summed emissions'!$D16*100)*1000</f>
        <v>0.68340584486240863</v>
      </c>
      <c r="BA16" s="43">
        <f>IF(AB16="","",AB16/('Summed emissions'!$D16*100)*1000)</f>
        <v>17.127425624605571</v>
      </c>
      <c r="BB16" s="43">
        <f>IF(AC16="","",AC16/('Summed emissions'!$D16*100)*1000)</f>
        <v>15.570386931459609</v>
      </c>
      <c r="BC16" s="43">
        <f>IF(AD16="","",AD16/('Summed emissions'!$D16*100)*1000)</f>
        <v>1.195994507982892</v>
      </c>
      <c r="BF16" s="188">
        <f>('Summed emissions'!AE16-'River loads'!Y16)/'Summed emissions'!AE16*100</f>
        <v>21.393289115333744</v>
      </c>
      <c r="BG16" s="188">
        <f>('Summed emissions'!AR16-'River loads'!Z16)/'Summed emissions'!AR16*100</f>
        <v>27.774145996951383</v>
      </c>
      <c r="BH16" s="181">
        <f>'Summed emissions'!CV16*(100-'River loads'!BG16)/100</f>
        <v>18.183885230845963</v>
      </c>
      <c r="BI16" s="181">
        <f t="shared" si="12"/>
        <v>13.819752775442932</v>
      </c>
      <c r="BJ16" s="233"/>
      <c r="BK16" s="233">
        <f>Basicinfo!CQ16</f>
        <v>17.134670913642999</v>
      </c>
      <c r="BM16" s="31">
        <f t="shared" si="25"/>
        <v>8.3470389744401519E-2</v>
      </c>
      <c r="BN16" s="31">
        <f>BK16*1000000/24/3600/365/$AA16</f>
        <v>0.10349227533543931</v>
      </c>
      <c r="BO16" s="231">
        <v>0.10076</v>
      </c>
      <c r="BP16" s="31">
        <f>BM16/Parameters!$C$156</f>
        <v>0.12841598422215617</v>
      </c>
      <c r="BQ16" s="305">
        <v>0.14099999999999999</v>
      </c>
      <c r="BR16" s="237">
        <f>Basicinfo!CW16</f>
        <v>0.05</v>
      </c>
      <c r="BS16" s="237">
        <f t="shared" si="13"/>
        <v>2.5683196844431233</v>
      </c>
      <c r="BT16" s="237">
        <f t="shared" si="26"/>
        <v>2.8199999999999994</v>
      </c>
      <c r="BU16" s="31">
        <f t="shared" si="14"/>
        <v>0.15827461776940469</v>
      </c>
      <c r="BV16" s="232">
        <v>0.19789000000000001</v>
      </c>
      <c r="BW16" s="31">
        <f t="shared" si="15"/>
        <v>2.7537472322256078</v>
      </c>
      <c r="BX16" s="31">
        <v>3.0674519999999998</v>
      </c>
      <c r="BY16" s="231">
        <f t="shared" si="1"/>
        <v>3.0028387096774187</v>
      </c>
      <c r="BZ16" s="147">
        <f t="shared" si="16"/>
        <v>3.7212800435481186</v>
      </c>
      <c r="CA16" s="305">
        <v>4.5589000000000004</v>
      </c>
      <c r="CB16" s="231">
        <f>Basicinfo!CV16</f>
        <v>4</v>
      </c>
      <c r="CC16" s="147">
        <f t="shared" si="17"/>
        <v>0.93032001088702965</v>
      </c>
      <c r="CD16" s="147"/>
      <c r="CE16" s="233">
        <f>'Local emissions'!FC16/14*62</f>
        <v>26.95</v>
      </c>
      <c r="CF16" s="233">
        <f>'Local emissions'!FD16/14*62</f>
        <v>16.958624861097288</v>
      </c>
      <c r="CH16">
        <f t="shared" si="18"/>
        <v>2</v>
      </c>
      <c r="CI16">
        <f t="shared" si="19"/>
        <v>1</v>
      </c>
      <c r="CK16" s="276">
        <f>Basicinfo!EM16</f>
        <v>1</v>
      </c>
      <c r="CL16" s="276">
        <f>Basicinfo!EN16</f>
        <v>0</v>
      </c>
      <c r="CM16">
        <f t="shared" si="23"/>
        <v>1</v>
      </c>
      <c r="CN16">
        <f t="shared" si="24"/>
        <v>1</v>
      </c>
      <c r="CO16" s="31">
        <f t="shared" si="27"/>
        <v>0.10349227533543931</v>
      </c>
      <c r="CP16" s="270">
        <f>Basicinfo!DC16</f>
        <v>0.10176344086021508</v>
      </c>
      <c r="CQ16" s="270">
        <f>Basicinfo!DD16</f>
        <v>0.15</v>
      </c>
      <c r="CR16" s="236">
        <f t="shared" si="28"/>
        <v>3.0674519999999998</v>
      </c>
      <c r="CS16" s="236">
        <f>Basicinfo!DK16</f>
        <v>3.0028387096774187</v>
      </c>
      <c r="CT16" s="236">
        <f>Basicinfo!DL16</f>
        <v>3.9154</v>
      </c>
      <c r="CU16" s="147">
        <f>'Summed emissions'!D16</f>
        <v>383.44264975689998</v>
      </c>
      <c r="CV16" s="188">
        <f t="shared" si="29"/>
        <v>-8.2952000268629043</v>
      </c>
      <c r="CW16" s="188">
        <f t="shared" si="30"/>
        <v>-17.976054033924985</v>
      </c>
      <c r="CX16" s="188"/>
      <c r="CY16" s="188"/>
      <c r="DI16" s="31" t="e">
        <f>#REF!</f>
        <v>#REF!</v>
      </c>
      <c r="DJ16" s="233">
        <f>Basicinfo!DA16</f>
        <v>0.16226881720430109</v>
      </c>
      <c r="DK16" s="233">
        <f>Basicinfo!DB16</f>
        <v>0.23799999999999996</v>
      </c>
      <c r="DR16" s="236">
        <f t="shared" si="2"/>
        <v>26.95</v>
      </c>
      <c r="DS16" s="236">
        <f t="shared" si="0"/>
        <v>16.958624861097288</v>
      </c>
      <c r="DY16" s="31">
        <f>Basicinfo!EI16</f>
        <v>9.3163157894736823E-2</v>
      </c>
      <c r="DZ16" s="31">
        <f>Intermediate!CR16</f>
        <v>9.3163157894736823E-2</v>
      </c>
    </row>
    <row r="17" spans="1:134">
      <c r="A17" s="39" t="str">
        <f>Basicinfo!A17</f>
        <v>Inn</v>
      </c>
      <c r="B17" s="63">
        <f>Basicinfo!B17</f>
        <v>1050</v>
      </c>
      <c r="C17" s="63">
        <f>Basicinfo!C17</f>
        <v>4990</v>
      </c>
      <c r="D17" s="61">
        <f>IF(Intermediate!D17=0,0,Basicinfo!AP17*86400*365/(Intermediate!D17*1000000))</f>
        <v>15.54914111734444</v>
      </c>
      <c r="E17" s="19">
        <f>IF(Intermediate!E17=0,0,IF((Intermediate!E17-Basicinfo!AA17)&lt;0,0,'Summed emissions'!E17*86400*365/((Intermediate!E17-Basicinfo!AA17)*1000000)))</f>
        <v>170.54988688499805</v>
      </c>
      <c r="F17" s="19">
        <f>IF(Basicinfo!AA17=0,0,'Summed emissions'!E17*86400*365/(Basicinfo!AA17*1000000))</f>
        <v>0</v>
      </c>
      <c r="G17" s="19">
        <f>IF(D17=0,1,1/(1+Parameters!$C$138*EXP(Parameters!$C$139*Basicinfo!AQ17)*D17^Parameters!$C$140))</f>
        <v>0.62508505411304371</v>
      </c>
      <c r="H17" s="19">
        <f>IF(D17=0,1,1/(1+Parameters!$C$141*EXP(Parameters!$C$142*Basicinfo!AQ17)*D17^Parameters!$C$143))</f>
        <v>0.47945950674881554</v>
      </c>
      <c r="I17" s="161">
        <f>IF(Intermediate!AS17=0,1,IF(D17=0,1/(1+Parameters!$C$144*Intermediate!AS17^Parameters!$C$145),(1/(1+Parameters!$C$144*Intermediate!AS17^Parameters!$C$145)+1/(1+Parameters!$C$146*D17^Parameters!$C$147))/2))</f>
        <v>0.5501589415611533</v>
      </c>
      <c r="J17" s="19">
        <f>IF(E17=0,1,1/(1+Parameters!$C$138*EXP(Parameters!$C$139*Basicinfo!AQ17)*E17^Parameters!$C$140))</f>
        <v>0.94815261518658112</v>
      </c>
      <c r="K17" s="19">
        <f>IF(E17=0,1,1/(1+Parameters!$C$141*EXP(Parameters!$C$142*Basicinfo!AQ17)*E17^Parameters!$C$143))</f>
        <v>0.90993275983197275</v>
      </c>
      <c r="L17" s="19">
        <f>IF(E17=0,1,1/(1+Parameters!$C$146*E17^Parameters!$C$147))</f>
        <v>0.86886741640907617</v>
      </c>
      <c r="M17" s="53">
        <f>IF(F17=0,1,1/(1+Parameters!$C$138*EXP(Parameters!$C$139*Basicinfo!AQ17)*F17^Parameters!$C$140))</f>
        <v>1</v>
      </c>
      <c r="N17" s="53">
        <f>IF(F17=0,1,1/(1+Parameters!$C$141*EXP(Parameters!$C$142*Basicinfo!AQ17)*F17^Parameters!$C$143))</f>
        <v>1</v>
      </c>
      <c r="O17" s="53">
        <f>IF(F17=0,1,1/(1+Parameters!$C$146*F17^Parameters!$C$147))</f>
        <v>1</v>
      </c>
      <c r="P17" s="64">
        <f>Basicinfo!CE17+Basicinfo!CJ17</f>
        <v>54.381679144444448</v>
      </c>
      <c r="Q17" s="86">
        <f>Parameters!$C$126*Intermediate!BB17*Basicinfo!P17/1000+Parameters!$C$127*Intermediate!BB17*Basicinfo!S17/1000</f>
        <v>0.14908224918009078</v>
      </c>
      <c r="R17" s="48">
        <f>'Local emissions'!AE17-P17-Q17</f>
        <v>425.41044840310872</v>
      </c>
      <c r="S17" s="48">
        <f>Basicinfo!CF17+Basicinfo!CK17</f>
        <v>6.4076270000000006</v>
      </c>
      <c r="T17" s="86">
        <f>'Local emissions'!AR17-S17</f>
        <v>15.487783716875295</v>
      </c>
      <c r="U17" s="61">
        <f t="shared" si="20"/>
        <v>320.44847455393591</v>
      </c>
      <c r="V17" s="27">
        <f t="shared" si="3"/>
        <v>258.34876290159139</v>
      </c>
      <c r="W17" s="27">
        <f t="shared" si="4"/>
        <v>14.928369696804179</v>
      </c>
      <c r="X17" s="61">
        <f>U17+TN!CI17</f>
        <v>2110.5498828450773</v>
      </c>
      <c r="Y17" s="27">
        <f>V17+DIN!CI17</f>
        <v>1792.2940144675204</v>
      </c>
      <c r="Z17" s="27">
        <f>W17+TP!CI17</f>
        <v>87.008832644327867</v>
      </c>
      <c r="AA17" s="73">
        <f>'Summed emissions'!E17</f>
        <v>26.502475556659146</v>
      </c>
      <c r="AB17" s="131">
        <f>IF(Basicinfo!AR17="","",Basicinfo!AR17)</f>
        <v>31287.24254572334</v>
      </c>
      <c r="AC17" s="131">
        <f>IF(Basicinfo!AS17="","",Basicinfo!AS17)</f>
        <v>28442.9477688394</v>
      </c>
      <c r="AD17" s="131">
        <f>IF(Basicinfo!AT17="","",Basicinfo!AT17)</f>
        <v>1535.3911068346099</v>
      </c>
      <c r="AE17" s="174">
        <f t="shared" si="21"/>
        <v>-93.254279664432843</v>
      </c>
      <c r="AF17" s="19">
        <f t="shared" si="5"/>
        <v>-93.698634793292896</v>
      </c>
      <c r="AG17" s="27">
        <f t="shared" si="6"/>
        <v>-94.33311602125228</v>
      </c>
      <c r="AH17" s="56">
        <f>'Local emissions'!AE17-U17</f>
        <v>159.49273524279732</v>
      </c>
      <c r="AI17" s="228">
        <f>'Local emissions'!AR17-W17</f>
        <v>6.9670410200711181</v>
      </c>
      <c r="AJ17" s="43">
        <f t="shared" si="7"/>
        <v>159.49273524279732</v>
      </c>
      <c r="AK17" s="58">
        <f t="shared" si="8"/>
        <v>6.9670410200711181</v>
      </c>
      <c r="AL17" s="43">
        <f>TN!CI106</f>
        <v>97.870662312926811</v>
      </c>
      <c r="AM17" s="43">
        <f>TP!CI106</f>
        <v>10.878641728565459</v>
      </c>
      <c r="AN17" s="42">
        <f>TN!CI195+(AH17-AJ17)</f>
        <v>0</v>
      </c>
      <c r="AO17" s="43">
        <f>TP!CI195+(AI17-AK17)</f>
        <v>0</v>
      </c>
      <c r="AP17" s="42">
        <f t="shared" si="9"/>
        <v>257.36339755572413</v>
      </c>
      <c r="AQ17" s="42">
        <f t="shared" si="10"/>
        <v>17.845682748636577</v>
      </c>
      <c r="AR17" s="42">
        <f>AH17/'Local emissions'!AE17*100</f>
        <v>33.231723383442393</v>
      </c>
      <c r="AS17" s="42">
        <f>AI17/'Local emissions'!AR17*100</f>
        <v>31.819640700786028</v>
      </c>
      <c r="AT17" s="42">
        <f t="shared" si="22"/>
        <v>10.86878475178626</v>
      </c>
      <c r="AU17" s="42">
        <f t="shared" si="11"/>
        <v>17.019469959644667</v>
      </c>
      <c r="AV17" s="42">
        <f>('Summed emissions'!AE17-'River loads'!X17)/'Summed emissions'!AE17*100</f>
        <v>23.501822207176822</v>
      </c>
      <c r="AW17" s="42">
        <f>('Summed emissions'!AR17-'River loads'!Z17)/'Summed emissions'!AR17*100</f>
        <v>36.198358296412067</v>
      </c>
      <c r="AX17" s="61">
        <f>X17/('Summed emissions'!$D17*100)*1000</f>
        <v>10.694055978855605</v>
      </c>
      <c r="AY17" s="19">
        <f>Y17/('Summed emissions'!$D17*100)*1000</f>
        <v>9.0814686149213486</v>
      </c>
      <c r="AZ17" s="72">
        <f>Z17/('Summed emissions'!$D17*100)*1000</f>
        <v>0.44086962100086119</v>
      </c>
      <c r="BA17" s="353"/>
      <c r="BB17" s="353"/>
      <c r="BC17" s="353"/>
      <c r="BF17" s="188">
        <f>('Summed emissions'!AE17-'River loads'!Y17)/'Summed emissions'!AE17*100</f>
        <v>35.037201778464961</v>
      </c>
      <c r="BG17" s="188">
        <f>('Summed emissions'!AR17-'River loads'!Z17)/'Summed emissions'!AR17*100</f>
        <v>36.198358296412067</v>
      </c>
      <c r="BH17" s="181">
        <f>'Summed emissions'!CV17*(100-'River loads'!BG17)/100</f>
        <v>62.709403401295212</v>
      </c>
      <c r="BI17" s="181">
        <f t="shared" si="12"/>
        <v>47.659146584984363</v>
      </c>
      <c r="BJ17" s="233"/>
      <c r="BK17" s="233"/>
      <c r="BM17" s="31">
        <f t="shared" si="25"/>
        <v>5.702341357141149E-2</v>
      </c>
      <c r="BN17" s="31"/>
      <c r="BO17" s="231">
        <v>1.8410714285714301E-2</v>
      </c>
      <c r="BP17" s="31">
        <f>BM17/Parameters!$C$156</f>
        <v>8.7728328571402295E-2</v>
      </c>
      <c r="BQ17" s="305">
        <v>3.4000000000000002E-2</v>
      </c>
      <c r="BR17" s="237">
        <f>Basicinfo!CW17</f>
        <v>0.08</v>
      </c>
      <c r="BS17" s="237">
        <f t="shared" si="13"/>
        <v>1.0966041071425288</v>
      </c>
      <c r="BT17" s="237">
        <f t="shared" si="26"/>
        <v>0.42500000000000004</v>
      </c>
      <c r="BU17" s="31">
        <f t="shared" si="14"/>
        <v>0.10410468931490341</v>
      </c>
      <c r="BV17" s="232">
        <v>4.7144464285714303E-2</v>
      </c>
      <c r="BW17" s="31">
        <f t="shared" si="15"/>
        <v>2.1444513834569392</v>
      </c>
      <c r="BX17" s="31">
        <v>1.22843790419162</v>
      </c>
      <c r="BY17" s="231"/>
      <c r="BZ17" s="147">
        <f t="shared" si="16"/>
        <v>2.8979072749418098</v>
      </c>
      <c r="CA17" s="305">
        <v>1.782</v>
      </c>
      <c r="CB17" s="231">
        <f>Basicinfo!CV17</f>
        <v>5.5</v>
      </c>
      <c r="CC17" s="147">
        <f t="shared" si="17"/>
        <v>0.52689223180760181</v>
      </c>
      <c r="CD17" s="147"/>
      <c r="CE17" s="233">
        <f>'Local emissions'!FC17/14*62</f>
        <v>30.318750000000005</v>
      </c>
      <c r="CF17" s="233">
        <f>'Local emissions'!FD17/14*62</f>
        <v>17.304878410471904</v>
      </c>
      <c r="CH17">
        <f t="shared" si="18"/>
        <v>1</v>
      </c>
      <c r="CI17">
        <f t="shared" si="19"/>
        <v>0</v>
      </c>
      <c r="CK17" s="276">
        <f>Basicinfo!EM17</f>
        <v>2</v>
      </c>
      <c r="CL17" s="276">
        <f>Basicinfo!EN17</f>
        <v>2</v>
      </c>
      <c r="CM17">
        <f t="shared" si="23"/>
        <v>0</v>
      </c>
      <c r="CN17">
        <f t="shared" si="24"/>
        <v>0</v>
      </c>
      <c r="CO17" s="31"/>
      <c r="CP17" s="270"/>
      <c r="CQ17" s="270"/>
      <c r="CR17" s="236"/>
      <c r="CS17" s="236"/>
      <c r="CT17" s="236"/>
      <c r="CU17" s="147">
        <f>'Summed emissions'!D17</f>
        <v>1973.5728773236999</v>
      </c>
      <c r="CV17" s="188"/>
      <c r="CW17" s="188"/>
      <c r="CX17" s="188"/>
      <c r="CY17" s="188"/>
      <c r="DI17" s="31"/>
      <c r="DJ17" s="233"/>
      <c r="DK17" s="233"/>
      <c r="DR17" s="236">
        <f t="shared" si="2"/>
        <v>30.318750000000005</v>
      </c>
      <c r="DS17" s="236">
        <f t="shared" si="0"/>
        <v>17.304878410471904</v>
      </c>
      <c r="DY17" s="31">
        <f>Basicinfo!EI17</f>
        <v>2.67007350877193E-2</v>
      </c>
      <c r="DZ17" s="31">
        <f>Intermediate!CR17</f>
        <v>2.67007350877193E-2</v>
      </c>
    </row>
    <row r="18" spans="1:134">
      <c r="A18" s="39" t="str">
        <f>Basicinfo!A18</f>
        <v>Ranna</v>
      </c>
      <c r="B18" s="63">
        <f>Basicinfo!B18</f>
        <v>1100</v>
      </c>
      <c r="C18" s="63">
        <f>Basicinfo!C18</f>
        <v>5000</v>
      </c>
      <c r="D18" s="61">
        <f>IF(Intermediate!D18=0,0,Basicinfo!AP18*86400*365/(Intermediate!D18*1000000))</f>
        <v>87.412770937906572</v>
      </c>
      <c r="E18" s="19">
        <f>IF(Intermediate!E18=0,0,IF((Intermediate!E18-Basicinfo!AA18)&lt;0,0,'Summed emissions'!E18*86400*365/((Intermediate!E18-Basicinfo!AA18)*1000000)))</f>
        <v>0</v>
      </c>
      <c r="F18" s="19">
        <f>IF(Basicinfo!AA18=0,0,'Summed emissions'!E18*86400*365/(Basicinfo!AA18*1000000))</f>
        <v>0</v>
      </c>
      <c r="G18" s="19">
        <f>IF(D18=0,1,1/(1+Parameters!$C$138*EXP(Parameters!$C$139*Basicinfo!AQ18)*D18^Parameters!$C$140))</f>
        <v>0.90664319345673794</v>
      </c>
      <c r="H18" s="19">
        <f>IF(D18=0,1,1/(1+Parameters!$C$141*EXP(Parameters!$C$142*Basicinfo!AQ18)*D18^Parameters!$C$143))</f>
        <v>0.84289439057487514</v>
      </c>
      <c r="I18" s="161">
        <f>IF(Intermediate!AS18=0,1,IF(D18=0,1/(1+Parameters!$C$144*Intermediate!AS18^Parameters!$C$145),(1/(1+Parameters!$C$144*Intermediate!AS18^Parameters!$C$145)+1/(1+Parameters!$C$146*D18^Parameters!$C$147))/2))</f>
        <v>0.7882621135782315</v>
      </c>
      <c r="J18" s="19">
        <f>IF(E18=0,1,1/(1+Parameters!$C$138*EXP(Parameters!$C$139*Basicinfo!AQ18)*E18^Parameters!$C$140))</f>
        <v>1</v>
      </c>
      <c r="K18" s="19">
        <f>IF(E18=0,1,1/(1+Parameters!$C$141*EXP(Parameters!$C$142*Basicinfo!AQ18)*E18^Parameters!$C$143))</f>
        <v>1</v>
      </c>
      <c r="L18" s="19">
        <f>IF(E18=0,1,1/(1+Parameters!$C$146*E18^Parameters!$C$147))</f>
        <v>1</v>
      </c>
      <c r="M18" s="53">
        <f>IF(F18=0,1,1/(1+Parameters!$C$138*EXP(Parameters!$C$139*Basicinfo!AQ18)*F18^Parameters!$C$140))</f>
        <v>1</v>
      </c>
      <c r="N18" s="53">
        <f>IF(F18=0,1,1/(1+Parameters!$C$141*EXP(Parameters!$C$142*Basicinfo!AQ18)*F18^Parameters!$C$143))</f>
        <v>1</v>
      </c>
      <c r="O18" s="53">
        <f>IF(F18=0,1,1/(1+Parameters!$C$146*F18^Parameters!$C$147))</f>
        <v>1</v>
      </c>
      <c r="P18" s="64">
        <f>Basicinfo!CE18+Basicinfo!CJ18</f>
        <v>0</v>
      </c>
      <c r="Q18" s="86">
        <f>Parameters!$C$126*Intermediate!BB18*Basicinfo!P18/1000+Parameters!$C$127*Intermediate!BB18*Basicinfo!S18/1000</f>
        <v>9.0917758588129019E-2</v>
      </c>
      <c r="R18" s="48">
        <f>'Local emissions'!AE18-P18-Q18</f>
        <v>81.959045924919693</v>
      </c>
      <c r="S18" s="48">
        <f>Basicinfo!CF18+Basicinfo!CK18</f>
        <v>0</v>
      </c>
      <c r="T18" s="86">
        <f>'Local emissions'!AR18-S18</f>
        <v>3.3162657826311994</v>
      </c>
      <c r="U18" s="61">
        <f t="shared" si="20"/>
        <v>74.398528888624767</v>
      </c>
      <c r="V18" s="27">
        <f t="shared" si="3"/>
        <v>69.082820066983388</v>
      </c>
      <c r="W18" s="27">
        <f t="shared" si="4"/>
        <v>2.6140866750040375</v>
      </c>
      <c r="X18" s="61">
        <f>U18+TN!CI18</f>
        <v>285.48435345265699</v>
      </c>
      <c r="Y18" s="27">
        <f>V18+DIN!CI18</f>
        <v>275.52091895887247</v>
      </c>
      <c r="Z18" s="27">
        <f>W18+TP!CI18</f>
        <v>5.7754920870768167</v>
      </c>
      <c r="AA18" s="73">
        <f>'Summed emissions'!E18</f>
        <v>4.2843885532383377</v>
      </c>
      <c r="AB18" s="131" t="str">
        <f>IF(Basicinfo!AR18="","",Basicinfo!AR18)</f>
        <v/>
      </c>
      <c r="AC18" s="131" t="str">
        <f>IF(Basicinfo!AS18="","",Basicinfo!AS18)</f>
        <v/>
      </c>
      <c r="AD18" s="131" t="str">
        <f>IF(Basicinfo!AT18="","",Basicinfo!AT18)</f>
        <v/>
      </c>
      <c r="AE18" s="174" t="str">
        <f t="shared" si="21"/>
        <v/>
      </c>
      <c r="AF18" s="19" t="str">
        <f t="shared" si="5"/>
        <v/>
      </c>
      <c r="AG18" s="27" t="str">
        <f t="shared" si="6"/>
        <v/>
      </c>
      <c r="AH18" s="56">
        <f>'Local emissions'!AE18-U18</f>
        <v>7.651434794883059</v>
      </c>
      <c r="AI18" s="228">
        <f>'Local emissions'!AR18-W18</f>
        <v>0.70217910762716196</v>
      </c>
      <c r="AJ18" s="43">
        <f t="shared" si="7"/>
        <v>7.6514347948830581</v>
      </c>
      <c r="AK18" s="58">
        <f t="shared" si="8"/>
        <v>0.70217910762716207</v>
      </c>
      <c r="AL18" s="43">
        <f>TN!CI107</f>
        <v>0</v>
      </c>
      <c r="AM18" s="43">
        <f>TP!CI107</f>
        <v>0</v>
      </c>
      <c r="AN18" s="42">
        <f>TN!CI196+(AH18-AJ18)</f>
        <v>8.8817841970012523E-16</v>
      </c>
      <c r="AO18" s="43">
        <f>TP!CI196+(AI18-AK18)</f>
        <v>-1.1102230246251565E-16</v>
      </c>
      <c r="AP18" s="42">
        <f t="shared" si="9"/>
        <v>7.651434794883059</v>
      </c>
      <c r="AQ18" s="42">
        <f t="shared" si="10"/>
        <v>0.70217910762716196</v>
      </c>
      <c r="AR18" s="42">
        <f>AH18/'Local emissions'!AE18*100</f>
        <v>9.325335992099907</v>
      </c>
      <c r="AS18" s="42">
        <f>AI18/'Local emissions'!AR18*100</f>
        <v>21.173788642176845</v>
      </c>
      <c r="AT18" s="42">
        <f t="shared" si="22"/>
        <v>2.6102015180834095</v>
      </c>
      <c r="AU18" s="42">
        <f t="shared" si="11"/>
        <v>10.839993054930765</v>
      </c>
      <c r="AV18" s="42">
        <f>('Summed emissions'!AE18-'River loads'!X18)/'Summed emissions'!AE18*100</f>
        <v>4.5780719056036911</v>
      </c>
      <c r="AW18" s="42">
        <f>('Summed emissions'!AR18-'River loads'!Z18)/'Summed emissions'!AR18*100</f>
        <v>14.64585115202483</v>
      </c>
      <c r="AX18" s="61">
        <f>X18/('Summed emissions'!$D18*100)*1000</f>
        <v>13.339200870790336</v>
      </c>
      <c r="AY18" s="19">
        <f>Y18/('Summed emissions'!$D18*100)*1000</f>
        <v>12.87366133256975</v>
      </c>
      <c r="AZ18" s="72">
        <f>Z18/('Summed emissions'!$D18*100)*1000</f>
        <v>0.26985874407983518</v>
      </c>
      <c r="BA18" s="43" t="str">
        <f>IF(AB18="","",AB18/('Summed emissions'!$D18*100)*1000)</f>
        <v/>
      </c>
      <c r="BB18" s="43" t="str">
        <f>IF(AC18="","",AC18/('Summed emissions'!$D18*100)*1000)</f>
        <v/>
      </c>
      <c r="BC18" s="43" t="str">
        <f>IF(AD18="","",AD18/('Summed emissions'!$D18*100)*1000)</f>
        <v/>
      </c>
      <c r="BF18" s="188">
        <f>('Summed emissions'!AE18-'River loads'!Y18)/'Summed emissions'!AE18*100</f>
        <v>7.9083074100752091</v>
      </c>
      <c r="BG18" s="188">
        <f>('Summed emissions'!AR18-'River loads'!Z18)/'Summed emissions'!AR18*100</f>
        <v>14.64585115202483</v>
      </c>
      <c r="BH18" s="181">
        <f>'Summed emissions'!CV18*(100-'River loads'!BG18)/100</f>
        <v>4.5402725922608562</v>
      </c>
      <c r="BI18" s="181">
        <f t="shared" si="12"/>
        <v>3.4506071701182508</v>
      </c>
      <c r="BJ18" s="233"/>
      <c r="BK18" s="233"/>
      <c r="BM18" s="31">
        <f t="shared" si="25"/>
        <v>2.5538775071983877E-2</v>
      </c>
      <c r="BN18" s="31"/>
      <c r="BO18" s="231"/>
      <c r="BP18" s="31">
        <f>BM18/Parameters!$C$156</f>
        <v>3.9290423187667504E-2</v>
      </c>
      <c r="BQ18" s="305" t="s">
        <v>934</v>
      </c>
      <c r="BR18" s="237">
        <f>Basicinfo!CW18</f>
        <v>0.1</v>
      </c>
      <c r="BS18" s="237">
        <f t="shared" si="13"/>
        <v>0.392904231876675</v>
      </c>
      <c r="BT18" s="237"/>
      <c r="BU18" s="31">
        <f t="shared" si="14"/>
        <v>4.2745808511382301E-2</v>
      </c>
      <c r="BV18" s="232"/>
      <c r="BW18" s="31">
        <f t="shared" si="15"/>
        <v>2.0391967065540539</v>
      </c>
      <c r="BX18" s="31"/>
      <c r="BY18" s="231"/>
      <c r="BZ18" s="147">
        <f t="shared" si="16"/>
        <v>2.755671225073046</v>
      </c>
      <c r="CA18" s="305"/>
      <c r="CB18" s="231">
        <f>Basicinfo!CV18</f>
        <v>5.5</v>
      </c>
      <c r="CC18" s="147">
        <f t="shared" si="17"/>
        <v>0.50103113183146286</v>
      </c>
      <c r="CD18" s="147"/>
      <c r="CE18" s="233">
        <f>'Local emissions'!FC18/14*62</f>
        <v>22.330000000000002</v>
      </c>
      <c r="CF18" s="233">
        <f>'Local emissions'!FD18/14*62</f>
        <v>8.1245737846722434</v>
      </c>
      <c r="CH18">
        <f t="shared" si="18"/>
        <v>0</v>
      </c>
      <c r="CI18">
        <f t="shared" si="19"/>
        <v>0</v>
      </c>
      <c r="CK18" s="276">
        <f>Basicinfo!EM18</f>
        <v>0</v>
      </c>
      <c r="CL18" s="276">
        <f>Basicinfo!EN18</f>
        <v>0</v>
      </c>
      <c r="CM18">
        <f t="shared" si="23"/>
        <v>2</v>
      </c>
      <c r="CN18">
        <f t="shared" si="24"/>
        <v>0</v>
      </c>
      <c r="CO18" s="31"/>
      <c r="CP18" s="270"/>
      <c r="CQ18" s="270"/>
      <c r="CR18" s="236"/>
      <c r="CS18" s="236"/>
      <c r="CT18" s="236"/>
      <c r="CU18" s="147">
        <f>'Summed emissions'!D18</f>
        <v>214.01908271566666</v>
      </c>
      <c r="CV18" s="188"/>
      <c r="CW18" s="188"/>
      <c r="CX18" s="188"/>
      <c r="CY18" s="188"/>
      <c r="DI18" s="31"/>
      <c r="DJ18" s="233"/>
      <c r="DK18" s="233"/>
      <c r="DR18" s="236">
        <f t="shared" si="2"/>
        <v>22.330000000000002</v>
      </c>
      <c r="DS18" s="236">
        <f t="shared" si="0"/>
        <v>8.1245737846722434</v>
      </c>
      <c r="DY18" s="31">
        <f>Basicinfo!EI18</f>
        <v>4.4678178947368419E-2</v>
      </c>
      <c r="DZ18" s="31">
        <f>Intermediate!CR18</f>
        <v>4.4678178947368419E-2</v>
      </c>
    </row>
    <row r="19" spans="1:134">
      <c r="A19" s="39" t="str">
        <f>Basicinfo!A19</f>
        <v>Kleine Mühl</v>
      </c>
      <c r="B19" s="63">
        <f>Basicinfo!B19</f>
        <v>1110</v>
      </c>
      <c r="C19" s="63">
        <f>Basicinfo!C19</f>
        <v>5000</v>
      </c>
      <c r="D19" s="61">
        <f>IF(Intermediate!D19=0,0,Basicinfo!AP19*86400*365/(Intermediate!D19*1000000))</f>
        <v>131.01440308245927</v>
      </c>
      <c r="E19" s="19">
        <f>IF(Intermediate!E19=0,0,IF((Intermediate!E19-Basicinfo!AA19)&lt;0,0,'Summed emissions'!E19*86400*365/((Intermediate!E19-Basicinfo!AA19)*1000000)))</f>
        <v>0</v>
      </c>
      <c r="F19" s="19">
        <f>IF(Basicinfo!AA19=0,0,'Summed emissions'!E19*86400*365/(Basicinfo!AA19*1000000))</f>
        <v>0</v>
      </c>
      <c r="G19" s="19">
        <f>IF(D19=0,1,1/(1+Parameters!$C$138*EXP(Parameters!$C$139*Basicinfo!AQ19)*D19^Parameters!$C$140))</f>
        <v>0.93922726841681314</v>
      </c>
      <c r="H19" s="19">
        <f>IF(D19=0,1,1/(1+Parameters!$C$141*EXP(Parameters!$C$142*Basicinfo!AQ19)*D19^Parameters!$C$143))</f>
        <v>0.89515553413725635</v>
      </c>
      <c r="I19" s="161">
        <f>IF(Intermediate!AS19=0,1,IF(D19=0,1/(1+Parameters!$C$144*Intermediate!AS19^Parameters!$C$145),(1/(1+Parameters!$C$144*Intermediate!AS19^Parameters!$C$145)+1/(1+Parameters!$C$146*D19^Parameters!$C$147))/2))</f>
        <v>0.79950487385788493</v>
      </c>
      <c r="J19" s="19">
        <f>IF(E19=0,1,1/(1+Parameters!$C$138*EXP(Parameters!$C$139*Basicinfo!AQ19)*E19^Parameters!$C$140))</f>
        <v>1</v>
      </c>
      <c r="K19" s="19">
        <f>IF(E19=0,1,1/(1+Parameters!$C$141*EXP(Parameters!$C$142*Basicinfo!AQ19)*E19^Parameters!$C$143))</f>
        <v>1</v>
      </c>
      <c r="L19" s="19">
        <f>IF(E19=0,1,1/(1+Parameters!$C$146*E19^Parameters!$C$147))</f>
        <v>1</v>
      </c>
      <c r="M19" s="53">
        <f>IF(F19=0,1,1/(1+Parameters!$C$138*EXP(Parameters!$C$139*Basicinfo!AQ19)*F19^Parameters!$C$140))</f>
        <v>1</v>
      </c>
      <c r="N19" s="53">
        <f>IF(F19=0,1,1/(1+Parameters!$C$141*EXP(Parameters!$C$142*Basicinfo!AQ19)*F19^Parameters!$C$143))</f>
        <v>1</v>
      </c>
      <c r="O19" s="53">
        <f>IF(F19=0,1,1/(1+Parameters!$C$146*F19^Parameters!$C$147))</f>
        <v>1</v>
      </c>
      <c r="P19" s="64">
        <f>Basicinfo!CE19+Basicinfo!CJ19</f>
        <v>0</v>
      </c>
      <c r="Q19" s="86">
        <f>Parameters!$C$126*Intermediate!BB19*Basicinfo!P19/1000+Parameters!$C$127*Intermediate!BB19*Basicinfo!S19/1000</f>
        <v>1.1127962735565782E-2</v>
      </c>
      <c r="R19" s="48">
        <f>'Local emissions'!AE19-P19-Q19</f>
        <v>172.58214073285487</v>
      </c>
      <c r="S19" s="48">
        <f>Basicinfo!CF19+Basicinfo!CK19</f>
        <v>0</v>
      </c>
      <c r="T19" s="86">
        <f>'Local emissions'!AR19-S19</f>
        <v>7.2392752628521473</v>
      </c>
      <c r="U19" s="61">
        <f t="shared" si="20"/>
        <v>162.10498058078088</v>
      </c>
      <c r="V19" s="27">
        <f t="shared" si="3"/>
        <v>154.48785837026983</v>
      </c>
      <c r="W19" s="27">
        <f t="shared" si="4"/>
        <v>5.7878358558491128</v>
      </c>
      <c r="X19" s="61">
        <f>U19+TN!CI19</f>
        <v>162.10498058078088</v>
      </c>
      <c r="Y19" s="27">
        <f>V19+DIN!CI19</f>
        <v>154.48785837026983</v>
      </c>
      <c r="Z19" s="27">
        <f>W19+TP!CI19</f>
        <v>5.7878358558491128</v>
      </c>
      <c r="AA19" s="73">
        <f>'Summed emissions'!E19</f>
        <v>3.3249579263416096</v>
      </c>
      <c r="AB19" s="131" t="str">
        <f>IF(Basicinfo!AR19="","",Basicinfo!AR19)</f>
        <v/>
      </c>
      <c r="AC19" s="131" t="str">
        <f>IF(Basicinfo!AS19="","",Basicinfo!AS19)</f>
        <v/>
      </c>
      <c r="AD19" s="131" t="str">
        <f>IF(Basicinfo!AT19="","",Basicinfo!AT19)</f>
        <v/>
      </c>
      <c r="AE19" s="174" t="str">
        <f t="shared" si="21"/>
        <v/>
      </c>
      <c r="AF19" s="19" t="str">
        <f t="shared" si="5"/>
        <v/>
      </c>
      <c r="AG19" s="27" t="str">
        <f t="shared" si="6"/>
        <v/>
      </c>
      <c r="AH19" s="56">
        <f>'Local emissions'!AE19-U19</f>
        <v>10.488288114809563</v>
      </c>
      <c r="AI19" s="228">
        <f>'Local emissions'!AR19-W19</f>
        <v>1.4514394070030345</v>
      </c>
      <c r="AJ19" s="43">
        <f t="shared" si="7"/>
        <v>10.488288114809567</v>
      </c>
      <c r="AK19" s="58">
        <f t="shared" si="8"/>
        <v>1.4514394070030345</v>
      </c>
      <c r="AL19" s="43">
        <f>TN!CI108</f>
        <v>0</v>
      </c>
      <c r="AM19" s="43">
        <f>TP!CI108</f>
        <v>0</v>
      </c>
      <c r="AN19" s="42">
        <f>TN!CI197+(AH19-AJ19)</f>
        <v>-3.5527136788005009E-15</v>
      </c>
      <c r="AO19" s="43">
        <f>TP!CI197+(AI19-AK19)</f>
        <v>0</v>
      </c>
      <c r="AP19" s="42">
        <f t="shared" si="9"/>
        <v>10.488288114809563</v>
      </c>
      <c r="AQ19" s="42">
        <f t="shared" si="10"/>
        <v>1.4514394070030345</v>
      </c>
      <c r="AR19" s="42">
        <f>AH19/'Local emissions'!AE19*100</f>
        <v>6.076881325718543</v>
      </c>
      <c r="AS19" s="42">
        <f>AI19/'Local emissions'!AR19*100</f>
        <v>20.049512614211508</v>
      </c>
      <c r="AT19" s="42">
        <f t="shared" si="22"/>
        <v>6.076881325718543</v>
      </c>
      <c r="AU19" s="42">
        <f t="shared" si="11"/>
        <v>20.049512614211508</v>
      </c>
      <c r="AV19" s="42">
        <f>('Summed emissions'!AE19-'River loads'!X19)/'Summed emissions'!AE19*100</f>
        <v>6.076881325718543</v>
      </c>
      <c r="AW19" s="42">
        <f>('Summed emissions'!AR19-'River loads'!Z19)/'Summed emissions'!AR19*100</f>
        <v>20.049512614211508</v>
      </c>
      <c r="AX19" s="61">
        <f>X19/('Summed emissions'!$D19*100)*1000</f>
        <v>8.0431485663259181</v>
      </c>
      <c r="AY19" s="19">
        <f>Y19/('Summed emissions'!$D19*100)*1000</f>
        <v>7.6652104834397408</v>
      </c>
      <c r="AZ19" s="72">
        <f>Z19/('Summed emissions'!$D19*100)*1000</f>
        <v>0.28717454269028042</v>
      </c>
      <c r="BA19" s="43"/>
      <c r="BB19" s="43" t="str">
        <f>IF(AC19="","",AC19/('Summed emissions'!$D19*100)*1000)</f>
        <v/>
      </c>
      <c r="BC19" s="43" t="str">
        <f>IF(AD19="","",AD19/('Summed emissions'!$D19*100)*1000)</f>
        <v/>
      </c>
      <c r="BF19" s="188">
        <f>('Summed emissions'!AE19-'River loads'!Y19)/'Summed emissions'!AE19*100</f>
        <v>10.490218107667822</v>
      </c>
      <c r="BG19" s="188">
        <f>('Summed emissions'!AR19-'River loads'!Z19)/'Summed emissions'!AR19*100</f>
        <v>20.049512614211508</v>
      </c>
      <c r="BH19" s="181">
        <f>'Summed emissions'!CV19*(100-'River loads'!BG19)/100</f>
        <v>4.6717817383772315</v>
      </c>
      <c r="BI19" s="181">
        <f t="shared" si="12"/>
        <v>3.5505541211666962</v>
      </c>
      <c r="BJ19" s="233"/>
      <c r="BK19" s="233"/>
      <c r="BM19" s="31">
        <f t="shared" si="25"/>
        <v>3.3861280384131595E-2</v>
      </c>
      <c r="BN19" s="31"/>
      <c r="BO19" s="231"/>
      <c r="BP19" s="31">
        <f>BM19/Parameters!$C$156</f>
        <v>5.2094277514048604E-2</v>
      </c>
      <c r="BQ19" s="305" t="s">
        <v>934</v>
      </c>
      <c r="BR19" s="237">
        <f>Basicinfo!CW19</f>
        <v>0.1</v>
      </c>
      <c r="BS19" s="237">
        <f t="shared" si="13"/>
        <v>0.52094277514048604</v>
      </c>
      <c r="BT19" s="237"/>
      <c r="BU19" s="31">
        <f t="shared" si="14"/>
        <v>5.5198013054885572E-2</v>
      </c>
      <c r="BV19" s="232"/>
      <c r="BW19" s="31">
        <f t="shared" si="15"/>
        <v>1.4733352906900019</v>
      </c>
      <c r="BX19" s="31"/>
      <c r="BY19" s="231"/>
      <c r="BZ19" s="147">
        <f t="shared" si="16"/>
        <v>1.9909936360675702</v>
      </c>
      <c r="CA19" s="305"/>
      <c r="CB19" s="231">
        <f>Basicinfo!CV19</f>
        <v>5.5</v>
      </c>
      <c r="CC19" s="147">
        <f t="shared" si="17"/>
        <v>0.36199884292137641</v>
      </c>
      <c r="CD19" s="147"/>
      <c r="CE19" s="233">
        <f>'Local emissions'!FC19/14*62</f>
        <v>15.850000000000001</v>
      </c>
      <c r="CF19" s="233">
        <f>'Local emissions'!FD19/14*62</f>
        <v>10.258037992239629</v>
      </c>
      <c r="CH19">
        <f t="shared" si="18"/>
        <v>0</v>
      </c>
      <c r="CI19">
        <f t="shared" si="19"/>
        <v>0</v>
      </c>
      <c r="CK19" s="276">
        <f>Basicinfo!EM19</f>
        <v>0</v>
      </c>
      <c r="CL19" s="276">
        <f>Basicinfo!EN19</f>
        <v>0</v>
      </c>
      <c r="CM19">
        <f t="shared" si="23"/>
        <v>2</v>
      </c>
      <c r="CN19">
        <f t="shared" si="24"/>
        <v>0</v>
      </c>
      <c r="CO19" s="31">
        <f t="shared" si="27"/>
        <v>0</v>
      </c>
      <c r="CP19" s="270">
        <f>Basicinfo!DC19</f>
        <v>0.06</v>
      </c>
      <c r="CQ19" s="270">
        <f>Basicinfo!DD19</f>
        <v>0.09</v>
      </c>
      <c r="CR19" s="236">
        <f t="shared" si="28"/>
        <v>0</v>
      </c>
      <c r="CS19" s="236">
        <f>Basicinfo!DK19</f>
        <v>2.5</v>
      </c>
      <c r="CT19" s="236">
        <f>Basicinfo!DL19</f>
        <v>3.2</v>
      </c>
      <c r="CU19" s="147">
        <f>'Summed emissions'!D19</f>
        <v>201.54418290800001</v>
      </c>
      <c r="CV19" s="188">
        <f>(BW19-CS19)/CS19*100</f>
        <v>-41.066588372399927</v>
      </c>
      <c r="CW19" s="188">
        <f>(BM19-CP19)/CP19*100</f>
        <v>-43.564532693114003</v>
      </c>
      <c r="CX19" s="188"/>
      <c r="CY19" s="188"/>
      <c r="DB19" s="181">
        <f>CT19</f>
        <v>3.2</v>
      </c>
      <c r="DG19" s="232">
        <f>CQ19</f>
        <v>0.09</v>
      </c>
      <c r="DI19" s="31" t="e">
        <f>#REF!</f>
        <v>#REF!</v>
      </c>
      <c r="DJ19" s="233">
        <f>Basicinfo!DA19</f>
        <v>0.12</v>
      </c>
      <c r="DK19" s="233">
        <f>Basicinfo!DB19</f>
        <v>0.15</v>
      </c>
      <c r="DO19" s="31" t="e">
        <f>DI19</f>
        <v>#REF!</v>
      </c>
      <c r="DR19" s="236">
        <f t="shared" si="2"/>
        <v>15.850000000000001</v>
      </c>
      <c r="DS19" s="236">
        <f t="shared" si="0"/>
        <v>10.258037992239629</v>
      </c>
      <c r="DW19" s="31">
        <f>DR19</f>
        <v>15.850000000000001</v>
      </c>
      <c r="DY19" s="31">
        <f>Basicinfo!EI19</f>
        <v>3.9697213157894741E-2</v>
      </c>
      <c r="DZ19" s="31">
        <f>Intermediate!CR19</f>
        <v>3.9697213157894741E-2</v>
      </c>
      <c r="ED19" s="31">
        <f>DY19</f>
        <v>3.9697213157894741E-2</v>
      </c>
    </row>
    <row r="20" spans="1:134">
      <c r="A20" s="39" t="str">
        <f>Basicinfo!A20</f>
        <v>Steinerne Mühl</v>
      </c>
      <c r="B20" s="63">
        <f>Basicinfo!B20</f>
        <v>1120</v>
      </c>
      <c r="C20" s="63">
        <f>Basicinfo!C20</f>
        <v>1130</v>
      </c>
      <c r="D20" s="61">
        <f>IF(Intermediate!D20=0,0,Basicinfo!AP20*86400*365/(Intermediate!D20*1000000))</f>
        <v>113.04177981088243</v>
      </c>
      <c r="E20" s="19">
        <f>IF(Intermediate!E20=0,0,IF((Intermediate!E20-Basicinfo!AA20)&lt;0,0,'Summed emissions'!E20*86400*365/((Intermediate!E20-Basicinfo!AA20)*1000000)))</f>
        <v>0</v>
      </c>
      <c r="F20" s="19">
        <f>IF(Basicinfo!AA20=0,0,'Summed emissions'!E20*86400*365/(Basicinfo!AA20*1000000))</f>
        <v>0</v>
      </c>
      <c r="G20" s="19">
        <f>IF(D20=0,1,1/(1+Parameters!$C$138*EXP(Parameters!$C$139*Basicinfo!AQ20)*D20^Parameters!$C$140))</f>
        <v>0.92738348968037987</v>
      </c>
      <c r="H20" s="19">
        <f>IF(D20=0,1,1/(1+Parameters!$C$141*EXP(Parameters!$C$142*Basicinfo!AQ20)*D20^Parameters!$C$143))</f>
        <v>0.87585801899683113</v>
      </c>
      <c r="I20" s="161">
        <f>IF(Intermediate!AS20=0,1,IF(D20=0,1/(1+Parameters!$C$144*Intermediate!AS20^Parameters!$C$145),(1/(1+Parameters!$C$144*Intermediate!AS20^Parameters!$C$145)+1/(1+Parameters!$C$146*D20^Parameters!$C$147))/2))</f>
        <v>0.78130668406493631</v>
      </c>
      <c r="J20" s="19">
        <f>IF(E20=0,1,1/(1+Parameters!$C$138*EXP(Parameters!$C$139*Basicinfo!AQ20)*E20^Parameters!$C$140))</f>
        <v>1</v>
      </c>
      <c r="K20" s="19">
        <f>IF(E20=0,1,1/(1+Parameters!$C$141*EXP(Parameters!$C$142*Basicinfo!AQ20)*E20^Parameters!$C$143))</f>
        <v>1</v>
      </c>
      <c r="L20" s="19">
        <f>IF(E20=0,1,1/(1+Parameters!$C$146*E20^Parameters!$C$147))</f>
        <v>1</v>
      </c>
      <c r="M20" s="53">
        <f>IF(F20=0,1,1/(1+Parameters!$C$138*EXP(Parameters!$C$139*Basicinfo!AQ20)*F20^Parameters!$C$140))</f>
        <v>1</v>
      </c>
      <c r="N20" s="53">
        <f>IF(F20=0,1,1/(1+Parameters!$C$141*EXP(Parameters!$C$142*Basicinfo!AQ20)*F20^Parameters!$C$143))</f>
        <v>1</v>
      </c>
      <c r="O20" s="53">
        <f>IF(F20=0,1,1/(1+Parameters!$C$146*F20^Parameters!$C$147))</f>
        <v>1</v>
      </c>
      <c r="P20" s="64">
        <f>Basicinfo!CE20+Basicinfo!CJ20</f>
        <v>0</v>
      </c>
      <c r="Q20" s="86">
        <f>Parameters!$C$126*Intermediate!BB20*Basicinfo!P20/1000+Parameters!$C$127*Intermediate!BB20*Basicinfo!S20/1000</f>
        <v>1.472531478267858E-2</v>
      </c>
      <c r="R20" s="48">
        <f>'Local emissions'!AE20-P20-Q20</f>
        <v>80.443654157590586</v>
      </c>
      <c r="S20" s="48">
        <f>Basicinfo!CF20+Basicinfo!CK20</f>
        <v>0</v>
      </c>
      <c r="T20" s="86">
        <f>'Local emissions'!AR20-S20</f>
        <v>2.1238675979101602</v>
      </c>
      <c r="U20" s="61">
        <f t="shared" si="20"/>
        <v>74.616842030090638</v>
      </c>
      <c r="V20" s="27">
        <f t="shared" si="3"/>
        <v>70.457219571333496</v>
      </c>
      <c r="W20" s="27">
        <f t="shared" si="4"/>
        <v>1.6593919503161487</v>
      </c>
      <c r="X20" s="61">
        <f>U20+TN!CI20</f>
        <v>96.325022409920976</v>
      </c>
      <c r="Y20" s="27">
        <f>V20+DIN!CI20</f>
        <v>91.964817253444039</v>
      </c>
      <c r="Z20" s="27">
        <f>W20+TP!CI20</f>
        <v>1.999443325497271</v>
      </c>
      <c r="AA20" s="73">
        <f>'Summed emissions'!E20</f>
        <v>1.9216645167887725</v>
      </c>
      <c r="AB20" s="131" t="str">
        <f>IF(Basicinfo!AR20="","",Basicinfo!AR20)</f>
        <v/>
      </c>
      <c r="AC20" s="131" t="str">
        <f>IF(Basicinfo!AS20="","",Basicinfo!AS20)</f>
        <v/>
      </c>
      <c r="AD20" s="131" t="str">
        <f>IF(Basicinfo!AT20="","",Basicinfo!AT20)</f>
        <v/>
      </c>
      <c r="AE20" s="174" t="str">
        <f t="shared" si="21"/>
        <v/>
      </c>
      <c r="AF20" s="19" t="str">
        <f t="shared" si="5"/>
        <v/>
      </c>
      <c r="AG20" s="27" t="str">
        <f t="shared" si="6"/>
        <v/>
      </c>
      <c r="AH20" s="56">
        <f>'Local emissions'!AE20-U20</f>
        <v>5.8415374422826289</v>
      </c>
      <c r="AI20" s="228">
        <f>'Local emissions'!AR20-W20</f>
        <v>0.4644756475940115</v>
      </c>
      <c r="AJ20" s="43">
        <f t="shared" si="7"/>
        <v>5.8415374422826298</v>
      </c>
      <c r="AK20" s="58">
        <f t="shared" si="8"/>
        <v>0.4644756475940115</v>
      </c>
      <c r="AL20" s="43">
        <f>TN!CI109</f>
        <v>0</v>
      </c>
      <c r="AM20" s="43">
        <f>TP!CI109</f>
        <v>0</v>
      </c>
      <c r="AN20" s="42">
        <f>TN!CI198+(AH20-AJ20)</f>
        <v>-8.8817841970012523E-16</v>
      </c>
      <c r="AO20" s="43">
        <f>TP!CI198+(AI20-AK20)</f>
        <v>0</v>
      </c>
      <c r="AP20" s="42">
        <f t="shared" si="9"/>
        <v>5.8415374422826289</v>
      </c>
      <c r="AQ20" s="42">
        <f t="shared" si="10"/>
        <v>0.4644756475940115</v>
      </c>
      <c r="AR20" s="42">
        <f>AH20/'Local emissions'!AE20*100</f>
        <v>7.2603220206397756</v>
      </c>
      <c r="AS20" s="42">
        <f>AI20/'Local emissions'!AR20*100</f>
        <v>21.86933159350637</v>
      </c>
      <c r="AT20" s="42">
        <f t="shared" si="22"/>
        <v>5.7176608968072582</v>
      </c>
      <c r="AU20" s="42">
        <f t="shared" si="11"/>
        <v>18.851092615731226</v>
      </c>
      <c r="AV20" s="42">
        <f>('Summed emissions'!AE20-'River loads'!X20)/'Summed emissions'!AE20*100</f>
        <v>5.8854489553349998</v>
      </c>
      <c r="AW20" s="42">
        <f>('Summed emissions'!AR20-'River loads'!Z20)/'Summed emissions'!AR20*100</f>
        <v>21.129849643818616</v>
      </c>
      <c r="AX20" s="61">
        <f>X20/('Summed emissions'!$D20*100)*1000</f>
        <v>7.1160613184881356</v>
      </c>
      <c r="AY20" s="19">
        <f>Y20/('Summed emissions'!$D20*100)*1000</f>
        <v>6.7939488862414299</v>
      </c>
      <c r="AZ20" s="72">
        <f>Z20/('Summed emissions'!$D20*100)*1000</f>
        <v>0.14770991951116313</v>
      </c>
      <c r="BA20" s="43" t="str">
        <f>IF(AB20="","",AB20/('Summed emissions'!$D20*100)*1000)</f>
        <v/>
      </c>
      <c r="BB20" s="43" t="str">
        <f>IF(AC20="","",AC20/('Summed emissions'!$D20*100)*1000)</f>
        <v/>
      </c>
      <c r="BC20" s="43" t="str">
        <f>IF(AD20="","",AD20/('Summed emissions'!$D20*100)*1000)</f>
        <v/>
      </c>
      <c r="BF20" s="188">
        <f>('Summed emissions'!AE20-'River loads'!Y20)/'Summed emissions'!AE20*100</f>
        <v>10.145595908824784</v>
      </c>
      <c r="BG20" s="188">
        <f>('Summed emissions'!AR20-'River loads'!Z20)/'Summed emissions'!AR20*100</f>
        <v>21.129849643818616</v>
      </c>
      <c r="BH20" s="181">
        <f>'Summed emissions'!CV20*(100-'River loads'!BG20)/100</f>
        <v>1.2441569654221396</v>
      </c>
      <c r="BI20" s="181">
        <f t="shared" si="12"/>
        <v>0.94555929372082614</v>
      </c>
      <c r="BJ20" s="233"/>
      <c r="BK20" s="233"/>
      <c r="BM20" s="31">
        <f t="shared" si="25"/>
        <v>1.5602873576656937E-2</v>
      </c>
      <c r="BN20" s="31"/>
      <c r="BO20" s="231"/>
      <c r="BP20" s="31">
        <f>BM20/Parameters!$C$156</f>
        <v>2.4004420887164517E-2</v>
      </c>
      <c r="BQ20" s="305" t="s">
        <v>934</v>
      </c>
      <c r="BR20" s="237">
        <f>Basicinfo!CW20</f>
        <v>0.1</v>
      </c>
      <c r="BS20" s="237">
        <f t="shared" si="13"/>
        <v>0.24004420887164515</v>
      </c>
      <c r="BT20" s="237"/>
      <c r="BU20" s="31">
        <f t="shared" si="14"/>
        <v>3.2993236530585349E-2</v>
      </c>
      <c r="BV20" s="232"/>
      <c r="BW20" s="31">
        <f t="shared" si="15"/>
        <v>1.5175308694385281</v>
      </c>
      <c r="BX20" s="31"/>
      <c r="BY20" s="231"/>
      <c r="BZ20" s="147">
        <f t="shared" si="16"/>
        <v>2.050717391133146</v>
      </c>
      <c r="CA20" s="305"/>
      <c r="CB20" s="231">
        <f>Basicinfo!CV20</f>
        <v>5.5</v>
      </c>
      <c r="CC20" s="147">
        <f t="shared" si="17"/>
        <v>0.3728577074787538</v>
      </c>
      <c r="CD20" s="147"/>
      <c r="CE20" s="233">
        <f>'Local emissions'!FC20/14*62</f>
        <v>13.320000000000002</v>
      </c>
      <c r="CF20" s="233">
        <f>'Local emissions'!FD20/14*62</f>
        <v>9.5447041328867481</v>
      </c>
      <c r="CH20">
        <f t="shared" si="18"/>
        <v>0</v>
      </c>
      <c r="CI20">
        <f t="shared" si="19"/>
        <v>0</v>
      </c>
      <c r="CK20" s="276">
        <f>Basicinfo!EM20</f>
        <v>0</v>
      </c>
      <c r="CL20" s="276">
        <f>Basicinfo!EN20</f>
        <v>0</v>
      </c>
      <c r="CM20">
        <f t="shared" si="23"/>
        <v>2</v>
      </c>
      <c r="CN20">
        <f t="shared" si="24"/>
        <v>0</v>
      </c>
      <c r="CO20" s="31"/>
      <c r="CP20" s="270"/>
      <c r="CQ20" s="270"/>
      <c r="CR20" s="236"/>
      <c r="CS20" s="236"/>
      <c r="CT20" s="236"/>
      <c r="CU20" s="147">
        <f>'Summed emissions'!D20</f>
        <v>135.36283359399999</v>
      </c>
      <c r="CV20" s="188"/>
      <c r="CW20" s="188"/>
      <c r="CX20" s="188"/>
      <c r="CY20" s="188"/>
      <c r="DB20" s="181"/>
      <c r="DI20" s="31"/>
      <c r="DJ20" s="233"/>
      <c r="DK20" s="233"/>
      <c r="DR20" s="236">
        <f t="shared" si="2"/>
        <v>13.320000000000002</v>
      </c>
      <c r="DS20" s="236">
        <f t="shared" si="0"/>
        <v>9.5447041328867481</v>
      </c>
      <c r="DY20" s="31">
        <f>Basicinfo!EI20</f>
        <v>2.053081052631579E-2</v>
      </c>
      <c r="DZ20" s="31">
        <f>Intermediate!CR20</f>
        <v>2.053081052631579E-2</v>
      </c>
    </row>
    <row r="21" spans="1:134">
      <c r="A21" s="39" t="str">
        <f>Basicinfo!A21</f>
        <v>Große Mühl</v>
      </c>
      <c r="B21" s="63">
        <f>Basicinfo!B21</f>
        <v>1130</v>
      </c>
      <c r="C21" s="63">
        <f>Basicinfo!C21</f>
        <v>5000</v>
      </c>
      <c r="D21" s="61">
        <f>IF(Intermediate!D21=0,0,Basicinfo!AP21*86400*365/(Intermediate!D21*1000000))</f>
        <v>67.483651379487284</v>
      </c>
      <c r="E21" s="19">
        <f>IF(Intermediate!E21=0,0,IF((Intermediate!E21-Basicinfo!AA21)&lt;0,0,'Summed emissions'!E21*86400*365/((Intermediate!E21-Basicinfo!AA21)*1000000)))</f>
        <v>1095.9481495487535</v>
      </c>
      <c r="F21" s="19">
        <f>IF(Basicinfo!AA21=0,0,'Summed emissions'!E21*86400*365/(Basicinfo!AA21*1000000))</f>
        <v>0</v>
      </c>
      <c r="G21" s="19">
        <f>IF(D21=0,1,1/(1+Parameters!$C$138*EXP(Parameters!$C$139*Basicinfo!AQ21)*D21^Parameters!$C$140))</f>
        <v>0.8807408025266722</v>
      </c>
      <c r="H21" s="19">
        <f>IF(D21=0,1,1/(1+Parameters!$C$141*EXP(Parameters!$C$142*Basicinfo!AQ21)*D21^Parameters!$C$143))</f>
        <v>0.80314491917250974</v>
      </c>
      <c r="I21" s="161">
        <f>IF(Intermediate!AS21=0,1,IF(D21=0,1/(1+Parameters!$C$144*Intermediate!AS21^Parameters!$C$145),(1/(1+Parameters!$C$144*Intermediate!AS21^Parameters!$C$145)+1/(1+Parameters!$C$146*D21^Parameters!$C$147))/2))</f>
        <v>0.74351205438673018</v>
      </c>
      <c r="J21" s="19">
        <f>IF(E21=0,1,1/(1+Parameters!$C$138*EXP(Parameters!$C$139*Basicinfo!AQ21)*E21^Parameters!$C$140))</f>
        <v>0.99173112786599726</v>
      </c>
      <c r="K21" s="19">
        <f>IF(E21=0,1,1/(1+Parameters!$C$141*EXP(Parameters!$C$142*Basicinfo!AQ21)*E21^Parameters!$C$143))</f>
        <v>0.98513189370766063</v>
      </c>
      <c r="L21" s="19">
        <f>IF(E21=0,1,1/(1+Parameters!$C$146*E21^Parameters!$C$147))</f>
        <v>0.97705244544987391</v>
      </c>
      <c r="M21" s="53">
        <f>IF(F21=0,1,1/(1+Parameters!$C$138*EXP(Parameters!$C$139*Basicinfo!AQ21)*F21^Parameters!$C$140))</f>
        <v>1</v>
      </c>
      <c r="N21" s="53">
        <f>IF(F21=0,1,1/(1+Parameters!$C$141*EXP(Parameters!$C$142*Basicinfo!AQ21)*F21^Parameters!$C$143))</f>
        <v>1</v>
      </c>
      <c r="O21" s="53">
        <f>IF(F21=0,1,1/(1+Parameters!$C$146*F21^Parameters!$C$147))</f>
        <v>1</v>
      </c>
      <c r="P21" s="64">
        <f>Basicinfo!CE21+Basicinfo!CJ21</f>
        <v>7.1078833333333336</v>
      </c>
      <c r="Q21" s="86">
        <f>Parameters!$C$126*Intermediate!BB21*Basicinfo!P21/1000+Parameters!$C$127*Intermediate!BB21*Basicinfo!S21/1000</f>
        <v>1.452646996403917E-2</v>
      </c>
      <c r="R21" s="48">
        <f>'Local emissions'!AE21-P21-Q21</f>
        <v>130.59490692704395</v>
      </c>
      <c r="S21" s="48">
        <f>Basicinfo!CF21+Basicinfo!CK21</f>
        <v>2.4520211666666665</v>
      </c>
      <c r="T21" s="86">
        <f>'Local emissions'!AR21-S21</f>
        <v>5.2036508645856188</v>
      </c>
      <c r="U21" s="61">
        <f t="shared" si="20"/>
        <v>122.14267293611812</v>
      </c>
      <c r="V21" s="27">
        <f t="shared" si="3"/>
        <v>111.99451930159547</v>
      </c>
      <c r="W21" s="27">
        <f t="shared" si="4"/>
        <v>6.3209983113060044</v>
      </c>
      <c r="X21" s="61">
        <f>U21+TN!CI21</f>
        <v>447.92669338655656</v>
      </c>
      <c r="Y21" s="27">
        <f>V21+DIN!CI21</f>
        <v>423.00695070071015</v>
      </c>
      <c r="Z21" s="27">
        <f>W21+TP!CI21</f>
        <v>12.263732070077054</v>
      </c>
      <c r="AA21" s="73">
        <f>'Summed emissions'!E21</f>
        <v>9.3340533377709463</v>
      </c>
      <c r="AB21" s="131" t="str">
        <f>IF(Basicinfo!AR21="","",Basicinfo!AR21)</f>
        <v/>
      </c>
      <c r="AC21" s="131" t="str">
        <f>IF(Basicinfo!AS21="","",Basicinfo!AS21)</f>
        <v/>
      </c>
      <c r="AD21" s="131" t="str">
        <f>IF(Basicinfo!AT21="","",Basicinfo!AT21)</f>
        <v/>
      </c>
      <c r="AE21" s="174" t="str">
        <f t="shared" si="21"/>
        <v/>
      </c>
      <c r="AF21" s="19" t="str">
        <f t="shared" si="5"/>
        <v/>
      </c>
      <c r="AG21" s="27" t="str">
        <f t="shared" si="6"/>
        <v/>
      </c>
      <c r="AH21" s="56">
        <f>'Local emissions'!AE21-U21</f>
        <v>15.574643794223221</v>
      </c>
      <c r="AI21" s="228">
        <f>'Local emissions'!AR21-W21</f>
        <v>1.3346737199462808</v>
      </c>
      <c r="AJ21" s="43">
        <f t="shared" si="7"/>
        <v>15.574643794223199</v>
      </c>
      <c r="AK21" s="58">
        <f t="shared" si="8"/>
        <v>1.3346737199462806</v>
      </c>
      <c r="AL21" s="43">
        <f>TN!CI110</f>
        <v>2.7148724391209007</v>
      </c>
      <c r="AM21" s="43">
        <f>TP!CI110</f>
        <v>0.13957409117735109</v>
      </c>
      <c r="AN21" s="42">
        <f>TN!CI199+(AH21-AJ21)</f>
        <v>2.1316282072803006E-14</v>
      </c>
      <c r="AO21" s="43">
        <f>TP!CI199+(AI21-AK21)</f>
        <v>2.2204460492503131E-16</v>
      </c>
      <c r="AP21" s="42">
        <f t="shared" si="9"/>
        <v>18.28951623334412</v>
      </c>
      <c r="AQ21" s="42">
        <f t="shared" si="10"/>
        <v>1.4742478111236319</v>
      </c>
      <c r="AR21" s="42">
        <f>AH21/'Local emissions'!AE21*100</f>
        <v>11.309139739281514</v>
      </c>
      <c r="AS21" s="42">
        <f>AI21/'Local emissions'!AR21*100</f>
        <v>17.433789150029195</v>
      </c>
      <c r="AT21" s="42">
        <f t="shared" si="22"/>
        <v>3.9229687548305749</v>
      </c>
      <c r="AU21" s="42">
        <f t="shared" si="11"/>
        <v>10.731183360815812</v>
      </c>
      <c r="AV21" s="42">
        <f>('Summed emissions'!AE21-'River loads'!X21)/'Summed emissions'!AE21*100</f>
        <v>7.3878508804003467</v>
      </c>
      <c r="AW21" s="42">
        <f>('Summed emissions'!AR21-'River loads'!Z21)/'Summed emissions'!AR21*100</f>
        <v>17.802586615029533</v>
      </c>
      <c r="AX21" s="61">
        <f>X21/('Summed emissions'!$D21*100)*1000</f>
        <v>8.5161957329213216</v>
      </c>
      <c r="AY21" s="19">
        <f>Y21/('Summed emissions'!$D21*100)*1000</f>
        <v>8.0424097106545975</v>
      </c>
      <c r="AZ21" s="72">
        <f>Z21/('Summed emissions'!$D21*100)*1000</f>
        <v>0.23316391781712711</v>
      </c>
      <c r="BA21" s="43" t="str">
        <f>IF(AB21="","",AB21/('Summed emissions'!$D21*100)*1000)</f>
        <v/>
      </c>
      <c r="BB21" s="43" t="str">
        <f>IF(AC21="","",AC21/('Summed emissions'!$D21*100)*1000)</f>
        <v/>
      </c>
      <c r="BC21" s="43" t="str">
        <f>IF(AD21="","",AD21/('Summed emissions'!$D21*100)*1000)</f>
        <v/>
      </c>
      <c r="BF21" s="188">
        <f>('Summed emissions'!AE21-'River loads'!Y21)/'Summed emissions'!AE21*100</f>
        <v>12.540191564084473</v>
      </c>
      <c r="BG21" s="188">
        <f>('Summed emissions'!AR21-'River loads'!Z21)/'Summed emissions'!AR21*100</f>
        <v>17.802586615029533</v>
      </c>
      <c r="BH21" s="181">
        <f>'Summed emissions'!CV21*(100-'River loads'!BG21)/100</f>
        <v>9.1014029156364025</v>
      </c>
      <c r="BI21" s="181">
        <f t="shared" si="12"/>
        <v>6.9170662158836658</v>
      </c>
      <c r="BJ21" s="233"/>
      <c r="BK21" s="233"/>
      <c r="BM21" s="31">
        <f t="shared" si="25"/>
        <v>2.3498765531585954E-2</v>
      </c>
      <c r="BN21" s="31"/>
      <c r="BO21" s="231"/>
      <c r="BP21" s="31">
        <f>BM21/Parameters!$C$156</f>
        <v>3.61519469716707E-2</v>
      </c>
      <c r="BQ21" s="305" t="s">
        <v>934</v>
      </c>
      <c r="BR21" s="237">
        <f>Basicinfo!CW21</f>
        <v>0.1</v>
      </c>
      <c r="BS21" s="237">
        <f t="shared" si="13"/>
        <v>0.36151946971670695</v>
      </c>
      <c r="BT21" s="237"/>
      <c r="BU21" s="31">
        <f t="shared" si="14"/>
        <v>4.1662542393360064E-2</v>
      </c>
      <c r="BV21" s="232"/>
      <c r="BW21" s="31">
        <f t="shared" si="15"/>
        <v>1.4370458287534633</v>
      </c>
      <c r="BX21" s="31"/>
      <c r="BY21" s="231"/>
      <c r="BZ21" s="147">
        <f t="shared" si="16"/>
        <v>1.9419538226398154</v>
      </c>
      <c r="CA21" s="305"/>
      <c r="CB21" s="231">
        <f>Basicinfo!CV21</f>
        <v>5.5</v>
      </c>
      <c r="CC21" s="147">
        <f t="shared" si="17"/>
        <v>0.35308251320723916</v>
      </c>
      <c r="CD21" s="147"/>
      <c r="CE21" s="233">
        <f>'Local emissions'!FC21/14*62</f>
        <v>9.6</v>
      </c>
      <c r="CF21" s="233">
        <f>'Local emissions'!FD21/14*62</f>
        <v>10.390242466923386</v>
      </c>
      <c r="CH21">
        <f t="shared" si="18"/>
        <v>0</v>
      </c>
      <c r="CI21">
        <f t="shared" si="19"/>
        <v>0</v>
      </c>
      <c r="CK21" s="276">
        <f>Basicinfo!EM21</f>
        <v>0</v>
      </c>
      <c r="CL21" s="276">
        <f>Basicinfo!EN21</f>
        <v>0</v>
      </c>
      <c r="CM21">
        <f t="shared" si="23"/>
        <v>2</v>
      </c>
      <c r="CN21">
        <f t="shared" si="24"/>
        <v>0</v>
      </c>
      <c r="CO21" s="31"/>
      <c r="CP21" s="270">
        <f>Basicinfo!DC21</f>
        <v>2.5000000000000001E-2</v>
      </c>
      <c r="CQ21" s="270">
        <f>Basicinfo!DD21</f>
        <v>0.04</v>
      </c>
      <c r="CR21" s="236"/>
      <c r="CS21" s="236">
        <f>Basicinfo!DK21</f>
        <v>1.4</v>
      </c>
      <c r="CT21" s="236">
        <f>Basicinfo!DL21</f>
        <v>2.2000000000000002</v>
      </c>
      <c r="CU21" s="147">
        <f>'Summed emissions'!D21</f>
        <v>525.97040678033329</v>
      </c>
      <c r="CV21" s="188">
        <f>(BW21-CS21)/CS21*100</f>
        <v>2.6461306252473862</v>
      </c>
      <c r="CW21" s="188">
        <f>(BM21-CP21)/CP21*100</f>
        <v>-6.0049378736561909</v>
      </c>
      <c r="CX21" s="188"/>
      <c r="CY21" s="188"/>
      <c r="DB21" s="181">
        <f>CT21</f>
        <v>2.2000000000000002</v>
      </c>
      <c r="DG21" s="232">
        <f>CQ21</f>
        <v>0.04</v>
      </c>
      <c r="DI21" s="31">
        <f>DJ21</f>
        <v>0.06</v>
      </c>
      <c r="DJ21" s="233">
        <f>Basicinfo!DA21</f>
        <v>0.06</v>
      </c>
      <c r="DK21" s="233">
        <f>Basicinfo!DB21</f>
        <v>0.08</v>
      </c>
      <c r="DO21" s="31">
        <f>DI21</f>
        <v>0.06</v>
      </c>
      <c r="DR21" s="236">
        <f t="shared" si="2"/>
        <v>9.6</v>
      </c>
      <c r="DS21" s="236">
        <f t="shared" si="0"/>
        <v>10.390242466923386</v>
      </c>
      <c r="DW21" s="31">
        <f>DR21</f>
        <v>9.6</v>
      </c>
      <c r="DY21" s="31">
        <f>Basicinfo!EI21</f>
        <v>4.3740021052631577E-2</v>
      </c>
      <c r="DZ21" s="31">
        <f>Intermediate!CR21</f>
        <v>4.3740021052631577E-2</v>
      </c>
      <c r="ED21" s="31">
        <f>DY21</f>
        <v>4.3740021052631577E-2</v>
      </c>
    </row>
    <row r="22" spans="1:134">
      <c r="A22" s="39" t="str">
        <f>Basicinfo!A22</f>
        <v>Große Mühl</v>
      </c>
      <c r="B22" s="63">
        <f>Basicinfo!B22</f>
        <v>1140</v>
      </c>
      <c r="C22" s="63">
        <f>Basicinfo!C22</f>
        <v>1130</v>
      </c>
      <c r="D22" s="61">
        <f>IF(Intermediate!D22=0,0,Basicinfo!AP22*86400*365/(Intermediate!D22*1000000))</f>
        <v>115.93070069055236</v>
      </c>
      <c r="E22" s="19">
        <f>IF(Intermediate!E22=0,0,IF((Intermediate!E22-Basicinfo!AA22)&lt;0,0,'Summed emissions'!E22*86400*365/((Intermediate!E22-Basicinfo!AA22)*1000000)))</f>
        <v>0</v>
      </c>
      <c r="F22" s="19">
        <f>IF(Basicinfo!AA22=0,0,'Summed emissions'!E22*86400*365/(Basicinfo!AA22*1000000))</f>
        <v>0</v>
      </c>
      <c r="G22" s="19">
        <f>IF(D22=0,1,1/(1+Parameters!$C$138*EXP(Parameters!$C$139*Basicinfo!AQ22)*D22^Parameters!$C$140))</f>
        <v>0.93093689447729244</v>
      </c>
      <c r="H22" s="19">
        <f>IF(D22=0,1,1/(1+Parameters!$C$141*EXP(Parameters!$C$142*Basicinfo!AQ22)*D22^Parameters!$C$143))</f>
        <v>0.88161089065259701</v>
      </c>
      <c r="I22" s="161">
        <f>IF(Intermediate!AS22=0,1,IF(D22=0,1/(1+Parameters!$C$144*Intermediate!AS22^Parameters!$C$145),(1/(1+Parameters!$C$144*Intermediate!AS22^Parameters!$C$145)+1/(1+Parameters!$C$146*D22^Parameters!$C$147))/2))</f>
        <v>0.81518871512828639</v>
      </c>
      <c r="J22" s="19">
        <f>IF(E22=0,1,1/(1+Parameters!$C$138*EXP(Parameters!$C$139*Basicinfo!AQ22)*E22^Parameters!$C$140))</f>
        <v>1</v>
      </c>
      <c r="K22" s="19">
        <f>IF(E22=0,1,1/(1+Parameters!$C$141*EXP(Parameters!$C$142*Basicinfo!AQ22)*E22^Parameters!$C$143))</f>
        <v>1</v>
      </c>
      <c r="L22" s="19">
        <f>IF(E22=0,1,1/(1+Parameters!$C$146*E22^Parameters!$C$147))</f>
        <v>1</v>
      </c>
      <c r="M22" s="53">
        <f>IF(F22=0,1,1/(1+Parameters!$C$138*EXP(Parameters!$C$139*Basicinfo!AQ22)*F22^Parameters!$C$140))</f>
        <v>1</v>
      </c>
      <c r="N22" s="53">
        <f>IF(F22=0,1,1/(1+Parameters!$C$141*EXP(Parameters!$C$142*Basicinfo!AQ22)*F22^Parameters!$C$143))</f>
        <v>1</v>
      </c>
      <c r="O22" s="53">
        <f>IF(F22=0,1,1/(1+Parameters!$C$146*F22^Parameters!$C$147))</f>
        <v>1</v>
      </c>
      <c r="P22" s="64">
        <f>Basicinfo!CE22+Basicinfo!CJ22</f>
        <v>1.00709475</v>
      </c>
      <c r="Q22" s="86">
        <f>Parameters!$C$126*Intermediate!BB22*Basicinfo!P22/1000+Parameters!$C$127*Intermediate!BB22*Basicinfo!S22/1000</f>
        <v>4.9299255137864581E-2</v>
      </c>
      <c r="R22" s="48">
        <f>'Local emissions'!AE22-P22-Q22</f>
        <v>120.89620968939614</v>
      </c>
      <c r="S22" s="48">
        <f>Basicinfo!CF22+Basicinfo!CK22</f>
        <v>0.97649116666666669</v>
      </c>
      <c r="T22" s="86">
        <f>'Local emissions'!AR22-S22</f>
        <v>2.3110703681078695</v>
      </c>
      <c r="U22" s="61">
        <f t="shared" si="20"/>
        <v>113.60313600745985</v>
      </c>
      <c r="V22" s="27">
        <f t="shared" si="3"/>
        <v>107.59050985079166</v>
      </c>
      <c r="W22" s="27">
        <f t="shared" si="4"/>
        <v>2.8604496506155765</v>
      </c>
      <c r="X22" s="61">
        <f>U22+TN!CI22</f>
        <v>209.64204192584992</v>
      </c>
      <c r="Y22" s="27">
        <f>V22+DIN!CI22</f>
        <v>201.42065857002757</v>
      </c>
      <c r="Z22" s="27">
        <f>W22+TP!CI22</f>
        <v>3.7369302883644888</v>
      </c>
      <c r="AA22" s="73">
        <f>'Summed emissions'!E22</f>
        <v>4.6440261855736029</v>
      </c>
      <c r="AB22" s="131">
        <f>IF(Basicinfo!AR22="","",Basicinfo!AR22)</f>
        <v>176.29511223699981</v>
      </c>
      <c r="AC22" s="131">
        <f>IF(Basicinfo!AS22="","",Basicinfo!AS22)</f>
        <v>160.26828385181801</v>
      </c>
      <c r="AD22" s="131">
        <f>IF(Basicinfo!AT22="","",Basicinfo!AT22)</f>
        <v>6.7155726656676897</v>
      </c>
      <c r="AE22" s="174">
        <f t="shared" si="21"/>
        <v>18.91540228524353</v>
      </c>
      <c r="AF22" s="19">
        <f t="shared" si="5"/>
        <v>25.677179370223072</v>
      </c>
      <c r="AG22" s="27">
        <f t="shared" si="6"/>
        <v>-44.35425727028526</v>
      </c>
      <c r="AH22" s="56">
        <f>'Local emissions'!AE22-U22</f>
        <v>8.3494676870741529</v>
      </c>
      <c r="AI22" s="228">
        <f>'Local emissions'!AR22-W22</f>
        <v>0.4271118841589594</v>
      </c>
      <c r="AJ22" s="43">
        <f t="shared" si="7"/>
        <v>8.3494676870741458</v>
      </c>
      <c r="AK22" s="58">
        <f t="shared" si="8"/>
        <v>0.42711188415895951</v>
      </c>
      <c r="AL22" s="43">
        <f>TN!CI111</f>
        <v>0</v>
      </c>
      <c r="AM22" s="43">
        <f>TP!CI111</f>
        <v>0</v>
      </c>
      <c r="AN22" s="42">
        <f>TN!CI200+(AH22-AJ22)</f>
        <v>7.1054273576010019E-15</v>
      </c>
      <c r="AO22" s="43">
        <f>TP!CI200+(AI22-AK22)</f>
        <v>-1.1102230246251565E-16</v>
      </c>
      <c r="AP22" s="42">
        <f t="shared" si="9"/>
        <v>8.3494676870741529</v>
      </c>
      <c r="AQ22" s="42">
        <f t="shared" si="10"/>
        <v>0.4271118841589594</v>
      </c>
      <c r="AR22" s="42">
        <f>AH22/'Local emissions'!AE22*100</f>
        <v>6.8464857937661074</v>
      </c>
      <c r="AS22" s="42">
        <f>AI22/'Local emissions'!AR22*100</f>
        <v>12.991753299250448</v>
      </c>
      <c r="AT22" s="42">
        <f t="shared" si="22"/>
        <v>3.8301802221104202</v>
      </c>
      <c r="AU22" s="42">
        <f t="shared" si="11"/>
        <v>10.25714597650498</v>
      </c>
      <c r="AV22" s="42">
        <f>('Summed emissions'!AE22-'River loads'!X22)/'Summed emissions'!AE22*100</f>
        <v>5.0816399089127984</v>
      </c>
      <c r="AW22" s="42">
        <f>('Summed emissions'!AR22-'River loads'!Z22)/'Summed emissions'!AR22*100</f>
        <v>13.310705102494994</v>
      </c>
      <c r="AX22" s="61">
        <f>X22/('Summed emissions'!$D22*100)*1000</f>
        <v>9.6507556525909397</v>
      </c>
      <c r="AY22" s="19">
        <f>Y22/('Summed emissions'!$D22*100)*1000</f>
        <v>9.2722888089919682</v>
      </c>
      <c r="AZ22" s="72">
        <f>Z22/('Summed emissions'!$D22*100)*1000</f>
        <v>0.17202752259266649</v>
      </c>
      <c r="BA22" s="43">
        <f>IF(AB22="","",AB22/('Summed emissions'!$D22*100)*1000)</f>
        <v>8.1156481558558582</v>
      </c>
      <c r="BB22" s="43">
        <f>IF(AC22="","",AC22/('Summed emissions'!$D22*100)*1000)</f>
        <v>7.3778619598689614</v>
      </c>
      <c r="BC22" s="43">
        <f>IF(AD22="","",AD22/('Summed emissions'!$D22*100)*1000)</f>
        <v>0.30914767986519132</v>
      </c>
      <c r="BF22" s="188">
        <f>('Summed emissions'!AE22-'River loads'!Y22)/'Summed emissions'!AE22*100</f>
        <v>8.8039859548019592</v>
      </c>
      <c r="BG22" s="188">
        <f>('Summed emissions'!AR22-'River loads'!Z22)/'Summed emissions'!AR22*100</f>
        <v>13.310705102494994</v>
      </c>
      <c r="BH22" s="181">
        <f>'Summed emissions'!CV22*(100-'River loads'!BG22)/100</f>
        <v>2.5319975642446271</v>
      </c>
      <c r="BI22" s="181">
        <f t="shared" si="12"/>
        <v>1.9243181488259167</v>
      </c>
      <c r="BJ22" s="233"/>
      <c r="BK22" s="233">
        <f>Basicinfo!CQ22</f>
        <v>2.3018994794524801</v>
      </c>
      <c r="BM22" s="31">
        <f t="shared" si="25"/>
        <v>1.3139402271117031E-2</v>
      </c>
      <c r="BN22" s="31">
        <f>BK22*1000000/24/3600/365/$AA22</f>
        <v>1.5717558589079854E-2</v>
      </c>
      <c r="BO22" s="231">
        <v>2.4307692307692301E-2</v>
      </c>
      <c r="BP22" s="31">
        <f>BM22/Parameters!$C$156</f>
        <v>2.0214465032487739E-2</v>
      </c>
      <c r="BQ22" s="305">
        <v>3.8699999999999998E-2</v>
      </c>
      <c r="BR22" s="237">
        <f>Basicinfo!CW22</f>
        <v>0.08</v>
      </c>
      <c r="BS22" s="237">
        <f t="shared" si="13"/>
        <v>0.25268081290609673</v>
      </c>
      <c r="BT22" s="237">
        <f t="shared" si="26"/>
        <v>0.48374999999999996</v>
      </c>
      <c r="BU22" s="31">
        <f t="shared" si="14"/>
        <v>2.5516066741822486E-2</v>
      </c>
      <c r="BV22" s="232">
        <v>6.0826923076923098E-2</v>
      </c>
      <c r="BW22" s="31">
        <f t="shared" si="15"/>
        <v>1.3753167896273519</v>
      </c>
      <c r="BX22" s="31">
        <v>1.44871490384615</v>
      </c>
      <c r="BY22" s="231">
        <f t="shared" si="1"/>
        <v>1.5563489583333336</v>
      </c>
      <c r="BZ22" s="147">
        <f t="shared" si="16"/>
        <v>1.8585362021991243</v>
      </c>
      <c r="CA22" s="305">
        <v>1.8140000000000001</v>
      </c>
      <c r="CB22" s="231">
        <f>Basicinfo!CV22</f>
        <v>5.5</v>
      </c>
      <c r="CC22" s="147">
        <f t="shared" si="17"/>
        <v>0.33791567312711351</v>
      </c>
      <c r="CD22" s="147"/>
      <c r="CE22" s="233">
        <f>'Local emissions'!FC22/14*62</f>
        <v>6.55</v>
      </c>
      <c r="CF22" s="233">
        <f>'Local emissions'!FD22/14*62</f>
        <v>6.3288782745437802</v>
      </c>
      <c r="CH22">
        <f t="shared" si="18"/>
        <v>0</v>
      </c>
      <c r="CI22">
        <f t="shared" si="19"/>
        <v>0</v>
      </c>
      <c r="CK22" s="276">
        <f>Basicinfo!EM22</f>
        <v>0</v>
      </c>
      <c r="CL22" s="276">
        <f>Basicinfo!EN22</f>
        <v>0</v>
      </c>
      <c r="CM22">
        <f t="shared" si="23"/>
        <v>0</v>
      </c>
      <c r="CN22">
        <f t="shared" si="24"/>
        <v>0</v>
      </c>
      <c r="CO22" s="31">
        <f t="shared" si="27"/>
        <v>1.5717558589079854E-2</v>
      </c>
      <c r="CP22" s="270">
        <f>Basicinfo!DC22</f>
        <v>2.5723958333333314E-2</v>
      </c>
      <c r="CQ22" s="270">
        <f>Basicinfo!DD22</f>
        <v>4.1000000000000002E-2</v>
      </c>
      <c r="CR22" s="236">
        <f t="shared" si="28"/>
        <v>1.44871490384615</v>
      </c>
      <c r="CS22" s="236">
        <f>Basicinfo!DK22</f>
        <v>1.5563489583333336</v>
      </c>
      <c r="CT22" s="236">
        <f>Basicinfo!DL22</f>
        <v>1.859</v>
      </c>
      <c r="CU22" s="147">
        <f>'Summed emissions'!D22</f>
        <v>217.22862900333331</v>
      </c>
      <c r="CV22" s="188">
        <f t="shared" si="29"/>
        <v>-11.631849511426141</v>
      </c>
      <c r="CW22" s="188">
        <f t="shared" si="30"/>
        <v>-48.921538043035596</v>
      </c>
      <c r="CX22" s="188"/>
      <c r="CY22" s="188"/>
      <c r="DI22" s="31" t="e">
        <f>#REF!</f>
        <v>#REF!</v>
      </c>
      <c r="DJ22" s="233">
        <f>Basicinfo!DA22</f>
        <v>5.7239583333333288E-2</v>
      </c>
      <c r="DK22" s="233">
        <f>Basicinfo!DB22</f>
        <v>8.4499999999999992E-2</v>
      </c>
      <c r="DO22" s="31"/>
      <c r="DR22" s="236">
        <f t="shared" si="2"/>
        <v>6.55</v>
      </c>
      <c r="DS22" s="236">
        <f t="shared" si="0"/>
        <v>6.3288782745437802</v>
      </c>
      <c r="DW22" s="31"/>
      <c r="DY22" s="31">
        <f>Basicinfo!EI22</f>
        <v>4.2966000000000002E-3</v>
      </c>
      <c r="DZ22" s="31">
        <f>Intermediate!CR22</f>
        <v>4.2966000000000002E-3</v>
      </c>
      <c r="ED22" s="31"/>
    </row>
    <row r="23" spans="1:134">
      <c r="A23" s="39" t="str">
        <f>Basicinfo!A23</f>
        <v>Dürre Aschach und Aschach</v>
      </c>
      <c r="B23" s="63">
        <f>Basicinfo!B23</f>
        <v>1150</v>
      </c>
      <c r="C23" s="63">
        <f>Basicinfo!C23</f>
        <v>1160</v>
      </c>
      <c r="D23" s="61">
        <f>IF(Intermediate!D23=0,0,Basicinfo!AP23*86400*365/(Intermediate!D23*1000000))</f>
        <v>81.830594985360634</v>
      </c>
      <c r="E23" s="19">
        <f>IF(Intermediate!E23=0,0,IF((Intermediate!E23-Basicinfo!AA23)&lt;0,0,'Summed emissions'!E23*86400*365/((Intermediate!E23-Basicinfo!AA23)*1000000)))</f>
        <v>0</v>
      </c>
      <c r="F23" s="19">
        <f>IF(Basicinfo!AA23=0,0,'Summed emissions'!E23*86400*365/(Basicinfo!AA23*1000000))</f>
        <v>0</v>
      </c>
      <c r="G23" s="19">
        <f>IF(D23=0,1,1/(1+Parameters!$C$138*EXP(Parameters!$C$139*Basicinfo!AQ23)*D23^Parameters!$C$140))</f>
        <v>0.89752646707163541</v>
      </c>
      <c r="H23" s="19">
        <f>IF(D23=0,1,1/(1+Parameters!$C$141*EXP(Parameters!$C$142*Basicinfo!AQ23)*D23^Parameters!$C$143))</f>
        <v>0.82872831551434734</v>
      </c>
      <c r="I23" s="161">
        <f>IF(Intermediate!AS23=0,1,IF(D23=0,1/(1+Parameters!$C$144*Intermediate!AS23^Parameters!$C$145),(1/(1+Parameters!$C$144*Intermediate!AS23^Parameters!$C$145)+1/(1+Parameters!$C$146*D23^Parameters!$C$147))/2))</f>
        <v>0.73274768346756181</v>
      </c>
      <c r="J23" s="19">
        <f>IF(E23=0,1,1/(1+Parameters!$C$138*EXP(Parameters!$C$139*Basicinfo!AQ23)*E23^Parameters!$C$140))</f>
        <v>1</v>
      </c>
      <c r="K23" s="19">
        <f>IF(E23=0,1,1/(1+Parameters!$C$141*EXP(Parameters!$C$142*Basicinfo!AQ23)*E23^Parameters!$C$143))</f>
        <v>1</v>
      </c>
      <c r="L23" s="19">
        <f>IF(E23=0,1,1/(1+Parameters!$C$146*E23^Parameters!$C$147))</f>
        <v>1</v>
      </c>
      <c r="M23" s="53">
        <f>IF(F23=0,1,1/(1+Parameters!$C$138*EXP(Parameters!$C$139*Basicinfo!AQ23)*F23^Parameters!$C$140))</f>
        <v>1</v>
      </c>
      <c r="N23" s="53">
        <f>IF(F23=0,1,1/(1+Parameters!$C$141*EXP(Parameters!$C$142*Basicinfo!AQ23)*F23^Parameters!$C$143))</f>
        <v>1</v>
      </c>
      <c r="O23" s="53">
        <f>IF(F23=0,1,1/(1+Parameters!$C$146*F23^Parameters!$C$147))</f>
        <v>1</v>
      </c>
      <c r="P23" s="64">
        <f>Basicinfo!CE23+Basicinfo!CJ23</f>
        <v>0</v>
      </c>
      <c r="Q23" s="86">
        <f>Parameters!$C$126*Intermediate!BB23*Basicinfo!P23/1000+Parameters!$C$127*Intermediate!BB23*Basicinfo!S23/1000</f>
        <v>0</v>
      </c>
      <c r="R23" s="48">
        <f>'Local emissions'!AE23-P23-Q23</f>
        <v>489.91867840293696</v>
      </c>
      <c r="S23" s="48">
        <f>Basicinfo!CF23+Basicinfo!CK23</f>
        <v>0</v>
      </c>
      <c r="T23" s="86">
        <f>'Local emissions'!AR23-S23</f>
        <v>27.155685151779977</v>
      </c>
      <c r="U23" s="61">
        <f t="shared" si="20"/>
        <v>439.71498057939272</v>
      </c>
      <c r="V23" s="27">
        <f t="shared" si="3"/>
        <v>406.00948109188118</v>
      </c>
      <c r="W23" s="27">
        <f t="shared" si="4"/>
        <v>19.898265387941244</v>
      </c>
      <c r="X23" s="61">
        <f>U23+TN!CI23</f>
        <v>439.71498057939272</v>
      </c>
      <c r="Y23" s="27">
        <f>V23+DIN!CI23</f>
        <v>406.00948109188118</v>
      </c>
      <c r="Z23" s="27">
        <f>W23+TP!CI23</f>
        <v>19.898265387941244</v>
      </c>
      <c r="AA23" s="73">
        <f>'Summed emissions'!E23</f>
        <v>3.8875125366126397</v>
      </c>
      <c r="AB23" s="131">
        <f>IF(Basicinfo!AR23="","",Basicinfo!AR23)</f>
        <v>507.02941823151531</v>
      </c>
      <c r="AC23" s="131">
        <f>IF(Basicinfo!AS23="","",Basicinfo!AS23)</f>
        <v>460.935834755923</v>
      </c>
      <c r="AD23" s="131">
        <f>IF(Basicinfo!AT23="","",Basicinfo!AT23)</f>
        <v>23.022499597687901</v>
      </c>
      <c r="AE23" s="174">
        <f t="shared" si="21"/>
        <v>-13.276239056682513</v>
      </c>
      <c r="AF23" s="19">
        <f t="shared" si="5"/>
        <v>-11.916268929953489</v>
      </c>
      <c r="AG23" s="27">
        <f t="shared" si="6"/>
        <v>-13.570351892026594</v>
      </c>
      <c r="AH23" s="56">
        <f>'Local emissions'!AE23-U23</f>
        <v>50.203697823544246</v>
      </c>
      <c r="AI23" s="228">
        <f>'Local emissions'!AR23-W23</f>
        <v>7.2574197638387332</v>
      </c>
      <c r="AJ23" s="43">
        <f t="shared" si="7"/>
        <v>50.203697823544218</v>
      </c>
      <c r="AK23" s="58">
        <f t="shared" si="8"/>
        <v>7.2574197638387341</v>
      </c>
      <c r="AL23" s="43">
        <f>TN!CI112</f>
        <v>0</v>
      </c>
      <c r="AM23" s="43">
        <f>TP!CI112</f>
        <v>0</v>
      </c>
      <c r="AN23" s="42">
        <f>TN!CI201+(AH23-AJ23)</f>
        <v>2.8421709430404007E-14</v>
      </c>
      <c r="AO23" s="43">
        <f>TP!CI201+(AI23-AK23)</f>
        <v>-8.8817841970012523E-16</v>
      </c>
      <c r="AP23" s="42">
        <f t="shared" si="9"/>
        <v>50.203697823544246</v>
      </c>
      <c r="AQ23" s="42">
        <f t="shared" si="10"/>
        <v>7.2574197638387332</v>
      </c>
      <c r="AR23" s="42">
        <f>AH23/'Local emissions'!AE23*100</f>
        <v>10.247353292836465</v>
      </c>
      <c r="AS23" s="42">
        <f>AI23/'Local emissions'!AR23*100</f>
        <v>26.725231653243814</v>
      </c>
      <c r="AT23" s="42">
        <f t="shared" si="22"/>
        <v>10.247353292836465</v>
      </c>
      <c r="AU23" s="42">
        <f t="shared" si="11"/>
        <v>26.725231653243814</v>
      </c>
      <c r="AV23" s="42">
        <f>('Summed emissions'!AE23-'River loads'!X23)/'Summed emissions'!AE23*100</f>
        <v>10.247353292836465</v>
      </c>
      <c r="AW23" s="42">
        <f>('Summed emissions'!AR23-'River loads'!Z23)/'Summed emissions'!AR23*100</f>
        <v>26.725231653243814</v>
      </c>
      <c r="AX23" s="61">
        <f>X23/('Summed emissions'!$D23*100)*1000</f>
        <v>14.086323964957172</v>
      </c>
      <c r="AY23" s="19">
        <f>Y23/('Summed emissions'!$D23*100)*1000</f>
        <v>13.006564106523012</v>
      </c>
      <c r="AZ23" s="72">
        <f>Z23/('Summed emissions'!$D23*100)*1000</f>
        <v>0.63744340078180761</v>
      </c>
      <c r="BA23" s="43">
        <f>IF(AB23="","",AB23/('Summed emissions'!$D23*100)*1000)</f>
        <v>16.242750327864556</v>
      </c>
      <c r="BB23" s="43">
        <f>IF(AC23="","",AC23/('Summed emissions'!$D23*100)*1000)</f>
        <v>14.766136661695048</v>
      </c>
      <c r="BC23" s="43">
        <f>IF(AD23="","",AD23/('Summed emissions'!$D23*100)*1000)</f>
        <v>0.73752863136209112</v>
      </c>
      <c r="BF23" s="188">
        <f>('Summed emissions'!AE23-'River loads'!Y23)/'Summed emissions'!AE23*100</f>
        <v>17.127168448565271</v>
      </c>
      <c r="BG23" s="188">
        <f>('Summed emissions'!AR23-'River loads'!Z23)/'Summed emissions'!AR23*100</f>
        <v>26.725231653243814</v>
      </c>
      <c r="BH23" s="181">
        <f>'Summed emissions'!CV23*(100-'River loads'!BG23)/100</f>
        <v>14.037979619308894</v>
      </c>
      <c r="BI23" s="181">
        <f t="shared" si="12"/>
        <v>10.66886451067476</v>
      </c>
      <c r="BJ23" s="233"/>
      <c r="BK23" s="233">
        <f>Basicinfo!CQ23</f>
        <v>9.9980252880078506</v>
      </c>
      <c r="BM23" s="31">
        <f t="shared" si="25"/>
        <v>8.7024150057467636E-2</v>
      </c>
      <c r="BN23" s="31">
        <f>BK23*1000000/24/3600/365/$AA23</f>
        <v>8.1552226300315347E-2</v>
      </c>
      <c r="BO23" s="231">
        <v>7.3230000000000003E-2</v>
      </c>
      <c r="BP23" s="31">
        <f>BM23/Parameters!$C$156</f>
        <v>0.13388330778071944</v>
      </c>
      <c r="BQ23" s="305">
        <v>0.13</v>
      </c>
      <c r="BR23" s="237">
        <f>Basicinfo!CW23</f>
        <v>0.05</v>
      </c>
      <c r="BS23" s="237">
        <f t="shared" si="13"/>
        <v>2.6776661556143888</v>
      </c>
      <c r="BT23" s="237">
        <f t="shared" si="26"/>
        <v>2.6</v>
      </c>
      <c r="BU23" s="31">
        <f t="shared" si="14"/>
        <v>0.16230683511548266</v>
      </c>
      <c r="BV23" s="232">
        <v>0.14903</v>
      </c>
      <c r="BW23" s="31">
        <f t="shared" si="15"/>
        <v>3.3117516837843688</v>
      </c>
      <c r="BX23" s="31">
        <v>3.1361500000000002</v>
      </c>
      <c r="BY23" s="231">
        <f t="shared" si="1"/>
        <v>3.039308510638298</v>
      </c>
      <c r="BZ23" s="147">
        <f t="shared" si="16"/>
        <v>4.4753401132221198</v>
      </c>
      <c r="CA23" s="305">
        <v>4.3894000000000002</v>
      </c>
      <c r="CB23" s="231">
        <f>Basicinfo!CV23</f>
        <v>4</v>
      </c>
      <c r="CC23" s="147">
        <f t="shared" si="17"/>
        <v>1.1188350283055299</v>
      </c>
      <c r="CD23" s="147"/>
      <c r="CE23" s="233">
        <f>'Local emissions'!FC23/14*62</f>
        <v>13.667499999999997</v>
      </c>
      <c r="CF23" s="233">
        <f>'Local emissions'!FD23/14*62</f>
        <v>20.325631904147794</v>
      </c>
      <c r="CH23">
        <f t="shared" si="18"/>
        <v>2</v>
      </c>
      <c r="CI23">
        <f t="shared" si="19"/>
        <v>1</v>
      </c>
      <c r="CK23" s="276">
        <f>Basicinfo!EM23</f>
        <v>1</v>
      </c>
      <c r="CL23" s="276">
        <f>Basicinfo!EN23</f>
        <v>1</v>
      </c>
      <c r="CM23">
        <f t="shared" si="23"/>
        <v>1</v>
      </c>
      <c r="CN23">
        <f t="shared" si="24"/>
        <v>1</v>
      </c>
      <c r="CO23" s="31">
        <f t="shared" si="27"/>
        <v>8.1552226300315347E-2</v>
      </c>
      <c r="CP23" s="270">
        <f>Basicinfo!DC23</f>
        <v>7.4840425531914875E-2</v>
      </c>
      <c r="CQ23" s="270">
        <f>Basicinfo!DD23</f>
        <v>0.13</v>
      </c>
      <c r="CR23" s="236">
        <f t="shared" si="28"/>
        <v>3.1361500000000002</v>
      </c>
      <c r="CS23" s="236">
        <f>Basicinfo!DK23</f>
        <v>3.039308510638298</v>
      </c>
      <c r="CT23" s="236">
        <f>Basicinfo!DL23</f>
        <v>4.1326999999999998</v>
      </c>
      <c r="CU23" s="147">
        <f>'Summed emissions'!D23</f>
        <v>312.15736743899998</v>
      </c>
      <c r="CV23" s="188">
        <f t="shared" si="29"/>
        <v>8.9639854655246509</v>
      </c>
      <c r="CW23" s="188">
        <f t="shared" si="30"/>
        <v>16.279603488300779</v>
      </c>
      <c r="CX23" s="188"/>
      <c r="CY23" s="188"/>
      <c r="DI23" s="31" t="e">
        <f>#REF!</f>
        <v>#REF!</v>
      </c>
      <c r="DJ23" s="233">
        <f>Basicinfo!DA23</f>
        <v>0.13944680851063837</v>
      </c>
      <c r="DK23" s="233">
        <f>Basicinfo!DB23</f>
        <v>0.2</v>
      </c>
      <c r="DR23" s="236">
        <f t="shared" si="2"/>
        <v>13.667499999999997</v>
      </c>
      <c r="DS23" s="236">
        <f t="shared" si="0"/>
        <v>20.325631904147794</v>
      </c>
      <c r="DY23" s="31">
        <f>Basicinfo!EI23</f>
        <v>4.6966876315789476E-2</v>
      </c>
      <c r="DZ23" s="31">
        <f>Intermediate!CR23</f>
        <v>4.6966876315789476E-2</v>
      </c>
    </row>
    <row r="24" spans="1:134">
      <c r="A24" s="39" t="str">
        <f>Basicinfo!A24</f>
        <v>Aschach</v>
      </c>
      <c r="B24" s="63">
        <f>Basicinfo!B24</f>
        <v>1160</v>
      </c>
      <c r="C24" s="63">
        <f>Basicinfo!C24</f>
        <v>5000</v>
      </c>
      <c r="D24" s="61">
        <f>IF(Intermediate!D24=0,0,Basicinfo!AP24*86400*365/(Intermediate!D24*1000000))</f>
        <v>24.273992536549262</v>
      </c>
      <c r="E24" s="19">
        <f>IF(Intermediate!E24=0,0,IF((Intermediate!E24-Basicinfo!AA24)&lt;0,0,'Summed emissions'!E24*86400*365/((Intermediate!E24-Basicinfo!AA24)*1000000)))</f>
        <v>328.12516831605973</v>
      </c>
      <c r="F24" s="19">
        <f>IF(Basicinfo!AA24=0,0,'Summed emissions'!E24*86400*365/(Basicinfo!AA24*1000000))</f>
        <v>0</v>
      </c>
      <c r="G24" s="19">
        <f>IF(D24=0,1,1/(1+Parameters!$C$138*EXP(Parameters!$C$139*Basicinfo!AQ24)*D24^Parameters!$C$140))</f>
        <v>0.70951266635326737</v>
      </c>
      <c r="H24" s="19">
        <f>IF(D24=0,1,1/(1+Parameters!$C$141*EXP(Parameters!$C$142*Basicinfo!AQ24)*D24^Parameters!$C$143))</f>
        <v>0.57435001062378765</v>
      </c>
      <c r="I24" s="161">
        <f>IF(Intermediate!AS24=0,1,IF(D24=0,1/(1+Parameters!$C$144*Intermediate!AS24^Parameters!$C$145),(1/(1+Parameters!$C$144*Intermediate!AS24^Parameters!$C$145)+1/(1+Parameters!$C$146*D24^Parameters!$C$147))/2))</f>
        <v>0.62397869240158088</v>
      </c>
      <c r="J24" s="19">
        <f>IF(E24=0,1,1/(1+Parameters!$C$138*EXP(Parameters!$C$139*Basicinfo!AQ24)*E24^Parameters!$C$140))</f>
        <v>0.97060251810788289</v>
      </c>
      <c r="K24" s="19">
        <f>IF(E24=0,1,1/(1+Parameters!$C$141*EXP(Parameters!$C$142*Basicinfo!AQ24)*E24^Parameters!$C$143))</f>
        <v>0.94802466461023427</v>
      </c>
      <c r="L24" s="19">
        <f>IF(E24=0,1,1/(1+Parameters!$C$146*E24^Parameters!$C$147))</f>
        <v>0.92726043051230755</v>
      </c>
      <c r="M24" s="53">
        <f>IF(F24=0,1,1/(1+Parameters!$C$138*EXP(Parameters!$C$139*Basicinfo!AQ24)*F24^Parameters!$C$140))</f>
        <v>1</v>
      </c>
      <c r="N24" s="53">
        <f>IF(F24=0,1,1/(1+Parameters!$C$141*EXP(Parameters!$C$142*Basicinfo!AQ24)*F24^Parameters!$C$143))</f>
        <v>1</v>
      </c>
      <c r="O24" s="53">
        <f>IF(F24=0,1,1/(1+Parameters!$C$146*F24^Parameters!$C$147))</f>
        <v>1</v>
      </c>
      <c r="P24" s="64">
        <f>Basicinfo!CE24+Basicinfo!CJ24</f>
        <v>19.306905</v>
      </c>
      <c r="Q24" s="86">
        <f>Parameters!$C$126*Intermediate!BB24*Basicinfo!P24/1000+Parameters!$C$127*Intermediate!BB24*Basicinfo!S24/1000</f>
        <v>0</v>
      </c>
      <c r="R24" s="48">
        <f>'Local emissions'!AE24-P24-Q24</f>
        <v>58.227967999563788</v>
      </c>
      <c r="S24" s="48">
        <f>Basicinfo!CF24+Basicinfo!CK24</f>
        <v>1.3438939999999999</v>
      </c>
      <c r="T24" s="86">
        <f>'Local emissions'!AR24-S24</f>
        <v>2.5586096979106534</v>
      </c>
      <c r="U24" s="61">
        <f t="shared" si="20"/>
        <v>60.620385831703231</v>
      </c>
      <c r="V24" s="27">
        <f t="shared" si="3"/>
        <v>52.75013903915103</v>
      </c>
      <c r="W24" s="27">
        <f t="shared" si="4"/>
        <v>2.940411933668293</v>
      </c>
      <c r="X24" s="61">
        <f>U24+TN!CI24</f>
        <v>487.40885323182061</v>
      </c>
      <c r="Y24" s="27">
        <f>V24+DIN!CI24</f>
        <v>437.65714117985692</v>
      </c>
      <c r="Z24" s="27">
        <f>W24+TP!CI24</f>
        <v>21.391286063738839</v>
      </c>
      <c r="AA24" s="73">
        <f>'Summed emissions'!E24</f>
        <v>4.7215578480456291</v>
      </c>
      <c r="AB24" s="131">
        <f>IF(Basicinfo!AR24="","",Basicinfo!AR24)</f>
        <v>590.38909247447805</v>
      </c>
      <c r="AC24" s="131">
        <f>IF(Basicinfo!AS24="","",Basicinfo!AS24)</f>
        <v>536.71735679497999</v>
      </c>
      <c r="AD24" s="131">
        <f>IF(Basicinfo!AT24="","",Basicinfo!AT24)</f>
        <v>25.987007349498899</v>
      </c>
      <c r="AE24" s="174">
        <f t="shared" si="21"/>
        <v>-17.442774698129966</v>
      </c>
      <c r="AF24" s="19">
        <f t="shared" si="5"/>
        <v>-18.456681968823105</v>
      </c>
      <c r="AG24" s="27">
        <f t="shared" si="6"/>
        <v>-17.684688444314773</v>
      </c>
      <c r="AH24" s="56">
        <f>'Local emissions'!AE24-U24</f>
        <v>16.914487167860557</v>
      </c>
      <c r="AI24" s="228">
        <f>'Local emissions'!AR24-W24</f>
        <v>0.96209176424236009</v>
      </c>
      <c r="AJ24" s="43">
        <f t="shared" si="7"/>
        <v>16.914487167860557</v>
      </c>
      <c r="AK24" s="58">
        <f t="shared" si="8"/>
        <v>0.96209176424235998</v>
      </c>
      <c r="AL24" s="43">
        <f>TN!CI113</f>
        <v>12.926513179275322</v>
      </c>
      <c r="AM24" s="43">
        <f>TP!CI113</f>
        <v>1.4473912578706976</v>
      </c>
      <c r="AN24" s="42">
        <f>TN!CI202+(AH24-AJ24)</f>
        <v>0</v>
      </c>
      <c r="AO24" s="43">
        <f>TP!CI202+(AI24-AK24)</f>
        <v>1.1102230246251565E-16</v>
      </c>
      <c r="AP24" s="42">
        <f t="shared" si="9"/>
        <v>29.841000347135878</v>
      </c>
      <c r="AQ24" s="42">
        <f t="shared" si="10"/>
        <v>2.4094830221130574</v>
      </c>
      <c r="AR24" s="42">
        <f>AH24/'Local emissions'!AE24*100</f>
        <v>21.815328398043185</v>
      </c>
      <c r="AS24" s="42">
        <f>AI24/'Local emissions'!AR24*100</f>
        <v>24.65319289146224</v>
      </c>
      <c r="AT24" s="42">
        <f t="shared" si="22"/>
        <v>5.7691655474931416</v>
      </c>
      <c r="AU24" s="42">
        <f t="shared" si="11"/>
        <v>10.123551106360457</v>
      </c>
      <c r="AV24" s="42">
        <f>('Summed emissions'!AE24-'River loads'!X24)/'Summed emissions'!AE24*100</f>
        <v>14.105947169216613</v>
      </c>
      <c r="AW24" s="42">
        <f>('Summed emissions'!AR24-'River loads'!Z24)/'Summed emissions'!AR24*100</f>
        <v>31.125133641036772</v>
      </c>
      <c r="AX24" s="61">
        <f>X24/('Summed emissions'!$D24*100)*1000</f>
        <v>13.544594246572284</v>
      </c>
      <c r="AY24" s="19">
        <f>Y24/('Summed emissions'!$D24*100)*1000</f>
        <v>12.162044979467272</v>
      </c>
      <c r="AZ24" s="72">
        <f>Z24/('Summed emissions'!$D24*100)*1000</f>
        <v>0.59444199305073986</v>
      </c>
      <c r="BA24" s="43">
        <f>IF(AB24="","",AB24/('Summed emissions'!$D24*100)*1000)</f>
        <v>16.406309922658558</v>
      </c>
      <c r="BB24" s="43">
        <f>IF(AC24="","",AC24/('Summed emissions'!$D24*100)*1000)</f>
        <v>14.91482720241687</v>
      </c>
      <c r="BC24" s="43">
        <f>IF(AD24="","",AD24/('Summed emissions'!$D24*100)*1000)</f>
        <v>0.72215239402769871</v>
      </c>
      <c r="BF24" s="188">
        <f>('Summed emissions'!AE24-'River loads'!Y24)/'Summed emissions'!AE24*100</f>
        <v>22.873486279510114</v>
      </c>
      <c r="BG24" s="188">
        <f>('Summed emissions'!AR24-'River loads'!Z24)/'Summed emissions'!AR24*100</f>
        <v>31.125133641036772</v>
      </c>
      <c r="BH24" s="181">
        <f>'Summed emissions'!CV24*(100-'River loads'!BG24)/100</f>
        <v>15.3989370598637</v>
      </c>
      <c r="BI24" s="181">
        <f t="shared" si="12"/>
        <v>11.703192165496413</v>
      </c>
      <c r="BJ24" s="233"/>
      <c r="BK24" s="233">
        <f>Basicinfo!CQ24</f>
        <v>12.365141968501099</v>
      </c>
      <c r="BM24" s="31">
        <f t="shared" si="25"/>
        <v>7.8598166337732076E-2</v>
      </c>
      <c r="BN24" s="31">
        <f>BK24*1000000/24/3600/365/$AA24</f>
        <v>8.3043794503796148E-2</v>
      </c>
      <c r="BO24" s="231">
        <v>7.918E-2</v>
      </c>
      <c r="BP24" s="31">
        <f>BM24/Parameters!$C$156</f>
        <v>0.12092025590420319</v>
      </c>
      <c r="BQ24" s="305">
        <v>0.13</v>
      </c>
      <c r="BR24" s="237">
        <f>Basicinfo!CW24</f>
        <v>0.05</v>
      </c>
      <c r="BS24" s="237">
        <f t="shared" si="13"/>
        <v>2.4184051180840638</v>
      </c>
      <c r="BT24" s="237">
        <f t="shared" si="26"/>
        <v>2.6</v>
      </c>
      <c r="BU24" s="31">
        <f t="shared" si="14"/>
        <v>0.14366301402557885</v>
      </c>
      <c r="BV24" s="232">
        <v>0.14721999999999999</v>
      </c>
      <c r="BW24" s="31">
        <f t="shared" si="15"/>
        <v>2.9392876998778723</v>
      </c>
      <c r="BX24" s="31">
        <v>2.9688919999999999</v>
      </c>
      <c r="BY24" s="231">
        <f t="shared" si="1"/>
        <v>2.8436382978723391</v>
      </c>
      <c r="BZ24" s="147">
        <f t="shared" si="16"/>
        <v>3.972010405240368</v>
      </c>
      <c r="CA24" s="305">
        <v>4.5674000000000001</v>
      </c>
      <c r="CB24" s="231">
        <f>Basicinfo!CV24</f>
        <v>4</v>
      </c>
      <c r="CC24" s="147">
        <f t="shared" si="17"/>
        <v>0.99300260131009199</v>
      </c>
      <c r="CD24" s="147"/>
      <c r="CE24" s="233">
        <f>'Local emissions'!FC24/14*62</f>
        <v>25.453999999999997</v>
      </c>
      <c r="CF24" s="233">
        <f>'Local emissions'!FD24/14*62</f>
        <v>13.344671949616243</v>
      </c>
      <c r="CH24">
        <f t="shared" si="18"/>
        <v>2</v>
      </c>
      <c r="CI24">
        <f t="shared" si="19"/>
        <v>1</v>
      </c>
      <c r="CK24" s="276">
        <f>Basicinfo!EM24</f>
        <v>1</v>
      </c>
      <c r="CL24" s="276">
        <f>Basicinfo!EN24</f>
        <v>1</v>
      </c>
      <c r="CM24">
        <f t="shared" si="23"/>
        <v>1</v>
      </c>
      <c r="CN24">
        <f t="shared" si="24"/>
        <v>1</v>
      </c>
      <c r="CO24" s="31">
        <f t="shared" si="27"/>
        <v>8.3043794503796148E-2</v>
      </c>
      <c r="CP24" s="270">
        <f>Basicinfo!DC24</f>
        <v>8.0468085106382967E-2</v>
      </c>
      <c r="CQ24" s="270">
        <f>Basicinfo!DD24</f>
        <v>0.14000000000000001</v>
      </c>
      <c r="CR24" s="236">
        <f t="shared" si="28"/>
        <v>2.9688919999999999</v>
      </c>
      <c r="CS24" s="236">
        <f>Basicinfo!DK24</f>
        <v>2.8436382978723391</v>
      </c>
      <c r="CT24" s="236">
        <f>Basicinfo!DL24</f>
        <v>4.1294000000000004</v>
      </c>
      <c r="CU24" s="147">
        <f>'Summed emissions'!D24</f>
        <v>359.85489440200001</v>
      </c>
      <c r="CV24" s="188">
        <f t="shared" si="29"/>
        <v>3.3636275779904836</v>
      </c>
      <c r="CW24" s="188">
        <f t="shared" si="30"/>
        <v>-2.323801748455629</v>
      </c>
      <c r="CX24" s="188"/>
      <c r="CY24" s="188"/>
      <c r="DA24" s="181"/>
      <c r="DI24" s="31" t="e">
        <f>#REF!</f>
        <v>#REF!</v>
      </c>
      <c r="DJ24" s="233">
        <f>Basicinfo!DA24</f>
        <v>0.12304255319148936</v>
      </c>
      <c r="DK24" s="233">
        <f>Basicinfo!DB24</f>
        <v>0.22</v>
      </c>
      <c r="DR24" s="236">
        <f t="shared" si="2"/>
        <v>25.453999999999997</v>
      </c>
      <c r="DS24" s="236">
        <f t="shared" si="0"/>
        <v>13.344671949616243</v>
      </c>
      <c r="DY24" s="31">
        <f>Basicinfo!EI24</f>
        <v>4.9059838596491226E-2</v>
      </c>
      <c r="DZ24" s="31">
        <f>Intermediate!CR24</f>
        <v>4.9059838596491226E-2</v>
      </c>
    </row>
    <row r="25" spans="1:134">
      <c r="A25" s="39" t="str">
        <f>Basicinfo!A25</f>
        <v>Trattnach</v>
      </c>
      <c r="B25" s="63">
        <f>Basicinfo!B25</f>
        <v>1170</v>
      </c>
      <c r="C25" s="63">
        <f>Basicinfo!C25</f>
        <v>1180</v>
      </c>
      <c r="D25" s="61">
        <f>IF(Intermediate!D25=0,0,Basicinfo!AP25*86400*365/(Intermediate!D25*1000000))</f>
        <v>58.101767042430446</v>
      </c>
      <c r="E25" s="19">
        <f>IF(Intermediate!E25=0,0,IF((Intermediate!E25-Basicinfo!AA25)&lt;0,0,'Summed emissions'!E25*86400*365/((Intermediate!E25-Basicinfo!AA25)*1000000)))</f>
        <v>0</v>
      </c>
      <c r="F25" s="19">
        <f>IF(Basicinfo!AA25=0,0,'Summed emissions'!E25*86400*365/(Basicinfo!AA25*1000000))</f>
        <v>0</v>
      </c>
      <c r="G25" s="19">
        <f>IF(D25=0,1,1/(1+Parameters!$C$138*EXP(Parameters!$C$139*Basicinfo!AQ25)*D25^Parameters!$C$140))</f>
        <v>0.85458632893022579</v>
      </c>
      <c r="H25" s="19">
        <f>IF(D25=0,1,1/(1+Parameters!$C$141*EXP(Parameters!$C$142*Basicinfo!AQ25)*D25^Parameters!$C$143))</f>
        <v>0.76452287360453586</v>
      </c>
      <c r="I25" s="161">
        <f>IF(Intermediate!AS25=0,1,IF(D25=0,1/(1+Parameters!$C$144*Intermediate!AS25^Parameters!$C$145),(1/(1+Parameters!$C$144*Intermediate!AS25^Parameters!$C$145)+1/(1+Parameters!$C$146*D25^Parameters!$C$147))/2))</f>
        <v>0.6803076393704528</v>
      </c>
      <c r="J25" s="19">
        <f>IF(E25=0,1,1/(1+Parameters!$C$138*EXP(Parameters!$C$139*Basicinfo!AQ25)*E25^Parameters!$C$140))</f>
        <v>1</v>
      </c>
      <c r="K25" s="19">
        <f>IF(E25=0,1,1/(1+Parameters!$C$141*EXP(Parameters!$C$142*Basicinfo!AQ25)*E25^Parameters!$C$143))</f>
        <v>1</v>
      </c>
      <c r="L25" s="19">
        <f>IF(E25=0,1,1/(1+Parameters!$C$146*E25^Parameters!$C$147))</f>
        <v>1</v>
      </c>
      <c r="M25" s="53">
        <f>IF(F25=0,1,1/(1+Parameters!$C$138*EXP(Parameters!$C$139*Basicinfo!AQ25)*F25^Parameters!$C$140))</f>
        <v>1</v>
      </c>
      <c r="N25" s="53">
        <f>IF(F25=0,1,1/(1+Parameters!$C$141*EXP(Parameters!$C$142*Basicinfo!AQ25)*F25^Parameters!$C$143))</f>
        <v>1</v>
      </c>
      <c r="O25" s="53">
        <f>IF(F25=0,1,1/(1+Parameters!$C$146*F25^Parameters!$C$147))</f>
        <v>1</v>
      </c>
      <c r="P25" s="64">
        <f>Basicinfo!CE25+Basicinfo!CJ25</f>
        <v>0</v>
      </c>
      <c r="Q25" s="86">
        <f>Parameters!$C$126*Intermediate!BB25*Basicinfo!P25/1000+Parameters!$C$127*Intermediate!BB25*Basicinfo!S25/1000</f>
        <v>0</v>
      </c>
      <c r="R25" s="48">
        <f>'Local emissions'!AE25-P25-Q25</f>
        <v>283.82946209076795</v>
      </c>
      <c r="S25" s="48">
        <f>Basicinfo!CF25+Basicinfo!CK25</f>
        <v>0</v>
      </c>
      <c r="T25" s="86">
        <f>'Local emissions'!AR25-S25</f>
        <v>19.571713341409797</v>
      </c>
      <c r="U25" s="61">
        <f t="shared" si="20"/>
        <v>242.55677805039008</v>
      </c>
      <c r="V25" s="27">
        <f t="shared" si="3"/>
        <v>216.9941159712636</v>
      </c>
      <c r="W25" s="27">
        <f t="shared" si="4"/>
        <v>13.314786101729696</v>
      </c>
      <c r="X25" s="61">
        <f>U25+TN!CI25</f>
        <v>242.55677805039008</v>
      </c>
      <c r="Y25" s="27">
        <f>V25+DIN!CI25</f>
        <v>216.9941159712636</v>
      </c>
      <c r="Z25" s="27">
        <f>W25+TP!CI25</f>
        <v>13.314786101729696</v>
      </c>
      <c r="AA25" s="73">
        <f>'Summed emissions'!E25</f>
        <v>2.2289413118129899</v>
      </c>
      <c r="AB25" s="131">
        <f>IF(Basicinfo!AR25="","",Basicinfo!AR25)</f>
        <v>201.64410221170928</v>
      </c>
      <c r="AC25" s="131">
        <f>IF(Basicinfo!AS25="","",Basicinfo!AS25)</f>
        <v>183.31282019246299</v>
      </c>
      <c r="AD25" s="131">
        <f>IF(Basicinfo!AT25="","",Basicinfo!AT25)</f>
        <v>10.0573174929903</v>
      </c>
      <c r="AE25" s="174">
        <f t="shared" si="21"/>
        <v>20.289547469990438</v>
      </c>
      <c r="AF25" s="19">
        <f t="shared" si="5"/>
        <v>18.373671706887748</v>
      </c>
      <c r="AG25" s="27">
        <f t="shared" si="6"/>
        <v>32.389040228766476</v>
      </c>
      <c r="AH25" s="56">
        <f>'Local emissions'!AE25-U25</f>
        <v>41.272684040377868</v>
      </c>
      <c r="AI25" s="228">
        <f>'Local emissions'!AR25-W25</f>
        <v>6.2569272396801008</v>
      </c>
      <c r="AJ25" s="43">
        <f t="shared" si="7"/>
        <v>41.272684040377875</v>
      </c>
      <c r="AK25" s="58">
        <f t="shared" si="8"/>
        <v>6.2569272396801008</v>
      </c>
      <c r="AL25" s="43">
        <f>TN!CI114</f>
        <v>0</v>
      </c>
      <c r="AM25" s="43">
        <f>TP!CI114</f>
        <v>0</v>
      </c>
      <c r="AN25" s="42">
        <f>TN!CI203+(AH25-AJ25)</f>
        <v>-7.1054273576010019E-15</v>
      </c>
      <c r="AO25" s="43">
        <f>TP!CI203+(AI25-AK25)</f>
        <v>0</v>
      </c>
      <c r="AP25" s="42">
        <f t="shared" si="9"/>
        <v>41.272684040377868</v>
      </c>
      <c r="AQ25" s="42">
        <f t="shared" si="10"/>
        <v>6.2569272396801008</v>
      </c>
      <c r="AR25" s="42">
        <f>AH25/'Local emissions'!AE25*100</f>
        <v>14.541367106977418</v>
      </c>
      <c r="AS25" s="42">
        <f>AI25/'Local emissions'!AR25*100</f>
        <v>31.969236062954721</v>
      </c>
      <c r="AT25" s="42">
        <f t="shared" si="22"/>
        <v>14.541367106977418</v>
      </c>
      <c r="AU25" s="42">
        <f t="shared" si="11"/>
        <v>31.969236062954721</v>
      </c>
      <c r="AV25" s="42">
        <f>('Summed emissions'!AE25-'River loads'!X25)/'Summed emissions'!AE25*100</f>
        <v>14.541367106977418</v>
      </c>
      <c r="AW25" s="42">
        <f>('Summed emissions'!AR25-'River loads'!Z25)/'Summed emissions'!AR25*100</f>
        <v>31.969236062954721</v>
      </c>
      <c r="AX25" s="61">
        <f>X25/('Summed emissions'!$D25*100)*1000</f>
        <v>12.361096359030286</v>
      </c>
      <c r="AY25" s="19">
        <f>Y25/('Summed emissions'!$D25*100)*1000</f>
        <v>11.058380633280631</v>
      </c>
      <c r="AZ25" s="72">
        <f>Z25/('Summed emissions'!$D25*100)*1000</f>
        <v>0.67854361904974747</v>
      </c>
      <c r="BA25" s="43">
        <f>IF(AB25="","",AB25/('Summed emissions'!$D25*100)*1000)</f>
        <v>10.276118431748282</v>
      </c>
      <c r="BB25" s="43">
        <f>IF(AC25="","",AC25/('Summed emissions'!$D25*100)*1000)</f>
        <v>9.3419258470438926</v>
      </c>
      <c r="BC25" s="43">
        <f>IF(AD25="","",AD25/('Summed emissions'!$D25*100)*1000)</f>
        <v>0.51253760724999076</v>
      </c>
      <c r="BF25" s="188">
        <f>('Summed emissions'!AE25-'River loads'!Y25)/'Summed emissions'!AE25*100</f>
        <v>23.547712639546411</v>
      </c>
      <c r="BG25" s="188">
        <f>('Summed emissions'!AR25-'River loads'!Z25)/'Summed emissions'!AR25*100</f>
        <v>31.969236062954721</v>
      </c>
      <c r="BH25" s="181">
        <f>'Summed emissions'!CV25*(100-'River loads'!BG25)/100</f>
        <v>9.1782026426814163</v>
      </c>
      <c r="BI25" s="181">
        <f t="shared" si="12"/>
        <v>6.9754340084378761</v>
      </c>
      <c r="BJ25" s="233"/>
      <c r="BK25" s="233">
        <f>Basicinfo!CQ25</f>
        <v>5.3698561992024603</v>
      </c>
      <c r="BM25" s="31">
        <f t="shared" si="25"/>
        <v>9.9235255873170433E-2</v>
      </c>
      <c r="BN25" s="31">
        <f>BK25*1000000/24/3600/365/$AA25</f>
        <v>7.6393677194191253E-2</v>
      </c>
      <c r="BO25" s="231">
        <v>7.5240000000000001E-2</v>
      </c>
      <c r="BP25" s="31">
        <f>BM25/Parameters!$C$156</f>
        <v>0.15266962442026219</v>
      </c>
      <c r="BQ25" s="305">
        <v>0.13</v>
      </c>
      <c r="BR25" s="237">
        <f>Basicinfo!CW25</f>
        <v>0.05</v>
      </c>
      <c r="BS25" s="237">
        <f t="shared" si="13"/>
        <v>3.0533924884052435</v>
      </c>
      <c r="BT25" s="237">
        <f t="shared" si="26"/>
        <v>2.6</v>
      </c>
      <c r="BU25" s="31">
        <f t="shared" si="14"/>
        <v>0.1894213613236633</v>
      </c>
      <c r="BV25" s="232">
        <v>0.13325000000000001</v>
      </c>
      <c r="BW25" s="31">
        <f t="shared" si="15"/>
        <v>3.0870432714771114</v>
      </c>
      <c r="BX25" s="31">
        <v>1.908971</v>
      </c>
      <c r="BY25" s="231">
        <f t="shared" si="1"/>
        <v>2.0305842696629215</v>
      </c>
      <c r="BZ25" s="147">
        <f t="shared" si="16"/>
        <v>4.1716800965906913</v>
      </c>
      <c r="CA25" s="305">
        <v>3.1764000000000001</v>
      </c>
      <c r="CB25" s="231">
        <f>Basicinfo!CV25</f>
        <v>4</v>
      </c>
      <c r="CC25" s="147">
        <f t="shared" si="17"/>
        <v>1.0429200241476728</v>
      </c>
      <c r="CD25" s="147"/>
      <c r="CE25" s="233">
        <f>'Local emissions'!FC25/14*62</f>
        <v>11.1875</v>
      </c>
      <c r="CF25" s="233">
        <f>'Local emissions'!FD25/14*62</f>
        <v>22.003105528462349</v>
      </c>
      <c r="CH25">
        <f t="shared" si="18"/>
        <v>2</v>
      </c>
      <c r="CI25">
        <f t="shared" si="19"/>
        <v>1</v>
      </c>
      <c r="CK25" s="276">
        <f>Basicinfo!EM25</f>
        <v>1</v>
      </c>
      <c r="CL25" s="276">
        <f>Basicinfo!EN25</f>
        <v>0</v>
      </c>
      <c r="CM25">
        <f t="shared" si="23"/>
        <v>1</v>
      </c>
      <c r="CN25">
        <f t="shared" si="24"/>
        <v>0</v>
      </c>
      <c r="CO25" s="31">
        <f t="shared" si="27"/>
        <v>7.6393677194191253E-2</v>
      </c>
      <c r="CP25" s="270">
        <f>Basicinfo!DC25</f>
        <v>7.619101123595505E-2</v>
      </c>
      <c r="CQ25" s="270">
        <f>Basicinfo!DD25</f>
        <v>0.12</v>
      </c>
      <c r="CR25" s="236">
        <f t="shared" si="28"/>
        <v>1.908971</v>
      </c>
      <c r="CS25" s="236">
        <f>Basicinfo!DK25</f>
        <v>2.0305842696629215</v>
      </c>
      <c r="CT25" s="236">
        <f>Basicinfo!DL25</f>
        <v>3.2192000000000003</v>
      </c>
      <c r="CU25" s="147">
        <f>'Summed emissions'!D25</f>
        <v>196.22594226699999</v>
      </c>
      <c r="CV25" s="188">
        <f t="shared" si="29"/>
        <v>52.027340977558289</v>
      </c>
      <c r="CW25" s="188">
        <f t="shared" si="30"/>
        <v>30.245358689163389</v>
      </c>
      <c r="CX25" s="188"/>
      <c r="CY25" s="188"/>
      <c r="DA25" s="181">
        <f>CT25</f>
        <v>3.2192000000000003</v>
      </c>
      <c r="DF25" s="232">
        <f>CQ25</f>
        <v>0.12</v>
      </c>
      <c r="DI25" s="31" t="e">
        <f>#REF!</f>
        <v>#REF!</v>
      </c>
      <c r="DJ25" s="233">
        <f>Basicinfo!DA25</f>
        <v>0.11646067415730334</v>
      </c>
      <c r="DK25" s="233">
        <f>Basicinfo!DB25</f>
        <v>0.15</v>
      </c>
      <c r="DN25" s="31" t="e">
        <f>DI25</f>
        <v>#REF!</v>
      </c>
      <c r="DR25" s="236">
        <f t="shared" si="2"/>
        <v>11.1875</v>
      </c>
      <c r="DS25" s="236">
        <f t="shared" si="0"/>
        <v>22.003105528462349</v>
      </c>
      <c r="DV25" s="181">
        <f>DR25</f>
        <v>11.1875</v>
      </c>
      <c r="DY25" s="31">
        <f>Basicinfo!EI25</f>
        <v>1.7004560526315788E-2</v>
      </c>
      <c r="DZ25" s="31">
        <f>Intermediate!CR25</f>
        <v>1.7004560526315788E-2</v>
      </c>
      <c r="EC25" s="31">
        <f>DY25</f>
        <v>1.7004560526315788E-2</v>
      </c>
    </row>
    <row r="26" spans="1:134">
      <c r="A26" s="39" t="str">
        <f>Basicinfo!A26</f>
        <v>Innbach</v>
      </c>
      <c r="B26" s="63">
        <f>Basicinfo!B26</f>
        <v>1180</v>
      </c>
      <c r="C26" s="63">
        <f>Basicinfo!C26</f>
        <v>5000</v>
      </c>
      <c r="D26" s="61">
        <f>IF(Intermediate!D26=0,0,Basicinfo!AP26*86400*365/(Intermediate!D26*1000000))</f>
        <v>36.345361851739845</v>
      </c>
      <c r="E26" s="19">
        <f>IF(Intermediate!E26=0,0,IF((Intermediate!E26-Basicinfo!AA26)&lt;0,0,'Summed emissions'!E26*86400*365/((Intermediate!E26-Basicinfo!AA26)*1000000)))</f>
        <v>0</v>
      </c>
      <c r="F26" s="19">
        <f>IF(Basicinfo!AA26=0,0,'Summed emissions'!E26*86400*365/(Basicinfo!AA26*1000000))</f>
        <v>0</v>
      </c>
      <c r="G26" s="19">
        <f>IF(D26=0,1,1/(1+Parameters!$C$138*EXP(Parameters!$C$139*Basicinfo!AQ26)*D26^Parameters!$C$140))</f>
        <v>0.78658320375108992</v>
      </c>
      <c r="H26" s="19">
        <f>IF(D26=0,1,1/(1+Parameters!$C$141*EXP(Parameters!$C$142*Basicinfo!AQ26)*D26^Parameters!$C$143))</f>
        <v>0.6706341648335491</v>
      </c>
      <c r="I26" s="161">
        <f>IF(Intermediate!AS26=0,1,IF(D26=0,1/(1+Parameters!$C$144*Intermediate!AS26^Parameters!$C$145),(1/(1+Parameters!$C$144*Intermediate!AS26^Parameters!$C$145)+1/(1+Parameters!$C$146*D26^Parameters!$C$147))/2))</f>
        <v>0.63351059698543688</v>
      </c>
      <c r="J26" s="19">
        <f>IF(E26=0,1,1/(1+Parameters!$C$138*EXP(Parameters!$C$139*Basicinfo!AQ26)*E26^Parameters!$C$140))</f>
        <v>1</v>
      </c>
      <c r="K26" s="19">
        <f>IF(E26=0,1,1/(1+Parameters!$C$141*EXP(Parameters!$C$142*Basicinfo!AQ26)*E26^Parameters!$C$143))</f>
        <v>1</v>
      </c>
      <c r="L26" s="19">
        <f>IF(E26=0,1,1/(1+Parameters!$C$146*E26^Parameters!$C$147))</f>
        <v>1</v>
      </c>
      <c r="M26" s="53">
        <f>IF(F26=0,1,1/(1+Parameters!$C$138*EXP(Parameters!$C$139*Basicinfo!AQ26)*F26^Parameters!$C$140))</f>
        <v>1</v>
      </c>
      <c r="N26" s="53">
        <f>IF(F26=0,1,1/(1+Parameters!$C$141*EXP(Parameters!$C$142*Basicinfo!AQ26)*F26^Parameters!$C$143))</f>
        <v>1</v>
      </c>
      <c r="O26" s="53">
        <f>IF(F26=0,1,1/(1+Parameters!$C$146*F26^Parameters!$C$147))</f>
        <v>1</v>
      </c>
      <c r="P26" s="64">
        <f>Basicinfo!CE26+Basicinfo!CJ26</f>
        <v>1.3114348333333337</v>
      </c>
      <c r="Q26" s="86">
        <f>Parameters!$C$126*Intermediate!BB26*Basicinfo!P26/1000+Parameters!$C$127*Intermediate!BB26*Basicinfo!S26/1000</f>
        <v>9.1383962421316273E-2</v>
      </c>
      <c r="R26" s="48">
        <f>'Local emissions'!AE26-P26-Q26</f>
        <v>363.0001807917605</v>
      </c>
      <c r="S26" s="48">
        <f>Basicinfo!CF26+Basicinfo!CK26</f>
        <v>0.31152733333333338</v>
      </c>
      <c r="T26" s="86">
        <f>'Local emissions'!AR26-S26</f>
        <v>30.035349879373701</v>
      </c>
      <c r="U26" s="61">
        <f t="shared" si="20"/>
        <v>286.93266396516253</v>
      </c>
      <c r="V26" s="27">
        <f t="shared" si="3"/>
        <v>244.75175791304295</v>
      </c>
      <c r="W26" s="27">
        <f t="shared" si="4"/>
        <v>19.339239766081835</v>
      </c>
      <c r="X26" s="61">
        <f>U26+TN!CI26</f>
        <v>529.48944201555264</v>
      </c>
      <c r="Y26" s="27">
        <f>V26+DIN!CI26</f>
        <v>461.74587388430655</v>
      </c>
      <c r="Z26" s="27">
        <f>W26+TP!CI26</f>
        <v>32.654025867811534</v>
      </c>
      <c r="AA26" s="73">
        <f>'Summed emissions'!E26</f>
        <v>5.5222011769474406</v>
      </c>
      <c r="AB26" s="131">
        <f>IF(Basicinfo!AR26="","",Basicinfo!AR26)</f>
        <v>1068.0717763520838</v>
      </c>
      <c r="AC26" s="131">
        <f>IF(Basicinfo!AS26="","",Basicinfo!AS26)</f>
        <v>970.97434213825795</v>
      </c>
      <c r="AD26" s="131">
        <f>IF(Basicinfo!AT26="","",Basicinfo!AT26)</f>
        <v>82.826994202984906</v>
      </c>
      <c r="AE26" s="174">
        <f t="shared" si="21"/>
        <v>-50.425668598417353</v>
      </c>
      <c r="AF26" s="19">
        <f t="shared" si="5"/>
        <v>-52.445100365117767</v>
      </c>
      <c r="AG26" s="27">
        <f t="shared" si="6"/>
        <v>-60.575623705737769</v>
      </c>
      <c r="AH26" s="56">
        <f>'Local emissions'!AE26-U26</f>
        <v>77.47033562235265</v>
      </c>
      <c r="AI26" s="228">
        <f>'Local emissions'!AR26-W26</f>
        <v>11.0076374466252</v>
      </c>
      <c r="AJ26" s="43">
        <f t="shared" si="7"/>
        <v>77.470335622352678</v>
      </c>
      <c r="AK26" s="58">
        <f t="shared" si="8"/>
        <v>11.007637446625198</v>
      </c>
      <c r="AL26" s="43">
        <f>TN!CI115</f>
        <v>0</v>
      </c>
      <c r="AM26" s="43">
        <f>TP!CI115</f>
        <v>0</v>
      </c>
      <c r="AN26" s="42">
        <f>TN!CI204+(AH26-AJ26)</f>
        <v>-2.8421709430404007E-14</v>
      </c>
      <c r="AO26" s="43">
        <f>TP!CI204+(AI26-AK26)</f>
        <v>1.7763568394002505E-15</v>
      </c>
      <c r="AP26" s="42">
        <f t="shared" si="9"/>
        <v>77.47033562235265</v>
      </c>
      <c r="AQ26" s="42">
        <f t="shared" si="10"/>
        <v>11.0076374466252</v>
      </c>
      <c r="AR26" s="42">
        <f>AH26/'Local emissions'!AE26*100</f>
        <v>21.259521933146804</v>
      </c>
      <c r="AS26" s="42">
        <f>AI26/'Local emissions'!AR26*100</f>
        <v>36.27271883518879</v>
      </c>
      <c r="AT26" s="42">
        <f t="shared" si="22"/>
        <v>12.763668776181941</v>
      </c>
      <c r="AU26" s="42">
        <f t="shared" si="11"/>
        <v>25.211218746642487</v>
      </c>
      <c r="AV26" s="42">
        <f>('Summed emissions'!AE26-'River loads'!X26)/'Summed emissions'!AE26*100</f>
        <v>18.317968735367419</v>
      </c>
      <c r="AW26" s="42">
        <f>('Summed emissions'!AR26-'River loads'!Z26)/'Summed emissions'!AR26*100</f>
        <v>34.585441004366409</v>
      </c>
      <c r="AX26" s="61">
        <f>X26/('Summed emissions'!$D26*100)*1000</f>
        <v>10.628012165843503</v>
      </c>
      <c r="AY26" s="19">
        <f>Y26/('Summed emissions'!$D26*100)*1000</f>
        <v>9.2682504612175123</v>
      </c>
      <c r="AZ26" s="72">
        <f>Z26/('Summed emissions'!$D26*100)*1000</f>
        <v>0.65543777958215765</v>
      </c>
      <c r="BA26" s="43">
        <f>IF(AB26="","",AB26/('Summed emissions'!$D26*100)*1000)</f>
        <v>21.438538585119893</v>
      </c>
      <c r="BB26" s="43">
        <f>IF(AC26="","",AC26/('Summed emissions'!$D26*100)*1000)</f>
        <v>19.489580531927174</v>
      </c>
      <c r="BC26" s="43">
        <f>IF(AD26="","",AD26/('Summed emissions'!$D26*100)*1000)</f>
        <v>1.6625190838530757</v>
      </c>
      <c r="BF26" s="188">
        <f>('Summed emissions'!AE26-'River loads'!Y26)/'Summed emissions'!AE26*100</f>
        <v>28.768474092019421</v>
      </c>
      <c r="BG26" s="188">
        <f>('Summed emissions'!AR26-'River loads'!Z26)/'Summed emissions'!AR26*100</f>
        <v>34.585441004366409</v>
      </c>
      <c r="BH26" s="181">
        <f>'Summed emissions'!CV26*(100-'River loads'!BG26)/100</f>
        <v>21.083640904859713</v>
      </c>
      <c r="BI26" s="181">
        <f t="shared" si="12"/>
        <v>16.023567087693383</v>
      </c>
      <c r="BJ26" s="233"/>
      <c r="BK26" s="233"/>
      <c r="BM26" s="31">
        <f t="shared" si="25"/>
        <v>9.2011131595448908E-2</v>
      </c>
      <c r="BN26" s="31"/>
      <c r="BO26" s="231">
        <v>0.10816000000000001</v>
      </c>
      <c r="BP26" s="31">
        <f>BM26/Parameters!$C$156</f>
        <v>0.14155558706992138</v>
      </c>
      <c r="BQ26" s="305">
        <v>0.161</v>
      </c>
      <c r="BR26" s="237">
        <f>Basicinfo!CW26</f>
        <v>0.05</v>
      </c>
      <c r="BS26" s="237">
        <f t="shared" si="13"/>
        <v>2.8311117413984275</v>
      </c>
      <c r="BT26" s="237">
        <f t="shared" si="26"/>
        <v>3.2199999999999998</v>
      </c>
      <c r="BU26" s="31">
        <f t="shared" si="14"/>
        <v>0.18750717956877269</v>
      </c>
      <c r="BV26" s="232">
        <v>0.21332999999999999</v>
      </c>
      <c r="BW26" s="31">
        <f t="shared" si="15"/>
        <v>2.6514545814367958</v>
      </c>
      <c r="BX26" s="31">
        <v>2.47133</v>
      </c>
      <c r="BY26" s="231">
        <f t="shared" si="1"/>
        <v>2.7204382022471911</v>
      </c>
      <c r="BZ26" s="147">
        <f t="shared" si="16"/>
        <v>3.5830467316713457</v>
      </c>
      <c r="CA26" s="305">
        <v>3.4950000000000001</v>
      </c>
      <c r="CB26" s="231">
        <f>Basicinfo!CV26</f>
        <v>4</v>
      </c>
      <c r="CC26" s="147">
        <f t="shared" si="17"/>
        <v>0.89576168291783642</v>
      </c>
      <c r="CD26" s="147"/>
      <c r="CE26" s="233">
        <f>'Local emissions'!FC26/14*62</f>
        <v>33.671935483870975</v>
      </c>
      <c r="CF26" s="233">
        <f>'Local emissions'!FD26/14*62</f>
        <v>19.434174780556166</v>
      </c>
      <c r="CH26">
        <f t="shared" si="18"/>
        <v>2</v>
      </c>
      <c r="CI26">
        <f t="shared" si="19"/>
        <v>1</v>
      </c>
      <c r="CK26" s="276">
        <f>Basicinfo!EM26</f>
        <v>1</v>
      </c>
      <c r="CL26" s="276">
        <f>Basicinfo!EN26</f>
        <v>0</v>
      </c>
      <c r="CM26">
        <f t="shared" si="23"/>
        <v>1</v>
      </c>
      <c r="CN26">
        <f t="shared" si="24"/>
        <v>0</v>
      </c>
      <c r="CO26" s="31"/>
      <c r="CP26" s="270">
        <f>Basicinfo!DC26</f>
        <v>0.12262921348314608</v>
      </c>
      <c r="CQ26" s="270">
        <f>Basicinfo!DD26</f>
        <v>0.21</v>
      </c>
      <c r="CR26" s="236"/>
      <c r="CS26" s="236">
        <f>Basicinfo!DK26</f>
        <v>2.7204382022471911</v>
      </c>
      <c r="CT26" s="236">
        <f>Basicinfo!DL26</f>
        <v>3.6758000000000002</v>
      </c>
      <c r="CU26" s="147">
        <f>'Summed emissions'!D26</f>
        <v>498.20176506500002</v>
      </c>
      <c r="CV26" s="188">
        <f t="shared" si="29"/>
        <v>-2.5357540102698195</v>
      </c>
      <c r="CW26" s="188">
        <f t="shared" si="30"/>
        <v>-24.9680161994232</v>
      </c>
      <c r="CX26" s="188"/>
      <c r="CY26" s="188"/>
      <c r="CZ26" s="181">
        <v>3.6758000000000002</v>
      </c>
      <c r="DE26" s="232">
        <f>CQ26</f>
        <v>0.21</v>
      </c>
      <c r="DI26" s="31">
        <f>DJ26</f>
        <v>0.20147191011235949</v>
      </c>
      <c r="DJ26" s="233">
        <f>Basicinfo!DA26</f>
        <v>0.20147191011235949</v>
      </c>
      <c r="DK26" s="233">
        <f>Basicinfo!DB26</f>
        <v>0.28200000000000003</v>
      </c>
      <c r="DM26" s="31">
        <f>DI26</f>
        <v>0.20147191011235949</v>
      </c>
      <c r="DR26" s="236">
        <f t="shared" si="2"/>
        <v>33.671935483870975</v>
      </c>
      <c r="DS26" s="236">
        <f t="shared" si="0"/>
        <v>19.434174780556166</v>
      </c>
      <c r="DT26" s="181"/>
      <c r="DU26" s="181">
        <f>DR26</f>
        <v>33.671935483870975</v>
      </c>
      <c r="DY26" s="31">
        <f>Basicinfo!EI26</f>
        <v>5.1301836155606406E-2</v>
      </c>
      <c r="DZ26" s="31">
        <f>Intermediate!CR26</f>
        <v>5.1301836155606406E-2</v>
      </c>
      <c r="EB26" s="31">
        <f>DY26</f>
        <v>5.1301836155606406E-2</v>
      </c>
    </row>
    <row r="27" spans="1:134">
      <c r="A27" s="39" t="str">
        <f>Basicinfo!A27</f>
        <v>Pesenbach</v>
      </c>
      <c r="B27" s="63">
        <f>Basicinfo!B27</f>
        <v>1190</v>
      </c>
      <c r="C27" s="63">
        <f>Basicinfo!C27</f>
        <v>5000</v>
      </c>
      <c r="D27" s="61">
        <f>IF(Intermediate!D27=0,0,Basicinfo!AP27*86400*365/(Intermediate!D27*1000000))</f>
        <v>21.077416148568169</v>
      </c>
      <c r="E27" s="19">
        <f>IF(Intermediate!E27=0,0,IF((Intermediate!E27-Basicinfo!AA27)&lt;0,0,'Summed emissions'!E27*86400*365/((Intermediate!E27-Basicinfo!AA27)*1000000)))</f>
        <v>0</v>
      </c>
      <c r="F27" s="19">
        <f>IF(Basicinfo!AA27=0,0,'Summed emissions'!E27*86400*365/(Basicinfo!AA27*1000000))</f>
        <v>0</v>
      </c>
      <c r="G27" s="19">
        <f>IF(D27=0,1,1/(1+Parameters!$C$138*EXP(Parameters!$C$139*Basicinfo!AQ27)*D27^Parameters!$C$140))</f>
        <v>0.71049928015362929</v>
      </c>
      <c r="H27" s="19">
        <f>IF(D27=0,1,1/(1+Parameters!$C$141*EXP(Parameters!$C$142*Basicinfo!AQ27)*D27^Parameters!$C$143))</f>
        <v>0.57552104644600077</v>
      </c>
      <c r="I27" s="161">
        <f>IF(Intermediate!AS27=0,1,IF(D27=0,1/(1+Parameters!$C$144*Intermediate!AS27^Parameters!$C$145),(1/(1+Parameters!$C$144*Intermediate!AS27^Parameters!$C$145)+1/(1+Parameters!$C$146*D27^Parameters!$C$147))/2))</f>
        <v>0.58601019242562602</v>
      </c>
      <c r="J27" s="19">
        <f>IF(E27=0,1,1/(1+Parameters!$C$138*EXP(Parameters!$C$139*Basicinfo!AQ27)*E27^Parameters!$C$140))</f>
        <v>1</v>
      </c>
      <c r="K27" s="19">
        <f>IF(E27=0,1,1/(1+Parameters!$C$141*EXP(Parameters!$C$142*Basicinfo!AQ27)*E27^Parameters!$C$143))</f>
        <v>1</v>
      </c>
      <c r="L27" s="19">
        <f>IF(E27=0,1,1/(1+Parameters!$C$146*E27^Parameters!$C$147))</f>
        <v>1</v>
      </c>
      <c r="M27" s="53">
        <f>IF(F27=0,1,1/(1+Parameters!$C$138*EXP(Parameters!$C$139*Basicinfo!AQ27)*F27^Parameters!$C$140))</f>
        <v>1</v>
      </c>
      <c r="N27" s="53">
        <f>IF(F27=0,1,1/(1+Parameters!$C$141*EXP(Parameters!$C$142*Basicinfo!AQ27)*F27^Parameters!$C$143))</f>
        <v>1</v>
      </c>
      <c r="O27" s="53">
        <f>IF(F27=0,1,1/(1+Parameters!$C$146*F27^Parameters!$C$147))</f>
        <v>1</v>
      </c>
      <c r="P27" s="64">
        <f>Basicinfo!CE27+Basicinfo!CJ27</f>
        <v>0</v>
      </c>
      <c r="Q27" s="86">
        <f>Parameters!$C$126*Intermediate!BB27*Basicinfo!P27/1000+Parameters!$C$127*Intermediate!BB27*Basicinfo!S27/1000</f>
        <v>1.1290679184656335E-2</v>
      </c>
      <c r="R27" s="48">
        <f>'Local emissions'!AE27-P27-Q27</f>
        <v>106.52939719717259</v>
      </c>
      <c r="S27" s="48">
        <f>Basicinfo!CF27+Basicinfo!CK27</f>
        <v>0</v>
      </c>
      <c r="T27" s="86">
        <f>'Local emissions'!AR27-S27</f>
        <v>3.4633779177730029</v>
      </c>
      <c r="U27" s="61">
        <f t="shared" si="20"/>
        <v>75.700350702975825</v>
      </c>
      <c r="V27" s="27">
        <f t="shared" si="3"/>
        <v>61.309910152178425</v>
      </c>
      <c r="W27" s="27">
        <f t="shared" si="4"/>
        <v>2.0295747600368212</v>
      </c>
      <c r="X27" s="61">
        <f>U27+TN!CI27</f>
        <v>75.700350702975825</v>
      </c>
      <c r="Y27" s="27">
        <f>V27+DIN!CI27</f>
        <v>61.309910152178425</v>
      </c>
      <c r="Z27" s="27">
        <f>W27+TP!CI27</f>
        <v>2.0295747600368212</v>
      </c>
      <c r="AA27" s="73">
        <f>'Summed emissions'!E27</f>
        <v>1.4337208422552195</v>
      </c>
      <c r="AB27" s="131">
        <f>IF(Basicinfo!AR27="","",Basicinfo!AR27)</f>
        <v>150.07192723768628</v>
      </c>
      <c r="AC27" s="131">
        <f>IF(Basicinfo!AS27="","",Basicinfo!AS27)</f>
        <v>136.42902476153299</v>
      </c>
      <c r="AD27" s="131">
        <f>IF(Basicinfo!AT27="","",Basicinfo!AT27)</f>
        <v>3.7419669516636298</v>
      </c>
      <c r="AE27" s="174">
        <f t="shared" si="21"/>
        <v>-49.557287564462058</v>
      </c>
      <c r="AF27" s="19">
        <f t="shared" si="5"/>
        <v>-55.060948167486181</v>
      </c>
      <c r="AG27" s="27">
        <f t="shared" si="6"/>
        <v>-45.761820287202191</v>
      </c>
      <c r="AH27" s="56">
        <f>'Local emissions'!AE27-U27</f>
        <v>30.840337173381414</v>
      </c>
      <c r="AI27" s="228">
        <f>'Local emissions'!AR27-W27</f>
        <v>1.4338031577361816</v>
      </c>
      <c r="AJ27" s="43">
        <f t="shared" si="7"/>
        <v>30.84033717338141</v>
      </c>
      <c r="AK27" s="58">
        <f t="shared" si="8"/>
        <v>1.4338031577361814</v>
      </c>
      <c r="AL27" s="43">
        <f>TN!CI116</f>
        <v>0</v>
      </c>
      <c r="AM27" s="43">
        <f>TP!CI116</f>
        <v>0</v>
      </c>
      <c r="AN27" s="42">
        <f>TN!CI205+(AH27-AJ27)</f>
        <v>3.5527136788005009E-15</v>
      </c>
      <c r="AO27" s="43">
        <f>TP!CI205+(AI27-AK27)</f>
        <v>2.2204460492503131E-16</v>
      </c>
      <c r="AP27" s="42">
        <f t="shared" si="9"/>
        <v>30.840337173381414</v>
      </c>
      <c r="AQ27" s="42">
        <f t="shared" si="10"/>
        <v>1.4338031577361816</v>
      </c>
      <c r="AR27" s="42">
        <f>AH27/'Local emissions'!AE27*100</f>
        <v>28.947003992664555</v>
      </c>
      <c r="AS27" s="42">
        <f>AI27/'Local emissions'!AR27*100</f>
        <v>41.398980757437407</v>
      </c>
      <c r="AT27" s="42">
        <f t="shared" si="22"/>
        <v>28.947003992664555</v>
      </c>
      <c r="AU27" s="42">
        <f t="shared" si="11"/>
        <v>41.398980757437407</v>
      </c>
      <c r="AV27" s="42">
        <f>('Summed emissions'!AE27-'River loads'!X27)/'Summed emissions'!AE27*100</f>
        <v>28.947003992664555</v>
      </c>
      <c r="AW27" s="42">
        <f>('Summed emissions'!AR27-'River loads'!Z27)/'Summed emissions'!AR27*100</f>
        <v>41.398980757437407</v>
      </c>
      <c r="AX27" s="61">
        <f>X27/('Summed emissions'!$D27*100)*1000</f>
        <v>6.9648043550979164</v>
      </c>
      <c r="AY27" s="19">
        <f>Y27/('Summed emissions'!$D27*100)*1000</f>
        <v>5.6408130909989049</v>
      </c>
      <c r="AZ27" s="72">
        <f>Z27/('Summed emissions'!$D27*100)*1000</f>
        <v>0.18673085390535163</v>
      </c>
      <c r="BA27" s="43">
        <f>IF(AB27="","",AB27/('Summed emissions'!$D27*100)*1000)</f>
        <v>13.807354955383142</v>
      </c>
      <c r="BB27" s="43">
        <f>IF(AC27="","",AC27/('Summed emissions'!$D27*100)*1000)</f>
        <v>12.552140868530129</v>
      </c>
      <c r="BC27" s="43">
        <f>IF(AD27="","",AD27/('Summed emissions'!$D27*100)*1000)</f>
        <v>0.34427935246744906</v>
      </c>
      <c r="BF27" s="188">
        <f>('Summed emissions'!AE27-'River loads'!Y27)/'Summed emissions'!AE27*100</f>
        <v>42.453994455780226</v>
      </c>
      <c r="BG27" s="188">
        <f>('Summed emissions'!AR27-'River loads'!Z27)/'Summed emissions'!AR27*100</f>
        <v>41.398980757437407</v>
      </c>
      <c r="BH27" s="181">
        <f>'Summed emissions'!CV27*(100-'River loads'!BG27)/100</f>
        <v>1.3156109371296103</v>
      </c>
      <c r="BI27" s="181">
        <f t="shared" si="12"/>
        <v>0.9998643122185038</v>
      </c>
      <c r="BJ27" s="233"/>
      <c r="BK27" s="233"/>
      <c r="BM27" s="31">
        <f t="shared" si="25"/>
        <v>2.2114130183506563E-2</v>
      </c>
      <c r="BN27" s="31"/>
      <c r="BO27" s="231">
        <v>3.1156989247311799E-2</v>
      </c>
      <c r="BP27" s="31">
        <f>BM27/Parameters!$C$156</f>
        <v>3.402173874385625E-2</v>
      </c>
      <c r="BQ27" s="305">
        <v>4.9799999999999997E-2</v>
      </c>
      <c r="BR27" s="237">
        <f>Basicinfo!CW27</f>
        <v>0.05</v>
      </c>
      <c r="BS27" s="237">
        <f t="shared" si="13"/>
        <v>0.680434774877125</v>
      </c>
      <c r="BT27" s="237">
        <f t="shared" si="26"/>
        <v>0.99599999999999989</v>
      </c>
      <c r="BU27" s="31">
        <f t="shared" si="14"/>
        <v>4.4888371264125169E-2</v>
      </c>
      <c r="BV27" s="232">
        <v>7.4376344086021506E-2</v>
      </c>
      <c r="BW27" s="31">
        <f t="shared" si="15"/>
        <v>1.3559993271847806</v>
      </c>
      <c r="BX27" s="31">
        <v>2.4811322580645201</v>
      </c>
      <c r="BY27" s="231">
        <f t="shared" si="1"/>
        <v>2.4465853658536583</v>
      </c>
      <c r="BZ27" s="147">
        <f t="shared" si="16"/>
        <v>1.8324315232226764</v>
      </c>
      <c r="CA27" s="305">
        <v>3.5139999999999998</v>
      </c>
      <c r="CB27" s="231">
        <f>Basicinfo!CV27</f>
        <v>4</v>
      </c>
      <c r="CC27" s="147">
        <f t="shared" si="17"/>
        <v>0.45810788080566911</v>
      </c>
      <c r="CD27" s="147"/>
      <c r="CE27" s="233">
        <f>'Local emissions'!FC27/14*62</f>
        <v>23.579000000000001</v>
      </c>
      <c r="CF27" s="233">
        <f>'Local emissions'!FD27/14*62</f>
        <v>14.010354143846188</v>
      </c>
      <c r="CH27">
        <f t="shared" si="18"/>
        <v>0</v>
      </c>
      <c r="CI27">
        <f t="shared" si="19"/>
        <v>0</v>
      </c>
      <c r="CK27" s="276">
        <f>Basicinfo!EM27</f>
        <v>0</v>
      </c>
      <c r="CL27" s="276">
        <f>Basicinfo!EN27</f>
        <v>0</v>
      </c>
      <c r="CM27">
        <f t="shared" si="23"/>
        <v>0</v>
      </c>
      <c r="CN27">
        <f t="shared" si="24"/>
        <v>0</v>
      </c>
      <c r="CO27" s="31"/>
      <c r="CP27" s="270">
        <f>Basicinfo!DC27</f>
        <v>2.9219512195121936E-2</v>
      </c>
      <c r="CQ27" s="270">
        <f>Basicinfo!DD27</f>
        <v>4.9700000000000022E-2</v>
      </c>
      <c r="CR27" s="236"/>
      <c r="CS27" s="236">
        <f>Basicinfo!DK27</f>
        <v>2.4465853658536583</v>
      </c>
      <c r="CT27" s="236">
        <f>Basicinfo!DL27</f>
        <v>3.7509000000000001</v>
      </c>
      <c r="CU27" s="147">
        <f>'Summed emissions'!D27</f>
        <v>108.689845175</v>
      </c>
      <c r="CV27" s="188">
        <f t="shared" si="29"/>
        <v>-44.575842473755351</v>
      </c>
      <c r="CW27" s="188">
        <f t="shared" si="30"/>
        <v>-24.317250624059302</v>
      </c>
      <c r="CX27" s="188"/>
      <c r="CY27" s="188"/>
      <c r="DI27" s="31">
        <f>DJ27</f>
        <v>7.3670731707317083E-2</v>
      </c>
      <c r="DJ27" s="233">
        <f>Basicinfo!DA27</f>
        <v>7.3670731707317083E-2</v>
      </c>
      <c r="DK27" s="233">
        <f>Basicinfo!DB27</f>
        <v>0.12</v>
      </c>
      <c r="DR27" s="236">
        <f t="shared" si="2"/>
        <v>23.579000000000001</v>
      </c>
      <c r="DS27" s="236">
        <f t="shared" si="0"/>
        <v>14.010354143846188</v>
      </c>
      <c r="DY27" s="31">
        <f>Basicinfo!EI27</f>
        <v>2.7218946315789479E-2</v>
      </c>
      <c r="DZ27" s="31">
        <f>Intermediate!CR27</f>
        <v>2.7218946315789479E-2</v>
      </c>
    </row>
    <row r="28" spans="1:134">
      <c r="A28" s="39" t="str">
        <f>Basicinfo!A28</f>
        <v>Große Rodl</v>
      </c>
      <c r="B28" s="63">
        <f>Basicinfo!B28</f>
        <v>1200</v>
      </c>
      <c r="C28" s="63">
        <f>Basicinfo!C28</f>
        <v>5000</v>
      </c>
      <c r="D28" s="61">
        <f>IF(Intermediate!D28=0,0,Basicinfo!AP28*86400*365/(Intermediate!D28*1000000))</f>
        <v>95.064045274450606</v>
      </c>
      <c r="E28" s="19">
        <f>IF(Intermediate!E28=0,0,IF((Intermediate!E28-Basicinfo!AA28)&lt;0,0,'Summed emissions'!E28*86400*365/((Intermediate!E28-Basicinfo!AA28)*1000000)))</f>
        <v>0</v>
      </c>
      <c r="F28" s="19">
        <f>IF(Basicinfo!AA28=0,0,'Summed emissions'!E28*86400*365/(Basicinfo!AA28*1000000))</f>
        <v>0</v>
      </c>
      <c r="G28" s="19">
        <f>IF(D28=0,1,1/(1+Parameters!$C$138*EXP(Parameters!$C$139*Basicinfo!AQ28)*D28^Parameters!$C$140))</f>
        <v>0.91794116901968803</v>
      </c>
      <c r="H28" s="19">
        <f>IF(D28=0,1,1/(1+Parameters!$C$141*EXP(Parameters!$C$142*Basicinfo!AQ28)*D28^Parameters!$C$143))</f>
        <v>0.86072205365984944</v>
      </c>
      <c r="I28" s="161">
        <f>IF(Intermediate!AS28=0,1,IF(D28=0,1/(1+Parameters!$C$144*Intermediate!AS28^Parameters!$C$145),(1/(1+Parameters!$C$144*Intermediate!AS28^Parameters!$C$145)+1/(1+Parameters!$C$146*D28^Parameters!$C$147))/2))</f>
        <v>0.75449083894266611</v>
      </c>
      <c r="J28" s="19">
        <f>IF(E28=0,1,1/(1+Parameters!$C$138*EXP(Parameters!$C$139*Basicinfo!AQ28)*E28^Parameters!$C$140))</f>
        <v>1</v>
      </c>
      <c r="K28" s="19">
        <f>IF(E28=0,1,1/(1+Parameters!$C$141*EXP(Parameters!$C$142*Basicinfo!AQ28)*E28^Parameters!$C$143))</f>
        <v>1</v>
      </c>
      <c r="L28" s="19">
        <f>IF(E28=0,1,1/(1+Parameters!$C$146*E28^Parameters!$C$147))</f>
        <v>1</v>
      </c>
      <c r="M28" s="53">
        <f>IF(F28=0,1,1/(1+Parameters!$C$138*EXP(Parameters!$C$139*Basicinfo!AQ28)*F28^Parameters!$C$140))</f>
        <v>1</v>
      </c>
      <c r="N28" s="53">
        <f>IF(F28=0,1,1/(1+Parameters!$C$141*EXP(Parameters!$C$142*Basicinfo!AQ28)*F28^Parameters!$C$143))</f>
        <v>1</v>
      </c>
      <c r="O28" s="53">
        <f>IF(F28=0,1,1/(1+Parameters!$C$146*F28^Parameters!$C$147))</f>
        <v>1</v>
      </c>
      <c r="P28" s="64">
        <f>Basicinfo!CE28+Basicinfo!CJ28</f>
        <v>0</v>
      </c>
      <c r="Q28" s="86">
        <f>Parameters!$C$126*Intermediate!BB28*Basicinfo!P28/1000+Parameters!$C$127*Intermediate!BB28*Basicinfo!S28/1000</f>
        <v>1.8221243128087379E-2</v>
      </c>
      <c r="R28" s="48">
        <f>'Local emissions'!AE28-P28-Q28</f>
        <v>239.07394993098464</v>
      </c>
      <c r="S28" s="48">
        <f>Basicinfo!CF28+Basicinfo!CK28</f>
        <v>0</v>
      </c>
      <c r="T28" s="86">
        <f>'Local emissions'!AR28-S28</f>
        <v>9.053397438075395</v>
      </c>
      <c r="U28" s="61">
        <f t="shared" si="20"/>
        <v>219.47404232493051</v>
      </c>
      <c r="V28" s="27">
        <f t="shared" si="3"/>
        <v>205.77622116116913</v>
      </c>
      <c r="W28" s="27">
        <f t="shared" si="4"/>
        <v>6.8307054283348885</v>
      </c>
      <c r="X28" s="61">
        <f>U28+TN!CI28</f>
        <v>219.47404232493051</v>
      </c>
      <c r="Y28" s="27">
        <f>V28+DIN!CI28</f>
        <v>205.77622116116913</v>
      </c>
      <c r="Z28" s="27">
        <f>W28+TP!CI28</f>
        <v>6.8307054283348885</v>
      </c>
      <c r="AA28" s="73">
        <f>'Summed emissions'!E28</f>
        <v>3.5832774849934106</v>
      </c>
      <c r="AB28" s="131">
        <f>IF(Basicinfo!AR28="","",Basicinfo!AR28)</f>
        <v>312.94942898695302</v>
      </c>
      <c r="AC28" s="131">
        <f>IF(Basicinfo!AS28="","",Basicinfo!AS28)</f>
        <v>284.49948089723</v>
      </c>
      <c r="AD28" s="131">
        <f>IF(Basicinfo!AT28="","",Basicinfo!AT28)</f>
        <v>9.2607704088142793</v>
      </c>
      <c r="AE28" s="174">
        <f t="shared" si="21"/>
        <v>-29.8691667099733</v>
      </c>
      <c r="AF28" s="19">
        <f t="shared" si="5"/>
        <v>-27.67079204777113</v>
      </c>
      <c r="AG28" s="27">
        <f t="shared" si="6"/>
        <v>-26.240419243808134</v>
      </c>
      <c r="AH28" s="56">
        <f>'Local emissions'!AE28-U28</f>
        <v>19.618128849182227</v>
      </c>
      <c r="AI28" s="228">
        <f>'Local emissions'!AR28-W28</f>
        <v>2.2226920097405065</v>
      </c>
      <c r="AJ28" s="43">
        <f t="shared" si="7"/>
        <v>19.618128849182234</v>
      </c>
      <c r="AK28" s="58">
        <f t="shared" si="8"/>
        <v>2.2226920097405061</v>
      </c>
      <c r="AL28" s="43">
        <f>TN!CI117</f>
        <v>0</v>
      </c>
      <c r="AM28" s="43">
        <f>TP!CI117</f>
        <v>0</v>
      </c>
      <c r="AN28" s="42">
        <f>TN!CI206+(AH28-AJ28)</f>
        <v>-7.1054273576010019E-15</v>
      </c>
      <c r="AO28" s="43">
        <f>TP!CI206+(AI28-AK28)</f>
        <v>4.4408920985006262E-16</v>
      </c>
      <c r="AP28" s="42">
        <f t="shared" si="9"/>
        <v>19.618128849182227</v>
      </c>
      <c r="AQ28" s="42">
        <f t="shared" si="10"/>
        <v>2.2226920097405065</v>
      </c>
      <c r="AR28" s="42">
        <f>AH28/'Local emissions'!AE28*100</f>
        <v>8.2052577266931195</v>
      </c>
      <c r="AS28" s="42">
        <f>AI28/'Local emissions'!AR28*100</f>
        <v>24.550916105733393</v>
      </c>
      <c r="AT28" s="42">
        <f t="shared" si="22"/>
        <v>8.2052577266931195</v>
      </c>
      <c r="AU28" s="42">
        <f t="shared" si="11"/>
        <v>24.550916105733393</v>
      </c>
      <c r="AV28" s="42">
        <f>('Summed emissions'!AE28-'River loads'!X28)/'Summed emissions'!AE28*100</f>
        <v>8.2052577266931195</v>
      </c>
      <c r="AW28" s="42">
        <f>('Summed emissions'!AR28-'River loads'!Z28)/'Summed emissions'!AR28*100</f>
        <v>24.550916105733393</v>
      </c>
      <c r="AX28" s="61">
        <f>X28/('Summed emissions'!$D28*100)*1000</f>
        <v>8.1890182513014604</v>
      </c>
      <c r="AY28" s="19">
        <f>Y28/('Summed emissions'!$D28*100)*1000</f>
        <v>7.6779249742794979</v>
      </c>
      <c r="AZ28" s="72">
        <f>Z28/('Summed emissions'!$D28*100)*1000</f>
        <v>0.25486736759094353</v>
      </c>
      <c r="BA28" s="43">
        <f>IF(AB28="","",AB28/('Summed emissions'!$D28*100)*1000)</f>
        <v>11.676773064189469</v>
      </c>
      <c r="BB28" s="43">
        <f>IF(AC28="","",AC28/('Summed emissions'!$D28*100)*1000)</f>
        <v>10.615248240172244</v>
      </c>
      <c r="BC28" s="43">
        <f>IF(AD28="","",AD28/('Summed emissions'!$D28*100)*1000)</f>
        <v>0.34553798296846772</v>
      </c>
      <c r="BF28" s="188">
        <f>('Summed emissions'!AE28-'River loads'!Y28)/'Summed emissions'!AE28*100</f>
        <v>13.934354207140526</v>
      </c>
      <c r="BG28" s="188">
        <f>('Summed emissions'!AR28-'River loads'!Z28)/'Summed emissions'!AR28*100</f>
        <v>24.550916105733393</v>
      </c>
      <c r="BH28" s="181">
        <f>'Summed emissions'!CV28*(100-'River loads'!BG28)/100</f>
        <v>4.9689379219817056</v>
      </c>
      <c r="BI28" s="181">
        <f t="shared" si="12"/>
        <v>3.7763928207060964</v>
      </c>
      <c r="BJ28" s="233"/>
      <c r="BK28" s="233">
        <f>Basicinfo!CQ28</f>
        <v>3.8321844406580201</v>
      </c>
      <c r="BM28" s="31">
        <f t="shared" si="25"/>
        <v>3.3418743397650247E-2</v>
      </c>
      <c r="BN28" s="31">
        <f>BK28*1000000/24/3600/365/$AA28</f>
        <v>3.3912464766012541E-2</v>
      </c>
      <c r="BO28" s="231">
        <v>3.8284210526315803E-2</v>
      </c>
      <c r="BP28" s="31">
        <f>BM28/Parameters!$C$156</f>
        <v>5.1413451381000376E-2</v>
      </c>
      <c r="BQ28" s="305">
        <v>5.7000000000000002E-2</v>
      </c>
      <c r="BR28" s="237">
        <f>Basicinfo!CW28</f>
        <v>0.05</v>
      </c>
      <c r="BS28" s="237">
        <f t="shared" si="13"/>
        <v>1.0282690276200075</v>
      </c>
      <c r="BT28" s="237">
        <f t="shared" si="26"/>
        <v>1.1399999999999999</v>
      </c>
      <c r="BU28" s="31">
        <f t="shared" si="14"/>
        <v>6.0447523012655879E-2</v>
      </c>
      <c r="BV28" s="232">
        <v>8.2852631578947303E-2</v>
      </c>
      <c r="BW28" s="31">
        <f t="shared" si="15"/>
        <v>1.8209924281757959</v>
      </c>
      <c r="BX28" s="31">
        <v>2.28250736842105</v>
      </c>
      <c r="BY28" s="231">
        <f t="shared" si="1"/>
        <v>2.2831999999999999</v>
      </c>
      <c r="BZ28" s="147">
        <f t="shared" si="16"/>
        <v>2.4608005786159404</v>
      </c>
      <c r="CA28" s="305">
        <v>2.8382000000000001</v>
      </c>
      <c r="CB28" s="231">
        <f>Basicinfo!CV28</f>
        <v>4</v>
      </c>
      <c r="CC28" s="147">
        <f t="shared" si="17"/>
        <v>0.61520014465398509</v>
      </c>
      <c r="CD28" s="147"/>
      <c r="CE28" s="233">
        <f>'Local emissions'!FC28/14*62</f>
        <v>12.874000000000001</v>
      </c>
      <c r="CF28" s="233">
        <f>'Local emissions'!FD28/14*62</f>
        <v>13.221149257747474</v>
      </c>
      <c r="CH28">
        <f t="shared" si="18"/>
        <v>1</v>
      </c>
      <c r="CI28">
        <f t="shared" si="19"/>
        <v>0</v>
      </c>
      <c r="CK28" s="276">
        <f>Basicinfo!EM28</f>
        <v>1</v>
      </c>
      <c r="CL28" s="276">
        <f>Basicinfo!EN28</f>
        <v>0</v>
      </c>
      <c r="CM28">
        <f t="shared" si="23"/>
        <v>1</v>
      </c>
      <c r="CN28">
        <f t="shared" si="24"/>
        <v>0</v>
      </c>
      <c r="CO28" s="31">
        <f t="shared" si="27"/>
        <v>3.3912464766012541E-2</v>
      </c>
      <c r="CP28" s="270">
        <f>Basicinfo!DC28</f>
        <v>3.838823529411764E-2</v>
      </c>
      <c r="CQ28" s="270">
        <f>Basicinfo!DD28</f>
        <v>6.2400000000000032E-2</v>
      </c>
      <c r="CR28" s="236">
        <f t="shared" si="28"/>
        <v>2.28250736842105</v>
      </c>
      <c r="CS28" s="236">
        <f>Basicinfo!DK28</f>
        <v>2.2831999999999999</v>
      </c>
      <c r="CT28" s="236">
        <f>Basicinfo!DL28</f>
        <v>2.9609999999999999</v>
      </c>
      <c r="CU28" s="147">
        <f>'Summed emissions'!D28</f>
        <v>268.010200478</v>
      </c>
      <c r="CV28" s="188">
        <f t="shared" si="29"/>
        <v>-20.243849501760863</v>
      </c>
      <c r="CW28" s="188">
        <f t="shared" si="30"/>
        <v>-12.945351247310096</v>
      </c>
      <c r="CX28" s="188"/>
      <c r="CY28" s="188"/>
      <c r="DI28" s="31" t="e">
        <f>#REF!</f>
        <v>#REF!</v>
      </c>
      <c r="DJ28" s="233">
        <f>Basicinfo!DA28</f>
        <v>8.0588235294117627E-2</v>
      </c>
      <c r="DK28" s="233">
        <f>Basicinfo!DB28</f>
        <v>0.12</v>
      </c>
      <c r="DR28" s="236">
        <f t="shared" si="2"/>
        <v>12.874000000000001</v>
      </c>
      <c r="DS28" s="236">
        <f t="shared" si="0"/>
        <v>13.221149257747474</v>
      </c>
      <c r="DY28" s="31">
        <f>Basicinfo!EI28</f>
        <v>3.4430753684210523E-2</v>
      </c>
      <c r="DZ28" s="31">
        <f>Intermediate!CR28</f>
        <v>3.4430753684210523E-2</v>
      </c>
    </row>
    <row r="29" spans="1:134">
      <c r="A29" s="39" t="str">
        <f>Basicinfo!A29</f>
        <v>Diesenleitenbach</v>
      </c>
      <c r="B29" s="63">
        <f>Basicinfo!B29</f>
        <v>1210</v>
      </c>
      <c r="C29" s="63">
        <f>Basicinfo!C29</f>
        <v>5010</v>
      </c>
      <c r="D29" s="61">
        <f>IF(Intermediate!D29=0,0,Basicinfo!AP29*86400*365/(Intermediate!D29*1000000))</f>
        <v>88.208948028601398</v>
      </c>
      <c r="E29" s="19">
        <f>IF(Intermediate!E29=0,0,IF((Intermediate!E29-Basicinfo!AA29)&lt;0,0,'Summed emissions'!E29*86400*365/((Intermediate!E29-Basicinfo!AA29)*1000000)))</f>
        <v>0</v>
      </c>
      <c r="F29" s="19">
        <f>IF(Basicinfo!AA29=0,0,'Summed emissions'!E29*86400*365/(Basicinfo!AA29*1000000))</f>
        <v>0</v>
      </c>
      <c r="G29" s="19">
        <f>IF(D29=0,1,1/(1+Parameters!$C$138*EXP(Parameters!$C$139*Basicinfo!AQ29)*D29^Parameters!$C$140))</f>
        <v>0.90655451177604751</v>
      </c>
      <c r="H29" s="19">
        <f>IF(D29=0,1,1/(1+Parameters!$C$141*EXP(Parameters!$C$142*Basicinfo!AQ29)*D29^Parameters!$C$143))</f>
        <v>0.84275565514908768</v>
      </c>
      <c r="I29" s="161">
        <f>IF(Intermediate!AS29=0,1,IF(D29=0,1/(1+Parameters!$C$144*Intermediate!AS29^Parameters!$C$145),(1/(1+Parameters!$C$144*Intermediate!AS29^Parameters!$C$145)+1/(1+Parameters!$C$146*D29^Parameters!$C$147))/2))</f>
        <v>0.75052235788655985</v>
      </c>
      <c r="J29" s="19">
        <f>IF(E29=0,1,1/(1+Parameters!$C$138*EXP(Parameters!$C$139*Basicinfo!AQ29)*E29^Parameters!$C$140))</f>
        <v>1</v>
      </c>
      <c r="K29" s="19">
        <f>IF(E29=0,1,1/(1+Parameters!$C$141*EXP(Parameters!$C$142*Basicinfo!AQ29)*E29^Parameters!$C$143))</f>
        <v>1</v>
      </c>
      <c r="L29" s="19">
        <f>IF(E29=0,1,1/(1+Parameters!$C$146*E29^Parameters!$C$147))</f>
        <v>1</v>
      </c>
      <c r="M29" s="53">
        <f>IF(F29=0,1,1/(1+Parameters!$C$138*EXP(Parameters!$C$139*Basicinfo!AQ29)*F29^Parameters!$C$140))</f>
        <v>1</v>
      </c>
      <c r="N29" s="53">
        <f>IF(F29=0,1,1/(1+Parameters!$C$141*EXP(Parameters!$C$142*Basicinfo!AQ29)*F29^Parameters!$C$143))</f>
        <v>1</v>
      </c>
      <c r="O29" s="53">
        <f>IF(F29=0,1,1/(1+Parameters!$C$146*F29^Parameters!$C$147))</f>
        <v>1</v>
      </c>
      <c r="P29" s="64">
        <f>Basicinfo!CE29+Basicinfo!CJ29</f>
        <v>0</v>
      </c>
      <c r="Q29" s="86">
        <f>Parameters!$C$126*Intermediate!BB29*Basicinfo!P29/1000+Parameters!$C$127*Intermediate!BB29*Basicinfo!S29/1000</f>
        <v>0</v>
      </c>
      <c r="R29" s="48">
        <f>'Local emissions'!AE29-P29-Q29</f>
        <v>55.633108079233331</v>
      </c>
      <c r="S29" s="48">
        <f>Basicinfo!CF29+Basicinfo!CK29</f>
        <v>0</v>
      </c>
      <c r="T29" s="86">
        <f>'Local emissions'!AR29-S29</f>
        <v>3.3956535490086175</v>
      </c>
      <c r="U29" s="61">
        <f t="shared" si="20"/>
        <v>50.434445133353456</v>
      </c>
      <c r="V29" s="27">
        <f t="shared" si="3"/>
        <v>46.885116447294287</v>
      </c>
      <c r="W29" s="27">
        <f t="shared" si="4"/>
        <v>2.5485139081678128</v>
      </c>
      <c r="X29" s="61">
        <f>U29+TN!CI29</f>
        <v>50.434445133353456</v>
      </c>
      <c r="Y29" s="27">
        <f>V29+DIN!CI29</f>
        <v>46.885116447294287</v>
      </c>
      <c r="Z29" s="27">
        <f>W29+TP!CI29</f>
        <v>2.5485139081678128</v>
      </c>
      <c r="AA29" s="73">
        <f>'Summed emissions'!E29</f>
        <v>0.73650440279874496</v>
      </c>
      <c r="AB29" s="131" t="str">
        <f>IF(Basicinfo!AR29="","",Basicinfo!AR29)</f>
        <v/>
      </c>
      <c r="AC29" s="131" t="str">
        <f>IF(Basicinfo!AS29="","",Basicinfo!AS29)</f>
        <v/>
      </c>
      <c r="AD29" s="131" t="str">
        <f>IF(Basicinfo!AT29="","",Basicinfo!AT29)</f>
        <v/>
      </c>
      <c r="AE29" s="174" t="str">
        <f t="shared" si="21"/>
        <v/>
      </c>
      <c r="AF29" s="19" t="str">
        <f t="shared" si="5"/>
        <v/>
      </c>
      <c r="AG29" s="27" t="str">
        <f t="shared" si="6"/>
        <v/>
      </c>
      <c r="AH29" s="56">
        <f>'Local emissions'!AE29-U29</f>
        <v>5.1986629458798745</v>
      </c>
      <c r="AI29" s="228">
        <f>'Local emissions'!AR29-W29</f>
        <v>0.84713964084080473</v>
      </c>
      <c r="AJ29" s="43">
        <f t="shared" si="7"/>
        <v>5.1986629458798745</v>
      </c>
      <c r="AK29" s="58">
        <f t="shared" si="8"/>
        <v>0.84713964084080473</v>
      </c>
      <c r="AL29" s="43">
        <f>TN!CI118</f>
        <v>0</v>
      </c>
      <c r="AM29" s="43">
        <f>TP!CI118</f>
        <v>0</v>
      </c>
      <c r="AN29" s="42">
        <f>TN!CI207+(AH29-AJ29)</f>
        <v>0</v>
      </c>
      <c r="AO29" s="43">
        <f>TP!CI207+(AI29-AK29)</f>
        <v>0</v>
      </c>
      <c r="AP29" s="42">
        <f t="shared" si="9"/>
        <v>5.1986629458798745</v>
      </c>
      <c r="AQ29" s="42">
        <f t="shared" si="10"/>
        <v>0.84713964084080473</v>
      </c>
      <c r="AR29" s="42">
        <f>AH29/'Local emissions'!AE29*100</f>
        <v>9.3445488223952484</v>
      </c>
      <c r="AS29" s="42">
        <f>AI29/'Local emissions'!AR29*100</f>
        <v>24.947764211344015</v>
      </c>
      <c r="AT29" s="42">
        <f t="shared" si="22"/>
        <v>9.3445488223952484</v>
      </c>
      <c r="AU29" s="42">
        <f t="shared" si="11"/>
        <v>24.947764211344015</v>
      </c>
      <c r="AV29" s="42">
        <f>('Summed emissions'!AE29-'River loads'!X29)/'Summed emissions'!AE29*100</f>
        <v>9.3445488223952484</v>
      </c>
      <c r="AW29" s="42">
        <f>('Summed emissions'!AR29-'River loads'!Z29)/'Summed emissions'!AR29*100</f>
        <v>24.947764211344015</v>
      </c>
      <c r="AX29" s="61">
        <f>X29/('Summed emissions'!$D29*100)*1000</f>
        <v>9.2425149883860058</v>
      </c>
      <c r="AY29" s="19">
        <f>Y29/('Summed emissions'!$D29*100)*1000</f>
        <v>8.5920721512957687</v>
      </c>
      <c r="AZ29" s="72">
        <f>Z29/('Summed emissions'!$D29*100)*1000</f>
        <v>0.46703553359356692</v>
      </c>
      <c r="BA29" s="43" t="str">
        <f>IF(AB29="","",AB29/('Summed emissions'!$D29*100)*1000)</f>
        <v/>
      </c>
      <c r="BB29" s="43" t="str">
        <f>IF(AC29="","",AC29/('Summed emissions'!$D29*100)*1000)</f>
        <v/>
      </c>
      <c r="BC29" s="43" t="str">
        <f>IF(AD29="","",AD29/('Summed emissions'!$D29*100)*1000)</f>
        <v/>
      </c>
      <c r="BF29" s="188">
        <f>('Summed emissions'!AE29-'River loads'!Y29)/'Summed emissions'!AE29*100</f>
        <v>15.724434485091235</v>
      </c>
      <c r="BG29" s="188">
        <f>('Summed emissions'!AR29-'River loads'!Z29)/'Summed emissions'!AR29*100</f>
        <v>24.947764211344015</v>
      </c>
      <c r="BH29" s="181">
        <f>'Summed emissions'!CV29*(100-'River loads'!BG29)/100</f>
        <v>1.5075329280237901</v>
      </c>
      <c r="BI29" s="181">
        <f t="shared" si="12"/>
        <v>1.1457250252980806</v>
      </c>
      <c r="BJ29" s="233"/>
      <c r="BK29" s="233"/>
      <c r="BM29" s="31">
        <f t="shared" si="25"/>
        <v>4.9328560813401104E-2</v>
      </c>
      <c r="BN29" s="31"/>
      <c r="BO29" s="231"/>
      <c r="BP29" s="31">
        <f>BM29/Parameters!$C$156</f>
        <v>7.5890093559078622E-2</v>
      </c>
      <c r="BQ29" s="305" t="s">
        <v>934</v>
      </c>
      <c r="BR29" s="237">
        <f>Basicinfo!CW29</f>
        <v>0.05</v>
      </c>
      <c r="BS29" s="237">
        <f t="shared" si="13"/>
        <v>1.5178018711815724</v>
      </c>
      <c r="BT29" s="237"/>
      <c r="BU29" s="31">
        <f t="shared" si="14"/>
        <v>0.10972486462896942</v>
      </c>
      <c r="BV29" s="232"/>
      <c r="BW29" s="31">
        <f t="shared" si="15"/>
        <v>2.0186129017405721</v>
      </c>
      <c r="BX29" s="31"/>
      <c r="BY29" s="231"/>
      <c r="BZ29" s="147">
        <f t="shared" si="16"/>
        <v>2.7278552726223948</v>
      </c>
      <c r="CA29" s="305"/>
      <c r="CB29" s="231">
        <f>Basicinfo!CV29</f>
        <v>4</v>
      </c>
      <c r="CC29" s="147">
        <f t="shared" si="17"/>
        <v>0.6819638181555987</v>
      </c>
      <c r="CD29" s="147"/>
      <c r="CE29" s="233">
        <f>'Local emissions'!FC29/14*62</f>
        <v>25.299999999999997</v>
      </c>
      <c r="CF29" s="233">
        <f>'Local emissions'!FD29/14*62</f>
        <v>13.032254621706274</v>
      </c>
      <c r="CH29">
        <f t="shared" si="18"/>
        <v>2</v>
      </c>
      <c r="CI29">
        <f t="shared" si="19"/>
        <v>0</v>
      </c>
      <c r="CK29" s="276">
        <f>Basicinfo!EM29</f>
        <v>0</v>
      </c>
      <c r="CL29" s="276">
        <f>Basicinfo!EN29</f>
        <v>0</v>
      </c>
      <c r="CM29">
        <f t="shared" si="23"/>
        <v>2</v>
      </c>
      <c r="CN29">
        <f t="shared" si="24"/>
        <v>0</v>
      </c>
      <c r="CO29" s="31"/>
      <c r="CP29" s="270"/>
      <c r="CQ29" s="270"/>
      <c r="CR29" s="236"/>
      <c r="CS29" s="236"/>
      <c r="CT29" s="236"/>
      <c r="CU29" s="147">
        <f>'Summed emissions'!D29</f>
        <v>54.5678802758</v>
      </c>
      <c r="CV29" s="188"/>
      <c r="CW29" s="188"/>
      <c r="CX29" s="188"/>
      <c r="CY29" s="188"/>
      <c r="DI29" s="31"/>
      <c r="DJ29" s="233"/>
      <c r="DK29" s="233"/>
      <c r="DR29" s="236">
        <f t="shared" si="2"/>
        <v>25.299999999999997</v>
      </c>
      <c r="DS29" s="236">
        <f t="shared" si="0"/>
        <v>13.032254621706274</v>
      </c>
      <c r="DY29" s="31">
        <f>Basicinfo!EI29</f>
        <v>6.0233815789473691E-2</v>
      </c>
      <c r="DZ29" s="31">
        <f>Intermediate!CR29</f>
        <v>6.0233815789473691E-2</v>
      </c>
    </row>
    <row r="30" spans="1:134">
      <c r="A30" s="39" t="str">
        <f>Basicinfo!A30</f>
        <v>Gosaubach</v>
      </c>
      <c r="B30" s="63">
        <f>Basicinfo!B30</f>
        <v>1220</v>
      </c>
      <c r="C30" s="63">
        <f>Basicinfo!C30</f>
        <v>4010</v>
      </c>
      <c r="D30" s="61">
        <f>IF(Intermediate!D30=0,0,Basicinfo!AP30*86400*365/(Intermediate!D30*1000000))</f>
        <v>94.141594885016801</v>
      </c>
      <c r="E30" s="19">
        <f>IF(Intermediate!E30=0,0,IF((Intermediate!E30-Basicinfo!AA30)&lt;0,0,'Summed emissions'!E30*86400*365/((Intermediate!E30-Basicinfo!AA30)*1000000)))</f>
        <v>0</v>
      </c>
      <c r="F30" s="19">
        <f>IF(Basicinfo!AA30=0,0,'Summed emissions'!E30*86400*365/(Basicinfo!AA30*1000000))</f>
        <v>0</v>
      </c>
      <c r="G30" s="19">
        <f>IF(D30=0,1,1/(1+Parameters!$C$138*EXP(Parameters!$C$139*Basicinfo!AQ30)*D30^Parameters!$C$140))</f>
        <v>0.92412683143816066</v>
      </c>
      <c r="H30" s="19">
        <f>IF(D30=0,1,1/(1+Parameters!$C$141*EXP(Parameters!$C$142*Basicinfo!AQ30)*D30^Parameters!$C$143))</f>
        <v>0.87061297617272071</v>
      </c>
      <c r="I30" s="161">
        <f>IF(Intermediate!AS30=0,1,IF(D30=0,1/(1+Parameters!$C$144*Intermediate!AS30^Parameters!$C$145),(1/(1+Parameters!$C$144*Intermediate!AS30^Parameters!$C$145)+1/(1+Parameters!$C$146*D30^Parameters!$C$147))/2))</f>
        <v>0.85432503628581014</v>
      </c>
      <c r="J30" s="19">
        <f>IF(E30=0,1,1/(1+Parameters!$C$138*EXP(Parameters!$C$139*Basicinfo!AQ30)*E30^Parameters!$C$140))</f>
        <v>1</v>
      </c>
      <c r="K30" s="19">
        <f>IF(E30=0,1,1/(1+Parameters!$C$141*EXP(Parameters!$C$142*Basicinfo!AQ30)*E30^Parameters!$C$143))</f>
        <v>1</v>
      </c>
      <c r="L30" s="19">
        <f>IF(E30=0,1,1/(1+Parameters!$C$146*E30^Parameters!$C$147))</f>
        <v>1</v>
      </c>
      <c r="M30" s="53">
        <f>IF(F30=0,1,1/(1+Parameters!$C$138*EXP(Parameters!$C$139*Basicinfo!AQ30)*F30^Parameters!$C$140))</f>
        <v>1</v>
      </c>
      <c r="N30" s="53">
        <f>IF(F30=0,1,1/(1+Parameters!$C$141*EXP(Parameters!$C$142*Basicinfo!AQ30)*F30^Parameters!$C$143))</f>
        <v>1</v>
      </c>
      <c r="O30" s="53">
        <f>IF(F30=0,1,1/(1+Parameters!$C$146*F30^Parameters!$C$147))</f>
        <v>1</v>
      </c>
      <c r="P30" s="64">
        <f>Basicinfo!CE30+Basicinfo!CJ30</f>
        <v>0</v>
      </c>
      <c r="Q30" s="86">
        <f>Parameters!$C$126*Intermediate!BB30*Basicinfo!P30/1000+Parameters!$C$127*Intermediate!BB30*Basicinfo!S30/1000</f>
        <v>2.5571374280213113</v>
      </c>
      <c r="R30" s="48">
        <f>'Local emissions'!AE30-P30-Q30</f>
        <v>112.60786157698438</v>
      </c>
      <c r="S30" s="48">
        <f>Basicinfo!CF30+Basicinfo!CK30</f>
        <v>0</v>
      </c>
      <c r="T30" s="86">
        <f>'Local emissions'!AR30-S30</f>
        <v>6.4125241629976202</v>
      </c>
      <c r="U30" s="61">
        <f t="shared" si="20"/>
        <v>106.62108374218687</v>
      </c>
      <c r="V30" s="27">
        <f t="shared" si="3"/>
        <v>98.037865507984137</v>
      </c>
      <c r="W30" s="27">
        <f t="shared" si="4"/>
        <v>5.4783799382365759</v>
      </c>
      <c r="X30" s="61">
        <f>U30+TN!CI30</f>
        <v>106.62108374218687</v>
      </c>
      <c r="Y30" s="27">
        <f>V30+DIN!CI30</f>
        <v>98.037865507984137</v>
      </c>
      <c r="Z30" s="27">
        <f>W30+TP!CI30</f>
        <v>5.4783799382365759</v>
      </c>
      <c r="AA30" s="73">
        <f>'Summed emissions'!E30</f>
        <v>6.7734858766506187</v>
      </c>
      <c r="AB30" s="131" t="str">
        <f>IF(Basicinfo!AR30="","",Basicinfo!AR30)</f>
        <v/>
      </c>
      <c r="AC30" s="131" t="str">
        <f>IF(Basicinfo!AS30="","",Basicinfo!AS30)</f>
        <v/>
      </c>
      <c r="AD30" s="131" t="str">
        <f>IF(Basicinfo!AT30="","",Basicinfo!AT30)</f>
        <v/>
      </c>
      <c r="AE30" s="174" t="str">
        <f t="shared" si="21"/>
        <v/>
      </c>
      <c r="AF30" s="19" t="str">
        <f t="shared" si="5"/>
        <v/>
      </c>
      <c r="AG30" s="27" t="str">
        <f t="shared" si="6"/>
        <v/>
      </c>
      <c r="AH30" s="56">
        <f>'Local emissions'!AE30-U30</f>
        <v>8.543915262818814</v>
      </c>
      <c r="AI30" s="228">
        <f>'Local emissions'!AR30-W30</f>
        <v>0.93414422476104431</v>
      </c>
      <c r="AJ30" s="43">
        <f t="shared" si="7"/>
        <v>8.5439152628188069</v>
      </c>
      <c r="AK30" s="58">
        <f t="shared" si="8"/>
        <v>0.93414422476104408</v>
      </c>
      <c r="AL30" s="43">
        <f>TN!CI119</f>
        <v>0</v>
      </c>
      <c r="AM30" s="43">
        <f>TP!CI119</f>
        <v>0</v>
      </c>
      <c r="AN30" s="42">
        <f>TN!CI208+(AH30-AJ30)</f>
        <v>7.1054273576010019E-15</v>
      </c>
      <c r="AO30" s="43">
        <f>TP!CI208+(AI30-AK30)</f>
        <v>2.2204460492503131E-16</v>
      </c>
      <c r="AP30" s="42">
        <f t="shared" si="9"/>
        <v>8.543915262818814</v>
      </c>
      <c r="AQ30" s="42">
        <f t="shared" si="10"/>
        <v>0.93414422476104431</v>
      </c>
      <c r="AR30" s="42">
        <f>AH30/'Local emissions'!AE30*100</f>
        <v>7.4188471641869675</v>
      </c>
      <c r="AS30" s="42">
        <f>AI30/'Local emissions'!AR30*100</f>
        <v>14.56749637141899</v>
      </c>
      <c r="AT30" s="42">
        <f t="shared" si="22"/>
        <v>7.4188471641869675</v>
      </c>
      <c r="AU30" s="42">
        <f t="shared" si="11"/>
        <v>14.56749637141899</v>
      </c>
      <c r="AV30" s="42">
        <f>('Summed emissions'!AE30-'River loads'!X30)/'Summed emissions'!AE30*100</f>
        <v>7.4188471641869675</v>
      </c>
      <c r="AW30" s="42">
        <f>('Summed emissions'!AR30-'River loads'!Z30)/'Summed emissions'!AR30*100</f>
        <v>14.56749637141899</v>
      </c>
      <c r="AX30" s="61">
        <f>X30/('Summed emissions'!$D30*100)*1000</f>
        <v>9.6153751334452888</v>
      </c>
      <c r="AY30" s="19">
        <f>Y30/('Summed emissions'!$D30*100)*1000</f>
        <v>8.841317505465728</v>
      </c>
      <c r="AZ30" s="72">
        <f>Z30/('Summed emissions'!$D30*100)*1000</f>
        <v>0.49405498782078944</v>
      </c>
      <c r="BA30" s="43" t="str">
        <f>IF(AB30="","",AB30/('Summed emissions'!$D30*100)*1000)</f>
        <v/>
      </c>
      <c r="BB30" s="43" t="str">
        <f>IF(AC30="","",AC30/('Summed emissions'!$D30*100)*1000)</f>
        <v/>
      </c>
      <c r="BC30" s="43" t="str">
        <f>IF(AD30="","",AD30/('Summed emissions'!$D30*100)*1000)</f>
        <v/>
      </c>
      <c r="BF30" s="188">
        <f>('Summed emissions'!AE30-'River loads'!Y30)/'Summed emissions'!AE30*100</f>
        <v>14.871821859936031</v>
      </c>
      <c r="BG30" s="188">
        <f>('Summed emissions'!AR30-'River loads'!Z30)/'Summed emissions'!AR30*100</f>
        <v>14.56749637141899</v>
      </c>
      <c r="BH30" s="181">
        <f>'Summed emissions'!CV30*(100-'River loads'!BG30)/100</f>
        <v>1.4552002713135417</v>
      </c>
      <c r="BI30" s="181">
        <f t="shared" si="12"/>
        <v>1.1059522061982916</v>
      </c>
      <c r="BJ30" s="233"/>
      <c r="BK30" s="233"/>
      <c r="BM30" s="31">
        <f t="shared" si="25"/>
        <v>5.1774691851686075E-3</v>
      </c>
      <c r="BN30" s="31"/>
      <c r="BO30" s="231"/>
      <c r="BP30" s="31">
        <f>BM30/Parameters!$C$156</f>
        <v>7.9653372079517039E-3</v>
      </c>
      <c r="BQ30" s="305" t="s">
        <v>934</v>
      </c>
      <c r="BR30" s="237">
        <f>Basicinfo!CW30</f>
        <v>1.4999999999999999E-2</v>
      </c>
      <c r="BS30" s="237">
        <f t="shared" si="13"/>
        <v>0.53102248053011358</v>
      </c>
      <c r="BT30" s="237"/>
      <c r="BU30" s="31">
        <f t="shared" si="14"/>
        <v>2.5646807480376978E-2</v>
      </c>
      <c r="BV30" s="232"/>
      <c r="BW30" s="31">
        <f t="shared" si="15"/>
        <v>0.45896018363408747</v>
      </c>
      <c r="BX30" s="31"/>
      <c r="BY30" s="231"/>
      <c r="BZ30" s="147">
        <f t="shared" si="16"/>
        <v>0.62021646437038846</v>
      </c>
      <c r="CA30" s="305"/>
      <c r="CB30" s="231">
        <f>Basicinfo!CV30</f>
        <v>4</v>
      </c>
      <c r="CC30" s="147">
        <f t="shared" si="17"/>
        <v>0.15505411609259712</v>
      </c>
      <c r="CD30" s="147"/>
      <c r="CE30" s="233">
        <f>'Local emissions'!FC30/14*62</f>
        <v>2.3699999999999997</v>
      </c>
      <c r="CF30" s="233">
        <f>'Local emissions'!FD30/14*62</f>
        <v>2.2933072854831797</v>
      </c>
      <c r="CH30">
        <f t="shared" si="18"/>
        <v>0</v>
      </c>
      <c r="CI30">
        <f t="shared" si="19"/>
        <v>0</v>
      </c>
      <c r="CK30" s="276">
        <f>Basicinfo!EM30</f>
        <v>0</v>
      </c>
      <c r="CL30" s="276">
        <f>Basicinfo!EN30</f>
        <v>0</v>
      </c>
      <c r="CM30">
        <f t="shared" si="23"/>
        <v>2</v>
      </c>
      <c r="CN30">
        <f t="shared" si="24"/>
        <v>0</v>
      </c>
      <c r="CO30" s="31"/>
      <c r="CP30" s="270"/>
      <c r="CQ30" s="270"/>
      <c r="CR30" s="236"/>
      <c r="CS30" s="236"/>
      <c r="CT30" s="236"/>
      <c r="CU30" s="147">
        <f>'Summed emissions'!D30</f>
        <v>110.88603643899999</v>
      </c>
      <c r="CV30" s="188"/>
      <c r="CW30" s="188"/>
      <c r="CX30" s="188"/>
      <c r="CY30" s="188"/>
      <c r="DI30" s="31"/>
      <c r="DJ30" s="233"/>
      <c r="DK30" s="233"/>
      <c r="DR30" s="236">
        <f t="shared" si="2"/>
        <v>2.3699999999999997</v>
      </c>
      <c r="DS30" s="236">
        <f t="shared" si="0"/>
        <v>2.2933072854831797</v>
      </c>
      <c r="DY30" s="31">
        <f>Basicinfo!EI30</f>
        <v>4.0358736842105265E-3</v>
      </c>
      <c r="DZ30" s="31">
        <f>Intermediate!CR30</f>
        <v>4.0358736842105265E-3</v>
      </c>
    </row>
    <row r="31" spans="1:134">
      <c r="A31" s="39" t="str">
        <f>Basicinfo!A31</f>
        <v>Ischler Ache</v>
      </c>
      <c r="B31" s="63">
        <f>Basicinfo!B31</f>
        <v>1230</v>
      </c>
      <c r="C31" s="63">
        <f>Basicinfo!C31</f>
        <v>4010</v>
      </c>
      <c r="D31" s="61">
        <f>IF(Intermediate!D31=0,0,Basicinfo!AP31*86400*365/(Intermediate!D31*1000000))</f>
        <v>23.315705536527485</v>
      </c>
      <c r="E31" s="19">
        <f>IF(Intermediate!E31=0,0,IF((Intermediate!E31-Basicinfo!AA31)&lt;0,0,'Summed emissions'!E31*86400*365/((Intermediate!E31-Basicinfo!AA31)*1000000)))</f>
        <v>0</v>
      </c>
      <c r="F31" s="19">
        <f>IF(Basicinfo!AA31=0,0,'Summed emissions'!E31*86400*365/(Basicinfo!AA31*1000000))</f>
        <v>0</v>
      </c>
      <c r="G31" s="19">
        <f>IF(D31=0,1,1/(1+Parameters!$C$138*EXP(Parameters!$C$139*Basicinfo!AQ31)*D31^Parameters!$C$140))</f>
        <v>0.73378491519744282</v>
      </c>
      <c r="H31" s="19">
        <f>IF(D31=0,1,1/(1+Parameters!$C$141*EXP(Parameters!$C$142*Basicinfo!AQ31)*D31^Parameters!$C$143))</f>
        <v>0.60360638382867993</v>
      </c>
      <c r="I31" s="161">
        <f>IF(Intermediate!AS31=0,1,IF(D31=0,1/(1+Parameters!$C$144*Intermediate!AS31^Parameters!$C$145),(1/(1+Parameters!$C$144*Intermediate!AS31^Parameters!$C$145)+1/(1+Parameters!$C$146*D31^Parameters!$C$147))/2))</f>
        <v>0.68731845496350119</v>
      </c>
      <c r="J31" s="19">
        <f>IF(E31=0,1,1/(1+Parameters!$C$138*EXP(Parameters!$C$139*Basicinfo!AQ31)*E31^Parameters!$C$140))</f>
        <v>1</v>
      </c>
      <c r="K31" s="19">
        <f>IF(E31=0,1,1/(1+Parameters!$C$141*EXP(Parameters!$C$142*Basicinfo!AQ31)*E31^Parameters!$C$143))</f>
        <v>1</v>
      </c>
      <c r="L31" s="19">
        <f>IF(E31=0,1,1/(1+Parameters!$C$146*E31^Parameters!$C$147))</f>
        <v>1</v>
      </c>
      <c r="M31" s="53">
        <f>IF(F31=0,1,1/(1+Parameters!$C$138*EXP(Parameters!$C$139*Basicinfo!AQ31)*F31^Parameters!$C$140))</f>
        <v>1</v>
      </c>
      <c r="N31" s="53">
        <f>IF(F31=0,1,1/(1+Parameters!$C$141*EXP(Parameters!$C$142*Basicinfo!AQ31)*F31^Parameters!$C$143))</f>
        <v>1</v>
      </c>
      <c r="O31" s="53">
        <f>IF(F31=0,1,1/(1+Parameters!$C$146*F31^Parameters!$C$147))</f>
        <v>1</v>
      </c>
      <c r="P31" s="64">
        <f>Basicinfo!CE31+Basicinfo!CJ31</f>
        <v>0</v>
      </c>
      <c r="Q31" s="86">
        <f>Parameters!$C$126*Intermediate!BB31*Basicinfo!P31/1000+Parameters!$C$127*Intermediate!BB31*Basicinfo!S31/1000</f>
        <v>0.23932972440427158</v>
      </c>
      <c r="R31" s="48">
        <f>'Local emissions'!AE31-P31-Q31</f>
        <v>307.8318790514831</v>
      </c>
      <c r="S31" s="48">
        <f>Basicinfo!CF31+Basicinfo!CK31</f>
        <v>0</v>
      </c>
      <c r="T31" s="86">
        <f>'Local emissions'!AR31-S31</f>
        <v>6.1361266283488378</v>
      </c>
      <c r="U31" s="61">
        <f t="shared" si="20"/>
        <v>226.1217189892663</v>
      </c>
      <c r="V31" s="27">
        <f t="shared" si="3"/>
        <v>185.80928734145328</v>
      </c>
      <c r="W31" s="27">
        <f t="shared" si="4"/>
        <v>4.2174730736571213</v>
      </c>
      <c r="X31" s="61">
        <f>U31+TN!CI31</f>
        <v>226.1217189892663</v>
      </c>
      <c r="Y31" s="27">
        <f>V31+DIN!CI31</f>
        <v>185.80928734145328</v>
      </c>
      <c r="Z31" s="27">
        <f>W31+TP!CI31</f>
        <v>4.2174730736571213</v>
      </c>
      <c r="AA31" s="73">
        <f>'Summed emissions'!E31</f>
        <v>11.489465211834601</v>
      </c>
      <c r="AB31" s="131" t="str">
        <f>IF(Basicinfo!AR31="","",Basicinfo!AR31)</f>
        <v/>
      </c>
      <c r="AC31" s="131" t="str">
        <f>IF(Basicinfo!AS31="","",Basicinfo!AS31)</f>
        <v/>
      </c>
      <c r="AD31" s="131" t="str">
        <f>IF(Basicinfo!AT31="","",Basicinfo!AT31)</f>
        <v/>
      </c>
      <c r="AE31" s="174" t="str">
        <f t="shared" si="21"/>
        <v/>
      </c>
      <c r="AF31" s="19" t="str">
        <f t="shared" si="5"/>
        <v/>
      </c>
      <c r="AG31" s="27" t="str">
        <f t="shared" si="6"/>
        <v/>
      </c>
      <c r="AH31" s="56">
        <f>'Local emissions'!AE31-U31</f>
        <v>81.949489786621086</v>
      </c>
      <c r="AI31" s="228">
        <f>'Local emissions'!AR31-W31</f>
        <v>1.9186535546917165</v>
      </c>
      <c r="AJ31" s="43">
        <f t="shared" si="7"/>
        <v>81.949489786621101</v>
      </c>
      <c r="AK31" s="58">
        <f t="shared" si="8"/>
        <v>1.9186535546917167</v>
      </c>
      <c r="AL31" s="43">
        <f>TN!CI120</f>
        <v>0</v>
      </c>
      <c r="AM31" s="43">
        <f>TP!CI120</f>
        <v>0</v>
      </c>
      <c r="AN31" s="42">
        <f>TN!CI209+(AH31-AJ31)</f>
        <v>-1.4210854715202004E-14</v>
      </c>
      <c r="AO31" s="43">
        <f>TP!CI209+(AI31-AK31)</f>
        <v>-2.2204460492503131E-16</v>
      </c>
      <c r="AP31" s="42">
        <f t="shared" si="9"/>
        <v>81.949489786621086</v>
      </c>
      <c r="AQ31" s="42">
        <f t="shared" si="10"/>
        <v>1.9186535546917165</v>
      </c>
      <c r="AR31" s="42">
        <f>AH31/'Local emissions'!AE31*100</f>
        <v>26.600827163383805</v>
      </c>
      <c r="AS31" s="42">
        <f>AI31/'Local emissions'!AR31*100</f>
        <v>31.268154503649875</v>
      </c>
      <c r="AT31" s="42">
        <f t="shared" si="22"/>
        <v>26.600827163383805</v>
      </c>
      <c r="AU31" s="42">
        <f t="shared" si="11"/>
        <v>31.268154503649875</v>
      </c>
      <c r="AV31" s="42">
        <f>('Summed emissions'!AE31-'River loads'!X31)/'Summed emissions'!AE31*100</f>
        <v>26.600827163383805</v>
      </c>
      <c r="AW31" s="42">
        <f>('Summed emissions'!AR31-'River loads'!Z31)/'Summed emissions'!AR31*100</f>
        <v>31.268154503649875</v>
      </c>
      <c r="AX31" s="61">
        <f>X31/('Summed emissions'!$D31*100)*1000</f>
        <v>8.9155609784380925</v>
      </c>
      <c r="AY31" s="19">
        <f>Y31/('Summed emissions'!$D31*100)*1000</f>
        <v>7.326116390135387</v>
      </c>
      <c r="AZ31" s="72">
        <f>Z31/('Summed emissions'!$D31*100)*1000</f>
        <v>0.16628715954921461</v>
      </c>
      <c r="BA31" s="43" t="str">
        <f>IF(AB31="","",AB31/('Summed emissions'!$D31*100)*1000)</f>
        <v/>
      </c>
      <c r="BB31" s="43" t="str">
        <f>IF(AC31="","",AC31/('Summed emissions'!$D31*100)*1000)</f>
        <v/>
      </c>
      <c r="BC31" s="43" t="str">
        <f>IF(AD31="","",AD31/('Summed emissions'!$D31*100)*1000)</f>
        <v/>
      </c>
      <c r="BF31" s="188">
        <f>('Summed emissions'!AE31-'River loads'!Y31)/'Summed emissions'!AE31*100</f>
        <v>39.686253681490889</v>
      </c>
      <c r="BG31" s="188">
        <f>('Summed emissions'!AR31-'River loads'!Z31)/'Summed emissions'!AR31*100</f>
        <v>31.268154503649875</v>
      </c>
      <c r="BH31" s="181">
        <f>'Summed emissions'!CV31*(100-'River loads'!BG31)/100</f>
        <v>2.7512428876853878</v>
      </c>
      <c r="BI31" s="181">
        <f t="shared" si="12"/>
        <v>2.0909445946408947</v>
      </c>
      <c r="BJ31" s="233"/>
      <c r="BK31" s="233"/>
      <c r="BM31" s="31">
        <f t="shared" si="25"/>
        <v>5.770801070649016E-3</v>
      </c>
      <c r="BN31" s="31"/>
      <c r="BO31" s="231"/>
      <c r="BP31" s="31">
        <f>BM31/Parameters!$C$156</f>
        <v>8.8781554933061776E-3</v>
      </c>
      <c r="BQ31" s="305" t="s">
        <v>934</v>
      </c>
      <c r="BR31" s="237">
        <f>Basicinfo!CW31</f>
        <v>0.03</v>
      </c>
      <c r="BS31" s="237">
        <f t="shared" si="13"/>
        <v>0.29593851644353925</v>
      </c>
      <c r="BT31" s="237"/>
      <c r="BU31" s="31">
        <f t="shared" si="14"/>
        <v>1.1639810156267593E-2</v>
      </c>
      <c r="BV31" s="232"/>
      <c r="BW31" s="31">
        <f t="shared" si="15"/>
        <v>0.51281532618072256</v>
      </c>
      <c r="BX31" s="31"/>
      <c r="BY31" s="231"/>
      <c r="BZ31" s="147">
        <f t="shared" si="16"/>
        <v>0.69299368402800343</v>
      </c>
      <c r="CA31" s="305"/>
      <c r="CB31" s="231">
        <f>Basicinfo!CV31</f>
        <v>7</v>
      </c>
      <c r="CC31" s="147">
        <f t="shared" si="17"/>
        <v>9.8999097718286203E-2</v>
      </c>
      <c r="CD31" s="147"/>
      <c r="CE31" s="233">
        <f>'Local emissions'!FC31/14*62</f>
        <v>4.0739999999999998</v>
      </c>
      <c r="CF31" s="233">
        <f>'Local emissions'!FD31/14*62</f>
        <v>3.6504461845422216</v>
      </c>
      <c r="CH31">
        <f t="shared" si="18"/>
        <v>0</v>
      </c>
      <c r="CI31">
        <f t="shared" si="19"/>
        <v>0</v>
      </c>
      <c r="CK31" s="276">
        <f>Basicinfo!EM31</f>
        <v>0</v>
      </c>
      <c r="CL31" s="276">
        <f>Basicinfo!EN31</f>
        <v>0</v>
      </c>
      <c r="CM31">
        <f t="shared" si="23"/>
        <v>2</v>
      </c>
      <c r="CN31">
        <f t="shared" si="24"/>
        <v>0</v>
      </c>
      <c r="CO31" s="31"/>
      <c r="CP31" s="270"/>
      <c r="CQ31" s="270"/>
      <c r="CR31" s="236"/>
      <c r="CS31" s="236"/>
      <c r="CT31" s="236"/>
      <c r="CU31" s="147">
        <f>'Summed emissions'!D31</f>
        <v>253.62590142799999</v>
      </c>
      <c r="CV31" s="188"/>
      <c r="CW31" s="188"/>
      <c r="CX31" s="188"/>
      <c r="CY31" s="188"/>
      <c r="DI31" s="31"/>
      <c r="DJ31" s="233"/>
      <c r="DK31" s="233"/>
      <c r="DR31" s="236">
        <f t="shared" si="2"/>
        <v>4.0739999999999998</v>
      </c>
      <c r="DS31" s="236">
        <f t="shared" si="0"/>
        <v>3.6504461845422216</v>
      </c>
      <c r="DY31" s="31">
        <f>Basicinfo!EI31</f>
        <v>4.9986357894736839E-3</v>
      </c>
      <c r="DZ31" s="31">
        <f>Intermediate!CR31</f>
        <v>4.9986357894736839E-3</v>
      </c>
    </row>
    <row r="32" spans="1:134">
      <c r="A32" s="39" t="str">
        <f>Basicinfo!A32</f>
        <v>Fuschler Ache</v>
      </c>
      <c r="B32" s="63">
        <f>Basicinfo!B32</f>
        <v>1240</v>
      </c>
      <c r="C32" s="63">
        <f>Basicinfo!C32</f>
        <v>1280</v>
      </c>
      <c r="D32" s="61">
        <f>IF(Intermediate!D32=0,0,Basicinfo!AP32*86400*365/(Intermediate!D32*1000000))</f>
        <v>35.020696803510099</v>
      </c>
      <c r="E32" s="19">
        <f>IF(Intermediate!E32=0,0,IF((Intermediate!E32-Basicinfo!AA32)&lt;0,0,'Summed emissions'!E32*86400*365/((Intermediate!E32-Basicinfo!AA32)*1000000)))</f>
        <v>0</v>
      </c>
      <c r="F32" s="19">
        <f>IF(Basicinfo!AA32=0,0,'Summed emissions'!E32*86400*365/(Basicinfo!AA32*1000000))</f>
        <v>0</v>
      </c>
      <c r="G32" s="19">
        <f>IF(D32=0,1,1/(1+Parameters!$C$138*EXP(Parameters!$C$139*Basicinfo!AQ32)*D32^Parameters!$C$140))</f>
        <v>0.79234429809442675</v>
      </c>
      <c r="H32" s="19">
        <f>IF(D32=0,1,1/(1+Parameters!$C$141*EXP(Parameters!$C$142*Basicinfo!AQ32)*D32^Parameters!$C$143))</f>
        <v>0.67824491646943619</v>
      </c>
      <c r="I32" s="161">
        <f>IF(Intermediate!AS32=0,1,IF(D32=0,1/(1+Parameters!$C$144*Intermediate!AS32^Parameters!$C$145),(1/(1+Parameters!$C$144*Intermediate!AS32^Parameters!$C$145)+1/(1+Parameters!$C$146*D32^Parameters!$C$147))/2))</f>
        <v>0.72296496757907081</v>
      </c>
      <c r="J32" s="19">
        <f>IF(E32=0,1,1/(1+Parameters!$C$138*EXP(Parameters!$C$139*Basicinfo!AQ32)*E32^Parameters!$C$140))</f>
        <v>1</v>
      </c>
      <c r="K32" s="19">
        <f>IF(E32=0,1,1/(1+Parameters!$C$141*EXP(Parameters!$C$142*Basicinfo!AQ32)*E32^Parameters!$C$143))</f>
        <v>1</v>
      </c>
      <c r="L32" s="19">
        <f>IF(E32=0,1,1/(1+Parameters!$C$146*E32^Parameters!$C$147))</f>
        <v>1</v>
      </c>
      <c r="M32" s="53">
        <f>IF(F32=0,1,1/(1+Parameters!$C$138*EXP(Parameters!$C$139*Basicinfo!AQ32)*F32^Parameters!$C$140))</f>
        <v>1</v>
      </c>
      <c r="N32" s="53">
        <f>IF(F32=0,1,1/(1+Parameters!$C$141*EXP(Parameters!$C$142*Basicinfo!AQ32)*F32^Parameters!$C$143))</f>
        <v>1</v>
      </c>
      <c r="O32" s="53">
        <f>IF(F32=0,1,1/(1+Parameters!$C$146*F32^Parameters!$C$147))</f>
        <v>1</v>
      </c>
      <c r="P32" s="64">
        <f>Basicinfo!CE32+Basicinfo!CJ32</f>
        <v>0</v>
      </c>
      <c r="Q32" s="86">
        <f>Parameters!$C$126*Intermediate!BB32*Basicinfo!P32/1000+Parameters!$C$127*Intermediate!BB32*Basicinfo!S32/1000</f>
        <v>0.31238742032139222</v>
      </c>
      <c r="R32" s="48">
        <f>'Local emissions'!AE32-P32-Q32</f>
        <v>178.53862026102675</v>
      </c>
      <c r="S32" s="48">
        <f>Basicinfo!CF32+Basicinfo!CK32</f>
        <v>0</v>
      </c>
      <c r="T32" s="86">
        <f>'Local emissions'!AR32-S32</f>
        <v>3.317639661286254</v>
      </c>
      <c r="U32" s="61">
        <f t="shared" si="20"/>
        <v>141.77644517379201</v>
      </c>
      <c r="V32" s="27">
        <f t="shared" si="3"/>
        <v>121.09291158550847</v>
      </c>
      <c r="W32" s="27">
        <f t="shared" si="4"/>
        <v>2.3985372501608562</v>
      </c>
      <c r="X32" s="61">
        <f>U32+TN!CI32</f>
        <v>141.77644517379201</v>
      </c>
      <c r="Y32" s="27">
        <f>V32+DIN!CI32</f>
        <v>121.09291158550847</v>
      </c>
      <c r="Z32" s="27">
        <f>W32+TP!CI32</f>
        <v>2.3985372501608562</v>
      </c>
      <c r="AA32" s="73">
        <f>'Summed emissions'!E32</f>
        <v>3.8671791810521805</v>
      </c>
      <c r="AB32" s="131" t="str">
        <f>IF(Basicinfo!AR32="","",Basicinfo!AR32)</f>
        <v/>
      </c>
      <c r="AC32" s="131" t="str">
        <f>IF(Basicinfo!AS32="","",Basicinfo!AS32)</f>
        <v/>
      </c>
      <c r="AD32" s="131" t="str">
        <f>IF(Basicinfo!AT32="","",Basicinfo!AT32)</f>
        <v/>
      </c>
      <c r="AE32" s="174" t="str">
        <f t="shared" si="21"/>
        <v/>
      </c>
      <c r="AF32" s="19" t="str">
        <f t="shared" si="5"/>
        <v/>
      </c>
      <c r="AG32" s="27" t="str">
        <f t="shared" si="6"/>
        <v/>
      </c>
      <c r="AH32" s="56">
        <f>'Local emissions'!AE32-U32</f>
        <v>37.074562507556124</v>
      </c>
      <c r="AI32" s="228">
        <f>'Local emissions'!AR32-W32</f>
        <v>0.91910241112539781</v>
      </c>
      <c r="AJ32" s="43">
        <f t="shared" si="7"/>
        <v>37.074562507556109</v>
      </c>
      <c r="AK32" s="58">
        <f t="shared" si="8"/>
        <v>0.91910241112539792</v>
      </c>
      <c r="AL32" s="43">
        <f>TN!CI121</f>
        <v>0</v>
      </c>
      <c r="AM32" s="43">
        <f>TP!CI121</f>
        <v>0</v>
      </c>
      <c r="AN32" s="42">
        <f>TN!CI210+(AH32-AJ32)</f>
        <v>1.4210854715202004E-14</v>
      </c>
      <c r="AO32" s="43">
        <f>TP!CI210+(AI32-AK32)</f>
        <v>-1.1102230246251565E-16</v>
      </c>
      <c r="AP32" s="42">
        <f t="shared" si="9"/>
        <v>37.074562507556124</v>
      </c>
      <c r="AQ32" s="42">
        <f t="shared" si="10"/>
        <v>0.91910241112539781</v>
      </c>
      <c r="AR32" s="42">
        <f>AH32/'Local emissions'!AE32*100</f>
        <v>20.729300319968242</v>
      </c>
      <c r="AS32" s="42">
        <f>AI32/'Local emissions'!AR32*100</f>
        <v>27.703503242092914</v>
      </c>
      <c r="AT32" s="42">
        <f t="shared" si="22"/>
        <v>20.729300319968242</v>
      </c>
      <c r="AU32" s="42">
        <f t="shared" si="11"/>
        <v>27.703503242092914</v>
      </c>
      <c r="AV32" s="42">
        <f>('Summed emissions'!AE32-'River loads'!X32)/'Summed emissions'!AE32*100</f>
        <v>20.729300319968242</v>
      </c>
      <c r="AW32" s="42">
        <f>('Summed emissions'!AR32-'River loads'!Z32)/'Summed emissions'!AR32*100</f>
        <v>27.703503242092914</v>
      </c>
      <c r="AX32" s="61">
        <f>X32/('Summed emissions'!$D32*100)*1000</f>
        <v>12.390900244357658</v>
      </c>
      <c r="AY32" s="19">
        <f>Y32/('Summed emissions'!$D32*100)*1000</f>
        <v>10.58321208375326</v>
      </c>
      <c r="AZ32" s="72">
        <f>Z32/('Summed emissions'!$D32*100)*1000</f>
        <v>0.20962604727948822</v>
      </c>
      <c r="BA32" s="43" t="str">
        <f>IF(AB32="","",AB32/('Summed emissions'!$D32*100)*1000)</f>
        <v/>
      </c>
      <c r="BB32" s="43" t="str">
        <f>IF(AC32="","",AC32/('Summed emissions'!$D32*100)*1000)</f>
        <v/>
      </c>
      <c r="BC32" s="43" t="str">
        <f>IF(AD32="","",AD32/('Summed emissions'!$D32*100)*1000)</f>
        <v/>
      </c>
      <c r="BF32" s="188">
        <f>('Summed emissions'!AE32-'River loads'!Y32)/'Summed emissions'!AE32*100</f>
        <v>32.293972980429054</v>
      </c>
      <c r="BG32" s="188">
        <f>('Summed emissions'!AR32-'River loads'!Z32)/'Summed emissions'!AR32*100</f>
        <v>27.703503242092914</v>
      </c>
      <c r="BH32" s="181">
        <f>'Summed emissions'!CV32*(100-'River loads'!BG32)/100</f>
        <v>1.1848725702085097</v>
      </c>
      <c r="BI32" s="181">
        <f t="shared" si="12"/>
        <v>0.90050315335846731</v>
      </c>
      <c r="BJ32" s="233"/>
      <c r="BK32" s="233"/>
      <c r="BM32" s="31">
        <f t="shared" si="25"/>
        <v>7.3838749995421438E-3</v>
      </c>
      <c r="BN32" s="31"/>
      <c r="BO32" s="231"/>
      <c r="BP32" s="31">
        <f>BM32/Parameters!$C$156</f>
        <v>1.1359807691603298E-2</v>
      </c>
      <c r="BQ32" s="305" t="s">
        <v>934</v>
      </c>
      <c r="BR32" s="237">
        <f>Basicinfo!CW32</f>
        <v>0.05</v>
      </c>
      <c r="BS32" s="237">
        <f t="shared" si="13"/>
        <v>0.22719615383206596</v>
      </c>
      <c r="BT32" s="237"/>
      <c r="BU32" s="31">
        <f t="shared" si="14"/>
        <v>1.9667337277922012E-2</v>
      </c>
      <c r="BV32" s="232"/>
      <c r="BW32" s="31">
        <f t="shared" si="15"/>
        <v>0.99292814149876818</v>
      </c>
      <c r="BX32" s="31"/>
      <c r="BY32" s="231"/>
      <c r="BZ32" s="147">
        <f t="shared" si="16"/>
        <v>1.3417947858091461</v>
      </c>
      <c r="CA32" s="305"/>
      <c r="CB32" s="231">
        <f>Basicinfo!CV32</f>
        <v>4</v>
      </c>
      <c r="CC32" s="147">
        <f t="shared" si="17"/>
        <v>0.33544869645228653</v>
      </c>
      <c r="CD32" s="147"/>
      <c r="CE32" s="233">
        <f>'Local emissions'!FC32/14*62</f>
        <v>7.1550000000000002</v>
      </c>
      <c r="CF32" s="233">
        <f>'Local emissions'!FD32/14*62</f>
        <v>6.9559175990361632</v>
      </c>
      <c r="CH32">
        <f t="shared" si="18"/>
        <v>0</v>
      </c>
      <c r="CI32">
        <f t="shared" si="19"/>
        <v>0</v>
      </c>
      <c r="CK32" s="276">
        <f>Basicinfo!EM32</f>
        <v>0</v>
      </c>
      <c r="CL32" s="276">
        <f>Basicinfo!EN32</f>
        <v>0</v>
      </c>
      <c r="CM32">
        <f t="shared" si="23"/>
        <v>2</v>
      </c>
      <c r="CN32">
        <f t="shared" si="24"/>
        <v>0</v>
      </c>
      <c r="CO32" s="31"/>
      <c r="CP32" s="270"/>
      <c r="CQ32" s="270"/>
      <c r="CR32" s="236"/>
      <c r="CS32" s="236"/>
      <c r="CT32" s="236"/>
      <c r="CU32" s="147">
        <f>'Summed emissions'!D32</f>
        <v>114.419810004</v>
      </c>
      <c r="CV32" s="188"/>
      <c r="CW32" s="188"/>
      <c r="CX32" s="188"/>
      <c r="CY32" s="188"/>
      <c r="DI32" s="31"/>
      <c r="DJ32" s="233"/>
      <c r="DK32" s="233"/>
      <c r="DR32" s="236">
        <f t="shared" si="2"/>
        <v>7.1550000000000002</v>
      </c>
      <c r="DS32" s="236">
        <f t="shared" si="0"/>
        <v>6.9559175990361632</v>
      </c>
      <c r="DY32" s="31">
        <f>Basicinfo!EI32</f>
        <v>5.0053578947368412E-3</v>
      </c>
      <c r="DZ32" s="31">
        <f>Intermediate!CR32</f>
        <v>5.0053578947368412E-3</v>
      </c>
    </row>
    <row r="33" spans="1:135">
      <c r="A33" s="39" t="str">
        <f>Basicinfo!A33</f>
        <v>Dürre Ager</v>
      </c>
      <c r="B33" s="63">
        <f>Basicinfo!B33</f>
        <v>1250</v>
      </c>
      <c r="C33" s="63">
        <f>Basicinfo!C33</f>
        <v>1270</v>
      </c>
      <c r="D33" s="61">
        <f>IF(Intermediate!D33=0,0,Basicinfo!AP33*86400*365/(Intermediate!D33*1000000))</f>
        <v>97.824519777238038</v>
      </c>
      <c r="E33" s="19">
        <f>IF(Intermediate!E33=0,0,IF((Intermediate!E33-Basicinfo!AA33)&lt;0,0,'Summed emissions'!E33*86400*365/((Intermediate!E33-Basicinfo!AA33)*1000000)))</f>
        <v>0</v>
      </c>
      <c r="F33" s="19">
        <f>IF(Basicinfo!AA33=0,0,'Summed emissions'!E33*86400*365/(Basicinfo!AA33*1000000))</f>
        <v>0</v>
      </c>
      <c r="G33" s="19">
        <f>IF(D33=0,1,1/(1+Parameters!$C$138*EXP(Parameters!$C$139*Basicinfo!AQ33)*D33^Parameters!$C$140))</f>
        <v>0.91549868274442936</v>
      </c>
      <c r="H33" s="19">
        <f>IF(D33=0,1,1/(1+Parameters!$C$141*EXP(Parameters!$C$142*Basicinfo!AQ33)*D33^Parameters!$C$143))</f>
        <v>0.85684204934712704</v>
      </c>
      <c r="I33" s="161">
        <f>IF(Intermediate!AS33=0,1,IF(D33=0,1/(1+Parameters!$C$144*Intermediate!AS33^Parameters!$C$145),(1/(1+Parameters!$C$144*Intermediate!AS33^Parameters!$C$145)+1/(1+Parameters!$C$146*D33^Parameters!$C$147))/2))</f>
        <v>0.78671764353586271</v>
      </c>
      <c r="J33" s="19">
        <f>IF(E33=0,1,1/(1+Parameters!$C$138*EXP(Parameters!$C$139*Basicinfo!AQ33)*E33^Parameters!$C$140))</f>
        <v>1</v>
      </c>
      <c r="K33" s="19">
        <f>IF(E33=0,1,1/(1+Parameters!$C$141*EXP(Parameters!$C$142*Basicinfo!AQ33)*E33^Parameters!$C$143))</f>
        <v>1</v>
      </c>
      <c r="L33" s="19">
        <f>IF(E33=0,1,1/(1+Parameters!$C$146*E33^Parameters!$C$147))</f>
        <v>1</v>
      </c>
      <c r="M33" s="53">
        <f>IF(F33=0,1,1/(1+Parameters!$C$138*EXP(Parameters!$C$139*Basicinfo!AQ33)*F33^Parameters!$C$140))</f>
        <v>1</v>
      </c>
      <c r="N33" s="53">
        <f>IF(F33=0,1,1/(1+Parameters!$C$141*EXP(Parameters!$C$142*Basicinfo!AQ33)*F33^Parameters!$C$143))</f>
        <v>1</v>
      </c>
      <c r="O33" s="53">
        <f>IF(F33=0,1,1/(1+Parameters!$C$146*F33^Parameters!$C$147))</f>
        <v>1</v>
      </c>
      <c r="P33" s="64">
        <f>Basicinfo!CE33+Basicinfo!CJ33</f>
        <v>0</v>
      </c>
      <c r="Q33" s="86">
        <f>Parameters!$C$126*Intermediate!BB33*Basicinfo!P33/1000+Parameters!$C$127*Intermediate!BB33*Basicinfo!S33/1000</f>
        <v>0</v>
      </c>
      <c r="R33" s="48">
        <f>'Local emissions'!AE33-P33-Q33</f>
        <v>121.2939701486096</v>
      </c>
      <c r="S33" s="48">
        <f>Basicinfo!CF33+Basicinfo!CK33</f>
        <v>0</v>
      </c>
      <c r="T33" s="86">
        <f>'Local emissions'!AR33-S33</f>
        <v>2.5641896852160309</v>
      </c>
      <c r="U33" s="61">
        <f t="shared" si="20"/>
        <v>111.04446989589422</v>
      </c>
      <c r="V33" s="27">
        <f t="shared" si="3"/>
        <v>103.9297739555839</v>
      </c>
      <c r="W33" s="27">
        <f t="shared" si="4"/>
        <v>2.0172932667321213</v>
      </c>
      <c r="X33" s="61">
        <f>U33+TN!CI33</f>
        <v>111.04446989589422</v>
      </c>
      <c r="Y33" s="27">
        <f>V33+DIN!CI33</f>
        <v>103.9297739555839</v>
      </c>
      <c r="Z33" s="27">
        <f>W33+TP!CI33</f>
        <v>2.0172932667321213</v>
      </c>
      <c r="AA33" s="73">
        <f>'Summed emissions'!E33</f>
        <v>1.7191601544494097</v>
      </c>
      <c r="AB33" s="131" t="str">
        <f>IF(Basicinfo!AR33="","",Basicinfo!AR33)</f>
        <v/>
      </c>
      <c r="AC33" s="131" t="str">
        <f>IF(Basicinfo!AS33="","",Basicinfo!AS33)</f>
        <v/>
      </c>
      <c r="AD33" s="131" t="str">
        <f>IF(Basicinfo!AT33="","",Basicinfo!AT33)</f>
        <v/>
      </c>
      <c r="AE33" s="174" t="str">
        <f t="shared" si="21"/>
        <v/>
      </c>
      <c r="AF33" s="19" t="str">
        <f t="shared" si="5"/>
        <v/>
      </c>
      <c r="AG33" s="27" t="str">
        <f t="shared" si="6"/>
        <v/>
      </c>
      <c r="AH33" s="56">
        <f>'Local emissions'!AE33-U33</f>
        <v>10.249500252715379</v>
      </c>
      <c r="AI33" s="228">
        <f>'Local emissions'!AR33-W33</f>
        <v>0.54689641848390957</v>
      </c>
      <c r="AJ33" s="43">
        <f t="shared" si="7"/>
        <v>10.249500252715375</v>
      </c>
      <c r="AK33" s="58">
        <f t="shared" si="8"/>
        <v>0.54689641848390946</v>
      </c>
      <c r="AL33" s="43">
        <f>TN!CI122</f>
        <v>0</v>
      </c>
      <c r="AM33" s="43">
        <f>TP!CI122</f>
        <v>0</v>
      </c>
      <c r="AN33" s="42">
        <f>TN!CI211+(AH33-AJ33)</f>
        <v>3.5527136788005009E-15</v>
      </c>
      <c r="AO33" s="43">
        <f>TP!CI211+(AI33-AK33)</f>
        <v>1.1102230246251565E-16</v>
      </c>
      <c r="AP33" s="42">
        <f t="shared" si="9"/>
        <v>10.249500252715379</v>
      </c>
      <c r="AQ33" s="42">
        <f t="shared" si="10"/>
        <v>0.54689641848390957</v>
      </c>
      <c r="AR33" s="42">
        <f>AH33/'Local emissions'!AE33*100</f>
        <v>8.4501317255570676</v>
      </c>
      <c r="AS33" s="42">
        <f>AI33/'Local emissions'!AR33*100</f>
        <v>21.328235646413731</v>
      </c>
      <c r="AT33" s="42">
        <f t="shared" si="22"/>
        <v>8.4501317255570676</v>
      </c>
      <c r="AU33" s="42">
        <f t="shared" si="11"/>
        <v>21.328235646413731</v>
      </c>
      <c r="AV33" s="42">
        <f>('Summed emissions'!AE33-'River loads'!X33)/'Summed emissions'!AE33*100</f>
        <v>8.4501317255570676</v>
      </c>
      <c r="AW33" s="42">
        <f>('Summed emissions'!AR33-'River loads'!Z33)/'Summed emissions'!AR33*100</f>
        <v>21.328235646413731</v>
      </c>
      <c r="AX33" s="61">
        <f>X33/('Summed emissions'!$D33*100)*1000</f>
        <v>11.729941913110059</v>
      </c>
      <c r="AY33" s="19">
        <f>Y33/('Summed emissions'!$D33*100)*1000</f>
        <v>10.978396426986164</v>
      </c>
      <c r="AZ33" s="72">
        <f>Z33/('Summed emissions'!$D33*100)*1000</f>
        <v>0.21309240219400361</v>
      </c>
      <c r="BA33" s="43" t="str">
        <f>IF(AB33="","",AB33/('Summed emissions'!$D33*100)*1000)</f>
        <v/>
      </c>
      <c r="BB33" s="43" t="str">
        <f>IF(AC33="","",AC33/('Summed emissions'!$D33*100)*1000)</f>
        <v/>
      </c>
      <c r="BC33" s="43" t="str">
        <f>IF(AD33="","",AD33/('Summed emissions'!$D33*100)*1000)</f>
        <v/>
      </c>
      <c r="BF33" s="188">
        <f>('Summed emissions'!AE33-'River loads'!Y33)/'Summed emissions'!AE33*100</f>
        <v>14.315795065287301</v>
      </c>
      <c r="BG33" s="188">
        <f>('Summed emissions'!AR33-'River loads'!Z33)/'Summed emissions'!AR33*100</f>
        <v>21.328235646413731</v>
      </c>
      <c r="BH33" s="181">
        <f>'Summed emissions'!CV33*(100-'River loads'!BG33)/100</f>
        <v>1.2625090287597633</v>
      </c>
      <c r="BI33" s="181">
        <f t="shared" si="12"/>
        <v>0.95950686185742018</v>
      </c>
      <c r="BJ33" s="233"/>
      <c r="BK33" s="233"/>
      <c r="BM33" s="31">
        <f t="shared" si="25"/>
        <v>1.7698038729985519E-2</v>
      </c>
      <c r="BN33" s="31"/>
      <c r="BO33" s="231"/>
      <c r="BP33" s="31">
        <f>BM33/Parameters!$C$156</f>
        <v>2.7227751892285414E-2</v>
      </c>
      <c r="BQ33" s="305" t="s">
        <v>934</v>
      </c>
      <c r="BR33" s="237">
        <f>Basicinfo!CW33</f>
        <v>0.05</v>
      </c>
      <c r="BS33" s="237">
        <f t="shared" si="13"/>
        <v>0.54455503784570825</v>
      </c>
      <c r="BT33" s="237"/>
      <c r="BU33" s="31">
        <f t="shared" si="14"/>
        <v>3.7208836938645386E-2</v>
      </c>
      <c r="BV33" s="232"/>
      <c r="BW33" s="31">
        <f t="shared" si="15"/>
        <v>1.9169776035826684</v>
      </c>
      <c r="BX33" s="31"/>
      <c r="BY33" s="231"/>
      <c r="BZ33" s="147">
        <f t="shared" si="16"/>
        <v>2.5905102751117139</v>
      </c>
      <c r="CA33" s="305"/>
      <c r="CB33" s="231">
        <f>Basicinfo!CV33</f>
        <v>4</v>
      </c>
      <c r="CC33" s="147">
        <f t="shared" si="17"/>
        <v>0.64762756877792849</v>
      </c>
      <c r="CD33" s="147"/>
      <c r="CE33" s="233">
        <f>'Local emissions'!FC33/14*62</f>
        <v>13.82666666666667</v>
      </c>
      <c r="CF33" s="233">
        <f>'Local emissions'!FD33/14*62</f>
        <v>12.420019727844316</v>
      </c>
      <c r="CH33">
        <f t="shared" si="18"/>
        <v>0</v>
      </c>
      <c r="CI33">
        <f t="shared" si="19"/>
        <v>0</v>
      </c>
      <c r="CK33" s="276">
        <f>Basicinfo!EM33</f>
        <v>0</v>
      </c>
      <c r="CL33" s="276">
        <f>Basicinfo!EN33</f>
        <v>0</v>
      </c>
      <c r="CM33">
        <f t="shared" si="23"/>
        <v>2</v>
      </c>
      <c r="CN33">
        <f t="shared" si="24"/>
        <v>0</v>
      </c>
      <c r="CO33" s="31"/>
      <c r="CP33" s="270"/>
      <c r="CQ33" s="270"/>
      <c r="CR33" s="236"/>
      <c r="CS33" s="236"/>
      <c r="CT33" s="236"/>
      <c r="CU33" s="147">
        <f>'Summed emissions'!D33</f>
        <v>94.667536053000006</v>
      </c>
      <c r="CV33" s="188"/>
      <c r="CW33" s="188"/>
      <c r="CX33" s="188"/>
      <c r="CY33" s="188"/>
      <c r="DI33" s="31"/>
      <c r="DJ33" s="233"/>
      <c r="DK33" s="233"/>
      <c r="DR33" s="236">
        <f t="shared" si="2"/>
        <v>13.82666666666667</v>
      </c>
      <c r="DS33" s="236">
        <f t="shared" si="0"/>
        <v>12.420019727844316</v>
      </c>
      <c r="DY33" s="31">
        <f>Basicinfo!EI33</f>
        <v>6.1619298245614027E-3</v>
      </c>
      <c r="DZ33" s="31">
        <f>Intermediate!CR33</f>
        <v>6.1619298245614027E-3</v>
      </c>
    </row>
    <row r="34" spans="1:135">
      <c r="A34" s="39" t="str">
        <f>Basicinfo!A34</f>
        <v>Vökla</v>
      </c>
      <c r="B34" s="63">
        <f>Basicinfo!B34</f>
        <v>1260</v>
      </c>
      <c r="C34" s="63">
        <f>Basicinfo!C34</f>
        <v>1270</v>
      </c>
      <c r="D34" s="61">
        <f>IF(Intermediate!D34=0,0,Basicinfo!AP34*86400*365/(Intermediate!D34*1000000))</f>
        <v>106.67523509009018</v>
      </c>
      <c r="E34" s="19">
        <f>IF(Intermediate!E34=0,0,IF((Intermediate!E34-Basicinfo!AA34)&lt;0,0,'Summed emissions'!E34*86400*365/((Intermediate!E34-Basicinfo!AA34)*1000000)))</f>
        <v>0</v>
      </c>
      <c r="F34" s="19">
        <f>IF(Basicinfo!AA34=0,0,'Summed emissions'!E34*86400*365/(Basicinfo!AA34*1000000))</f>
        <v>0</v>
      </c>
      <c r="G34" s="19">
        <f>IF(D34=0,1,1/(1+Parameters!$C$138*EXP(Parameters!$C$139*Basicinfo!AQ34)*D34^Parameters!$C$140))</f>
        <v>0.92670209915518431</v>
      </c>
      <c r="H34" s="19">
        <f>IF(D34=0,1,1/(1+Parameters!$C$141*EXP(Parameters!$C$142*Basicinfo!AQ34)*D34^Parameters!$C$143))</f>
        <v>0.87475843760750172</v>
      </c>
      <c r="I34" s="161">
        <f>IF(Intermediate!AS34=0,1,IF(D34=0,1/(1+Parameters!$C$144*Intermediate!AS34^Parameters!$C$145),(1/(1+Parameters!$C$144*Intermediate!AS34^Parameters!$C$145)+1/(1+Parameters!$C$146*D34^Parameters!$C$147))/2))</f>
        <v>0.80144954040047645</v>
      </c>
      <c r="J34" s="19">
        <f>IF(E34=0,1,1/(1+Parameters!$C$138*EXP(Parameters!$C$139*Basicinfo!AQ34)*E34^Parameters!$C$140))</f>
        <v>1</v>
      </c>
      <c r="K34" s="19">
        <f>IF(E34=0,1,1/(1+Parameters!$C$141*EXP(Parameters!$C$142*Basicinfo!AQ34)*E34^Parameters!$C$143))</f>
        <v>1</v>
      </c>
      <c r="L34" s="19">
        <f>IF(E34=0,1,1/(1+Parameters!$C$146*E34^Parameters!$C$147))</f>
        <v>1</v>
      </c>
      <c r="M34" s="53">
        <f>IF(F34=0,1,1/(1+Parameters!$C$138*EXP(Parameters!$C$139*Basicinfo!AQ34)*F34^Parameters!$C$140))</f>
        <v>1</v>
      </c>
      <c r="N34" s="53">
        <f>IF(F34=0,1,1/(1+Parameters!$C$141*EXP(Parameters!$C$142*Basicinfo!AQ34)*F34^Parameters!$C$143))</f>
        <v>1</v>
      </c>
      <c r="O34" s="53">
        <f>IF(F34=0,1,1/(1+Parameters!$C$146*F34^Parameters!$C$147))</f>
        <v>1</v>
      </c>
      <c r="P34" s="64">
        <f>Basicinfo!CE34+Basicinfo!CJ34</f>
        <v>0</v>
      </c>
      <c r="Q34" s="86">
        <f>Parameters!$C$126*Intermediate!BB34*Basicinfo!P34/1000+Parameters!$C$127*Intermediate!BB34*Basicinfo!S34/1000</f>
        <v>1.360216381738608E-3</v>
      </c>
      <c r="R34" s="48">
        <f>'Local emissions'!AE34-P34-Q34</f>
        <v>344.80687504848277</v>
      </c>
      <c r="S34" s="48">
        <f>Basicinfo!CF34+Basicinfo!CK34</f>
        <v>0</v>
      </c>
      <c r="T34" s="86">
        <f>'Local emissions'!AR34-S34</f>
        <v>6.4354560993640737</v>
      </c>
      <c r="U34" s="61">
        <f t="shared" si="20"/>
        <v>319.53461512695003</v>
      </c>
      <c r="V34" s="27">
        <f t="shared" si="3"/>
        <v>301.62272329373587</v>
      </c>
      <c r="W34" s="27">
        <f t="shared" si="4"/>
        <v>5.1576933331027801</v>
      </c>
      <c r="X34" s="61">
        <f>U34+TN!CI34</f>
        <v>319.53461512695003</v>
      </c>
      <c r="Y34" s="27">
        <f>V34+DIN!CI34</f>
        <v>301.62272329373587</v>
      </c>
      <c r="Z34" s="27">
        <f>W34+TP!CI34</f>
        <v>5.1576933331027801</v>
      </c>
      <c r="AA34" s="73">
        <f>'Summed emissions'!E34</f>
        <v>4.9386485686677402</v>
      </c>
      <c r="AB34" s="131" t="str">
        <f>IF(Basicinfo!AR34="","",Basicinfo!AR34)</f>
        <v/>
      </c>
      <c r="AC34" s="131" t="str">
        <f>IF(Basicinfo!AS34="","",Basicinfo!AS34)</f>
        <v/>
      </c>
      <c r="AD34" s="131" t="str">
        <f>IF(Basicinfo!AT34="","",Basicinfo!AT34)</f>
        <v/>
      </c>
      <c r="AE34" s="174" t="str">
        <f t="shared" si="21"/>
        <v/>
      </c>
      <c r="AF34" s="19" t="str">
        <f t="shared" si="5"/>
        <v/>
      </c>
      <c r="AG34" s="27" t="str">
        <f t="shared" si="6"/>
        <v/>
      </c>
      <c r="AH34" s="56">
        <f>'Local emissions'!AE34-U34</f>
        <v>25.273620137914463</v>
      </c>
      <c r="AI34" s="228">
        <f>'Local emissions'!AR34-W34</f>
        <v>1.2777627662612936</v>
      </c>
      <c r="AJ34" s="43">
        <f t="shared" si="7"/>
        <v>25.273620137914442</v>
      </c>
      <c r="AK34" s="58">
        <f t="shared" si="8"/>
        <v>1.277762766261294</v>
      </c>
      <c r="AL34" s="43">
        <f>TN!CI123</f>
        <v>0</v>
      </c>
      <c r="AM34" s="43">
        <f>TP!CI123</f>
        <v>0</v>
      </c>
      <c r="AN34" s="42">
        <f>TN!CI212+(AH34-AJ34)</f>
        <v>2.1316282072803006E-14</v>
      </c>
      <c r="AO34" s="43">
        <f>TP!CI212+(AI34-AK34)</f>
        <v>-4.4408920985006262E-16</v>
      </c>
      <c r="AP34" s="42">
        <f t="shared" si="9"/>
        <v>25.273620137914463</v>
      </c>
      <c r="AQ34" s="42">
        <f t="shared" si="10"/>
        <v>1.2777627662612936</v>
      </c>
      <c r="AR34" s="42">
        <f>AH34/'Local emissions'!AE34*100</f>
        <v>7.3297611695673472</v>
      </c>
      <c r="AS34" s="42">
        <f>AI34/'Local emissions'!AR34*100</f>
        <v>19.855045959952349</v>
      </c>
      <c r="AT34" s="42">
        <f t="shared" si="22"/>
        <v>7.3297611695673472</v>
      </c>
      <c r="AU34" s="42">
        <f t="shared" si="11"/>
        <v>19.855045959952349</v>
      </c>
      <c r="AV34" s="42">
        <f>('Summed emissions'!AE34-'River loads'!X34)/'Summed emissions'!AE34*100</f>
        <v>7.3297611695673472</v>
      </c>
      <c r="AW34" s="42">
        <f>('Summed emissions'!AR34-'River loads'!Z34)/'Summed emissions'!AR34*100</f>
        <v>19.855045959952349</v>
      </c>
      <c r="AX34" s="61">
        <f>X34/('Summed emissions'!$D34*100)*1000</f>
        <v>12.967233500619042</v>
      </c>
      <c r="AY34" s="19">
        <f>Y34/('Summed emissions'!$D34*100)*1000</f>
        <v>12.240339847025862</v>
      </c>
      <c r="AZ34" s="72">
        <f>Z34/('Summed emissions'!$D34*100)*1000</f>
        <v>0.20930756984922666</v>
      </c>
      <c r="BA34" s="43" t="str">
        <f>IF(AB34="","",AB34/('Summed emissions'!$D34*100)*1000)</f>
        <v/>
      </c>
      <c r="BB34" s="43" t="str">
        <f>IF(AC34="","",AC34/('Summed emissions'!$D34*100)*1000)</f>
        <v/>
      </c>
      <c r="BC34" s="43" t="str">
        <f>IF(AD34="","",AD34/('Summed emissions'!$D34*100)*1000)</f>
        <v/>
      </c>
      <c r="BF34" s="188">
        <f>('Summed emissions'!AE34-'River loads'!Y34)/'Summed emissions'!AE34*100</f>
        <v>12.524501318234368</v>
      </c>
      <c r="BG34" s="188">
        <f>('Summed emissions'!AR34-'River loads'!Z34)/'Summed emissions'!AR34*100</f>
        <v>19.855045959952349</v>
      </c>
      <c r="BH34" s="181">
        <f>'Summed emissions'!CV34*(100-'River loads'!BG34)/100</f>
        <v>3.6882376726444903</v>
      </c>
      <c r="BI34" s="181">
        <f t="shared" si="12"/>
        <v>2.8030606312098127</v>
      </c>
      <c r="BJ34" s="233"/>
      <c r="BK34" s="233"/>
      <c r="BM34" s="31">
        <f t="shared" si="25"/>
        <v>1.7997731220936147E-2</v>
      </c>
      <c r="BN34" s="31"/>
      <c r="BO34" s="231"/>
      <c r="BP34" s="31">
        <f>BM34/Parameters!$C$156</f>
        <v>2.7688817262978688E-2</v>
      </c>
      <c r="BQ34" s="305" t="s">
        <v>934</v>
      </c>
      <c r="BR34" s="237">
        <f>Basicinfo!CW34</f>
        <v>0.05</v>
      </c>
      <c r="BS34" s="237">
        <f t="shared" si="13"/>
        <v>0.55377634525957375</v>
      </c>
      <c r="BT34" s="237"/>
      <c r="BU34" s="31">
        <f t="shared" si="14"/>
        <v>3.3116222066567898E-2</v>
      </c>
      <c r="BV34" s="232"/>
      <c r="BW34" s="31">
        <f t="shared" si="15"/>
        <v>1.936641913316189</v>
      </c>
      <c r="BX34" s="31"/>
      <c r="BY34" s="231">
        <f t="shared" si="1"/>
        <v>1.5426483516483509</v>
      </c>
      <c r="BZ34" s="147">
        <f t="shared" si="16"/>
        <v>2.6170836666434987</v>
      </c>
      <c r="CA34" s="305"/>
      <c r="CB34" s="231">
        <f>Basicinfo!CV34</f>
        <v>4</v>
      </c>
      <c r="CC34" s="147">
        <f t="shared" si="17"/>
        <v>0.65427091666087467</v>
      </c>
      <c r="CD34" s="147"/>
      <c r="CE34" s="233">
        <f>'Local emissions'!FC34/14*62</f>
        <v>7.2459999999999996</v>
      </c>
      <c r="CF34" s="233">
        <f>'Local emissions'!FD34/14*62</f>
        <v>11.843348521568009</v>
      </c>
      <c r="CH34">
        <f t="shared" si="18"/>
        <v>0</v>
      </c>
      <c r="CI34">
        <f t="shared" si="19"/>
        <v>0</v>
      </c>
      <c r="CK34" s="276">
        <f>Basicinfo!EM34</f>
        <v>0</v>
      </c>
      <c r="CL34" s="276">
        <f>Basicinfo!EN34</f>
        <v>0</v>
      </c>
      <c r="CM34">
        <f t="shared" si="23"/>
        <v>2</v>
      </c>
      <c r="CN34">
        <f t="shared" si="24"/>
        <v>0</v>
      </c>
      <c r="CO34" s="31"/>
      <c r="CP34" s="270">
        <f>Basicinfo!DC34</f>
        <v>7.4500000000000009E-3</v>
      </c>
      <c r="CQ34" s="270">
        <f>Basicinfo!DD34</f>
        <v>1.3100000000000007E-2</v>
      </c>
      <c r="CR34" s="236"/>
      <c r="CS34" s="236">
        <f>Basicinfo!DK34</f>
        <v>1.5426483516483509</v>
      </c>
      <c r="CT34" s="236">
        <f>Basicinfo!DL34</f>
        <v>1.6260000000000001</v>
      </c>
      <c r="CU34" s="147">
        <f>'Summed emissions'!D34</f>
        <v>246.416951705</v>
      </c>
      <c r="CV34" s="188">
        <f t="shared" si="29"/>
        <v>25.540076015823566</v>
      </c>
      <c r="CW34" s="188">
        <f t="shared" si="30"/>
        <v>141.58028484478046</v>
      </c>
      <c r="CX34" s="188"/>
      <c r="CY34" s="188"/>
      <c r="DI34" s="31">
        <f>DJ34</f>
        <v>2.4994505494505478E-2</v>
      </c>
      <c r="DJ34" s="233">
        <f>Basicinfo!DA34</f>
        <v>2.4994505494505478E-2</v>
      </c>
      <c r="DK34" s="233">
        <f>Basicinfo!DB34</f>
        <v>2.5999999999999999E-2</v>
      </c>
      <c r="DR34" s="236">
        <f t="shared" si="2"/>
        <v>7.2459999999999996</v>
      </c>
      <c r="DS34" s="236">
        <f t="shared" si="0"/>
        <v>11.843348521568009</v>
      </c>
      <c r="DY34" s="31">
        <f>Basicinfo!EI34</f>
        <v>1.2592591578947369E-2</v>
      </c>
      <c r="DZ34" s="31">
        <f>Intermediate!CR34</f>
        <v>1.2592591578947369E-2</v>
      </c>
    </row>
    <row r="35" spans="1:135">
      <c r="A35" s="39" t="str">
        <f>Basicinfo!A35</f>
        <v>Vökla</v>
      </c>
      <c r="B35" s="63">
        <f>Basicinfo!B35</f>
        <v>1270</v>
      </c>
      <c r="C35" s="63">
        <f>Basicinfo!C35</f>
        <v>1290</v>
      </c>
      <c r="D35" s="61">
        <f>IF(Intermediate!D35=0,0,Basicinfo!AP35*86400*365/(Intermediate!D35*1000000))</f>
        <v>81.110531875817969</v>
      </c>
      <c r="E35" s="19">
        <f>IF(Intermediate!E35=0,0,IF((Intermediate!E35-Basicinfo!AA35)&lt;0,0,'Summed emissions'!E35*86400*365/((Intermediate!E35-Basicinfo!AA35)*1000000)))</f>
        <v>1804.684476999453</v>
      </c>
      <c r="F35" s="19">
        <f>IF(Basicinfo!AA35=0,0,'Summed emissions'!E35*86400*365/(Basicinfo!AA35*1000000))</f>
        <v>0</v>
      </c>
      <c r="G35" s="19">
        <f>IF(D35=0,1,1/(1+Parameters!$C$138*EXP(Parameters!$C$139*Basicinfo!AQ35)*D35^Parameters!$C$140))</f>
        <v>0.89807495640824497</v>
      </c>
      <c r="H35" s="19">
        <f>IF(D35=0,1,1/(1+Parameters!$C$141*EXP(Parameters!$C$142*Basicinfo!AQ35)*D35^Parameters!$C$143))</f>
        <v>0.82957512396452293</v>
      </c>
      <c r="I35" s="161">
        <f>IF(Intermediate!AS35=0,1,IF(D35=0,1/(1+Parameters!$C$144*Intermediate!AS35^Parameters!$C$145),(1/(1+Parameters!$C$144*Intermediate!AS35^Parameters!$C$145)+1/(1+Parameters!$C$146*D35^Parameters!$C$147))/2))</f>
        <v>0.7694283342823709</v>
      </c>
      <c r="J35" s="19">
        <f>IF(E35=0,1,1/(1+Parameters!$C$138*EXP(Parameters!$C$139*Basicinfo!AQ35)*E35^Parameters!$C$140))</f>
        <v>0.9949250164670137</v>
      </c>
      <c r="K35" s="19">
        <f>IF(E35=0,1,1/(1+Parameters!$C$141*EXP(Parameters!$C$142*Basicinfo!AQ35)*E35^Parameters!$C$143))</f>
        <v>0.99085125137587726</v>
      </c>
      <c r="L35" s="19">
        <f>IF(E35=0,1,1/(1+Parameters!$C$146*E35^Parameters!$C$147))</f>
        <v>0.98593768804807802</v>
      </c>
      <c r="M35" s="53">
        <f>IF(F35=0,1,1/(1+Parameters!$C$138*EXP(Parameters!$C$139*Basicinfo!AQ35)*F35^Parameters!$C$140))</f>
        <v>1</v>
      </c>
      <c r="N35" s="53">
        <f>IF(F35=0,1,1/(1+Parameters!$C$141*EXP(Parameters!$C$142*Basicinfo!AQ35)*F35^Parameters!$C$143))</f>
        <v>1</v>
      </c>
      <c r="O35" s="53">
        <f>IF(F35=0,1,1/(1+Parameters!$C$146*F35^Parameters!$C$147))</f>
        <v>1</v>
      </c>
      <c r="P35" s="64">
        <f>Basicinfo!CE35+Basicinfo!CJ35</f>
        <v>25.671532166666665</v>
      </c>
      <c r="Q35" s="86">
        <f>Parameters!$C$126*Intermediate!BB35*Basicinfo!P35/1000+Parameters!$C$127*Intermediate!BB35*Basicinfo!S35/1000</f>
        <v>0</v>
      </c>
      <c r="R35" s="48">
        <f>'Local emissions'!AE35-P35-Q35</f>
        <v>138.89817637776514</v>
      </c>
      <c r="S35" s="48">
        <f>Basicinfo!CF35+Basicinfo!CK35</f>
        <v>2.4742743333333328</v>
      </c>
      <c r="T35" s="86">
        <f>'Local emissions'!AR35-S35</f>
        <v>3.8602577215928262</v>
      </c>
      <c r="U35" s="61">
        <f t="shared" si="20"/>
        <v>150.4125058623128</v>
      </c>
      <c r="V35" s="27">
        <f t="shared" si="3"/>
        <v>140.89800405369735</v>
      </c>
      <c r="W35" s="27">
        <f t="shared" si="4"/>
        <v>5.444466001959162</v>
      </c>
      <c r="X35" s="61">
        <f>U35+TN!CI35</f>
        <v>578.80641602209357</v>
      </c>
      <c r="Y35" s="27">
        <f>V35+DIN!CI35</f>
        <v>542.74020345179781</v>
      </c>
      <c r="Z35" s="27">
        <f>W35+TP!CI35</f>
        <v>12.518555701976325</v>
      </c>
      <c r="AA35" s="73">
        <f>'Summed emissions'!E35</f>
        <v>8.5652577286325489</v>
      </c>
      <c r="AB35" s="131" t="str">
        <f>IF(Basicinfo!AR35="","",Basicinfo!AR35)</f>
        <v/>
      </c>
      <c r="AC35" s="131" t="str">
        <f>IF(Basicinfo!AS35="","",Basicinfo!AS35)</f>
        <v/>
      </c>
      <c r="AD35" s="131" t="str">
        <f>IF(Basicinfo!AT35="","",Basicinfo!AT35)</f>
        <v/>
      </c>
      <c r="AE35" s="174" t="str">
        <f t="shared" si="21"/>
        <v/>
      </c>
      <c r="AF35" s="19" t="str">
        <f t="shared" si="5"/>
        <v/>
      </c>
      <c r="AG35" s="27" t="str">
        <f t="shared" si="6"/>
        <v/>
      </c>
      <c r="AH35" s="56">
        <f>'Local emissions'!AE35-U35</f>
        <v>14.157202682119021</v>
      </c>
      <c r="AI35" s="228">
        <f>'Local emissions'!AR35-W35</f>
        <v>0.89006605296699703</v>
      </c>
      <c r="AJ35" s="43">
        <f t="shared" si="7"/>
        <v>14.15720268211899</v>
      </c>
      <c r="AK35" s="58">
        <f t="shared" si="8"/>
        <v>0.8900660529669977</v>
      </c>
      <c r="AL35" s="43">
        <f>TN!CI124</f>
        <v>2.1851748630635037</v>
      </c>
      <c r="AM35" s="43">
        <f>TP!CI124</f>
        <v>0.10089689981773838</v>
      </c>
      <c r="AN35" s="42">
        <f>TN!CI213+(AH35-AJ35)</f>
        <v>3.0198066269804258E-14</v>
      </c>
      <c r="AO35" s="43">
        <f>TP!CI213+(AI35-AK35)</f>
        <v>-6.6613381477509392E-16</v>
      </c>
      <c r="AP35" s="42">
        <f t="shared" si="9"/>
        <v>16.342377545182522</v>
      </c>
      <c r="AQ35" s="42">
        <f t="shared" si="10"/>
        <v>0.99096295278473545</v>
      </c>
      <c r="AR35" s="42">
        <f>AH35/'Local emissions'!AE35*100</f>
        <v>8.6025568176155272</v>
      </c>
      <c r="AS35" s="42">
        <f>AI35/'Local emissions'!AR35*100</f>
        <v>14.051015059191652</v>
      </c>
      <c r="AT35" s="42">
        <f t="shared" si="22"/>
        <v>2.7459313909094174</v>
      </c>
      <c r="AU35" s="42">
        <f t="shared" si="11"/>
        <v>7.3352943069921865</v>
      </c>
      <c r="AV35" s="42">
        <f>('Summed emissions'!AE35-'River loads'!X35)/'Summed emissions'!AE35*100</f>
        <v>8.2238477388853664</v>
      </c>
      <c r="AW35" s="42">
        <f>('Summed emissions'!AR35-'River loads'!Z35)/'Summed emissions'!AR35*100</f>
        <v>18.361741770568884</v>
      </c>
      <c r="AX35" s="61">
        <f>X35/('Summed emissions'!$D35*100)*1000</f>
        <v>13.163177925671434</v>
      </c>
      <c r="AY35" s="19">
        <f>Y35/('Summed emissions'!$D35*100)*1000</f>
        <v>12.342962461526046</v>
      </c>
      <c r="AZ35" s="72">
        <f>Z35/('Summed emissions'!$D35*100)*1000</f>
        <v>0.28469618082335335</v>
      </c>
      <c r="BA35" s="43" t="str">
        <f>IF(AB35="","",AB35/('Summed emissions'!$D35*100)*1000)</f>
        <v/>
      </c>
      <c r="BB35" s="43" t="str">
        <f>IF(AC35="","",AC35/('Summed emissions'!$D35*100)*1000)</f>
        <v/>
      </c>
      <c r="BC35" s="43" t="str">
        <f>IF(AD35="","",AD35/('Summed emissions'!$D35*100)*1000)</f>
        <v/>
      </c>
      <c r="BF35" s="188">
        <f>('Summed emissions'!AE35-'River loads'!Y35)/'Summed emissions'!AE35*100</f>
        <v>13.942544223077144</v>
      </c>
      <c r="BG35" s="188">
        <f>('Summed emissions'!AR35-'River loads'!Z35)/'Summed emissions'!AR35*100</f>
        <v>18.361741770568884</v>
      </c>
      <c r="BH35" s="181">
        <f>'Summed emissions'!CV35*(100-'River loads'!BG35)/100</f>
        <v>9.4640730296108728</v>
      </c>
      <c r="BI35" s="181">
        <f t="shared" si="12"/>
        <v>7.1926955025042636</v>
      </c>
      <c r="BJ35" s="233"/>
      <c r="BK35" s="233"/>
      <c r="BM35" s="31">
        <f t="shared" si="25"/>
        <v>2.6628373063957097E-2</v>
      </c>
      <c r="BN35" s="31"/>
      <c r="BO35" s="231"/>
      <c r="BP35" s="31">
        <f>BM35/Parameters!$C$156</f>
        <v>4.0966727790703227E-2</v>
      </c>
      <c r="BQ35" s="305" t="s">
        <v>934</v>
      </c>
      <c r="BR35" s="237">
        <f>Basicinfo!CW35</f>
        <v>0.05</v>
      </c>
      <c r="BS35" s="237">
        <f t="shared" si="13"/>
        <v>0.81933455581406445</v>
      </c>
      <c r="BT35" s="237"/>
      <c r="BU35" s="31">
        <f t="shared" si="14"/>
        <v>4.6345458575035137E-2</v>
      </c>
      <c r="BV35" s="232"/>
      <c r="BW35" s="31">
        <f t="shared" si="15"/>
        <v>2.0093007703844306</v>
      </c>
      <c r="BX35" s="31"/>
      <c r="BY35" s="231">
        <f t="shared" si="1"/>
        <v>1.9221538461538472</v>
      </c>
      <c r="BZ35" s="147">
        <f t="shared" si="16"/>
        <v>2.7152713113303117</v>
      </c>
      <c r="CA35" s="305"/>
      <c r="CB35" s="231">
        <f>Basicinfo!CV35</f>
        <v>4</v>
      </c>
      <c r="CC35" s="147">
        <f t="shared" si="17"/>
        <v>0.67881782783257794</v>
      </c>
      <c r="CD35" s="147"/>
      <c r="CE35" s="233">
        <f>'Local emissions'!FC35/14*62</f>
        <v>10.108000000000001</v>
      </c>
      <c r="CF35" s="233">
        <f>'Local emissions'!FD35/14*62</f>
        <v>13.355957434313149</v>
      </c>
      <c r="CH35">
        <f t="shared" si="18"/>
        <v>1</v>
      </c>
      <c r="CI35">
        <f t="shared" si="19"/>
        <v>0</v>
      </c>
      <c r="CK35" s="276">
        <f>Basicinfo!EM35</f>
        <v>0</v>
      </c>
      <c r="CL35" s="276">
        <f>Basicinfo!EN35</f>
        <v>0</v>
      </c>
      <c r="CM35">
        <f t="shared" si="23"/>
        <v>2</v>
      </c>
      <c r="CN35">
        <f t="shared" si="24"/>
        <v>0</v>
      </c>
      <c r="CO35" s="31">
        <f t="shared" si="27"/>
        <v>0</v>
      </c>
      <c r="CP35" s="270">
        <f>Basicinfo!DC35</f>
        <v>1.715934065934064E-2</v>
      </c>
      <c r="CQ35" s="270">
        <f>Basicinfo!DD35</f>
        <v>2.5999999999999999E-2</v>
      </c>
      <c r="CR35" s="236">
        <f t="shared" si="28"/>
        <v>0</v>
      </c>
      <c r="CS35" s="236">
        <f>Basicinfo!DK35</f>
        <v>1.9221538461538472</v>
      </c>
      <c r="CT35" s="236">
        <f>Basicinfo!DL35</f>
        <v>2.0499999999999998</v>
      </c>
      <c r="CU35" s="147">
        <f>'Summed emissions'!D35</f>
        <v>439.71632024610005</v>
      </c>
      <c r="CV35" s="188">
        <f t="shared" si="29"/>
        <v>4.5338162918104006</v>
      </c>
      <c r="CW35" s="188">
        <f t="shared" si="30"/>
        <v>55.182961820051148</v>
      </c>
      <c r="CX35" s="188"/>
      <c r="CY35" s="188"/>
      <c r="DI35" s="31" t="e">
        <f>#REF!</f>
        <v>#REF!</v>
      </c>
      <c r="DJ35" s="233">
        <f>Basicinfo!DA35</f>
        <v>4.2752747252747206E-2</v>
      </c>
      <c r="DK35" s="233">
        <f>Basicinfo!DB35</f>
        <v>5.2999999999999999E-2</v>
      </c>
      <c r="DR35" s="236">
        <f t="shared" si="2"/>
        <v>10.108000000000001</v>
      </c>
      <c r="DS35" s="236">
        <f t="shared" si="0"/>
        <v>13.355957434313149</v>
      </c>
      <c r="DY35" s="31">
        <f>Basicinfo!EI35</f>
        <v>3.4716410526315786E-2</v>
      </c>
      <c r="DZ35" s="31">
        <f>Intermediate!CR35</f>
        <v>3.4716410526315786E-2</v>
      </c>
    </row>
    <row r="36" spans="1:135">
      <c r="A36" s="39" t="str">
        <f>Basicinfo!A36</f>
        <v>Ager</v>
      </c>
      <c r="B36" s="63">
        <f>Basicinfo!B36</f>
        <v>1280</v>
      </c>
      <c r="C36" s="63">
        <f>Basicinfo!C36</f>
        <v>1290</v>
      </c>
      <c r="D36" s="61">
        <f>IF(Intermediate!D36=0,0,Basicinfo!AP36*86400*365/(Intermediate!D36*1000000))</f>
        <v>236.59144088205437</v>
      </c>
      <c r="E36" s="19">
        <f>IF(Intermediate!E36=0,0,IF((Intermediate!E36-Basicinfo!AA36)&lt;0,0,'Summed emissions'!E36*86400*365/((Intermediate!E36-Basicinfo!AA36)*1000000)))</f>
        <v>50.086600257705577</v>
      </c>
      <c r="F36" s="19">
        <f>IF(Basicinfo!AA36=0,0,'Summed emissions'!E36*86400*365/(Basicinfo!AA36*1000000))</f>
        <v>18.798736979840147</v>
      </c>
      <c r="G36" s="19">
        <f>IF(D36=0,1,1/(1+Parameters!$C$138*EXP(Parameters!$C$139*Basicinfo!AQ36)*D36^Parameters!$C$140))</f>
        <v>0.95723096402046604</v>
      </c>
      <c r="H36" s="19">
        <f>IF(D36=0,1,1/(1+Parameters!$C$141*EXP(Parameters!$C$142*Basicinfo!AQ36)*D36^Parameters!$C$143))</f>
        <v>0.92517518613828242</v>
      </c>
      <c r="I36" s="161">
        <f>IF(Intermediate!AS36=0,1,IF(D36=0,1/(1+Parameters!$C$144*Intermediate!AS36^Parameters!$C$145),(1/(1+Parameters!$C$144*Intermediate!AS36^Parameters!$C$145)+1/(1+Parameters!$C$146*D36^Parameters!$C$147))/2))</f>
        <v>0.8837437468177014</v>
      </c>
      <c r="J36" s="19">
        <f>IF(E36=0,1,1/(1+Parameters!$C$138*EXP(Parameters!$C$139*Basicinfo!AQ36)*E36^Parameters!$C$140))</f>
        <v>0.82572813444196325</v>
      </c>
      <c r="K36" s="19">
        <f>IF(E36=0,1,1/(1+Parameters!$C$141*EXP(Parameters!$C$142*Basicinfo!AQ36)*E36^Parameters!$C$143))</f>
        <v>0.72357252259104587</v>
      </c>
      <c r="L36" s="19">
        <f>IF(E36=0,1,1/(1+Parameters!$C$146*E36^Parameters!$C$147))</f>
        <v>0.66054128877571194</v>
      </c>
      <c r="M36" s="53">
        <f>IF(F36=0,1,1/(1+Parameters!$C$138*EXP(Parameters!$C$139*Basicinfo!AQ36)*F36^Parameters!$C$140))</f>
        <v>0.64007397512922393</v>
      </c>
      <c r="N36" s="53">
        <f>IF(F36=0,1,1/(1+Parameters!$C$141*EXP(Parameters!$C$142*Basicinfo!AQ36)*F36^Parameters!$C$143))</f>
        <v>0.49557222928723627</v>
      </c>
      <c r="O36" s="53">
        <f>IF(F36=0,1,1/(1+Parameters!$C$146*F36^Parameters!$C$147))</f>
        <v>0.42207611294296776</v>
      </c>
      <c r="P36" s="64">
        <f>Basicinfo!CE36+Basicinfo!CJ36</f>
        <v>11.892025</v>
      </c>
      <c r="Q36" s="86">
        <f>Parameters!$C$126*Intermediate!BB36*Basicinfo!P36/1000+Parameters!$C$127*Intermediate!BB36*Basicinfo!S36/1000</f>
        <v>5.9792578256503699E-2</v>
      </c>
      <c r="R36" s="48">
        <f>'Local emissions'!AE36-P36-Q36</f>
        <v>503.71374525966712</v>
      </c>
      <c r="S36" s="48">
        <f>Basicinfo!CF36+Basicinfo!CK36</f>
        <v>0.84938599999999997</v>
      </c>
      <c r="T36" s="86">
        <f>'Local emissions'!AR36-S36</f>
        <v>10.085135620323541</v>
      </c>
      <c r="U36" s="61">
        <f t="shared" si="20"/>
        <v>316.29628904731732</v>
      </c>
      <c r="V36" s="27">
        <f t="shared" si="3"/>
        <v>236.84164133657083</v>
      </c>
      <c r="W36" s="27">
        <f t="shared" si="4"/>
        <v>4.1203329892269442</v>
      </c>
      <c r="X36" s="61">
        <f>U36+TN!CI36</f>
        <v>391.37626316513968</v>
      </c>
      <c r="Y36" s="27">
        <f>V36+DIN!CI36</f>
        <v>280.26343401700012</v>
      </c>
      <c r="Z36" s="27">
        <f>W36+TP!CI36</f>
        <v>4.7890420555254423</v>
      </c>
      <c r="AA36" s="73">
        <f>'Summed emissions'!E36</f>
        <v>16.217999240909482</v>
      </c>
      <c r="AB36" s="131">
        <f>IF(Basicinfo!AR36="","",Basicinfo!AR36)</f>
        <v>386.63265457584458</v>
      </c>
      <c r="AC36" s="131">
        <f>IF(Basicinfo!AS36="","",Basicinfo!AS36)</f>
        <v>351.484231432586</v>
      </c>
      <c r="AD36" s="131">
        <f>IF(Basicinfo!AT36="","",Basicinfo!AT36)</f>
        <v>6.2829680096111602</v>
      </c>
      <c r="AE36" s="174">
        <f t="shared" si="21"/>
        <v>1.2269032460538085</v>
      </c>
      <c r="AF36" s="19">
        <f t="shared" si="5"/>
        <v>-20.26287128879234</v>
      </c>
      <c r="AG36" s="27">
        <f t="shared" si="6"/>
        <v>-23.777392337513646</v>
      </c>
      <c r="AH36" s="56">
        <f>'Local emissions'!AE36-U36</f>
        <v>199.36927379060631</v>
      </c>
      <c r="AI36" s="228">
        <f>'Local emissions'!AR36-W36</f>
        <v>6.814188631096596</v>
      </c>
      <c r="AJ36" s="43">
        <f t="shared" si="7"/>
        <v>21.543351294396508</v>
      </c>
      <c r="AK36" s="58">
        <f t="shared" si="8"/>
        <v>1.1724600800541516</v>
      </c>
      <c r="AL36" s="43">
        <f>TN!CI125</f>
        <v>24.653205254107181</v>
      </c>
      <c r="AM36" s="43">
        <f>TP!CI125</f>
        <v>0.81420436376305205</v>
      </c>
      <c r="AN36" s="42">
        <f>TN!CI214+(AH36-AJ36)</f>
        <v>219.86918829807226</v>
      </c>
      <c r="AO36" s="43">
        <f>TP!CI214+(AI36-AK36)</f>
        <v>6.557352371141751</v>
      </c>
      <c r="AP36" s="42">
        <f t="shared" si="9"/>
        <v>266.06574484657597</v>
      </c>
      <c r="AQ36" s="42">
        <f t="shared" si="10"/>
        <v>8.5440168149589546</v>
      </c>
      <c r="AR36" s="42">
        <f>AH36/'Local emissions'!AE36*100</f>
        <v>38.662514652596478</v>
      </c>
      <c r="AS36" s="42">
        <f>AI36/'Local emissions'!AR36*100</f>
        <v>62.318122984286276</v>
      </c>
      <c r="AT36" s="42">
        <f t="shared" si="22"/>
        <v>40.469842450626409</v>
      </c>
      <c r="AU36" s="42">
        <f t="shared" si="11"/>
        <v>64.081445210393397</v>
      </c>
      <c r="AV36" s="42">
        <f>('Summed emissions'!AE36-'River loads'!X36)/'Summed emissions'!AE36*100</f>
        <v>43.647670944335005</v>
      </c>
      <c r="AW36" s="42">
        <f>('Summed emissions'!AR36-'River loads'!Z36)/'Summed emissions'!AR36*100</f>
        <v>66.397783740316214</v>
      </c>
      <c r="AX36" s="61">
        <f>X36/('Summed emissions'!$D36*100)*1000</f>
        <v>7.9738463354083349</v>
      </c>
      <c r="AY36" s="19">
        <f>Y36/('Summed emissions'!$D36*100)*1000</f>
        <v>5.7100487858213738</v>
      </c>
      <c r="AZ36" s="72">
        <f>Z36/('Summed emissions'!$D36*100)*1000</f>
        <v>9.7571286351760836E-2</v>
      </c>
      <c r="BA36" s="43">
        <f>IF(AB36="","",AB36/('Summed emissions'!$D36*100)*1000)</f>
        <v>7.8772007042694785</v>
      </c>
      <c r="BB36" s="43">
        <f>IF(AC36="","",AC36/('Summed emissions'!$D36*100)*1000)</f>
        <v>7.1610915493358895</v>
      </c>
      <c r="BC36" s="43">
        <f>IF(AD36="","",AD36/('Summed emissions'!$D36*100)*1000)</f>
        <v>0.12800832895117734</v>
      </c>
      <c r="BF36" s="188">
        <f>('Summed emissions'!AE36-'River loads'!Y36)/'Summed emissions'!AE36*100</f>
        <v>59.646256703788289</v>
      </c>
      <c r="BG36" s="188">
        <f>('Summed emissions'!AR36-'River loads'!Z36)/'Summed emissions'!AR36*100</f>
        <v>66.397783740316214</v>
      </c>
      <c r="BH36" s="181">
        <f>'Summed emissions'!CV36*(100-'River loads'!BG36)/100</f>
        <v>3.2591824281841673</v>
      </c>
      <c r="BI36" s="181">
        <f t="shared" si="12"/>
        <v>2.4769786454199672</v>
      </c>
      <c r="BJ36" s="233"/>
      <c r="BK36" s="233"/>
      <c r="BM36" s="31">
        <f t="shared" si="25"/>
        <v>4.8430436102357022E-3</v>
      </c>
      <c r="BN36" s="31"/>
      <c r="BO36" s="231"/>
      <c r="BP36" s="31">
        <f>BM36/Parameters!$C$156</f>
        <v>7.4508363234395414E-3</v>
      </c>
      <c r="BQ36" s="305" t="s">
        <v>934</v>
      </c>
      <c r="BR36" s="237">
        <f>Basicinfo!CW36</f>
        <v>0.05</v>
      </c>
      <c r="BS36" s="237">
        <f t="shared" si="13"/>
        <v>0.14901672646879083</v>
      </c>
      <c r="BT36" s="237"/>
      <c r="BU36" s="31">
        <f t="shared" ref="BU36:BU67" si="31">Z36/AA36*1000000/3600/24/365</f>
        <v>9.3636412930116833E-3</v>
      </c>
      <c r="BV36" s="232">
        <v>1.4682692307692299E-2</v>
      </c>
      <c r="BW36" s="31">
        <f t="shared" ref="BW36:BW67" si="32">Y36/AA36*1000000/3600/24/365</f>
        <v>0.54797728507207832</v>
      </c>
      <c r="BX36" s="31">
        <v>0.70625576923076905</v>
      </c>
      <c r="BY36" s="231">
        <f t="shared" si="1"/>
        <v>0.79375806451612962</v>
      </c>
      <c r="BZ36" s="147">
        <f t="shared" si="16"/>
        <v>0.74050984469199777</v>
      </c>
      <c r="CA36" s="305">
        <v>0.84699999999999998</v>
      </c>
      <c r="CB36" s="231">
        <f>Basicinfo!CV36</f>
        <v>7</v>
      </c>
      <c r="CC36" s="147">
        <f t="shared" si="17"/>
        <v>0.1057871206702854</v>
      </c>
      <c r="CD36" s="147"/>
      <c r="CE36" s="233">
        <f>'Local emissions'!FC36/14*62</f>
        <v>9.5599999999999969</v>
      </c>
      <c r="CF36" s="233">
        <f>'Local emissions'!FD36/14*62</f>
        <v>5.7511776763981857</v>
      </c>
      <c r="CH36">
        <f t="shared" si="18"/>
        <v>0</v>
      </c>
      <c r="CI36">
        <f t="shared" si="19"/>
        <v>0</v>
      </c>
      <c r="CK36" s="276">
        <f>Basicinfo!EM36</f>
        <v>0</v>
      </c>
      <c r="CL36" s="276">
        <f>Basicinfo!EN36</f>
        <v>0</v>
      </c>
      <c r="CM36">
        <f t="shared" si="23"/>
        <v>2</v>
      </c>
      <c r="CN36">
        <f t="shared" si="24"/>
        <v>0</v>
      </c>
      <c r="CO36" s="31">
        <f t="shared" si="27"/>
        <v>0</v>
      </c>
      <c r="CP36" s="270">
        <f>Basicinfo!DC36</f>
        <v>1.1451612903225801E-2</v>
      </c>
      <c r="CQ36" s="270">
        <f>Basicinfo!DD36</f>
        <v>2.7999999999999987E-2</v>
      </c>
      <c r="CR36" s="236">
        <f t="shared" si="28"/>
        <v>0.70625576923076905</v>
      </c>
      <c r="CS36" s="236">
        <f>Basicinfo!DK36</f>
        <v>0.79375806451612962</v>
      </c>
      <c r="CT36" s="236">
        <f>Basicinfo!DL36</f>
        <v>0.98399999999999999</v>
      </c>
      <c r="CU36" s="147">
        <f>'Summed emissions'!D36</f>
        <v>490.82493780599998</v>
      </c>
      <c r="CV36" s="188">
        <f t="shared" si="29"/>
        <v>-30.964193049664051</v>
      </c>
      <c r="CW36" s="188">
        <f t="shared" si="30"/>
        <v>-57.708633262730466</v>
      </c>
      <c r="CX36" s="188"/>
      <c r="CY36" s="188"/>
      <c r="DI36" s="31" t="e">
        <f>#REF!</f>
        <v>#REF!</v>
      </c>
      <c r="DJ36" s="233">
        <f>Basicinfo!DA36</f>
        <v>2.1397849462365583E-2</v>
      </c>
      <c r="DK36" s="233">
        <f>Basicinfo!DB36</f>
        <v>5.0999999999999983E-2</v>
      </c>
      <c r="DR36" s="236">
        <f t="shared" si="2"/>
        <v>9.5599999999999969</v>
      </c>
      <c r="DS36" s="236">
        <f t="shared" si="0"/>
        <v>5.7511776763981857</v>
      </c>
      <c r="DY36" s="31">
        <f>Basicinfo!EI36</f>
        <v>8.6318684210526311E-3</v>
      </c>
      <c r="DZ36" s="31">
        <f>Intermediate!CR36</f>
        <v>8.6318684210526311E-3</v>
      </c>
    </row>
    <row r="37" spans="1:135">
      <c r="A37" s="39" t="str">
        <f>Basicinfo!A37</f>
        <v>Ager</v>
      </c>
      <c r="B37" s="63">
        <f>Basicinfo!B37</f>
        <v>1290</v>
      </c>
      <c r="C37" s="63">
        <f>Basicinfo!C37</f>
        <v>4020</v>
      </c>
      <c r="D37" s="61">
        <f>IF(Intermediate!D37=0,0,Basicinfo!AP37*86400*365/(Intermediate!D37*1000000))</f>
        <v>86.495878114583746</v>
      </c>
      <c r="E37" s="19">
        <f>IF(Intermediate!E37=0,0,IF((Intermediate!E37-Basicinfo!AA37)&lt;0,0,'Summed emissions'!E37*86400*365/((Intermediate!E37-Basicinfo!AA37)*1000000)))</f>
        <v>3321.4315496680647</v>
      </c>
      <c r="F37" s="19">
        <f>IF(Basicinfo!AA37=0,0,'Summed emissions'!E37*86400*365/(Basicinfo!AA37*1000000))</f>
        <v>0</v>
      </c>
      <c r="G37" s="19">
        <f>IF(D37=0,1,1/(1+Parameters!$C$138*EXP(Parameters!$C$139*Basicinfo!AQ37)*D37^Parameters!$C$140))</f>
        <v>0.89579997785797727</v>
      </c>
      <c r="H37" s="19">
        <f>IF(D37=0,1,1/(1+Parameters!$C$141*EXP(Parameters!$C$142*Basicinfo!AQ37)*D37^Parameters!$C$143))</f>
        <v>0.82606733233299523</v>
      </c>
      <c r="I37" s="161">
        <f>IF(Intermediate!AS37=0,1,IF(D37=0,1/(1+Parameters!$C$144*Intermediate!AS37^Parameters!$C$145),(1/(1+Parameters!$C$144*Intermediate!AS37^Parameters!$C$145)+1/(1+Parameters!$C$146*D37^Parameters!$C$147))/2))</f>
        <v>0.80010216872837714</v>
      </c>
      <c r="J37" s="19">
        <f>IF(E37=0,1,1/(1+Parameters!$C$138*EXP(Parameters!$C$139*Basicinfo!AQ37)*E37^Parameters!$C$140))</f>
        <v>0.99697995582023979</v>
      </c>
      <c r="K37" s="19">
        <f>IF(E37=0,1,1/(1+Parameters!$C$141*EXP(Parameters!$C$142*Basicinfo!AQ37)*E37^Parameters!$C$143))</f>
        <v>0.99454667994195445</v>
      </c>
      <c r="L37" s="19">
        <f>IF(E37=0,1,1/(1+Parameters!$C$146*E37^Parameters!$C$147))</f>
        <v>0.99230992507612814</v>
      </c>
      <c r="M37" s="53">
        <f>IF(F37=0,1,1/(1+Parameters!$C$138*EXP(Parameters!$C$139*Basicinfo!AQ37)*F37^Parameters!$C$140))</f>
        <v>1</v>
      </c>
      <c r="N37" s="53">
        <f>IF(F37=0,1,1/(1+Parameters!$C$141*EXP(Parameters!$C$142*Basicinfo!AQ37)*F37^Parameters!$C$143))</f>
        <v>1</v>
      </c>
      <c r="O37" s="53">
        <f>IF(F37=0,1,1/(1+Parameters!$C$146*F37^Parameters!$C$147))</f>
        <v>1</v>
      </c>
      <c r="P37" s="64">
        <f>Basicinfo!CE37+Basicinfo!CJ37</f>
        <v>75.348570888888901</v>
      </c>
      <c r="Q37" s="86">
        <f>Parameters!$C$126*Intermediate!BB37*Basicinfo!P37/1000+Parameters!$C$127*Intermediate!BB37*Basicinfo!S37/1000</f>
        <v>7.0029676850366486E-3</v>
      </c>
      <c r="R37" s="48">
        <f>'Local emissions'!AE37-P37-Q37</f>
        <v>508.40355242591471</v>
      </c>
      <c r="S37" s="48">
        <f>Basicinfo!CF37+Basicinfo!CK37</f>
        <v>5.0897451666666669</v>
      </c>
      <c r="T37" s="86">
        <f>'Local emissions'!AR37-S37</f>
        <v>19.684861298773829</v>
      </c>
      <c r="U37" s="61">
        <f t="shared" si="20"/>
        <v>530.78346486262524</v>
      </c>
      <c r="V37" s="27">
        <f t="shared" si="3"/>
        <v>495.32413718998237</v>
      </c>
      <c r="W37" s="27">
        <f t="shared" si="4"/>
        <v>20.839645382932908</v>
      </c>
      <c r="X37" s="61">
        <f>U37+TN!CI37</f>
        <v>1498.037277604227</v>
      </c>
      <c r="Y37" s="27">
        <f>V37+DIN!CI37</f>
        <v>1313.8396724147274</v>
      </c>
      <c r="Z37" s="27">
        <f>W37+TP!CI37</f>
        <v>38.014146416927247</v>
      </c>
      <c r="AA37" s="73">
        <f>'Summed emissions'!E37</f>
        <v>33.001746854544081</v>
      </c>
      <c r="AB37" s="131">
        <f>IF(Basicinfo!AR37="","",Basicinfo!AR37)</f>
        <v>1598.0039022462681</v>
      </c>
      <c r="AC37" s="131">
        <f>IF(Basicinfo!AS37="","",Basicinfo!AS37)</f>
        <v>1452.7308202238801</v>
      </c>
      <c r="AD37" s="131">
        <f>IF(Basicinfo!AT37="","",Basicinfo!AT37)</f>
        <v>34.7389588272503</v>
      </c>
      <c r="AE37" s="174">
        <f t="shared" si="21"/>
        <v>-6.2557184310702212</v>
      </c>
      <c r="AF37" s="19">
        <f t="shared" si="5"/>
        <v>-9.5606939617174334</v>
      </c>
      <c r="AG37" s="27">
        <f t="shared" si="6"/>
        <v>9.4279958301680296</v>
      </c>
      <c r="AH37" s="56">
        <f>'Local emissions'!AE37-U37</f>
        <v>52.9756614198634</v>
      </c>
      <c r="AI37" s="228">
        <f>'Local emissions'!AR37-W37</f>
        <v>3.9349610825075878</v>
      </c>
      <c r="AJ37" s="43">
        <f t="shared" si="7"/>
        <v>52.975661419863329</v>
      </c>
      <c r="AK37" s="58">
        <f t="shared" si="8"/>
        <v>3.9349610825075896</v>
      </c>
      <c r="AL37" s="43">
        <f>TN!CI126</f>
        <v>2.9288664456314719</v>
      </c>
      <c r="AM37" s="43">
        <f>TP!CI126</f>
        <v>0.13309672350742516</v>
      </c>
      <c r="AN37" s="42">
        <f>TN!CI215+(AH37-AJ37)</f>
        <v>7.1054273576010019E-14</v>
      </c>
      <c r="AO37" s="43">
        <f>TP!CI215+(AI37-AK37)</f>
        <v>-1.7763568394002505E-15</v>
      </c>
      <c r="AP37" s="42">
        <f t="shared" si="9"/>
        <v>55.90452786549487</v>
      </c>
      <c r="AQ37" s="42">
        <f t="shared" si="10"/>
        <v>4.0680578060150125</v>
      </c>
      <c r="AR37" s="42">
        <f>AH37/'Local emissions'!AE37*100</f>
        <v>9.0749178958836154</v>
      </c>
      <c r="AS37" s="42">
        <f>AI37/'Local emissions'!AR37*100</f>
        <v>15.883041726602956</v>
      </c>
      <c r="AT37" s="42">
        <f t="shared" si="22"/>
        <v>3.5975946891136106</v>
      </c>
      <c r="AU37" s="42">
        <f t="shared" si="11"/>
        <v>9.6669313814061102</v>
      </c>
      <c r="AV37" s="42">
        <f>('Summed emissions'!AE37-'River loads'!X37)/'Summed emissions'!AE37*100</f>
        <v>21.525490319344971</v>
      </c>
      <c r="AW37" s="42">
        <f>('Summed emissions'!AR37-'River loads'!Z37)/'Summed emissions'!AR37*100</f>
        <v>30.070851404895109</v>
      </c>
      <c r="AX37" s="61">
        <f>X37/('Summed emissions'!$D37*100)*1000</f>
        <v>11.933674417570929</v>
      </c>
      <c r="AY37" s="19">
        <f>Y37/('Summed emissions'!$D37*100)*1000</f>
        <v>10.466318243134994</v>
      </c>
      <c r="AZ37" s="72">
        <f>Z37/('Summed emissions'!$D37*100)*1000</f>
        <v>0.3028285433103432</v>
      </c>
      <c r="BA37" s="43">
        <f>IF(AB37="","",AB37/('Summed emissions'!$D37*100)*1000)</f>
        <v>12.73002920055038</v>
      </c>
      <c r="BB37" s="43">
        <f>IF(AC37="","",AC37/('Summed emissions'!$D37*100)*1000)</f>
        <v>11.572753818682164</v>
      </c>
      <c r="BC37" s="43">
        <f>IF(AD37="","",AD37/('Summed emissions'!$D37*100)*1000)</f>
        <v>0.27673772238352273</v>
      </c>
      <c r="BF37" s="188">
        <f>('Summed emissions'!AE37-'River loads'!Y37)/'Summed emissions'!AE37*100</f>
        <v>31.174660582126474</v>
      </c>
      <c r="BG37" s="188">
        <f>('Summed emissions'!AR37-'River loads'!Z37)/'Summed emissions'!AR37*100</f>
        <v>30.070851404895109</v>
      </c>
      <c r="BH37" s="181">
        <f>'Summed emissions'!CV37*(100-'River loads'!BG37)/100</f>
        <v>28.743755916551844</v>
      </c>
      <c r="BI37" s="181">
        <f t="shared" si="12"/>
        <v>21.8452544965794</v>
      </c>
      <c r="BJ37" s="233"/>
      <c r="BK37" s="233">
        <f>Basicinfo!CQ37</f>
        <v>9.6830234510836295</v>
      </c>
      <c r="BM37" s="31">
        <f t="shared" si="25"/>
        <v>2.0990054828674932E-2</v>
      </c>
      <c r="BN37" s="31">
        <f>BK37*1000000/24/3600/365/$AA37</f>
        <v>9.303951719922314E-3</v>
      </c>
      <c r="BO37" s="231">
        <v>9.9687500000000002E-3</v>
      </c>
      <c r="BP37" s="31">
        <f>BM37/Parameters!$C$156</f>
        <v>3.2292392044115277E-2</v>
      </c>
      <c r="BQ37" s="305">
        <v>1.7999999999999999E-2</v>
      </c>
      <c r="BR37" s="237">
        <f>Basicinfo!CW37</f>
        <v>0.05</v>
      </c>
      <c r="BS37" s="237">
        <f t="shared" si="13"/>
        <v>0.64584784088230551</v>
      </c>
      <c r="BT37" s="237">
        <f t="shared" si="26"/>
        <v>0.35999999999999993</v>
      </c>
      <c r="BU37" s="31">
        <f t="shared" si="31"/>
        <v>3.6525965750663164E-2</v>
      </c>
      <c r="BV37" s="232">
        <v>3.7259615384615398E-2</v>
      </c>
      <c r="BW37" s="31">
        <f t="shared" si="32"/>
        <v>1.2624053779914362</v>
      </c>
      <c r="BX37" s="31">
        <v>1.46291538461538</v>
      </c>
      <c r="BY37" s="231">
        <f t="shared" si="1"/>
        <v>1.6211881720430104</v>
      </c>
      <c r="BZ37" s="147">
        <f t="shared" si="16"/>
        <v>1.7059532135019408</v>
      </c>
      <c r="CA37" s="305">
        <v>1.726</v>
      </c>
      <c r="CB37" s="231">
        <f>Basicinfo!CV37</f>
        <v>4</v>
      </c>
      <c r="CC37" s="147">
        <f t="shared" si="17"/>
        <v>0.42648830337548521</v>
      </c>
      <c r="CD37" s="147"/>
      <c r="CE37" s="233">
        <f>'Local emissions'!FC37/14*62</f>
        <v>19.052941176470586</v>
      </c>
      <c r="CF37" s="233">
        <f>'Local emissions'!FD37/14*62</f>
        <v>9.9755141760423918</v>
      </c>
      <c r="CH37">
        <f t="shared" si="18"/>
        <v>0</v>
      </c>
      <c r="CI37">
        <f t="shared" si="19"/>
        <v>0</v>
      </c>
      <c r="CK37" s="276">
        <f>Basicinfo!EM37</f>
        <v>0</v>
      </c>
      <c r="CL37" s="276">
        <f>Basicinfo!EN37</f>
        <v>0</v>
      </c>
      <c r="CM37">
        <f t="shared" si="23"/>
        <v>0</v>
      </c>
      <c r="CN37">
        <f t="shared" si="24"/>
        <v>0</v>
      </c>
      <c r="CO37" s="31">
        <f t="shared" si="27"/>
        <v>9.303951719922314E-3</v>
      </c>
      <c r="CP37" s="270">
        <f>Basicinfo!DC37</f>
        <v>1.0075268817204304E-2</v>
      </c>
      <c r="CQ37" s="270">
        <f>Basicinfo!DD37</f>
        <v>1.7799999999999996E-2</v>
      </c>
      <c r="CR37" s="236">
        <f t="shared" si="28"/>
        <v>1.46291538461538</v>
      </c>
      <c r="CS37" s="236">
        <f>Basicinfo!DK37</f>
        <v>1.6211881720430104</v>
      </c>
      <c r="CT37" s="236">
        <f>Basicinfo!DL37</f>
        <v>1.847</v>
      </c>
      <c r="CU37" s="147">
        <f>'Summed emissions'!D37</f>
        <v>1255.3026211260999</v>
      </c>
      <c r="CV37" s="188">
        <f t="shared" si="29"/>
        <v>-22.130854409049789</v>
      </c>
      <c r="CW37" s="188">
        <f t="shared" si="30"/>
        <v>108.33245454287812</v>
      </c>
      <c r="CX37" s="188"/>
      <c r="CY37" s="188"/>
      <c r="DI37" s="31" t="e">
        <f>#REF!</f>
        <v>#REF!</v>
      </c>
      <c r="DJ37" s="233">
        <f>Basicinfo!DA37</f>
        <v>3.401612903225805E-2</v>
      </c>
      <c r="DK37" s="233">
        <f>Basicinfo!DB37</f>
        <v>3.7599999999999995E-2</v>
      </c>
      <c r="DR37" s="236">
        <f t="shared" si="2"/>
        <v>19.052941176470586</v>
      </c>
      <c r="DS37" s="236">
        <f t="shared" si="0"/>
        <v>9.9755141760423918</v>
      </c>
      <c r="DY37" s="31">
        <f>Basicinfo!EI37</f>
        <v>3.631576099071207E-2</v>
      </c>
      <c r="DZ37" s="31">
        <f>Intermediate!CR37</f>
        <v>3.631576099071207E-2</v>
      </c>
    </row>
    <row r="38" spans="1:135">
      <c r="A38" s="39" t="str">
        <f>Basicinfo!A38</f>
        <v>Alm</v>
      </c>
      <c r="B38" s="63">
        <f>Basicinfo!B38</f>
        <v>1300</v>
      </c>
      <c r="C38" s="63">
        <f>Basicinfo!C38</f>
        <v>1310</v>
      </c>
      <c r="D38" s="61">
        <f>IF(Intermediate!D38=0,0,Basicinfo!AP38*86400*365/(Intermediate!D38*1000000))</f>
        <v>81.555762074186475</v>
      </c>
      <c r="E38" s="19">
        <f>IF(Intermediate!E38=0,0,IF((Intermediate!E38-Basicinfo!AA38)&lt;0,0,'Summed emissions'!E38*86400*365/((Intermediate!E38-Basicinfo!AA38)*1000000)))</f>
        <v>0</v>
      </c>
      <c r="F38" s="19">
        <f>IF(Basicinfo!AA38=0,0,'Summed emissions'!E38*86400*365/(Basicinfo!AA38*1000000))</f>
        <v>0</v>
      </c>
      <c r="G38" s="19">
        <f>IF(D38=0,1,1/(1+Parameters!$C$138*EXP(Parameters!$C$139*Basicinfo!AQ38)*D38^Parameters!$C$140))</f>
        <v>0.90554531852814824</v>
      </c>
      <c r="H38" s="19">
        <f>IF(D38=0,1,1/(1+Parameters!$C$141*EXP(Parameters!$C$142*Basicinfo!AQ38)*D38^Parameters!$C$143))</f>
        <v>0.84117815709842769</v>
      </c>
      <c r="I38" s="161">
        <f>IF(Intermediate!AS38=0,1,IF(D38=0,1/(1+Parameters!$C$144*Intermediate!AS38^Parameters!$C$145),(1/(1+Parameters!$C$144*Intermediate!AS38^Parameters!$C$145)+1/(1+Parameters!$C$146*D38^Parameters!$C$147))/2))</f>
        <v>0.82982282717746525</v>
      </c>
      <c r="J38" s="19">
        <f>IF(E38=0,1,1/(1+Parameters!$C$138*EXP(Parameters!$C$139*Basicinfo!AQ38)*E38^Parameters!$C$140))</f>
        <v>1</v>
      </c>
      <c r="K38" s="19">
        <f>IF(E38=0,1,1/(1+Parameters!$C$141*EXP(Parameters!$C$142*Basicinfo!AQ38)*E38^Parameters!$C$143))</f>
        <v>1</v>
      </c>
      <c r="L38" s="19">
        <f>IF(E38=0,1,1/(1+Parameters!$C$146*E38^Parameters!$C$147))</f>
        <v>1</v>
      </c>
      <c r="M38" s="53">
        <f>IF(F38=0,1,1/(1+Parameters!$C$138*EXP(Parameters!$C$139*Basicinfo!AQ38)*F38^Parameters!$C$140))</f>
        <v>1</v>
      </c>
      <c r="N38" s="53">
        <f>IF(F38=0,1,1/(1+Parameters!$C$141*EXP(Parameters!$C$142*Basicinfo!AQ38)*F38^Parameters!$C$143))</f>
        <v>1</v>
      </c>
      <c r="O38" s="53">
        <f>IF(F38=0,1,1/(1+Parameters!$C$146*F38^Parameters!$C$147))</f>
        <v>1</v>
      </c>
      <c r="P38" s="64">
        <f>Basicinfo!CE38+Basicinfo!CJ38</f>
        <v>0</v>
      </c>
      <c r="Q38" s="86">
        <f>Parameters!$C$126*Intermediate!BB38*Basicinfo!P38/1000+Parameters!$C$127*Intermediate!BB38*Basicinfo!S38/1000</f>
        <v>0.60226950161455173</v>
      </c>
      <c r="R38" s="48">
        <f>'Local emissions'!AE38-P38-Q38</f>
        <v>251.80955283971991</v>
      </c>
      <c r="S38" s="48">
        <f>Basicinfo!CF38+Basicinfo!CK38</f>
        <v>0</v>
      </c>
      <c r="T38" s="86">
        <f>'Local emissions'!AR38-S38</f>
        <v>3.3089850990191634</v>
      </c>
      <c r="U38" s="61">
        <f t="shared" si="20"/>
        <v>228.6272312362893</v>
      </c>
      <c r="V38" s="27">
        <f t="shared" si="3"/>
        <v>211.81669559749474</v>
      </c>
      <c r="W38" s="27">
        <f t="shared" si="4"/>
        <v>2.7458713699561867</v>
      </c>
      <c r="X38" s="61">
        <f>U38+TN!CI38</f>
        <v>228.6272312362893</v>
      </c>
      <c r="Y38" s="27">
        <f>V38+DIN!CI38</f>
        <v>211.81669559749474</v>
      </c>
      <c r="Z38" s="27">
        <f>W38+TP!CI38</f>
        <v>2.7458713699561867</v>
      </c>
      <c r="AA38" s="73">
        <f>'Summed emissions'!E38</f>
        <v>11.038809232340302</v>
      </c>
      <c r="AB38" s="131">
        <f>IF(Basicinfo!AR38="","",Basicinfo!AR38)</f>
        <v>358.62866433558008</v>
      </c>
      <c r="AC38" s="131">
        <f>IF(Basicinfo!AS38="","",Basicinfo!AS38)</f>
        <v>326.02605848689097</v>
      </c>
      <c r="AD38" s="131">
        <f>IF(Basicinfo!AT38="","",Basicinfo!AT38)</f>
        <v>1.84315248035733</v>
      </c>
      <c r="AE38" s="174">
        <f t="shared" si="21"/>
        <v>-36.249593528766113</v>
      </c>
      <c r="AF38" s="19">
        <f t="shared" si="5"/>
        <v>-35.030746750566394</v>
      </c>
      <c r="AG38" s="27">
        <f t="shared" si="6"/>
        <v>48.976896877454635</v>
      </c>
      <c r="AH38" s="56">
        <f>'Local emissions'!AE38-U38</f>
        <v>23.784591105045166</v>
      </c>
      <c r="AI38" s="228">
        <f>'Local emissions'!AR38-W38</f>
        <v>0.56311372906297663</v>
      </c>
      <c r="AJ38" s="43">
        <f t="shared" si="7"/>
        <v>23.78459110504517</v>
      </c>
      <c r="AK38" s="58">
        <f t="shared" si="8"/>
        <v>0.56311372906297641</v>
      </c>
      <c r="AL38" s="43">
        <f>TN!CI127</f>
        <v>0</v>
      </c>
      <c r="AM38" s="43">
        <f>TP!CI127</f>
        <v>0</v>
      </c>
      <c r="AN38" s="42">
        <f>TN!CI216+(AH38-AJ38)</f>
        <v>-3.5527136788005009E-15</v>
      </c>
      <c r="AO38" s="43">
        <f>TP!CI216+(AI38-AK38)</f>
        <v>2.2204460492503131E-16</v>
      </c>
      <c r="AP38" s="42">
        <f t="shared" si="9"/>
        <v>23.784591105045166</v>
      </c>
      <c r="AQ38" s="42">
        <f t="shared" si="10"/>
        <v>0.56311372906297663</v>
      </c>
      <c r="AR38" s="42">
        <f>AH38/'Local emissions'!AE38*100</f>
        <v>9.4229307028580678</v>
      </c>
      <c r="AS38" s="42">
        <f>AI38/'Local emissions'!AR38*100</f>
        <v>17.017717282253482</v>
      </c>
      <c r="AT38" s="42">
        <f t="shared" si="22"/>
        <v>9.4229307028580678</v>
      </c>
      <c r="AU38" s="42">
        <f t="shared" si="11"/>
        <v>17.017717282253482</v>
      </c>
      <c r="AV38" s="42">
        <f>('Summed emissions'!AE38-'River loads'!X38)/'Summed emissions'!AE38*100</f>
        <v>9.4229307028580678</v>
      </c>
      <c r="AW38" s="42">
        <f>('Summed emissions'!AR38-'River loads'!Z38)/'Summed emissions'!AR38*100</f>
        <v>17.017717282253482</v>
      </c>
      <c r="AX38" s="61">
        <f>X38/('Summed emissions'!$D38*100)*1000</f>
        <v>9.4027918458105084</v>
      </c>
      <c r="AY38" s="19">
        <f>Y38/('Summed emissions'!$D38*100)*1000</f>
        <v>8.711422027029819</v>
      </c>
      <c r="AZ38" s="72">
        <f>Z38/('Summed emissions'!$D38*100)*1000</f>
        <v>0.11292992872045252</v>
      </c>
      <c r="BA38" s="43">
        <f>IF(AB38="","",AB38/('Summed emissions'!$D38*100)*1000)</f>
        <v>14.74938336283916</v>
      </c>
      <c r="BB38" s="43">
        <f>IF(AC38="","",AC38/('Summed emissions'!$D38*100)*1000)</f>
        <v>13.408530329853781</v>
      </c>
      <c r="BC38" s="43">
        <f>IF(AD38="","",AD38/('Summed emissions'!$D38*100)*1000)</f>
        <v>7.5803652168528107E-2</v>
      </c>
      <c r="BF38" s="188">
        <f>('Summed emissions'!AE38-'River loads'!Y38)/'Summed emissions'!AE38*100</f>
        <v>16.082894361795489</v>
      </c>
      <c r="BG38" s="188">
        <f>('Summed emissions'!AR38-'River loads'!Z38)/'Summed emissions'!AR38*100</f>
        <v>17.017717282253482</v>
      </c>
      <c r="BH38" s="181">
        <f>'Summed emissions'!CV38*(100-'River loads'!BG38)/100</f>
        <v>1.4922238606959548</v>
      </c>
      <c r="BI38" s="181">
        <f t="shared" si="12"/>
        <v>1.1340901341289256</v>
      </c>
      <c r="BJ38" s="233"/>
      <c r="BK38" s="233"/>
      <c r="BM38" s="31">
        <f t="shared" si="25"/>
        <v>3.2577573800905133E-3</v>
      </c>
      <c r="BN38" s="31"/>
      <c r="BO38" s="231"/>
      <c r="BP38" s="31">
        <f>BM38/Parameters!$C$156</f>
        <v>5.0119344309084816E-3</v>
      </c>
      <c r="BQ38" s="305" t="s">
        <v>934</v>
      </c>
      <c r="BR38" s="237">
        <f>Basicinfo!CW38</f>
        <v>0.03</v>
      </c>
      <c r="BS38" s="237">
        <f t="shared" si="13"/>
        <v>0.16706448103028274</v>
      </c>
      <c r="BT38" s="237"/>
      <c r="BU38" s="31">
        <f t="shared" si="31"/>
        <v>7.8877176081994602E-3</v>
      </c>
      <c r="BV38" s="232">
        <v>5.2317307692307698E-3</v>
      </c>
      <c r="BW38" s="31">
        <f t="shared" si="32"/>
        <v>0.60845904795665762</v>
      </c>
      <c r="BX38" s="31">
        <v>0.94657403846153898</v>
      </c>
      <c r="BY38" s="231">
        <f t="shared" si="1"/>
        <v>0.92077083333333276</v>
      </c>
      <c r="BZ38" s="147">
        <f t="shared" si="16"/>
        <v>0.82224195669818601</v>
      </c>
      <c r="CA38" s="305">
        <v>1.1054999999999999</v>
      </c>
      <c r="CB38" s="231">
        <f>Basicinfo!CV38</f>
        <v>5.5</v>
      </c>
      <c r="CC38" s="147">
        <f t="shared" si="17"/>
        <v>0.14949853758148837</v>
      </c>
      <c r="CD38" s="147"/>
      <c r="CE38" s="233">
        <f>'Local emissions'!FC38/14*62</f>
        <v>4.41</v>
      </c>
      <c r="CF38" s="233">
        <f>'Local emissions'!FD38/14*62</f>
        <v>3.3633984979801563</v>
      </c>
      <c r="CH38">
        <f t="shared" si="18"/>
        <v>0</v>
      </c>
      <c r="CI38">
        <f t="shared" si="19"/>
        <v>0</v>
      </c>
      <c r="CK38" s="276">
        <f>Basicinfo!EM38</f>
        <v>0</v>
      </c>
      <c r="CL38" s="276">
        <f>Basicinfo!EN38</f>
        <v>0</v>
      </c>
      <c r="CM38">
        <f t="shared" si="23"/>
        <v>2</v>
      </c>
      <c r="CN38">
        <f t="shared" si="24"/>
        <v>0</v>
      </c>
      <c r="CO38" s="31">
        <f t="shared" si="27"/>
        <v>0</v>
      </c>
      <c r="CP38" s="270">
        <f>Basicinfo!DC38</f>
        <v>2.5260416666666682E-3</v>
      </c>
      <c r="CQ38" s="270">
        <f>Basicinfo!DD38</f>
        <v>2.5000000000000001E-3</v>
      </c>
      <c r="CR38" s="236">
        <f t="shared" si="28"/>
        <v>0.94657403846153898</v>
      </c>
      <c r="CS38" s="236">
        <f>Basicinfo!DK38</f>
        <v>0.92077083333333276</v>
      </c>
      <c r="CT38" s="236">
        <f>Basicinfo!DL38</f>
        <v>1.0115000000000001</v>
      </c>
      <c r="CU38" s="147">
        <f>'Summed emissions'!D38</f>
        <v>243.148242549</v>
      </c>
      <c r="CV38" s="188">
        <f t="shared" si="29"/>
        <v>-33.918514148201048</v>
      </c>
      <c r="CW38" s="188">
        <f t="shared" si="30"/>
        <v>28.966890098428493</v>
      </c>
      <c r="CX38" s="188"/>
      <c r="CY38" s="188"/>
      <c r="DI38" s="31" t="e">
        <f>#REF!</f>
        <v>#REF!</v>
      </c>
      <c r="DJ38" s="233">
        <f>Basicinfo!DA38</f>
        <v>5.2083333333333356E-3</v>
      </c>
      <c r="DK38" s="233">
        <f>Basicinfo!DB38</f>
        <v>6.5000000000000006E-3</v>
      </c>
      <c r="DR38" s="236">
        <f t="shared" si="2"/>
        <v>4.41</v>
      </c>
      <c r="DS38" s="236">
        <f t="shared" si="0"/>
        <v>3.3633984979801563</v>
      </c>
      <c r="DY38" s="31">
        <f>Basicinfo!EI38</f>
        <v>3.0569263157894737E-3</v>
      </c>
      <c r="DZ38" s="31">
        <f>Intermediate!CR38</f>
        <v>3.0569263157894737E-3</v>
      </c>
    </row>
    <row r="39" spans="1:135">
      <c r="A39" s="39" t="str">
        <f>Basicinfo!A39</f>
        <v>Alm</v>
      </c>
      <c r="B39" s="63">
        <f>Basicinfo!B39</f>
        <v>1310</v>
      </c>
      <c r="C39" s="63">
        <f>Basicinfo!C39</f>
        <v>4020</v>
      </c>
      <c r="D39" s="61">
        <f>IF(Intermediate!D39=0,0,Basicinfo!AP39*86400*365/(Intermediate!D39*1000000))</f>
        <v>55.874115922334525</v>
      </c>
      <c r="E39" s="19">
        <f>IF(Intermediate!E39=0,0,IF((Intermediate!E39-Basicinfo!AA39)&lt;0,0,'Summed emissions'!E39*86400*365/((Intermediate!E39-Basicinfo!AA39)*1000000)))</f>
        <v>1528.231916622881</v>
      </c>
      <c r="F39" s="19">
        <f>IF(Basicinfo!AA39=0,0,'Summed emissions'!E39*86400*365/(Basicinfo!AA39*1000000))</f>
        <v>0</v>
      </c>
      <c r="G39" s="19">
        <f>IF(D39=0,1,1/(1+Parameters!$C$138*EXP(Parameters!$C$139*Basicinfo!AQ39)*D39^Parameters!$C$140))</f>
        <v>0.86349355424105279</v>
      </c>
      <c r="H39" s="19">
        <f>IF(D39=0,1,1/(1+Parameters!$C$141*EXP(Parameters!$C$142*Basicinfo!AQ39)*D39^Parameters!$C$143))</f>
        <v>0.77751060043431408</v>
      </c>
      <c r="I39" s="161">
        <f>IF(Intermediate!AS39=0,1,IF(D39=0,1/(1+Parameters!$C$144*Intermediate!AS39^Parameters!$C$145),(1/(1+Parameters!$C$144*Intermediate!AS39^Parameters!$C$145)+1/(1+Parameters!$C$146*D39^Parameters!$C$147))/2))</f>
        <v>0.73672645611785503</v>
      </c>
      <c r="J39" s="19">
        <f>IF(E39=0,1,1/(1+Parameters!$C$138*EXP(Parameters!$C$139*Basicinfo!AQ39)*E39^Parameters!$C$140))</f>
        <v>0.99425337928952751</v>
      </c>
      <c r="K39" s="19">
        <f>IF(E39=0,1,1/(1+Parameters!$C$141*EXP(Parameters!$C$142*Basicinfo!AQ39)*E39^Parameters!$C$143))</f>
        <v>0.98964609161268735</v>
      </c>
      <c r="L39" s="19">
        <f>IF(E39=0,1,1/(1+Parameters!$C$146*E39^Parameters!$C$147))</f>
        <v>0.9834359940970242</v>
      </c>
      <c r="M39" s="53">
        <f>IF(F39=0,1,1/(1+Parameters!$C$138*EXP(Parameters!$C$139*Basicinfo!AQ39)*F39^Parameters!$C$140))</f>
        <v>1</v>
      </c>
      <c r="N39" s="53">
        <f>IF(F39=0,1,1/(1+Parameters!$C$141*EXP(Parameters!$C$142*Basicinfo!AQ39)*F39^Parameters!$C$143))</f>
        <v>1</v>
      </c>
      <c r="O39" s="53">
        <f>IF(F39=0,1,1/(1+Parameters!$C$146*F39^Parameters!$C$147))</f>
        <v>1</v>
      </c>
      <c r="P39" s="64">
        <f>Basicinfo!CE39+Basicinfo!CJ39</f>
        <v>13.584467966666665</v>
      </c>
      <c r="Q39" s="86">
        <f>Parameters!$C$126*Intermediate!BB39*Basicinfo!P39/1000+Parameters!$C$127*Intermediate!BB39*Basicinfo!S39/1000</f>
        <v>0.14442143751675707</v>
      </c>
      <c r="R39" s="48">
        <f>'Local emissions'!AE39-P39-Q39</f>
        <v>312.97409870814505</v>
      </c>
      <c r="S39" s="48">
        <f>Basicinfo!CF39+Basicinfo!CK39</f>
        <v>1.1829415000000001</v>
      </c>
      <c r="T39" s="86">
        <f>'Local emissions'!AR39-S39</f>
        <v>13.385062166108449</v>
      </c>
      <c r="U39" s="61">
        <f t="shared" si="20"/>
        <v>283.98000628306971</v>
      </c>
      <c r="V39" s="27">
        <f t="shared" si="3"/>
        <v>256.92514737362478</v>
      </c>
      <c r="W39" s="27">
        <f t="shared" si="4"/>
        <v>11.044070914554258</v>
      </c>
      <c r="X39" s="61">
        <f>U39+TN!CI39</f>
        <v>511.29686455174988</v>
      </c>
      <c r="Y39" s="27">
        <f>V39+DIN!CI39</f>
        <v>466.54871230999981</v>
      </c>
      <c r="Z39" s="27">
        <f>W39+TP!CI39</f>
        <v>13.744459654929678</v>
      </c>
      <c r="AA39" s="73">
        <f>'Summed emissions'!E39</f>
        <v>15.9762405697067</v>
      </c>
      <c r="AB39" s="131">
        <f>IF(Basicinfo!AR39="","",Basicinfo!AR39)</f>
        <v>750.86689606784569</v>
      </c>
      <c r="AC39" s="131">
        <f>IF(Basicinfo!AS39="","",Basicinfo!AS39)</f>
        <v>682.60626915258695</v>
      </c>
      <c r="AD39" s="131">
        <f>IF(Basicinfo!AT39="","",Basicinfo!AT39)</f>
        <v>5.1544949474048298</v>
      </c>
      <c r="AE39" s="174">
        <f t="shared" si="21"/>
        <v>-31.905792194419647</v>
      </c>
      <c r="AF39" s="19">
        <f t="shared" si="5"/>
        <v>-31.651856510314374</v>
      </c>
      <c r="AG39" s="27">
        <f t="shared" si="6"/>
        <v>166.64997822627993</v>
      </c>
      <c r="AH39" s="56">
        <f>'Local emissions'!AE39-U39</f>
        <v>42.722981829258799</v>
      </c>
      <c r="AI39" s="228">
        <f>'Local emissions'!AR39-W39</f>
        <v>3.5239327515541916</v>
      </c>
      <c r="AJ39" s="43">
        <f t="shared" si="7"/>
        <v>42.722981829258792</v>
      </c>
      <c r="AK39" s="58">
        <f t="shared" si="8"/>
        <v>3.5239327515541912</v>
      </c>
      <c r="AL39" s="43">
        <f>TN!CI128</f>
        <v>1.31037296760918</v>
      </c>
      <c r="AM39" s="43">
        <f>TP!CI128</f>
        <v>4.5482629580766522E-2</v>
      </c>
      <c r="AN39" s="42">
        <f>TN!CI217+(AH39-AJ39)</f>
        <v>7.1054273576010019E-15</v>
      </c>
      <c r="AO39" s="43">
        <f>TP!CI217+(AI39-AK39)</f>
        <v>4.4408920985006262E-16</v>
      </c>
      <c r="AP39" s="42">
        <f t="shared" si="9"/>
        <v>44.033354796867982</v>
      </c>
      <c r="AQ39" s="42">
        <f t="shared" si="10"/>
        <v>3.569415381134958</v>
      </c>
      <c r="AR39" s="42">
        <f>AH39/'Local emissions'!AE39*100</f>
        <v>13.077009817421562</v>
      </c>
      <c r="AS39" s="42">
        <f>AI39/'Local emissions'!AR39*100</f>
        <v>24.189537786514983</v>
      </c>
      <c r="AT39" s="42">
        <f t="shared" si="22"/>
        <v>7.9292199960804401</v>
      </c>
      <c r="AU39" s="42">
        <f t="shared" si="11"/>
        <v>20.615924359508774</v>
      </c>
      <c r="AV39" s="42">
        <f>('Summed emissions'!AE39-'River loads'!X39)/'Summed emissions'!AE39*100</f>
        <v>11.710621914294748</v>
      </c>
      <c r="AW39" s="42">
        <f>('Summed emissions'!AR39-'River loads'!Z39)/'Summed emissions'!AR39*100</f>
        <v>23.116472043989877</v>
      </c>
      <c r="AX39" s="61">
        <f>X39/('Summed emissions'!$D39*100)*1000</f>
        <v>10.189080803082801</v>
      </c>
      <c r="AY39" s="19">
        <f>Y39/('Summed emissions'!$D39*100)*1000</f>
        <v>9.2973433984742986</v>
      </c>
      <c r="AZ39" s="344">
        <f>Z39/('Summed emissions'!$D39*100)*1000</f>
        <v>0.27389843303961003</v>
      </c>
      <c r="BA39" s="43">
        <f>IF(AB39="","",AB39/('Summed emissions'!$D39*100)*1000)</f>
        <v>14.963212190050328</v>
      </c>
      <c r="BB39" s="43">
        <f>IF(AC39="","",AC39/('Summed emissions'!$D39*100)*1000)</f>
        <v>13.602920172773024</v>
      </c>
      <c r="BC39" s="43">
        <f>IF(AD39="","",AD39/('Summed emissions'!$D39*100)*1000)</f>
        <v>0.10271834067324734</v>
      </c>
      <c r="BF39" s="188">
        <f>('Summed emissions'!AE39-'River loads'!Y39)/'Summed emissions'!AE39*100</f>
        <v>19.437613425131012</v>
      </c>
      <c r="BG39" s="188">
        <f>('Summed emissions'!AR39-'River loads'!Z39)/'Summed emissions'!AR39*100</f>
        <v>23.116472043989877</v>
      </c>
      <c r="BH39" s="181">
        <f>'Summed emissions'!CV39*(100-'River loads'!BG39)/100</f>
        <v>8.5121176473960976</v>
      </c>
      <c r="BI39" s="181">
        <f t="shared" si="12"/>
        <v>6.4692094120210344</v>
      </c>
      <c r="BJ39" s="233"/>
      <c r="BK39" s="233"/>
      <c r="BM39" s="31">
        <f t="shared" si="25"/>
        <v>1.2840147458944094E-2</v>
      </c>
      <c r="BN39" s="31"/>
      <c r="BO39" s="231"/>
      <c r="BP39" s="31">
        <f>BM39/Parameters!$C$156</f>
        <v>1.9754073013760143E-2</v>
      </c>
      <c r="BQ39" s="305" t="s">
        <v>934</v>
      </c>
      <c r="BR39" s="237">
        <f>Basicinfo!CW39</f>
        <v>0.05</v>
      </c>
      <c r="BS39" s="237">
        <f t="shared" si="13"/>
        <v>0.39508146027520286</v>
      </c>
      <c r="BT39" s="237"/>
      <c r="BU39" s="31">
        <f t="shared" si="31"/>
        <v>2.7280132311819971E-2</v>
      </c>
      <c r="BV39" s="232">
        <v>9.4917475728155398E-3</v>
      </c>
      <c r="BW39" s="31">
        <f t="shared" si="32"/>
        <v>0.92601025586051999</v>
      </c>
      <c r="BX39" s="31">
        <v>1.3721155339805799</v>
      </c>
      <c r="BY39" s="231">
        <f t="shared" si="1"/>
        <v>1.4122656250000003</v>
      </c>
      <c r="BZ39" s="147">
        <f t="shared" si="16"/>
        <v>1.2513652106223243</v>
      </c>
      <c r="CA39" s="305">
        <v>1.6237999999999999</v>
      </c>
      <c r="CB39" s="231">
        <f>Basicinfo!CV39</f>
        <v>4</v>
      </c>
      <c r="CC39" s="147">
        <f t="shared" si="17"/>
        <v>0.31284130265558108</v>
      </c>
      <c r="CD39" s="147"/>
      <c r="CE39" s="233">
        <f>'Local emissions'!FC39/14*62</f>
        <v>15.084666666666667</v>
      </c>
      <c r="CF39" s="233">
        <f>'Local emissions'!FD39/14*62</f>
        <v>11.159203011307291</v>
      </c>
      <c r="CH39">
        <f t="shared" si="18"/>
        <v>0</v>
      </c>
      <c r="CI39">
        <f t="shared" si="19"/>
        <v>0</v>
      </c>
      <c r="CK39" s="276">
        <f>Basicinfo!EM39</f>
        <v>0</v>
      </c>
      <c r="CL39" s="276">
        <f>Basicinfo!EN39</f>
        <v>0</v>
      </c>
      <c r="CM39">
        <f t="shared" si="23"/>
        <v>2</v>
      </c>
      <c r="CN39">
        <f t="shared" si="24"/>
        <v>0</v>
      </c>
      <c r="CO39" s="31">
        <f t="shared" si="27"/>
        <v>0</v>
      </c>
      <c r="CP39" s="270">
        <f>Basicinfo!DC39</f>
        <v>4.0156250000000027E-3</v>
      </c>
      <c r="CQ39" s="270">
        <f>Basicinfo!DD39</f>
        <v>7.0000000000000001E-3</v>
      </c>
      <c r="CR39" s="236">
        <f t="shared" si="28"/>
        <v>1.3721155339805799</v>
      </c>
      <c r="CS39" s="236">
        <f>Basicinfo!DK39</f>
        <v>1.4122656250000003</v>
      </c>
      <c r="CT39" s="236">
        <f>Basicinfo!DL39</f>
        <v>1.6240000000000001</v>
      </c>
      <c r="CU39" s="147">
        <f>'Summed emissions'!D39</f>
        <v>501.80862673800004</v>
      </c>
      <c r="CV39" s="188">
        <f t="shared" si="29"/>
        <v>-34.430871964293559</v>
      </c>
      <c r="CW39" s="188">
        <f t="shared" si="30"/>
        <v>219.75464489199283</v>
      </c>
      <c r="CX39" s="188"/>
      <c r="CY39" s="188"/>
      <c r="DI39" s="31" t="e">
        <f>#REF!</f>
        <v>#REF!</v>
      </c>
      <c r="DJ39" s="233">
        <f>Basicinfo!DA39</f>
        <v>1.1895833333333312E-2</v>
      </c>
      <c r="DK39" s="233">
        <f>Basicinfo!DB39</f>
        <v>0.02</v>
      </c>
      <c r="DR39" s="236">
        <f t="shared" si="2"/>
        <v>15.084666666666667</v>
      </c>
      <c r="DS39" s="236">
        <f t="shared" si="0"/>
        <v>11.159203011307291</v>
      </c>
      <c r="DY39" s="31">
        <f>Basicinfo!EI39</f>
        <v>1.6499940350877193E-2</v>
      </c>
      <c r="DZ39" s="31">
        <f>Intermediate!CR39</f>
        <v>1.6499940350877193E-2</v>
      </c>
    </row>
    <row r="40" spans="1:135">
      <c r="A40" s="39" t="str">
        <f>Basicinfo!A40</f>
        <v>Krems</v>
      </c>
      <c r="B40" s="63">
        <f>Basicinfo!B40</f>
        <v>1320</v>
      </c>
      <c r="C40" s="63">
        <f>Basicinfo!C40</f>
        <v>1330</v>
      </c>
      <c r="D40" s="61">
        <f>IF(Intermediate!D40=0,0,Basicinfo!AP40*86400*365/(Intermediate!D40*1000000))</f>
        <v>70.741728129850074</v>
      </c>
      <c r="E40" s="19">
        <f>IF(Intermediate!E40=0,0,IF((Intermediate!E40-Basicinfo!AA40)&lt;0,0,'Summed emissions'!E40*86400*365/((Intermediate!E40-Basicinfo!AA40)*1000000)))</f>
        <v>0</v>
      </c>
      <c r="F40" s="19">
        <f>IF(Basicinfo!AA40=0,0,'Summed emissions'!E40*86400*365/(Basicinfo!AA40*1000000))</f>
        <v>0</v>
      </c>
      <c r="G40" s="19">
        <f>IF(D40=0,1,1/(1+Parameters!$C$138*EXP(Parameters!$C$139*Basicinfo!AQ40)*D40^Parameters!$C$140))</f>
        <v>0.88385798113538794</v>
      </c>
      <c r="H40" s="19">
        <f>IF(D40=0,1,1/(1+Parameters!$C$141*EXP(Parameters!$C$142*Basicinfo!AQ40)*D40^Parameters!$C$143))</f>
        <v>0.80784779475138746</v>
      </c>
      <c r="I40" s="161">
        <f>IF(Intermediate!AS40=0,1,IF(D40=0,1/(1+Parameters!$C$144*Intermediate!AS40^Parameters!$C$145),(1/(1+Parameters!$C$144*Intermediate!AS40^Parameters!$C$145)+1/(1+Parameters!$C$146*D40^Parameters!$C$147))/2))</f>
        <v>0.76263622811047149</v>
      </c>
      <c r="J40" s="19">
        <f>IF(E40=0,1,1/(1+Parameters!$C$138*EXP(Parameters!$C$139*Basicinfo!AQ40)*E40^Parameters!$C$140))</f>
        <v>1</v>
      </c>
      <c r="K40" s="19">
        <f>IF(E40=0,1,1/(1+Parameters!$C$141*EXP(Parameters!$C$142*Basicinfo!AQ40)*E40^Parameters!$C$143))</f>
        <v>1</v>
      </c>
      <c r="L40" s="19">
        <f>IF(E40=0,1,1/(1+Parameters!$C$146*E40^Parameters!$C$147))</f>
        <v>1</v>
      </c>
      <c r="M40" s="53">
        <f>IF(F40=0,1,1/(1+Parameters!$C$138*EXP(Parameters!$C$139*Basicinfo!AQ40)*F40^Parameters!$C$140))</f>
        <v>1</v>
      </c>
      <c r="N40" s="53">
        <f>IF(F40=0,1,1/(1+Parameters!$C$141*EXP(Parameters!$C$142*Basicinfo!AQ40)*F40^Parameters!$C$143))</f>
        <v>1</v>
      </c>
      <c r="O40" s="53">
        <f>IF(F40=0,1,1/(1+Parameters!$C$146*F40^Parameters!$C$147))</f>
        <v>1</v>
      </c>
      <c r="P40" s="64">
        <f>Basicinfo!CE40+Basicinfo!CJ40</f>
        <v>0</v>
      </c>
      <c r="Q40" s="86">
        <f>Parameters!$C$126*Intermediate!BB40*Basicinfo!P40/1000+Parameters!$C$127*Intermediate!BB40*Basicinfo!S40/1000</f>
        <v>4.0659655548280597E-2</v>
      </c>
      <c r="R40" s="48">
        <f>'Local emissions'!AE40-P40-Q40</f>
        <v>272.74217482153642</v>
      </c>
      <c r="S40" s="48">
        <f>Basicinfo!CF40+Basicinfo!CK40</f>
        <v>0</v>
      </c>
      <c r="T40" s="86">
        <f>'Local emissions'!AR40-S40</f>
        <v>15.390929171234518</v>
      </c>
      <c r="U40" s="61">
        <f t="shared" si="20"/>
        <v>241.1060076637865</v>
      </c>
      <c r="V40" s="27">
        <f t="shared" si="3"/>
        <v>220.33416446527559</v>
      </c>
      <c r="W40" s="27">
        <f t="shared" si="4"/>
        <v>11.737680170265717</v>
      </c>
      <c r="X40" s="61">
        <f>U40+TN!CI40</f>
        <v>241.1060076637865</v>
      </c>
      <c r="Y40" s="27">
        <f>V40+DIN!CI40</f>
        <v>220.33416446527559</v>
      </c>
      <c r="Z40" s="27">
        <f>W40+TP!CI40</f>
        <v>11.737680170265717</v>
      </c>
      <c r="AA40" s="73">
        <f>'Summed emissions'!E40</f>
        <v>2.7933615807068795</v>
      </c>
      <c r="AB40" s="131">
        <f>IF(Basicinfo!AR40="","",Basicinfo!AR40)</f>
        <v>259.07952390038508</v>
      </c>
      <c r="AC40" s="131">
        <f>IF(Basicinfo!AS40="","",Basicinfo!AS40)</f>
        <v>235.52683990944101</v>
      </c>
      <c r="AD40" s="131">
        <f>IF(Basicinfo!AT40="","",Basicinfo!AT40)</f>
        <v>7.1226771909697604</v>
      </c>
      <c r="AE40" s="174">
        <f t="shared" si="21"/>
        <v>-6.9374514689587414</v>
      </c>
      <c r="AF40" s="19">
        <f t="shared" si="5"/>
        <v>-6.4505070632319104</v>
      </c>
      <c r="AG40" s="27">
        <f t="shared" si="6"/>
        <v>64.793094724929119</v>
      </c>
      <c r="AH40" s="56">
        <f>'Local emissions'!AE40-U40</f>
        <v>31.676826813298192</v>
      </c>
      <c r="AI40" s="228">
        <f>'Local emissions'!AR40-W40</f>
        <v>3.6532490009688008</v>
      </c>
      <c r="AJ40" s="43">
        <f t="shared" si="7"/>
        <v>31.676826813298206</v>
      </c>
      <c r="AK40" s="58">
        <f t="shared" si="8"/>
        <v>3.6532490009688003</v>
      </c>
      <c r="AL40" s="43">
        <f>TN!CI129</f>
        <v>0</v>
      </c>
      <c r="AM40" s="43">
        <f>TP!CI129</f>
        <v>0</v>
      </c>
      <c r="AN40" s="42">
        <f>TN!CI218+(AH40-AJ40)</f>
        <v>-1.4210854715202004E-14</v>
      </c>
      <c r="AO40" s="43">
        <f>TP!CI218+(AI40-AK40)</f>
        <v>4.4408920985006262E-16</v>
      </c>
      <c r="AP40" s="42">
        <f t="shared" si="9"/>
        <v>31.676826813298192</v>
      </c>
      <c r="AQ40" s="42">
        <f t="shared" si="10"/>
        <v>3.6532490009688008</v>
      </c>
      <c r="AR40" s="42">
        <f>AH40/'Local emissions'!AE40*100</f>
        <v>11.612470731166637</v>
      </c>
      <c r="AS40" s="42">
        <f>AI40/'Local emissions'!AR40*100</f>
        <v>23.736377188952854</v>
      </c>
      <c r="AT40" s="42">
        <f t="shared" si="22"/>
        <v>11.612470731166637</v>
      </c>
      <c r="AU40" s="42">
        <f t="shared" si="11"/>
        <v>23.736377188952854</v>
      </c>
      <c r="AV40" s="42">
        <f>('Summed emissions'!AE40-'River loads'!X40)/'Summed emissions'!AE40*100</f>
        <v>11.612470731166637</v>
      </c>
      <c r="AW40" s="42">
        <f>('Summed emissions'!AR40-'River loads'!Z40)/'Summed emissions'!AR40*100</f>
        <v>23.736377188952854</v>
      </c>
      <c r="AX40" s="61">
        <f>X40/('Summed emissions'!$D40*100)*1000</f>
        <v>17.173132929376635</v>
      </c>
      <c r="AY40" s="19">
        <f>Y40/('Summed emissions'!$D40*100)*1000</f>
        <v>15.693627595218286</v>
      </c>
      <c r="AZ40" s="344">
        <f>Z40/('Summed emissions'!$D40*100)*1000</f>
        <v>0.83603367580772658</v>
      </c>
      <c r="BA40" s="43">
        <f>IF(AB40="","",AB40/('Summed emissions'!$D40*100)*1000)</f>
        <v>18.453323276063614</v>
      </c>
      <c r="BB40" s="43">
        <f>IF(AC40="","",AC40/('Summed emissions'!$D40*100)*1000)</f>
        <v>16.775748432785107</v>
      </c>
      <c r="BC40" s="43">
        <f>IF(AD40="","",AD40/('Summed emissions'!$D40*100)*1000)</f>
        <v>0.50732324506874826</v>
      </c>
      <c r="BF40" s="188">
        <f>('Summed emissions'!AE40-'River loads'!Y40)/'Summed emissions'!AE40*100</f>
        <v>19.227261903173414</v>
      </c>
      <c r="BG40" s="188">
        <f>('Summed emissions'!AR40-'River loads'!Z40)/'Summed emissions'!AR40*100</f>
        <v>23.736377188952854</v>
      </c>
      <c r="BH40" s="181">
        <f>'Summed emissions'!CV40*(100-'River loads'!BG40)/100</f>
        <v>7.9582599838173982</v>
      </c>
      <c r="BI40" s="181">
        <f t="shared" si="12"/>
        <v>6.0482775877012225</v>
      </c>
      <c r="BJ40" s="233"/>
      <c r="BK40" s="233">
        <f>Basicinfo!CQ40</f>
        <v>4.2003593975230702</v>
      </c>
      <c r="BM40" s="31">
        <f t="shared" si="25"/>
        <v>6.8659075678107362E-2</v>
      </c>
      <c r="BN40" s="31">
        <f>BK40*1000000/24/3600/365/$AA40</f>
        <v>4.768180520289178E-2</v>
      </c>
      <c r="BO40" s="231">
        <v>4.6405940594059399E-2</v>
      </c>
      <c r="BP40" s="31">
        <f>BM40/Parameters!$C$156</f>
        <v>0.10562934719708825</v>
      </c>
      <c r="BQ40" s="305">
        <v>7.3999999999999996E-2</v>
      </c>
      <c r="BR40" s="237">
        <f>Basicinfo!CW40</f>
        <v>0.05</v>
      </c>
      <c r="BS40" s="237">
        <f t="shared" si="13"/>
        <v>2.1125869439417646</v>
      </c>
      <c r="BT40" s="237">
        <f t="shared" si="26"/>
        <v>1.4799999999999998</v>
      </c>
      <c r="BU40" s="31">
        <f t="shared" si="31"/>
        <v>0.13324425994177838</v>
      </c>
      <c r="BV40" s="232">
        <v>8.3138613861386101E-2</v>
      </c>
      <c r="BW40" s="31">
        <f t="shared" si="32"/>
        <v>2.5011980440936754</v>
      </c>
      <c r="BX40" s="31">
        <v>2.5985544554455502</v>
      </c>
      <c r="BY40" s="231">
        <f t="shared" si="1"/>
        <v>2.9572765957446814</v>
      </c>
      <c r="BZ40" s="147">
        <f t="shared" si="16"/>
        <v>3.379997356883345</v>
      </c>
      <c r="CA40" s="305">
        <v>3.198</v>
      </c>
      <c r="CB40" s="231">
        <f>Basicinfo!CV40</f>
        <v>4</v>
      </c>
      <c r="CC40" s="147">
        <f t="shared" si="17"/>
        <v>0.84499933922083625</v>
      </c>
      <c r="CD40" s="147"/>
      <c r="CE40" s="233">
        <f>'Local emissions'!FC40/14*62</f>
        <v>14.022</v>
      </c>
      <c r="CF40" s="233">
        <f>'Local emissions'!FD40/14*62</f>
        <v>15.534504048539954</v>
      </c>
      <c r="CH40">
        <f t="shared" si="18"/>
        <v>2</v>
      </c>
      <c r="CI40">
        <f t="shared" si="19"/>
        <v>1</v>
      </c>
      <c r="CK40" s="276">
        <f>Basicinfo!EM40</f>
        <v>1</v>
      </c>
      <c r="CL40" s="276">
        <f>Basicinfo!EN40</f>
        <v>0</v>
      </c>
      <c r="CM40">
        <f t="shared" si="23"/>
        <v>1</v>
      </c>
      <c r="CN40">
        <f t="shared" si="24"/>
        <v>0</v>
      </c>
      <c r="CO40" s="31">
        <f t="shared" si="27"/>
        <v>4.768180520289178E-2</v>
      </c>
      <c r="CP40" s="270">
        <f>Basicinfo!DC40</f>
        <v>4.6946808510638281E-2</v>
      </c>
      <c r="CQ40" s="270">
        <f>Basicinfo!DD40</f>
        <v>8.5999999999999993E-2</v>
      </c>
      <c r="CR40" s="236">
        <f t="shared" si="28"/>
        <v>2.5985544554455502</v>
      </c>
      <c r="CS40" s="236">
        <f>Basicinfo!DK40</f>
        <v>2.9572765957446814</v>
      </c>
      <c r="CT40" s="236">
        <f>Basicinfo!DL40</f>
        <v>3.8546999999999998</v>
      </c>
      <c r="CU40" s="147">
        <f>'Summed emissions'!D40</f>
        <v>140.39721736000001</v>
      </c>
      <c r="CV40" s="188">
        <f t="shared" si="29"/>
        <v>-15.42224871042742</v>
      </c>
      <c r="CW40" s="188">
        <f t="shared" si="30"/>
        <v>46.248654288286751</v>
      </c>
      <c r="CX40" s="188"/>
      <c r="CY40" s="188"/>
      <c r="DI40" s="31" t="e">
        <f>#REF!</f>
        <v>#REF!</v>
      </c>
      <c r="DJ40" s="233">
        <f>Basicinfo!DA40</f>
        <v>7.7297872340425539E-2</v>
      </c>
      <c r="DK40" s="233">
        <f>Basicinfo!DB40</f>
        <v>0.12</v>
      </c>
      <c r="DR40" s="236">
        <f t="shared" si="2"/>
        <v>14.022</v>
      </c>
      <c r="DS40" s="236">
        <f t="shared" si="0"/>
        <v>15.534504048539954</v>
      </c>
      <c r="DY40" s="31">
        <f>Basicinfo!EI40</f>
        <v>1.8936953684210531E-2</v>
      </c>
      <c r="DZ40" s="31">
        <f>Intermediate!CR40</f>
        <v>1.8936953684210531E-2</v>
      </c>
    </row>
    <row r="41" spans="1:135">
      <c r="A41" s="39" t="str">
        <f>Basicinfo!A41</f>
        <v>Krems</v>
      </c>
      <c r="B41" s="63">
        <f>Basicinfo!B41</f>
        <v>1330</v>
      </c>
      <c r="C41" s="63">
        <f>Basicinfo!C41</f>
        <v>4020</v>
      </c>
      <c r="D41" s="61">
        <f>IF(Intermediate!D41=0,0,Basicinfo!AP41*86400*365/(Intermediate!D41*1000000))</f>
        <v>51.610561344463704</v>
      </c>
      <c r="E41" s="19">
        <f>IF(Intermediate!E41=0,0,IF((Intermediate!E41-Basicinfo!AA41)&lt;0,0,'Summed emissions'!E41*86400*365/((Intermediate!E41-Basicinfo!AA41)*1000000)))</f>
        <v>431.69740553917478</v>
      </c>
      <c r="F41" s="19">
        <f>IF(Basicinfo!AA41=0,0,'Summed emissions'!E41*86400*365/(Basicinfo!AA41*1000000))</f>
        <v>0</v>
      </c>
      <c r="G41" s="19">
        <f>IF(D41=0,1,1/(1+Parameters!$C$138*EXP(Parameters!$C$139*Basicinfo!AQ41)*D41^Parameters!$C$140))</f>
        <v>0.83941386025835518</v>
      </c>
      <c r="H41" s="19">
        <f>IF(D41=0,1,1/(1+Parameters!$C$141*EXP(Parameters!$C$142*Basicinfo!AQ41)*D41^Parameters!$C$143))</f>
        <v>0.74278161178619551</v>
      </c>
      <c r="I41" s="161">
        <f>IF(Intermediate!AS41=0,1,IF(D41=0,1/(1+Parameters!$C$144*Intermediate!AS41^Parameters!$C$145),(1/(1+Parameters!$C$144*Intermediate!AS41^Parameters!$C$145)+1/(1+Parameters!$C$146*D41^Parameters!$C$147))/2))</f>
        <v>0.6944363224227319</v>
      </c>
      <c r="J41" s="19">
        <f>IF(E41=0,1,1/(1+Parameters!$C$138*EXP(Parameters!$C$139*Basicinfo!AQ41)*E41^Parameters!$C$140))</f>
        <v>0.97764008910443334</v>
      </c>
      <c r="K41" s="19">
        <f>IF(E41=0,1,1/(1+Parameters!$C$141*EXP(Parameters!$C$142*Basicinfo!AQ41)*E41^Parameters!$C$143))</f>
        <v>0.96024585179090849</v>
      </c>
      <c r="L41" s="19">
        <f>IF(E41=0,1,1/(1+Parameters!$C$146*E41^Parameters!$C$147))</f>
        <v>0.9437300061422379</v>
      </c>
      <c r="M41" s="53">
        <f>IF(F41=0,1,1/(1+Parameters!$C$138*EXP(Parameters!$C$139*Basicinfo!AQ41)*F41^Parameters!$C$140))</f>
        <v>1</v>
      </c>
      <c r="N41" s="53">
        <f>IF(F41=0,1,1/(1+Parameters!$C$141*EXP(Parameters!$C$142*Basicinfo!AQ41)*F41^Parameters!$C$143))</f>
        <v>1</v>
      </c>
      <c r="O41" s="53">
        <f>IF(F41=0,1,1/(1+Parameters!$C$146*F41^Parameters!$C$147))</f>
        <v>1</v>
      </c>
      <c r="P41" s="64">
        <f>Basicinfo!CE41+Basicinfo!CJ41</f>
        <v>16.986740000000001</v>
      </c>
      <c r="Q41" s="86">
        <f>Parameters!$C$126*Intermediate!BB41*Basicinfo!P41/1000+Parameters!$C$127*Intermediate!BB41*Basicinfo!S41/1000</f>
        <v>1.9776140528765629E-3</v>
      </c>
      <c r="R41" s="48">
        <f>'Local emissions'!AE41-P41-Q41</f>
        <v>532.34492420651884</v>
      </c>
      <c r="S41" s="48">
        <f>Basicinfo!CF41+Basicinfo!CK41</f>
        <v>2.3649849999999999</v>
      </c>
      <c r="T41" s="86">
        <f>'Local emissions'!AR41-S41</f>
        <v>27.066727145658376</v>
      </c>
      <c r="U41" s="61">
        <f t="shared" si="20"/>
        <v>463.84642543118832</v>
      </c>
      <c r="V41" s="27">
        <f t="shared" si="3"/>
        <v>412.40276082831815</v>
      </c>
      <c r="W41" s="27">
        <f t="shared" si="4"/>
        <v>21.16110345905053</v>
      </c>
      <c r="X41" s="61">
        <f>U41+TN!CI41</f>
        <v>699.56223339350186</v>
      </c>
      <c r="Y41" s="27">
        <f>V41+DIN!CI41</f>
        <v>623.97772826391486</v>
      </c>
      <c r="Z41" s="27">
        <f>W41+TP!CI41</f>
        <v>32.238304438231019</v>
      </c>
      <c r="AA41" s="73">
        <f>'Summed emissions'!E41</f>
        <v>6.0561435876053089</v>
      </c>
      <c r="AB41" s="131">
        <f>IF(Basicinfo!AR41="","",Basicinfo!AR41)</f>
        <v>861.01081258343697</v>
      </c>
      <c r="AC41" s="131">
        <f>IF(Basicinfo!AS41="","",Basicinfo!AS41)</f>
        <v>782.73710234857901</v>
      </c>
      <c r="AD41" s="131">
        <f>IF(Basicinfo!AT41="","",Basicinfo!AT41)</f>
        <v>18.367095526222901</v>
      </c>
      <c r="AE41" s="174">
        <f t="shared" si="21"/>
        <v>-18.751051302772098</v>
      </c>
      <c r="AF41" s="19">
        <f t="shared" si="5"/>
        <v>-20.282592151095358</v>
      </c>
      <c r="AG41" s="27">
        <f t="shared" si="6"/>
        <v>75.522060045934012</v>
      </c>
      <c r="AH41" s="56">
        <f>'Local emissions'!AE41-U41</f>
        <v>85.487216389383434</v>
      </c>
      <c r="AI41" s="228">
        <f>'Local emissions'!AR41-W41</f>
        <v>8.2706086866078472</v>
      </c>
      <c r="AJ41" s="43">
        <f t="shared" si="7"/>
        <v>85.487216389383349</v>
      </c>
      <c r="AK41" s="58">
        <f t="shared" si="8"/>
        <v>8.2706086866078454</v>
      </c>
      <c r="AL41" s="43">
        <f>TN!CI130</f>
        <v>5.3901997014729748</v>
      </c>
      <c r="AM41" s="43">
        <f>TP!CI130</f>
        <v>0.6604791910852279</v>
      </c>
      <c r="AN41" s="42">
        <f>TN!CI219+(AH41-AJ41)</f>
        <v>8.5265128291212022E-14</v>
      </c>
      <c r="AO41" s="43">
        <f>TP!CI219+(AI41-AK41)</f>
        <v>1.7763568394002505E-15</v>
      </c>
      <c r="AP41" s="42">
        <f t="shared" si="9"/>
        <v>90.877416090856414</v>
      </c>
      <c r="AQ41" s="42">
        <f t="shared" si="10"/>
        <v>8.9310878776930753</v>
      </c>
      <c r="AR41" s="42">
        <f>AH41/'Local emissions'!AE41*100</f>
        <v>15.561984535676048</v>
      </c>
      <c r="AS41" s="42">
        <f>AI41/'Local emissions'!AR41*100</f>
        <v>28.101011064787436</v>
      </c>
      <c r="AT41" s="42">
        <f t="shared" si="22"/>
        <v>11.497072059851769</v>
      </c>
      <c r="AU41" s="42">
        <f t="shared" si="11"/>
        <v>21.693513980381439</v>
      </c>
      <c r="AV41" s="42">
        <f>('Summed emissions'!AE41-'River loads'!X41)/'Summed emissions'!AE41*100</f>
        <v>14.90716296747499</v>
      </c>
      <c r="AW41" s="42">
        <f>('Summed emissions'!AR41-'River loads'!Z41)/'Summed emissions'!AR41*100</f>
        <v>28.075848519705719</v>
      </c>
      <c r="AX41" s="61">
        <f>X41/('Summed emissions'!$D41*100)*1000</f>
        <v>18.398635348065675</v>
      </c>
      <c r="AY41" s="19">
        <f>Y41/('Summed emissions'!$D41*100)*1000</f>
        <v>16.410746806545404</v>
      </c>
      <c r="AZ41" s="344">
        <f>Z41/('Summed emissions'!$D41*100)*1000</f>
        <v>0.84787425519196036</v>
      </c>
      <c r="BA41" s="43">
        <f>IF(AB41="","",AB41/('Summed emissions'!$D41*100)*1000)</f>
        <v>22.644767277700669</v>
      </c>
      <c r="BB41" s="43">
        <f>IF(AC41="","",AC41/('Summed emissions'!$D41*100)*1000)</f>
        <v>20.586152070636974</v>
      </c>
      <c r="BC41" s="43">
        <f>IF(AD41="","",AD41/('Summed emissions'!$D41*100)*1000)</f>
        <v>0.48305851410932171</v>
      </c>
      <c r="BF41" s="188">
        <f>('Summed emissions'!AE41-'River loads'!Y41)/'Summed emissions'!AE41*100</f>
        <v>24.101055476475235</v>
      </c>
      <c r="BG41" s="188">
        <f>('Summed emissions'!AR41-'River loads'!Z41)/'Summed emissions'!AR41*100</f>
        <v>28.075848519705719</v>
      </c>
      <c r="BH41" s="181">
        <f>'Summed emissions'!CV41*(100-'River loads'!BG41)/100</f>
        <v>20.731908491086394</v>
      </c>
      <c r="BI41" s="181">
        <f t="shared" si="12"/>
        <v>15.756250453225659</v>
      </c>
      <c r="BJ41" s="233"/>
      <c r="BK41" s="233">
        <f>Basicinfo!CQ41</f>
        <v>9.7021990172771897</v>
      </c>
      <c r="BM41" s="31">
        <f t="shared" si="25"/>
        <v>8.2499269888256135E-2</v>
      </c>
      <c r="BN41" s="31">
        <f>BK41*1000000/24/3600/365/$AA41</f>
        <v>5.0800432349820866E-2</v>
      </c>
      <c r="BO41" s="231">
        <v>4.1900990099009897E-2</v>
      </c>
      <c r="BP41" s="31">
        <f>BM41/Parameters!$C$156</f>
        <v>0.1269219536742402</v>
      </c>
      <c r="BQ41" s="305">
        <v>7.5999999999999998E-2</v>
      </c>
      <c r="BR41" s="237">
        <f>Basicinfo!CW41</f>
        <v>0.05</v>
      </c>
      <c r="BS41" s="237">
        <f t="shared" si="13"/>
        <v>2.5384390734848039</v>
      </c>
      <c r="BT41" s="237">
        <f t="shared" si="26"/>
        <v>1.5199999999999998</v>
      </c>
      <c r="BU41" s="31">
        <f t="shared" si="31"/>
        <v>0.16879882599510843</v>
      </c>
      <c r="BV41" s="232">
        <v>9.2316831683168302E-2</v>
      </c>
      <c r="BW41" s="31">
        <f t="shared" si="32"/>
        <v>3.2671292679132944</v>
      </c>
      <c r="BX41" s="31">
        <v>4.0057366336633704</v>
      </c>
      <c r="BY41" s="231">
        <f t="shared" si="1"/>
        <v>4.5539042553191491</v>
      </c>
      <c r="BZ41" s="147">
        <f t="shared" si="16"/>
        <v>4.415039551234182</v>
      </c>
      <c r="CA41" s="305">
        <v>4.76</v>
      </c>
      <c r="CB41" s="231">
        <f>Basicinfo!CV41</f>
        <v>4</v>
      </c>
      <c r="CC41" s="147">
        <f t="shared" si="17"/>
        <v>1.1037598878085455</v>
      </c>
      <c r="CD41" s="147"/>
      <c r="CE41" s="233">
        <f>'Local emissions'!FC41/14*62</f>
        <v>43.234117647058824</v>
      </c>
      <c r="CF41" s="233">
        <f>'Local emissions'!FD41/14*62</f>
        <v>27.667363130289051</v>
      </c>
      <c r="CH41">
        <f t="shared" si="18"/>
        <v>2</v>
      </c>
      <c r="CI41">
        <f t="shared" si="19"/>
        <v>1</v>
      </c>
      <c r="CK41" s="276">
        <f>Basicinfo!EM41</f>
        <v>1</v>
      </c>
      <c r="CL41" s="276">
        <f>Basicinfo!EN41</f>
        <v>1</v>
      </c>
      <c r="CM41">
        <f t="shared" si="23"/>
        <v>1</v>
      </c>
      <c r="CN41">
        <f t="shared" si="24"/>
        <v>1</v>
      </c>
      <c r="CO41" s="31">
        <f t="shared" si="27"/>
        <v>5.0800432349820866E-2</v>
      </c>
      <c r="CP41" s="270">
        <f>Basicinfo!DC41</f>
        <v>4.490425531914892E-2</v>
      </c>
      <c r="CQ41" s="270">
        <f>Basicinfo!DD41</f>
        <v>7.0400000000000004E-2</v>
      </c>
      <c r="CR41" s="236">
        <f t="shared" si="28"/>
        <v>4.0057366336633704</v>
      </c>
      <c r="CS41" s="236">
        <f>Basicinfo!DK41</f>
        <v>4.5539042553191491</v>
      </c>
      <c r="CT41" s="236">
        <f>Basicinfo!DL41</f>
        <v>5.2686999999999999</v>
      </c>
      <c r="CU41" s="147">
        <f>'Summed emissions'!D41</f>
        <v>380.225065696</v>
      </c>
      <c r="CV41" s="188">
        <f t="shared" si="29"/>
        <v>-28.256522650928556</v>
      </c>
      <c r="CW41" s="188">
        <f t="shared" si="30"/>
        <v>83.722610033074616</v>
      </c>
      <c r="CX41" s="188"/>
      <c r="CY41" s="181">
        <f>CT41</f>
        <v>5.2686999999999999</v>
      </c>
      <c r="DD41" s="232">
        <f>CQ41</f>
        <v>7.0400000000000004E-2</v>
      </c>
      <c r="DI41" s="31" t="e">
        <f>#REF!</f>
        <v>#REF!</v>
      </c>
      <c r="DJ41" s="233">
        <f>Basicinfo!DA41</f>
        <v>9.1117021276595739E-2</v>
      </c>
      <c r="DK41" s="233">
        <f>Basicinfo!DB41</f>
        <v>0.13</v>
      </c>
      <c r="DL41" s="31" t="e">
        <f>DI41</f>
        <v>#REF!</v>
      </c>
      <c r="DR41" s="236">
        <f t="shared" si="2"/>
        <v>43.234117647058824</v>
      </c>
      <c r="DS41" s="236">
        <f t="shared" si="0"/>
        <v>27.667363130289051</v>
      </c>
      <c r="DT41" s="181">
        <f>DR41</f>
        <v>43.234117647058824</v>
      </c>
      <c r="DY41" s="31">
        <f>Basicinfo!EI41</f>
        <v>2.8192954798761615E-2</v>
      </c>
      <c r="DZ41" s="31">
        <f>Intermediate!CR41</f>
        <v>2.8192954798761615E-2</v>
      </c>
      <c r="EA41" s="31">
        <f>DY41</f>
        <v>2.8192954798761615E-2</v>
      </c>
    </row>
    <row r="42" spans="1:135">
      <c r="A42" s="39" t="str">
        <f>Basicinfo!A42</f>
        <v>Ipfbach</v>
      </c>
      <c r="B42" s="63">
        <f>Basicinfo!B42</f>
        <v>1340</v>
      </c>
      <c r="C42" s="63">
        <f>Basicinfo!C42</f>
        <v>5010</v>
      </c>
      <c r="D42" s="61">
        <f>IF(Intermediate!D42=0,0,Basicinfo!AP42*86400*365/(Intermediate!D42*1000000))</f>
        <v>123.62745857252821</v>
      </c>
      <c r="E42" s="19">
        <f>IF(Intermediate!E42=0,0,IF((Intermediate!E42-Basicinfo!AA42)&lt;0,0,'Summed emissions'!E42*86400*365/((Intermediate!E42-Basicinfo!AA42)*1000000)))</f>
        <v>0</v>
      </c>
      <c r="F42" s="19">
        <f>IF(Basicinfo!AA42=0,0,'Summed emissions'!E42*86400*365/(Basicinfo!AA42*1000000))</f>
        <v>0</v>
      </c>
      <c r="G42" s="19">
        <f>IF(D42=0,1,1/(1+Parameters!$C$138*EXP(Parameters!$C$139*Basicinfo!AQ42)*D42^Parameters!$C$140))</f>
        <v>0.93060446249866446</v>
      </c>
      <c r="H42" s="19">
        <f>IF(D42=0,1,1/(1+Parameters!$C$141*EXP(Parameters!$C$142*Basicinfo!AQ42)*D42^Parameters!$C$143))</f>
        <v>0.88107136214190773</v>
      </c>
      <c r="I42" s="161">
        <f>IF(Intermediate!AS42=0,1,IF(D42=0,1/(1+Parameters!$C$144*Intermediate!AS42^Parameters!$C$145),(1/(1+Parameters!$C$144*Intermediate!AS42^Parameters!$C$145)+1/(1+Parameters!$C$146*D42^Parameters!$C$147))/2))</f>
        <v>0.75121042233904645</v>
      </c>
      <c r="J42" s="19">
        <f>IF(E42=0,1,1/(1+Parameters!$C$138*EXP(Parameters!$C$139*Basicinfo!AQ42)*E42^Parameters!$C$140))</f>
        <v>1</v>
      </c>
      <c r="K42" s="19">
        <f>IF(E42=0,1,1/(1+Parameters!$C$141*EXP(Parameters!$C$142*Basicinfo!AQ42)*E42^Parameters!$C$143))</f>
        <v>1</v>
      </c>
      <c r="L42" s="19">
        <f>IF(E42=0,1,1/(1+Parameters!$C$146*E42^Parameters!$C$147))</f>
        <v>1</v>
      </c>
      <c r="M42" s="53">
        <f>IF(F42=0,1,1/(1+Parameters!$C$138*EXP(Parameters!$C$139*Basicinfo!AQ42)*F42^Parameters!$C$140))</f>
        <v>1</v>
      </c>
      <c r="N42" s="53">
        <f>IF(F42=0,1,1/(1+Parameters!$C$141*EXP(Parameters!$C$142*Basicinfo!AQ42)*F42^Parameters!$C$143))</f>
        <v>1</v>
      </c>
      <c r="O42" s="53">
        <f>IF(F42=0,1,1/(1+Parameters!$C$146*F42^Parameters!$C$147))</f>
        <v>1</v>
      </c>
      <c r="P42" s="64">
        <f>Basicinfo!CE42+Basicinfo!CJ42</f>
        <v>0</v>
      </c>
      <c r="Q42" s="86">
        <f>Parameters!$C$126*Intermediate!BB42*Basicinfo!P42/1000+Parameters!$C$127*Intermediate!BB42*Basicinfo!S42/1000</f>
        <v>4.2470816491910382E-2</v>
      </c>
      <c r="R42" s="48">
        <f>'Local emissions'!AE42-P42-Q42</f>
        <v>225.94635120908185</v>
      </c>
      <c r="S42" s="48">
        <f>Basicinfo!CF42+Basicinfo!CK42</f>
        <v>0</v>
      </c>
      <c r="T42" s="86">
        <f>'Local emissions'!AR42-S42</f>
        <v>12.719050941027106</v>
      </c>
      <c r="U42" s="61">
        <f t="shared" si="20"/>
        <v>210.309153536954</v>
      </c>
      <c r="V42" s="27">
        <f t="shared" si="3"/>
        <v>199.07485943077964</v>
      </c>
      <c r="W42" s="27">
        <f t="shared" si="4"/>
        <v>9.5546836291608184</v>
      </c>
      <c r="X42" s="61">
        <f>U42+TN!CI42</f>
        <v>210.309153536954</v>
      </c>
      <c r="Y42" s="27">
        <f>V42+DIN!CI42</f>
        <v>199.07485943077964</v>
      </c>
      <c r="Z42" s="27">
        <f>W42+TP!CI42</f>
        <v>9.5546836291608184</v>
      </c>
      <c r="AA42" s="73">
        <f>'Summed emissions'!E42</f>
        <v>1.3652264612889702</v>
      </c>
      <c r="AB42" s="131">
        <f>IF(Basicinfo!AR42="","",Basicinfo!AR42)</f>
        <v>303.79268092948502</v>
      </c>
      <c r="AC42" s="131">
        <f>IF(Basicinfo!AS42="","",Basicinfo!AS42)</f>
        <v>276.17516448135001</v>
      </c>
      <c r="AD42" s="131">
        <f>IF(Basicinfo!AT42="","",Basicinfo!AT42)</f>
        <v>3.7533943749310898</v>
      </c>
      <c r="AE42" s="174">
        <f t="shared" si="21"/>
        <v>-30.772146026200673</v>
      </c>
      <c r="AF42" s="19">
        <f t="shared" si="5"/>
        <v>-27.917175389525994</v>
      </c>
      <c r="AG42" s="27">
        <f t="shared" si="6"/>
        <v>154.56114318752441</v>
      </c>
      <c r="AH42" s="56">
        <f>'Local emissions'!AE42-U42</f>
        <v>15.679668488619768</v>
      </c>
      <c r="AI42" s="228">
        <f>'Local emissions'!AR42-W42</f>
        <v>3.1643673118662878</v>
      </c>
      <c r="AJ42" s="43">
        <f t="shared" si="7"/>
        <v>15.67966848861977</v>
      </c>
      <c r="AK42" s="58">
        <f t="shared" si="8"/>
        <v>3.1643673118662878</v>
      </c>
      <c r="AL42" s="43">
        <f>TN!CI131</f>
        <v>0</v>
      </c>
      <c r="AM42" s="43">
        <f>TP!CI131</f>
        <v>0</v>
      </c>
      <c r="AN42" s="42">
        <f>TN!CI220+(AH42-AJ42)</f>
        <v>-1.7763568394002505E-15</v>
      </c>
      <c r="AO42" s="43">
        <f>TP!CI220+(AI42-AK42)</f>
        <v>0</v>
      </c>
      <c r="AP42" s="42">
        <f t="shared" si="9"/>
        <v>15.679668488619768</v>
      </c>
      <c r="AQ42" s="42">
        <f t="shared" si="10"/>
        <v>3.1643673118662878</v>
      </c>
      <c r="AR42" s="42">
        <f>AH42/'Local emissions'!AE42*100</f>
        <v>6.9382495771606782</v>
      </c>
      <c r="AS42" s="42">
        <f>AI42/'Local emissions'!AR42*100</f>
        <v>24.878957766095358</v>
      </c>
      <c r="AT42" s="42">
        <f t="shared" si="22"/>
        <v>6.9382495771606782</v>
      </c>
      <c r="AU42" s="42">
        <f t="shared" si="11"/>
        <v>24.878957766095358</v>
      </c>
      <c r="AV42" s="42">
        <f>('Summed emissions'!AE42-'River loads'!X42)/'Summed emissions'!AE42*100</f>
        <v>6.9382495771606782</v>
      </c>
      <c r="AW42" s="42">
        <f>('Summed emissions'!AR42-'River loads'!Z42)/'Summed emissions'!AR42*100</f>
        <v>24.878957766095358</v>
      </c>
      <c r="AX42" s="61">
        <f>X42/('Summed emissions'!$D42*100)*1000</f>
        <v>16.20250448626399</v>
      </c>
      <c r="AY42" s="19">
        <f>Y42/('Summed emissions'!$D42*100)*1000</f>
        <v>15.336999121452013</v>
      </c>
      <c r="AZ42" s="72">
        <f>Z42/('Summed emissions'!$D42*100)*1000</f>
        <v>0.73610587919136483</v>
      </c>
      <c r="BA42" s="43">
        <f>IF(AB42="","",AB42/('Summed emissions'!$D42*100)*1000)</f>
        <v>23.404603141960969</v>
      </c>
      <c r="BB42" s="43">
        <f>IF(AC42="","",AC42/('Summed emissions'!$D42*100)*1000)</f>
        <v>21.276911947237245</v>
      </c>
      <c r="BC42" s="43">
        <f>IF(AD42="","",AD42/('Summed emissions'!$D42*100)*1000)</f>
        <v>0.28916663005756021</v>
      </c>
      <c r="BF42" s="188">
        <f>('Summed emissions'!AE42-'River loads'!Y42)/'Summed emissions'!AE42*100</f>
        <v>11.909422047320747</v>
      </c>
      <c r="BG42" s="188">
        <f>('Summed emissions'!AR42-'River loads'!Z42)/'Summed emissions'!AR42*100</f>
        <v>24.878957766095358</v>
      </c>
      <c r="BH42" s="181">
        <f>'Summed emissions'!CV42*(100-'River loads'!BG42)/100</f>
        <v>6.2412692770452507</v>
      </c>
      <c r="BI42" s="181">
        <f t="shared" si="12"/>
        <v>4.7433646505543905</v>
      </c>
      <c r="BJ42" s="233"/>
      <c r="BK42" s="233">
        <f>Basicinfo!CQ42</f>
        <v>1.70846241824733</v>
      </c>
      <c r="BM42" s="31">
        <f t="shared" si="25"/>
        <v>0.11017300838881498</v>
      </c>
      <c r="BN42" s="31">
        <f>BK42*1000000/24/3600/365/$AA42</f>
        <v>3.9682052341377311E-2</v>
      </c>
      <c r="BO42" s="231">
        <v>3.2386138613861401E-2</v>
      </c>
      <c r="BP42" s="31">
        <f>BM42/Parameters!$C$156</f>
        <v>0.16949693598279228</v>
      </c>
      <c r="BQ42" s="305">
        <v>6.4000000000000001E-2</v>
      </c>
      <c r="BR42" s="237">
        <f>Basicinfo!CW42</f>
        <v>0.05</v>
      </c>
      <c r="BS42" s="237">
        <f t="shared" si="13"/>
        <v>3.3899387196558455</v>
      </c>
      <c r="BT42" s="237">
        <f t="shared" si="26"/>
        <v>1.28</v>
      </c>
      <c r="BU42" s="31">
        <f t="shared" si="31"/>
        <v>0.22192437587630451</v>
      </c>
      <c r="BV42" s="232">
        <v>7.9178217821782207E-2</v>
      </c>
      <c r="BW42" s="31">
        <f t="shared" si="32"/>
        <v>4.6238646559686334</v>
      </c>
      <c r="BX42" s="31">
        <v>6.4264336633663302</v>
      </c>
      <c r="BY42" s="231">
        <f t="shared" si="1"/>
        <v>7.2901182795698931</v>
      </c>
      <c r="BZ42" s="147">
        <f t="shared" si="16"/>
        <v>6.2484657513089639</v>
      </c>
      <c r="CA42" s="305">
        <v>7.18</v>
      </c>
      <c r="CB42" s="231">
        <f>Basicinfo!CV42</f>
        <v>4</v>
      </c>
      <c r="CC42" s="147">
        <f t="shared" si="17"/>
        <v>1.562116437827241</v>
      </c>
      <c r="CD42" s="147"/>
      <c r="CE42" s="233">
        <f>'Local emissions'!FC42/14*62</f>
        <v>39.683333333333323</v>
      </c>
      <c r="CF42" s="233">
        <f>'Local emissions'!FD42/14*62</f>
        <v>28.350656635335611</v>
      </c>
      <c r="CH42">
        <f t="shared" si="18"/>
        <v>2</v>
      </c>
      <c r="CI42">
        <f t="shared" si="19"/>
        <v>2</v>
      </c>
      <c r="CK42" s="276">
        <f>Basicinfo!EM42</f>
        <v>1</v>
      </c>
      <c r="CL42" s="276">
        <f>Basicinfo!EN42</f>
        <v>1</v>
      </c>
      <c r="CM42">
        <f t="shared" si="23"/>
        <v>1</v>
      </c>
      <c r="CN42">
        <f t="shared" si="24"/>
        <v>1</v>
      </c>
      <c r="CO42" s="31">
        <f t="shared" si="27"/>
        <v>3.9682052341377311E-2</v>
      </c>
      <c r="CP42" s="270">
        <f>Basicinfo!DC42</f>
        <v>3.4268817204301055E-2</v>
      </c>
      <c r="CQ42" s="270">
        <f>Basicinfo!DD42</f>
        <v>5.3799999999999994E-2</v>
      </c>
      <c r="CR42" s="233"/>
      <c r="CS42" s="236">
        <f>Basicinfo!DK42</f>
        <v>7.2901182795698931</v>
      </c>
      <c r="CT42" s="236">
        <f>Basicinfo!DL42</f>
        <v>8.4029999999999987</v>
      </c>
      <c r="CU42" s="147">
        <f>'Summed emissions'!D42</f>
        <v>129.80039827499999</v>
      </c>
      <c r="CV42" s="188">
        <f t="shared" si="29"/>
        <v>-36.573530378420209</v>
      </c>
      <c r="CW42" s="188">
        <f t="shared" si="30"/>
        <v>221.49638469280828</v>
      </c>
      <c r="CX42" s="188"/>
      <c r="CY42" s="181">
        <f>CT42</f>
        <v>8.4029999999999987</v>
      </c>
      <c r="DD42" s="232">
        <f>CQ42</f>
        <v>5.3799999999999994E-2</v>
      </c>
      <c r="DI42" s="31">
        <f>DJ42</f>
        <v>6.6505376344086042E-2</v>
      </c>
      <c r="DJ42" s="233">
        <f>Basicinfo!DA42</f>
        <v>6.6505376344086042E-2</v>
      </c>
      <c r="DK42" s="233">
        <f>Basicinfo!DB42</f>
        <v>8.9599999999999985E-2</v>
      </c>
      <c r="DL42" s="31">
        <f>DI42</f>
        <v>6.6505376344086042E-2</v>
      </c>
      <c r="DR42" s="236">
        <f t="shared" si="2"/>
        <v>39.683333333333323</v>
      </c>
      <c r="DS42" s="236">
        <f t="shared" si="0"/>
        <v>28.350656635335611</v>
      </c>
      <c r="DT42" s="181">
        <f>DR42</f>
        <v>39.683333333333323</v>
      </c>
      <c r="DY42" s="31">
        <f>Basicinfo!EI42</f>
        <v>3.3872144561403507E-2</v>
      </c>
      <c r="DZ42" s="31">
        <f>Intermediate!CR42</f>
        <v>3.3872144561403507E-2</v>
      </c>
      <c r="EA42" s="31">
        <f>DY42</f>
        <v>3.3872144561403507E-2</v>
      </c>
    </row>
    <row r="43" spans="1:135">
      <c r="A43" s="39" t="str">
        <f>Basicinfo!A43</f>
        <v>Kristeinerbach</v>
      </c>
      <c r="B43" s="63">
        <f>Basicinfo!B43</f>
        <v>1350</v>
      </c>
      <c r="C43" s="63">
        <f>Basicinfo!C43</f>
        <v>5010</v>
      </c>
      <c r="D43" s="61">
        <f>IF(Intermediate!D43=0,0,Basicinfo!AP43*86400*365/(Intermediate!D43*1000000))</f>
        <v>48.602227273408296</v>
      </c>
      <c r="E43" s="19">
        <f>IF(Intermediate!E43=0,0,IF((Intermediate!E43-Basicinfo!AA43)&lt;0,0,'Summed emissions'!E43*86400*365/((Intermediate!E43-Basicinfo!AA43)*1000000)))</f>
        <v>0</v>
      </c>
      <c r="F43" s="19">
        <f>IF(Basicinfo!AA43=0,0,'Summed emissions'!E43*86400*365/(Basicinfo!AA43*1000000))</f>
        <v>0</v>
      </c>
      <c r="G43" s="19">
        <f>IF(D43=0,1,1/(1+Parameters!$C$138*EXP(Parameters!$C$139*Basicinfo!AQ43)*D43^Parameters!$C$140))</f>
        <v>0.83469499984018691</v>
      </c>
      <c r="H43" s="19">
        <f>IF(D43=0,1,1/(1+Parameters!$C$141*EXP(Parameters!$C$142*Basicinfo!AQ43)*D43^Parameters!$C$143))</f>
        <v>0.7361158552741266</v>
      </c>
      <c r="I43" s="161">
        <f>IF(Intermediate!AS43=0,1,IF(D43=0,1/(1+Parameters!$C$144*Intermediate!AS43^Parameters!$C$145),(1/(1+Parameters!$C$144*Intermediate!AS43^Parameters!$C$145)+1/(1+Parameters!$C$146*D43^Parameters!$C$147))/2))</f>
        <v>0.66835486095516083</v>
      </c>
      <c r="J43" s="19">
        <f>IF(E43=0,1,1/(1+Parameters!$C$138*EXP(Parameters!$C$139*Basicinfo!AQ43)*E43^Parameters!$C$140))</f>
        <v>1</v>
      </c>
      <c r="K43" s="19">
        <f>IF(E43=0,1,1/(1+Parameters!$C$141*EXP(Parameters!$C$142*Basicinfo!AQ43)*E43^Parameters!$C$143))</f>
        <v>1</v>
      </c>
      <c r="L43" s="19">
        <f>IF(E43=0,1,1/(1+Parameters!$C$146*E43^Parameters!$C$147))</f>
        <v>1</v>
      </c>
      <c r="M43" s="53">
        <f>IF(F43=0,1,1/(1+Parameters!$C$138*EXP(Parameters!$C$139*Basicinfo!AQ43)*F43^Parameters!$C$140))</f>
        <v>1</v>
      </c>
      <c r="N43" s="53">
        <f>IF(F43=0,1,1/(1+Parameters!$C$141*EXP(Parameters!$C$142*Basicinfo!AQ43)*F43^Parameters!$C$143))</f>
        <v>1</v>
      </c>
      <c r="O43" s="53">
        <f>IF(F43=0,1,1/(1+Parameters!$C$146*F43^Parameters!$C$147))</f>
        <v>1</v>
      </c>
      <c r="P43" s="64">
        <f>Basicinfo!CE43+Basicinfo!CJ43</f>
        <v>0</v>
      </c>
      <c r="Q43" s="86">
        <f>Parameters!$C$126*Intermediate!BB43*Basicinfo!P43/1000+Parameters!$C$127*Intermediate!BB43*Basicinfo!S43/1000</f>
        <v>1.1895748875699542E-2</v>
      </c>
      <c r="R43" s="48">
        <f>'Local emissions'!AE43-P43-Q43</f>
        <v>224.51597928742285</v>
      </c>
      <c r="S43" s="48">
        <f>Basicinfo!CF43+Basicinfo!CK43</f>
        <v>0</v>
      </c>
      <c r="T43" s="86">
        <f>'Local emissions'!AR43-S43</f>
        <v>13.04572137346149</v>
      </c>
      <c r="U43" s="61">
        <f t="shared" si="20"/>
        <v>187.41426104431054</v>
      </c>
      <c r="V43" s="27">
        <f t="shared" si="3"/>
        <v>165.26977211586936</v>
      </c>
      <c r="W43" s="27">
        <f t="shared" si="4"/>
        <v>8.719171294619624</v>
      </c>
      <c r="X43" s="61">
        <f>U43+TN!CI43</f>
        <v>187.41426104431054</v>
      </c>
      <c r="Y43" s="27">
        <f>V43+DIN!CI43</f>
        <v>165.26977211586936</v>
      </c>
      <c r="Z43" s="27">
        <f>W43+TP!CI43</f>
        <v>8.719171294619624</v>
      </c>
      <c r="AA43" s="73">
        <f>'Summed emissions'!E43</f>
        <v>1.4776424272465598</v>
      </c>
      <c r="AB43" s="131" t="str">
        <f>IF(Basicinfo!AR43="","",Basicinfo!AR43)</f>
        <v/>
      </c>
      <c r="AC43" s="131" t="str">
        <f>IF(Basicinfo!AS43="","",Basicinfo!AS43)</f>
        <v/>
      </c>
      <c r="AD43" s="131" t="str">
        <f>IF(Basicinfo!AT43="","",Basicinfo!AT43)</f>
        <v/>
      </c>
      <c r="AE43" s="174" t="str">
        <f t="shared" si="21"/>
        <v/>
      </c>
      <c r="AF43" s="19" t="str">
        <f t="shared" si="5"/>
        <v/>
      </c>
      <c r="AG43" s="27" t="str">
        <f t="shared" si="6"/>
        <v/>
      </c>
      <c r="AH43" s="56">
        <f>'Local emissions'!AE43-U43</f>
        <v>37.113613991988018</v>
      </c>
      <c r="AI43" s="228">
        <f>'Local emissions'!AR43-W43</f>
        <v>4.3265500788418656</v>
      </c>
      <c r="AJ43" s="43">
        <f t="shared" si="7"/>
        <v>37.113613991988025</v>
      </c>
      <c r="AK43" s="58">
        <f t="shared" si="8"/>
        <v>4.3265500788418656</v>
      </c>
      <c r="AL43" s="43">
        <f>TN!CI132</f>
        <v>0</v>
      </c>
      <c r="AM43" s="43">
        <f>TP!CI132</f>
        <v>0</v>
      </c>
      <c r="AN43" s="42">
        <f>TN!CI221+(AH43-AJ43)</f>
        <v>-7.1054273576010019E-15</v>
      </c>
      <c r="AO43" s="43">
        <f>TP!CI221+(AI43-AK43)</f>
        <v>0</v>
      </c>
      <c r="AP43" s="42">
        <f t="shared" si="9"/>
        <v>37.113613991988018</v>
      </c>
      <c r="AQ43" s="42">
        <f t="shared" si="10"/>
        <v>4.3265500788418656</v>
      </c>
      <c r="AR43" s="42">
        <f>AH43/'Local emissions'!AE43*100</f>
        <v>16.529624210796989</v>
      </c>
      <c r="AS43" s="42">
        <f>AI43/'Local emissions'!AR43*100</f>
        <v>33.164513904483918</v>
      </c>
      <c r="AT43" s="42">
        <f t="shared" si="22"/>
        <v>16.529624210796989</v>
      </c>
      <c r="AU43" s="42">
        <f t="shared" si="11"/>
        <v>33.164513904483918</v>
      </c>
      <c r="AV43" s="42">
        <f>('Summed emissions'!AE43-'River loads'!X43)/'Summed emissions'!AE43*100</f>
        <v>16.529624210796989</v>
      </c>
      <c r="AW43" s="42">
        <f>('Summed emissions'!AR43-'River loads'!Z43)/'Summed emissions'!AR43*100</f>
        <v>33.164513904483918</v>
      </c>
      <c r="AX43" s="61">
        <f>X43/('Summed emissions'!$D43*100)*1000</f>
        <v>13.851442907011753</v>
      </c>
      <c r="AY43" s="19">
        <f>Y43/('Summed emissions'!$D43*100)*1000</f>
        <v>12.214784509790126</v>
      </c>
      <c r="AZ43" s="72">
        <f>Z43/('Summed emissions'!$D43*100)*1000</f>
        <v>0.64441789387268111</v>
      </c>
      <c r="BA43" s="43" t="str">
        <f>IF(AB43="","",AB43/('Summed emissions'!$D43*100)*1000)</f>
        <v/>
      </c>
      <c r="BB43" s="43" t="str">
        <f>IF(AC43="","",AC43/('Summed emissions'!$D43*100)*1000)</f>
        <v/>
      </c>
      <c r="BC43" s="43" t="str">
        <f>IF(AD43="","",AD43/('Summed emissions'!$D43*100)*1000)</f>
        <v/>
      </c>
      <c r="BF43" s="188">
        <f>('Summed emissions'!AE43-'River loads'!Y43)/'Summed emissions'!AE43*100</f>
        <v>26.392314500303875</v>
      </c>
      <c r="BG43" s="188">
        <f>('Summed emissions'!AR43-'River loads'!Z43)/'Summed emissions'!AR43*100</f>
        <v>33.164513904483918</v>
      </c>
      <c r="BH43" s="181">
        <f>'Summed emissions'!CV43*(100-'River loads'!BG43)/100</f>
        <v>5.8202578981974815</v>
      </c>
      <c r="BI43" s="181">
        <f t="shared" si="12"/>
        <v>4.4233960026300858</v>
      </c>
      <c r="BJ43" s="233"/>
      <c r="BK43" s="233"/>
      <c r="BM43" s="31">
        <f t="shared" si="25"/>
        <v>9.492483737529496E-2</v>
      </c>
      <c r="BN43" s="31"/>
      <c r="BO43" s="231"/>
      <c r="BP43" s="31">
        <f>BM43/Parameters!$C$156</f>
        <v>0.14603821134660763</v>
      </c>
      <c r="BQ43" s="305" t="s">
        <v>934</v>
      </c>
      <c r="BR43" s="237">
        <f>Basicinfo!CW43</f>
        <v>0.05</v>
      </c>
      <c r="BS43" s="237">
        <f t="shared" si="13"/>
        <v>2.9207642269321523</v>
      </c>
      <c r="BT43" s="237"/>
      <c r="BU43" s="31">
        <f t="shared" si="31"/>
        <v>0.18711097010011987</v>
      </c>
      <c r="BV43" s="232"/>
      <c r="BW43" s="31">
        <f t="shared" si="32"/>
        <v>3.5466429484999717</v>
      </c>
      <c r="BX43" s="31"/>
      <c r="BY43" s="231">
        <f t="shared" si="1"/>
        <v>5.9</v>
      </c>
      <c r="BZ43" s="147">
        <f t="shared" si="16"/>
        <v>4.7927607412161777</v>
      </c>
      <c r="CA43" s="305"/>
      <c r="CB43" s="231">
        <f>Basicinfo!CV43</f>
        <v>4</v>
      </c>
      <c r="CC43" s="147">
        <f t="shared" si="17"/>
        <v>1.1981901853040444</v>
      </c>
      <c r="CD43" s="147"/>
      <c r="CE43" s="233">
        <f>'Local emissions'!FC43/14*62</f>
        <v>35.078421052631576</v>
      </c>
      <c r="CF43" s="233">
        <f>'Local emissions'!FD43/14*62</f>
        <v>25.684590350167035</v>
      </c>
      <c r="CH43">
        <f t="shared" si="18"/>
        <v>2</v>
      </c>
      <c r="CI43">
        <f t="shared" si="19"/>
        <v>1</v>
      </c>
      <c r="CK43" s="276">
        <f>Basicinfo!EM43</f>
        <v>1</v>
      </c>
      <c r="CL43" s="276">
        <f>Basicinfo!EN43</f>
        <v>1</v>
      </c>
      <c r="CM43">
        <f t="shared" si="23"/>
        <v>2</v>
      </c>
      <c r="CN43">
        <f t="shared" si="24"/>
        <v>0</v>
      </c>
      <c r="CO43" s="31"/>
      <c r="CP43" s="270">
        <f>Basicinfo!DC43</f>
        <v>0.05</v>
      </c>
      <c r="CQ43" s="270">
        <f>Basicinfo!DD43</f>
        <v>0.08</v>
      </c>
      <c r="CR43" s="236"/>
      <c r="CS43" s="236">
        <f>Basicinfo!DK43</f>
        <v>5.9</v>
      </c>
      <c r="CT43" s="236">
        <f>Basicinfo!DL43</f>
        <v>7</v>
      </c>
      <c r="CU43" s="147">
        <f>'Summed emissions'!D43</f>
        <v>135.30305997900001</v>
      </c>
      <c r="CV43" s="188">
        <f>(BW43-CS43)/CS43*100</f>
        <v>-39.887407652542855</v>
      </c>
      <c r="CW43" s="188">
        <f>(BM43-CP43)/CP43*100</f>
        <v>89.849674750589912</v>
      </c>
      <c r="CX43" s="188"/>
      <c r="CY43" s="181">
        <f>CT43</f>
        <v>7</v>
      </c>
      <c r="DD43" s="232">
        <f>CQ43</f>
        <v>0.08</v>
      </c>
      <c r="DI43" s="31">
        <f>DJ43</f>
        <v>0.08</v>
      </c>
      <c r="DJ43" s="233">
        <f>Basicinfo!DA43</f>
        <v>0.08</v>
      </c>
      <c r="DK43" s="233">
        <f>Basicinfo!DB43</f>
        <v>0.15</v>
      </c>
      <c r="DL43" s="31">
        <f>DI43</f>
        <v>0.08</v>
      </c>
      <c r="DR43" s="236">
        <f t="shared" si="2"/>
        <v>35.078421052631576</v>
      </c>
      <c r="DS43" s="236">
        <f t="shared" si="0"/>
        <v>25.684590350167035</v>
      </c>
      <c r="DT43" s="181">
        <f>DR43</f>
        <v>35.078421052631576</v>
      </c>
      <c r="DY43" s="31">
        <f>Basicinfo!EI43</f>
        <v>4.0478322991689748E-2</v>
      </c>
      <c r="DZ43" s="31">
        <f>Intermediate!CR43</f>
        <v>4.0478322991689748E-2</v>
      </c>
      <c r="EA43" s="31">
        <f>DY43</f>
        <v>4.0478322991689748E-2</v>
      </c>
    </row>
    <row r="44" spans="1:135">
      <c r="A44" s="39" t="str">
        <f>Basicinfo!A44</f>
        <v>Kleine Gusen</v>
      </c>
      <c r="B44" s="63">
        <f>Basicinfo!B44</f>
        <v>1360</v>
      </c>
      <c r="C44" s="63">
        <f>Basicinfo!C44</f>
        <v>1370</v>
      </c>
      <c r="D44" s="61">
        <f>IF(Intermediate!D44=0,0,Basicinfo!AP44*86400*365/(Intermediate!D44*1000000))</f>
        <v>93.433984841385481</v>
      </c>
      <c r="E44" s="19">
        <f>IF(Intermediate!E44=0,0,IF((Intermediate!E44-Basicinfo!AA44)&lt;0,0,'Summed emissions'!E44*86400*365/((Intermediate!E44-Basicinfo!AA44)*1000000)))</f>
        <v>0</v>
      </c>
      <c r="F44" s="19">
        <f>IF(Basicinfo!AA44=0,0,'Summed emissions'!E44*86400*365/(Basicinfo!AA44*1000000))</f>
        <v>0</v>
      </c>
      <c r="G44" s="19">
        <f>IF(D44=0,1,1/(1+Parameters!$C$138*EXP(Parameters!$C$139*Basicinfo!AQ44)*D44^Parameters!$C$140))</f>
        <v>0.91337809565372319</v>
      </c>
      <c r="H44" s="19">
        <f>IF(D44=0,1,1/(1+Parameters!$C$141*EXP(Parameters!$C$142*Basicinfo!AQ44)*D44^Parameters!$C$143))</f>
        <v>0.85348503324503056</v>
      </c>
      <c r="I44" s="161">
        <f>IF(Intermediate!AS44=0,1,IF(D44=0,1/(1+Parameters!$C$144*Intermediate!AS44^Parameters!$C$145),(1/(1+Parameters!$C$144*Intermediate!AS44^Parameters!$C$145)+1/(1+Parameters!$C$146*D44^Parameters!$C$147))/2))</f>
        <v>0.70099617740555376</v>
      </c>
      <c r="J44" s="19">
        <f>IF(E44=0,1,1/(1+Parameters!$C$138*EXP(Parameters!$C$139*Basicinfo!AQ44)*E44^Parameters!$C$140))</f>
        <v>1</v>
      </c>
      <c r="K44" s="19">
        <f>IF(E44=0,1,1/(1+Parameters!$C$141*EXP(Parameters!$C$142*Basicinfo!AQ44)*E44^Parameters!$C$143))</f>
        <v>1</v>
      </c>
      <c r="L44" s="19">
        <f>IF(E44=0,1,1/(1+Parameters!$C$146*E44^Parameters!$C$147))</f>
        <v>1</v>
      </c>
      <c r="M44" s="53">
        <f>IF(F44=0,1,1/(1+Parameters!$C$138*EXP(Parameters!$C$139*Basicinfo!AQ44)*F44^Parameters!$C$140))</f>
        <v>1</v>
      </c>
      <c r="N44" s="53">
        <f>IF(F44=0,1,1/(1+Parameters!$C$141*EXP(Parameters!$C$142*Basicinfo!AQ44)*F44^Parameters!$C$143))</f>
        <v>1</v>
      </c>
      <c r="O44" s="53">
        <f>IF(F44=0,1,1/(1+Parameters!$C$146*F44^Parameters!$C$147))</f>
        <v>1</v>
      </c>
      <c r="P44" s="64">
        <f>Basicinfo!CE44+Basicinfo!CJ44</f>
        <v>0</v>
      </c>
      <c r="Q44" s="86">
        <f>Parameters!$C$126*Intermediate!BB44*Basicinfo!P44/1000+Parameters!$C$127*Intermediate!BB44*Basicinfo!S44/1000</f>
        <v>6.4546271977883448E-4</v>
      </c>
      <c r="R44" s="48">
        <f>'Local emissions'!AE44-P44-Q44</f>
        <v>104.08733036986776</v>
      </c>
      <c r="S44" s="48">
        <f>Basicinfo!CF44+Basicinfo!CK44</f>
        <v>0</v>
      </c>
      <c r="T44" s="86">
        <f>'Local emissions'!AR44-S44</f>
        <v>5.3910658704717154</v>
      </c>
      <c r="U44" s="61">
        <f t="shared" si="20"/>
        <v>95.07173305762953</v>
      </c>
      <c r="V44" s="27">
        <f t="shared" si="3"/>
        <v>88.836978621113062</v>
      </c>
      <c r="W44" s="27">
        <f t="shared" si="4"/>
        <v>3.7791165673422165</v>
      </c>
      <c r="X44" s="61">
        <f>U44+TN!CI44</f>
        <v>95.07173305762953</v>
      </c>
      <c r="Y44" s="27">
        <f>V44+DIN!CI44</f>
        <v>88.836978621113062</v>
      </c>
      <c r="Z44" s="27">
        <f>W44+TP!CI44</f>
        <v>3.7791165673422165</v>
      </c>
      <c r="AA44" s="73">
        <f>'Summed emissions'!E44</f>
        <v>0.93456274867830103</v>
      </c>
      <c r="AB44" s="131">
        <f>IF(Basicinfo!AR44="","",Basicinfo!AR44)</f>
        <v>145.59089000369539</v>
      </c>
      <c r="AC44" s="131">
        <f>IF(Basicinfo!AS44="","",Basicinfo!AS44)</f>
        <v>132.35535454881401</v>
      </c>
      <c r="AD44" s="131">
        <f>IF(Basicinfo!AT44="","",Basicinfo!AT44)</f>
        <v>5.0154429547396804</v>
      </c>
      <c r="AE44" s="174">
        <f t="shared" si="21"/>
        <v>-34.699394271704492</v>
      </c>
      <c r="AF44" s="19">
        <f t="shared" si="5"/>
        <v>-32.87995115577354</v>
      </c>
      <c r="AG44" s="27">
        <f t="shared" si="6"/>
        <v>-24.650392767983021</v>
      </c>
      <c r="AH44" s="56">
        <f>'Local emissions'!AE44-U44</f>
        <v>9.0162427749580019</v>
      </c>
      <c r="AI44" s="228">
        <f>'Local emissions'!AR44-W44</f>
        <v>1.6119493031294989</v>
      </c>
      <c r="AJ44" s="43">
        <f t="shared" si="7"/>
        <v>9.0162427749579983</v>
      </c>
      <c r="AK44" s="58">
        <f t="shared" si="8"/>
        <v>1.6119493031294987</v>
      </c>
      <c r="AL44" s="43">
        <f>TN!CI133</f>
        <v>0</v>
      </c>
      <c r="AM44" s="43">
        <f>TP!CI133</f>
        <v>0</v>
      </c>
      <c r="AN44" s="42">
        <f>TN!CI222+(AH44-AJ44)</f>
        <v>3.5527136788005009E-15</v>
      </c>
      <c r="AO44" s="43">
        <f>TP!CI222+(AI44-AK44)</f>
        <v>2.2204460492503131E-16</v>
      </c>
      <c r="AP44" s="42">
        <f t="shared" si="9"/>
        <v>9.0162427749580019</v>
      </c>
      <c r="AQ44" s="42">
        <f t="shared" si="10"/>
        <v>1.6119493031294989</v>
      </c>
      <c r="AR44" s="42">
        <f>AH44/'Local emissions'!AE44*100</f>
        <v>8.6621367192878242</v>
      </c>
      <c r="AS44" s="42">
        <f>AI44/'Local emissions'!AR44*100</f>
        <v>29.90038225944463</v>
      </c>
      <c r="AT44" s="42">
        <f t="shared" si="22"/>
        <v>8.6621367192878242</v>
      </c>
      <c r="AU44" s="42">
        <f t="shared" si="11"/>
        <v>29.90038225944463</v>
      </c>
      <c r="AV44" s="42">
        <f>('Summed emissions'!AE44-'River loads'!X44)/'Summed emissions'!AE44*100</f>
        <v>8.6621367192878242</v>
      </c>
      <c r="AW44" s="42">
        <f>('Summed emissions'!AR44-'River loads'!Z44)/'Summed emissions'!AR44*100</f>
        <v>29.90038225944463</v>
      </c>
      <c r="AX44" s="61">
        <f>X44/('Summed emissions'!$D44*100)*1000</f>
        <v>8.4788313970524332</v>
      </c>
      <c r="AY44" s="19">
        <f>Y44/('Summed emissions'!$D44*100)*1000</f>
        <v>7.9227940769248661</v>
      </c>
      <c r="AZ44" s="72">
        <f>Z44/('Summed emissions'!$D44*100)*1000</f>
        <v>0.33703490168711914</v>
      </c>
      <c r="BA44" s="43">
        <f>IF(AB44="","",AB44/('Summed emissions'!$D44*100)*1000)</f>
        <v>12.984307423320665</v>
      </c>
      <c r="BB44" s="43">
        <f>IF(AC44="","",AC44/('Summed emissions'!$D44*100)*1000)</f>
        <v>11.803915839382425</v>
      </c>
      <c r="BC44" s="43">
        <f>IF(AD44="","",AD44/('Summed emissions'!$D44*100)*1000)</f>
        <v>0.44729483545855675</v>
      </c>
      <c r="BF44" s="188">
        <f>('Summed emissions'!AE44-'River loads'!Y44)/'Summed emissions'!AE44*100</f>
        <v>14.65202593237454</v>
      </c>
      <c r="BG44" s="188">
        <f>('Summed emissions'!AR44-'River loads'!Z44)/'Summed emissions'!AR44*100</f>
        <v>29.90038225944463</v>
      </c>
      <c r="BH44" s="181">
        <f>'Summed emissions'!CV44*(100-'River loads'!BG44)/100</f>
        <v>3.0393474894966448</v>
      </c>
      <c r="BI44" s="181">
        <f t="shared" si="12"/>
        <v>2.3099040920174501</v>
      </c>
      <c r="BJ44" s="233"/>
      <c r="BK44" s="233">
        <f>Basicinfo!CQ44</f>
        <v>2.24617849942172</v>
      </c>
      <c r="BM44" s="31">
        <f t="shared" si="25"/>
        <v>7.837523843520236E-2</v>
      </c>
      <c r="BN44" s="31">
        <f>BK44*1000000/24/3600/365/$AA44</f>
        <v>7.6213023765175636E-2</v>
      </c>
      <c r="BO44" s="231">
        <v>8.6378217821782205E-2</v>
      </c>
      <c r="BP44" s="31">
        <f>BM44/Parameters!$C$156</f>
        <v>0.12057728990031132</v>
      </c>
      <c r="BQ44" s="305">
        <v>0.14000000000000001</v>
      </c>
      <c r="BR44" s="237">
        <f>Basicinfo!CW44</f>
        <v>0.1</v>
      </c>
      <c r="BS44" s="237">
        <f t="shared" si="13"/>
        <v>1.2057728990031131</v>
      </c>
      <c r="BT44" s="237">
        <f t="shared" si="26"/>
        <v>1.4000000000000001</v>
      </c>
      <c r="BU44" s="31">
        <f t="shared" si="31"/>
        <v>0.12822574022161268</v>
      </c>
      <c r="BV44" s="232">
        <v>0.15695049504950501</v>
      </c>
      <c r="BW44" s="31">
        <f t="shared" si="32"/>
        <v>3.0142460915819331</v>
      </c>
      <c r="BX44" s="31">
        <v>3.7739623762376202</v>
      </c>
      <c r="BY44" s="231">
        <f t="shared" si="1"/>
        <v>3.7588350515463924</v>
      </c>
      <c r="BZ44" s="147">
        <f t="shared" si="16"/>
        <v>4.0733055291647746</v>
      </c>
      <c r="CA44" s="305">
        <v>5.23</v>
      </c>
      <c r="CB44" s="231">
        <f>Basicinfo!CV44</f>
        <v>5.5</v>
      </c>
      <c r="CC44" s="147">
        <f t="shared" si="17"/>
        <v>0.74060100530268624</v>
      </c>
      <c r="CD44" s="147"/>
      <c r="CE44" s="233"/>
      <c r="CF44" s="233">
        <f>'Local emissions'!FD44/14*62</f>
        <v>21.422363501391924</v>
      </c>
      <c r="CH44">
        <f t="shared" si="18"/>
        <v>1</v>
      </c>
      <c r="CI44">
        <f t="shared" si="19"/>
        <v>0</v>
      </c>
      <c r="CK44" s="276">
        <f>Basicinfo!EM44</f>
        <v>1</v>
      </c>
      <c r="CL44" s="276">
        <f>Basicinfo!EN44</f>
        <v>0</v>
      </c>
      <c r="CM44">
        <f t="shared" si="23"/>
        <v>1</v>
      </c>
      <c r="CN44">
        <f t="shared" si="24"/>
        <v>0</v>
      </c>
      <c r="CO44" s="31">
        <f t="shared" si="27"/>
        <v>7.6213023765175636E-2</v>
      </c>
      <c r="CP44" s="270">
        <f>Basicinfo!DC44</f>
        <v>0.10210309278350517</v>
      </c>
      <c r="CQ44" s="270">
        <f>Basicinfo!DD44</f>
        <v>0.18400000000000005</v>
      </c>
      <c r="CR44" s="236">
        <f t="shared" si="28"/>
        <v>3.7739623762376202</v>
      </c>
      <c r="CS44" s="236">
        <f>Basicinfo!DK44</f>
        <v>3.7588350515463924</v>
      </c>
      <c r="CT44" s="236">
        <f>Basicinfo!DL44</f>
        <v>5.1710000000000029</v>
      </c>
      <c r="CU44" s="147">
        <f>'Summed emissions'!D44</f>
        <v>112.128344822</v>
      </c>
      <c r="CV44" s="188">
        <f t="shared" si="29"/>
        <v>-19.809035239738275</v>
      </c>
      <c r="CW44" s="188">
        <f t="shared" si="30"/>
        <v>-23.239114214311108</v>
      </c>
      <c r="CX44" s="188"/>
      <c r="CY44" s="188"/>
      <c r="DC44" s="232">
        <f>CT44</f>
        <v>5.1710000000000029</v>
      </c>
      <c r="DH44" s="232">
        <f>CQ44</f>
        <v>0.18400000000000005</v>
      </c>
      <c r="DI44" s="31" t="e">
        <f>#REF!</f>
        <v>#REF!</v>
      </c>
      <c r="DJ44" s="233">
        <f>Basicinfo!DA44</f>
        <v>0.1535876288659794</v>
      </c>
      <c r="DK44" s="233">
        <f>Basicinfo!DB44</f>
        <v>0.26400000000000007</v>
      </c>
      <c r="DP44" s="31" t="e">
        <f>DI44</f>
        <v>#REF!</v>
      </c>
      <c r="DR44" s="236"/>
      <c r="DS44" s="236">
        <f t="shared" si="0"/>
        <v>21.422363501391924</v>
      </c>
      <c r="DY44" s="31"/>
      <c r="DZ44" s="31">
        <f>Intermediate!CR44</f>
        <v>0.11433322495043016</v>
      </c>
    </row>
    <row r="45" spans="1:135">
      <c r="A45" s="39" t="str">
        <f>Basicinfo!A45</f>
        <v>Große Gusen</v>
      </c>
      <c r="B45" s="63">
        <f>Basicinfo!B45</f>
        <v>1370</v>
      </c>
      <c r="C45" s="63">
        <f>Basicinfo!C45</f>
        <v>1380</v>
      </c>
      <c r="D45" s="61">
        <f>IF(Intermediate!D45=0,0,Basicinfo!AP45*86400*365/(Intermediate!D45*1000000))</f>
        <v>80.421430788195877</v>
      </c>
      <c r="E45" s="19">
        <f>IF(Intermediate!E45=0,0,IF((Intermediate!E45-Basicinfo!AA45)&lt;0,0,'Summed emissions'!E45*86400*365/((Intermediate!E45-Basicinfo!AA45)*1000000)))</f>
        <v>0</v>
      </c>
      <c r="F45" s="19">
        <f>IF(Basicinfo!AA45=0,0,'Summed emissions'!E45*86400*365/(Basicinfo!AA45*1000000))</f>
        <v>0</v>
      </c>
      <c r="G45" s="19">
        <f>IF(D45=0,1,1/(1+Parameters!$C$138*EXP(Parameters!$C$139*Basicinfo!AQ45)*D45^Parameters!$C$140))</f>
        <v>0.89903827854215324</v>
      </c>
      <c r="H45" s="19">
        <f>IF(D45=0,1,1/(1+Parameters!$C$141*EXP(Parameters!$C$142*Basicinfo!AQ45)*D45^Parameters!$C$143))</f>
        <v>0.83106407338510579</v>
      </c>
      <c r="I45" s="161">
        <f>IF(Intermediate!AS45=0,1,IF(D45=0,1/(1+Parameters!$C$144*Intermediate!AS45^Parameters!$C$145),(1/(1+Parameters!$C$144*Intermediate!AS45^Parameters!$C$145)+1/(1+Parameters!$C$146*D45^Parameters!$C$147))/2))</f>
        <v>0.70308083737334226</v>
      </c>
      <c r="J45" s="19">
        <f>IF(E45=0,1,1/(1+Parameters!$C$138*EXP(Parameters!$C$139*Basicinfo!AQ45)*E45^Parameters!$C$140))</f>
        <v>1</v>
      </c>
      <c r="K45" s="19">
        <f>IF(E45=0,1,1/(1+Parameters!$C$141*EXP(Parameters!$C$142*Basicinfo!AQ45)*E45^Parameters!$C$143))</f>
        <v>1</v>
      </c>
      <c r="L45" s="19">
        <f>IF(E45=0,1,1/(1+Parameters!$C$146*E45^Parameters!$C$147))</f>
        <v>1</v>
      </c>
      <c r="M45" s="53">
        <f>IF(F45=0,1,1/(1+Parameters!$C$138*EXP(Parameters!$C$139*Basicinfo!AQ45)*F45^Parameters!$C$140))</f>
        <v>1</v>
      </c>
      <c r="N45" s="53">
        <f>IF(F45=0,1,1/(1+Parameters!$C$141*EXP(Parameters!$C$142*Basicinfo!AQ45)*F45^Parameters!$C$143))</f>
        <v>1</v>
      </c>
      <c r="O45" s="53">
        <f>IF(F45=0,1,1/(1+Parameters!$C$146*F45^Parameters!$C$147))</f>
        <v>1</v>
      </c>
      <c r="P45" s="64">
        <f>Basicinfo!CE45+Basicinfo!CJ45</f>
        <v>19.331766666666667</v>
      </c>
      <c r="Q45" s="86">
        <f>Parameters!$C$126*Intermediate!BB45*Basicinfo!P45/1000+Parameters!$C$127*Intermediate!BB45*Basicinfo!S45/1000</f>
        <v>3.1510497454666224E-3</v>
      </c>
      <c r="R45" s="48">
        <f>'Local emissions'!AE45-P45-Q45</f>
        <v>99.767088199330246</v>
      </c>
      <c r="S45" s="48">
        <f>Basicinfo!CF45+Basicinfo!CK45</f>
        <v>1.4558059999999999</v>
      </c>
      <c r="T45" s="86">
        <f>'Local emissions'!AR45-S45</f>
        <v>5.5966817064668399</v>
      </c>
      <c r="U45" s="61">
        <f t="shared" si="20"/>
        <v>109.02934894630117</v>
      </c>
      <c r="V45" s="27">
        <f t="shared" si="3"/>
        <v>102.24460937537319</v>
      </c>
      <c r="W45" s="27">
        <f t="shared" si="4"/>
        <v>5.3907256606947715</v>
      </c>
      <c r="X45" s="61">
        <f>U45+TN!CI45</f>
        <v>204.10108200393069</v>
      </c>
      <c r="Y45" s="27">
        <f>V45+DIN!CI45</f>
        <v>191.08158799648623</v>
      </c>
      <c r="Z45" s="27">
        <f>W45+TP!CI45</f>
        <v>9.1698422280369876</v>
      </c>
      <c r="AA45" s="73">
        <f>'Summed emissions'!E45</f>
        <v>2.0512634485522909</v>
      </c>
      <c r="AB45" s="131">
        <f>IF(Basicinfo!AR45="","",Basicinfo!AR45)</f>
        <v>170.33829252124741</v>
      </c>
      <c r="AC45" s="131">
        <f>IF(Basicinfo!AS45="","",Basicinfo!AS45)</f>
        <v>154.85299320113401</v>
      </c>
      <c r="AD45" s="131">
        <f>IF(Basicinfo!AT45="","",Basicinfo!AT45)</f>
        <v>6.5580744771673398</v>
      </c>
      <c r="AE45" s="174">
        <f t="shared" si="21"/>
        <v>19.821021440890533</v>
      </c>
      <c r="AF45" s="19">
        <f t="shared" si="5"/>
        <v>23.395475958476283</v>
      </c>
      <c r="AG45" s="27">
        <f t="shared" si="6"/>
        <v>39.825222478988394</v>
      </c>
      <c r="AH45" s="56">
        <f>'Local emissions'!AE45-U45</f>
        <v>10.072656969441212</v>
      </c>
      <c r="AI45" s="228">
        <f>'Local emissions'!AR45-W45</f>
        <v>1.6617620457720683</v>
      </c>
      <c r="AJ45" s="43">
        <f t="shared" si="7"/>
        <v>10.072656969441212</v>
      </c>
      <c r="AK45" s="58">
        <f t="shared" si="8"/>
        <v>1.6617620457720681</v>
      </c>
      <c r="AL45" s="43">
        <f>TN!CI134</f>
        <v>0</v>
      </c>
      <c r="AM45" s="43">
        <f>TP!CI134</f>
        <v>0</v>
      </c>
      <c r="AN45" s="42">
        <f>TN!CI223+(AH45-AJ45)</f>
        <v>0</v>
      </c>
      <c r="AO45" s="43">
        <f>TP!CI223+(AI45-AK45)</f>
        <v>2.2204460492503131E-16</v>
      </c>
      <c r="AP45" s="42">
        <f t="shared" si="9"/>
        <v>10.072656969441212</v>
      </c>
      <c r="AQ45" s="42">
        <f t="shared" si="10"/>
        <v>1.6617620457720683</v>
      </c>
      <c r="AR45" s="42">
        <f>AH45/'Local emissions'!AE45*100</f>
        <v>8.4571681996414245</v>
      </c>
      <c r="AS45" s="42">
        <f>AI45/'Local emissions'!AR45*100</f>
        <v>23.56277834058897</v>
      </c>
      <c r="AT45" s="42">
        <f t="shared" si="22"/>
        <v>4.703030828020208</v>
      </c>
      <c r="AU45" s="42">
        <f t="shared" si="11"/>
        <v>15.341790595048124</v>
      </c>
      <c r="AV45" s="42">
        <f>('Summed emissions'!AE45-'River loads'!X45)/'Summed emissions'!AE45*100</f>
        <v>8.5527583249341141</v>
      </c>
      <c r="AW45" s="42">
        <f>('Summed emissions'!AR45-'River loads'!Z45)/'Summed emissions'!AR45*100</f>
        <v>26.308492414648228</v>
      </c>
      <c r="AX45" s="61">
        <f>X45/('Summed emissions'!$D45*100)*1000</f>
        <v>9.1444578406027013</v>
      </c>
      <c r="AY45" s="19">
        <f>Y45/('Summed emissions'!$D45*100)*1000</f>
        <v>8.5611379831667556</v>
      </c>
      <c r="AZ45" s="344">
        <f>Z45/('Summed emissions'!$D45*100)*1000</f>
        <v>0.41084170076887538</v>
      </c>
      <c r="BA45" s="43">
        <f>IF(AB45="","",AB45/('Summed emissions'!$D45*100)*1000)</f>
        <v>7.6317642185297165</v>
      </c>
      <c r="BB45" s="43">
        <f>IF(AC45="","",AC45/('Summed emissions'!$D45*100)*1000)</f>
        <v>6.9379674713906514</v>
      </c>
      <c r="BC45" s="43">
        <f>IF(AD45="","",AD45/('Summed emissions'!$D45*100)*1000)</f>
        <v>0.29382517222928983</v>
      </c>
      <c r="BF45" s="188">
        <f>('Summed emissions'!AE45-'River loads'!Y45)/'Summed emissions'!AE45*100</f>
        <v>14.386126787737833</v>
      </c>
      <c r="BG45" s="188">
        <f>('Summed emissions'!AR45-'River loads'!Z45)/'Summed emissions'!AR45*100</f>
        <v>26.308492414648228</v>
      </c>
      <c r="BH45" s="181">
        <f>'Summed emissions'!CV45*(100-'River loads'!BG45)/100</f>
        <v>7.4383738417116714</v>
      </c>
      <c r="BI45" s="181">
        <f t="shared" si="12"/>
        <v>5.65316411970087</v>
      </c>
      <c r="BJ45" s="233"/>
      <c r="BK45" s="233">
        <f>Basicinfo!CQ45</f>
        <v>2.90781060041415</v>
      </c>
      <c r="BM45" s="31">
        <f t="shared" si="25"/>
        <v>8.7390363442741606E-2</v>
      </c>
      <c r="BN45" s="31">
        <f>BK45*1000000/24/3600/365/$AA45</f>
        <v>4.4950866419617666E-2</v>
      </c>
      <c r="BO45" s="231">
        <v>9.6732673267326805E-2</v>
      </c>
      <c r="BP45" s="31">
        <f>BM45/Parameters!$C$156</f>
        <v>0.13444671298883323</v>
      </c>
      <c r="BQ45" s="305">
        <v>0.15</v>
      </c>
      <c r="BR45" s="237">
        <f>Basicinfo!CW45</f>
        <v>0.1</v>
      </c>
      <c r="BS45" s="237">
        <f t="shared" si="13"/>
        <v>1.3444671298883322</v>
      </c>
      <c r="BT45" s="237">
        <f t="shared" si="26"/>
        <v>1.4999999999999998</v>
      </c>
      <c r="BU45" s="31">
        <f t="shared" si="31"/>
        <v>0.14175350795638222</v>
      </c>
      <c r="BV45" s="232">
        <v>0.172207920792079</v>
      </c>
      <c r="BW45" s="31">
        <f t="shared" si="32"/>
        <v>2.9538660241678492</v>
      </c>
      <c r="BX45" s="31">
        <v>3.8249247524752499</v>
      </c>
      <c r="BY45" s="231">
        <f t="shared" si="1"/>
        <v>3.9002680412371142</v>
      </c>
      <c r="BZ45" s="147">
        <f t="shared" si="16"/>
        <v>3.9917108434700665</v>
      </c>
      <c r="CA45" s="305">
        <v>5.23</v>
      </c>
      <c r="CB45" s="231">
        <f>Basicinfo!CV45</f>
        <v>5.5</v>
      </c>
      <c r="CC45" s="147">
        <f t="shared" si="17"/>
        <v>0.72576560790364841</v>
      </c>
      <c r="CD45" s="147"/>
      <c r="CE45" s="233">
        <f>'Local emissions'!FC45/14*62</f>
        <v>5.379999999999999</v>
      </c>
      <c r="CF45" s="233">
        <f>'Local emissions'!FD45/14*62</f>
        <v>18.387610712715393</v>
      </c>
      <c r="CH45">
        <f t="shared" si="18"/>
        <v>2</v>
      </c>
      <c r="CI45">
        <f t="shared" si="19"/>
        <v>0</v>
      </c>
      <c r="CK45" s="276">
        <f>Basicinfo!EM45</f>
        <v>1</v>
      </c>
      <c r="CL45" s="276">
        <f>Basicinfo!EN45</f>
        <v>0</v>
      </c>
      <c r="CM45">
        <f t="shared" si="23"/>
        <v>1</v>
      </c>
      <c r="CN45">
        <f t="shared" si="24"/>
        <v>0</v>
      </c>
      <c r="CO45" s="31">
        <f t="shared" si="27"/>
        <v>4.4950866419617666E-2</v>
      </c>
      <c r="CP45" s="270">
        <f>Basicinfo!DC45</f>
        <v>0.11341237113402061</v>
      </c>
      <c r="CQ45" s="270">
        <f>Basicinfo!DD45</f>
        <v>0.21</v>
      </c>
      <c r="CR45" s="236">
        <f t="shared" si="28"/>
        <v>3.8249247524752499</v>
      </c>
      <c r="CS45" s="236">
        <f>Basicinfo!DK45</f>
        <v>3.9002680412371142</v>
      </c>
      <c r="CT45" s="236">
        <f>Basicinfo!DL45</f>
        <v>5.0527999999999995</v>
      </c>
      <c r="CU45" s="147">
        <f>'Summed emissions'!D45</f>
        <v>223.19648202400001</v>
      </c>
      <c r="CV45" s="188">
        <f t="shared" si="29"/>
        <v>-24.265050685313376</v>
      </c>
      <c r="CW45" s="188">
        <f t="shared" si="30"/>
        <v>-22.944593637433542</v>
      </c>
      <c r="CX45" s="188"/>
      <c r="CY45" s="188"/>
      <c r="DC45" s="232">
        <f>CT45</f>
        <v>5.0527999999999995</v>
      </c>
      <c r="DH45" s="232">
        <f>CQ45</f>
        <v>0.21</v>
      </c>
      <c r="DI45" s="31" t="e">
        <f>#REF!</f>
        <v>#REF!</v>
      </c>
      <c r="DJ45" s="233">
        <f>Basicinfo!DA45</f>
        <v>0.15555670103092792</v>
      </c>
      <c r="DK45" s="233">
        <f>Basicinfo!DB45</f>
        <v>0.27</v>
      </c>
      <c r="DP45" s="31" t="e">
        <f>DI45</f>
        <v>#REF!</v>
      </c>
      <c r="DR45" s="236">
        <f t="shared" si="2"/>
        <v>5.379999999999999</v>
      </c>
      <c r="DS45" s="236">
        <f t="shared" si="0"/>
        <v>18.387610712715393</v>
      </c>
      <c r="DX45" s="181">
        <f>DR45</f>
        <v>5.379999999999999</v>
      </c>
      <c r="DY45" s="31">
        <f>Basicinfo!EI45</f>
        <v>7.6771173684210534E-2</v>
      </c>
      <c r="DZ45" s="31">
        <f>Intermediate!CR45</f>
        <v>0.10927772708504881</v>
      </c>
      <c r="EE45" s="31">
        <f>DY45</f>
        <v>7.6771173684210534E-2</v>
      </c>
    </row>
    <row r="46" spans="1:135">
      <c r="A46" s="39" t="str">
        <f>Basicinfo!A46</f>
        <v>Gusen</v>
      </c>
      <c r="B46" s="63">
        <f>Basicinfo!B46</f>
        <v>1380</v>
      </c>
      <c r="C46" s="63">
        <f>Basicinfo!C46</f>
        <v>5010</v>
      </c>
      <c r="D46" s="61">
        <f>IF(Intermediate!D46=0,0,Basicinfo!AP46*86400*365/(Intermediate!D46*1000000))</f>
        <v>64.147922702442727</v>
      </c>
      <c r="E46" s="19">
        <f>IF(Intermediate!E46=0,0,IF((Intermediate!E46-Basicinfo!AA46)&lt;0,0,'Summed emissions'!E46*86400*365/((Intermediate!E46-Basicinfo!AA46)*1000000)))</f>
        <v>889.97677547382102</v>
      </c>
      <c r="F46" s="19">
        <f>IF(Basicinfo!AA46=0,0,'Summed emissions'!E46*86400*365/(Basicinfo!AA46*1000000))</f>
        <v>0</v>
      </c>
      <c r="G46" s="19">
        <f>IF(D46=0,1,1/(1+Parameters!$C$138*EXP(Parameters!$C$139*Basicinfo!AQ46)*D46^Parameters!$C$140))</f>
        <v>0.87075207981747582</v>
      </c>
      <c r="H46" s="19">
        <f>IF(D46=0,1,1/(1+Parameters!$C$141*EXP(Parameters!$C$142*Basicinfo!AQ46)*D46^Parameters!$C$143))</f>
        <v>0.78821980960896998</v>
      </c>
      <c r="I46" s="161">
        <f>IF(Intermediate!AS46=0,1,IF(D46=0,1/(1+Parameters!$C$144*Intermediate!AS46^Parameters!$C$145),(1/(1+Parameters!$C$144*Intermediate!AS46^Parameters!$C$145)+1/(1+Parameters!$C$146*D46^Parameters!$C$147))/2))</f>
        <v>0.69943310809116399</v>
      </c>
      <c r="J46" s="19">
        <f>IF(E46=0,1,1/(1+Parameters!$C$138*EXP(Parameters!$C$139*Basicinfo!AQ46)*E46^Parameters!$C$140))</f>
        <v>0.98941450335987557</v>
      </c>
      <c r="K46" s="19">
        <f>IF(E46=0,1,1/(1+Parameters!$C$141*EXP(Parameters!$C$142*Basicinfo!AQ46)*E46^Parameters!$C$143))</f>
        <v>0.98100183168935107</v>
      </c>
      <c r="L46" s="19">
        <f>IF(E46=0,1,1/(1+Parameters!$C$146*E46^Parameters!$C$147))</f>
        <v>0.97189087205846891</v>
      </c>
      <c r="M46" s="53">
        <f>IF(F46=0,1,1/(1+Parameters!$C$138*EXP(Parameters!$C$139*Basicinfo!AQ46)*F46^Parameters!$C$140))</f>
        <v>1</v>
      </c>
      <c r="N46" s="53">
        <f>IF(F46=0,1,1/(1+Parameters!$C$141*EXP(Parameters!$C$142*Basicinfo!AQ46)*F46^Parameters!$C$143))</f>
        <v>1</v>
      </c>
      <c r="O46" s="53">
        <f>IF(F46=0,1,1/(1+Parameters!$C$146*F46^Parameters!$C$147))</f>
        <v>1</v>
      </c>
      <c r="P46" s="64">
        <f>Basicinfo!CE46+Basicinfo!CJ46</f>
        <v>2.9378125000000006</v>
      </c>
      <c r="Q46" s="86">
        <f>Parameters!$C$126*Intermediate!BB46*Basicinfo!P46/1000+Parameters!$C$127*Intermediate!BB46*Basicinfo!S46/1000</f>
        <v>8.7418065371918513E-3</v>
      </c>
      <c r="R46" s="48">
        <f>'Local emissions'!AE46-P46-Q46</f>
        <v>83.017063684947686</v>
      </c>
      <c r="S46" s="48">
        <f>Basicinfo!CF46+Basicinfo!CK46</f>
        <v>0.22425</v>
      </c>
      <c r="T46" s="86">
        <f>'Local emissions'!AR46-S46</f>
        <v>5.454063187968063</v>
      </c>
      <c r="U46" s="61">
        <f t="shared" si="20"/>
        <v>75.233835170545234</v>
      </c>
      <c r="V46" s="27">
        <f t="shared" si="3"/>
        <v>68.373506632045206</v>
      </c>
      <c r="W46" s="27">
        <f t="shared" si="4"/>
        <v>4.0390023672861046</v>
      </c>
      <c r="X46" s="61">
        <f>U46+TN!CI46</f>
        <v>277.17444604464754</v>
      </c>
      <c r="Y46" s="27">
        <f>V46+DIN!CI46</f>
        <v>255.82489445870814</v>
      </c>
      <c r="Z46" s="27">
        <f>W46+TP!CI46</f>
        <v>12.951088326931547</v>
      </c>
      <c r="AA46" s="73">
        <f>'Summed emissions'!E46</f>
        <v>2.8779223045321913</v>
      </c>
      <c r="AB46" s="131">
        <f>IF(Basicinfo!AR46="","",Basicinfo!AR46)</f>
        <v>439.68411317180903</v>
      </c>
      <c r="AC46" s="131">
        <f>IF(Basicinfo!AS46="","",Basicinfo!AS46)</f>
        <v>399.71283015619002</v>
      </c>
      <c r="AD46" s="131">
        <f>IF(Basicinfo!AT46="","",Basicinfo!AT46)</f>
        <v>18.878479273648001</v>
      </c>
      <c r="AE46" s="174">
        <f t="shared" si="21"/>
        <v>-36.960550144703532</v>
      </c>
      <c r="AF46" s="19">
        <f t="shared" si="5"/>
        <v>-35.997827650730358</v>
      </c>
      <c r="AG46" s="27">
        <f t="shared" si="6"/>
        <v>-31.39760814839758</v>
      </c>
      <c r="AH46" s="56">
        <f>'Local emissions'!AE46-U46</f>
        <v>10.729782820939647</v>
      </c>
      <c r="AI46" s="228">
        <f>'Local emissions'!AR46-W46</f>
        <v>1.639310820681958</v>
      </c>
      <c r="AJ46" s="43">
        <f t="shared" si="7"/>
        <v>10.729782820939645</v>
      </c>
      <c r="AK46" s="58">
        <f t="shared" si="8"/>
        <v>1.6393108206819582</v>
      </c>
      <c r="AL46" s="43">
        <f>TN!CI135</f>
        <v>2.1604711298284234</v>
      </c>
      <c r="AM46" s="43">
        <f>TP!CI135</f>
        <v>0.25775626839154619</v>
      </c>
      <c r="AN46" s="42">
        <f>TN!CI224+(AH46-AJ46)</f>
        <v>1.7763568394002505E-15</v>
      </c>
      <c r="AO46" s="43">
        <f>TP!CI224+(AI46-AK46)</f>
        <v>-2.2204460492503131E-16</v>
      </c>
      <c r="AP46" s="42">
        <f t="shared" si="9"/>
        <v>12.89025395076807</v>
      </c>
      <c r="AQ46" s="42">
        <f t="shared" si="10"/>
        <v>1.8970670890735042</v>
      </c>
      <c r="AR46" s="42">
        <f>AH46/'Local emissions'!AE46*100</f>
        <v>12.481772023604783</v>
      </c>
      <c r="AS46" s="42">
        <f>AI46/'Local emissions'!AR46*100</f>
        <v>28.869679540669573</v>
      </c>
      <c r="AT46" s="42">
        <f t="shared" si="22"/>
        <v>4.4439237008059917</v>
      </c>
      <c r="AU46" s="42">
        <f t="shared" si="11"/>
        <v>12.776449571834538</v>
      </c>
      <c r="AV46" s="42">
        <f>('Summed emissions'!AE46-'River loads'!X46)/'Summed emissions'!AE46*100</f>
        <v>10.34409876581773</v>
      </c>
      <c r="AW46" s="42">
        <f>('Summed emissions'!AR46-'River loads'!Z46)/'Summed emissions'!AR46*100</f>
        <v>28.53336527111211</v>
      </c>
      <c r="AX46" s="61">
        <f>X46/('Summed emissions'!$D46*100)*1000</f>
        <v>9.3611684922699538</v>
      </c>
      <c r="AY46" s="19">
        <f>Y46/('Summed emissions'!$D46*100)*1000</f>
        <v>8.6401180762507419</v>
      </c>
      <c r="AZ46" s="72">
        <f>Z46/('Summed emissions'!$D46*100)*1000</f>
        <v>0.43740439177119439</v>
      </c>
      <c r="BA46" s="43">
        <f>IF(AB46="","",AB46/('Summed emissions'!$D46*100)*1000)</f>
        <v>14.849698900859689</v>
      </c>
      <c r="BB46" s="43">
        <f>IF(AC46="","",AC46/('Summed emissions'!$D46*100)*1000)</f>
        <v>13.499726273508807</v>
      </c>
      <c r="BC46" s="43">
        <f>IF(AD46="","",AD46/('Summed emissions'!$D46*100)*1000)</f>
        <v>0.63759350070091969</v>
      </c>
      <c r="BF46" s="188">
        <f>('Summed emissions'!AE46-'River loads'!Y46)/'Summed emissions'!AE46*100</f>
        <v>17.249905977477979</v>
      </c>
      <c r="BG46" s="188">
        <f>('Summed emissions'!AR46-'River loads'!Z46)/'Summed emissions'!AR46*100</f>
        <v>28.53336527111211</v>
      </c>
      <c r="BH46" s="181">
        <f>'Summed emissions'!CV46*(100-'River loads'!BG46)/100</f>
        <v>9.6721000223221143</v>
      </c>
      <c r="BI46" s="181">
        <f t="shared" si="12"/>
        <v>7.3507960169648072</v>
      </c>
      <c r="BJ46" s="233"/>
      <c r="BK46" s="233">
        <f>Basicinfo!CQ46</f>
        <v>8.4030444211105202</v>
      </c>
      <c r="BM46" s="31">
        <f t="shared" si="25"/>
        <v>8.0993226344562019E-2</v>
      </c>
      <c r="BN46" s="31">
        <f>BK46*1000000/24/3600/365/$AA46</f>
        <v>9.2587207863160562E-2</v>
      </c>
      <c r="BO46" s="231">
        <v>0.105821782178218</v>
      </c>
      <c r="BP46" s="31">
        <f>BM46/Parameters!$C$156</f>
        <v>0.12460496360701849</v>
      </c>
      <c r="BQ46" s="305">
        <v>0.16</v>
      </c>
      <c r="BR46" s="237">
        <f>Basicinfo!CW46</f>
        <v>0.05</v>
      </c>
      <c r="BS46" s="237">
        <f t="shared" si="13"/>
        <v>2.4920992721403699</v>
      </c>
      <c r="BT46" s="237">
        <f t="shared" si="26"/>
        <v>3.1999999999999997</v>
      </c>
      <c r="BU46" s="31">
        <f t="shared" si="31"/>
        <v>0.14269888946050507</v>
      </c>
      <c r="BV46" s="232">
        <v>0.19280198019802</v>
      </c>
      <c r="BW46" s="31">
        <f t="shared" si="32"/>
        <v>2.818753715060005</v>
      </c>
      <c r="BX46" s="31">
        <v>3.8227069306930699</v>
      </c>
      <c r="BY46" s="231">
        <f t="shared" si="1"/>
        <v>3.9391958762886596</v>
      </c>
      <c r="BZ46" s="147">
        <f t="shared" si="16"/>
        <v>3.8091266419729797</v>
      </c>
      <c r="CA46" s="305">
        <v>5.0149999999999997</v>
      </c>
      <c r="CB46" s="231">
        <f>Basicinfo!CV46</f>
        <v>4</v>
      </c>
      <c r="CC46" s="147">
        <f t="shared" si="17"/>
        <v>0.95228166049324492</v>
      </c>
      <c r="CD46" s="147"/>
      <c r="CE46" s="233">
        <f>'Local emissions'!FC46/14*62</f>
        <v>22.07</v>
      </c>
      <c r="CF46" s="233">
        <f>'Local emissions'!FD46/14*62</f>
        <v>17.819428885839862</v>
      </c>
      <c r="CH46">
        <f t="shared" si="18"/>
        <v>2</v>
      </c>
      <c r="CI46">
        <f t="shared" si="19"/>
        <v>1</v>
      </c>
      <c r="CK46" s="276">
        <f>Basicinfo!EM46</f>
        <v>1</v>
      </c>
      <c r="CL46" s="276">
        <f>Basicinfo!EN46</f>
        <v>1</v>
      </c>
      <c r="CM46">
        <f t="shared" si="23"/>
        <v>1</v>
      </c>
      <c r="CN46">
        <f t="shared" si="24"/>
        <v>1</v>
      </c>
      <c r="CO46" s="31">
        <f t="shared" si="27"/>
        <v>9.2587207863160562E-2</v>
      </c>
      <c r="CP46" s="270">
        <f>Basicinfo!DC46</f>
        <v>0.12065979381443291</v>
      </c>
      <c r="CQ46" s="270">
        <f>Basicinfo!DD46</f>
        <v>0.2</v>
      </c>
      <c r="CR46" s="236">
        <f t="shared" si="28"/>
        <v>3.8227069306930699</v>
      </c>
      <c r="CS46" s="236">
        <f>Basicinfo!DK46</f>
        <v>3.9391958762886596</v>
      </c>
      <c r="CT46" s="236">
        <f>Basicinfo!DL46</f>
        <v>5.0683999999999996</v>
      </c>
      <c r="CU46" s="147">
        <f>'Summed emissions'!D46</f>
        <v>296.08958141660003</v>
      </c>
      <c r="CV46" s="188">
        <f t="shared" si="29"/>
        <v>-28.443423389351402</v>
      </c>
      <c r="CW46" s="188">
        <f t="shared" si="30"/>
        <v>-32.874718425986664</v>
      </c>
      <c r="CX46" s="188"/>
      <c r="CY46" s="188"/>
      <c r="DI46" s="31" t="e">
        <f>#REF!</f>
        <v>#REF!</v>
      </c>
      <c r="DJ46" s="233">
        <f>Basicinfo!DA46</f>
        <v>0.16252577319587624</v>
      </c>
      <c r="DK46" s="233">
        <f>Basicinfo!DB46</f>
        <v>0.26</v>
      </c>
      <c r="DR46" s="236">
        <f t="shared" si="2"/>
        <v>22.07</v>
      </c>
      <c r="DS46" s="236">
        <f t="shared" si="0"/>
        <v>17.819428885839862</v>
      </c>
      <c r="DY46" s="31">
        <f>Basicinfo!EI46</f>
        <v>5.4250000000000001E-3</v>
      </c>
      <c r="DZ46" s="31">
        <f>Intermediate!CR46</f>
        <v>5.4250000000000001E-3</v>
      </c>
    </row>
    <row r="47" spans="1:135">
      <c r="A47" s="39" t="str">
        <f>Basicinfo!A47</f>
        <v>Reichramming Großer Bach</v>
      </c>
      <c r="B47" s="63">
        <f>Basicinfo!B47</f>
        <v>1520</v>
      </c>
      <c r="C47" s="63">
        <f>Basicinfo!C47</f>
        <v>4080</v>
      </c>
      <c r="D47" s="61">
        <f>IF(Intermediate!D47=0,0,Basicinfo!AP47*86400*365/(Intermediate!D47*1000000))</f>
        <v>140.29540365876593</v>
      </c>
      <c r="E47" s="19">
        <f>IF(Intermediate!E47=0,0,IF((Intermediate!E47-Basicinfo!AA47)&lt;0,0,'Summed emissions'!E47*86400*365/((Intermediate!E47-Basicinfo!AA47)*1000000)))</f>
        <v>0</v>
      </c>
      <c r="F47" s="19">
        <f>IF(Basicinfo!AA47=0,0,'Summed emissions'!E47*86400*365/(Basicinfo!AA47*1000000))</f>
        <v>0</v>
      </c>
      <c r="G47" s="19">
        <f>IF(D47=0,1,1/(1+Parameters!$C$138*EXP(Parameters!$C$139*Basicinfo!AQ47)*D47^Parameters!$C$140))</f>
        <v>0.94242069791868732</v>
      </c>
      <c r="H47" s="19">
        <f>IF(D47=0,1,1/(1+Parameters!$C$141*EXP(Parameters!$C$142*Basicinfo!AQ47)*D47^Parameters!$C$143))</f>
        <v>0.90041926956652074</v>
      </c>
      <c r="I47" s="161">
        <f>IF(Intermediate!AS47=0,1,IF(D47=0,1/(1+Parameters!$C$144*Intermediate!AS47^Parameters!$C$145),(1/(1+Parameters!$C$144*Intermediate!AS47^Parameters!$C$145)+1/(1+Parameters!$C$146*D47^Parameters!$C$147))/2))</f>
        <v>0.86235387867954971</v>
      </c>
      <c r="J47" s="19">
        <f>IF(E47=0,1,1/(1+Parameters!$C$138*EXP(Parameters!$C$139*Basicinfo!AQ47)*E47^Parameters!$C$140))</f>
        <v>1</v>
      </c>
      <c r="K47" s="19">
        <f>IF(E47=0,1,1/(1+Parameters!$C$141*EXP(Parameters!$C$142*Basicinfo!AQ47)*E47^Parameters!$C$143))</f>
        <v>1</v>
      </c>
      <c r="L47" s="19">
        <f>IF(E47=0,1,1/(1+Parameters!$C$146*E47^Parameters!$C$147))</f>
        <v>1</v>
      </c>
      <c r="M47" s="53">
        <f>IF(F47=0,1,1/(1+Parameters!$C$138*EXP(Parameters!$C$139*Basicinfo!AQ47)*F47^Parameters!$C$140))</f>
        <v>1</v>
      </c>
      <c r="N47" s="53">
        <f>IF(F47=0,1,1/(1+Parameters!$C$141*EXP(Parameters!$C$142*Basicinfo!AQ47)*F47^Parameters!$C$143))</f>
        <v>1</v>
      </c>
      <c r="O47" s="53">
        <f>IF(F47=0,1,1/(1+Parameters!$C$146*F47^Parameters!$C$147))</f>
        <v>1</v>
      </c>
      <c r="P47" s="64">
        <f>Basicinfo!CE47+Basicinfo!CJ47</f>
        <v>0</v>
      </c>
      <c r="Q47" s="86">
        <f>Parameters!$C$126*Intermediate!BB47*Basicinfo!P47/1000+Parameters!$C$127*Intermediate!BB47*Basicinfo!S47/1000</f>
        <v>0</v>
      </c>
      <c r="R47" s="48">
        <f>'Local emissions'!AE47-P47-Q47</f>
        <v>152.57711346134045</v>
      </c>
      <c r="S47" s="48">
        <f>Basicinfo!CF47+Basicinfo!CK47</f>
        <v>0</v>
      </c>
      <c r="T47" s="86">
        <f>'Local emissions'!AR47-S47</f>
        <v>2.8435394861010179</v>
      </c>
      <c r="U47" s="61">
        <f t="shared" si="20"/>
        <v>143.7918297546552</v>
      </c>
      <c r="V47" s="27">
        <f t="shared" si="3"/>
        <v>137.38337305542834</v>
      </c>
      <c r="W47" s="27">
        <f t="shared" si="4"/>
        <v>2.4521373050176662</v>
      </c>
      <c r="X47" s="61">
        <f>U47+TN!CI47</f>
        <v>143.7918297546552</v>
      </c>
      <c r="Y47" s="27">
        <f>V47+DIN!CI47</f>
        <v>137.38337305542834</v>
      </c>
      <c r="Z47" s="27">
        <f>W47+TP!CI47</f>
        <v>2.4521373050176662</v>
      </c>
      <c r="AA47" s="73">
        <f>'Summed emissions'!E47</f>
        <v>6.3376087782395309</v>
      </c>
      <c r="AB47" s="131" t="str">
        <f>IF(Basicinfo!AR47="","",Basicinfo!AR47)</f>
        <v/>
      </c>
      <c r="AC47" s="131" t="str">
        <f>IF(Basicinfo!AS47="","",Basicinfo!AS47)</f>
        <v/>
      </c>
      <c r="AD47" s="131" t="str">
        <f>IF(Basicinfo!AT47="","",Basicinfo!AT47)</f>
        <v/>
      </c>
      <c r="AE47" s="174" t="str">
        <f t="shared" si="21"/>
        <v/>
      </c>
      <c r="AF47" s="19" t="str">
        <f t="shared" si="5"/>
        <v/>
      </c>
      <c r="AG47" s="27" t="str">
        <f t="shared" si="6"/>
        <v/>
      </c>
      <c r="AH47" s="56">
        <f>'Local emissions'!AE47-U47</f>
        <v>8.7852837066852487</v>
      </c>
      <c r="AI47" s="228">
        <f>'Local emissions'!AR47-W47</f>
        <v>0.39140218108335167</v>
      </c>
      <c r="AJ47" s="43">
        <f t="shared" si="7"/>
        <v>8.7852837066852398</v>
      </c>
      <c r="AK47" s="58">
        <f t="shared" si="8"/>
        <v>0.39140218108335156</v>
      </c>
      <c r="AL47" s="43">
        <f>TN!CI136</f>
        <v>0</v>
      </c>
      <c r="AM47" s="43">
        <f>TP!CI136</f>
        <v>0</v>
      </c>
      <c r="AN47" s="42">
        <f>TN!CI225+(AH47-AJ47)</f>
        <v>8.8817841970012523E-15</v>
      </c>
      <c r="AO47" s="43">
        <f>TP!CI225+(AI47-AK47)</f>
        <v>1.1102230246251565E-16</v>
      </c>
      <c r="AP47" s="42">
        <f t="shared" si="9"/>
        <v>8.7852837066852487</v>
      </c>
      <c r="AQ47" s="42">
        <f t="shared" si="10"/>
        <v>0.39140218108335167</v>
      </c>
      <c r="AR47" s="42">
        <f>AH47/'Local emissions'!AE47*100</f>
        <v>5.7579302081312731</v>
      </c>
      <c r="AS47" s="42">
        <f>AI47/'Local emissions'!AR47*100</f>
        <v>13.764612132045032</v>
      </c>
      <c r="AT47" s="42">
        <f t="shared" si="22"/>
        <v>5.7579302081312731</v>
      </c>
      <c r="AU47" s="42">
        <f t="shared" si="11"/>
        <v>13.764612132045032</v>
      </c>
      <c r="AV47" s="42">
        <f>('Summed emissions'!AE47-'River loads'!X47)/'Summed emissions'!AE47*100</f>
        <v>5.7579302081312731</v>
      </c>
      <c r="AW47" s="42">
        <f>('Summed emissions'!AR47-'River loads'!Z47)/'Summed emissions'!AR47*100</f>
        <v>13.764612132045032</v>
      </c>
      <c r="AX47" s="61">
        <f>X47/('Summed emissions'!$D47*100)*1000</f>
        <v>8.4218819075405751</v>
      </c>
      <c r="AY47" s="19">
        <f>Y47/('Summed emissions'!$D47*100)*1000</f>
        <v>8.0465388465157304</v>
      </c>
      <c r="AZ47" s="72">
        <f>Z47/('Summed emissions'!$D47*100)*1000</f>
        <v>0.1436215871177827</v>
      </c>
      <c r="BA47" s="43" t="str">
        <f>IF(AB47="","",AB47/('Summed emissions'!$D47*100)*1000)</f>
        <v/>
      </c>
      <c r="BB47" s="43" t="str">
        <f>IF(AC47="","",AC47/('Summed emissions'!$D47*100)*1000)</f>
        <v/>
      </c>
      <c r="BC47" s="43" t="str">
        <f>IF(AD47="","",AD47/('Summed emissions'!$D47*100)*1000)</f>
        <v/>
      </c>
      <c r="BF47" s="188">
        <f>('Summed emissions'!AE47-'River loads'!Y47)/'Summed emissions'!AE47*100</f>
        <v>9.9580730433479179</v>
      </c>
      <c r="BG47" s="188">
        <f>('Summed emissions'!AR47-'River loads'!Z47)/'Summed emissions'!AR47*100</f>
        <v>13.764612132045032</v>
      </c>
      <c r="BH47" s="181">
        <f>'Summed emissions'!CV47*(100-'River loads'!BG47)/100</f>
        <v>1.4604014128387441</v>
      </c>
      <c r="BI47" s="181">
        <f t="shared" si="12"/>
        <v>1.1099050737574456</v>
      </c>
      <c r="BJ47" s="233"/>
      <c r="BK47" s="233"/>
      <c r="BM47" s="31">
        <f t="shared" si="25"/>
        <v>5.5533341110320109E-3</v>
      </c>
      <c r="BN47" s="31"/>
      <c r="BO47" s="231"/>
      <c r="BP47" s="31">
        <f>BM47/Parameters!$C$156</f>
        <v>8.543590940049247E-3</v>
      </c>
      <c r="BQ47" s="305" t="s">
        <v>934</v>
      </c>
      <c r="BR47" s="237">
        <f>Basicinfo!CW47</f>
        <v>0.03</v>
      </c>
      <c r="BS47" s="237">
        <f t="shared" si="13"/>
        <v>0.28478636466830826</v>
      </c>
      <c r="BT47" s="237"/>
      <c r="BU47" s="31">
        <f t="shared" si="31"/>
        <v>1.2269101261775685E-2</v>
      </c>
      <c r="BV47" s="232"/>
      <c r="BW47" s="31">
        <f t="shared" si="32"/>
        <v>0.68738830906910087</v>
      </c>
      <c r="BX47" s="31"/>
      <c r="BY47" s="231"/>
      <c r="BZ47" s="147">
        <f t="shared" si="16"/>
        <v>0.92890312036364986</v>
      </c>
      <c r="CA47" s="305"/>
      <c r="CB47" s="231">
        <f>Basicinfo!CV47</f>
        <v>5.5</v>
      </c>
      <c r="CC47" s="147">
        <f t="shared" si="17"/>
        <v>0.16889147642975452</v>
      </c>
      <c r="CD47" s="147"/>
      <c r="CE47" s="233"/>
      <c r="CF47" s="233">
        <f>'Local emissions'!FD47/14*62</f>
        <v>3.6893268805664308</v>
      </c>
      <c r="CH47">
        <f t="shared" si="18"/>
        <v>0</v>
      </c>
      <c r="CI47">
        <f t="shared" si="19"/>
        <v>0</v>
      </c>
      <c r="CK47" s="276">
        <f>Basicinfo!EM47</f>
        <v>0</v>
      </c>
      <c r="CL47" s="276">
        <f>Basicinfo!EN47</f>
        <v>0</v>
      </c>
      <c r="CM47">
        <f t="shared" si="23"/>
        <v>2</v>
      </c>
      <c r="CN47">
        <f t="shared" si="24"/>
        <v>0</v>
      </c>
      <c r="CO47" s="31"/>
      <c r="CP47" s="270"/>
      <c r="CQ47" s="270"/>
      <c r="CR47" s="236"/>
      <c r="CS47" s="236"/>
      <c r="CT47" s="236"/>
      <c r="CU47" s="147">
        <f>'Summed emissions'!D47</f>
        <v>170.73598434799999</v>
      </c>
      <c r="CV47" s="188"/>
      <c r="CW47" s="188"/>
      <c r="CX47" s="188"/>
      <c r="CY47" s="188"/>
      <c r="DI47" s="31"/>
      <c r="DJ47" s="233"/>
      <c r="DK47" s="233"/>
      <c r="DR47" s="236"/>
      <c r="DS47" s="236">
        <f t="shared" si="0"/>
        <v>3.6893268805664308</v>
      </c>
      <c r="DY47" s="31"/>
      <c r="DZ47" s="31">
        <f>Intermediate!CR47</f>
        <v>4.9260631578947368E-3</v>
      </c>
    </row>
    <row r="48" spans="1:135">
      <c r="A48" s="39" t="str">
        <f>Basicinfo!A48</f>
        <v>Teichl</v>
      </c>
      <c r="B48" s="63">
        <f>Basicinfo!B48</f>
        <v>1530</v>
      </c>
      <c r="C48" s="63">
        <f>Basicinfo!C48</f>
        <v>1560</v>
      </c>
      <c r="D48" s="61">
        <f>IF(Intermediate!D48=0,0,Basicinfo!AP48*86400*365/(Intermediate!D48*1000000))</f>
        <v>259.52064577059815</v>
      </c>
      <c r="E48" s="19">
        <f>IF(Intermediate!E48=0,0,IF((Intermediate!E48-Basicinfo!AA48)&lt;0,0,'Summed emissions'!E48*86400*365/((Intermediate!E48-Basicinfo!AA48)*1000000)))</f>
        <v>0</v>
      </c>
      <c r="F48" s="19">
        <f>IF(Basicinfo!AA48=0,0,'Summed emissions'!E48*86400*365/(Basicinfo!AA48*1000000))</f>
        <v>0</v>
      </c>
      <c r="G48" s="19">
        <f>IF(D48=0,1,1/(1+Parameters!$C$138*EXP(Parameters!$C$139*Basicinfo!AQ48)*D48^Parameters!$C$140))</f>
        <v>0.96908746971830362</v>
      </c>
      <c r="H48" s="19">
        <f>IF(D48=0,1,1/(1+Parameters!$C$141*EXP(Parameters!$C$142*Basicinfo!AQ48)*D48^Parameters!$C$143))</f>
        <v>0.94541147115170876</v>
      </c>
      <c r="I48" s="161">
        <f>IF(Intermediate!AS48=0,1,IF(D48=0,1/(1+Parameters!$C$144*Intermediate!AS48^Parameters!$C$145),(1/(1+Parameters!$C$144*Intermediate!AS48^Parameters!$C$145)+1/(1+Parameters!$C$146*D48^Parameters!$C$147))/2))</f>
        <v>0.91239218607847783</v>
      </c>
      <c r="J48" s="19">
        <f>IF(E48=0,1,1/(1+Parameters!$C$138*EXP(Parameters!$C$139*Basicinfo!AQ48)*E48^Parameters!$C$140))</f>
        <v>1</v>
      </c>
      <c r="K48" s="19">
        <f>IF(E48=0,1,1/(1+Parameters!$C$141*EXP(Parameters!$C$142*Basicinfo!AQ48)*E48^Parameters!$C$143))</f>
        <v>1</v>
      </c>
      <c r="L48" s="19">
        <f>IF(E48=0,1,1/(1+Parameters!$C$146*E48^Parameters!$C$147))</f>
        <v>1</v>
      </c>
      <c r="M48" s="53">
        <f>IF(F48=0,1,1/(1+Parameters!$C$138*EXP(Parameters!$C$139*Basicinfo!AQ48)*F48^Parameters!$C$140))</f>
        <v>1</v>
      </c>
      <c r="N48" s="53">
        <f>IF(F48=0,1,1/(1+Parameters!$C$141*EXP(Parameters!$C$142*Basicinfo!AQ48)*F48^Parameters!$C$143))</f>
        <v>1</v>
      </c>
      <c r="O48" s="53">
        <f>IF(F48=0,1,1/(1+Parameters!$C$146*F48^Parameters!$C$147))</f>
        <v>1</v>
      </c>
      <c r="P48" s="64">
        <f>Basicinfo!CE48+Basicinfo!CJ48</f>
        <v>0</v>
      </c>
      <c r="Q48" s="86">
        <f>Parameters!$C$126*Intermediate!BB48*Basicinfo!P48/1000+Parameters!$C$127*Intermediate!BB48*Basicinfo!S48/1000</f>
        <v>1.0926235637565902</v>
      </c>
      <c r="R48" s="48">
        <f>'Local emissions'!AE48-P48-Q48</f>
        <v>353.00157040472152</v>
      </c>
      <c r="S48" s="48">
        <f>Basicinfo!CF48+Basicinfo!CK48</f>
        <v>0</v>
      </c>
      <c r="T48" s="86">
        <f>'Local emissions'!AR48-S48</f>
        <v>7.6058758942494649</v>
      </c>
      <c r="U48" s="61">
        <f t="shared" si="20"/>
        <v>343.18202223385578</v>
      </c>
      <c r="V48" s="27">
        <f t="shared" si="3"/>
        <v>333.73173399519129</v>
      </c>
      <c r="W48" s="27">
        <f t="shared" si="4"/>
        <v>6.939541734195867</v>
      </c>
      <c r="X48" s="61">
        <f>U48+TN!CI48</f>
        <v>343.18202223385578</v>
      </c>
      <c r="Y48" s="27">
        <f>V48+DIN!CI48</f>
        <v>333.73173399519129</v>
      </c>
      <c r="Z48" s="27">
        <f>W48+TP!CI48</f>
        <v>6.939541734195867</v>
      </c>
      <c r="AA48" s="73">
        <f>'Summed emissions'!E48</f>
        <v>13.077972155392096</v>
      </c>
      <c r="AB48" s="131" t="str">
        <f>IF(Basicinfo!AR48="","",Basicinfo!AR48)</f>
        <v/>
      </c>
      <c r="AC48" s="131" t="str">
        <f>IF(Basicinfo!AS48="","",Basicinfo!AS48)</f>
        <v/>
      </c>
      <c r="AD48" s="131" t="str">
        <f>IF(Basicinfo!AT48="","",Basicinfo!AT48)</f>
        <v/>
      </c>
      <c r="AE48" s="174" t="str">
        <f t="shared" si="21"/>
        <v/>
      </c>
      <c r="AF48" s="19" t="str">
        <f t="shared" si="5"/>
        <v/>
      </c>
      <c r="AG48" s="27" t="str">
        <f t="shared" si="6"/>
        <v/>
      </c>
      <c r="AH48" s="56">
        <f>'Local emissions'!AE48-U48</f>
        <v>10.912171734622348</v>
      </c>
      <c r="AI48" s="228">
        <f>'Local emissions'!AR48-W48</f>
        <v>0.66633416005359791</v>
      </c>
      <c r="AJ48" s="43">
        <f t="shared" si="7"/>
        <v>10.912171734622332</v>
      </c>
      <c r="AK48" s="58">
        <f t="shared" si="8"/>
        <v>0.66633416005359813</v>
      </c>
      <c r="AL48" s="43">
        <f>TN!CI137</f>
        <v>0</v>
      </c>
      <c r="AM48" s="43">
        <f>TP!CI137</f>
        <v>0</v>
      </c>
      <c r="AN48" s="42">
        <f>TN!CI226+(AH48-AJ48)</f>
        <v>1.5987211554602254E-14</v>
      </c>
      <c r="AO48" s="43">
        <f>TP!CI226+(AI48-AK48)</f>
        <v>-2.2204460492503131E-16</v>
      </c>
      <c r="AP48" s="42">
        <f t="shared" si="9"/>
        <v>10.912171734622348</v>
      </c>
      <c r="AQ48" s="42">
        <f t="shared" si="10"/>
        <v>0.66633416005359791</v>
      </c>
      <c r="AR48" s="42">
        <f>AH48/'Local emissions'!AE48*100</f>
        <v>3.0817143913954608</v>
      </c>
      <c r="AS48" s="42">
        <f>AI48/'Local emissions'!AR48*100</f>
        <v>8.7607813921522144</v>
      </c>
      <c r="AT48" s="42">
        <f t="shared" si="22"/>
        <v>3.0817143913954608</v>
      </c>
      <c r="AU48" s="42">
        <f t="shared" si="11"/>
        <v>8.7607813921522144</v>
      </c>
      <c r="AV48" s="42">
        <f>('Summed emissions'!AE48-'River loads'!X48)/'Summed emissions'!AE48*100</f>
        <v>3.0817143913954608</v>
      </c>
      <c r="AW48" s="42">
        <f>('Summed emissions'!AR48-'River loads'!Z48)/'Summed emissions'!AR48*100</f>
        <v>8.7607813921522144</v>
      </c>
      <c r="AX48" s="61">
        <f>X48/('Summed emissions'!$D48*100)*1000</f>
        <v>14.360975707087862</v>
      </c>
      <c r="AY48" s="19">
        <f>Y48/('Summed emissions'!$D48*100)*1000</f>
        <v>13.965513966589235</v>
      </c>
      <c r="AZ48" s="72">
        <f>Z48/('Summed emissions'!$D48*100)*1000</f>
        <v>0.29039571949138548</v>
      </c>
      <c r="BA48" s="43" t="str">
        <f>IF(AB48="","",AB48/('Summed emissions'!$D48*100)*1000)</f>
        <v/>
      </c>
      <c r="BB48" s="43" t="str">
        <f>IF(AC48="","",AC48/('Summed emissions'!$D48*100)*1000)</f>
        <v/>
      </c>
      <c r="BC48" s="43" t="str">
        <f>IF(AD48="","",AD48/('Summed emissions'!$D48*100)*1000)</f>
        <v/>
      </c>
      <c r="BF48" s="188">
        <f>('Summed emissions'!AE48-'River loads'!Y48)/'Summed emissions'!AE48*100</f>
        <v>5.7505771967273551</v>
      </c>
      <c r="BG48" s="188">
        <f>('Summed emissions'!AR48-'River loads'!Z48)/'Summed emissions'!AR48*100</f>
        <v>8.7607813921522144</v>
      </c>
      <c r="BH48" s="181">
        <f>'Summed emissions'!CV48*(100-'River loads'!BG48)/100</f>
        <v>5.2491541583088948</v>
      </c>
      <c r="BI48" s="181">
        <f t="shared" si="12"/>
        <v>3.9893571603147602</v>
      </c>
      <c r="BJ48" s="233"/>
      <c r="BK48" s="233"/>
      <c r="BM48" s="31">
        <f t="shared" si="25"/>
        <v>9.6728823245250378E-3</v>
      </c>
      <c r="BN48" s="31"/>
      <c r="BO48" s="231"/>
      <c r="BP48" s="31">
        <f>BM48/Parameters!$C$156</f>
        <v>1.4881357422346211E-2</v>
      </c>
      <c r="BQ48" s="305" t="s">
        <v>934</v>
      </c>
      <c r="BR48" s="237">
        <f>Basicinfo!CW48</f>
        <v>0.03</v>
      </c>
      <c r="BS48" s="237">
        <f t="shared" si="13"/>
        <v>0.49604524741154038</v>
      </c>
      <c r="BT48" s="237"/>
      <c r="BU48" s="31">
        <f t="shared" si="31"/>
        <v>1.682611204851632E-2</v>
      </c>
      <c r="BV48" s="232"/>
      <c r="BW48" s="31">
        <f t="shared" si="32"/>
        <v>0.80918996749854233</v>
      </c>
      <c r="BX48" s="31"/>
      <c r="BY48" s="231"/>
      <c r="BZ48" s="147">
        <f t="shared" si="16"/>
        <v>1.0934999560791112</v>
      </c>
      <c r="CA48" s="305"/>
      <c r="CB48" s="231">
        <f>Basicinfo!CV48</f>
        <v>5.5</v>
      </c>
      <c r="CC48" s="147">
        <f t="shared" si="17"/>
        <v>0.19881817383256567</v>
      </c>
      <c r="CD48" s="147"/>
      <c r="CE48" s="233">
        <f>'Local emissions'!FC48/14*62</f>
        <v>3.05</v>
      </c>
      <c r="CF48" s="233">
        <f>'Local emissions'!FD48/14*62</f>
        <v>3.635684275194675</v>
      </c>
      <c r="CH48">
        <f t="shared" si="18"/>
        <v>0</v>
      </c>
      <c r="CI48">
        <f t="shared" si="19"/>
        <v>0</v>
      </c>
      <c r="CK48" s="276">
        <f>Basicinfo!EM48</f>
        <v>0</v>
      </c>
      <c r="CL48" s="276">
        <f>Basicinfo!EN48</f>
        <v>0</v>
      </c>
      <c r="CM48">
        <f t="shared" si="23"/>
        <v>2</v>
      </c>
      <c r="CN48">
        <f t="shared" si="24"/>
        <v>0</v>
      </c>
      <c r="CO48" s="31"/>
      <c r="CP48" s="270"/>
      <c r="CQ48" s="270"/>
      <c r="CR48" s="236"/>
      <c r="CS48" s="236"/>
      <c r="CT48" s="236"/>
      <c r="CU48" s="147">
        <f>'Summed emissions'!D48</f>
        <v>238.968458156</v>
      </c>
      <c r="CV48" s="188"/>
      <c r="CW48" s="188"/>
      <c r="CX48" s="188"/>
      <c r="CY48" s="188"/>
      <c r="DI48" s="31"/>
      <c r="DJ48" s="233"/>
      <c r="DK48" s="233"/>
      <c r="DR48" s="236">
        <f t="shared" si="2"/>
        <v>3.05</v>
      </c>
      <c r="DS48" s="236">
        <f t="shared" si="0"/>
        <v>3.635684275194675</v>
      </c>
      <c r="DY48" s="31">
        <f>Basicinfo!EI48</f>
        <v>4.9260631578947368E-3</v>
      </c>
      <c r="DZ48" s="31">
        <f>Intermediate!CR48</f>
        <v>4.9260631578947368E-3</v>
      </c>
    </row>
    <row r="49" spans="1:135">
      <c r="A49" s="39" t="str">
        <f>Basicinfo!A49</f>
        <v>Krumme Steyrling</v>
      </c>
      <c r="B49" s="63">
        <f>Basicinfo!B49</f>
        <v>1540</v>
      </c>
      <c r="C49" s="63">
        <f>Basicinfo!C49</f>
        <v>1560</v>
      </c>
      <c r="D49" s="61">
        <f>IF(Intermediate!D49=0,0,Basicinfo!AP49*86400*365/(Intermediate!D49*1000000))</f>
        <v>159.43561329376797</v>
      </c>
      <c r="E49" s="19">
        <f>IF(Intermediate!E49=0,0,IF((Intermediate!E49-Basicinfo!AA49)&lt;0,0,'Summed emissions'!E49*86400*365/((Intermediate!E49-Basicinfo!AA49)*1000000)))</f>
        <v>0</v>
      </c>
      <c r="F49" s="19">
        <f>IF(Basicinfo!AA49=0,0,'Summed emissions'!E49*86400*365/(Basicinfo!AA49*1000000))</f>
        <v>0</v>
      </c>
      <c r="G49" s="19">
        <f>IF(D49=0,1,1/(1+Parameters!$C$138*EXP(Parameters!$C$139*Basicinfo!AQ49)*D49^Parameters!$C$140))</f>
        <v>0.94931311770652582</v>
      </c>
      <c r="H49" s="19">
        <f>IF(D49=0,1,1/(1+Parameters!$C$141*EXP(Parameters!$C$142*Basicinfo!AQ49)*D49^Parameters!$C$143))</f>
        <v>0.91186922265381043</v>
      </c>
      <c r="I49" s="161">
        <f>IF(Intermediate!AS49=0,1,IF(D49=0,1/(1+Parameters!$C$144*Intermediate!AS49^Parameters!$C$145),(1/(1+Parameters!$C$144*Intermediate!AS49^Parameters!$C$145)+1/(1+Parameters!$C$146*D49^Parameters!$C$147))/2))</f>
        <v>0.85899549439796652</v>
      </c>
      <c r="J49" s="19">
        <f>IF(E49=0,1,1/(1+Parameters!$C$138*EXP(Parameters!$C$139*Basicinfo!AQ49)*E49^Parameters!$C$140))</f>
        <v>1</v>
      </c>
      <c r="K49" s="19">
        <f>IF(E49=0,1,1/(1+Parameters!$C$141*EXP(Parameters!$C$142*Basicinfo!AQ49)*E49^Parameters!$C$143))</f>
        <v>1</v>
      </c>
      <c r="L49" s="19">
        <f>IF(E49=0,1,1/(1+Parameters!$C$146*E49^Parameters!$C$147))</f>
        <v>1</v>
      </c>
      <c r="M49" s="53">
        <f>IF(F49=0,1,1/(1+Parameters!$C$138*EXP(Parameters!$C$139*Basicinfo!AQ49)*F49^Parameters!$C$140))</f>
        <v>1</v>
      </c>
      <c r="N49" s="53">
        <f>IF(F49=0,1,1/(1+Parameters!$C$141*EXP(Parameters!$C$142*Basicinfo!AQ49)*F49^Parameters!$C$143))</f>
        <v>1</v>
      </c>
      <c r="O49" s="53">
        <f>IF(F49=0,1,1/(1+Parameters!$C$146*F49^Parameters!$C$147))</f>
        <v>1</v>
      </c>
      <c r="P49" s="64">
        <f>Basicinfo!CE49+Basicinfo!CJ49</f>
        <v>0</v>
      </c>
      <c r="Q49" s="86">
        <f>Parameters!$C$126*Intermediate!BB49*Basicinfo!P49/1000+Parameters!$C$127*Intermediate!BB49*Basicinfo!S49/1000</f>
        <v>0</v>
      </c>
      <c r="R49" s="48">
        <f>'Local emissions'!AE49-P49-Q49</f>
        <v>139.32340992311023</v>
      </c>
      <c r="S49" s="48">
        <f>Basicinfo!CF49+Basicinfo!CK49</f>
        <v>0</v>
      </c>
      <c r="T49" s="86">
        <f>'Local emissions'!AR49-S49</f>
        <v>2.053345637672392</v>
      </c>
      <c r="U49" s="61">
        <f t="shared" si="20"/>
        <v>132.26154064361208</v>
      </c>
      <c r="V49" s="27">
        <f t="shared" si="3"/>
        <v>127.0447295040647</v>
      </c>
      <c r="W49" s="27">
        <f t="shared" si="4"/>
        <v>1.7638146512023041</v>
      </c>
      <c r="X49" s="61">
        <f>U49+TN!CI49</f>
        <v>132.26154064361208</v>
      </c>
      <c r="Y49" s="27">
        <f>V49+DIN!CI49</f>
        <v>127.0447295040647</v>
      </c>
      <c r="Z49" s="27">
        <f>W49+TP!CI49</f>
        <v>1.7638146512023041</v>
      </c>
      <c r="AA49" s="73">
        <f>'Summed emissions'!E49</f>
        <v>4.1532941470896887</v>
      </c>
      <c r="AB49" s="131" t="str">
        <f>IF(Basicinfo!AR49="","",Basicinfo!AR49)</f>
        <v/>
      </c>
      <c r="AC49" s="131" t="str">
        <f>IF(Basicinfo!AS49="","",Basicinfo!AS49)</f>
        <v/>
      </c>
      <c r="AD49" s="131" t="str">
        <f>IF(Basicinfo!AT49="","",Basicinfo!AT49)</f>
        <v/>
      </c>
      <c r="AE49" s="174" t="str">
        <f t="shared" si="21"/>
        <v/>
      </c>
      <c r="AF49" s="19" t="str">
        <f t="shared" si="5"/>
        <v/>
      </c>
      <c r="AG49" s="27" t="str">
        <f t="shared" si="6"/>
        <v/>
      </c>
      <c r="AH49" s="56">
        <f>'Local emissions'!AE49-U49</f>
        <v>7.0618692794981541</v>
      </c>
      <c r="AI49" s="228">
        <f>'Local emissions'!AR49-W49</f>
        <v>0.2895309864700879</v>
      </c>
      <c r="AJ49" s="43">
        <f t="shared" si="7"/>
        <v>7.0618692794981408</v>
      </c>
      <c r="AK49" s="58">
        <f t="shared" si="8"/>
        <v>0.28953098647008779</v>
      </c>
      <c r="AL49" s="43">
        <f>TN!CI138</f>
        <v>0</v>
      </c>
      <c r="AM49" s="43">
        <f>TP!CI138</f>
        <v>0</v>
      </c>
      <c r="AN49" s="42">
        <f>TN!CI227+(AH49-AJ49)</f>
        <v>1.3322676295501878E-14</v>
      </c>
      <c r="AO49" s="43">
        <f>TP!CI227+(AI49-AK49)</f>
        <v>1.1102230246251565E-16</v>
      </c>
      <c r="AP49" s="42">
        <f t="shared" si="9"/>
        <v>7.0618692794981541</v>
      </c>
      <c r="AQ49" s="42">
        <f t="shared" si="10"/>
        <v>0.2895309864700879</v>
      </c>
      <c r="AR49" s="42">
        <f>AH49/'Local emissions'!AE49*100</f>
        <v>5.0686882293474271</v>
      </c>
      <c r="AS49" s="42">
        <f>AI49/'Local emissions'!AR49*100</f>
        <v>14.100450560203354</v>
      </c>
      <c r="AT49" s="42">
        <f t="shared" si="22"/>
        <v>5.0686882293474271</v>
      </c>
      <c r="AU49" s="42">
        <f t="shared" si="11"/>
        <v>14.100450560203354</v>
      </c>
      <c r="AV49" s="42">
        <f>('Summed emissions'!AE49-'River loads'!X49)/'Summed emissions'!AE49*100</f>
        <v>5.0686882293474271</v>
      </c>
      <c r="AW49" s="42">
        <f>('Summed emissions'!AR49-'River loads'!Z49)/'Summed emissions'!AR49*100</f>
        <v>14.100450560203354</v>
      </c>
      <c r="AX49" s="61">
        <f>X49/('Summed emissions'!$D49*100)*1000</f>
        <v>9.7126355184009405</v>
      </c>
      <c r="AY49" s="19">
        <f>Y49/('Summed emissions'!$D49*100)*1000</f>
        <v>9.3295386262870892</v>
      </c>
      <c r="AZ49" s="72">
        <f>Z49/('Summed emissions'!$D49*100)*1000</f>
        <v>0.12952585268384945</v>
      </c>
      <c r="BA49" s="43" t="str">
        <f>IF(AB49="","",AB49/('Summed emissions'!$D49*100)*1000)</f>
        <v/>
      </c>
      <c r="BB49" s="43" t="str">
        <f>IF(AC49="","",AC49/('Summed emissions'!$D49*100)*1000)</f>
        <v/>
      </c>
      <c r="BC49" s="43" t="str">
        <f>IF(AD49="","",AD49/('Summed emissions'!$D49*100)*1000)</f>
        <v/>
      </c>
      <c r="BF49" s="188">
        <f>('Summed emissions'!AE49-'River loads'!Y49)/'Summed emissions'!AE49*100</f>
        <v>8.8130777346189593</v>
      </c>
      <c r="BG49" s="188">
        <f>('Summed emissions'!AR49-'River loads'!Z49)/'Summed emissions'!AR49*100</f>
        <v>14.100450560203354</v>
      </c>
      <c r="BH49" s="181">
        <f>'Summed emissions'!CV49*(100-'River loads'!BG49)/100</f>
        <v>0.89508546536198674</v>
      </c>
      <c r="BI49" s="181">
        <f t="shared" si="12"/>
        <v>0.68026495367510997</v>
      </c>
      <c r="BJ49" s="233"/>
      <c r="BK49" s="233"/>
      <c r="BM49" s="31">
        <f t="shared" si="25"/>
        <v>5.1937232016177667E-3</v>
      </c>
      <c r="BN49" s="31"/>
      <c r="BO49" s="231"/>
      <c r="BP49" s="31">
        <f>BM49/Parameters!$C$156</f>
        <v>7.9903433871042553E-3</v>
      </c>
      <c r="BQ49" s="305" t="s">
        <v>934</v>
      </c>
      <c r="BR49" s="237">
        <f>Basicinfo!CW49</f>
        <v>0.03</v>
      </c>
      <c r="BS49" s="237">
        <f t="shared" si="13"/>
        <v>0.26634477957014185</v>
      </c>
      <c r="BT49" s="237"/>
      <c r="BU49" s="31">
        <f t="shared" si="31"/>
        <v>1.3466466305241818E-2</v>
      </c>
      <c r="BV49" s="232"/>
      <c r="BW49" s="31">
        <f t="shared" si="32"/>
        <v>0.96996788634160191</v>
      </c>
      <c r="BX49" s="31"/>
      <c r="BY49" s="231"/>
      <c r="BZ49" s="147">
        <f t="shared" si="16"/>
        <v>1.3107674139751377</v>
      </c>
      <c r="CA49" s="305"/>
      <c r="CB49" s="231">
        <f>Basicinfo!CV49</f>
        <v>5.5</v>
      </c>
      <c r="CC49" s="147">
        <f t="shared" si="17"/>
        <v>0.23832134799547958</v>
      </c>
      <c r="CD49" s="147"/>
      <c r="CE49" s="233">
        <f>'Local emissions'!FC49/14*62</f>
        <v>5.32</v>
      </c>
      <c r="CF49" s="233">
        <f>'Local emissions'!FD49/14*62</f>
        <v>5.3923051934562585</v>
      </c>
      <c r="CH49">
        <f t="shared" si="18"/>
        <v>0</v>
      </c>
      <c r="CI49">
        <f t="shared" si="19"/>
        <v>0</v>
      </c>
      <c r="CK49" s="276">
        <f>Basicinfo!EM49</f>
        <v>0</v>
      </c>
      <c r="CL49" s="276">
        <f>Basicinfo!EN49</f>
        <v>0</v>
      </c>
      <c r="CM49">
        <f t="shared" si="23"/>
        <v>2</v>
      </c>
      <c r="CN49">
        <f t="shared" si="24"/>
        <v>0</v>
      </c>
      <c r="CO49" s="31"/>
      <c r="CP49" s="270"/>
      <c r="CQ49" s="270"/>
      <c r="CR49" s="236"/>
      <c r="CS49" s="236"/>
      <c r="CT49" s="236"/>
      <c r="CU49" s="147">
        <f>'Summed emissions'!D49</f>
        <v>136.17471837900001</v>
      </c>
      <c r="CV49" s="188"/>
      <c r="CW49" s="188"/>
      <c r="CX49" s="188"/>
      <c r="CY49" s="188"/>
      <c r="DI49" s="31"/>
      <c r="DJ49" s="233"/>
      <c r="DK49" s="233"/>
      <c r="DR49" s="236">
        <f t="shared" si="2"/>
        <v>5.32</v>
      </c>
      <c r="DS49" s="236">
        <f t="shared" si="0"/>
        <v>5.3923051934562585</v>
      </c>
      <c r="DY49" s="31">
        <f>Basicinfo!EI49</f>
        <v>5.0964000000000001E-3</v>
      </c>
      <c r="DZ49" s="31">
        <f>Intermediate!CR49</f>
        <v>5.0964000000000001E-3</v>
      </c>
    </row>
    <row r="50" spans="1:135">
      <c r="A50" s="39" t="str">
        <f>Basicinfo!A50</f>
        <v>Steyr</v>
      </c>
      <c r="B50" s="63">
        <f>Basicinfo!B50</f>
        <v>1550</v>
      </c>
      <c r="C50" s="63">
        <f>Basicinfo!C50</f>
        <v>1560</v>
      </c>
      <c r="D50" s="61">
        <f>IF(Intermediate!D50=0,0,Basicinfo!AP50*86400*365/(Intermediate!D50*1000000))</f>
        <v>402.35325142706023</v>
      </c>
      <c r="E50" s="19">
        <f>IF(Intermediate!E50=0,0,IF((Intermediate!E50-Basicinfo!AA50)&lt;0,0,'Summed emissions'!E50*86400*365/((Intermediate!E50-Basicinfo!AA50)*1000000)))</f>
        <v>0</v>
      </c>
      <c r="F50" s="19">
        <f>IF(Basicinfo!AA50=0,0,'Summed emissions'!E50*86400*365/(Basicinfo!AA50*1000000))</f>
        <v>0</v>
      </c>
      <c r="G50" s="19">
        <f>IF(D50=0,1,1/(1+Parameters!$C$138*EXP(Parameters!$C$139*Basicinfo!AQ50)*D50^Parameters!$C$140))</f>
        <v>0.9815734472741231</v>
      </c>
      <c r="H50" s="19">
        <f>IF(D50=0,1,1/(1+Parameters!$C$141*EXP(Parameters!$C$142*Basicinfo!AQ50)*D50^Parameters!$C$143))</f>
        <v>0.96713619275351426</v>
      </c>
      <c r="I50" s="161">
        <f>IF(Intermediate!AS50=0,1,IF(D50=0,1/(1+Parameters!$C$144*Intermediate!AS50^Parameters!$C$145),(1/(1+Parameters!$C$144*Intermediate!AS50^Parameters!$C$145)+1/(1+Parameters!$C$146*D50^Parameters!$C$147))/2))</f>
        <v>0.93264269216192708</v>
      </c>
      <c r="J50" s="19">
        <f>IF(E50=0,1,1/(1+Parameters!$C$138*EXP(Parameters!$C$139*Basicinfo!AQ50)*E50^Parameters!$C$140))</f>
        <v>1</v>
      </c>
      <c r="K50" s="19">
        <f>IF(E50=0,1,1/(1+Parameters!$C$141*EXP(Parameters!$C$142*Basicinfo!AQ50)*E50^Parameters!$C$143))</f>
        <v>1</v>
      </c>
      <c r="L50" s="19">
        <f>IF(E50=0,1,1/(1+Parameters!$C$146*E50^Parameters!$C$147))</f>
        <v>1</v>
      </c>
      <c r="M50" s="53">
        <f>IF(F50=0,1,1/(1+Parameters!$C$138*EXP(Parameters!$C$139*Basicinfo!AQ50)*F50^Parameters!$C$140))</f>
        <v>1</v>
      </c>
      <c r="N50" s="53">
        <f>IF(F50=0,1,1/(1+Parameters!$C$141*EXP(Parameters!$C$142*Basicinfo!AQ50)*F50^Parameters!$C$143))</f>
        <v>1</v>
      </c>
      <c r="O50" s="53">
        <f>IF(F50=0,1,1/(1+Parameters!$C$146*F50^Parameters!$C$147))</f>
        <v>1</v>
      </c>
      <c r="P50" s="64">
        <f>Basicinfo!CE50+Basicinfo!CJ50</f>
        <v>0</v>
      </c>
      <c r="Q50" s="86">
        <f>Parameters!$C$126*Intermediate!BB50*Basicinfo!P50/1000+Parameters!$C$127*Intermediate!BB50*Basicinfo!S50/1000</f>
        <v>0</v>
      </c>
      <c r="R50" s="48">
        <f>'Local emissions'!AE50-P50-Q50</f>
        <v>28.651268096613041</v>
      </c>
      <c r="S50" s="48">
        <f>Basicinfo!CF50+Basicinfo!CK50</f>
        <v>0</v>
      </c>
      <c r="T50" s="86">
        <f>'Local emissions'!AR50-S50</f>
        <v>0.45361675116486172</v>
      </c>
      <c r="U50" s="61">
        <f t="shared" si="20"/>
        <v>28.123323994367567</v>
      </c>
      <c r="V50" s="27">
        <f t="shared" si="3"/>
        <v>27.709678344518565</v>
      </c>
      <c r="W50" s="27">
        <f t="shared" si="4"/>
        <v>0.42306234801614362</v>
      </c>
      <c r="X50" s="61">
        <f>U50+TN!CI50</f>
        <v>28.123323994367567</v>
      </c>
      <c r="Y50" s="27">
        <f>V50+DIN!CI50</f>
        <v>27.709678344518565</v>
      </c>
      <c r="Z50" s="27">
        <f>W50+TP!CI50</f>
        <v>0.42306234801614362</v>
      </c>
      <c r="AA50" s="73">
        <f>'Summed emissions'!E50</f>
        <v>1.5065033848160001</v>
      </c>
      <c r="AB50" s="131" t="str">
        <f>IF(Basicinfo!AR50="","",Basicinfo!AR50)</f>
        <v/>
      </c>
      <c r="AC50" s="131" t="str">
        <f>IF(Basicinfo!AS50="","",Basicinfo!AS50)</f>
        <v/>
      </c>
      <c r="AD50" s="131" t="str">
        <f>IF(Basicinfo!AT50="","",Basicinfo!AT50)</f>
        <v/>
      </c>
      <c r="AE50" s="174" t="str">
        <f t="shared" si="21"/>
        <v/>
      </c>
      <c r="AF50" s="19" t="str">
        <f t="shared" si="5"/>
        <v/>
      </c>
      <c r="AG50" s="27" t="str">
        <f t="shared" si="6"/>
        <v/>
      </c>
      <c r="AH50" s="56">
        <f>'Local emissions'!AE50-U50</f>
        <v>0.52794410224547406</v>
      </c>
      <c r="AI50" s="228">
        <f>'Local emissions'!AR50-W50</f>
        <v>3.0554403148718101E-2</v>
      </c>
      <c r="AJ50" s="43">
        <f t="shared" si="7"/>
        <v>0.52794410224547483</v>
      </c>
      <c r="AK50" s="58">
        <f t="shared" si="8"/>
        <v>3.0554403148718115E-2</v>
      </c>
      <c r="AL50" s="43">
        <f>TN!CI139</f>
        <v>0</v>
      </c>
      <c r="AM50" s="43">
        <f>TP!CI139</f>
        <v>0</v>
      </c>
      <c r="AN50" s="42">
        <f>TN!CI228+(AH50-AJ50)</f>
        <v>-7.7715611723760958E-16</v>
      </c>
      <c r="AO50" s="43">
        <f>TP!CI228+(AI50-AK50)</f>
        <v>-1.3877787807814457E-17</v>
      </c>
      <c r="AP50" s="42">
        <f t="shared" si="9"/>
        <v>0.52794410224547406</v>
      </c>
      <c r="AQ50" s="42">
        <f t="shared" si="10"/>
        <v>3.0554403148718101E-2</v>
      </c>
      <c r="AR50" s="42">
        <f>AH50/'Local emissions'!AE50*100</f>
        <v>1.8426552725876872</v>
      </c>
      <c r="AS50" s="42">
        <f>AI50/'Local emissions'!AR50*100</f>
        <v>6.7357307838072895</v>
      </c>
      <c r="AT50" s="42">
        <f t="shared" si="22"/>
        <v>1.8426552725876872</v>
      </c>
      <c r="AU50" s="42">
        <f t="shared" si="11"/>
        <v>6.7357307838072895</v>
      </c>
      <c r="AV50" s="42">
        <f>('Summed emissions'!AE50-'River loads'!X50)/'Summed emissions'!AE50*100</f>
        <v>1.8426552725876872</v>
      </c>
      <c r="AW50" s="42">
        <f>('Summed emissions'!AR50-'River loads'!Z50)/'Summed emissions'!AR50*100</f>
        <v>6.7357307838072895</v>
      </c>
      <c r="AX50" s="61">
        <f>X50/('Summed emissions'!$D50*100)*1000</f>
        <v>11.742853027738887</v>
      </c>
      <c r="AY50" s="19">
        <f>Y50/('Summed emissions'!$D50*100)*1000</f>
        <v>11.570135888302838</v>
      </c>
      <c r="AZ50" s="72">
        <f>Z50/('Summed emissions'!$D50*100)*1000</f>
        <v>0.17664906805890579</v>
      </c>
      <c r="BA50" s="43" t="str">
        <f>IF(AB50="","",AB50/('Summed emissions'!$D50*100)*1000)</f>
        <v/>
      </c>
      <c r="BB50" s="43" t="str">
        <f>IF(AC50="","",AC50/('Summed emissions'!$D50*100)*1000)</f>
        <v/>
      </c>
      <c r="BC50" s="43" t="str">
        <f>IF(AD50="","",AD50/('Summed emissions'!$D50*100)*1000)</f>
        <v/>
      </c>
      <c r="BF50" s="188">
        <f>('Summed emissions'!AE50-'River loads'!Y50)/'Summed emissions'!AE50*100</f>
        <v>3.2863807246485695</v>
      </c>
      <c r="BG50" s="188">
        <f>('Summed emissions'!AR50-'River loads'!Z50)/'Summed emissions'!AR50*100</f>
        <v>6.7357307838072895</v>
      </c>
      <c r="BH50" s="181">
        <f>'Summed emissions'!CV50*(100-'River loads'!BG50)/100</f>
        <v>0.25703282952205875</v>
      </c>
      <c r="BI50" s="181">
        <f t="shared" si="12"/>
        <v>0.19534495043676464</v>
      </c>
      <c r="BJ50" s="233"/>
      <c r="BK50" s="233">
        <f>Basicinfo!CQ50</f>
        <v>0</v>
      </c>
      <c r="BM50" s="31">
        <f t="shared" si="25"/>
        <v>4.1117383511124136E-3</v>
      </c>
      <c r="BN50" s="31"/>
      <c r="BO50" s="231"/>
      <c r="BP50" s="31">
        <f>BM50/Parameters!$C$156</f>
        <v>6.3257513094037128E-3</v>
      </c>
      <c r="BQ50" s="305" t="s">
        <v>934</v>
      </c>
      <c r="BR50" s="237">
        <f>Basicinfo!CW50</f>
        <v>1.4999999999999999E-2</v>
      </c>
      <c r="BS50" s="237">
        <f t="shared" si="13"/>
        <v>0.42171675396024755</v>
      </c>
      <c r="BT50" s="237"/>
      <c r="BU50" s="31">
        <f t="shared" si="31"/>
        <v>8.9048714971147781E-3</v>
      </c>
      <c r="BV50" s="232"/>
      <c r="BW50" s="31">
        <f t="shared" si="32"/>
        <v>0.58325002459189834</v>
      </c>
      <c r="BX50" s="31"/>
      <c r="BY50" s="231"/>
      <c r="BZ50" s="147">
        <f t="shared" si="16"/>
        <v>0.78817570890797073</v>
      </c>
      <c r="CA50" s="305"/>
      <c r="CB50" s="231">
        <f>Basicinfo!CV50</f>
        <v>4</v>
      </c>
      <c r="CC50" s="147">
        <f t="shared" si="17"/>
        <v>0.19704392722699268</v>
      </c>
      <c r="CD50" s="147"/>
      <c r="CE50" s="233">
        <f>'Local emissions'!FC50/14*62</f>
        <v>2.06</v>
      </c>
      <c r="CF50" s="233">
        <f>'Local emissions'!FD50/14*62</f>
        <v>2.4976937446165612</v>
      </c>
      <c r="CH50">
        <f t="shared" si="18"/>
        <v>0</v>
      </c>
      <c r="CI50">
        <f t="shared" si="19"/>
        <v>0</v>
      </c>
      <c r="CK50" s="276">
        <f>Basicinfo!EM50</f>
        <v>0</v>
      </c>
      <c r="CL50" s="276">
        <f>Basicinfo!EN50</f>
        <v>0</v>
      </c>
      <c r="CM50">
        <f t="shared" si="23"/>
        <v>2</v>
      </c>
      <c r="CN50">
        <f t="shared" si="24"/>
        <v>0</v>
      </c>
      <c r="CO50" s="31">
        <f t="shared" si="27"/>
        <v>0</v>
      </c>
      <c r="CP50" s="270"/>
      <c r="CQ50" s="270"/>
      <c r="CR50" s="236">
        <f t="shared" si="28"/>
        <v>0</v>
      </c>
      <c r="CS50" s="236"/>
      <c r="CT50" s="236"/>
      <c r="CU50" s="147">
        <f>'Summed emissions'!D50</f>
        <v>23.949311064300002</v>
      </c>
      <c r="CV50" s="252"/>
      <c r="CW50" s="252"/>
      <c r="CX50" s="188"/>
      <c r="CY50" s="188"/>
      <c r="DI50" s="31" t="e">
        <f>#REF!</f>
        <v>#REF!</v>
      </c>
      <c r="DJ50" s="233"/>
      <c r="DK50" s="233"/>
      <c r="DR50" s="236">
        <f t="shared" si="2"/>
        <v>2.06</v>
      </c>
      <c r="DS50" s="236">
        <f t="shared" si="0"/>
        <v>2.4976937446165612</v>
      </c>
      <c r="DY50" s="31">
        <f>Basicinfo!EI50</f>
        <v>3.555863157894737E-3</v>
      </c>
      <c r="DZ50" s="31">
        <f>Intermediate!CR50</f>
        <v>3.555863157894737E-3</v>
      </c>
    </row>
    <row r="51" spans="1:135">
      <c r="A51" s="39" t="str">
        <f>Basicinfo!A51</f>
        <v>Steyr</v>
      </c>
      <c r="B51" s="63">
        <f>Basicinfo!B51</f>
        <v>1560</v>
      </c>
      <c r="C51" s="63">
        <f>Basicinfo!C51</f>
        <v>4080</v>
      </c>
      <c r="D51" s="61">
        <f>IF(Intermediate!D51=0,0,Basicinfo!AP51*86400*365/(Intermediate!D51*1000000))</f>
        <v>130.77308504420486</v>
      </c>
      <c r="E51" s="19">
        <f>IF(Intermediate!E51=0,0,IF((Intermediate!E51-Basicinfo!AA51)&lt;0,0,'Summed emissions'!E51*86400*365/((Intermediate!E51-Basicinfo!AA51)*1000000)))</f>
        <v>758.19886820472357</v>
      </c>
      <c r="F51" s="19">
        <f>IF(Basicinfo!AA51=0,0,'Summed emissions'!E51*86400*365/(Basicinfo!AA51*1000000))</f>
        <v>0</v>
      </c>
      <c r="G51" s="19">
        <f>IF(D51=0,1,1/(1+Parameters!$C$138*EXP(Parameters!$C$139*Basicinfo!AQ51)*D51^Parameters!$C$140))</f>
        <v>0.94053166286843748</v>
      </c>
      <c r="H51" s="19">
        <f>IF(D51=0,1,1/(1+Parameters!$C$141*EXP(Parameters!$C$142*Basicinfo!AQ51)*D51^Parameters!$C$143))</f>
        <v>0.89730243070005944</v>
      </c>
      <c r="I51" s="161">
        <f>IF(Intermediate!AS51=0,1,IF(D51=0,1/(1+Parameters!$C$144*Intermediate!AS51^Parameters!$C$145),(1/(1+Parameters!$C$144*Intermediate!AS51^Parameters!$C$145)+1/(1+Parameters!$C$146*D51^Parameters!$C$147))/2))</f>
        <v>0.85322699393717261</v>
      </c>
      <c r="J51" s="19">
        <f>IF(E51=0,1,1/(1+Parameters!$C$138*EXP(Parameters!$C$139*Basicinfo!AQ51)*E51^Parameters!$C$140))</f>
        <v>0.98921209706139279</v>
      </c>
      <c r="K51" s="19">
        <f>IF(E51=0,1,1/(1+Parameters!$C$141*EXP(Parameters!$C$142*Basicinfo!AQ51)*E51^Parameters!$C$143))</f>
        <v>0.98064171316735826</v>
      </c>
      <c r="L51" s="19">
        <f>IF(E51=0,1,1/(1+Parameters!$C$146*E51^Parameters!$C$147))</f>
        <v>0.96716580712607536</v>
      </c>
      <c r="M51" s="53">
        <f>IF(F51=0,1,1/(1+Parameters!$C$138*EXP(Parameters!$C$139*Basicinfo!AQ51)*F51^Parameters!$C$140))</f>
        <v>1</v>
      </c>
      <c r="N51" s="53">
        <f>IF(F51=0,1,1/(1+Parameters!$C$141*EXP(Parameters!$C$142*Basicinfo!AQ51)*F51^Parameters!$C$143))</f>
        <v>1</v>
      </c>
      <c r="O51" s="53">
        <f>IF(F51=0,1,1/(1+Parameters!$C$146*F51^Parameters!$C$147))</f>
        <v>1</v>
      </c>
      <c r="P51" s="64">
        <f>Basicinfo!CE51+Basicinfo!CJ51</f>
        <v>2.624017166666667</v>
      </c>
      <c r="Q51" s="86">
        <f>Parameters!$C$126*Intermediate!BB51*Basicinfo!P51/1000+Parameters!$C$127*Intermediate!BB51*Basicinfo!S51/1000</f>
        <v>2.9999405419003523E-3</v>
      </c>
      <c r="R51" s="48">
        <f>'Local emissions'!AE51-P51-Q51</f>
        <v>648.56549895856199</v>
      </c>
      <c r="S51" s="48">
        <f>Basicinfo!CF51+Basicinfo!CK51</f>
        <v>0.38834383333333333</v>
      </c>
      <c r="T51" s="86">
        <f>'Local emissions'!AR51-S51</f>
        <v>13.265623140897301</v>
      </c>
      <c r="U51" s="61">
        <f t="shared" si="20"/>
        <v>612.62340432180281</v>
      </c>
      <c r="V51" s="27">
        <f t="shared" si="3"/>
        <v>584.58341585038124</v>
      </c>
      <c r="W51" s="27">
        <f t="shared" si="4"/>
        <v>11.706931588544531</v>
      </c>
      <c r="X51" s="61">
        <f>U51+TN!CI51</f>
        <v>1110.7696476119227</v>
      </c>
      <c r="Y51" s="27">
        <f>V51+DIN!CI51</f>
        <v>1063.6133028465736</v>
      </c>
      <c r="Z51" s="27">
        <f>W51+TP!CI51</f>
        <v>20.533691729017722</v>
      </c>
      <c r="AA51" s="73">
        <f>'Summed emissions'!E51</f>
        <v>36.397865284254081</v>
      </c>
      <c r="AB51" s="131">
        <f>IF(Basicinfo!AR51="","",Basicinfo!AR51)</f>
        <v>1186.032316235041</v>
      </c>
      <c r="AC51" s="131">
        <f>IF(Basicinfo!AS51="","",Basicinfo!AS51)</f>
        <v>1078.2111965773099</v>
      </c>
      <c r="AD51" s="131">
        <f>IF(Basicinfo!AT51="","",Basicinfo!AT51)</f>
        <v>11.447065116549499</v>
      </c>
      <c r="AE51" s="174">
        <f t="shared" si="21"/>
        <v>-6.3457519321255376</v>
      </c>
      <c r="AF51" s="19">
        <f t="shared" si="5"/>
        <v>-1.3538992895896484</v>
      </c>
      <c r="AG51" s="27">
        <f t="shared" si="6"/>
        <v>79.37953108462105</v>
      </c>
      <c r="AH51" s="56">
        <f>'Local emissions'!AE51-U51</f>
        <v>38.569111743967824</v>
      </c>
      <c r="AI51" s="228">
        <f>'Local emissions'!AR51-W51</f>
        <v>1.9470353856861031</v>
      </c>
      <c r="AJ51" s="43">
        <f t="shared" si="7"/>
        <v>38.569111743967824</v>
      </c>
      <c r="AK51" s="58">
        <f t="shared" si="8"/>
        <v>1.9470353856861029</v>
      </c>
      <c r="AL51" s="43">
        <f>TN!CI140</f>
        <v>5.4206435817157157</v>
      </c>
      <c r="AM51" s="43">
        <f>TP!CI140</f>
        <v>0.29965859294112457</v>
      </c>
      <c r="AN51" s="42">
        <f>TN!CI229+(AH51-AJ51)</f>
        <v>0</v>
      </c>
      <c r="AO51" s="43">
        <f>TP!CI229+(AI51-AK51)</f>
        <v>2.2204460492503131E-16</v>
      </c>
      <c r="AP51" s="42">
        <f t="shared" si="9"/>
        <v>43.989755325683539</v>
      </c>
      <c r="AQ51" s="42">
        <f t="shared" si="10"/>
        <v>2.2466939786272278</v>
      </c>
      <c r="AR51" s="42">
        <f>AH51/'Local emissions'!AE51*100</f>
        <v>5.9228432133996352</v>
      </c>
      <c r="AS51" s="42">
        <f>AI51/'Local emissions'!AR51*100</f>
        <v>14.259851289817652</v>
      </c>
      <c r="AT51" s="42">
        <f t="shared" si="22"/>
        <v>3.8094303639162823</v>
      </c>
      <c r="AU51" s="42">
        <f t="shared" si="11"/>
        <v>9.8624053493231756</v>
      </c>
      <c r="AV51" s="42">
        <f>('Summed emissions'!AE51-'River loads'!X51)/'Summed emissions'!AE51*100</f>
        <v>5.3263272002585014</v>
      </c>
      <c r="AW51" s="42">
        <f>('Summed emissions'!AR51-'River loads'!Z51)/'Summed emissions'!AR51*100</f>
        <v>13.603483906631572</v>
      </c>
      <c r="AX51" s="61">
        <f>X51/('Summed emissions'!$D51*100)*1000</f>
        <v>12.140053508643147</v>
      </c>
      <c r="AY51" s="19">
        <f>Y51/('Summed emissions'!$D51*100)*1000</f>
        <v>11.624662626335409</v>
      </c>
      <c r="AZ51" s="72">
        <f>Z51/('Summed emissions'!$D51*100)*1000</f>
        <v>0.22442107313266366</v>
      </c>
      <c r="BA51" s="43">
        <f>IF(AB51="","",AB51/('Summed emissions'!$D51*100)*1000)</f>
        <v>12.962629842316208</v>
      </c>
      <c r="BB51" s="43">
        <f>IF(AC51="","",AC51/('Summed emissions'!$D51*100)*1000)</f>
        <v>11.784208947560188</v>
      </c>
      <c r="BC51" s="43">
        <f>IF(AD51="","",AD51/('Summed emissions'!$D51*100)*1000)</f>
        <v>0.12510963306442952</v>
      </c>
      <c r="BF51" s="188">
        <f>('Summed emissions'!AE51-'River loads'!Y51)/'Summed emissions'!AE51*100</f>
        <v>9.3455803049366413</v>
      </c>
      <c r="BG51" s="188">
        <f>('Summed emissions'!AR51-'River loads'!Z51)/'Summed emissions'!AR51*100</f>
        <v>13.603483906631572</v>
      </c>
      <c r="BH51" s="181">
        <f>'Summed emissions'!CV51*(100-'River loads'!BG51)/100</f>
        <v>13.074912055289097</v>
      </c>
      <c r="BI51" s="181">
        <f t="shared" si="12"/>
        <v>9.9369331620197148</v>
      </c>
      <c r="BJ51" s="233"/>
      <c r="BK51" s="233">
        <f>Basicinfo!CQ51</f>
        <v>0</v>
      </c>
      <c r="BM51" s="31">
        <f t="shared" si="25"/>
        <v>8.6570484577437688E-3</v>
      </c>
      <c r="BN51" s="31"/>
      <c r="BO51" s="231"/>
      <c r="BP51" s="31">
        <f>BM51/Parameters!$C$156</f>
        <v>1.3318536088836567E-2</v>
      </c>
      <c r="BQ51" s="305" t="s">
        <v>934</v>
      </c>
      <c r="BR51" s="237">
        <f>Basicinfo!CW51</f>
        <v>0.05</v>
      </c>
      <c r="BS51" s="237">
        <f t="shared" si="13"/>
        <v>0.26637072177673132</v>
      </c>
      <c r="BT51" s="237"/>
      <c r="BU51" s="31">
        <f t="shared" si="31"/>
        <v>1.7888936296150782E-2</v>
      </c>
      <c r="BV51" s="232">
        <v>9.4368932038835004E-3</v>
      </c>
      <c r="BW51" s="31">
        <f t="shared" si="32"/>
        <v>0.92661908386753999</v>
      </c>
      <c r="BX51" s="31">
        <v>0.96720679611650495</v>
      </c>
      <c r="BY51" s="231">
        <f t="shared" si="1"/>
        <v>0.97609677419354823</v>
      </c>
      <c r="BZ51" s="147">
        <f t="shared" si="16"/>
        <v>1.2521879511723513</v>
      </c>
      <c r="CA51" s="305">
        <v>1.2063999999999999</v>
      </c>
      <c r="CB51" s="231">
        <f>Basicinfo!CV51</f>
        <v>4</v>
      </c>
      <c r="CC51" s="147">
        <f t="shared" si="17"/>
        <v>0.31304698779308782</v>
      </c>
      <c r="CD51" s="147"/>
      <c r="CE51" s="233">
        <f>'Local emissions'!FC51/14*62</f>
        <v>4.4371428571428577</v>
      </c>
      <c r="CF51" s="233">
        <f>'Local emissions'!FD51/14*62</f>
        <v>5.8124664556249375</v>
      </c>
      <c r="CH51">
        <f t="shared" si="18"/>
        <v>0</v>
      </c>
      <c r="CI51">
        <f t="shared" si="19"/>
        <v>0</v>
      </c>
      <c r="CK51" s="276">
        <f>Basicinfo!EM51</f>
        <v>0</v>
      </c>
      <c r="CL51" s="276">
        <f>Basicinfo!EN51</f>
        <v>0</v>
      </c>
      <c r="CM51">
        <f t="shared" si="23"/>
        <v>2</v>
      </c>
      <c r="CN51">
        <f t="shared" si="24"/>
        <v>0</v>
      </c>
      <c r="CO51" s="31">
        <f t="shared" si="27"/>
        <v>0</v>
      </c>
      <c r="CP51" s="270">
        <f>Basicinfo!DC51</f>
        <v>3.0053763440860237E-3</v>
      </c>
      <c r="CQ51" s="270">
        <f>Basicinfo!DD51</f>
        <v>5.0000000000000001E-3</v>
      </c>
      <c r="CR51" s="236">
        <f t="shared" si="28"/>
        <v>0.96720679611650495</v>
      </c>
      <c r="CS51" s="236">
        <f>Basicinfo!DK51</f>
        <v>0.97609677419354823</v>
      </c>
      <c r="CT51" s="236">
        <f>Basicinfo!DL51</f>
        <v>1.2129999999999999</v>
      </c>
      <c r="CU51" s="147">
        <f>'Summed emissions'!D51</f>
        <v>914.96272798230007</v>
      </c>
      <c r="CV51" s="188"/>
      <c r="CW51" s="188"/>
      <c r="CX51" s="188"/>
      <c r="CY51" s="188"/>
      <c r="DI51" s="31" t="e">
        <f>#REF!</f>
        <v>#REF!</v>
      </c>
      <c r="DJ51" s="233">
        <f>Basicinfo!DA51</f>
        <v>1.0639784946236543E-2</v>
      </c>
      <c r="DK51" s="233">
        <f>Basicinfo!DB51</f>
        <v>1.4E-2</v>
      </c>
      <c r="DR51" s="236">
        <f t="shared" si="2"/>
        <v>4.4371428571428577</v>
      </c>
      <c r="DS51" s="236">
        <f t="shared" si="0"/>
        <v>5.8124664556249375</v>
      </c>
      <c r="DY51" s="31">
        <f>Basicinfo!EI51</f>
        <v>6.6287789473684208E-3</v>
      </c>
      <c r="DZ51" s="31">
        <f>Intermediate!CR51</f>
        <v>6.6287789473684208E-3</v>
      </c>
    </row>
    <row r="52" spans="1:135">
      <c r="A52" s="39" t="str">
        <f>Basicinfo!A52</f>
        <v>Feldaist</v>
      </c>
      <c r="B52" s="63">
        <f>Basicinfo!B52</f>
        <v>1570</v>
      </c>
      <c r="C52" s="63">
        <f>Basicinfo!C52</f>
        <v>1580</v>
      </c>
      <c r="D52" s="61">
        <f>IF(Intermediate!D52=0,0,Basicinfo!AP52*86400*365/(Intermediate!D52*1000000))</f>
        <v>69.190740379529359</v>
      </c>
      <c r="E52" s="19">
        <f>IF(Intermediate!E52=0,0,IF((Intermediate!E52-Basicinfo!AA52)&lt;0,0,'Summed emissions'!E52*86400*365/((Intermediate!E52-Basicinfo!AA52)*1000000)))</f>
        <v>0</v>
      </c>
      <c r="F52" s="19">
        <f>IF(Basicinfo!AA52=0,0,'Summed emissions'!E52*86400*365/(Basicinfo!AA52*1000000))</f>
        <v>0</v>
      </c>
      <c r="G52" s="19">
        <f>IF(D52=0,1,1/(1+Parameters!$C$138*EXP(Parameters!$C$139*Basicinfo!AQ52)*D52^Parameters!$C$140))</f>
        <v>0.88944163298806145</v>
      </c>
      <c r="H52" s="19">
        <f>IF(D52=0,1,1/(1+Parameters!$C$141*EXP(Parameters!$C$142*Basicinfo!AQ52)*D52^Parameters!$C$143))</f>
        <v>0.81632632712419928</v>
      </c>
      <c r="I52" s="161">
        <f>IF(Intermediate!AS52=0,1,IF(D52=0,1/(1+Parameters!$C$144*Intermediate!AS52^Parameters!$C$145),(1/(1+Parameters!$C$144*Intermediate!AS52^Parameters!$C$145)+1/(1+Parameters!$C$146*D52^Parameters!$C$147))/2))</f>
        <v>0.69877902373403777</v>
      </c>
      <c r="J52" s="19">
        <f>IF(E52=0,1,1/(1+Parameters!$C$138*EXP(Parameters!$C$139*Basicinfo!AQ52)*E52^Parameters!$C$140))</f>
        <v>1</v>
      </c>
      <c r="K52" s="19">
        <f>IF(E52=0,1,1/(1+Parameters!$C$141*EXP(Parameters!$C$142*Basicinfo!AQ52)*E52^Parameters!$C$143))</f>
        <v>1</v>
      </c>
      <c r="L52" s="19">
        <f>IF(E52=0,1,1/(1+Parameters!$C$146*E52^Parameters!$C$147))</f>
        <v>1</v>
      </c>
      <c r="M52" s="53">
        <f>IF(F52=0,1,1/(1+Parameters!$C$138*EXP(Parameters!$C$139*Basicinfo!AQ52)*F52^Parameters!$C$140))</f>
        <v>1</v>
      </c>
      <c r="N52" s="53">
        <f>IF(F52=0,1,1/(1+Parameters!$C$141*EXP(Parameters!$C$142*Basicinfo!AQ52)*F52^Parameters!$C$143))</f>
        <v>1</v>
      </c>
      <c r="O52" s="53">
        <f>IF(F52=0,1,1/(1+Parameters!$C$146*F52^Parameters!$C$147))</f>
        <v>1</v>
      </c>
      <c r="P52" s="64">
        <f>Basicinfo!CE52+Basicinfo!CJ52</f>
        <v>0</v>
      </c>
      <c r="Q52" s="86">
        <f>Parameters!$C$126*Intermediate!BB52*Basicinfo!P52/1000+Parameters!$C$127*Intermediate!BB52*Basicinfo!S52/1000</f>
        <v>0</v>
      </c>
      <c r="R52" s="48">
        <f>'Local emissions'!AE52-P52-Q52</f>
        <v>63.818233423250234</v>
      </c>
      <c r="S52" s="48">
        <f>Basicinfo!CF52+Basicinfo!CK52</f>
        <v>0</v>
      </c>
      <c r="T52" s="86">
        <f>'Local emissions'!AR52-S52</f>
        <v>1.7967182545749898</v>
      </c>
      <c r="U52" s="61">
        <f t="shared" si="20"/>
        <v>56.762593750388973</v>
      </c>
      <c r="V52" s="27">
        <f t="shared" si="3"/>
        <v>52.096504093956682</v>
      </c>
      <c r="W52" s="27">
        <f t="shared" si="4"/>
        <v>1.2555090278570358</v>
      </c>
      <c r="X52" s="61">
        <f>U52+TN!CI52</f>
        <v>56.762593750388973</v>
      </c>
      <c r="Y52" s="27">
        <f>V52+DIN!CI52</f>
        <v>52.096504093956682</v>
      </c>
      <c r="Z52" s="27">
        <f>W52+TP!CI52</f>
        <v>1.2555090278570358</v>
      </c>
      <c r="AA52" s="73">
        <f>'Summed emissions'!E52</f>
        <v>0.66651881797970691</v>
      </c>
      <c r="AB52" s="131">
        <f>IF(Basicinfo!AR52="","",Basicinfo!AR52)</f>
        <v>83.104340877438645</v>
      </c>
      <c r="AC52" s="131">
        <f>IF(Basicinfo!AS52="","",Basicinfo!AS52)</f>
        <v>75.549400797671495</v>
      </c>
      <c r="AD52" s="131">
        <f>IF(Basicinfo!AT52="","",Basicinfo!AT52)</f>
        <v>2.3055408344691499</v>
      </c>
      <c r="AE52" s="174">
        <f t="shared" si="21"/>
        <v>-31.697197581890677</v>
      </c>
      <c r="AF52" s="19">
        <f t="shared" si="5"/>
        <v>-31.043127352556922</v>
      </c>
      <c r="AG52" s="27">
        <f t="shared" si="6"/>
        <v>-45.543839038265553</v>
      </c>
      <c r="AH52" s="56">
        <f>'Local emissions'!AE52-U52</f>
        <v>7.0556396728612611</v>
      </c>
      <c r="AI52" s="228">
        <f>'Local emissions'!AR52-W52</f>
        <v>0.54120922671795402</v>
      </c>
      <c r="AJ52" s="43">
        <f t="shared" si="7"/>
        <v>7.0556396728612629</v>
      </c>
      <c r="AK52" s="58">
        <f t="shared" si="8"/>
        <v>0.54120922671795413</v>
      </c>
      <c r="AL52" s="43">
        <f>TN!CI141</f>
        <v>0</v>
      </c>
      <c r="AM52" s="43">
        <f>TP!CI141</f>
        <v>0</v>
      </c>
      <c r="AN52" s="42">
        <f>TN!CI230+(AH52-AJ52)</f>
        <v>-1.7763568394002505E-15</v>
      </c>
      <c r="AO52" s="43">
        <f>TP!CI230+(AI52-AK52)</f>
        <v>-1.1102230246251565E-16</v>
      </c>
      <c r="AP52" s="42">
        <f t="shared" si="9"/>
        <v>7.0556396728612611</v>
      </c>
      <c r="AQ52" s="42">
        <f t="shared" si="10"/>
        <v>0.54120922671795402</v>
      </c>
      <c r="AR52" s="42">
        <f>AH52/'Local emissions'!AE52*100</f>
        <v>11.055836701193853</v>
      </c>
      <c r="AS52" s="42">
        <f>AI52/'Local emissions'!AR52*100</f>
        <v>30.122097626596219</v>
      </c>
      <c r="AT52" s="42">
        <f t="shared" si="22"/>
        <v>11.055836701193853</v>
      </c>
      <c r="AU52" s="42">
        <f t="shared" si="11"/>
        <v>30.122097626596219</v>
      </c>
      <c r="AV52" s="42">
        <f>('Summed emissions'!AE52-'River loads'!X52)/'Summed emissions'!AE52*100</f>
        <v>11.055836701193853</v>
      </c>
      <c r="AW52" s="42">
        <f>('Summed emissions'!AR52-'River loads'!Z52)/'Summed emissions'!AR52*100</f>
        <v>30.122097626596219</v>
      </c>
      <c r="AX52" s="61">
        <f>X52/('Summed emissions'!$D52*100)*1000</f>
        <v>8.7215243668016331</v>
      </c>
      <c r="AY52" s="19">
        <f>Y52/('Summed emissions'!$D52*100)*1000</f>
        <v>8.0045836502584198</v>
      </c>
      <c r="AZ52" s="72">
        <f>Z52/('Summed emissions'!$D52*100)*1000</f>
        <v>0.1929078968333707</v>
      </c>
      <c r="BA52" s="43">
        <f>IF(AB52="","",AB52/('Summed emissions'!$D52*100)*1000)</f>
        <v>12.768911461953824</v>
      </c>
      <c r="BB52" s="43">
        <f>IF(AC52="","",AC52/('Summed emissions'!$D52*100)*1000)</f>
        <v>11.60810132904893</v>
      </c>
      <c r="BC52" s="43">
        <f>IF(AD52="","",AD52/('Summed emissions'!$D52*100)*1000)</f>
        <v>0.35424439296946453</v>
      </c>
      <c r="BF52" s="188">
        <f>('Summed emissions'!AE52-'River loads'!Y52)/'Summed emissions'!AE52*100</f>
        <v>18.367367287580066</v>
      </c>
      <c r="BG52" s="188">
        <f>('Summed emissions'!AR52-'River loads'!Z52)/'Summed emissions'!AR52*100</f>
        <v>30.122097626596219</v>
      </c>
      <c r="BH52" s="181">
        <f>'Summed emissions'!CV52*(100-'River loads'!BG52)/100</f>
        <v>0.92514087671344758</v>
      </c>
      <c r="BI52" s="181">
        <f t="shared" si="12"/>
        <v>0.7031070663022202</v>
      </c>
      <c r="BJ52" s="233"/>
      <c r="BK52" s="233">
        <f>Basicinfo!CQ52</f>
        <v>0.75797421136143905</v>
      </c>
      <c r="BM52" s="31">
        <f t="shared" si="25"/>
        <v>3.345048663792894E-2</v>
      </c>
      <c r="BN52" s="31">
        <f>BK52*1000000/24/3600/365/$AA52</f>
        <v>3.606080417081492E-2</v>
      </c>
      <c r="BO52" s="231">
        <v>3.80679611650485E-2</v>
      </c>
      <c r="BP52" s="31">
        <f>BM52/Parameters!$C$156</f>
        <v>5.1462287135275293E-2</v>
      </c>
      <c r="BQ52" s="305">
        <v>6.3E-2</v>
      </c>
      <c r="BR52" s="237">
        <f>Basicinfo!CW52</f>
        <v>0.08</v>
      </c>
      <c r="BS52" s="237">
        <f t="shared" si="13"/>
        <v>0.64327858919094116</v>
      </c>
      <c r="BT52" s="237">
        <f t="shared" si="26"/>
        <v>0.78749999999999998</v>
      </c>
      <c r="BU52" s="31">
        <f t="shared" si="31"/>
        <v>5.9731141916982193E-2</v>
      </c>
      <c r="BV52" s="232">
        <v>8.9388349514563106E-2</v>
      </c>
      <c r="BW52" s="31">
        <f t="shared" si="32"/>
        <v>2.4785036271114</v>
      </c>
      <c r="BX52" s="31">
        <v>3.28247961165048</v>
      </c>
      <c r="BY52" s="231">
        <f t="shared" si="1"/>
        <v>3.2620102040816334</v>
      </c>
      <c r="BZ52" s="147">
        <f t="shared" si="16"/>
        <v>3.3493292258262164</v>
      </c>
      <c r="CA52" s="305">
        <v>4.1036000000000001</v>
      </c>
      <c r="CB52" s="231">
        <f>Basicinfo!CV52</f>
        <v>4</v>
      </c>
      <c r="CC52" s="147">
        <f t="shared" si="17"/>
        <v>0.8373323064565541</v>
      </c>
      <c r="CD52" s="147"/>
      <c r="CE52" s="233"/>
      <c r="CF52" s="233">
        <f>'Local emissions'!FD52/14*62</f>
        <v>17.211308222427895</v>
      </c>
      <c r="CH52">
        <f t="shared" si="18"/>
        <v>0</v>
      </c>
      <c r="CI52">
        <f t="shared" si="19"/>
        <v>1</v>
      </c>
      <c r="CK52" s="276">
        <f>Basicinfo!EM52</f>
        <v>0</v>
      </c>
      <c r="CL52" s="276">
        <f>Basicinfo!EN52</f>
        <v>1</v>
      </c>
      <c r="CM52">
        <f t="shared" si="23"/>
        <v>0</v>
      </c>
      <c r="CN52">
        <f t="shared" si="24"/>
        <v>1</v>
      </c>
      <c r="CO52" s="31">
        <f t="shared" si="27"/>
        <v>3.606080417081492E-2</v>
      </c>
      <c r="CP52" s="270">
        <f>Basicinfo!DC52</f>
        <v>4.6632653061224487E-2</v>
      </c>
      <c r="CQ52" s="270">
        <f>Basicinfo!DD52</f>
        <v>7.1999999999999995E-2</v>
      </c>
      <c r="CR52" s="236">
        <f t="shared" si="28"/>
        <v>3.28247961165048</v>
      </c>
      <c r="CS52" s="236">
        <f>Basicinfo!DK52</f>
        <v>3.2620102040816334</v>
      </c>
      <c r="CT52" s="236">
        <f>Basicinfo!DL52</f>
        <v>4.5079999999999991</v>
      </c>
      <c r="CU52" s="147">
        <f>'Summed emissions'!D52</f>
        <v>65.083340208799996</v>
      </c>
      <c r="CV52" s="188">
        <f t="shared" si="29"/>
        <v>-24.019133232319763</v>
      </c>
      <c r="CW52" s="188">
        <f t="shared" si="30"/>
        <v>-28.268103052143623</v>
      </c>
      <c r="CX52" s="188"/>
      <c r="CY52" s="188"/>
      <c r="DI52" s="31" t="e">
        <f>#REF!</f>
        <v>#REF!</v>
      </c>
      <c r="DJ52" s="233">
        <f>Basicinfo!DA52</f>
        <v>8.4112244897959224E-2</v>
      </c>
      <c r="DK52" s="233">
        <f>Basicinfo!DB52</f>
        <v>0.12</v>
      </c>
      <c r="DR52" s="236"/>
      <c r="DS52" s="236">
        <f t="shared" si="0"/>
        <v>17.211308222427895</v>
      </c>
      <c r="DY52" s="31"/>
      <c r="DZ52" s="31">
        <f>Intermediate!CR52</f>
        <v>4.5999999999999999E-2</v>
      </c>
    </row>
    <row r="53" spans="1:135">
      <c r="A53" s="39" t="str">
        <f>Basicinfo!A53</f>
        <v>Feldaist</v>
      </c>
      <c r="B53" s="63">
        <f>Basicinfo!B53</f>
        <v>1580</v>
      </c>
      <c r="C53" s="63">
        <f>Basicinfo!C53</f>
        <v>1600</v>
      </c>
      <c r="D53" s="61">
        <f>IF(Intermediate!D53=0,0,Basicinfo!AP53*86400*365/(Intermediate!D53*1000000))</f>
        <v>80.834966546563692</v>
      </c>
      <c r="E53" s="19">
        <f>IF(Intermediate!E53=0,0,IF((Intermediate!E53-Basicinfo!AA53)&lt;0,0,'Summed emissions'!E53*86400*365/((Intermediate!E53-Basicinfo!AA53)*1000000)))</f>
        <v>666.12239320554409</v>
      </c>
      <c r="F53" s="19">
        <f>IF(Basicinfo!AA53=0,0,'Summed emissions'!E53*86400*365/(Basicinfo!AA53*1000000))</f>
        <v>0</v>
      </c>
      <c r="G53" s="19">
        <f>IF(D53=0,1,1/(1+Parameters!$C$138*EXP(Parameters!$C$139*Basicinfo!AQ53)*D53^Parameters!$C$140))</f>
        <v>0.90008606395538571</v>
      </c>
      <c r="H53" s="19">
        <f>IF(D53=0,1,1/(1+Parameters!$C$141*EXP(Parameters!$C$142*Basicinfo!AQ53)*D53^Parameters!$C$143))</f>
        <v>0.83268601363698891</v>
      </c>
      <c r="I53" s="161">
        <f>IF(Intermediate!AS53=0,1,IF(D53=0,1/(1+Parameters!$C$144*Intermediate!AS53^Parameters!$C$145),(1/(1+Parameters!$C$144*Intermediate!AS53^Parameters!$C$145)+1/(1+Parameters!$C$146*D53^Parameters!$C$147))/2))</f>
        <v>0.70235475673094849</v>
      </c>
      <c r="J53" s="19">
        <f>IF(E53=0,1,1/(1+Parameters!$C$138*EXP(Parameters!$C$139*Basicinfo!AQ53)*E53^Parameters!$C$140))</f>
        <v>0.9867084355706498</v>
      </c>
      <c r="K53" s="19">
        <f>IF(E53=0,1,1/(1+Parameters!$C$141*EXP(Parameters!$C$142*Basicinfo!AQ53)*E53^Parameters!$C$143))</f>
        <v>0.97619689417147071</v>
      </c>
      <c r="L53" s="19">
        <f>IF(E53=0,1,1/(1+Parameters!$C$146*E53^Parameters!$C$147))</f>
        <v>0.96279607006713985</v>
      </c>
      <c r="M53" s="53">
        <f>IF(F53=0,1,1/(1+Parameters!$C$138*EXP(Parameters!$C$139*Basicinfo!AQ53)*F53^Parameters!$C$140))</f>
        <v>1</v>
      </c>
      <c r="N53" s="53">
        <f>IF(F53=0,1,1/(1+Parameters!$C$141*EXP(Parameters!$C$142*Basicinfo!AQ53)*F53^Parameters!$C$143))</f>
        <v>1</v>
      </c>
      <c r="O53" s="53">
        <f>IF(F53=0,1,1/(1+Parameters!$C$146*F53^Parameters!$C$147))</f>
        <v>1</v>
      </c>
      <c r="P53" s="64">
        <f>Basicinfo!CE53+Basicinfo!CJ53</f>
        <v>12.947146533333333</v>
      </c>
      <c r="Q53" s="86">
        <f>Parameters!$C$126*Intermediate!BB53*Basicinfo!P53/1000+Parameters!$C$127*Intermediate!BB53*Basicinfo!S53/1000</f>
        <v>0</v>
      </c>
      <c r="R53" s="48">
        <f>'Local emissions'!AE53-P53-Q53</f>
        <v>168.18252355464114</v>
      </c>
      <c r="S53" s="48">
        <f>Basicinfo!CF53+Basicinfo!CK53</f>
        <v>1.6290028333333335</v>
      </c>
      <c r="T53" s="86">
        <f>'Local emissions'!AR53-S53</f>
        <v>8.8692954373645279</v>
      </c>
      <c r="U53" s="61">
        <f t="shared" si="20"/>
        <v>164.3258921857142</v>
      </c>
      <c r="V53" s="27">
        <f t="shared" si="3"/>
        <v>152.99038163545643</v>
      </c>
      <c r="W53" s="27">
        <f t="shared" si="4"/>
        <v>7.8583946726184077</v>
      </c>
      <c r="X53" s="61">
        <f>U53+TN!CI53</f>
        <v>220.33402226409285</v>
      </c>
      <c r="Y53" s="27">
        <f>V53+DIN!CI53</f>
        <v>203.84682712916825</v>
      </c>
      <c r="Z53" s="27">
        <f>W53+TP!CI53</f>
        <v>9.0671938305729771</v>
      </c>
      <c r="AA53" s="73">
        <f>'Summed emissions'!E53</f>
        <v>2.591818342320177</v>
      </c>
      <c r="AB53" s="131">
        <f>IF(Basicinfo!AR53="","",Basicinfo!AR53)</f>
        <v>350.61286874010534</v>
      </c>
      <c r="AC53" s="131">
        <f>IF(Basicinfo!AS53="","",Basicinfo!AS53)</f>
        <v>318.73897158191397</v>
      </c>
      <c r="AD53" s="131">
        <f>IF(Basicinfo!AT53="","",Basicinfo!AT53)</f>
        <v>13.660576820034001</v>
      </c>
      <c r="AE53" s="174">
        <f t="shared" si="21"/>
        <v>-37.157462857583454</v>
      </c>
      <c r="AF53" s="19">
        <f t="shared" si="5"/>
        <v>-36.045841486697263</v>
      </c>
      <c r="AG53" s="27">
        <f t="shared" si="6"/>
        <v>-33.625102731566727</v>
      </c>
      <c r="AH53" s="56">
        <f>'Local emissions'!AE53-U53</f>
        <v>16.803777902260265</v>
      </c>
      <c r="AI53" s="228">
        <f>'Local emissions'!AR53-W53</f>
        <v>2.639903598079453</v>
      </c>
      <c r="AJ53" s="43">
        <f t="shared" si="7"/>
        <v>16.803777902260251</v>
      </c>
      <c r="AK53" s="58">
        <f t="shared" si="8"/>
        <v>2.6399035980794534</v>
      </c>
      <c r="AL53" s="43">
        <f>TN!CI142</f>
        <v>0.75446367201032605</v>
      </c>
      <c r="AM53" s="43">
        <f>TP!CI142</f>
        <v>4.6709869902466519E-2</v>
      </c>
      <c r="AN53" s="42">
        <f>TN!CI231+(AH53-AJ53)</f>
        <v>1.4210854715202004E-14</v>
      </c>
      <c r="AO53" s="43">
        <f>TP!CI231+(AI53-AK53)</f>
        <v>-4.4408920985006262E-16</v>
      </c>
      <c r="AP53" s="42">
        <f t="shared" si="9"/>
        <v>17.558241574270593</v>
      </c>
      <c r="AQ53" s="42">
        <f t="shared" si="10"/>
        <v>2.6866134679819194</v>
      </c>
      <c r="AR53" s="42">
        <f>AH53/'Local emissions'!AE53*100</f>
        <v>9.2772089156341373</v>
      </c>
      <c r="AS53" s="42">
        <f>AI53/'Local emissions'!AR53*100</f>
        <v>25.146014430241266</v>
      </c>
      <c r="AT53" s="42">
        <f t="shared" si="22"/>
        <v>7.3807534936069157</v>
      </c>
      <c r="AU53" s="42">
        <f t="shared" si="11"/>
        <v>22.857389097337272</v>
      </c>
      <c r="AV53" s="42">
        <f>('Summed emissions'!AE53-'River loads'!X53)/'Summed emissions'!AE53*100</f>
        <v>10.048618867237586</v>
      </c>
      <c r="AW53" s="42">
        <f>('Summed emissions'!AR53-'River loads'!Z53)/'Summed emissions'!AR53*100</f>
        <v>26.253097651922356</v>
      </c>
      <c r="AX53" s="61">
        <f>X53/('Summed emissions'!$D53*100)*1000</f>
        <v>8.3762660552416026</v>
      </c>
      <c r="AY53" s="19">
        <f>Y53/('Summed emissions'!$D53*100)*1000</f>
        <v>7.7494852633524367</v>
      </c>
      <c r="AZ53" s="72">
        <f>Z53/('Summed emissions'!$D53*100)*1000</f>
        <v>0.34470041039913302</v>
      </c>
      <c r="BA53" s="43">
        <f>IF(AB53="","",AB53/('Summed emissions'!$D53*100)*1000)</f>
        <v>13.328974984346891</v>
      </c>
      <c r="BB53" s="43">
        <f>IF(AC53="","",AC53/('Summed emissions'!$D53*100)*1000)</f>
        <v>12.117249985769902</v>
      </c>
      <c r="BC53" s="43">
        <f>IF(AD53="","",AD53/('Summed emissions'!$D53*100)*1000)</f>
        <v>0.51932345598230623</v>
      </c>
      <c r="BF53" s="188">
        <f>('Summed emissions'!AE53-'River loads'!Y53)/'Summed emissions'!AE53*100</f>
        <v>16.779517518986644</v>
      </c>
      <c r="BG53" s="188">
        <f>('Summed emissions'!AR53-'River loads'!Z53)/'Summed emissions'!AR53*100</f>
        <v>26.253097651922356</v>
      </c>
      <c r="BH53" s="181">
        <f>'Summed emissions'!CV53*(100-'River loads'!BG53)/100</f>
        <v>7.595029940014034</v>
      </c>
      <c r="BI53" s="181">
        <f t="shared" si="12"/>
        <v>5.7722227544106657</v>
      </c>
      <c r="BJ53" s="233"/>
      <c r="BK53" s="233"/>
      <c r="BM53" s="31">
        <f t="shared" si="25"/>
        <v>7.0620683493759967E-2</v>
      </c>
      <c r="BN53" s="31"/>
      <c r="BO53" s="231">
        <v>5.8000000000000003E-2</v>
      </c>
      <c r="BP53" s="31">
        <f>BM53/Parameters!$C$156</f>
        <v>0.10864720537501533</v>
      </c>
      <c r="BQ53" s="305">
        <v>0.10680000000000001</v>
      </c>
      <c r="BR53" s="237">
        <f>Basicinfo!CW53</f>
        <v>0.1</v>
      </c>
      <c r="BS53" s="237">
        <f t="shared" si="13"/>
        <v>1.0864720537501533</v>
      </c>
      <c r="BT53" s="237">
        <f t="shared" si="26"/>
        <v>1.0680000000000001</v>
      </c>
      <c r="BU53" s="31">
        <f t="shared" si="31"/>
        <v>0.11093324927493101</v>
      </c>
      <c r="BV53" s="232">
        <v>0.138815533980582</v>
      </c>
      <c r="BW53" s="31">
        <f t="shared" si="32"/>
        <v>2.4939789873660172</v>
      </c>
      <c r="BX53" s="31">
        <v>3.36867961165049</v>
      </c>
      <c r="BY53" s="231">
        <f t="shared" si="1"/>
        <v>3.6285408163265314</v>
      </c>
      <c r="BZ53" s="147">
        <f t="shared" si="16"/>
        <v>3.3702418748189422</v>
      </c>
      <c r="CA53" s="305">
        <v>4.6924000000000001</v>
      </c>
      <c r="CB53" s="231">
        <f>Basicinfo!CV53</f>
        <v>5.5</v>
      </c>
      <c r="CC53" s="147">
        <f t="shared" si="17"/>
        <v>0.61277124996708043</v>
      </c>
      <c r="CD53" s="147"/>
      <c r="CE53" s="233">
        <f>'Local emissions'!FC53/14*62</f>
        <v>21.610000000000003</v>
      </c>
      <c r="CF53" s="233">
        <f>'Local emissions'!FD53/14*62</f>
        <v>15.619067551413028</v>
      </c>
      <c r="CH53">
        <f t="shared" si="18"/>
        <v>1</v>
      </c>
      <c r="CI53">
        <f t="shared" si="19"/>
        <v>0</v>
      </c>
      <c r="CK53" s="276">
        <f>Basicinfo!EM53</f>
        <v>1</v>
      </c>
      <c r="CL53" s="276">
        <f>Basicinfo!EN53</f>
        <v>0</v>
      </c>
      <c r="CM53">
        <f t="shared" si="23"/>
        <v>1</v>
      </c>
      <c r="CN53">
        <f t="shared" si="24"/>
        <v>0</v>
      </c>
      <c r="CO53" s="31"/>
      <c r="CP53" s="270">
        <f>Basicinfo!DC53</f>
        <v>8.515306122448979E-2</v>
      </c>
      <c r="CQ53" s="270">
        <f>Basicinfo!DD53</f>
        <v>0.15</v>
      </c>
      <c r="CR53" s="236">
        <f t="shared" si="28"/>
        <v>3.36867961165049</v>
      </c>
      <c r="CS53" s="236">
        <f>Basicinfo!DK53</f>
        <v>3.6285408163265314</v>
      </c>
      <c r="CT53" s="236">
        <f>Basicinfo!DL53</f>
        <v>5.2382999999999997</v>
      </c>
      <c r="CU53" s="147">
        <f>'Summed emissions'!D53</f>
        <v>263.0456349058</v>
      </c>
      <c r="CV53" s="188">
        <f t="shared" si="29"/>
        <v>-31.267715767605004</v>
      </c>
      <c r="CW53" s="188">
        <f t="shared" si="30"/>
        <v>-17.066183554362166</v>
      </c>
      <c r="CX53" s="188"/>
      <c r="CY53" s="188"/>
      <c r="DC53" s="232">
        <f>CT53</f>
        <v>5.2382999999999997</v>
      </c>
      <c r="DH53" s="232">
        <f>CQ53</f>
        <v>0.15</v>
      </c>
      <c r="DI53" s="31">
        <f>DJ53</f>
        <v>0.12622448979591838</v>
      </c>
      <c r="DJ53" s="233">
        <f>Basicinfo!DA53</f>
        <v>0.12622448979591838</v>
      </c>
      <c r="DK53" s="233">
        <f>Basicinfo!DB53</f>
        <v>0.21299999999999997</v>
      </c>
      <c r="DP53" s="31">
        <f>DI53</f>
        <v>0.12622448979591838</v>
      </c>
      <c r="DR53" s="236">
        <f t="shared" si="2"/>
        <v>21.610000000000003</v>
      </c>
      <c r="DS53" s="236">
        <f t="shared" si="0"/>
        <v>15.619067551413028</v>
      </c>
      <c r="DX53" s="181">
        <f>DR53</f>
        <v>21.610000000000003</v>
      </c>
      <c r="DY53" s="31">
        <f>Basicinfo!EI53</f>
        <v>4.591238684210526E-2</v>
      </c>
      <c r="DZ53" s="31">
        <f>Intermediate!CR53</f>
        <v>0.11969880290276348</v>
      </c>
      <c r="EE53" s="31">
        <f>DY53</f>
        <v>4.591238684210526E-2</v>
      </c>
    </row>
    <row r="54" spans="1:135">
      <c r="A54" s="39" t="str">
        <f>Basicinfo!A54</f>
        <v>Waldaist</v>
      </c>
      <c r="B54" s="63">
        <f>Basicinfo!B54</f>
        <v>1590</v>
      </c>
      <c r="C54" s="63">
        <f>Basicinfo!C54</f>
        <v>1600</v>
      </c>
      <c r="D54" s="61">
        <f>IF(Intermediate!D54=0,0,Basicinfo!AP54*86400*365/(Intermediate!D54*1000000))</f>
        <v>78.550701014689579</v>
      </c>
      <c r="E54" s="19">
        <f>IF(Intermediate!E54=0,0,IF((Intermediate!E54-Basicinfo!AA54)&lt;0,0,'Summed emissions'!E54*86400*365/((Intermediate!E54-Basicinfo!AA54)*1000000)))</f>
        <v>0</v>
      </c>
      <c r="F54" s="19">
        <f>IF(Basicinfo!AA54=0,0,'Summed emissions'!E54*86400*365/(Basicinfo!AA54*1000000))</f>
        <v>0</v>
      </c>
      <c r="G54" s="19">
        <f>IF(D54=0,1,1/(1+Parameters!$C$138*EXP(Parameters!$C$139*Basicinfo!AQ54)*D54^Parameters!$C$140))</f>
        <v>0.90262112013701579</v>
      </c>
      <c r="H54" s="19">
        <f>IF(D54=0,1,1/(1+Parameters!$C$141*EXP(Parameters!$C$142*Basicinfo!AQ54)*D54^Parameters!$C$143))</f>
        <v>0.83662076155074472</v>
      </c>
      <c r="I54" s="161">
        <f>IF(Intermediate!AS54=0,1,IF(D54=0,1/(1+Parameters!$C$144*Intermediate!AS54^Parameters!$C$145),(1/(1+Parameters!$C$144*Intermediate!AS54^Parameters!$C$145)+1/(1+Parameters!$C$146*D54^Parameters!$C$147))/2))</f>
        <v>0.73555690542888863</v>
      </c>
      <c r="J54" s="19">
        <f>IF(E54=0,1,1/(1+Parameters!$C$138*EXP(Parameters!$C$139*Basicinfo!AQ54)*E54^Parameters!$C$140))</f>
        <v>1</v>
      </c>
      <c r="K54" s="19">
        <f>IF(E54=0,1,1/(1+Parameters!$C$141*EXP(Parameters!$C$142*Basicinfo!AQ54)*E54^Parameters!$C$143))</f>
        <v>1</v>
      </c>
      <c r="L54" s="19">
        <f>IF(E54=0,1,1/(1+Parameters!$C$146*E54^Parameters!$C$147))</f>
        <v>1</v>
      </c>
      <c r="M54" s="53">
        <f>IF(F54=0,1,1/(1+Parameters!$C$138*EXP(Parameters!$C$139*Basicinfo!AQ54)*F54^Parameters!$C$140))</f>
        <v>1</v>
      </c>
      <c r="N54" s="53">
        <f>IF(F54=0,1,1/(1+Parameters!$C$141*EXP(Parameters!$C$142*Basicinfo!AQ54)*F54^Parameters!$C$143))</f>
        <v>1</v>
      </c>
      <c r="O54" s="53">
        <f>IF(F54=0,1,1/(1+Parameters!$C$146*F54^Parameters!$C$147))</f>
        <v>1</v>
      </c>
      <c r="P54" s="64">
        <f>Basicinfo!CE54+Basicinfo!CJ54</f>
        <v>0</v>
      </c>
      <c r="Q54" s="86">
        <f>Parameters!$C$126*Intermediate!BB54*Basicinfo!P54/1000+Parameters!$C$127*Intermediate!BB54*Basicinfo!S54/1000</f>
        <v>1.2146348669454587</v>
      </c>
      <c r="R54" s="48">
        <f>'Local emissions'!AE54-P54-Q54</f>
        <v>207.32988020125416</v>
      </c>
      <c r="S54" s="48">
        <f>Basicinfo!CF54+Basicinfo!CK54</f>
        <v>0</v>
      </c>
      <c r="T54" s="86">
        <f>'Local emissions'!AR54-S54</f>
        <v>6.9396933861528511</v>
      </c>
      <c r="U54" s="61">
        <f t="shared" si="20"/>
        <v>188.35496357207478</v>
      </c>
      <c r="V54" s="27">
        <f t="shared" si="3"/>
        <v>173.45648226619792</v>
      </c>
      <c r="W54" s="27">
        <f t="shared" si="4"/>
        <v>5.1045393917439164</v>
      </c>
      <c r="X54" s="61">
        <f>U54+TN!CI54</f>
        <v>188.35496357207478</v>
      </c>
      <c r="Y54" s="27">
        <f>V54+DIN!CI54</f>
        <v>173.45648226619792</v>
      </c>
      <c r="Z54" s="27">
        <f>W54+TP!CI54</f>
        <v>5.1045393917439164</v>
      </c>
      <c r="AA54" s="73">
        <f>'Summed emissions'!E54</f>
        <v>3.6506930601064198</v>
      </c>
      <c r="AB54" s="131">
        <f>IF(Basicinfo!AR54="","",Basicinfo!AR54)</f>
        <v>226.25008305051682</v>
      </c>
      <c r="AC54" s="131">
        <f>IF(Basicinfo!AS54="","",Basicinfo!AS54)</f>
        <v>205.68189368228801</v>
      </c>
      <c r="AD54" s="131">
        <f>IF(Basicinfo!AT54="","",Basicinfo!AT54)</f>
        <v>10.0594511988613</v>
      </c>
      <c r="AE54" s="174">
        <f t="shared" si="21"/>
        <v>-16.749217930665182</v>
      </c>
      <c r="AF54" s="19">
        <f t="shared" si="5"/>
        <v>-15.667597589250079</v>
      </c>
      <c r="AG54" s="27">
        <f t="shared" si="6"/>
        <v>-49.256283560262858</v>
      </c>
      <c r="AH54" s="56">
        <f>'Local emissions'!AE54-U54</f>
        <v>20.189551496124835</v>
      </c>
      <c r="AI54" s="228">
        <f>'Local emissions'!AR54-W54</f>
        <v>1.8351539944089348</v>
      </c>
      <c r="AJ54" s="43">
        <f t="shared" si="7"/>
        <v>20.189551496124839</v>
      </c>
      <c r="AK54" s="58">
        <f t="shared" si="8"/>
        <v>1.8351539944089346</v>
      </c>
      <c r="AL54" s="43">
        <f>TN!CI143</f>
        <v>0</v>
      </c>
      <c r="AM54" s="43">
        <f>TP!CI143</f>
        <v>0</v>
      </c>
      <c r="AN54" s="42">
        <f>TN!CI232+(AH54-AJ54)</f>
        <v>-3.5527136788005009E-15</v>
      </c>
      <c r="AO54" s="43">
        <f>TP!CI232+(AI54-AK54)</f>
        <v>2.2204460492503131E-16</v>
      </c>
      <c r="AP54" s="42">
        <f t="shared" si="9"/>
        <v>20.189551496124835</v>
      </c>
      <c r="AQ54" s="42">
        <f t="shared" si="10"/>
        <v>1.8351539944089348</v>
      </c>
      <c r="AR54" s="42">
        <f>AH54/'Local emissions'!AE54*100</f>
        <v>9.6811711828154827</v>
      </c>
      <c r="AS54" s="42">
        <f>AI54/'Local emissions'!AR54*100</f>
        <v>26.444309457111142</v>
      </c>
      <c r="AT54" s="42">
        <f t="shared" si="22"/>
        <v>9.6811711828154827</v>
      </c>
      <c r="AU54" s="42">
        <f t="shared" si="11"/>
        <v>26.444309457111142</v>
      </c>
      <c r="AV54" s="42">
        <f>('Summed emissions'!AE54-'River loads'!X54)/'Summed emissions'!AE54*100</f>
        <v>9.6811711828154827</v>
      </c>
      <c r="AW54" s="42">
        <f>('Summed emissions'!AR54-'River loads'!Z54)/'Summed emissions'!AR54*100</f>
        <v>26.444309457111142</v>
      </c>
      <c r="AX54" s="61">
        <f>X54/('Summed emissions'!$D54*100)*1000</f>
        <v>6.6774473386300057</v>
      </c>
      <c r="AY54" s="19">
        <f>Y54/('Summed emissions'!$D54*100)*1000</f>
        <v>6.1492753039838979</v>
      </c>
      <c r="AZ54" s="344">
        <f>Z54/('Summed emissions'!$D54*100)*1000</f>
        <v>0.18096307275326762</v>
      </c>
      <c r="BA54" s="43">
        <f>IF(AB54="","",AB54/('Summed emissions'!$D54*100)*1000)</f>
        <v>8.020882414136052</v>
      </c>
      <c r="BB54" s="43">
        <f>IF(AC54="","",AC54/('Summed emissions'!$D54*100)*1000)</f>
        <v>7.2917112855782289</v>
      </c>
      <c r="BC54" s="43">
        <f>IF(AD54="","",AD54/('Summed emissions'!$D54*100)*1000)</f>
        <v>0.35662163800749203</v>
      </c>
      <c r="BF54" s="188">
        <f>('Summed emissions'!AE54-'River loads'!Y54)/'Summed emissions'!AE54*100</f>
        <v>16.825200504806837</v>
      </c>
      <c r="BG54" s="188">
        <f>('Summed emissions'!AR54-'River loads'!Z54)/'Summed emissions'!AR54*100</f>
        <v>26.444309457111142</v>
      </c>
      <c r="BH54" s="181">
        <f>'Summed emissions'!CV54*(100-'River loads'!BG54)/100</f>
        <v>3.960289704622121</v>
      </c>
      <c r="BI54" s="181">
        <f t="shared" si="12"/>
        <v>3.0098201755128122</v>
      </c>
      <c r="BJ54" s="233"/>
      <c r="BK54" s="233">
        <f>Basicinfo!CQ54</f>
        <v>1.78613184248956</v>
      </c>
      <c r="BM54" s="31">
        <f t="shared" si="25"/>
        <v>2.6143192567185294E-2</v>
      </c>
      <c r="BN54" s="31">
        <f>BK54*1000000/24/3600/365/$AA54</f>
        <v>1.5514278589959326E-2</v>
      </c>
      <c r="BO54" s="231">
        <v>1.54271844660194E-2</v>
      </c>
      <c r="BP54" s="31">
        <f>BM54/Parameters!$C$156</f>
        <v>4.0220296257208146E-2</v>
      </c>
      <c r="BQ54" s="305">
        <v>2.2800000000000001E-2</v>
      </c>
      <c r="BR54" s="237">
        <f>Basicinfo!CW54</f>
        <v>0.1</v>
      </c>
      <c r="BS54" s="237">
        <f t="shared" si="13"/>
        <v>0.40220296257208143</v>
      </c>
      <c r="BT54" s="237">
        <f t="shared" si="26"/>
        <v>0.22800000000000001</v>
      </c>
      <c r="BU54" s="31">
        <f t="shared" si="31"/>
        <v>4.4337850271206687E-2</v>
      </c>
      <c r="BV54" s="232">
        <v>6.2854368932038801E-2</v>
      </c>
      <c r="BW54" s="31">
        <f t="shared" si="32"/>
        <v>1.5066369262871828</v>
      </c>
      <c r="BX54" s="31">
        <v>1.64063932038835</v>
      </c>
      <c r="BY54" s="231">
        <f t="shared" si="1"/>
        <v>1.6773163265306126</v>
      </c>
      <c r="BZ54" s="147">
        <f t="shared" si="16"/>
        <v>2.0359958463340311</v>
      </c>
      <c r="CA54" s="305">
        <v>2.12182</v>
      </c>
      <c r="CB54" s="231">
        <f>Basicinfo!CV54</f>
        <v>5.5</v>
      </c>
      <c r="CC54" s="147">
        <f t="shared" si="17"/>
        <v>0.37018106296982384</v>
      </c>
      <c r="CD54" s="147"/>
      <c r="CE54" s="233">
        <f>'Local emissions'!FC54/14*62</f>
        <v>4.7866666666666653</v>
      </c>
      <c r="CF54" s="233">
        <f>'Local emissions'!FD54/14*62</f>
        <v>10.911566046286872</v>
      </c>
      <c r="CH54">
        <f t="shared" si="18"/>
        <v>0</v>
      </c>
      <c r="CI54">
        <f t="shared" si="19"/>
        <v>0</v>
      </c>
      <c r="CK54" s="276">
        <f>Basicinfo!EM54</f>
        <v>0</v>
      </c>
      <c r="CL54" s="276">
        <f>Basicinfo!EN54</f>
        <v>0</v>
      </c>
      <c r="CM54">
        <f t="shared" si="23"/>
        <v>0</v>
      </c>
      <c r="CN54">
        <f t="shared" si="24"/>
        <v>0</v>
      </c>
      <c r="CO54" s="31">
        <f t="shared" si="27"/>
        <v>1.5514278589959326E-2</v>
      </c>
      <c r="CP54" s="270">
        <f>Basicinfo!DC54</f>
        <v>1.3091836734693874E-2</v>
      </c>
      <c r="CQ54" s="270">
        <f>Basicinfo!DD54</f>
        <v>2.0299999999999999E-2</v>
      </c>
      <c r="CR54" s="236">
        <f t="shared" si="28"/>
        <v>1.64063932038835</v>
      </c>
      <c r="CS54" s="236">
        <f>Basicinfo!DK54</f>
        <v>1.6773163265306126</v>
      </c>
      <c r="CT54" s="236">
        <f>Basicinfo!DL54</f>
        <v>2.4239999999999999</v>
      </c>
      <c r="CU54" s="147">
        <f>'Summed emissions'!D54</f>
        <v>282.07629954999999</v>
      </c>
      <c r="CV54" s="188">
        <f t="shared" si="29"/>
        <v>-10.175743092924261</v>
      </c>
      <c r="CW54" s="188">
        <f t="shared" si="30"/>
        <v>99.69079279689474</v>
      </c>
      <c r="CX54" s="188"/>
      <c r="CY54" s="188"/>
      <c r="DI54" s="31" t="e">
        <f>#REF!</f>
        <v>#REF!</v>
      </c>
      <c r="DJ54" s="233">
        <f>Basicinfo!DA54</f>
        <v>3.7397959183673439E-2</v>
      </c>
      <c r="DK54" s="233">
        <f>Basicinfo!DB54</f>
        <v>6.0599999999999994E-2</v>
      </c>
      <c r="DR54" s="236">
        <f t="shared" si="2"/>
        <v>4.7866666666666653</v>
      </c>
      <c r="DS54" s="236">
        <f t="shared" si="0"/>
        <v>10.911566046286872</v>
      </c>
      <c r="DY54" s="31">
        <f>Basicinfo!EI54</f>
        <v>3.732748070175438E-2</v>
      </c>
      <c r="DZ54" s="31">
        <f>Intermediate!CR54</f>
        <v>3.732748070175438E-2</v>
      </c>
    </row>
    <row r="55" spans="1:135">
      <c r="A55" s="39" t="str">
        <f>Basicinfo!A55</f>
        <v>Aist</v>
      </c>
      <c r="B55" s="63">
        <f>Basicinfo!B55</f>
        <v>1600</v>
      </c>
      <c r="C55" s="63">
        <f>Basicinfo!C55</f>
        <v>5020</v>
      </c>
      <c r="D55" s="61">
        <f>IF(Intermediate!D55=0,0,Basicinfo!AP55*86400*365/(Intermediate!D55*1000000))</f>
        <v>66.043557166613397</v>
      </c>
      <c r="E55" s="19">
        <f>IF(Intermediate!E55=0,0,IF((Intermediate!E55-Basicinfo!AA55)&lt;0,0,'Summed emissions'!E55*86400*365/((Intermediate!E55-Basicinfo!AA55)*1000000)))</f>
        <v>2480.7708681424688</v>
      </c>
      <c r="F55" s="19">
        <f>IF(Basicinfo!AA55=0,0,'Summed emissions'!E55*86400*365/(Basicinfo!AA55*1000000))</f>
        <v>0</v>
      </c>
      <c r="G55" s="19">
        <f>IF(D55=0,1,1/(1+Parameters!$C$138*EXP(Parameters!$C$139*Basicinfo!AQ55)*D55^Parameters!$C$140))</f>
        <v>0.87991260563886242</v>
      </c>
      <c r="H55" s="19">
        <f>IF(D55=0,1,1/(1+Parameters!$C$141*EXP(Parameters!$C$142*Basicinfo!AQ55)*D55^Parameters!$C$143))</f>
        <v>0.80189906128606381</v>
      </c>
      <c r="I55" s="161">
        <f>IF(Intermediate!AS55=0,1,IF(D55=0,1/(1+Parameters!$C$144*Intermediate!AS55^Parameters!$C$145),(1/(1+Parameters!$C$144*Intermediate!AS55^Parameters!$C$145)+1/(1+Parameters!$C$146*D55^Parameters!$C$147))/2))</f>
        <v>0.69547446328107065</v>
      </c>
      <c r="J55" s="19">
        <f>IF(E55=0,1,1/(1+Parameters!$C$138*EXP(Parameters!$C$139*Basicinfo!AQ55)*E55^Parameters!$C$140))</f>
        <v>0.99637984953520875</v>
      </c>
      <c r="K55" s="19">
        <f>IF(E55=0,1,1/(1+Parameters!$C$141*EXP(Parameters!$C$142*Basicinfo!AQ55)*E55^Parameters!$C$143))</f>
        <v>0.9934662315181676</v>
      </c>
      <c r="L55" s="19">
        <f>IF(E55=0,1,1/(1+Parameters!$C$146*E55^Parameters!$C$147))</f>
        <v>0.98973074470685396</v>
      </c>
      <c r="M55" s="53">
        <f>IF(F55=0,1,1/(1+Parameters!$C$138*EXP(Parameters!$C$139*Basicinfo!AQ55)*F55^Parameters!$C$140))</f>
        <v>1</v>
      </c>
      <c r="N55" s="53">
        <f>IF(F55=0,1,1/(1+Parameters!$C$141*EXP(Parameters!$C$142*Basicinfo!AQ55)*F55^Parameters!$C$143))</f>
        <v>1</v>
      </c>
      <c r="O55" s="53">
        <f>IF(F55=0,1,1/(1+Parameters!$C$146*F55^Parameters!$C$147))</f>
        <v>1</v>
      </c>
      <c r="P55" s="64">
        <f>Basicinfo!CE55+Basicinfo!CJ55</f>
        <v>2.9462612666666663</v>
      </c>
      <c r="Q55" s="86">
        <f>Parameters!$C$126*Intermediate!BB55*Basicinfo!P55/1000+Parameters!$C$127*Intermediate!BB55*Basicinfo!S55/1000</f>
        <v>1.4937850780520181E-3</v>
      </c>
      <c r="R55" s="48">
        <f>'Local emissions'!AE55-P55-Q55</f>
        <v>84.857204997574172</v>
      </c>
      <c r="S55" s="48">
        <f>Basicinfo!CF55+Basicinfo!CK55</f>
        <v>0.61756300000000008</v>
      </c>
      <c r="T55" s="86">
        <f>'Local emissions'!AR55-S55</f>
        <v>4.5385403470478423</v>
      </c>
      <c r="U55" s="61">
        <f t="shared" si="20"/>
        <v>77.614679408391311</v>
      </c>
      <c r="V55" s="27">
        <f t="shared" si="3"/>
        <v>70.993174297580481</v>
      </c>
      <c r="W55" s="27">
        <f t="shared" si="4"/>
        <v>3.7740019119425825</v>
      </c>
      <c r="X55" s="61">
        <f>U55+TN!CI55</f>
        <v>484.82854678350725</v>
      </c>
      <c r="Y55" s="27">
        <f>V55+DIN!CI55</f>
        <v>445.8312712219282</v>
      </c>
      <c r="Z55" s="27">
        <f>W55+TP!CI55</f>
        <v>17.800201987853146</v>
      </c>
      <c r="AA55" s="73">
        <f>'Summed emissions'!E55</f>
        <v>7.3531097449164475</v>
      </c>
      <c r="AB55" s="131">
        <f>IF(Basicinfo!AR55="","",Basicinfo!AR55)</f>
        <v>730.68974513121407</v>
      </c>
      <c r="AC55" s="131">
        <f>IF(Basicinfo!AS55="","",Basicinfo!AS55)</f>
        <v>664.26340466474005</v>
      </c>
      <c r="AD55" s="131">
        <f>IF(Basicinfo!AT55="","",Basicinfo!AT55)</f>
        <v>32.784468276737101</v>
      </c>
      <c r="AE55" s="174">
        <f t="shared" si="21"/>
        <v>-33.647823852181773</v>
      </c>
      <c r="AF55" s="19">
        <f t="shared" si="5"/>
        <v>-32.88336101445428</v>
      </c>
      <c r="AG55" s="27">
        <f t="shared" si="6"/>
        <v>-45.705381470274908</v>
      </c>
      <c r="AH55" s="56">
        <f>'Local emissions'!AE55-U55</f>
        <v>10.190280640927583</v>
      </c>
      <c r="AI55" s="228">
        <f>'Local emissions'!AR55-W55</f>
        <v>1.3821014351052603</v>
      </c>
      <c r="AJ55" s="43">
        <f t="shared" si="7"/>
        <v>10.190280640927584</v>
      </c>
      <c r="AK55" s="58">
        <f t="shared" si="8"/>
        <v>1.3821014351052601</v>
      </c>
      <c r="AL55" s="43">
        <f>TN!CI144</f>
        <v>1.4751184610517423</v>
      </c>
      <c r="AM55" s="43">
        <f>TP!CI144</f>
        <v>0.14553314640633133</v>
      </c>
      <c r="AN55" s="42">
        <f>TN!CI233+(AH55-AJ55)</f>
        <v>-1.7763568394002505E-15</v>
      </c>
      <c r="AO55" s="43">
        <f>TP!CI233+(AI55-AK55)</f>
        <v>2.2204460492503131E-16</v>
      </c>
      <c r="AP55" s="42">
        <f t="shared" si="9"/>
        <v>11.665399101979325</v>
      </c>
      <c r="AQ55" s="42">
        <f t="shared" si="10"/>
        <v>1.5276345815115917</v>
      </c>
      <c r="AR55" s="42">
        <f>AH55/'Local emissions'!AE55*100</f>
        <v>11.605586558212469</v>
      </c>
      <c r="AS55" s="42">
        <f>AI55/'Local emissions'!AR55*100</f>
        <v>26.805153855121826</v>
      </c>
      <c r="AT55" s="42">
        <f t="shared" si="22"/>
        <v>2.3495551554358491</v>
      </c>
      <c r="AU55" s="42">
        <f t="shared" si="11"/>
        <v>7.9038053536366464</v>
      </c>
      <c r="AV55" s="42">
        <f>('Summed emissions'!AE55-'River loads'!X55)/'Summed emissions'!AE55*100</f>
        <v>10.432127343436841</v>
      </c>
      <c r="AW55" s="42">
        <f>('Summed emissions'!AR55-'River loads'!Z55)/'Summed emissions'!AR55*100</f>
        <v>27.020875445105425</v>
      </c>
      <c r="AX55" s="61">
        <f>X55/('Summed emissions'!$D55*100)*1000</f>
        <v>7.4584124090314488</v>
      </c>
      <c r="AY55" s="19">
        <f>Y55/('Summed emissions'!$D55*100)*1000</f>
        <v>6.8584936008330981</v>
      </c>
      <c r="AZ55" s="344">
        <f>Z55/('Summed emissions'!$D55*100)*1000</f>
        <v>0.27383133330379711</v>
      </c>
      <c r="BA55" s="43">
        <f>IF(AB55="","",AB55/('Summed emissions'!$D55*100)*1000)</f>
        <v>11.240644756572454</v>
      </c>
      <c r="BB55" s="43">
        <f>IF(AC55="","",AC55/('Summed emissions'!$D55*100)*1000)</f>
        <v>10.218767960520413</v>
      </c>
      <c r="BC55" s="43">
        <f>IF(AD55="","",AD55/('Summed emissions'!$D55*100)*1000)</f>
        <v>0.50434341509164593</v>
      </c>
      <c r="BF55" s="188">
        <f>('Summed emissions'!AE55-'River loads'!Y55)/'Summed emissions'!AE55*100</f>
        <v>17.636536066119</v>
      </c>
      <c r="BG55" s="188">
        <f>('Summed emissions'!AR55-'River loads'!Z55)/'Summed emissions'!AR55*100</f>
        <v>27.020875445105425</v>
      </c>
      <c r="BH55" s="181">
        <f>'Summed emissions'!CV55*(100-'River loads'!BG55)/100</f>
        <v>14.051734827602948</v>
      </c>
      <c r="BI55" s="181">
        <f t="shared" si="12"/>
        <v>10.67931846897824</v>
      </c>
      <c r="BJ55" s="233"/>
      <c r="BK55" s="233">
        <f>Basicinfo!CQ55</f>
        <v>8.8756207834758598</v>
      </c>
      <c r="BM55" s="31">
        <f t="shared" si="25"/>
        <v>4.6053843737854226E-2</v>
      </c>
      <c r="BN55" s="31">
        <f>BK55*1000000/24/3600/365/$AA55</f>
        <v>3.8275518594751388E-2</v>
      </c>
      <c r="BO55" s="231">
        <v>3.9588235294117598E-2</v>
      </c>
      <c r="BP55" s="31">
        <f>BM55/Parameters!$C$156</f>
        <v>7.0852067289006504E-2</v>
      </c>
      <c r="BQ55" s="305">
        <v>6.1899999999999997E-2</v>
      </c>
      <c r="BR55" s="237">
        <f>Basicinfo!CW55</f>
        <v>0.05</v>
      </c>
      <c r="BS55" s="237">
        <f t="shared" si="13"/>
        <v>1.4170413457801301</v>
      </c>
      <c r="BT55" s="237">
        <f t="shared" si="26"/>
        <v>1.2379999999999998</v>
      </c>
      <c r="BU55" s="31">
        <f t="shared" si="31"/>
        <v>7.6762175716749051E-2</v>
      </c>
      <c r="BV55" s="232">
        <v>0.11993137254902</v>
      </c>
      <c r="BW55" s="31">
        <f t="shared" si="32"/>
        <v>1.922617417763743</v>
      </c>
      <c r="BX55" s="31">
        <v>2.5323215686274501</v>
      </c>
      <c r="BY55" s="231">
        <f t="shared" si="1"/>
        <v>2.6619183673469382</v>
      </c>
      <c r="BZ55" s="147">
        <f t="shared" si="16"/>
        <v>2.5981316456266796</v>
      </c>
      <c r="CA55" s="305">
        <v>3.4390000000000001</v>
      </c>
      <c r="CB55" s="231">
        <f>Basicinfo!CV55</f>
        <v>4</v>
      </c>
      <c r="CC55" s="147">
        <f t="shared" si="17"/>
        <v>0.64953291140666991</v>
      </c>
      <c r="CD55" s="147"/>
      <c r="CE55" s="233">
        <f>'Local emissions'!FC55/14*62</f>
        <v>25.2575</v>
      </c>
      <c r="CF55" s="233">
        <f>'Local emissions'!FD55/14*62</f>
        <v>14.919854509197387</v>
      </c>
      <c r="CH55">
        <f t="shared" si="18"/>
        <v>2</v>
      </c>
      <c r="CI55">
        <f t="shared" si="19"/>
        <v>0</v>
      </c>
      <c r="CK55" s="276">
        <f>Basicinfo!EM55</f>
        <v>1</v>
      </c>
      <c r="CL55" s="276">
        <f>Basicinfo!EN55</f>
        <v>0</v>
      </c>
      <c r="CM55">
        <f t="shared" si="23"/>
        <v>1</v>
      </c>
      <c r="CN55">
        <f t="shared" si="24"/>
        <v>0</v>
      </c>
      <c r="CO55" s="31">
        <f t="shared" si="27"/>
        <v>3.8275518594751388E-2</v>
      </c>
      <c r="CP55" s="270">
        <f>Basicinfo!DC55</f>
        <v>4.3795918367346927E-2</v>
      </c>
      <c r="CQ55" s="270">
        <f>Basicinfo!DD55</f>
        <v>6.83E-2</v>
      </c>
      <c r="CR55" s="236">
        <f t="shared" si="28"/>
        <v>2.5323215686274501</v>
      </c>
      <c r="CS55" s="236">
        <f>Basicinfo!DK55</f>
        <v>2.6619183673469382</v>
      </c>
      <c r="CT55" s="236">
        <f>Basicinfo!DL55</f>
        <v>3.8723000000000001</v>
      </c>
      <c r="CU55" s="147">
        <f>'Summed emissions'!D55</f>
        <v>650.04255623680001</v>
      </c>
      <c r="CV55" s="188">
        <f t="shared" si="29"/>
        <v>-27.773238978775915</v>
      </c>
      <c r="CW55" s="188">
        <f t="shared" si="30"/>
        <v>5.1555611908134988</v>
      </c>
      <c r="CX55" s="188"/>
      <c r="CY55" s="188"/>
      <c r="DI55" s="31" t="e">
        <f>#REF!</f>
        <v>#REF!</v>
      </c>
      <c r="DJ55" s="233">
        <f>Basicinfo!DA55</f>
        <v>7.9193877551020433E-2</v>
      </c>
      <c r="DK55" s="233">
        <f>Basicinfo!DB55</f>
        <v>0.13</v>
      </c>
      <c r="DR55" s="236">
        <f t="shared" si="2"/>
        <v>25.2575</v>
      </c>
      <c r="DS55" s="236">
        <f t="shared" si="0"/>
        <v>14.919854509197387</v>
      </c>
      <c r="DY55" s="31">
        <f>Basicinfo!EI55</f>
        <v>4.4428465789473681E-2</v>
      </c>
      <c r="DZ55" s="31">
        <f>Intermediate!CR55</f>
        <v>4.4428465789473681E-2</v>
      </c>
    </row>
    <row r="56" spans="1:135">
      <c r="A56" s="39" t="str">
        <f>Basicinfo!A56</f>
        <v>Klammbach</v>
      </c>
      <c r="B56" s="63">
        <f>Basicinfo!B56</f>
        <v>1620</v>
      </c>
      <c r="C56" s="63">
        <f>Basicinfo!C56</f>
        <v>1640</v>
      </c>
      <c r="D56" s="61">
        <f>IF(Intermediate!D56=0,0,Basicinfo!AP56*86400*365/(Intermediate!D56*1000000))</f>
        <v>93.084524209494361</v>
      </c>
      <c r="E56" s="19">
        <f>IF(Intermediate!E56=0,0,IF((Intermediate!E56-Basicinfo!AA56)&lt;0,0,'Summed emissions'!E56*86400*365/((Intermediate!E56-Basicinfo!AA56)*1000000)))</f>
        <v>0</v>
      </c>
      <c r="F56" s="19">
        <f>IF(Basicinfo!AA56=0,0,'Summed emissions'!E56*86400*365/(Basicinfo!AA56*1000000))</f>
        <v>0</v>
      </c>
      <c r="G56" s="19">
        <f>IF(D56=0,1,1/(1+Parameters!$C$138*EXP(Parameters!$C$139*Basicinfo!AQ56)*D56^Parameters!$C$140))</f>
        <v>0.91584659079830666</v>
      </c>
      <c r="H56" s="19">
        <f>IF(D56=0,1,1/(1+Parameters!$C$141*EXP(Parameters!$C$142*Basicinfo!AQ56)*D56^Parameters!$C$143))</f>
        <v>0.85739383969824567</v>
      </c>
      <c r="I56" s="161">
        <f>IF(Intermediate!AS56=0,1,IF(D56=0,1/(1+Parameters!$C$144*Intermediate!AS56^Parameters!$C$145),(1/(1+Parameters!$C$144*Intermediate!AS56^Parameters!$C$145)+1/(1+Parameters!$C$146*D56^Parameters!$C$147))/2))</f>
        <v>0.74102857258261245</v>
      </c>
      <c r="J56" s="19">
        <f>IF(E56=0,1,1/(1+Parameters!$C$138*EXP(Parameters!$C$139*Basicinfo!AQ56)*E56^Parameters!$C$140))</f>
        <v>1</v>
      </c>
      <c r="K56" s="19">
        <f>IF(E56=0,1,1/(1+Parameters!$C$141*EXP(Parameters!$C$142*Basicinfo!AQ56)*E56^Parameters!$C$143))</f>
        <v>1</v>
      </c>
      <c r="L56" s="19">
        <f>IF(E56=0,1,1/(1+Parameters!$C$146*E56^Parameters!$C$147))</f>
        <v>1</v>
      </c>
      <c r="M56" s="53">
        <f>IF(F56=0,1,1/(1+Parameters!$C$138*EXP(Parameters!$C$139*Basicinfo!AQ56)*F56^Parameters!$C$140))</f>
        <v>1</v>
      </c>
      <c r="N56" s="53">
        <f>IF(F56=0,1,1/(1+Parameters!$C$141*EXP(Parameters!$C$142*Basicinfo!AQ56)*F56^Parameters!$C$143))</f>
        <v>1</v>
      </c>
      <c r="O56" s="53">
        <f>IF(F56=0,1,1/(1+Parameters!$C$146*F56^Parameters!$C$147))</f>
        <v>1</v>
      </c>
      <c r="P56" s="64">
        <f>Basicinfo!CE56+Basicinfo!CJ56</f>
        <v>0</v>
      </c>
      <c r="Q56" s="86">
        <f>Parameters!$C$126*Intermediate!BB56*Basicinfo!P56/1000+Parameters!$C$127*Intermediate!BB56*Basicinfo!S56/1000</f>
        <v>4.5949526660851777E-3</v>
      </c>
      <c r="R56" s="48">
        <f>'Local emissions'!AE56-P56-Q56</f>
        <v>72.287705100465132</v>
      </c>
      <c r="S56" s="48">
        <f>Basicinfo!CF56+Basicinfo!CK56</f>
        <v>0</v>
      </c>
      <c r="T56" s="86">
        <f>'Local emissions'!AR56-S56</f>
        <v>3.6600166178917353</v>
      </c>
      <c r="U56" s="61">
        <f t="shared" si="20"/>
        <v>66.209043225560436</v>
      </c>
      <c r="V56" s="27">
        <f t="shared" si="3"/>
        <v>61.979033039062259</v>
      </c>
      <c r="W56" s="27">
        <f t="shared" si="4"/>
        <v>2.7121768899849537</v>
      </c>
      <c r="X56" s="61">
        <f>U56+TN!CI56</f>
        <v>66.209043225560436</v>
      </c>
      <c r="Y56" s="27">
        <f>V56+DIN!CI56</f>
        <v>61.979033039062259</v>
      </c>
      <c r="Z56" s="27">
        <f>W56+TP!CI56</f>
        <v>2.7121768899849537</v>
      </c>
      <c r="AA56" s="73">
        <f>'Summed emissions'!E56</f>
        <v>1.1829493162937501</v>
      </c>
      <c r="AB56" s="131" t="str">
        <f>IF(Basicinfo!AR56="","",Basicinfo!AR56)</f>
        <v/>
      </c>
      <c r="AC56" s="131" t="str">
        <f>IF(Basicinfo!AS56="","",Basicinfo!AS56)</f>
        <v/>
      </c>
      <c r="AD56" s="131" t="str">
        <f>IF(Basicinfo!AT56="","",Basicinfo!AT56)</f>
        <v/>
      </c>
      <c r="AE56" s="174" t="str">
        <f t="shared" si="21"/>
        <v/>
      </c>
      <c r="AF56" s="19" t="str">
        <f t="shared" si="5"/>
        <v/>
      </c>
      <c r="AG56" s="27" t="str">
        <f t="shared" si="6"/>
        <v/>
      </c>
      <c r="AH56" s="56">
        <f>'Local emissions'!AE56-U56</f>
        <v>6.0832568275707786</v>
      </c>
      <c r="AI56" s="228">
        <f>'Local emissions'!AR56-W56</f>
        <v>0.94783972790678162</v>
      </c>
      <c r="AJ56" s="43">
        <f t="shared" si="7"/>
        <v>6.0832568275707768</v>
      </c>
      <c r="AK56" s="58">
        <f t="shared" si="8"/>
        <v>0.94783972790678173</v>
      </c>
      <c r="AL56" s="43">
        <f>TN!CI145</f>
        <v>0</v>
      </c>
      <c r="AM56" s="43">
        <f>TP!CI145</f>
        <v>0</v>
      </c>
      <c r="AN56" s="42">
        <f>TN!CI234+(AH56-AJ56)</f>
        <v>1.7763568394002505E-15</v>
      </c>
      <c r="AO56" s="43">
        <f>TP!CI234+(AI56-AK56)</f>
        <v>-1.1102230246251565E-16</v>
      </c>
      <c r="AP56" s="42">
        <f t="shared" si="9"/>
        <v>6.0832568275707786</v>
      </c>
      <c r="AQ56" s="42">
        <f t="shared" si="10"/>
        <v>0.94783972790678162</v>
      </c>
      <c r="AR56" s="42">
        <f>AH56/'Local emissions'!AE56*100</f>
        <v>8.4148060348057676</v>
      </c>
      <c r="AS56" s="42">
        <f>AI56/'Local emissions'!AR56*100</f>
        <v>25.897142741738747</v>
      </c>
      <c r="AT56" s="42">
        <f t="shared" si="22"/>
        <v>8.4148060348057676</v>
      </c>
      <c r="AU56" s="42">
        <f t="shared" si="11"/>
        <v>25.897142741738747</v>
      </c>
      <c r="AV56" s="42">
        <f>('Summed emissions'!AE56-'River loads'!X56)/'Summed emissions'!AE56*100</f>
        <v>8.4148060348057676</v>
      </c>
      <c r="AW56" s="42">
        <f>('Summed emissions'!AR56-'River loads'!Z56)/'Summed emissions'!AR56*100</f>
        <v>25.897142741738747</v>
      </c>
      <c r="AX56" s="61">
        <f>X56/('Summed emissions'!$D56*100)*1000</f>
        <v>6.7017015539703975</v>
      </c>
      <c r="AY56" s="19">
        <f>Y56/('Summed emissions'!$D56*100)*1000</f>
        <v>6.2735385046481342</v>
      </c>
      <c r="AZ56" s="72">
        <f>Z56/('Summed emissions'!$D56*100)*1000</f>
        <v>0.27452745414749807</v>
      </c>
      <c r="BA56" s="43" t="str">
        <f>IF(AB56="","",AB56/('Summed emissions'!$D56*100)*1000)</f>
        <v/>
      </c>
      <c r="BB56" s="43" t="str">
        <f>IF(AC56="","",AC56/('Summed emissions'!$D56*100)*1000)</f>
        <v/>
      </c>
      <c r="BC56" s="43" t="str">
        <f>IF(AD56="","",AD56/('Summed emissions'!$D56*100)*1000)</f>
        <v/>
      </c>
      <c r="BF56" s="188">
        <f>('Summed emissions'!AE56-'River loads'!Y56)/'Summed emissions'!AE56*100</f>
        <v>14.26606568955369</v>
      </c>
      <c r="BG56" s="188">
        <f>('Summed emissions'!AR56-'River loads'!Z56)/'Summed emissions'!AR56*100</f>
        <v>25.897142741738747</v>
      </c>
      <c r="BH56" s="181">
        <f>'Summed emissions'!CV56*(100-'River loads'!BG56)/100</f>
        <v>1.9666178629804756</v>
      </c>
      <c r="BI56" s="181">
        <f t="shared" si="12"/>
        <v>1.4946295758651615</v>
      </c>
      <c r="BJ56" s="233"/>
      <c r="BK56" s="233"/>
      <c r="BM56" s="31">
        <f t="shared" si="25"/>
        <v>4.0064601492780759E-2</v>
      </c>
      <c r="BN56" s="31"/>
      <c r="BO56" s="231"/>
      <c r="BP56" s="31">
        <f>BM56/Parameters!$C$156</f>
        <v>6.1637848450431937E-2</v>
      </c>
      <c r="BQ56" s="305" t="s">
        <v>934</v>
      </c>
      <c r="BR56" s="237">
        <f>Basicinfo!CW56</f>
        <v>0.05</v>
      </c>
      <c r="BS56" s="237">
        <f t="shared" si="13"/>
        <v>1.2327569690086386</v>
      </c>
      <c r="BT56" s="237"/>
      <c r="BU56" s="31">
        <f t="shared" si="31"/>
        <v>7.2701817246107844E-2</v>
      </c>
      <c r="BV56" s="232"/>
      <c r="BW56" s="31">
        <f t="shared" si="32"/>
        <v>1.6613917586774301</v>
      </c>
      <c r="BX56" s="31"/>
      <c r="BY56" s="231"/>
      <c r="BZ56" s="147">
        <f t="shared" si="16"/>
        <v>2.2451239982127436</v>
      </c>
      <c r="CA56" s="305"/>
      <c r="CB56" s="231">
        <f>Basicinfo!CV56</f>
        <v>4</v>
      </c>
      <c r="CC56" s="147">
        <f t="shared" si="17"/>
        <v>0.56128099955318589</v>
      </c>
      <c r="CD56" s="147"/>
      <c r="CE56" s="233"/>
      <c r="CF56" s="233">
        <f>'Local emissions'!FD56/14*62</f>
        <v>11.079334106588766</v>
      </c>
      <c r="CH56">
        <f t="shared" si="18"/>
        <v>1</v>
      </c>
      <c r="CI56">
        <f t="shared" si="19"/>
        <v>0</v>
      </c>
      <c r="CK56" s="276">
        <f>Basicinfo!EM56</f>
        <v>0</v>
      </c>
      <c r="CL56" s="276">
        <f>Basicinfo!EN56</f>
        <v>0</v>
      </c>
      <c r="CM56">
        <f t="shared" si="23"/>
        <v>2</v>
      </c>
      <c r="CN56">
        <f t="shared" si="24"/>
        <v>0</v>
      </c>
      <c r="CO56" s="31"/>
      <c r="CP56" s="270"/>
      <c r="CQ56" s="270"/>
      <c r="CR56" s="236"/>
      <c r="CS56" s="236"/>
      <c r="CT56" s="236"/>
      <c r="CU56" s="147">
        <f>'Summed emissions'!D56</f>
        <v>98.794377356799998</v>
      </c>
      <c r="CV56" s="188"/>
      <c r="CW56" s="188"/>
      <c r="CX56" s="188"/>
      <c r="CY56" s="188"/>
      <c r="DI56" s="31"/>
      <c r="DJ56" s="233"/>
      <c r="DK56" s="233"/>
      <c r="DR56" s="236"/>
      <c r="DS56" s="236">
        <f t="shared" si="0"/>
        <v>11.079334106588766</v>
      </c>
      <c r="DY56" s="31"/>
      <c r="DZ56" s="31">
        <f>Intermediate!CR56</f>
        <v>2.4060867543859648E-2</v>
      </c>
    </row>
    <row r="57" spans="1:135">
      <c r="A57" s="39" t="str">
        <f>Basicinfo!A57</f>
        <v>Klammleitenbach</v>
      </c>
      <c r="B57" s="63">
        <f>Basicinfo!B57</f>
        <v>1630</v>
      </c>
      <c r="C57" s="63">
        <f>Basicinfo!C57</f>
        <v>1640</v>
      </c>
      <c r="D57" s="61">
        <f>IF(Intermediate!D57=0,0,Basicinfo!AP57*86400*365/(Intermediate!D57*1000000))</f>
        <v>137.85748927193711</v>
      </c>
      <c r="E57" s="19">
        <f>IF(Intermediate!E57=0,0,IF((Intermediate!E57-Basicinfo!AA57)&lt;0,0,'Summed emissions'!E57*86400*365/((Intermediate!E57-Basicinfo!AA57)*1000000)))</f>
        <v>0</v>
      </c>
      <c r="F57" s="19">
        <f>IF(Basicinfo!AA57=0,0,'Summed emissions'!E57*86400*365/(Basicinfo!AA57*1000000))</f>
        <v>0</v>
      </c>
      <c r="G57" s="19">
        <f>IF(D57=0,1,1/(1+Parameters!$C$138*EXP(Parameters!$C$139*Basicinfo!AQ57)*D57^Parameters!$C$140))</f>
        <v>0.94661914814438886</v>
      </c>
      <c r="H57" s="19">
        <f>IF(D57=0,1,1/(1+Parameters!$C$141*EXP(Parameters!$C$142*Basicinfo!AQ57)*D57^Parameters!$C$143))</f>
        <v>0.90737930587307125</v>
      </c>
      <c r="I57" s="161">
        <f>IF(Intermediate!AS57=0,1,IF(D57=0,1/(1+Parameters!$C$144*Intermediate!AS57^Parameters!$C$145),(1/(1+Parameters!$C$144*Intermediate!AS57^Parameters!$C$145)+1/(1+Parameters!$C$146*D57^Parameters!$C$147))/2))</f>
        <v>0.78913059552117026</v>
      </c>
      <c r="J57" s="19">
        <f>IF(E57=0,1,1/(1+Parameters!$C$138*EXP(Parameters!$C$139*Basicinfo!AQ57)*E57^Parameters!$C$140))</f>
        <v>1</v>
      </c>
      <c r="K57" s="19">
        <f>IF(E57=0,1,1/(1+Parameters!$C$141*EXP(Parameters!$C$142*Basicinfo!AQ57)*E57^Parameters!$C$143))</f>
        <v>1</v>
      </c>
      <c r="L57" s="19">
        <f>IF(E57=0,1,1/(1+Parameters!$C$146*E57^Parameters!$C$147))</f>
        <v>1</v>
      </c>
      <c r="M57" s="53">
        <f>IF(F57=0,1,1/(1+Parameters!$C$138*EXP(Parameters!$C$139*Basicinfo!AQ57)*F57^Parameters!$C$140))</f>
        <v>1</v>
      </c>
      <c r="N57" s="53">
        <f>IF(F57=0,1,1/(1+Parameters!$C$141*EXP(Parameters!$C$142*Basicinfo!AQ57)*F57^Parameters!$C$143))</f>
        <v>1</v>
      </c>
      <c r="O57" s="53">
        <f>IF(F57=0,1,1/(1+Parameters!$C$146*F57^Parameters!$C$147))</f>
        <v>1</v>
      </c>
      <c r="P57" s="64">
        <f>Basicinfo!CE57+Basicinfo!CJ57</f>
        <v>0</v>
      </c>
      <c r="Q57" s="86">
        <f>Parameters!$C$126*Intermediate!BB57*Basicinfo!P57/1000+Parameters!$C$127*Intermediate!BB57*Basicinfo!S57/1000</f>
        <v>0</v>
      </c>
      <c r="R57" s="48">
        <f>'Local emissions'!AE57-P57-Q57</f>
        <v>45.120157432640923</v>
      </c>
      <c r="S57" s="48">
        <f>Basicinfo!CF57+Basicinfo!CK57</f>
        <v>0</v>
      </c>
      <c r="T57" s="86">
        <f>'Local emissions'!AR57-S57</f>
        <v>1.4989543216458074</v>
      </c>
      <c r="U57" s="61">
        <f t="shared" si="20"/>
        <v>42.711604993027265</v>
      </c>
      <c r="V57" s="27">
        <f t="shared" si="3"/>
        <v>40.94109713211342</v>
      </c>
      <c r="W57" s="27">
        <f t="shared" si="4"/>
        <v>1.1828707164993879</v>
      </c>
      <c r="X57" s="61">
        <f>U57+TN!CI57</f>
        <v>42.711604993027265</v>
      </c>
      <c r="Y57" s="27">
        <f>V57+DIN!CI57</f>
        <v>40.94109713211342</v>
      </c>
      <c r="Z57" s="27">
        <f>W57+TP!CI57</f>
        <v>1.1828707164993879</v>
      </c>
      <c r="AA57" s="73">
        <f>'Summed emissions'!E57</f>
        <v>1.1185962075819</v>
      </c>
      <c r="AB57" s="131">
        <f>IF(Basicinfo!AR57="","",Basicinfo!AR57)</f>
        <v>62.592696556374491</v>
      </c>
      <c r="AC57" s="131">
        <f>IF(Basicinfo!AS57="","",Basicinfo!AS57)</f>
        <v>56.902451414885903</v>
      </c>
      <c r="AD57" s="131">
        <f>IF(Basicinfo!AT57="","",Basicinfo!AT57)</f>
        <v>1.41798826172318</v>
      </c>
      <c r="AE57" s="174">
        <f t="shared" si="21"/>
        <v>-31.762637906870168</v>
      </c>
      <c r="AF57" s="19">
        <f t="shared" si="5"/>
        <v>-28.050380758458729</v>
      </c>
      <c r="AG57" s="27">
        <f t="shared" si="6"/>
        <v>-16.581064284556945</v>
      </c>
      <c r="AH57" s="56">
        <f>'Local emissions'!AE57-U57</f>
        <v>2.4085524396136577</v>
      </c>
      <c r="AI57" s="228">
        <f>'Local emissions'!AR57-W57</f>
        <v>0.31608360514641953</v>
      </c>
      <c r="AJ57" s="43">
        <f t="shared" si="7"/>
        <v>2.4085524396136573</v>
      </c>
      <c r="AK57" s="58">
        <f t="shared" si="8"/>
        <v>0.31608360514641964</v>
      </c>
      <c r="AL57" s="43">
        <f>TN!CI146</f>
        <v>0</v>
      </c>
      <c r="AM57" s="43">
        <f>TP!CI146</f>
        <v>0</v>
      </c>
      <c r="AN57" s="42">
        <f>TN!CI235+(AH57-AJ57)</f>
        <v>4.4408920985006262E-16</v>
      </c>
      <c r="AO57" s="43">
        <f>TP!CI235+(AI57-AK57)</f>
        <v>-1.1102230246251565E-16</v>
      </c>
      <c r="AP57" s="42">
        <f t="shared" si="9"/>
        <v>2.4085524396136577</v>
      </c>
      <c r="AQ57" s="42">
        <f t="shared" si="10"/>
        <v>0.31608360514641953</v>
      </c>
      <c r="AR57" s="42">
        <f>AH57/'Local emissions'!AE57*100</f>
        <v>5.3380851855611162</v>
      </c>
      <c r="AS57" s="42">
        <f>AI57/'Local emissions'!AR57*100</f>
        <v>21.086940447882967</v>
      </c>
      <c r="AT57" s="42">
        <f t="shared" ref="AT57:AT71" si="33">AP57/(X57+AP57)*100</f>
        <v>5.3380851855611162</v>
      </c>
      <c r="AU57" s="42">
        <f t="shared" ref="AU57:AU71" si="34">AQ57/(Z57+AQ57)*100</f>
        <v>21.086940447882967</v>
      </c>
      <c r="AV57" s="42">
        <f>('Summed emissions'!AE57-'River loads'!X57)/'Summed emissions'!AE57*100</f>
        <v>5.3380851855611162</v>
      </c>
      <c r="AW57" s="42">
        <f>('Summed emissions'!AR57-'River loads'!Z57)/'Summed emissions'!AR57*100</f>
        <v>21.086940447882967</v>
      </c>
      <c r="AX57" s="61">
        <f>X57/('Summed emissions'!$D57*100)*1000</f>
        <v>5.3858912805868018</v>
      </c>
      <c r="AY57" s="19">
        <f>Y57/('Summed emissions'!$D57*100)*1000</f>
        <v>5.1626319848552793</v>
      </c>
      <c r="AZ57" s="72">
        <f>Z57/('Summed emissions'!$D57*100)*1000</f>
        <v>0.14915883116767822</v>
      </c>
      <c r="BA57" s="43">
        <f>IF(AB57="","",AB57/('Summed emissions'!$D57*100)*1000)</f>
        <v>7.8928773261137781</v>
      </c>
      <c r="BB57" s="43">
        <f>IF(AC57="","",AC57/('Summed emissions'!$D57*100)*1000)</f>
        <v>7.1753430237397984</v>
      </c>
      <c r="BC57" s="43">
        <f>IF(AD57="","",AD57/('Summed emissions'!$D57*100)*1000)</f>
        <v>0.17880692181986801</v>
      </c>
      <c r="BF57" s="188">
        <f>('Summed emissions'!AE57-'River loads'!Y57)/'Summed emissions'!AE57*100</f>
        <v>9.2620694126928687</v>
      </c>
      <c r="BG57" s="188">
        <f>('Summed emissions'!AR57-'River loads'!Z57)/'Summed emissions'!AR57*100</f>
        <v>21.086940447882967</v>
      </c>
      <c r="BH57" s="181">
        <f>'Summed emissions'!CV57*(100-'River loads'!BG57)/100</f>
        <v>0.8567243641328911</v>
      </c>
      <c r="BI57" s="181">
        <f t="shared" si="12"/>
        <v>0.65111051674099729</v>
      </c>
      <c r="BJ57" s="233"/>
      <c r="BK57" s="233">
        <f>Basicinfo!CQ57</f>
        <v>0.37531483649916397</v>
      </c>
      <c r="BM57" s="31">
        <f t="shared" si="25"/>
        <v>1.8457580049310883E-2</v>
      </c>
      <c r="BN57" s="31">
        <f>BK57*1000000/24/3600/365/$AA57</f>
        <v>1.063936683598826E-2</v>
      </c>
      <c r="BO57" s="231">
        <v>1.0999999999999999E-2</v>
      </c>
      <c r="BP57" s="31">
        <f>BM57/Parameters!$C$156</f>
        <v>2.8396276998939818E-2</v>
      </c>
      <c r="BQ57" s="305">
        <v>1.4999999999999999E-2</v>
      </c>
      <c r="BR57" s="237">
        <f>Basicinfo!CW57</f>
        <v>0.08</v>
      </c>
      <c r="BS57" s="237">
        <f t="shared" si="13"/>
        <v>0.3549534624867477</v>
      </c>
      <c r="BT57" s="237">
        <f t="shared" si="26"/>
        <v>0.1875</v>
      </c>
      <c r="BU57" s="31">
        <f t="shared" si="31"/>
        <v>3.3531835804240288E-2</v>
      </c>
      <c r="BV57" s="232">
        <v>3.5425742574257402E-2</v>
      </c>
      <c r="BW57" s="31">
        <f t="shared" si="32"/>
        <v>1.1605918783265363</v>
      </c>
      <c r="BX57" s="31">
        <v>1.55391683168317</v>
      </c>
      <c r="BY57" s="231">
        <f t="shared" si="1"/>
        <v>1.6215698924731177</v>
      </c>
      <c r="BZ57" s="147">
        <f t="shared" si="16"/>
        <v>1.5683674031439681</v>
      </c>
      <c r="CA57" s="305">
        <v>1.9091</v>
      </c>
      <c r="CB57" s="231">
        <f>Basicinfo!CV57</f>
        <v>4</v>
      </c>
      <c r="CC57" s="147">
        <f t="shared" si="17"/>
        <v>0.39209185078599201</v>
      </c>
      <c r="CD57" s="147"/>
      <c r="CE57" s="233">
        <f>'Local emissions'!FC57/14*62</f>
        <v>10.485000000000001</v>
      </c>
      <c r="CF57" s="233">
        <f>'Local emissions'!FD57/14*62</f>
        <v>8.0250713242975227</v>
      </c>
      <c r="CH57">
        <f t="shared" si="18"/>
        <v>0</v>
      </c>
      <c r="CI57">
        <f t="shared" si="19"/>
        <v>0</v>
      </c>
      <c r="CK57" s="276">
        <f>Basicinfo!EM57</f>
        <v>0</v>
      </c>
      <c r="CL57" s="276">
        <f>Basicinfo!EN57</f>
        <v>0</v>
      </c>
      <c r="CM57">
        <f t="shared" si="23"/>
        <v>0</v>
      </c>
      <c r="CN57">
        <f t="shared" si="24"/>
        <v>0</v>
      </c>
      <c r="CO57" s="31">
        <f t="shared" si="27"/>
        <v>1.063936683598826E-2</v>
      </c>
      <c r="CP57" s="270">
        <f>Basicinfo!DC57</f>
        <v>1.1688172043010755E-2</v>
      </c>
      <c r="CQ57" s="270">
        <f>Basicinfo!DD57</f>
        <v>1.4999999999999999E-2</v>
      </c>
      <c r="CR57" s="236">
        <f t="shared" si="28"/>
        <v>1.55391683168317</v>
      </c>
      <c r="CS57" s="236">
        <f>Basicinfo!DK57</f>
        <v>1.6215698924731177</v>
      </c>
      <c r="CT57" s="236">
        <f>Basicinfo!DL57</f>
        <v>1.9215</v>
      </c>
      <c r="CU57" s="147">
        <f>'Summed emissions'!D57</f>
        <v>79.3027611734</v>
      </c>
      <c r="CV57" s="188">
        <f t="shared" si="29"/>
        <v>-28.427884378361657</v>
      </c>
      <c r="CW57" s="188">
        <f t="shared" si="30"/>
        <v>57.916738232374584</v>
      </c>
      <c r="CX57" s="188"/>
      <c r="CY57" s="188"/>
      <c r="DI57" s="31" t="e">
        <f>#REF!</f>
        <v>#REF!</v>
      </c>
      <c r="DJ57" s="233">
        <f>Basicinfo!DA57</f>
        <v>2.9215053763440829E-2</v>
      </c>
      <c r="DK57" s="233">
        <f>Basicinfo!DB57</f>
        <v>4.579999999999998E-2</v>
      </c>
      <c r="DR57" s="236">
        <f t="shared" si="2"/>
        <v>10.485000000000001</v>
      </c>
      <c r="DS57" s="236">
        <f t="shared" si="0"/>
        <v>8.0250713242975227</v>
      </c>
      <c r="DY57" s="31">
        <f>Basicinfo!EI57</f>
        <v>2.8345257894736842E-2</v>
      </c>
      <c r="DZ57" s="31">
        <f>Intermediate!CR57</f>
        <v>2.8345257894736842E-2</v>
      </c>
    </row>
    <row r="58" spans="1:135" ht="28">
      <c r="A58" s="39" t="str">
        <f>Basicinfo!A58</f>
        <v>Große Naarn</v>
      </c>
      <c r="B58" s="63">
        <f>Basicinfo!B58</f>
        <v>1640</v>
      </c>
      <c r="C58" s="63">
        <f>Basicinfo!C58</f>
        <v>5020</v>
      </c>
      <c r="D58" s="61">
        <f>IF(Intermediate!D58=0,0,Basicinfo!AP58*86400*365/(Intermediate!D58*1000000))</f>
        <v>63.039592019415537</v>
      </c>
      <c r="E58" s="19">
        <f>IF(Intermediate!E58=0,0,IF((Intermediate!E58-Basicinfo!AA58)&lt;0,0,'Summed emissions'!E58*86400*365/((Intermediate!E58-Basicinfo!AA58)*1000000)))</f>
        <v>1019.8806812745163</v>
      </c>
      <c r="F58" s="19">
        <f>IF(Basicinfo!AA58=0,0,'Summed emissions'!E58*86400*365/(Basicinfo!AA58*1000000))</f>
        <v>0</v>
      </c>
      <c r="G58" s="19">
        <f>IF(D58=0,1,1/(1+Parameters!$C$138*EXP(Parameters!$C$139*Basicinfo!AQ58)*D58^Parameters!$C$140))</f>
        <v>0.87333519914987623</v>
      </c>
      <c r="H58" s="19">
        <f>IF(D58=0,1,1/(1+Parameters!$C$141*EXP(Parameters!$C$142*Basicinfo!AQ58)*D58^Parameters!$C$143))</f>
        <v>0.79205849511328097</v>
      </c>
      <c r="I58" s="161">
        <f>IF(Intermediate!AS58=0,1,IF(D58=0,1/(1+Parameters!$C$144*Intermediate!AS58^Parameters!$C$145),(1/(1+Parameters!$C$144*Intermediate!AS58^Parameters!$C$145)+1/(1+Parameters!$C$146*D58^Parameters!$C$147))/2))</f>
        <v>0.70902748541620753</v>
      </c>
      <c r="J58" s="19">
        <f>IF(E58=0,1,1/(1+Parameters!$C$138*EXP(Parameters!$C$139*Basicinfo!AQ58)*E58^Parameters!$C$140))</f>
        <v>0.99111488593309982</v>
      </c>
      <c r="K58" s="19">
        <f>IF(E58=0,1,1/(1+Parameters!$C$141*EXP(Parameters!$C$142*Basicinfo!AQ58)*E58^Parameters!$C$143))</f>
        <v>0.98403175930876696</v>
      </c>
      <c r="L58" s="19">
        <f>IF(E58=0,1,1/(1+Parameters!$C$146*E58^Parameters!$C$147))</f>
        <v>0.97538304237763818</v>
      </c>
      <c r="M58" s="53">
        <f>IF(F58=0,1,1/(1+Parameters!$C$138*EXP(Parameters!$C$139*Basicinfo!AQ58)*F58^Parameters!$C$140))</f>
        <v>1</v>
      </c>
      <c r="N58" s="53">
        <f>IF(F58=0,1,1/(1+Parameters!$C$141*EXP(Parameters!$C$142*Basicinfo!AQ58)*F58^Parameters!$C$143))</f>
        <v>1</v>
      </c>
      <c r="O58" s="53">
        <f>IF(F58=0,1,1/(1+Parameters!$C$146*F58^Parameters!$C$147))</f>
        <v>1</v>
      </c>
      <c r="P58" s="64">
        <f>Basicinfo!CE58+Basicinfo!CJ58</f>
        <v>5.635122471111111</v>
      </c>
      <c r="Q58" s="86">
        <f>Parameters!$C$126*Intermediate!BB58*Basicinfo!P58/1000+Parameters!$C$127*Intermediate!BB58*Basicinfo!S58/1000</f>
        <v>3.8447192561030336E-4</v>
      </c>
      <c r="R58" s="48">
        <f>'Local emissions'!AE58-P58-Q58</f>
        <v>242.50217134185434</v>
      </c>
      <c r="S58" s="48">
        <f>Basicinfo!CF58+Basicinfo!CK58</f>
        <v>1.3956282666666666</v>
      </c>
      <c r="T58" s="86">
        <f>'Local emissions'!AR58-S58</f>
        <v>7.8099644784653952</v>
      </c>
      <c r="U58" s="61">
        <f t="shared" ref="U58:U71" si="35">(R58*G58+P58)*M58+Q58</f>
        <v>217.42118904615248</v>
      </c>
      <c r="V58" s="27">
        <f t="shared" ref="V58:V71" si="36">(R58*H58+P58)*N58</f>
        <v>197.71102736584328</v>
      </c>
      <c r="W58" s="27">
        <f t="shared" ref="W58:W71" si="37">(T58*I58+S58)*O58</f>
        <v>6.933107742022889</v>
      </c>
      <c r="X58" s="61">
        <f>U58+TN!CI58</f>
        <v>325.37410570775592</v>
      </c>
      <c r="Y58" s="27">
        <f>V58+DIN!CI58</f>
        <v>298.98770412647258</v>
      </c>
      <c r="Z58" s="27">
        <f>W58+TP!CI58</f>
        <v>10.732271126641324</v>
      </c>
      <c r="AA58" s="73">
        <f>'Summed emissions'!E58</f>
        <v>5.95471702220265</v>
      </c>
      <c r="AB58" s="131" t="str">
        <f>IF(Basicinfo!AR58="","",Basicinfo!AR58)</f>
        <v/>
      </c>
      <c r="AC58" s="131" t="str">
        <f>IF(Basicinfo!AS58="","",Basicinfo!AS58)</f>
        <v/>
      </c>
      <c r="AD58" s="131" t="str">
        <f>IF(Basicinfo!AT58="","",Basicinfo!AT58)</f>
        <v/>
      </c>
      <c r="AE58" s="174" t="str">
        <f t="shared" ref="AE58:AE71" si="38">IF(AB58="","",X58/AB58*100-100)</f>
        <v/>
      </c>
      <c r="AF58" s="19" t="str">
        <f t="shared" ref="AF58:AF71" si="39">IF(AC58="","",Y58/AC58*100-100)</f>
        <v/>
      </c>
      <c r="AG58" s="27" t="str">
        <f t="shared" ref="AG58:AG71" si="40">IF(AD58="","",Z58/AD58*100-100)</f>
        <v/>
      </c>
      <c r="AH58" s="56">
        <f>'Local emissions'!AE58-U58</f>
        <v>30.716489238738575</v>
      </c>
      <c r="AI58" s="228">
        <f>'Local emissions'!AR58-W58</f>
        <v>2.272485003109173</v>
      </c>
      <c r="AJ58" s="43">
        <f t="shared" ref="AJ58:AJ71" si="41">R58*(1-G58)</f>
        <v>30.716489238738571</v>
      </c>
      <c r="AK58" s="58">
        <f t="shared" ref="AK58:AK71" si="42">T58*(1-I58)</f>
        <v>2.2724850031091735</v>
      </c>
      <c r="AL58" s="43">
        <f>TN!CI147</f>
        <v>0.96773155698428936</v>
      </c>
      <c r="AM58" s="43">
        <f>TP!CI147</f>
        <v>9.5884221865906893E-2</v>
      </c>
      <c r="AN58" s="42">
        <f>TN!CI236+(AH58-AJ58)</f>
        <v>3.5527136788005009E-15</v>
      </c>
      <c r="AO58" s="43">
        <f>TP!CI236+(AI58-AK58)</f>
        <v>-4.4408920985006262E-16</v>
      </c>
      <c r="AP58" s="42">
        <f t="shared" ref="AP58:AP71" si="43">AJ58+AL58+AN58</f>
        <v>31.684220795722865</v>
      </c>
      <c r="AQ58" s="42">
        <f t="shared" ref="AQ58:AQ71" si="44">AK58+AM58+AO58</f>
        <v>2.3683692249750798</v>
      </c>
      <c r="AR58" s="42">
        <f>AH58/'Local emissions'!AE58*100</f>
        <v>12.378808994687398</v>
      </c>
      <c r="AS58" s="42">
        <f>AI58/'Local emissions'!AR58*100</f>
        <v>24.685917203005403</v>
      </c>
      <c r="AT58" s="42">
        <f t="shared" si="33"/>
        <v>8.8736820972621029</v>
      </c>
      <c r="AU58" s="42">
        <f t="shared" si="34"/>
        <v>18.078270690660261</v>
      </c>
      <c r="AV58" s="42">
        <f>('Summed emissions'!AE58-'River loads'!X58)/'Summed emissions'!AE58*100</f>
        <v>10.990566308560377</v>
      </c>
      <c r="AW58" s="42">
        <f>('Summed emissions'!AR58-'River loads'!Z58)/'Summed emissions'!AR58*100</f>
        <v>25.286480242381455</v>
      </c>
      <c r="AX58" s="61">
        <f>X58/('Summed emissions'!$D58*100)*1000</f>
        <v>6.9269220313535254</v>
      </c>
      <c r="AY58" s="19">
        <f>Y58/('Summed emissions'!$D58*100)*1000</f>
        <v>6.3651792766743958</v>
      </c>
      <c r="AZ58" s="72">
        <f>Z58/('Summed emissions'!$D58*100)*1000</f>
        <v>0.22848039843823081</v>
      </c>
      <c r="BA58" s="43" t="str">
        <f>IF(AB58="","",AB58/('Summed emissions'!$D58*100)*1000)</f>
        <v/>
      </c>
      <c r="BB58" s="43" t="str">
        <f>IF(AC58="","",AC58/('Summed emissions'!$D58*100)*1000)</f>
        <v/>
      </c>
      <c r="BC58" s="43" t="str">
        <f>IF(AD58="","",AD58/('Summed emissions'!$D58*100)*1000)</f>
        <v/>
      </c>
      <c r="BF58" s="188">
        <f>('Summed emissions'!AE58-'River loads'!Y58)/'Summed emissions'!AE58*100</f>
        <v>18.208837894113145</v>
      </c>
      <c r="BG58" s="188">
        <f>('Summed emissions'!AR58-'River loads'!Z58)/'Summed emissions'!AR58*100</f>
        <v>25.286480242381455</v>
      </c>
      <c r="BH58" s="181">
        <f>'Summed emissions'!CV58*(100-'River loads'!BG58)/100</f>
        <v>7.7417018260702477</v>
      </c>
      <c r="BI58" s="181">
        <f t="shared" ref="BI58:BI71" si="45">BH58*0.76</f>
        <v>5.8836933878133886</v>
      </c>
      <c r="BJ58" s="233"/>
      <c r="BK58" s="233"/>
      <c r="BM58" s="31">
        <f t="shared" si="25"/>
        <v>3.1331580111728159E-2</v>
      </c>
      <c r="BN58" s="31"/>
      <c r="BO58" s="231"/>
      <c r="BP58" s="31">
        <f>BM58/Parameters!$C$156</f>
        <v>4.8202430941120242E-2</v>
      </c>
      <c r="BQ58" s="305" t="s">
        <v>934</v>
      </c>
      <c r="BR58" s="237">
        <f>Basicinfo!CW58</f>
        <v>0.05</v>
      </c>
      <c r="BS58" s="237">
        <f t="shared" ref="BS58:BS71" si="46">BP58/BR58</f>
        <v>0.96404861882240478</v>
      </c>
      <c r="BT58" s="237"/>
      <c r="BU58" s="31">
        <f t="shared" si="31"/>
        <v>5.7151008800293168E-2</v>
      </c>
      <c r="BV58" s="232"/>
      <c r="BW58" s="31">
        <f t="shared" si="32"/>
        <v>1.5921559107181278</v>
      </c>
      <c r="BX58" s="31"/>
      <c r="BY58" s="231"/>
      <c r="BZ58" s="147">
        <f t="shared" ref="BZ58:BZ71" si="47">BW58/0.74</f>
        <v>2.1515620415109837</v>
      </c>
      <c r="CA58" s="305"/>
      <c r="CB58" s="231" t="str">
        <f>Basicinfo!CV58</f>
        <v>Kombination gibt es nicht</v>
      </c>
      <c r="CC58" s="147"/>
      <c r="CD58" s="147"/>
      <c r="CE58" s="233">
        <f>'Local emissions'!FC58/14*62</f>
        <v>17.454999999999998</v>
      </c>
      <c r="CF58" s="233">
        <f>'Local emissions'!FD58/14*62</f>
        <v>13.490442462216075</v>
      </c>
      <c r="CH58">
        <f t="shared" ref="CH58:CH71" si="48">IF(BR58&lt;0.031,0,IF(BS58&lt;0.75,0,IF(BS58&lt;1.25,1,2)))</f>
        <v>1</v>
      </c>
      <c r="CI58">
        <f t="shared" ref="CI58:CI71" si="49">IF(CB58&lt;1,0,IF(CC58&lt;0.75,0,IF(CC58&lt;1.25,1,2)))</f>
        <v>0</v>
      </c>
      <c r="CK58" s="276">
        <f>Basicinfo!EM58</f>
        <v>0</v>
      </c>
      <c r="CL58" s="276">
        <f>Basicinfo!EN58</f>
        <v>0</v>
      </c>
      <c r="CM58">
        <f t="shared" si="23"/>
        <v>2</v>
      </c>
      <c r="CN58">
        <f t="shared" si="24"/>
        <v>0</v>
      </c>
      <c r="CO58" s="31"/>
      <c r="CP58" s="270"/>
      <c r="CQ58" s="270"/>
      <c r="CR58" s="236"/>
      <c r="CS58" s="236"/>
      <c r="CT58" s="236"/>
      <c r="CU58" s="147">
        <f>'Summed emissions'!D58</f>
        <v>469.7239325562</v>
      </c>
      <c r="CV58" s="188"/>
      <c r="CW58" s="188"/>
      <c r="CX58" s="188"/>
      <c r="CY58" s="188"/>
      <c r="DI58" s="31"/>
      <c r="DJ58" s="233"/>
      <c r="DK58" s="233"/>
      <c r="DR58" s="236">
        <f t="shared" si="2"/>
        <v>17.454999999999998</v>
      </c>
      <c r="DS58" s="236">
        <f t="shared" si="0"/>
        <v>13.490442462216075</v>
      </c>
      <c r="DY58" s="31">
        <f>Basicinfo!EI58</f>
        <v>2.4060867543859648E-2</v>
      </c>
      <c r="DZ58" s="31">
        <f>Intermediate!CR58</f>
        <v>2.4060867543859648E-2</v>
      </c>
    </row>
    <row r="59" spans="1:135">
      <c r="A59" s="39" t="str">
        <f>Basicinfo!A59</f>
        <v>Kartenbach</v>
      </c>
      <c r="B59" s="63">
        <f>Basicinfo!B59</f>
        <v>3650</v>
      </c>
      <c r="C59" s="63">
        <f>Basicinfo!C59</f>
        <v>0</v>
      </c>
      <c r="D59" s="61">
        <f>IF(Intermediate!D59=0,0,Basicinfo!AP59*86400*365/(Intermediate!D59*1000000))</f>
        <v>136.35893628786451</v>
      </c>
      <c r="E59" s="19">
        <f>IF(Intermediate!E59=0,0,IF((Intermediate!E59-Basicinfo!AA59)&lt;0,0,'Summed emissions'!E59*86400*365/((Intermediate!E59-Basicinfo!AA59)*1000000)))</f>
        <v>0</v>
      </c>
      <c r="F59" s="19">
        <f>IF(Basicinfo!AA59=0,0,'Summed emissions'!E59*86400*365/(Basicinfo!AA59*1000000))</f>
        <v>0</v>
      </c>
      <c r="G59" s="19">
        <f>IF(D59=0,1,1/(1+Parameters!$C$138*EXP(Parameters!$C$139*Basicinfo!AQ59)*D59^Parameters!$C$140))</f>
        <v>0.93883342269367853</v>
      </c>
      <c r="H59" s="19">
        <f>IF(D59=0,1,1/(1+Parameters!$C$141*EXP(Parameters!$C$142*Basicinfo!AQ59)*D59^Parameters!$C$143))</f>
        <v>0.89450815507366954</v>
      </c>
      <c r="I59" s="161">
        <f>IF(Intermediate!AS59=0,1,IF(D59=0,1/(1+Parameters!$C$144*Intermediate!AS59^Parameters!$C$145),(1/(1+Parameters!$C$144*Intermediate!AS59^Parameters!$C$145)+1/(1+Parameters!$C$146*D59^Parameters!$C$147))/2))</f>
        <v>0.76613838626994657</v>
      </c>
      <c r="J59" s="19">
        <f>IF(E59=0,1,1/(1+Parameters!$C$138*EXP(Parameters!$C$139*Basicinfo!AQ59)*E59^Parameters!$C$140))</f>
        <v>1</v>
      </c>
      <c r="K59" s="19">
        <f>IF(E59=0,1,1/(1+Parameters!$C$141*EXP(Parameters!$C$142*Basicinfo!AQ59)*E59^Parameters!$C$143))</f>
        <v>1</v>
      </c>
      <c r="L59" s="19">
        <f>IF(E59=0,1,1/(1+Parameters!$C$146*E59^Parameters!$C$147))</f>
        <v>1</v>
      </c>
      <c r="M59" s="53">
        <f>IF(F59=0,1,1/(1+Parameters!$C$138*EXP(Parameters!$C$139*Basicinfo!AQ59)*F59^Parameters!$C$140))</f>
        <v>1</v>
      </c>
      <c r="N59" s="53">
        <f>IF(F59=0,1,1/(1+Parameters!$C$141*EXP(Parameters!$C$142*Basicinfo!AQ59)*F59^Parameters!$C$143))</f>
        <v>1</v>
      </c>
      <c r="O59" s="53">
        <f>IF(F59=0,1,1/(1+Parameters!$C$146*F59^Parameters!$C$147))</f>
        <v>1</v>
      </c>
      <c r="P59" s="64">
        <f>Basicinfo!CE59+Basicinfo!CJ59</f>
        <v>0</v>
      </c>
      <c r="Q59" s="86">
        <f>Parameters!$C$126*Intermediate!BB59*Basicinfo!P59/1000+Parameters!$C$127*Intermediate!BB59*Basicinfo!S59/1000</f>
        <v>0</v>
      </c>
      <c r="R59" s="48">
        <f>'Local emissions'!AE59-P59-Q59</f>
        <v>66.812331147008294</v>
      </c>
      <c r="S59" s="48">
        <f>Basicinfo!CF59+Basicinfo!CK59</f>
        <v>0</v>
      </c>
      <c r="T59" s="86">
        <f>'Local emissions'!AR59-S59</f>
        <v>2.2635513469814788</v>
      </c>
      <c r="U59" s="61">
        <f t="shared" si="35"/>
        <v>62.725649528889264</v>
      </c>
      <c r="V59" s="27">
        <f t="shared" si="36"/>
        <v>59.764175070481457</v>
      </c>
      <c r="W59" s="27">
        <f t="shared" si="37"/>
        <v>1.734193576215554</v>
      </c>
      <c r="X59" s="61">
        <f>U59+TN!CI59</f>
        <v>62.725649528889264</v>
      </c>
      <c r="Y59" s="27">
        <f>V59+DIN!CI59</f>
        <v>59.764175070481457</v>
      </c>
      <c r="Z59" s="27">
        <f>W59+TP!CI59</f>
        <v>1.734193576215554</v>
      </c>
      <c r="AA59" s="73">
        <f>'Summed emissions'!E59</f>
        <v>0.77814879415982197</v>
      </c>
      <c r="AB59" s="131" t="str">
        <f>IF(Basicinfo!AR59="","",Basicinfo!AR59)</f>
        <v/>
      </c>
      <c r="AC59" s="131" t="str">
        <f>IF(Basicinfo!AS59="","",Basicinfo!AS59)</f>
        <v/>
      </c>
      <c r="AD59" s="131" t="str">
        <f>IF(Basicinfo!AT59="","",Basicinfo!AT59)</f>
        <v/>
      </c>
      <c r="AE59" s="174" t="str">
        <f t="shared" si="38"/>
        <v/>
      </c>
      <c r="AF59" s="19" t="str">
        <f t="shared" si="39"/>
        <v/>
      </c>
      <c r="AG59" s="27" t="str">
        <f t="shared" si="40"/>
        <v/>
      </c>
      <c r="AH59" s="56">
        <f>'Local emissions'!AE59-U59</f>
        <v>4.0866816181190302</v>
      </c>
      <c r="AI59" s="228">
        <f>'Local emissions'!AR59-W59</f>
        <v>0.52935777076592472</v>
      </c>
      <c r="AJ59" s="43">
        <f t="shared" si="41"/>
        <v>4.0866816181190329</v>
      </c>
      <c r="AK59" s="58">
        <f t="shared" si="42"/>
        <v>0.52935777076592472</v>
      </c>
      <c r="AL59" s="43">
        <f>TN!CI148</f>
        <v>0</v>
      </c>
      <c r="AM59" s="43">
        <f>TP!CI148</f>
        <v>0</v>
      </c>
      <c r="AN59" s="42">
        <f>TN!CI237+(AH59-AJ59)</f>
        <v>-2.6645352591003757E-15</v>
      </c>
      <c r="AO59" s="43">
        <f>TP!CI237+(AI59-AK59)</f>
        <v>0</v>
      </c>
      <c r="AP59" s="42">
        <f t="shared" si="43"/>
        <v>4.0866816181190302</v>
      </c>
      <c r="AQ59" s="42">
        <f t="shared" si="44"/>
        <v>0.52935777076592472</v>
      </c>
      <c r="AR59" s="42">
        <f>AH59/'Local emissions'!AE59*100</f>
        <v>6.1166577306321432</v>
      </c>
      <c r="AS59" s="42">
        <f>AI59/'Local emissions'!AR59*100</f>
        <v>23.386161373005343</v>
      </c>
      <c r="AT59" s="42">
        <f t="shared" si="33"/>
        <v>6.1166577306321432</v>
      </c>
      <c r="AU59" s="42">
        <f t="shared" si="34"/>
        <v>23.386161373005343</v>
      </c>
      <c r="AV59" s="42">
        <f>('Summed emissions'!AE59-'River loads'!X59)/'Summed emissions'!AE59*100</f>
        <v>6.1166577306321432</v>
      </c>
      <c r="AW59" s="42">
        <f>('Summed emissions'!AR59-'River loads'!Z59)/'Summed emissions'!AR59*100</f>
        <v>23.386161373005343</v>
      </c>
      <c r="AX59" s="61">
        <f>X59/('Summed emissions'!$D59*100)*1000</f>
        <v>9.2624999304325542</v>
      </c>
      <c r="AY59" s="19">
        <f>Y59/('Summed emissions'!$D59*100)*1000</f>
        <v>8.8251882856588093</v>
      </c>
      <c r="AZ59" s="72">
        <f>Z59/('Summed emissions'!$D59*100)*1000</f>
        <v>0.2560829261983984</v>
      </c>
      <c r="BA59" s="43" t="str">
        <f>IF(AB59="","",AB59/('Summed emissions'!$D59*100)*1000)</f>
        <v/>
      </c>
      <c r="BB59" s="43" t="str">
        <f>IF(AC59="","",AC59/('Summed emissions'!$D59*100)*1000)</f>
        <v/>
      </c>
      <c r="BC59" s="43" t="str">
        <f>IF(AD59="","",AD59/('Summed emissions'!$D59*100)*1000)</f>
        <v/>
      </c>
      <c r="BF59" s="188">
        <f>('Summed emissions'!AE59-'River loads'!Y59)/'Summed emissions'!AE59*100</f>
        <v>10.549184492633046</v>
      </c>
      <c r="BG59" s="188">
        <f>('Summed emissions'!AR59-'River loads'!Z59)/'Summed emissions'!AR59*100</f>
        <v>23.386161373005343</v>
      </c>
      <c r="BH59" s="181">
        <f>'Summed emissions'!CV59*(100-'River loads'!BG59)/100</f>
        <v>1.3550411700199354</v>
      </c>
      <c r="BI59" s="181">
        <f t="shared" si="45"/>
        <v>1.0298312892151509</v>
      </c>
      <c r="BJ59" s="233"/>
      <c r="BK59" s="233"/>
      <c r="BM59" s="31">
        <f t="shared" si="25"/>
        <v>4.1965927602115469E-2</v>
      </c>
      <c r="BN59" s="31"/>
      <c r="BO59" s="231"/>
      <c r="BP59" s="31">
        <f>BM59/Parameters!$C$156</f>
        <v>6.4562965541716102E-2</v>
      </c>
      <c r="BQ59" s="305" t="s">
        <v>934</v>
      </c>
      <c r="BR59" s="237">
        <f>Basicinfo!CW59</f>
        <v>0.08</v>
      </c>
      <c r="BS59" s="237">
        <f t="shared" si="46"/>
        <v>0.80703706927145125</v>
      </c>
      <c r="BT59" s="237"/>
      <c r="BU59" s="31">
        <f t="shared" si="31"/>
        <v>7.0668897740502806E-2</v>
      </c>
      <c r="BV59" s="232"/>
      <c r="BW59" s="31">
        <f t="shared" si="32"/>
        <v>2.4354076929624142</v>
      </c>
      <c r="BX59" s="31"/>
      <c r="BY59" s="231"/>
      <c r="BZ59" s="147">
        <f t="shared" si="47"/>
        <v>3.2910914769762356</v>
      </c>
      <c r="CA59" s="305"/>
      <c r="CB59" s="231">
        <f>Basicinfo!CV59</f>
        <v>4</v>
      </c>
      <c r="CC59" s="147">
        <f t="shared" ref="CC59:CC70" si="50">BZ59/CB59</f>
        <v>0.8227728692440589</v>
      </c>
      <c r="CD59" s="147"/>
      <c r="CE59" s="233"/>
      <c r="CF59" s="233">
        <f>'Local emissions'!FD59/14*62</f>
        <v>10.936324718288658</v>
      </c>
      <c r="CH59">
        <f t="shared" si="48"/>
        <v>1</v>
      </c>
      <c r="CI59">
        <f t="shared" si="49"/>
        <v>1</v>
      </c>
      <c r="CK59" s="276">
        <f>Basicinfo!EM59</f>
        <v>0</v>
      </c>
      <c r="CL59" s="276">
        <f>Basicinfo!EN59</f>
        <v>0</v>
      </c>
      <c r="CM59">
        <f t="shared" si="23"/>
        <v>2</v>
      </c>
      <c r="CN59">
        <f t="shared" si="24"/>
        <v>0</v>
      </c>
      <c r="CO59" s="31"/>
      <c r="CP59" s="270"/>
      <c r="CQ59" s="270"/>
      <c r="CR59" s="236"/>
      <c r="CS59" s="236"/>
      <c r="CT59" s="236"/>
      <c r="CU59" s="147">
        <f>'Summed emissions'!D59</f>
        <v>67.72</v>
      </c>
      <c r="CV59" s="188"/>
      <c r="CW59" s="188"/>
      <c r="CX59" s="188"/>
      <c r="CY59" s="188"/>
      <c r="DI59" s="31"/>
      <c r="DJ59" s="233"/>
      <c r="DK59" s="233"/>
      <c r="DR59" s="236"/>
      <c r="DS59" s="236">
        <f t="shared" si="0"/>
        <v>10.936324718288658</v>
      </c>
      <c r="DY59" s="31"/>
      <c r="DZ59" s="31">
        <f>Intermediate!CR59</f>
        <v>3.3987257894736847E-2</v>
      </c>
    </row>
    <row r="60" spans="1:135">
      <c r="A60" s="39" t="str">
        <f>Basicinfo!A60</f>
        <v>Maltsch</v>
      </c>
      <c r="B60" s="63">
        <f>Basicinfo!B60</f>
        <v>3660</v>
      </c>
      <c r="C60" s="63">
        <f>Basicinfo!C60</f>
        <v>0</v>
      </c>
      <c r="D60" s="61">
        <f>IF(Intermediate!D60=0,0,Basicinfo!AP60*86400*365/(Intermediate!D60*1000000))</f>
        <v>115.14781779577477</v>
      </c>
      <c r="E60" s="19">
        <f>IF(Intermediate!E60=0,0,IF((Intermediate!E60-Basicinfo!AA60)&lt;0,0,'Summed emissions'!E60*86400*365/((Intermediate!E60-Basicinfo!AA60)*1000000)))</f>
        <v>0</v>
      </c>
      <c r="F60" s="19">
        <f>IF(Basicinfo!AA60=0,0,'Summed emissions'!E60*86400*365/(Basicinfo!AA60*1000000))</f>
        <v>0</v>
      </c>
      <c r="G60" s="19">
        <f>IF(D60=0,1,1/(1+Parameters!$C$138*EXP(Parameters!$C$139*Basicinfo!AQ60)*D60^Parameters!$C$140))</f>
        <v>0.92937012532406671</v>
      </c>
      <c r="H60" s="19">
        <f>IF(D60=0,1,1/(1+Parameters!$C$141*EXP(Parameters!$C$142*Basicinfo!AQ60)*D60^Parameters!$C$143))</f>
        <v>0.87907046993351068</v>
      </c>
      <c r="I60" s="161">
        <f>IF(Intermediate!AS60=0,1,IF(D60=0,1/(1+Parameters!$C$144*Intermediate!AS60^Parameters!$C$145),(1/(1+Parameters!$C$144*Intermediate!AS60^Parameters!$C$145)+1/(1+Parameters!$C$146*D60^Parameters!$C$147))/2))</f>
        <v>0.75856634683485025</v>
      </c>
      <c r="J60" s="19">
        <f>IF(E60=0,1,1/(1+Parameters!$C$138*EXP(Parameters!$C$139*Basicinfo!AQ60)*E60^Parameters!$C$140))</f>
        <v>1</v>
      </c>
      <c r="K60" s="19">
        <f>IF(E60=0,1,1/(1+Parameters!$C$141*EXP(Parameters!$C$142*Basicinfo!AQ60)*E60^Parameters!$C$143))</f>
        <v>1</v>
      </c>
      <c r="L60" s="19">
        <f>IF(E60=0,1,1/(1+Parameters!$C$146*E60^Parameters!$C$147))</f>
        <v>1</v>
      </c>
      <c r="M60" s="53">
        <f>IF(F60=0,1,1/(1+Parameters!$C$138*EXP(Parameters!$C$139*Basicinfo!AQ60)*F60^Parameters!$C$140))</f>
        <v>1</v>
      </c>
      <c r="N60" s="53">
        <f>IF(F60=0,1,1/(1+Parameters!$C$141*EXP(Parameters!$C$142*Basicinfo!AQ60)*F60^Parameters!$C$143))</f>
        <v>1</v>
      </c>
      <c r="O60" s="53">
        <f>IF(F60=0,1,1/(1+Parameters!$C$146*F60^Parameters!$C$147))</f>
        <v>1</v>
      </c>
      <c r="P60" s="64">
        <f>Basicinfo!CE60+Basicinfo!CJ60</f>
        <v>0</v>
      </c>
      <c r="Q60" s="86">
        <f>Parameters!$C$126*Intermediate!BB60*Basicinfo!P60/1000+Parameters!$C$127*Intermediate!BB60*Basicinfo!S60/1000</f>
        <v>0</v>
      </c>
      <c r="R60" s="48">
        <f>'Local emissions'!AE60-P60-Q60</f>
        <v>77.929510459108897</v>
      </c>
      <c r="S60" s="48">
        <f>Basicinfo!CF60+Basicinfo!CK60</f>
        <v>0</v>
      </c>
      <c r="T60" s="86">
        <f>'Local emissions'!AR60-S60</f>
        <v>2.1274889450764567</v>
      </c>
      <c r="U60" s="61">
        <f t="shared" si="35"/>
        <v>72.425358901825206</v>
      </c>
      <c r="V60" s="27">
        <f t="shared" si="36"/>
        <v>68.505531380977288</v>
      </c>
      <c r="W60" s="27">
        <f t="shared" si="37"/>
        <v>1.613841516998177</v>
      </c>
      <c r="X60" s="61">
        <f>U60+TN!CI60</f>
        <v>72.425358901825206</v>
      </c>
      <c r="Y60" s="27">
        <f>V60+DIN!CI60</f>
        <v>68.505531380977288</v>
      </c>
      <c r="Z60" s="27">
        <f>W60+TP!CI60</f>
        <v>1.613841516998177</v>
      </c>
      <c r="AA60" s="73">
        <f>'Summed emissions'!E60</f>
        <v>1.14928402750619</v>
      </c>
      <c r="AB60" s="131" t="str">
        <f>IF(Basicinfo!AR60="","",Basicinfo!AR60)</f>
        <v/>
      </c>
      <c r="AC60" s="131" t="str">
        <f>IF(Basicinfo!AS60="","",Basicinfo!AS60)</f>
        <v/>
      </c>
      <c r="AD60" s="131" t="str">
        <f>IF(Basicinfo!AT60="","",Basicinfo!AT60)</f>
        <v/>
      </c>
      <c r="AE60" s="174" t="str">
        <f t="shared" si="38"/>
        <v/>
      </c>
      <c r="AF60" s="19" t="str">
        <f t="shared" si="39"/>
        <v/>
      </c>
      <c r="AG60" s="27" t="str">
        <f t="shared" si="40"/>
        <v/>
      </c>
      <c r="AH60" s="56">
        <f>'Local emissions'!AE60-U60</f>
        <v>5.5041515572836914</v>
      </c>
      <c r="AI60" s="228">
        <f>'Local emissions'!AR60-W60</f>
        <v>0.51364742807827968</v>
      </c>
      <c r="AJ60" s="43">
        <f t="shared" si="41"/>
        <v>5.5041515572836941</v>
      </c>
      <c r="AK60" s="58">
        <f t="shared" si="42"/>
        <v>0.51364742807827957</v>
      </c>
      <c r="AL60" s="43">
        <f>TN!CI149</f>
        <v>0</v>
      </c>
      <c r="AM60" s="43">
        <f>TP!CI149</f>
        <v>0</v>
      </c>
      <c r="AN60" s="42">
        <f>TN!CI238+(AH60-AJ60)</f>
        <v>-2.6645352591003757E-15</v>
      </c>
      <c r="AO60" s="43">
        <f>TP!CI238+(AI60-AK60)</f>
        <v>1.1102230246251565E-16</v>
      </c>
      <c r="AP60" s="42">
        <f t="shared" si="43"/>
        <v>5.5041515572836914</v>
      </c>
      <c r="AQ60" s="42">
        <f t="shared" si="44"/>
        <v>0.51364742807827968</v>
      </c>
      <c r="AR60" s="42">
        <f>AH60/'Local emissions'!AE60*100</f>
        <v>7.0629874675933264</v>
      </c>
      <c r="AS60" s="42">
        <f>AI60/'Local emissions'!AR60*100</f>
        <v>24.143365316514981</v>
      </c>
      <c r="AT60" s="42">
        <f t="shared" si="33"/>
        <v>7.0629874675933264</v>
      </c>
      <c r="AU60" s="42">
        <f t="shared" si="34"/>
        <v>24.143365316514981</v>
      </c>
      <c r="AV60" s="42">
        <f>('Summed emissions'!AE60-'River loads'!X60)/'Summed emissions'!AE60*100</f>
        <v>7.0629874675933264</v>
      </c>
      <c r="AW60" s="42">
        <f>('Summed emissions'!AR60-'River loads'!Z60)/'Summed emissions'!AR60*100</f>
        <v>24.143365316514981</v>
      </c>
      <c r="AX60" s="61">
        <f>X60/('Summed emissions'!$D60*100)*1000</f>
        <v>7.4659160998912677</v>
      </c>
      <c r="AY60" s="19">
        <f>Y60/('Summed emissions'!$D60*100)*1000</f>
        <v>7.0618434954825684</v>
      </c>
      <c r="AZ60" s="72">
        <f>Z60/('Summed emissions'!$D60*100)*1000</f>
        <v>0.16636169357147629</v>
      </c>
      <c r="BA60" s="43" t="str">
        <f>IF(AB60="","",AB60/('Summed emissions'!$D60*100)*1000)</f>
        <v/>
      </c>
      <c r="BB60" s="43" t="str">
        <f>IF(AC60="","",AC60/('Summed emissions'!$D60*100)*1000)</f>
        <v/>
      </c>
      <c r="BC60" s="43" t="str">
        <f>IF(AD60="","",AD60/('Summed emissions'!$D60*100)*1000)</f>
        <v/>
      </c>
      <c r="BF60" s="188">
        <f>('Summed emissions'!AE60-'River loads'!Y60)/'Summed emissions'!AE60*100</f>
        <v>12.092953006648939</v>
      </c>
      <c r="BG60" s="188">
        <f>('Summed emissions'!AR60-'River loads'!Z60)/'Summed emissions'!AR60*100</f>
        <v>24.143365316514981</v>
      </c>
      <c r="BH60" s="181">
        <f>'Summed emissions'!CV60*(100-'River loads'!BG60)/100</f>
        <v>1.2149053986743252</v>
      </c>
      <c r="BI60" s="181">
        <f t="shared" si="45"/>
        <v>0.92332810299248713</v>
      </c>
      <c r="BJ60" s="233"/>
      <c r="BK60" s="233"/>
      <c r="BM60" s="31">
        <f t="shared" si="25"/>
        <v>2.5475462442636303E-2</v>
      </c>
      <c r="BN60" s="31"/>
      <c r="BO60" s="231"/>
      <c r="BP60" s="31">
        <f>BM60/Parameters!$C$156</f>
        <v>3.9193019142517389E-2</v>
      </c>
      <c r="BQ60" s="305" t="s">
        <v>934</v>
      </c>
      <c r="BR60" s="237">
        <f>Basicinfo!CW60</f>
        <v>0.08</v>
      </c>
      <c r="BS60" s="237">
        <f t="shared" si="46"/>
        <v>0.48991273928146734</v>
      </c>
      <c r="BT60" s="237"/>
      <c r="BU60" s="31">
        <f t="shared" si="31"/>
        <v>4.4527355791951655E-2</v>
      </c>
      <c r="BV60" s="232"/>
      <c r="BW60" s="31">
        <f t="shared" si="32"/>
        <v>1.8901299398910749</v>
      </c>
      <c r="BX60" s="31"/>
      <c r="BY60" s="231"/>
      <c r="BZ60" s="147">
        <f t="shared" si="47"/>
        <v>2.5542296485014528</v>
      </c>
      <c r="CA60" s="305"/>
      <c r="CB60" s="231">
        <f>Basicinfo!CV60</f>
        <v>4</v>
      </c>
      <c r="CC60" s="147">
        <f t="shared" si="50"/>
        <v>0.63855741212536321</v>
      </c>
      <c r="CD60" s="147"/>
      <c r="CE60" s="233">
        <f>'Local emissions'!FC60/14*62</f>
        <v>6.9849999999999994</v>
      </c>
      <c r="CF60" s="233">
        <f>'Local emissions'!FD60/14*62</f>
        <v>12.599987761294996</v>
      </c>
      <c r="CH60">
        <f t="shared" si="48"/>
        <v>0</v>
      </c>
      <c r="CI60">
        <f t="shared" si="49"/>
        <v>0</v>
      </c>
      <c r="CK60" s="276">
        <f>Basicinfo!EM60</f>
        <v>0</v>
      </c>
      <c r="CL60" s="276">
        <f>Basicinfo!EN60</f>
        <v>0</v>
      </c>
      <c r="CM60">
        <f t="shared" si="23"/>
        <v>2</v>
      </c>
      <c r="CN60">
        <f t="shared" si="24"/>
        <v>0</v>
      </c>
      <c r="CO60" s="31"/>
      <c r="CP60" s="270"/>
      <c r="CQ60" s="270"/>
      <c r="CR60" s="236"/>
      <c r="CS60" s="236"/>
      <c r="CT60" s="236"/>
      <c r="CU60" s="147">
        <f>'Summed emissions'!D60</f>
        <v>97.007999999999996</v>
      </c>
      <c r="CV60" s="188"/>
      <c r="CW60" s="188"/>
      <c r="CX60" s="188"/>
      <c r="CY60" s="188"/>
      <c r="DI60" s="31"/>
      <c r="DJ60" s="233"/>
      <c r="DK60" s="233"/>
      <c r="DR60" s="236">
        <f t="shared" si="2"/>
        <v>6.9849999999999994</v>
      </c>
      <c r="DS60" s="236">
        <f t="shared" si="0"/>
        <v>12.599987761294996</v>
      </c>
      <c r="DY60" s="31">
        <f>Basicinfo!EI60</f>
        <v>3.3987257894736847E-2</v>
      </c>
      <c r="DZ60" s="31">
        <f>Intermediate!CR60</f>
        <v>3.3987257894736847E-2</v>
      </c>
    </row>
    <row r="61" spans="1:135">
      <c r="A61" s="39" t="str">
        <f>Basicinfo!A61</f>
        <v>Traun</v>
      </c>
      <c r="B61" s="63">
        <f>Basicinfo!B61</f>
        <v>4010</v>
      </c>
      <c r="C61" s="63">
        <f>Basicinfo!C61</f>
        <v>4020</v>
      </c>
      <c r="D61" s="61">
        <f>IF(Intermediate!D61=0,0,Basicinfo!AP61*86400*365/(Intermediate!D61*1000000))</f>
        <v>147.84276045606885</v>
      </c>
      <c r="E61" s="19">
        <f>IF(Intermediate!E61=0,0,IF((Intermediate!E61-Basicinfo!AA61)&lt;0,0,'Summed emissions'!E61*86400*365/((Intermediate!E61-Basicinfo!AA61)*1000000)))</f>
        <v>374.26977582812339</v>
      </c>
      <c r="F61" s="19">
        <f>IF(Basicinfo!AA61=0,0,'Summed emissions'!E61*86400*365/(Basicinfo!AA61*1000000))</f>
        <v>150.53187418412182</v>
      </c>
      <c r="G61" s="19">
        <f>IF(D61=0,1,1/(1+Parameters!$C$138*EXP(Parameters!$C$139*Basicinfo!AQ61)*D61^Parameters!$C$140))</f>
        <v>0.93784362459312753</v>
      </c>
      <c r="H61" s="19">
        <f>IF(D61=0,1,1/(1+Parameters!$C$141*EXP(Parameters!$C$142*Basicinfo!AQ61)*D61^Parameters!$C$143))</f>
        <v>0.89288292290177107</v>
      </c>
      <c r="I61" s="161">
        <f>IF(Intermediate!AS61=0,1,IF(D61=0,1/(1+Parameters!$C$144*Intermediate!AS61^Parameters!$C$145),(1/(1+Parameters!$C$144*Intermediate!AS61^Parameters!$C$145)+1/(1+Parameters!$C$146*D61^Parameters!$C$147))/2))</f>
        <v>0.87425522340463702</v>
      </c>
      <c r="J61" s="19">
        <f>IF(E61=0,1,1/(1+Parameters!$C$138*EXP(Parameters!$C$139*Basicinfo!AQ61)*E61^Parameters!$C$140))</f>
        <v>0.97448785427016682</v>
      </c>
      <c r="K61" s="19">
        <f>IF(E61=0,1,1/(1+Parameters!$C$141*EXP(Parameters!$C$142*Basicinfo!AQ61)*E61^Parameters!$C$143))</f>
        <v>0.95475491530467627</v>
      </c>
      <c r="L61" s="19">
        <f>IF(E61=0,1,1/(1+Parameters!$C$146*E61^Parameters!$C$147))</f>
        <v>0.93565157264791454</v>
      </c>
      <c r="M61" s="53">
        <f>IF(F61=0,1,1/(1+Parameters!$C$138*EXP(Parameters!$C$139*Basicinfo!AQ61)*F61^Parameters!$C$140))</f>
        <v>0.93888613237740526</v>
      </c>
      <c r="N61" s="53">
        <f>IF(F61=0,1,1/(1+Parameters!$C$141*EXP(Parameters!$C$142*Basicinfo!AQ61)*F61^Parameters!$C$143))</f>
        <v>0.894594773153222</v>
      </c>
      <c r="O61" s="53">
        <f>IF(F61=0,1,1/(1+Parameters!$C$146*F61^Parameters!$C$147))</f>
        <v>0.8539755697320508</v>
      </c>
      <c r="P61" s="64">
        <f>Basicinfo!CE61+Basicinfo!CJ61</f>
        <v>115.95800833333334</v>
      </c>
      <c r="Q61" s="86">
        <f>Parameters!$C$126*Intermediate!BB61*Basicinfo!P61/1000+Parameters!$C$127*Intermediate!BB61*Basicinfo!S61/1000</f>
        <v>1.6173194590980295</v>
      </c>
      <c r="R61" s="48">
        <f>'Local emissions'!AE61-P61-Q61</f>
        <v>799.80756019338867</v>
      </c>
      <c r="S61" s="48">
        <f>Basicinfo!CF61+Basicinfo!CK61</f>
        <v>12.6648785</v>
      </c>
      <c r="T61" s="86">
        <f>'Local emissions'!AR61-S61</f>
        <v>24.978181762216309</v>
      </c>
      <c r="U61" s="61">
        <f t="shared" si="35"/>
        <v>814.74193548670098</v>
      </c>
      <c r="V61" s="27">
        <f t="shared" si="36"/>
        <v>742.59643001718666</v>
      </c>
      <c r="W61" s="27">
        <f t="shared" si="37"/>
        <v>29.464022560150756</v>
      </c>
      <c r="X61" s="61">
        <f>U61+TN!CI61</f>
        <v>1489.9613063104914</v>
      </c>
      <c r="Y61" s="27">
        <f>V61+DIN!CI61</f>
        <v>1304.6323128336276</v>
      </c>
      <c r="Z61" s="27">
        <f>W61+TP!CI61</f>
        <v>45.489918698314611</v>
      </c>
      <c r="AA61" s="73">
        <f>'Summed emissions'!E61</f>
        <v>70.017989559786315</v>
      </c>
      <c r="AB61" s="131">
        <f>IF(Basicinfo!AR61="","",Basicinfo!AR61)</f>
        <v>1488.7241595723749</v>
      </c>
      <c r="AC61" s="131">
        <f>IF(Basicinfo!AS61="","",Basicinfo!AS61)</f>
        <v>1353.38559961125</v>
      </c>
      <c r="AD61" s="131">
        <f>IF(Basicinfo!AT61="","",Basicinfo!AT61)</f>
        <v>11.7663856247928</v>
      </c>
      <c r="AE61" s="174">
        <f t="shared" si="38"/>
        <v>8.3101139332072194E-2</v>
      </c>
      <c r="AF61" s="19">
        <f t="shared" si="39"/>
        <v>-3.6023204910430877</v>
      </c>
      <c r="AG61" s="27">
        <f t="shared" si="40"/>
        <v>286.60910961870388</v>
      </c>
      <c r="AH61" s="56">
        <f>'Local emissions'!AE61-U61</f>
        <v>102.64095249911895</v>
      </c>
      <c r="AI61" s="228">
        <f>'Local emissions'!AR61-W61</f>
        <v>8.1790377020655534</v>
      </c>
      <c r="AJ61" s="43">
        <f t="shared" si="41"/>
        <v>49.713138964635014</v>
      </c>
      <c r="AK61" s="58">
        <f t="shared" si="42"/>
        <v>3.1408758854482599</v>
      </c>
      <c r="AL61" s="43">
        <f>TN!CI150</f>
        <v>18.743490264933754</v>
      </c>
      <c r="AM61" s="43">
        <f>TP!CI150</f>
        <v>1.290626751183499</v>
      </c>
      <c r="AN61" s="42">
        <f>TN!CI239+(AH61-AJ61)</f>
        <v>96.682006487021283</v>
      </c>
      <c r="AO61" s="43">
        <f>TP!CI239+(AI61-AK61)</f>
        <v>7.7784888658360121</v>
      </c>
      <c r="AP61" s="42">
        <f t="shared" si="43"/>
        <v>165.13863571659004</v>
      </c>
      <c r="AQ61" s="42">
        <f t="shared" si="44"/>
        <v>12.209991502467771</v>
      </c>
      <c r="AR61" s="42">
        <f>AH61/'Local emissions'!AE61*100</f>
        <v>11.188452917895008</v>
      </c>
      <c r="AS61" s="42">
        <f>AI61/'Local emissions'!AR61*100</f>
        <v>21.727876652672542</v>
      </c>
      <c r="AT61" s="42">
        <f t="shared" si="33"/>
        <v>9.9775627757159331</v>
      </c>
      <c r="AU61" s="42">
        <f t="shared" si="34"/>
        <v>21.161196715869774</v>
      </c>
      <c r="AV61" s="42">
        <f>('Summed emissions'!AE61-'River loads'!X61)/'Summed emissions'!AE61*100</f>
        <v>16.807050382299099</v>
      </c>
      <c r="AW61" s="42">
        <f>('Summed emissions'!AR61-'River loads'!Z61)/'Summed emissions'!AR61*100</f>
        <v>27.355860818416762</v>
      </c>
      <c r="AX61" s="61">
        <f>X61/('Summed emissions'!$D61*100)*1000</f>
        <v>10.647861255384825</v>
      </c>
      <c r="AY61" s="19">
        <f>Y61/('Summed emissions'!$D61*100)*1000</f>
        <v>9.3234259154978574</v>
      </c>
      <c r="AZ61" s="344">
        <f>Z61/('Summed emissions'!$D61*100)*1000</f>
        <v>0.32508920920759299</v>
      </c>
      <c r="BA61" s="43">
        <f>IF(AB61="","",AB61/('Summed emissions'!$D61*100)*1000)</f>
        <v>10.639020108460926</v>
      </c>
      <c r="BB61" s="43">
        <f>IF(AC61="","",AC61/('Summed emissions'!$D61*100)*1000)</f>
        <v>9.6718364622372057</v>
      </c>
      <c r="BC61" s="43">
        <f>IF(AD61="","",AD61/('Summed emissions'!$D61*100)*1000)</f>
        <v>8.4087312254026977E-2</v>
      </c>
      <c r="BF61" s="188">
        <f>('Summed emissions'!AE61-'River loads'!Y61)/'Summed emissions'!AE61*100</f>
        <v>27.155014152713282</v>
      </c>
      <c r="BG61" s="188">
        <f>('Summed emissions'!AR61-'River loads'!Z61)/'Summed emissions'!AR61*100</f>
        <v>27.355860818416762</v>
      </c>
      <c r="BH61" s="181">
        <f>'Summed emissions'!CV61*(100-'River loads'!BG61)/100</f>
        <v>28.02442062221035</v>
      </c>
      <c r="BI61" s="181">
        <f t="shared" si="45"/>
        <v>21.298559672879865</v>
      </c>
      <c r="BJ61" s="233"/>
      <c r="BK61" s="233"/>
      <c r="BM61" s="31">
        <f t="shared" si="25"/>
        <v>9.6457053541095517E-3</v>
      </c>
      <c r="BN61" s="31"/>
      <c r="BO61" s="231"/>
      <c r="BP61" s="31">
        <f>BM61/Parameters!$C$156</f>
        <v>1.4839546698630079E-2</v>
      </c>
      <c r="BQ61" s="305" t="s">
        <v>934</v>
      </c>
      <c r="BR61" s="237">
        <f>Basicinfo!CW61</f>
        <v>0.08</v>
      </c>
      <c r="BS61" s="237">
        <f t="shared" si="46"/>
        <v>0.18549433373287599</v>
      </c>
      <c r="BT61" s="237"/>
      <c r="BU61" s="31">
        <f t="shared" si="31"/>
        <v>2.0601503532891807E-2</v>
      </c>
      <c r="BV61" s="232">
        <v>5.4635416666666704E-3</v>
      </c>
      <c r="BW61" s="31">
        <f t="shared" si="32"/>
        <v>0.59084271792647969</v>
      </c>
      <c r="BX61" s="31">
        <v>0.64212187500000095</v>
      </c>
      <c r="BY61" s="231">
        <f t="shared" si="1"/>
        <v>0.69269047619047674</v>
      </c>
      <c r="BZ61" s="147">
        <f t="shared" si="47"/>
        <v>0.79843610530605369</v>
      </c>
      <c r="CA61" s="305">
        <v>0.763575</v>
      </c>
      <c r="CB61" s="231">
        <f>Basicinfo!CV61</f>
        <v>7</v>
      </c>
      <c r="CC61" s="147">
        <f t="shared" si="50"/>
        <v>0.11406230075800768</v>
      </c>
      <c r="CD61" s="147"/>
      <c r="CE61" s="233">
        <f>'Local emissions'!FC61/14*62</f>
        <v>3.0733333333333328</v>
      </c>
      <c r="CF61" s="233">
        <f>'Local emissions'!FD61/14*62</f>
        <v>3.7226449773912709</v>
      </c>
      <c r="CH61">
        <f t="shared" si="48"/>
        <v>0</v>
      </c>
      <c r="CI61">
        <f t="shared" si="49"/>
        <v>0</v>
      </c>
      <c r="CK61" s="276">
        <f>Basicinfo!EM61</f>
        <v>0</v>
      </c>
      <c r="CL61" s="276">
        <f>Basicinfo!EN61</f>
        <v>0</v>
      </c>
      <c r="CM61">
        <f t="shared" si="23"/>
        <v>2</v>
      </c>
      <c r="CN61">
        <f t="shared" si="24"/>
        <v>0</v>
      </c>
      <c r="CO61" s="31">
        <f t="shared" si="27"/>
        <v>0</v>
      </c>
      <c r="CP61" s="270">
        <f>Basicinfo!DC61</f>
        <v>2.5000000000000014E-3</v>
      </c>
      <c r="CQ61" s="270">
        <f>Basicinfo!DD61</f>
        <v>2.5000000000000001E-3</v>
      </c>
      <c r="CR61" s="236">
        <f t="shared" si="28"/>
        <v>0.64212187500000095</v>
      </c>
      <c r="CS61" s="236">
        <f>Basicinfo!DK61</f>
        <v>0.69269047619047674</v>
      </c>
      <c r="CT61" s="236">
        <f>Basicinfo!DL61</f>
        <v>0.8287000000000001</v>
      </c>
      <c r="CU61" s="147">
        <f>'Summed emissions'!D61</f>
        <v>1399.3057108599999</v>
      </c>
      <c r="CV61" s="188">
        <f t="shared" si="29"/>
        <v>-14.7032133059082</v>
      </c>
      <c r="CW61" s="188">
        <f t="shared" si="30"/>
        <v>285.82821416438185</v>
      </c>
      <c r="CX61" s="188"/>
      <c r="CY61" s="188"/>
      <c r="DI61" s="31" t="e">
        <f>#REF!</f>
        <v>#REF!</v>
      </c>
      <c r="DJ61" s="233">
        <f>Basicinfo!DA61</f>
        <v>4.9821428571428603E-3</v>
      </c>
      <c r="DK61" s="233">
        <f>Basicinfo!DB61</f>
        <v>8.0000000000000002E-3</v>
      </c>
      <c r="DR61" s="236">
        <f t="shared" si="2"/>
        <v>3.0733333333333328</v>
      </c>
      <c r="DS61" s="236">
        <f t="shared" si="0"/>
        <v>3.7226449773912709</v>
      </c>
      <c r="DY61" s="31">
        <f>Basicinfo!EI61</f>
        <v>7.7006719298245612E-3</v>
      </c>
      <c r="DZ61" s="31">
        <f>Intermediate!CR61</f>
        <v>7.7006719298245612E-3</v>
      </c>
    </row>
    <row r="62" spans="1:135">
      <c r="A62" s="39" t="str">
        <f>Basicinfo!A62</f>
        <v>Traun</v>
      </c>
      <c r="B62" s="63">
        <f>Basicinfo!B62</f>
        <v>4020</v>
      </c>
      <c r="C62" s="63">
        <f>Basicinfo!C62</f>
        <v>5010</v>
      </c>
      <c r="D62" s="61">
        <f>IF(Intermediate!D62=0,0,Basicinfo!AP62*86400*365/(Intermediate!D62*1000000))</f>
        <v>72.6931186257099</v>
      </c>
      <c r="E62" s="19">
        <f>IF(Intermediate!E62=0,0,IF((Intermediate!E62-Basicinfo!AA62)&lt;0,0,'Summed emissions'!E62*86400*365/((Intermediate!E62-Basicinfo!AA62)*1000000)))</f>
        <v>3892.004868801353</v>
      </c>
      <c r="F62" s="19">
        <f>IF(Basicinfo!AA62=0,0,'Summed emissions'!E62*86400*365/(Basicinfo!AA62*1000000))</f>
        <v>0</v>
      </c>
      <c r="G62" s="19">
        <f>IF(D62=0,1,1/(1+Parameters!$C$138*EXP(Parameters!$C$139*Basicinfo!AQ62)*D62^Parameters!$C$140))</f>
        <v>0.88022951514478032</v>
      </c>
      <c r="H62" s="19">
        <f>IF(D62=0,1,1/(1+Parameters!$C$141*EXP(Parameters!$C$142*Basicinfo!AQ62)*D62^Parameters!$C$143))</f>
        <v>0.80237560875743452</v>
      </c>
      <c r="I62" s="161">
        <f>IF(Intermediate!AS62=0,1,IF(D62=0,1/(1+Parameters!$C$144*Intermediate!AS62^Parameters!$C$145),(1/(1+Parameters!$C$144*Intermediate!AS62^Parameters!$C$145)+1/(1+Parameters!$C$146*D62^Parameters!$C$147))/2))</f>
        <v>0.80251079796537339</v>
      </c>
      <c r="J62" s="19">
        <f>IF(E62=0,1,1/(1+Parameters!$C$138*EXP(Parameters!$C$139*Basicinfo!AQ62)*E62^Parameters!$C$140))</f>
        <v>0.99746503779226015</v>
      </c>
      <c r="K62" s="19">
        <f>IF(E62=0,1,1/(1+Parameters!$C$141*EXP(Parameters!$C$142*Basicinfo!AQ62)*E62^Parameters!$C$143))</f>
        <v>0.99542080154903989</v>
      </c>
      <c r="L62" s="19">
        <f>IF(E62=0,1,1/(1+Parameters!$C$146*E62^Parameters!$C$147))</f>
        <v>0.99342989376235846</v>
      </c>
      <c r="M62" s="53">
        <f>IF(F62=0,1,1/(1+Parameters!$C$138*EXP(Parameters!$C$139*Basicinfo!AQ62)*F62^Parameters!$C$140))</f>
        <v>1</v>
      </c>
      <c r="N62" s="53">
        <f>IF(F62=0,1,1/(1+Parameters!$C$141*EXP(Parameters!$C$142*Basicinfo!AQ62)*F62^Parameters!$C$143))</f>
        <v>1</v>
      </c>
      <c r="O62" s="53">
        <f>IF(F62=0,1,1/(1+Parameters!$C$146*F62^Parameters!$C$147))</f>
        <v>1</v>
      </c>
      <c r="P62" s="64">
        <f>Basicinfo!CE62+Basicinfo!CJ62</f>
        <v>438.82726889166668</v>
      </c>
      <c r="Q62" s="86">
        <f>Parameters!$C$126*Intermediate!BB62*Basicinfo!P62/1000+Parameters!$C$127*Intermediate!BB62*Basicinfo!S62/1000</f>
        <v>9.1985682952518119E-2</v>
      </c>
      <c r="R62" s="48">
        <f>'Local emissions'!AE62-P62-Q62</f>
        <v>1796.5001098598771</v>
      </c>
      <c r="S62" s="48">
        <f>Basicinfo!CF62+Basicinfo!CK62</f>
        <v>7.8238215416666659</v>
      </c>
      <c r="T62" s="86">
        <f>'Local emissions'!AR62-S62</f>
        <v>84.611719007744952</v>
      </c>
      <c r="U62" s="61">
        <f t="shared" si="35"/>
        <v>2020.2516752341232</v>
      </c>
      <c r="V62" s="27">
        <f t="shared" si="36"/>
        <v>1880.2951381732837</v>
      </c>
      <c r="W62" s="27">
        <f t="shared" si="37"/>
        <v>75.725639679794014</v>
      </c>
      <c r="X62" s="61">
        <f>U62+TN!CI62</f>
        <v>6208.4801532362108</v>
      </c>
      <c r="Y62" s="27">
        <f>V62+DIN!CI62</f>
        <v>5572.3093241494134</v>
      </c>
      <c r="Z62" s="27">
        <f>W62+TP!CI62</f>
        <v>204.36172666392201</v>
      </c>
      <c r="AA62" s="73">
        <f>'Summed emissions'!E62</f>
        <v>149.13714558176312</v>
      </c>
      <c r="AB62" s="131">
        <f>IF(Basicinfo!AR62="","",Basicinfo!AR62)</f>
        <v>7578.6205438886363</v>
      </c>
      <c r="AC62" s="131">
        <f>IF(Basicinfo!AS62="","",Basicinfo!AS62)</f>
        <v>6889.6550398987602</v>
      </c>
      <c r="AD62" s="131">
        <f>IF(Basicinfo!AT62="","",Basicinfo!AT62)</f>
        <v>93.174210893135495</v>
      </c>
      <c r="AE62" s="174">
        <f t="shared" si="38"/>
        <v>-18.079020881409619</v>
      </c>
      <c r="AF62" s="19">
        <f t="shared" si="39"/>
        <v>-19.120633879642028</v>
      </c>
      <c r="AG62" s="27">
        <f t="shared" si="40"/>
        <v>119.33292990086181</v>
      </c>
      <c r="AH62" s="56">
        <f>'Local emissions'!AE62-U62</f>
        <v>215.16768920037316</v>
      </c>
      <c r="AI62" s="228">
        <f>'Local emissions'!AR62-W62</f>
        <v>16.709900869617599</v>
      </c>
      <c r="AJ62" s="43">
        <f t="shared" si="41"/>
        <v>215.16768920037291</v>
      </c>
      <c r="AK62" s="58">
        <f t="shared" si="42"/>
        <v>16.709900869617599</v>
      </c>
      <c r="AL62" s="43">
        <f>TN!CI151</f>
        <v>10.629203857883406</v>
      </c>
      <c r="AM62" s="43">
        <f>TP!CI151</f>
        <v>0.85074222427455015</v>
      </c>
      <c r="AN62" s="42">
        <f>TN!CI240+(AH62-AJ62)</f>
        <v>2.5579538487363607E-13</v>
      </c>
      <c r="AO62" s="43">
        <f>TP!CI240+(AI62-AK62)</f>
        <v>0</v>
      </c>
      <c r="AP62" s="42">
        <f t="shared" si="43"/>
        <v>225.79689305825656</v>
      </c>
      <c r="AQ62" s="42">
        <f t="shared" si="44"/>
        <v>17.56064309389215</v>
      </c>
      <c r="AR62" s="42">
        <f>AH62/'Local emissions'!AE62*100</f>
        <v>9.6253836136381974</v>
      </c>
      <c r="AS62" s="42">
        <f>AI62/'Local emissions'!AR62*100</f>
        <v>18.07735506310507</v>
      </c>
      <c r="AT62" s="42">
        <f t="shared" si="33"/>
        <v>3.5092814846742439</v>
      </c>
      <c r="AU62" s="42">
        <f t="shared" si="34"/>
        <v>7.9129666437215116</v>
      </c>
      <c r="AV62" s="42">
        <f>('Summed emissions'!AE62-'River loads'!X62)/'Summed emissions'!AE62*100</f>
        <v>15.376244235752331</v>
      </c>
      <c r="AW62" s="42">
        <f>('Summed emissions'!AR62-'River loads'!Z62)/'Summed emissions'!AR62*100</f>
        <v>24.899132990368869</v>
      </c>
      <c r="AX62" s="61">
        <f>X62/('Summed emissions'!$D62*100)*1000</f>
        <v>14.583651488388945</v>
      </c>
      <c r="AY62" s="19">
        <f>Y62/('Summed emissions'!$D62*100)*1000</f>
        <v>13.089293218813863</v>
      </c>
      <c r="AZ62" s="72">
        <f>Z62/('Summed emissions'!$D62*100)*1000</f>
        <v>0.48004344471948085</v>
      </c>
      <c r="BA62" s="43">
        <f>IF(AB62="","",AB62/('Summed emissions'!$D62*100)*1000)</f>
        <v>17.802096172797654</v>
      </c>
      <c r="BB62" s="43">
        <f>IF(AC62="","",AC62/('Summed emissions'!$D62*100)*1000)</f>
        <v>16.183723793452412</v>
      </c>
      <c r="BC62" s="43">
        <f>IF(AD62="","",AD62/('Summed emissions'!$D62*100)*1000)</f>
        <v>0.21886519499669285</v>
      </c>
      <c r="BF62" s="188">
        <f>('Summed emissions'!AE62-'River loads'!Y62)/'Summed emissions'!AE62*100</f>
        <v>24.047475122577048</v>
      </c>
      <c r="BG62" s="188">
        <f>('Summed emissions'!AR62-'River loads'!Z62)/'Summed emissions'!AR62*100</f>
        <v>24.899132990368869</v>
      </c>
      <c r="BH62" s="181">
        <f>'Summed emissions'!CV62*(100-'River loads'!BG62)/100</f>
        <v>141.2873526722565</v>
      </c>
      <c r="BI62" s="181">
        <f t="shared" si="45"/>
        <v>107.37838803091495</v>
      </c>
      <c r="BJ62" s="233"/>
      <c r="BK62" s="233">
        <f>Basicinfo!CQ62</f>
        <v>34.432063539766403</v>
      </c>
      <c r="BM62" s="31">
        <f t="shared" si="25"/>
        <v>2.2830974367452524E-2</v>
      </c>
      <c r="BN62" s="31">
        <f>BK62*1000000/24/3600/365/$AA62</f>
        <v>7.3210035511855048E-3</v>
      </c>
      <c r="BO62" s="231">
        <v>8.1583333333333403E-3</v>
      </c>
      <c r="BP62" s="31">
        <f>BM62/Parameters!$C$156</f>
        <v>3.5124575949926962E-2</v>
      </c>
      <c r="BQ62" s="305">
        <v>1.2999999999999999E-2</v>
      </c>
      <c r="BR62" s="237">
        <f>Basicinfo!CW62</f>
        <v>0.08</v>
      </c>
      <c r="BS62" s="237">
        <f t="shared" si="46"/>
        <v>0.43905719937408699</v>
      </c>
      <c r="BT62" s="237">
        <f t="shared" si="26"/>
        <v>0.16249999999999998</v>
      </c>
      <c r="BU62" s="31">
        <f t="shared" si="31"/>
        <v>4.3451735760915274E-2</v>
      </c>
      <c r="BV62" s="232">
        <v>2.1812499999999999E-2</v>
      </c>
      <c r="BW62" s="31">
        <f t="shared" si="32"/>
        <v>1.1847938275115859</v>
      </c>
      <c r="BX62" s="31">
        <v>1.60655833333333</v>
      </c>
      <c r="BY62" s="231">
        <f t="shared" si="1"/>
        <v>1.7711607142857135</v>
      </c>
      <c r="BZ62" s="147">
        <f t="shared" si="47"/>
        <v>1.6010727398805216</v>
      </c>
      <c r="CA62" s="305">
        <v>2.1150000000000002</v>
      </c>
      <c r="CB62" s="231">
        <f>Basicinfo!CV62</f>
        <v>5.5</v>
      </c>
      <c r="CC62" s="147">
        <f t="shared" si="50"/>
        <v>0.29110413452373118</v>
      </c>
      <c r="CD62" s="147"/>
      <c r="CE62" s="233">
        <f>'Local emissions'!FC62/14*62</f>
        <v>28.911944444444437</v>
      </c>
      <c r="CF62" s="233">
        <f>'Local emissions'!FD62/14*62</f>
        <v>10.701996843993136</v>
      </c>
      <c r="CH62">
        <f t="shared" si="48"/>
        <v>0</v>
      </c>
      <c r="CI62">
        <f t="shared" si="49"/>
        <v>0</v>
      </c>
      <c r="CK62" s="276">
        <f>Basicinfo!EM62</f>
        <v>0</v>
      </c>
      <c r="CL62" s="276">
        <f>Basicinfo!EN62</f>
        <v>0</v>
      </c>
      <c r="CM62">
        <f t="shared" si="23"/>
        <v>0</v>
      </c>
      <c r="CN62">
        <f t="shared" si="24"/>
        <v>0</v>
      </c>
      <c r="CO62" s="31">
        <f t="shared" si="27"/>
        <v>7.3210035511855048E-3</v>
      </c>
      <c r="CP62" s="270">
        <f>Basicinfo!DC62</f>
        <v>8.6547619047619064E-3</v>
      </c>
      <c r="CQ62" s="270">
        <f>Basicinfo!DD62</f>
        <v>1.6E-2</v>
      </c>
      <c r="CR62" s="236">
        <f t="shared" si="28"/>
        <v>1.60655833333333</v>
      </c>
      <c r="CS62" s="236">
        <f>Basicinfo!DK62</f>
        <v>1.7711607142857135</v>
      </c>
      <c r="CT62" s="236">
        <f>Basicinfo!DL62</f>
        <v>2.4510000000000001</v>
      </c>
      <c r="CU62" s="147">
        <f>'Summed emissions'!D62</f>
        <v>4257.1506581731001</v>
      </c>
      <c r="CV62" s="188">
        <f t="shared" si="29"/>
        <v>-33.106362513838953</v>
      </c>
      <c r="CW62" s="188">
        <f t="shared" si="30"/>
        <v>163.79667769821341</v>
      </c>
      <c r="CX62" s="188"/>
      <c r="CY62" s="188"/>
      <c r="DI62" s="31" t="e">
        <f>#REF!</f>
        <v>#REF!</v>
      </c>
      <c r="DJ62" s="233">
        <f>Basicinfo!DA62</f>
        <v>1.8458333333333316E-2</v>
      </c>
      <c r="DK62" s="233">
        <f>Basicinfo!DB62</f>
        <v>3.210000000000001E-2</v>
      </c>
      <c r="DR62" s="236">
        <f t="shared" si="2"/>
        <v>28.911944444444437</v>
      </c>
      <c r="DS62" s="236">
        <f t="shared" si="0"/>
        <v>10.701996843993136</v>
      </c>
      <c r="DY62" s="31">
        <f>Basicinfo!EI62</f>
        <v>4.4348712018853098E-2</v>
      </c>
      <c r="DZ62" s="31">
        <f>Intermediate!CR62</f>
        <v>4.4348712018853098E-2</v>
      </c>
    </row>
    <row r="63" spans="1:135">
      <c r="A63" s="39" t="str">
        <f>Basicinfo!A63</f>
        <v>Enns</v>
      </c>
      <c r="B63" s="63">
        <f>Basicinfo!B63</f>
        <v>4080</v>
      </c>
      <c r="C63" s="63">
        <f>Basicinfo!C63</f>
        <v>5020</v>
      </c>
      <c r="D63" s="61">
        <f>IF(Intermediate!D63=0,0,Basicinfo!AP63*86400*365/(Intermediate!D63*1000000))</f>
        <v>62.485845809273336</v>
      </c>
      <c r="E63" s="19">
        <f>IF(Intermediate!E63=0,0,IF((Intermediate!E63-Basicinfo!AA63)&lt;0,0,'Summed emissions'!E63*86400*365/((Intermediate!E63-Basicinfo!AA63)*1000000)))</f>
        <v>4428.6443361365755</v>
      </c>
      <c r="F63" s="19">
        <f>IF(Basicinfo!AA63=0,0,'Summed emissions'!E63*86400*365/(Basicinfo!AA63*1000000))</f>
        <v>0</v>
      </c>
      <c r="G63" s="19">
        <f>IF(D63=0,1,1/(1+Parameters!$C$138*EXP(Parameters!$C$139*Basicinfo!AQ63)*D63^Parameters!$C$140))</f>
        <v>0.87368560462480993</v>
      </c>
      <c r="H63" s="19">
        <f>IF(D63=0,1,1/(1+Parameters!$C$141*EXP(Parameters!$C$142*Basicinfo!AQ63)*D63^Parameters!$C$143))</f>
        <v>0.79258034337173711</v>
      </c>
      <c r="I63" s="161">
        <f>IF(Intermediate!AS63=0,1,IF(D63=0,1/(1+Parameters!$C$144*Intermediate!AS63^Parameters!$C$145),(1/(1+Parameters!$C$144*Intermediate!AS63^Parameters!$C$145)+1/(1+Parameters!$C$146*D63^Parameters!$C$147))/2))</f>
        <v>0.79413258015719679</v>
      </c>
      <c r="J63" s="19">
        <f>IF(E63=0,1,1/(1+Parameters!$C$138*EXP(Parameters!$C$139*Basicinfo!AQ63)*E63^Parameters!$C$140))</f>
        <v>0.99796425441042147</v>
      </c>
      <c r="K63" s="19">
        <f>IF(E63=0,1,1/(1+Parameters!$C$141*EXP(Parameters!$C$142*Basicinfo!AQ63)*E63^Parameters!$C$143))</f>
        <v>0.99632111006157131</v>
      </c>
      <c r="L63" s="19">
        <f>IF(E63=0,1,1/(1+Parameters!$C$146*E63^Parameters!$C$147))</f>
        <v>0.99422142364519783</v>
      </c>
      <c r="M63" s="53">
        <f>IF(F63=0,1,1/(1+Parameters!$C$138*EXP(Parameters!$C$139*Basicinfo!AQ63)*F63^Parameters!$C$140))</f>
        <v>1</v>
      </c>
      <c r="N63" s="53">
        <f>IF(F63=0,1,1/(1+Parameters!$C$141*EXP(Parameters!$C$142*Basicinfo!AQ63)*F63^Parameters!$C$143))</f>
        <v>1</v>
      </c>
      <c r="O63" s="53">
        <f>IF(F63=0,1,1/(1+Parameters!$C$146*F63^Parameters!$C$147))</f>
        <v>1</v>
      </c>
      <c r="P63" s="64">
        <f>Basicinfo!CE63+Basicinfo!CJ63</f>
        <v>66.419750766666667</v>
      </c>
      <c r="Q63" s="86">
        <f>Parameters!$C$126*Intermediate!BB63*Basicinfo!P63/1000+Parameters!$C$127*Intermediate!BB63*Basicinfo!S63/1000</f>
        <v>1.5591998447620384E-3</v>
      </c>
      <c r="R63" s="48">
        <f>'Local emissions'!AE63-P63-Q63</f>
        <v>885.11540235189511</v>
      </c>
      <c r="S63" s="48">
        <f>Basicinfo!CF63+Basicinfo!CK63</f>
        <v>3.6436220000000006</v>
      </c>
      <c r="T63" s="86">
        <f>'Local emissions'!AR63-S63</f>
        <v>26.590946954665394</v>
      </c>
      <c r="U63" s="61">
        <f t="shared" si="35"/>
        <v>839.73389543305882</v>
      </c>
      <c r="V63" s="27">
        <f t="shared" si="36"/>
        <v>767.94482028634491</v>
      </c>
      <c r="W63" s="27">
        <f t="shared" si="37"/>
        <v>24.760359313931584</v>
      </c>
      <c r="X63" s="61">
        <f>U63+TN!CI63</f>
        <v>5994.647356957088</v>
      </c>
      <c r="Y63" s="27">
        <f>V63+DIN!CI63</f>
        <v>5689.763788367316</v>
      </c>
      <c r="Z63" s="27">
        <f>W63+TP!CI63</f>
        <v>140.39579692136067</v>
      </c>
      <c r="AA63" s="73">
        <f>'Summed emissions'!E63</f>
        <v>203.57789359773977</v>
      </c>
      <c r="AB63" s="131">
        <f>IF(Basicinfo!AR63="","",Basicinfo!AR63)</f>
        <v>5836.9672384449141</v>
      </c>
      <c r="AC63" s="131">
        <f>IF(Basicinfo!AS63="","",Basicinfo!AS63)</f>
        <v>5306.3338531317404</v>
      </c>
      <c r="AD63" s="131">
        <f>IF(Basicinfo!AT63="","",Basicinfo!AT63)</f>
        <v>153.973606344432</v>
      </c>
      <c r="AE63" s="174">
        <f t="shared" si="38"/>
        <v>2.7014048918010189</v>
      </c>
      <c r="AF63" s="19">
        <f t="shared" si="39"/>
        <v>7.2258916579340422</v>
      </c>
      <c r="AG63" s="27">
        <f t="shared" si="40"/>
        <v>-8.8182707058886365</v>
      </c>
      <c r="AH63" s="56">
        <f>'Local emissions'!AE63-U63</f>
        <v>111.80281688534774</v>
      </c>
      <c r="AI63" s="228">
        <f>'Local emissions'!AR63-W63</f>
        <v>5.474209640733811</v>
      </c>
      <c r="AJ63" s="43">
        <f t="shared" si="41"/>
        <v>111.80281688534772</v>
      </c>
      <c r="AK63" s="58">
        <f t="shared" si="42"/>
        <v>5.4742096407338101</v>
      </c>
      <c r="AL63" s="43">
        <f>TN!CI152</f>
        <v>10.48024866056047</v>
      </c>
      <c r="AM63" s="43">
        <f>TP!CI152</f>
        <v>0.67209194012897333</v>
      </c>
      <c r="AN63" s="42">
        <f>TN!CI241+(AH63-AJ63)</f>
        <v>1.4210854715202004E-14</v>
      </c>
      <c r="AO63" s="43">
        <f>TP!CI241+(AI63-AK63)</f>
        <v>8.8817841970012523E-16</v>
      </c>
      <c r="AP63" s="42">
        <f t="shared" si="43"/>
        <v>122.2830655459082</v>
      </c>
      <c r="AQ63" s="42">
        <f t="shared" si="44"/>
        <v>6.1463015808627839</v>
      </c>
      <c r="AR63" s="42">
        <f>AH63/'Local emissions'!AE63*100</f>
        <v>11.749711328840027</v>
      </c>
      <c r="AS63" s="42">
        <f>AI63/'Local emissions'!AR63*100</f>
        <v>18.10579687424022</v>
      </c>
      <c r="AT63" s="42">
        <f t="shared" si="33"/>
        <v>1.9990919807760541</v>
      </c>
      <c r="AU63" s="42">
        <f t="shared" si="34"/>
        <v>4.194222440979666</v>
      </c>
      <c r="AV63" s="42">
        <f>('Summed emissions'!AE63-'River loads'!X63)/'Summed emissions'!AE63*100</f>
        <v>6.381913532842967</v>
      </c>
      <c r="AW63" s="42">
        <f>('Summed emissions'!AR63-'River loads'!Z63)/'Summed emissions'!AR63*100</f>
        <v>14.405171481621187</v>
      </c>
      <c r="AX63" s="61">
        <f>X63/('Summed emissions'!$D63*100)*1000</f>
        <v>9.8428343292416596</v>
      </c>
      <c r="AY63" s="19">
        <f>Y63/('Summed emissions'!$D63*100)*1000</f>
        <v>9.3422346648002801</v>
      </c>
      <c r="AZ63" s="72">
        <f>Z63/('Summed emissions'!$D63*100)*1000</f>
        <v>0.23052107777700281</v>
      </c>
      <c r="BA63" s="43">
        <f>IF(AB63="","",AB63/('Summed emissions'!$D63*100)*1000)</f>
        <v>9.5839334813495274</v>
      </c>
      <c r="BB63" s="43">
        <f>IF(AC63="","",AC63/('Summed emissions'!$D63*100)*1000)</f>
        <v>8.7126668012268418</v>
      </c>
      <c r="BC63" s="43">
        <f>IF(AD63="","",AD63/('Summed emissions'!$D63*100)*1000)</f>
        <v>0.25281498778493788</v>
      </c>
      <c r="BF63" s="188">
        <f>('Summed emissions'!AE63-'River loads'!Y63)/'Summed emissions'!AE63*100</f>
        <v>11.143263882088707</v>
      </c>
      <c r="BG63" s="188">
        <f>('Summed emissions'!AR63-'River loads'!Z63)/'Summed emissions'!AR63*100</f>
        <v>14.405171481621187</v>
      </c>
      <c r="BH63" s="181">
        <f>'Summed emissions'!CV63*(100-'River loads'!BG63)/100</f>
        <v>102.6934564422465</v>
      </c>
      <c r="BI63" s="181">
        <f t="shared" si="45"/>
        <v>78.04702689610734</v>
      </c>
      <c r="BJ63" s="233"/>
      <c r="BK63" s="233"/>
      <c r="BM63" s="31">
        <f t="shared" si="25"/>
        <v>1.2156796320513263E-2</v>
      </c>
      <c r="BN63" s="31"/>
      <c r="BO63" s="231"/>
      <c r="BP63" s="31">
        <f>BM63/Parameters!$C$156</f>
        <v>1.8702763570020403E-2</v>
      </c>
      <c r="BQ63" s="305" t="s">
        <v>934</v>
      </c>
      <c r="BR63" s="237">
        <f>Basicinfo!CW63</f>
        <v>0.08</v>
      </c>
      <c r="BS63" s="237">
        <f t="shared" si="46"/>
        <v>0.23378454462525503</v>
      </c>
      <c r="BT63" s="237"/>
      <c r="BU63" s="31">
        <f t="shared" si="31"/>
        <v>2.1868393650677949E-2</v>
      </c>
      <c r="BV63" s="232">
        <v>1.7990291262135898E-2</v>
      </c>
      <c r="BW63" s="31">
        <f t="shared" si="32"/>
        <v>0.88625156188317633</v>
      </c>
      <c r="BX63" s="31">
        <v>0.85183980582524299</v>
      </c>
      <c r="BY63" s="231">
        <f t="shared" si="1"/>
        <v>0.89217741935483885</v>
      </c>
      <c r="BZ63" s="147">
        <f t="shared" si="47"/>
        <v>1.1976372457880762</v>
      </c>
      <c r="CA63" s="305">
        <v>1.1322000000000001</v>
      </c>
      <c r="CB63" s="231">
        <f>Basicinfo!CV63</f>
        <v>5.5</v>
      </c>
      <c r="CC63" s="147">
        <f t="shared" si="50"/>
        <v>0.21775222650692294</v>
      </c>
      <c r="CD63" s="147"/>
      <c r="CE63" s="233"/>
      <c r="CF63" s="233">
        <f>'Local emissions'!FD63/14*62</f>
        <v>5.4616199673529406</v>
      </c>
      <c r="CH63">
        <f t="shared" si="48"/>
        <v>0</v>
      </c>
      <c r="CI63">
        <f t="shared" si="49"/>
        <v>0</v>
      </c>
      <c r="CK63" s="276">
        <f>Basicinfo!EM63</f>
        <v>0</v>
      </c>
      <c r="CL63" s="276">
        <f>Basicinfo!EN63</f>
        <v>0</v>
      </c>
      <c r="CM63">
        <f t="shared" si="23"/>
        <v>2</v>
      </c>
      <c r="CN63">
        <f t="shared" si="24"/>
        <v>0</v>
      </c>
      <c r="CO63" s="31">
        <f t="shared" si="27"/>
        <v>0</v>
      </c>
      <c r="CP63" s="270">
        <f>Basicinfo!DC63</f>
        <v>4.1774193548387122E-3</v>
      </c>
      <c r="CQ63" s="270">
        <f>Basicinfo!DD63</f>
        <v>7.799999999999997E-3</v>
      </c>
      <c r="CR63" s="236">
        <f t="shared" si="28"/>
        <v>0.85183980582524299</v>
      </c>
      <c r="CS63" s="236">
        <f>Basicinfo!DK63</f>
        <v>0.89217741935483885</v>
      </c>
      <c r="CT63" s="236">
        <f>Basicinfo!DL63</f>
        <v>1.236</v>
      </c>
      <c r="CU63" s="147">
        <f>'Summed emissions'!D63</f>
        <v>6090.3670187233001</v>
      </c>
      <c r="CV63" s="188">
        <f t="shared" si="29"/>
        <v>-0.66420168714286587</v>
      </c>
      <c r="CW63" s="188">
        <f t="shared" si="30"/>
        <v>191.01211269182309</v>
      </c>
      <c r="CX63" s="188"/>
      <c r="CY63" s="188"/>
      <c r="DI63" s="31" t="e">
        <f>#REF!</f>
        <v>#REF!</v>
      </c>
      <c r="DJ63" s="233">
        <f>Basicinfo!DA63</f>
        <v>1.5263440860215041E-2</v>
      </c>
      <c r="DK63" s="233">
        <f>Basicinfo!DB63</f>
        <v>2.1000000000000001E-2</v>
      </c>
      <c r="DR63" s="236"/>
      <c r="DS63" s="236">
        <f t="shared" si="0"/>
        <v>5.4616199673529406</v>
      </c>
      <c r="DY63" s="31">
        <f>Basicinfo!EI63</f>
        <v>1.2376729605263159E-2</v>
      </c>
      <c r="DZ63" s="31">
        <f>Intermediate!CR63</f>
        <v>1.2376729605263159E-2</v>
      </c>
    </row>
    <row r="64" spans="1:135">
      <c r="A64" s="39" t="str">
        <f>Basicinfo!A64</f>
        <v>Donau</v>
      </c>
      <c r="B64" s="63">
        <f>Basicinfo!B64</f>
        <v>4990</v>
      </c>
      <c r="C64" s="63">
        <f>Basicinfo!C64</f>
        <v>5000</v>
      </c>
      <c r="D64" s="61">
        <f>IF(Intermediate!D64=0,0,Basicinfo!AP64*86400*365/(Intermediate!D64*1000000))</f>
        <v>25.651598158185216</v>
      </c>
      <c r="E64" s="19">
        <f>IF(Intermediate!E64=0,0,IF((Intermediate!E64-Basicinfo!AA64)&lt;0,0,'Summed emissions'!E64*86400*365/((Intermediate!E64-Basicinfo!AA64)*1000000)))</f>
        <v>1880.6133408240601</v>
      </c>
      <c r="F64" s="19">
        <f>IF(Basicinfo!AA64=0,0,'Summed emissions'!E64*86400*365/(Basicinfo!AA64*1000000))</f>
        <v>0</v>
      </c>
      <c r="G64" s="19">
        <f>IF(D64=0,1,1/(1+Parameters!$C$138*EXP(Parameters!$C$139*Basicinfo!AQ64)*D64^Parameters!$C$140))</f>
        <v>0.72049623649629602</v>
      </c>
      <c r="H64" s="19">
        <f>IF(D64=0,1,1/(1+Parameters!$C$141*EXP(Parameters!$C$142*Basicinfo!AQ64)*D64^Parameters!$C$143))</f>
        <v>0.58747276424354133</v>
      </c>
      <c r="I64" s="161">
        <f>IF(Intermediate!AS64=0,1,IF(D64=0,1/(1+Parameters!$C$144*Intermediate!AS64^Parameters!$C$145),(1/(1+Parameters!$C$144*Intermediate!AS64^Parameters!$C$145)+1/(1+Parameters!$C$146*D64^Parameters!$C$147))/2))</f>
        <v>0.64155943828235529</v>
      </c>
      <c r="J64" s="19">
        <f>IF(E64=0,1,1/(1+Parameters!$C$138*EXP(Parameters!$C$139*Basicinfo!AQ64)*E64^Parameters!$C$140))</f>
        <v>0.9947364483369654</v>
      </c>
      <c r="K64" s="19">
        <f>IF(E64=0,1,1/(1+Parameters!$C$141*EXP(Parameters!$C$142*Basicinfo!AQ64)*E64^Parameters!$C$143))</f>
        <v>0.99051276016600531</v>
      </c>
      <c r="L64" s="19">
        <f>IF(E64=0,1,1/(1+Parameters!$C$146*E64^Parameters!$C$147))</f>
        <v>0.98649778115694253</v>
      </c>
      <c r="M64" s="53">
        <f>IF(F64=0,1,1/(1+Parameters!$C$138*EXP(Parameters!$C$139*Basicinfo!AQ64)*F64^Parameters!$C$140))</f>
        <v>1</v>
      </c>
      <c r="N64" s="53">
        <f>IF(F64=0,1,1/(1+Parameters!$C$141*EXP(Parameters!$C$142*Basicinfo!AQ64)*F64^Parameters!$C$143))</f>
        <v>1</v>
      </c>
      <c r="O64" s="53">
        <f>IF(F64=0,1,1/(1+Parameters!$C$146*F64^Parameters!$C$147))</f>
        <v>1</v>
      </c>
      <c r="P64" s="64">
        <f>Basicinfo!CE64+Basicinfo!CJ64</f>
        <v>2.1813866555555554</v>
      </c>
      <c r="Q64" s="86">
        <f>Parameters!$C$126*Intermediate!BB64*Basicinfo!P64/1000+Parameters!$C$127*Intermediate!BB64*Basicinfo!S64/1000</f>
        <v>0</v>
      </c>
      <c r="R64" s="48">
        <f>'Local emissions'!AE64-P64-Q64</f>
        <v>151.35191638313654</v>
      </c>
      <c r="S64" s="48">
        <f>Basicinfo!CF64+Basicinfo!CK64</f>
        <v>1.0775980000000001</v>
      </c>
      <c r="T64" s="86">
        <f>'Local emissions'!AR64-S64</f>
        <v>5.0696683184800708</v>
      </c>
      <c r="U64" s="61">
        <f t="shared" si="35"/>
        <v>111.22987279610751</v>
      </c>
      <c r="V64" s="27">
        <f t="shared" si="36"/>
        <v>91.096515346714114</v>
      </c>
      <c r="W64" s="27">
        <f t="shared" si="37"/>
        <v>4.3300915586819269</v>
      </c>
      <c r="X64" s="61">
        <f>U64+TN!CI64</f>
        <v>2210.6731511572384</v>
      </c>
      <c r="Y64" s="27">
        <f>V64+DIN!CI64</f>
        <v>1866.3866066459479</v>
      </c>
      <c r="Z64" s="27">
        <f>W64+TP!CI64</f>
        <v>90.164111903367115</v>
      </c>
      <c r="AA64" s="73">
        <f>'Summed emissions'!E64</f>
        <v>28.983260566659148</v>
      </c>
      <c r="AB64" s="131">
        <f>IF(Basicinfo!AR64="","",Basicinfo!AR64)</f>
        <v>158068.53494243132</v>
      </c>
      <c r="AC64" s="131">
        <f>IF(Basicinfo!AS64="","",Basicinfo!AS64)</f>
        <v>143698.66812948301</v>
      </c>
      <c r="AD64" s="131">
        <f>IF(Basicinfo!AT64="","",Basicinfo!AT64)</f>
        <v>4202.4479725110896</v>
      </c>
      <c r="AE64" s="174">
        <f t="shared" si="38"/>
        <v>-98.601446421982487</v>
      </c>
      <c r="AF64" s="19">
        <f t="shared" si="39"/>
        <v>-98.701180302545183</v>
      </c>
      <c r="AG64" s="27">
        <f t="shared" si="40"/>
        <v>-97.854485945021906</v>
      </c>
      <c r="AH64" s="56">
        <f>'Local emissions'!AE64-U64</f>
        <v>42.303430242584568</v>
      </c>
      <c r="AI64" s="228">
        <f>'Local emissions'!AR64-W64</f>
        <v>1.817174759798144</v>
      </c>
      <c r="AJ64" s="43">
        <f t="shared" si="41"/>
        <v>42.303430242584575</v>
      </c>
      <c r="AK64" s="58">
        <f t="shared" si="42"/>
        <v>1.817174759798144</v>
      </c>
      <c r="AL64" s="43">
        <f>TN!CI153</f>
        <v>11.106604483946443</v>
      </c>
      <c r="AM64" s="43">
        <f>TP!CI153</f>
        <v>1.1748122996426773</v>
      </c>
      <c r="AN64" s="42">
        <f>TN!CI242+(AH64-AJ64)</f>
        <v>-7.1054273576010019E-15</v>
      </c>
      <c r="AO64" s="43">
        <f>TP!CI242+(AI64-AK64)</f>
        <v>0</v>
      </c>
      <c r="AP64" s="42">
        <f t="shared" si="43"/>
        <v>53.410034726531009</v>
      </c>
      <c r="AQ64" s="42">
        <f t="shared" si="44"/>
        <v>2.9919870594408211</v>
      </c>
      <c r="AR64" s="42">
        <f>AH64/'Local emissions'!AE64*100</f>
        <v>27.553260045427173</v>
      </c>
      <c r="AS64" s="42">
        <f>AI64/'Local emissions'!AR64*100</f>
        <v>29.560696830968691</v>
      </c>
      <c r="AT64" s="42">
        <f t="shared" si="33"/>
        <v>2.3590137968222558</v>
      </c>
      <c r="AU64" s="42">
        <f t="shared" si="34"/>
        <v>3.2117994342328093</v>
      </c>
      <c r="AV64" s="42">
        <f>('Summed emissions'!AE64-'River loads'!X64)/'Summed emissions'!AE64*100</f>
        <v>24.096740101006745</v>
      </c>
      <c r="AW64" s="42">
        <f>('Summed emissions'!AR64-'River loads'!Z64)/'Summed emissions'!AR64*100</f>
        <v>36.736367637352778</v>
      </c>
      <c r="AX64" s="61">
        <f>X64/('Summed emissions'!$D64*100)*1000</f>
        <v>10.491682085239114</v>
      </c>
      <c r="AY64" s="19">
        <f>Y64/('Summed emissions'!$D64*100)*1000</f>
        <v>8.8577250394645706</v>
      </c>
      <c r="AZ64" s="72">
        <f>Z64/('Summed emissions'!$D64*100)*1000</f>
        <v>0.42791183178429409</v>
      </c>
      <c r="BA64" s="353"/>
      <c r="BB64" s="353"/>
      <c r="BC64" s="353"/>
      <c r="BF64" s="188">
        <f>('Summed emissions'!AE64-'River loads'!Y64)/'Summed emissions'!AE64*100</f>
        <v>35.917787031479946</v>
      </c>
      <c r="BG64" s="188">
        <f>('Summed emissions'!AR64-'River loads'!Z64)/'Summed emissions'!AR64*100</f>
        <v>36.736367637352778</v>
      </c>
      <c r="BH64" s="181">
        <f>'Summed emissions'!CV64*(100-'River loads'!BG64)/100</f>
        <v>65.190849961988349</v>
      </c>
      <c r="BI64" s="181">
        <f t="shared" si="45"/>
        <v>49.545045971111144</v>
      </c>
      <c r="BJ64" s="233"/>
      <c r="BK64" s="233"/>
      <c r="BM64" s="31">
        <f t="shared" ref="BM64:BM71" si="51">BI64*1000000/24/3600/365/$AA64</f>
        <v>5.4205878526215862E-2</v>
      </c>
      <c r="BN64" s="31"/>
      <c r="BO64" s="231">
        <v>3.2125000000000001E-2</v>
      </c>
      <c r="BP64" s="31">
        <f>BM64/Parameters!$C$156</f>
        <v>8.3393659271101317E-2</v>
      </c>
      <c r="BQ64" s="305">
        <v>5.1700000000000003E-2</v>
      </c>
      <c r="BR64" s="237">
        <f>Basicinfo!CW64</f>
        <v>0.1</v>
      </c>
      <c r="BS64" s="237">
        <f t="shared" si="46"/>
        <v>0.83393659271101317</v>
      </c>
      <c r="BT64" s="237">
        <f t="shared" si="26"/>
        <v>0.51700000000000002</v>
      </c>
      <c r="BU64" s="31">
        <f t="shared" si="31"/>
        <v>9.8646086636145699E-2</v>
      </c>
      <c r="BV64" s="232">
        <v>6.12142857142857E-2</v>
      </c>
      <c r="BW64" s="31">
        <f t="shared" si="32"/>
        <v>2.041962494934336</v>
      </c>
      <c r="BX64" s="31">
        <v>2.2202964285714302</v>
      </c>
      <c r="BY64" s="231"/>
      <c r="BZ64" s="147">
        <f t="shared" si="47"/>
        <v>2.759408776938292</v>
      </c>
      <c r="CA64" s="305">
        <v>3.1533000000000002</v>
      </c>
      <c r="CB64" s="231">
        <f>Basicinfo!CV64</f>
        <v>5.5</v>
      </c>
      <c r="CC64" s="147">
        <f t="shared" si="50"/>
        <v>0.50171068671605312</v>
      </c>
      <c r="CD64" s="147"/>
      <c r="CE64" s="233">
        <f>'Local emissions'!FC64/14*62</f>
        <v>14.530000000000001</v>
      </c>
      <c r="CF64" s="233">
        <f>'Local emissions'!FD64/14*62</f>
        <v>10.717609710330096</v>
      </c>
      <c r="CH64">
        <f t="shared" si="48"/>
        <v>1</v>
      </c>
      <c r="CI64">
        <f t="shared" si="49"/>
        <v>0</v>
      </c>
      <c r="CK64" s="276">
        <f>Basicinfo!EM64</f>
        <v>2</v>
      </c>
      <c r="CL64" s="276">
        <f>Basicinfo!EN64</f>
        <v>2</v>
      </c>
      <c r="CM64">
        <f t="shared" si="23"/>
        <v>0</v>
      </c>
      <c r="CN64">
        <f t="shared" si="24"/>
        <v>0</v>
      </c>
      <c r="CO64" s="31"/>
      <c r="CP64" s="270"/>
      <c r="CQ64" s="270"/>
      <c r="CR64" s="236"/>
      <c r="CS64" s="236"/>
      <c r="CT64" s="236"/>
      <c r="CU64" s="147">
        <f>'Summed emissions'!D64</f>
        <v>2107.0721865157002</v>
      </c>
      <c r="CV64" s="188"/>
      <c r="CW64" s="188"/>
      <c r="CX64" s="188"/>
      <c r="CY64" s="188"/>
      <c r="DI64" s="31"/>
      <c r="DJ64" s="233"/>
      <c r="DK64" s="233"/>
      <c r="DR64" s="236">
        <f t="shared" si="2"/>
        <v>14.530000000000001</v>
      </c>
      <c r="DS64" s="236">
        <f t="shared" si="0"/>
        <v>10.717609710330096</v>
      </c>
      <c r="DY64" s="31">
        <f>Basicinfo!EI64</f>
        <v>4.2941199999999999E-2</v>
      </c>
      <c r="DZ64" s="31">
        <f>Intermediate!CR64</f>
        <v>2.8566725977585729E-2</v>
      </c>
    </row>
    <row r="65" spans="1:130">
      <c r="A65" s="39" t="str">
        <f>Basicinfo!A65</f>
        <v>Donau</v>
      </c>
      <c r="B65" s="63">
        <f>Basicinfo!B65</f>
        <v>5000</v>
      </c>
      <c r="C65" s="63">
        <f>Basicinfo!C65</f>
        <v>5010</v>
      </c>
      <c r="D65" s="61">
        <f>IF(Intermediate!D65=0,0,Basicinfo!AP65*86400*365/(Intermediate!D65*1000000))</f>
        <v>8.1734187835478664</v>
      </c>
      <c r="E65" s="19">
        <f>IF(Intermediate!E65=0,0,IF((Intermediate!E65-Basicinfo!AA65)&lt;0,0,'Summed emissions'!E65*86400*365/((Intermediate!E65-Basicinfo!AA65)*1000000)))</f>
        <v>497.05907795764847</v>
      </c>
      <c r="F65" s="19">
        <f>IF(Basicinfo!AA65=0,0,'Summed emissions'!E65*86400*365/(Basicinfo!AA65*1000000))</f>
        <v>0</v>
      </c>
      <c r="G65" s="19">
        <f>IF(D65=0,1,1/(1+Parameters!$C$138*EXP(Parameters!$C$139*Basicinfo!AQ65)*D65^Parameters!$C$140))</f>
        <v>0.46650711649844923</v>
      </c>
      <c r="H65" s="19">
        <f>IF(D65=0,1,1/(1+Parameters!$C$141*EXP(Parameters!$C$142*Basicinfo!AQ65)*D65^Parameters!$C$143))</f>
        <v>0.32572836878919875</v>
      </c>
      <c r="I65" s="161">
        <f>IF(Intermediate!AS65=0,1,IF(D65=0,1/(1+Parameters!$C$144*Intermediate!AS65^Parameters!$C$145),(1/(1+Parameters!$C$144*Intermediate!AS65^Parameters!$C$145)+1/(1+Parameters!$C$146*D65^Parameters!$C$147))/2))</f>
        <v>0.50177680671956237</v>
      </c>
      <c r="J65" s="19">
        <f>IF(E65=0,1,1/(1+Parameters!$C$138*EXP(Parameters!$C$139*Basicinfo!AQ65)*E65^Parameters!$C$140))</f>
        <v>0.98154240276739513</v>
      </c>
      <c r="K65" s="19">
        <f>IF(E65=0,1,1/(1+Parameters!$C$141*EXP(Parameters!$C$142*Basicinfo!AQ65)*E65^Parameters!$C$143))</f>
        <v>0.96708164050991363</v>
      </c>
      <c r="L65" s="19">
        <f>IF(E65=0,1,1/(1+Parameters!$C$146*E65^Parameters!$C$147))</f>
        <v>0.95076502410724384</v>
      </c>
      <c r="M65" s="53">
        <f>IF(F65=0,1,1/(1+Parameters!$C$138*EXP(Parameters!$C$139*Basicinfo!AQ65)*F65^Parameters!$C$140))</f>
        <v>1</v>
      </c>
      <c r="N65" s="53">
        <f>IF(F65=0,1,1/(1+Parameters!$C$141*EXP(Parameters!$C$142*Basicinfo!AQ65)*F65^Parameters!$C$143))</f>
        <v>1</v>
      </c>
      <c r="O65" s="53">
        <f>IF(F65=0,1,1/(1+Parameters!$C$146*F65^Parameters!$C$147))</f>
        <v>1</v>
      </c>
      <c r="P65" s="64">
        <f>Basicinfo!CE65+Basicinfo!CJ65</f>
        <v>1.4378592000000001</v>
      </c>
      <c r="Q65" s="86">
        <f>Parameters!$C$126*Intermediate!BB65*Basicinfo!P65/1000+Parameters!$C$127*Intermediate!BB65*Basicinfo!S65/1000</f>
        <v>4.7740122377116205E-4</v>
      </c>
      <c r="R65" s="48">
        <f>'Local emissions'!AE65-P65-Q65</f>
        <v>232.60478264418822</v>
      </c>
      <c r="S65" s="48">
        <f>Basicinfo!CF65+Basicinfo!CK65</f>
        <v>0.75375900000000007</v>
      </c>
      <c r="T65" s="86">
        <f>'Local emissions'!AR65-S65</f>
        <v>9.3772742308217776</v>
      </c>
      <c r="U65" s="61">
        <f t="shared" si="35"/>
        <v>109.95012303631256</v>
      </c>
      <c r="V65" s="27">
        <f t="shared" si="36"/>
        <v>77.203835623257561</v>
      </c>
      <c r="W65" s="27">
        <f t="shared" si="37"/>
        <v>5.4590577192753926</v>
      </c>
      <c r="X65" s="61">
        <f>U65+TN!CI65</f>
        <v>4446.6774552309726</v>
      </c>
      <c r="Y65" s="27">
        <f>V65+DIN!CI65</f>
        <v>3835.1781439637925</v>
      </c>
      <c r="Z65" s="27">
        <f>W65+TP!CI65</f>
        <v>173.64631384273417</v>
      </c>
      <c r="AA65" s="73">
        <f>'Summed emissions'!E65</f>
        <v>64.912066396251731</v>
      </c>
      <c r="AB65" s="131" t="str">
        <f>IF(Basicinfo!AR65="","",Basicinfo!AR65)</f>
        <v/>
      </c>
      <c r="AC65" s="131" t="str">
        <f>IF(Basicinfo!AS65="","",Basicinfo!AS65)</f>
        <v/>
      </c>
      <c r="AD65" s="131" t="str">
        <f>IF(Basicinfo!AT65="","",Basicinfo!AT65)</f>
        <v/>
      </c>
      <c r="AE65" s="174" t="str">
        <f t="shared" si="38"/>
        <v/>
      </c>
      <c r="AF65" s="19" t="str">
        <f t="shared" si="39"/>
        <v/>
      </c>
      <c r="AG65" s="27" t="str">
        <f t="shared" si="40"/>
        <v/>
      </c>
      <c r="AH65" s="56">
        <f>'Local emissions'!AE65-U65</f>
        <v>124.09299620909943</v>
      </c>
      <c r="AI65" s="228">
        <f>'Local emissions'!AR65-W65</f>
        <v>4.6719755115463855</v>
      </c>
      <c r="AJ65" s="43">
        <f t="shared" si="41"/>
        <v>124.09299620909944</v>
      </c>
      <c r="AK65" s="58">
        <f t="shared" si="42"/>
        <v>4.6719755115463855</v>
      </c>
      <c r="AL65" s="43">
        <f>TN!CI154</f>
        <v>81.534534657851182</v>
      </c>
      <c r="AM65" s="43">
        <f>TP!CI154</f>
        <v>8.7095079128334199</v>
      </c>
      <c r="AN65" s="42">
        <f>TN!CI243+(AH65-AJ65)</f>
        <v>-1.4210854715202004E-14</v>
      </c>
      <c r="AO65" s="43">
        <f>TP!CI243+(AI65-AK65)</f>
        <v>0</v>
      </c>
      <c r="AP65" s="42">
        <f t="shared" si="43"/>
        <v>205.62753086695062</v>
      </c>
      <c r="AQ65" s="42">
        <f t="shared" si="44"/>
        <v>13.381483424379805</v>
      </c>
      <c r="AR65" s="42">
        <f>AH65/'Local emissions'!AE65*100</f>
        <v>53.021424688404736</v>
      </c>
      <c r="AS65" s="42">
        <f>AI65/'Local emissions'!AR65*100</f>
        <v>46.115488964469805</v>
      </c>
      <c r="AT65" s="42">
        <f t="shared" si="33"/>
        <v>4.4199065083095244</v>
      </c>
      <c r="AU65" s="42">
        <f t="shared" si="34"/>
        <v>7.1548099372994844</v>
      </c>
      <c r="AV65" s="42">
        <f>('Summed emissions'!AE65-'River loads'!X65)/'Summed emissions'!AE65*100</f>
        <v>21.482333903837471</v>
      </c>
      <c r="AW65" s="42">
        <f>('Summed emissions'!AR65-'River loads'!Z65)/'Summed emissions'!AR65*100</f>
        <v>36.872289167653506</v>
      </c>
      <c r="AX65" s="61">
        <f>X65/('Summed emissions'!$D65*100)*1000</f>
        <v>9.8575287289049385</v>
      </c>
      <c r="AY65" s="19">
        <f>Y65/('Summed emissions'!$D65*100)*1000</f>
        <v>8.501938608143929</v>
      </c>
      <c r="AZ65" s="72">
        <f>Z65/('Summed emissions'!$D65*100)*1000</f>
        <v>0.38494438704106188</v>
      </c>
      <c r="BA65" s="43" t="str">
        <f>IF(AB65="","",AB65/('Summed emissions'!$D65*100)*1000)</f>
        <v/>
      </c>
      <c r="BB65" s="43" t="str">
        <f>IF(AC65="","",AC65/('Summed emissions'!$D65*100)*1000)</f>
        <v/>
      </c>
      <c r="BC65" s="43" t="str">
        <f>IF(AD65="","",AD65/('Summed emissions'!$D65*100)*1000)</f>
        <v/>
      </c>
      <c r="BF65" s="188">
        <f>('Summed emissions'!AE65-'River loads'!Y65)/'Summed emissions'!AE65*100</f>
        <v>32.279946103847116</v>
      </c>
      <c r="BG65" s="188">
        <f>('Summed emissions'!AR65-'River loads'!Z65)/'Summed emissions'!AR65*100</f>
        <v>36.872289167653506</v>
      </c>
      <c r="BH65" s="181">
        <f>'Summed emissions'!CV65*(100-'River loads'!BG65)/100</f>
        <v>123.77568321855777</v>
      </c>
      <c r="BI65" s="181">
        <f t="shared" si="45"/>
        <v>94.069519246103908</v>
      </c>
      <c r="BJ65" s="233"/>
      <c r="BK65" s="233"/>
      <c r="BM65" s="31">
        <f t="shared" si="51"/>
        <v>4.5953318896021764E-2</v>
      </c>
      <c r="BN65" s="31"/>
      <c r="BO65" s="231"/>
      <c r="BP65" s="31">
        <f>BM65/Parameters!$C$156</f>
        <v>7.069741368618733E-2</v>
      </c>
      <c r="BQ65" s="305" t="s">
        <v>934</v>
      </c>
      <c r="BR65" s="237">
        <f>Basicinfo!CW65</f>
        <v>0.1</v>
      </c>
      <c r="BS65" s="237">
        <f t="shared" si="46"/>
        <v>0.70697413686187327</v>
      </c>
      <c r="BT65" s="237"/>
      <c r="BU65" s="31">
        <f t="shared" si="31"/>
        <v>8.4826886531200546E-2</v>
      </c>
      <c r="BV65" s="232"/>
      <c r="BW65" s="31">
        <f t="shared" si="32"/>
        <v>1.8734991491935404</v>
      </c>
      <c r="BX65" s="31"/>
      <c r="BY65" s="231"/>
      <c r="BZ65" s="147">
        <f t="shared" si="47"/>
        <v>2.5317556070182978</v>
      </c>
      <c r="CA65" s="305"/>
      <c r="CB65" s="231">
        <f>Basicinfo!CV65</f>
        <v>5.5</v>
      </c>
      <c r="CC65" s="147">
        <f t="shared" si="50"/>
        <v>0.46031920127605414</v>
      </c>
      <c r="CD65" s="147"/>
      <c r="CE65" s="233">
        <f>'Local emissions'!FC65/14*62</f>
        <v>10.545</v>
      </c>
      <c r="CF65" s="233">
        <f>'Local emissions'!FD65/14*62</f>
        <v>10.005185420168935</v>
      </c>
      <c r="CH65">
        <f t="shared" si="48"/>
        <v>0</v>
      </c>
      <c r="CI65">
        <f t="shared" si="49"/>
        <v>0</v>
      </c>
      <c r="CK65" s="276">
        <f>Basicinfo!EM65</f>
        <v>2</v>
      </c>
      <c r="CL65" s="276">
        <f>Basicinfo!EN65</f>
        <v>2</v>
      </c>
      <c r="CM65">
        <f t="shared" si="23"/>
        <v>2</v>
      </c>
      <c r="CN65">
        <f t="shared" si="24"/>
        <v>0</v>
      </c>
      <c r="CO65" s="31"/>
      <c r="CP65" s="270"/>
      <c r="CQ65" s="270"/>
      <c r="CR65" s="236"/>
      <c r="CS65" s="236"/>
      <c r="CT65" s="236"/>
      <c r="CU65" s="147">
        <f>'Summed emissions'!D65</f>
        <v>4510.9454687077014</v>
      </c>
      <c r="CV65" s="188"/>
      <c r="CW65" s="188"/>
      <c r="CX65" s="188"/>
      <c r="CY65" s="188"/>
      <c r="DI65" s="31"/>
      <c r="DJ65" s="233"/>
      <c r="DK65" s="233"/>
      <c r="DR65" s="236">
        <f t="shared" si="2"/>
        <v>10.545</v>
      </c>
      <c r="DS65" s="236">
        <f t="shared" si="0"/>
        <v>10.005185420168935</v>
      </c>
      <c r="DY65" s="31">
        <f>Basicinfo!EI65</f>
        <v>3.9552247368421056E-2</v>
      </c>
      <c r="DZ65" s="31">
        <f>Intermediate!CR65</f>
        <v>3.4590843200697101E-2</v>
      </c>
    </row>
    <row r="66" spans="1:130">
      <c r="A66" s="39" t="str">
        <f>Basicinfo!A66</f>
        <v>Donau</v>
      </c>
      <c r="B66" s="63">
        <f>Basicinfo!B66</f>
        <v>5010</v>
      </c>
      <c r="C66" s="63">
        <f>Basicinfo!C66</f>
        <v>5020</v>
      </c>
      <c r="D66" s="61">
        <f>IF(Intermediate!D66=0,0,Basicinfo!AP66*86400*365/(Intermediate!D66*1000000))</f>
        <v>13.889027567557553</v>
      </c>
      <c r="E66" s="19">
        <f>IF(Intermediate!E66=0,0,IF((Intermediate!E66-Basicinfo!AA66)&lt;0,0,'Summed emissions'!E66*86400*365/((Intermediate!E66-Basicinfo!AA66)*1000000)))</f>
        <v>4948.8438225928767</v>
      </c>
      <c r="F66" s="19">
        <f>IF(Basicinfo!AA66=0,0,'Summed emissions'!E66*86400*365/(Basicinfo!AA66*1000000))</f>
        <v>0</v>
      </c>
      <c r="G66" s="19">
        <f>IF(D66=0,1,1/(1+Parameters!$C$138*EXP(Parameters!$C$139*Basicinfo!AQ66)*D66^Parameters!$C$140))</f>
        <v>0.57296998363663287</v>
      </c>
      <c r="H66" s="19">
        <f>IF(D66=0,1,1/(1+Parameters!$C$141*EXP(Parameters!$C$142*Basicinfo!AQ66)*D66^Parameters!$C$143))</f>
        <v>0.42569982429665626</v>
      </c>
      <c r="I66" s="161">
        <f>IF(Intermediate!AS66=0,1,IF(D66=0,1/(1+Parameters!$C$144*Intermediate!AS66^Parameters!$C$145),(1/(1+Parameters!$C$144*Intermediate!AS66^Parameters!$C$145)+1/(1+Parameters!$C$146*D66^Parameters!$C$147))/2))</f>
        <v>0.49078448278907455</v>
      </c>
      <c r="J66" s="19">
        <f>IF(E66=0,1,1/(1+Parameters!$C$138*EXP(Parameters!$C$139*Basicinfo!AQ66)*E66^Parameters!$C$140))</f>
        <v>0.99791268896790131</v>
      </c>
      <c r="K66" s="19">
        <f>IF(E66=0,1,1/(1+Parameters!$C$141*EXP(Parameters!$C$142*Basicinfo!AQ66)*E66^Parameters!$C$143))</f>
        <v>0.99622808107798078</v>
      </c>
      <c r="L66" s="19">
        <f>IF(E66=0,1,1/(1+Parameters!$C$146*E66^Parameters!$C$147))</f>
        <v>0.99482569780348296</v>
      </c>
      <c r="M66" s="53">
        <f>IF(F66=0,1,1/(1+Parameters!$C$138*EXP(Parameters!$C$139*Basicinfo!AQ66)*F66^Parameters!$C$140))</f>
        <v>1</v>
      </c>
      <c r="N66" s="53">
        <f>IF(F66=0,1,1/(1+Parameters!$C$141*EXP(Parameters!$C$142*Basicinfo!AQ66)*F66^Parameters!$C$143))</f>
        <v>1</v>
      </c>
      <c r="O66" s="53">
        <f>IF(F66=0,1,1/(1+Parameters!$C$146*F66^Parameters!$C$147))</f>
        <v>1</v>
      </c>
      <c r="P66" s="64">
        <f>Basicinfo!CE66+Basicinfo!CJ66</f>
        <v>1931.3589781666667</v>
      </c>
      <c r="Q66" s="86">
        <f>Parameters!$C$126*Intermediate!BB66*Basicinfo!P66/1000+Parameters!$C$127*Intermediate!BB66*Basicinfo!S66/1000</f>
        <v>4.7369403931814776E-2</v>
      </c>
      <c r="R66" s="48">
        <f>'Local emissions'!AE66-P66-Q66</f>
        <v>144.33992363836288</v>
      </c>
      <c r="S66" s="48">
        <f>Basicinfo!CF66+Basicinfo!CK66</f>
        <v>64.668573333333342</v>
      </c>
      <c r="T66" s="86">
        <f>'Local emissions'!AR66-S66</f>
        <v>10.11873226639662</v>
      </c>
      <c r="U66" s="61">
        <f t="shared" si="35"/>
        <v>2014.1087912557841</v>
      </c>
      <c r="V66" s="27">
        <f t="shared" si="36"/>
        <v>1992.8044582985106</v>
      </c>
      <c r="W66" s="27">
        <f t="shared" si="37"/>
        <v>69.634690115177932</v>
      </c>
      <c r="X66" s="61">
        <f>U66+TN!CI66</f>
        <v>13370.858359663507</v>
      </c>
      <c r="Y66" s="27">
        <f>V66+DIN!CI66</f>
        <v>12029.346212846844</v>
      </c>
      <c r="Z66" s="27">
        <f>W66+TP!CI66</f>
        <v>479.28550587285804</v>
      </c>
      <c r="AA66" s="73">
        <f>'Summed emissions'!E66</f>
        <v>223.81646083651157</v>
      </c>
      <c r="AB66" s="131">
        <f>IF(Basicinfo!AR66="","",Basicinfo!AR66)</f>
        <v>175555.72339213479</v>
      </c>
      <c r="AC66" s="131">
        <f>IF(Basicinfo!AS66="","",Basicinfo!AS66)</f>
        <v>159596.112174668</v>
      </c>
      <c r="AD66" s="131">
        <f>IF(Basicinfo!AT66="","",Basicinfo!AT66)</f>
        <v>3823.9008285512</v>
      </c>
      <c r="AE66" s="174">
        <f t="shared" si="38"/>
        <v>-92.383695557565318</v>
      </c>
      <c r="AF66" s="19">
        <f t="shared" si="39"/>
        <v>-92.462632047276017</v>
      </c>
      <c r="AG66" s="27">
        <f t="shared" si="40"/>
        <v>-87.46605815992227</v>
      </c>
      <c r="AH66" s="56">
        <f>'Local emissions'!AE66-U66</f>
        <v>61.637479953177262</v>
      </c>
      <c r="AI66" s="228">
        <f>'Local emissions'!AR66-W66</f>
        <v>5.1526154845520296</v>
      </c>
      <c r="AJ66" s="43">
        <f t="shared" si="41"/>
        <v>61.637479953177262</v>
      </c>
      <c r="AK66" s="58">
        <f t="shared" si="42"/>
        <v>5.152615484552034</v>
      </c>
      <c r="AL66" s="43">
        <f>TN!CI155</f>
        <v>23.740345818728247</v>
      </c>
      <c r="AM66" s="43">
        <f>TP!CI155</f>
        <v>2.1306819078558612</v>
      </c>
      <c r="AN66" s="42">
        <f>TN!CI244+(AH66-AJ66)</f>
        <v>0</v>
      </c>
      <c r="AO66" s="43">
        <f>TP!CI244+(AI66-AK66)</f>
        <v>-4.4408920985006262E-15</v>
      </c>
      <c r="AP66" s="42">
        <f t="shared" si="43"/>
        <v>85.377825771905506</v>
      </c>
      <c r="AQ66" s="42">
        <f t="shared" si="44"/>
        <v>7.2832973924078912</v>
      </c>
      <c r="AR66" s="42">
        <f>AH66/'Local emissions'!AE66*100</f>
        <v>2.9694130158440899</v>
      </c>
      <c r="AS66" s="42">
        <f>AI66/'Local emissions'!AR66*100</f>
        <v>6.8896926333051836</v>
      </c>
      <c r="AT66" s="42">
        <f t="shared" si="33"/>
        <v>0.63448519032621953</v>
      </c>
      <c r="AU66" s="42">
        <f t="shared" si="34"/>
        <v>1.4968689614975599</v>
      </c>
      <c r="AV66" s="42">
        <f>('Summed emissions'!AE66-'River loads'!X66)/'Summed emissions'!AE66*100</f>
        <v>15.858401843419234</v>
      </c>
      <c r="AW66" s="42">
        <f>('Summed emissions'!AR66-'River loads'!Z66)/'Summed emissions'!AR66*100</f>
        <v>28.38547423043849</v>
      </c>
      <c r="AX66" s="61">
        <f>X66/('Summed emissions'!$D66*100)*1000</f>
        <v>14.01868991486996</v>
      </c>
      <c r="AY66" s="19">
        <f>Y66/('Summed emissions'!$D66*100)*1000</f>
        <v>12.612180153313592</v>
      </c>
      <c r="AZ66" s="72">
        <f>Z66/('Summed emissions'!$D66*100)*1000</f>
        <v>0.50250737138855406</v>
      </c>
      <c r="BA66" s="353"/>
      <c r="BB66" s="353"/>
      <c r="BC66" s="353"/>
      <c r="BF66" s="188">
        <f>('Summed emissions'!AE66-'River loads'!Y66)/'Summed emissions'!AE66*100</f>
        <v>24.300416031539044</v>
      </c>
      <c r="BG66" s="188">
        <f>('Summed emissions'!AR66-'River loads'!Z66)/'Summed emissions'!AR66*100</f>
        <v>28.38547423043849</v>
      </c>
      <c r="BH66" s="181">
        <f>'Summed emissions'!CV66*(100-'River loads'!BG66)/100</f>
        <v>347.96994995691585</v>
      </c>
      <c r="BI66" s="181">
        <f t="shared" si="45"/>
        <v>264.45716196725607</v>
      </c>
      <c r="BJ66" s="233"/>
      <c r="BK66" s="233"/>
      <c r="BM66" s="31">
        <f t="shared" si="51"/>
        <v>3.7467671337739372E-2</v>
      </c>
      <c r="BN66" s="31"/>
      <c r="BO66" s="231">
        <v>2.8790816326530601E-2</v>
      </c>
      <c r="BP66" s="31">
        <f>BM66/Parameters!$C$156</f>
        <v>5.7642571288829804E-2</v>
      </c>
      <c r="BQ66" s="305">
        <v>4.24E-2</v>
      </c>
      <c r="BR66" s="237">
        <f>Basicinfo!CW66</f>
        <v>0.1</v>
      </c>
      <c r="BS66" s="237">
        <f t="shared" si="46"/>
        <v>0.57642571288829803</v>
      </c>
      <c r="BT66" s="237">
        <f t="shared" si="26"/>
        <v>0.42399999999999999</v>
      </c>
      <c r="BU66" s="31">
        <f t="shared" si="31"/>
        <v>6.7904047965280059E-2</v>
      </c>
      <c r="BV66" s="232">
        <v>5.4761904761904803E-2</v>
      </c>
      <c r="BW66" s="31">
        <f t="shared" si="32"/>
        <v>1.7042895982020347</v>
      </c>
      <c r="BX66" s="31">
        <v>2.4044693452381001</v>
      </c>
      <c r="BY66" s="231"/>
      <c r="BZ66" s="147">
        <f t="shared" si="47"/>
        <v>2.3030940516243712</v>
      </c>
      <c r="CA66" s="305">
        <v>3.8492000000000002</v>
      </c>
      <c r="CB66" s="231">
        <f>Basicinfo!CV66</f>
        <v>5.5</v>
      </c>
      <c r="CC66" s="147">
        <f t="shared" si="50"/>
        <v>0.41874437302261297</v>
      </c>
      <c r="CD66" s="147"/>
      <c r="CE66" s="233">
        <f>'Local emissions'!FC66/14*62</f>
        <v>31.566923076923082</v>
      </c>
      <c r="CF66" s="233">
        <f>'Local emissions'!FD66/14*62</f>
        <v>17.759242160650231</v>
      </c>
      <c r="CH66">
        <f t="shared" si="48"/>
        <v>0</v>
      </c>
      <c r="CI66">
        <f t="shared" si="49"/>
        <v>0</v>
      </c>
      <c r="CK66" s="276">
        <f>Basicinfo!EM66</f>
        <v>2</v>
      </c>
      <c r="CL66" s="276">
        <f>Basicinfo!EN66</f>
        <v>2</v>
      </c>
      <c r="CM66">
        <f t="shared" si="23"/>
        <v>0</v>
      </c>
      <c r="CN66">
        <f t="shared" si="24"/>
        <v>0</v>
      </c>
      <c r="CO66" s="31"/>
      <c r="CP66" s="270"/>
      <c r="CQ66" s="270"/>
      <c r="CR66" s="236"/>
      <c r="CS66" s="236"/>
      <c r="CT66" s="236"/>
      <c r="CU66" s="147">
        <f>'Summed emissions'!D66</f>
        <v>9537.8801021062009</v>
      </c>
      <c r="CV66" s="188"/>
      <c r="CW66" s="188"/>
      <c r="CX66" s="188"/>
      <c r="CY66" s="188"/>
      <c r="DI66" s="31"/>
      <c r="DJ66" s="233"/>
      <c r="DK66" s="233"/>
      <c r="DR66" s="236">
        <f t="shared" si="2"/>
        <v>31.566923076923082</v>
      </c>
      <c r="DS66" s="236">
        <f t="shared" ref="DS66:DS84" si="52">CF66</f>
        <v>17.759242160650231</v>
      </c>
      <c r="DY66" s="31">
        <f>Basicinfo!EI66</f>
        <v>5.4400787559808615E-2</v>
      </c>
      <c r="DZ66" s="31">
        <f>Intermediate!CR66</f>
        <v>1.7897632704527849E-2</v>
      </c>
    </row>
    <row r="67" spans="1:130">
      <c r="A67" s="39" t="str">
        <f>Basicinfo!A67</f>
        <v>Donau</v>
      </c>
      <c r="B67" s="63">
        <f>Basicinfo!B67</f>
        <v>5020</v>
      </c>
      <c r="C67" s="63">
        <f>Basicinfo!C67</f>
        <v>0</v>
      </c>
      <c r="D67" s="61">
        <f>IF(Intermediate!D67=0,0,Basicinfo!AP67*86400*365/(Intermediate!D67*1000000))</f>
        <v>11.750992131999411</v>
      </c>
      <c r="E67" s="19">
        <f>IF(Intermediate!E67=0,0,IF((Intermediate!E67-Basicinfo!AA67)&lt;0,0,'Summed emissions'!E67*86400*365/((Intermediate!E67-Basicinfo!AA67)*1000000)))</f>
        <v>8269.2360164793281</v>
      </c>
      <c r="F67" s="19">
        <f>IF(Basicinfo!AA67=0,0,'Summed emissions'!E67*86400*365/(Basicinfo!AA67*1000000))</f>
        <v>0</v>
      </c>
      <c r="G67" s="19">
        <f>IF(D67=0,1,1/(1+Parameters!$C$138*EXP(Parameters!$C$139*Basicinfo!AQ67)*D67^Parameters!$C$140))</f>
        <v>0.55594717461667043</v>
      </c>
      <c r="H67" s="19">
        <f>IF(D67=0,1,1/(1+Parameters!$C$141*EXP(Parameters!$C$142*Basicinfo!AQ67)*D67^Parameters!$C$143))</f>
        <v>0.40886315353519792</v>
      </c>
      <c r="I67" s="161">
        <f>IF(Intermediate!AS67=0,1,IF(D67=0,1/(1+Parameters!$C$144*Intermediate!AS67^Parameters!$C$145),(1/(1+Parameters!$C$144*Intermediate!AS67^Parameters!$C$145)+1/(1+Parameters!$C$146*D67^Parameters!$C$147))/2))</f>
        <v>0.5268807762336567</v>
      </c>
      <c r="J67" s="19">
        <f>IF(E67=0,1,1/(1+Parameters!$C$138*EXP(Parameters!$C$139*Basicinfo!AQ67)*E67^Parameters!$C$140))</f>
        <v>0.99886624922437972</v>
      </c>
      <c r="K67" s="19">
        <f>IF(E67=0,1,1/(1+Parameters!$C$141*EXP(Parameters!$C$142*Basicinfo!AQ67)*E67^Parameters!$C$143))</f>
        <v>0.99794965079147646</v>
      </c>
      <c r="L67" s="19">
        <f>IF(E67=0,1,1/(1+Parameters!$C$146*E67^Parameters!$C$147))</f>
        <v>0.99689691688693705</v>
      </c>
      <c r="M67" s="53">
        <f>IF(F67=0,1,1/(1+Parameters!$C$138*EXP(Parameters!$C$139*Basicinfo!AQ67)*F67^Parameters!$C$140))</f>
        <v>1</v>
      </c>
      <c r="N67" s="53">
        <f>IF(F67=0,1,1/(1+Parameters!$C$141*EXP(Parameters!$C$142*Basicinfo!AQ67)*F67^Parameters!$C$143))</f>
        <v>1</v>
      </c>
      <c r="O67" s="53">
        <f>IF(F67=0,1,1/(1+Parameters!$C$146*F67^Parameters!$C$147))</f>
        <v>1</v>
      </c>
      <c r="P67" s="64">
        <f>Basicinfo!CE67+Basicinfo!CJ67</f>
        <v>19.492466363888894</v>
      </c>
      <c r="Q67" s="86">
        <f>Parameters!$C$126*Intermediate!BB67*Basicinfo!P67/1000+Parameters!$C$127*Intermediate!BB67*Basicinfo!S67/1000</f>
        <v>3.7810531246780674E-2</v>
      </c>
      <c r="R67" s="48">
        <f>'Local emissions'!AE67-P67-Q67</f>
        <v>390.64868447086485</v>
      </c>
      <c r="S67" s="48">
        <f>Basicinfo!CF67+Basicinfo!CK67</f>
        <v>2.1505147500000001</v>
      </c>
      <c r="T67" s="86">
        <f>'Local emissions'!AR67-S67</f>
        <v>17.557533521772612</v>
      </c>
      <c r="U67" s="61">
        <f t="shared" si="35"/>
        <v>236.71030929443216</v>
      </c>
      <c r="V67" s="27">
        <f t="shared" si="36"/>
        <v>179.21431942102319</v>
      </c>
      <c r="W67" s="27">
        <f t="shared" si="37"/>
        <v>11.401241640700004</v>
      </c>
      <c r="X67" s="61">
        <f>U67+TN!CI67</f>
        <v>20389.573239514768</v>
      </c>
      <c r="Y67" s="27">
        <f>V67+DIN!CI67</f>
        <v>18605.285793820254</v>
      </c>
      <c r="Z67" s="27">
        <f>W67+TP!CI67</f>
        <v>657.6035563277361</v>
      </c>
      <c r="AA67" s="73">
        <f>'Summed emissions'!E67</f>
        <v>446.43583987614767</v>
      </c>
      <c r="AB67" s="131" t="str">
        <f>IF(Basicinfo!AR67="","",Basicinfo!AR67)</f>
        <v/>
      </c>
      <c r="AC67" s="131" t="str">
        <f>IF(Basicinfo!AS67="","",Basicinfo!AS67)</f>
        <v/>
      </c>
      <c r="AD67" s="131" t="str">
        <f>IF(Basicinfo!AT67="","",Basicinfo!AT67)</f>
        <v/>
      </c>
      <c r="AE67" s="174" t="str">
        <f t="shared" si="38"/>
        <v/>
      </c>
      <c r="AF67" s="19" t="str">
        <f t="shared" si="39"/>
        <v/>
      </c>
      <c r="AG67" s="27" t="str">
        <f t="shared" si="40"/>
        <v/>
      </c>
      <c r="AH67" s="56">
        <f>'Local emissions'!AE67-U67</f>
        <v>173.46865207156836</v>
      </c>
      <c r="AI67" s="228">
        <f>'Local emissions'!AR67-W67</f>
        <v>8.3068066310726074</v>
      </c>
      <c r="AJ67" s="43">
        <f t="shared" si="41"/>
        <v>173.46865207156836</v>
      </c>
      <c r="AK67" s="58">
        <f t="shared" si="42"/>
        <v>8.3068066310726092</v>
      </c>
      <c r="AL67" s="43">
        <f>TN!CI156</f>
        <v>22.845438891506976</v>
      </c>
      <c r="AM67" s="43">
        <f>TP!CI156</f>
        <v>2.0114612216771026</v>
      </c>
      <c r="AN67" s="42">
        <f>TN!CI245+(AH67-AJ67)</f>
        <v>0</v>
      </c>
      <c r="AO67" s="43">
        <f>TP!CI245+(AI67-AK67)</f>
        <v>-1.7763568394002505E-15</v>
      </c>
      <c r="AP67" s="42">
        <f t="shared" si="43"/>
        <v>196.31409096307533</v>
      </c>
      <c r="AQ67" s="42">
        <f t="shared" si="44"/>
        <v>10.31826785274971</v>
      </c>
      <c r="AR67" s="42">
        <f>AH67/'Local emissions'!AE67*100</f>
        <v>42.290967701969286</v>
      </c>
      <c r="AS67" s="42">
        <f>AI67/'Local emissions'!AR67*100</f>
        <v>42.149311370270276</v>
      </c>
      <c r="AT67" s="42">
        <f t="shared" si="33"/>
        <v>0.95363434090318844</v>
      </c>
      <c r="AU67" s="42">
        <f t="shared" si="34"/>
        <v>1.5448316673002598</v>
      </c>
      <c r="AV67" s="42">
        <f>('Summed emissions'!AE67-'River loads'!X67)/'Summed emissions'!AE67*100</f>
        <v>13.644588945199466</v>
      </c>
      <c r="AW67" s="42">
        <f>('Summed emissions'!AR67-'River loads'!Z67)/'Summed emissions'!AR67*100</f>
        <v>26.256505982864915</v>
      </c>
      <c r="AX67" s="61">
        <f>X67/('Summed emissions'!$D67*100)*1000</f>
        <v>11.896814613010877</v>
      </c>
      <c r="AY67" s="19">
        <f>Y67/('Summed emissions'!$D67*100)*1000</f>
        <v>10.855726763432347</v>
      </c>
      <c r="AZ67" s="72">
        <f>Z67/('Summed emissions'!$D67*100)*1000</f>
        <v>0.38369550488315729</v>
      </c>
      <c r="BA67" s="43" t="str">
        <f>IF(AB67="","",AB67/('Summed emissions'!$D67*100)*1000)</f>
        <v/>
      </c>
      <c r="BB67" s="43" t="str">
        <f>IF(AC67="","",AC67/('Summed emissions'!$D67*100)*1000)</f>
        <v/>
      </c>
      <c r="BC67" s="43" t="str">
        <f>IF(AD67="","",AD67/('Summed emissions'!$D67*100)*1000)</f>
        <v/>
      </c>
      <c r="BF67" s="188">
        <f>('Summed emissions'!AE67-'River loads'!Y67)/'Summed emissions'!AE67*100</f>
        <v>21.201533566004908</v>
      </c>
      <c r="BG67" s="188">
        <f>('Summed emissions'!AR67-'River loads'!Z67)/'Summed emissions'!AR67*100</f>
        <v>26.256505982864915</v>
      </c>
      <c r="BH67" s="181">
        <f>'Summed emissions'!CV67*(100-'River loads'!BG67)/100</f>
        <v>479.01060712373987</v>
      </c>
      <c r="BI67" s="181">
        <f t="shared" si="45"/>
        <v>364.04806141404231</v>
      </c>
      <c r="BJ67" s="233"/>
      <c r="BK67" s="233"/>
      <c r="BM67" s="31">
        <f t="shared" si="51"/>
        <v>2.5857888790323365E-2</v>
      </c>
      <c r="BN67" s="31"/>
      <c r="BO67" s="231"/>
      <c r="BP67" s="31">
        <f>BM67/Parameters!$C$156</f>
        <v>3.9781367369728253E-2</v>
      </c>
      <c r="BQ67" s="305" t="s">
        <v>934</v>
      </c>
      <c r="BR67" s="237">
        <f>Basicinfo!CW67</f>
        <v>0.1</v>
      </c>
      <c r="BS67" s="237">
        <f t="shared" si="46"/>
        <v>0.39781367369728249</v>
      </c>
      <c r="BT67" s="237"/>
      <c r="BU67" s="31">
        <f t="shared" si="31"/>
        <v>4.6708776752156199E-2</v>
      </c>
      <c r="BV67" s="232"/>
      <c r="BW67" s="31">
        <f t="shared" si="32"/>
        <v>1.3215107068558898</v>
      </c>
      <c r="BX67" s="31"/>
      <c r="BY67" s="231"/>
      <c r="BZ67" s="147">
        <f t="shared" si="47"/>
        <v>1.7858252795349863</v>
      </c>
      <c r="CA67" s="305" t="s">
        <v>934</v>
      </c>
      <c r="CB67" s="231">
        <f>Basicinfo!CV67</f>
        <v>5.5</v>
      </c>
      <c r="CC67" s="147">
        <f t="shared" si="50"/>
        <v>0.32469550536999753</v>
      </c>
      <c r="CD67" s="147"/>
      <c r="CE67" s="233">
        <f>'Local emissions'!FC67/14*62</f>
        <v>24.017083333333336</v>
      </c>
      <c r="CF67" s="233">
        <f>'Local emissions'!FD67/14*62</f>
        <v>12.626063417004593</v>
      </c>
      <c r="CH67">
        <f t="shared" si="48"/>
        <v>0</v>
      </c>
      <c r="CI67">
        <f t="shared" si="49"/>
        <v>0</v>
      </c>
      <c r="CK67" s="276">
        <f>Basicinfo!EM67</f>
        <v>2</v>
      </c>
      <c r="CL67" s="276">
        <f>Basicinfo!EN67</f>
        <v>2</v>
      </c>
      <c r="CM67">
        <f t="shared" si="23"/>
        <v>2</v>
      </c>
      <c r="CN67">
        <f t="shared" si="24"/>
        <v>2</v>
      </c>
      <c r="CO67" s="31"/>
      <c r="CP67" s="270"/>
      <c r="CQ67" s="270"/>
      <c r="CR67" s="236"/>
      <c r="CS67" s="236"/>
      <c r="CT67" s="236"/>
      <c r="CU67" s="147">
        <f>'Summed emissions'!D67</f>
        <v>17138.682834660496</v>
      </c>
      <c r="CV67" s="188"/>
      <c r="CW67" s="188"/>
      <c r="CX67" s="188"/>
      <c r="CY67" s="188"/>
      <c r="DI67" s="31"/>
      <c r="DJ67" s="233"/>
      <c r="DK67" s="233"/>
      <c r="DR67" s="236">
        <f t="shared" ref="DR67:DR84" si="53">CE67</f>
        <v>24.017083333333336</v>
      </c>
      <c r="DS67" s="236">
        <f t="shared" si="52"/>
        <v>12.626063417004593</v>
      </c>
      <c r="DY67" s="31">
        <f>Basicinfo!EI67</f>
        <v>2.2720403070175439E-2</v>
      </c>
      <c r="DZ67" s="31">
        <f>Intermediate!CR67</f>
        <v>2.3590623671786493E-2</v>
      </c>
    </row>
    <row r="68" spans="1:130">
      <c r="A68" s="39" t="str">
        <f>Basicinfo!A68</f>
        <v>Talbach</v>
      </c>
      <c r="B68" s="63">
        <f>Basicinfo!B68</f>
        <v>1390</v>
      </c>
      <c r="C68" s="63">
        <f>Basicinfo!C68</f>
        <v>4050</v>
      </c>
      <c r="D68" s="61">
        <f>IF(Intermediate!D68=0,0,Basicinfo!AP68*86400*365/(Intermediate!D68*1000000))</f>
        <v>110.72320077033487</v>
      </c>
      <c r="E68" s="19">
        <f>IF(Intermediate!E68=0,0,IF((Intermediate!E68-Basicinfo!AA68)&lt;0,0,'Summed emissions'!E68*86400*365/((Intermediate!E68-Basicinfo!AA68)*1000000)))</f>
        <v>0</v>
      </c>
      <c r="F68" s="19">
        <f>IF(Basicinfo!AA68=0,0,'Summed emissions'!E68*86400*365/(Basicinfo!AA68*1000000))</f>
        <v>0</v>
      </c>
      <c r="G68" s="19">
        <f>IF(D68=0,1,1/(1+Parameters!$C$138*EXP(Parameters!$C$139*Basicinfo!AQ68)*D68^Parameters!$C$140))</f>
        <v>0.93915041783704234</v>
      </c>
      <c r="H68" s="19">
        <f>IF(D68=0,1,1/(1+Parameters!$C$141*EXP(Parameters!$C$142*Basicinfo!AQ68)*D68^Parameters!$C$143))</f>
        <v>0.8950291810256481</v>
      </c>
      <c r="I68" s="161">
        <f>IF(Intermediate!AS68=0,1,IF(D68=0,1/(1+Parameters!$C$144*Intermediate!AS68^Parameters!$C$145),(1/(1+Parameters!$C$144*Intermediate!AS68^Parameters!$C$145)+1/(1+Parameters!$C$146*D68^Parameters!$C$147))/2))</f>
        <v>0.84841966613071296</v>
      </c>
      <c r="J68" s="19">
        <f>IF(E68=0,1,1/(1+Parameters!$C$138*EXP(Parameters!$C$139*Basicinfo!AQ68)*E68^Parameters!$C$140))</f>
        <v>1</v>
      </c>
      <c r="K68" s="19">
        <f>IF(E68=0,1,1/(1+Parameters!$C$141*EXP(Parameters!$C$142*Basicinfo!AQ68)*E68^Parameters!$C$143))</f>
        <v>1</v>
      </c>
      <c r="L68" s="19">
        <f>IF(E68=0,1,1/(1+Parameters!$C$146*E68^Parameters!$C$147))</f>
        <v>1</v>
      </c>
      <c r="M68" s="53">
        <f>IF(F68=0,1,1/(1+Parameters!$C$138*EXP(Parameters!$C$139*Basicinfo!AQ68)*F68^Parameters!$C$140))</f>
        <v>1</v>
      </c>
      <c r="N68" s="53">
        <f>IF(F68=0,1,1/(1+Parameters!$C$141*EXP(Parameters!$C$142*Basicinfo!AQ68)*F68^Parameters!$C$143))</f>
        <v>1</v>
      </c>
      <c r="O68" s="53">
        <f>IF(F68=0,1,1/(1+Parameters!$C$146*F68^Parameters!$C$147))</f>
        <v>1</v>
      </c>
      <c r="P68" s="64">
        <f>Basicinfo!CE68+Basicinfo!CJ68</f>
        <v>0</v>
      </c>
      <c r="Q68" s="86">
        <f>Parameters!$C$126*Intermediate!BB68*Basicinfo!P68/1000+Parameters!$C$127*Intermediate!BB68*Basicinfo!S68/1000</f>
        <v>0</v>
      </c>
      <c r="R68" s="48">
        <f>'Local emissions'!AE68-P68-Q68</f>
        <v>76.602796315039754</v>
      </c>
      <c r="S68" s="48">
        <f>Basicinfo!CF68+Basicinfo!CK68</f>
        <v>0</v>
      </c>
      <c r="T68" s="86">
        <f>'Local emissions'!AR68-S68</f>
        <v>6.3146291046838616</v>
      </c>
      <c r="U68" s="61">
        <f t="shared" si="35"/>
        <v>71.941548166755439</v>
      </c>
      <c r="V68" s="27">
        <f t="shared" si="36"/>
        <v>68.561738050124561</v>
      </c>
      <c r="W68" s="27">
        <f t="shared" si="37"/>
        <v>5.3574555167351647</v>
      </c>
      <c r="X68" s="61">
        <f>U68+TN!CI68</f>
        <v>71.941548166755439</v>
      </c>
      <c r="Y68" s="27">
        <f>V68+DIN!CI68</f>
        <v>68.561738050124561</v>
      </c>
      <c r="Z68" s="27">
        <f>W68+TP!CI68</f>
        <v>5.3574555167351647</v>
      </c>
      <c r="AA68" s="73">
        <f>'Summed emissions'!E68</f>
        <v>5.2845489215161692</v>
      </c>
      <c r="AB68" s="131" t="str">
        <f>IF(Basicinfo!AR68="","",Basicinfo!AR68)</f>
        <v/>
      </c>
      <c r="AC68" s="131" t="str">
        <f>IF(Basicinfo!AS68="","",Basicinfo!AS68)</f>
        <v/>
      </c>
      <c r="AD68" s="131" t="str">
        <f>IF(Basicinfo!AT68="","",Basicinfo!AT68)</f>
        <v/>
      </c>
      <c r="AE68" s="174" t="str">
        <f t="shared" si="38"/>
        <v/>
      </c>
      <c r="AF68" s="19" t="str">
        <f t="shared" si="39"/>
        <v/>
      </c>
      <c r="AG68" s="27" t="str">
        <f t="shared" si="40"/>
        <v/>
      </c>
      <c r="AH68" s="56">
        <f>'Local emissions'!AE68-U68</f>
        <v>4.6612481482843151</v>
      </c>
      <c r="AI68" s="228">
        <f>'Local emissions'!AR68-W68</f>
        <v>0.95717358794869689</v>
      </c>
      <c r="AJ68" s="43">
        <f t="shared" si="41"/>
        <v>4.6612481482843222</v>
      </c>
      <c r="AK68" s="58">
        <f t="shared" si="42"/>
        <v>0.95717358794869689</v>
      </c>
      <c r="AL68" s="43">
        <f>TN!CI157</f>
        <v>0</v>
      </c>
      <c r="AM68" s="43">
        <f>TP!CI157</f>
        <v>0</v>
      </c>
      <c r="AN68" s="42">
        <f>TN!CI246+(AH68-AJ68)</f>
        <v>-7.1054273576010019E-15</v>
      </c>
      <c r="AO68" s="43">
        <f>TP!CI246+(AI68-AK68)</f>
        <v>0</v>
      </c>
      <c r="AP68" s="42">
        <f t="shared" si="43"/>
        <v>4.6612481482843151</v>
      </c>
      <c r="AQ68" s="42">
        <f t="shared" si="44"/>
        <v>0.95717358794869689</v>
      </c>
      <c r="AR68" s="42">
        <f>AH68/'Local emissions'!AE68*100</f>
        <v>6.0849582162957567</v>
      </c>
      <c r="AS68" s="42">
        <f>AI68/'Local emissions'!AR68*100</f>
        <v>15.158033386928704</v>
      </c>
      <c r="AT68" s="42">
        <f t="shared" si="33"/>
        <v>6.0849582162957567</v>
      </c>
      <c r="AU68" s="42">
        <f t="shared" si="34"/>
        <v>15.158033386928704</v>
      </c>
      <c r="AV68" s="42">
        <f>('Summed emissions'!AE68-'River loads'!X68)/'Summed emissions'!AE68*100</f>
        <v>6.0849582162957567</v>
      </c>
      <c r="AW68" s="42">
        <f>('Summed emissions'!AR68-'River loads'!Z68)/'Summed emissions'!AR68*100</f>
        <v>15.158033386928704</v>
      </c>
      <c r="AX68" s="61">
        <f>X68/('Summed emissions'!$D68*100)*1000</f>
        <v>5.3357870204268325</v>
      </c>
      <c r="AY68" s="19">
        <f>Y68/('Summed emissions'!$D68*100)*1000</f>
        <v>5.0851120292517074</v>
      </c>
      <c r="AZ68" s="72">
        <f>Z68/('Summed emissions'!$D68*100)*1000</f>
        <v>0.39735371752702253</v>
      </c>
      <c r="BA68" s="43" t="str">
        <f>IF(AB68="","",AB68/('Summed emissions'!$D68*100)*1000)</f>
        <v/>
      </c>
      <c r="BB68" s="43" t="str">
        <f>IF(AC68="","",AC68/('Summed emissions'!$D68*100)*1000)</f>
        <v/>
      </c>
      <c r="BC68" s="43" t="str">
        <f>IF(AD68="","",AD68/('Summed emissions'!$D68*100)*1000)</f>
        <v/>
      </c>
      <c r="BF68" s="188">
        <f>('Summed emissions'!AE68-'River loads'!Y68)/'Summed emissions'!AE68*100</f>
        <v>10.497081897435196</v>
      </c>
      <c r="BG68" s="188">
        <f>('Summed emissions'!AR68-'River loads'!Z68)/'Summed emissions'!AR68*100</f>
        <v>15.158033386928704</v>
      </c>
      <c r="BH68" s="181">
        <f>'Summed emissions'!CV68*(100-'River loads'!BG68)/100</f>
        <v>4.998164018619355</v>
      </c>
      <c r="BI68" s="181">
        <f t="shared" si="45"/>
        <v>3.7986046541507097</v>
      </c>
      <c r="BJ68" s="233"/>
      <c r="BK68" s="233"/>
      <c r="BM68" s="31">
        <f t="shared" si="51"/>
        <v>2.2793423847634726E-2</v>
      </c>
      <c r="BN68" s="31"/>
      <c r="BO68" s="231"/>
      <c r="BP68" s="31">
        <f>BM68/Parameters!$C$156</f>
        <v>3.5066805919438039E-2</v>
      </c>
      <c r="BQ68" s="305" t="s">
        <v>934</v>
      </c>
      <c r="BR68" s="237">
        <f>Basicinfo!CW68</f>
        <v>0.03</v>
      </c>
      <c r="BS68" s="237">
        <f t="shared" si="46"/>
        <v>1.1688935306479347</v>
      </c>
      <c r="BT68" s="237"/>
      <c r="BU68" s="31">
        <f t="shared" ref="BU68:BU84" si="54">Z68/AA68*1000000/3600/24/365</f>
        <v>3.2147266024212223E-2</v>
      </c>
      <c r="BV68" s="232"/>
      <c r="BW68" s="31">
        <f t="shared" ref="BW68:BW84" si="55">Y68/AA68*1000000/3600/24/365</f>
        <v>0.41140284325176629</v>
      </c>
      <c r="BX68" s="31"/>
      <c r="BY68" s="231"/>
      <c r="BZ68" s="147">
        <f t="shared" si="47"/>
        <v>0.55594978817806251</v>
      </c>
      <c r="CA68" s="305" t="s">
        <v>934</v>
      </c>
      <c r="CB68" s="231">
        <f>Basicinfo!CV68</f>
        <v>4</v>
      </c>
      <c r="CC68" s="147">
        <f t="shared" si="50"/>
        <v>0.13898744704451563</v>
      </c>
      <c r="CD68" s="147"/>
      <c r="CE68" s="233">
        <f>'Local emissions'!FC68/14*62</f>
        <v>3.5</v>
      </c>
      <c r="CF68" s="233">
        <f>'Local emissions'!FD68/14*62</f>
        <v>2.5723469545378861</v>
      </c>
      <c r="CH68">
        <f t="shared" si="48"/>
        <v>0</v>
      </c>
      <c r="CI68">
        <f t="shared" si="49"/>
        <v>0</v>
      </c>
      <c r="CK68" s="276">
        <f>Basicinfo!EM68</f>
        <v>2</v>
      </c>
      <c r="CL68" s="276">
        <f>Basicinfo!EN68</f>
        <v>2</v>
      </c>
      <c r="CM68">
        <f t="shared" si="23"/>
        <v>2</v>
      </c>
      <c r="CN68">
        <f t="shared" si="24"/>
        <v>2</v>
      </c>
      <c r="CO68" s="31"/>
      <c r="CP68" s="31"/>
      <c r="CQ68" s="31"/>
      <c r="CR68" s="236"/>
      <c r="CS68" s="181"/>
      <c r="CT68" s="181"/>
      <c r="DI68" s="31"/>
      <c r="DJ68" s="233"/>
      <c r="DK68" s="233"/>
      <c r="DR68" s="236">
        <f t="shared" si="53"/>
        <v>3.5</v>
      </c>
      <c r="DS68" s="236">
        <f t="shared" si="52"/>
        <v>2.5723469545378861</v>
      </c>
      <c r="DY68" s="31"/>
      <c r="DZ68" s="31">
        <f>Intermediate!CR68</f>
        <v>3.6986670271911798E-2</v>
      </c>
    </row>
    <row r="69" spans="1:130">
      <c r="A69" s="39" t="str">
        <f>Basicinfo!A69</f>
        <v>Kleinsölkbach</v>
      </c>
      <c r="B69" s="63">
        <f>Basicinfo!B69</f>
        <v>1400</v>
      </c>
      <c r="C69" s="63">
        <f>Basicinfo!C69</f>
        <v>1410</v>
      </c>
      <c r="D69" s="61">
        <f>IF(Intermediate!D69=0,0,Basicinfo!AP69*86400*365/(Intermediate!D69*1000000))</f>
        <v>163.62539117788126</v>
      </c>
      <c r="E69" s="19">
        <f>IF(Intermediate!E69=0,0,IF((Intermediate!E69-Basicinfo!AA69)&lt;0,0,'Summed emissions'!E69*86400*365/((Intermediate!E69-Basicinfo!AA69)*1000000)))</f>
        <v>0</v>
      </c>
      <c r="F69" s="19">
        <f>IF(Basicinfo!AA69=0,0,'Summed emissions'!E69*86400*365/(Basicinfo!AA69*1000000))</f>
        <v>0</v>
      </c>
      <c r="G69" s="19">
        <f>IF(D69=0,1,1/(1+Parameters!$C$138*EXP(Parameters!$C$139*Basicinfo!AQ69)*D69^Parameters!$C$140))</f>
        <v>0.95769585495035248</v>
      </c>
      <c r="H69" s="19">
        <f>IF(D69=0,1,1/(1+Parameters!$C$141*EXP(Parameters!$C$142*Basicinfo!AQ69)*D69^Parameters!$C$143))</f>
        <v>0.92596156641093219</v>
      </c>
      <c r="I69" s="161">
        <f>IF(Intermediate!AS69=0,1,IF(D69=0,1/(1+Parameters!$C$144*Intermediate!AS69^Parameters!$C$145),(1/(1+Parameters!$C$144*Intermediate!AS69^Parameters!$C$145)+1/(1+Parameters!$C$146*D69^Parameters!$C$147))/2))</f>
        <v>0.86506905528419564</v>
      </c>
      <c r="J69" s="19">
        <f>IF(E69=0,1,1/(1+Parameters!$C$138*EXP(Parameters!$C$139*Basicinfo!AQ69)*E69^Parameters!$C$140))</f>
        <v>1</v>
      </c>
      <c r="K69" s="19">
        <f>IF(E69=0,1,1/(1+Parameters!$C$141*EXP(Parameters!$C$142*Basicinfo!AQ69)*E69^Parameters!$C$143))</f>
        <v>1</v>
      </c>
      <c r="L69" s="19">
        <f>IF(E69=0,1,1/(1+Parameters!$C$146*E69^Parameters!$C$147))</f>
        <v>1</v>
      </c>
      <c r="M69" s="53">
        <f>IF(F69=0,1,1/(1+Parameters!$C$138*EXP(Parameters!$C$139*Basicinfo!AQ69)*F69^Parameters!$C$140))</f>
        <v>1</v>
      </c>
      <c r="N69" s="53">
        <f>IF(F69=0,1,1/(1+Parameters!$C$141*EXP(Parameters!$C$142*Basicinfo!AQ69)*F69^Parameters!$C$143))</f>
        <v>1</v>
      </c>
      <c r="O69" s="53">
        <f>IF(F69=0,1,1/(1+Parameters!$C$146*F69^Parameters!$C$147))</f>
        <v>1</v>
      </c>
      <c r="P69" s="64">
        <f>Basicinfo!CE69+Basicinfo!CJ69</f>
        <v>0</v>
      </c>
      <c r="Q69" s="86">
        <f>Parameters!$C$126*Intermediate!BB69*Basicinfo!P69/1000+Parameters!$C$127*Intermediate!BB69*Basicinfo!S69/1000</f>
        <v>0</v>
      </c>
      <c r="R69" s="48">
        <f>'Local emissions'!AE69-P69-Q69</f>
        <v>66.063055106314792</v>
      </c>
      <c r="S69" s="48">
        <f>Basicinfo!CF69+Basicinfo!CK69</f>
        <v>0</v>
      </c>
      <c r="T69" s="86">
        <f>'Local emissions'!AR69-S69</f>
        <v>3.6080862417067663</v>
      </c>
      <c r="U69" s="61">
        <f t="shared" si="35"/>
        <v>63.26831404067439</v>
      </c>
      <c r="V69" s="27">
        <f t="shared" si="36"/>
        <v>61.17184998813498</v>
      </c>
      <c r="W69" s="27">
        <f t="shared" si="37"/>
        <v>3.1212437564971762</v>
      </c>
      <c r="X69" s="61">
        <f>U69+TN!CI69</f>
        <v>63.26831404067439</v>
      </c>
      <c r="Y69" s="27">
        <f>V69+DIN!CI69</f>
        <v>61.17184998813498</v>
      </c>
      <c r="Z69" s="27">
        <f>W69+TP!CI69</f>
        <v>3.1212437564971762</v>
      </c>
      <c r="AA69" s="73">
        <f>'Summed emissions'!E69</f>
        <v>4.2157194562012608</v>
      </c>
      <c r="AB69" s="131" t="str">
        <f>IF(Basicinfo!AR69="","",Basicinfo!AR69)</f>
        <v/>
      </c>
      <c r="AC69" s="131" t="str">
        <f>IF(Basicinfo!AS69="","",Basicinfo!AS69)</f>
        <v/>
      </c>
      <c r="AD69" s="131" t="str">
        <f>IF(Basicinfo!AT69="","",Basicinfo!AT69)</f>
        <v/>
      </c>
      <c r="AE69" s="174" t="str">
        <f t="shared" si="38"/>
        <v/>
      </c>
      <c r="AF69" s="19" t="str">
        <f t="shared" si="39"/>
        <v/>
      </c>
      <c r="AG69" s="27" t="str">
        <f t="shared" si="40"/>
        <v/>
      </c>
      <c r="AH69" s="56">
        <f>'Local emissions'!AE69-U69</f>
        <v>2.7947410656404017</v>
      </c>
      <c r="AI69" s="228">
        <f>'Local emissions'!AR69-W69</f>
        <v>0.48684248520959006</v>
      </c>
      <c r="AJ69" s="43">
        <f t="shared" si="41"/>
        <v>2.7947410656403986</v>
      </c>
      <c r="AK69" s="58">
        <f t="shared" si="42"/>
        <v>0.48684248520959</v>
      </c>
      <c r="AL69" s="43">
        <f>TN!CI158</f>
        <v>0</v>
      </c>
      <c r="AM69" s="43">
        <f>TP!CI158</f>
        <v>0</v>
      </c>
      <c r="AN69" s="42">
        <f>TN!CI247+(AH69-AJ69)</f>
        <v>3.1086244689504383E-15</v>
      </c>
      <c r="AO69" s="43">
        <f>TP!CI247+(AI69-AK69)</f>
        <v>5.5511151231257827E-17</v>
      </c>
      <c r="AP69" s="42">
        <f t="shared" si="43"/>
        <v>2.7947410656404017</v>
      </c>
      <c r="AQ69" s="42">
        <f t="shared" si="44"/>
        <v>0.48684248520959006</v>
      </c>
      <c r="AR69" s="42">
        <f>AH69/'Local emissions'!AE69*100</f>
        <v>4.2304145049647568</v>
      </c>
      <c r="AS69" s="42">
        <f>AI69/'Local emissions'!AR69*100</f>
        <v>13.493094471580438</v>
      </c>
      <c r="AT69" s="42">
        <f t="shared" si="33"/>
        <v>4.2304145049647568</v>
      </c>
      <c r="AU69" s="42">
        <f t="shared" si="34"/>
        <v>13.493094471580438</v>
      </c>
      <c r="AV69" s="42">
        <f>('Summed emissions'!AE69-'River loads'!X69)/'Summed emissions'!AE69*100</f>
        <v>4.2304145049647568</v>
      </c>
      <c r="AW69" s="42">
        <f>('Summed emissions'!AR69-'River loads'!Z69)/'Summed emissions'!AR69*100</f>
        <v>13.493094471580438</v>
      </c>
      <c r="AX69" s="61">
        <f>X69/('Summed emissions'!$D69*100)*1000</f>
        <v>4.920190503200514</v>
      </c>
      <c r="AY69" s="19">
        <f>Y69/('Summed emissions'!$D69*100)*1000</f>
        <v>4.757154666415385</v>
      </c>
      <c r="AZ69" s="72">
        <f>Z69/('Summed emissions'!$D69*100)*1000</f>
        <v>0.24272993712173857</v>
      </c>
      <c r="BA69" s="43" t="str">
        <f>IF(AB69="","",AB69/('Summed emissions'!$D69*100)*1000)</f>
        <v/>
      </c>
      <c r="BB69" s="43" t="str">
        <f>IF(AC69="","",AC69/('Summed emissions'!$D69*100)*1000)</f>
        <v/>
      </c>
      <c r="BC69" s="43" t="str">
        <f>IF(AD69="","",AD69/('Summed emissions'!$D69*100)*1000)</f>
        <v/>
      </c>
      <c r="BF69" s="188">
        <f>('Summed emissions'!AE69-'River loads'!Y69)/'Summed emissions'!AE69*100</f>
        <v>7.4038433589067765</v>
      </c>
      <c r="BG69" s="188">
        <f>('Summed emissions'!AR69-'River loads'!Z69)/'Summed emissions'!AR69*100</f>
        <v>13.493094471580438</v>
      </c>
      <c r="BH69" s="181">
        <f>'Summed emissions'!CV69*(100-'River loads'!BG69)/100</f>
        <v>2.8465625604259044</v>
      </c>
      <c r="BI69" s="181">
        <f t="shared" si="45"/>
        <v>2.1633875459236873</v>
      </c>
      <c r="BJ69" s="233"/>
      <c r="BK69" s="233"/>
      <c r="BM69" s="31">
        <f t="shared" si="51"/>
        <v>1.62725650447628E-2</v>
      </c>
      <c r="BN69" s="31"/>
      <c r="BO69" s="231"/>
      <c r="BP69" s="31">
        <f>BM69/Parameters!$C$156</f>
        <v>2.5034715453481231E-2</v>
      </c>
      <c r="BQ69" s="305" t="s">
        <v>934</v>
      </c>
      <c r="BR69" s="237">
        <f>Basicinfo!CW69</f>
        <v>0.03</v>
      </c>
      <c r="BS69" s="237">
        <f t="shared" si="46"/>
        <v>0.83449051511604111</v>
      </c>
      <c r="BT69" s="237"/>
      <c r="BU69" s="31">
        <f t="shared" si="54"/>
        <v>2.3477366384890758E-2</v>
      </c>
      <c r="BV69" s="232"/>
      <c r="BW69" s="31">
        <f t="shared" si="55"/>
        <v>0.4601223251543633</v>
      </c>
      <c r="BX69" s="31"/>
      <c r="BY69" s="231"/>
      <c r="BZ69" s="147">
        <f t="shared" si="47"/>
        <v>0.62178692588427475</v>
      </c>
      <c r="CA69" s="305" t="s">
        <v>934</v>
      </c>
      <c r="CB69" s="231">
        <f>Basicinfo!CV69</f>
        <v>4</v>
      </c>
      <c r="CC69" s="147">
        <f t="shared" si="50"/>
        <v>0.15544673147106869</v>
      </c>
      <c r="CD69" s="147"/>
      <c r="CE69" s="233"/>
      <c r="CF69" s="233">
        <f>'Local emissions'!FD69/14*62</f>
        <v>3.2094200693323578</v>
      </c>
      <c r="CH69">
        <f t="shared" si="48"/>
        <v>0</v>
      </c>
      <c r="CI69">
        <f t="shared" si="49"/>
        <v>0</v>
      </c>
      <c r="CK69" s="276">
        <f>Basicinfo!EM69</f>
        <v>2</v>
      </c>
      <c r="CL69" s="276">
        <f>Basicinfo!EN69</f>
        <v>2</v>
      </c>
      <c r="CM69">
        <f t="shared" ref="CM69:CM84" si="56">IF(BQ69="n.b.",2,IF(BQ69&gt;BR69,1,0))</f>
        <v>2</v>
      </c>
      <c r="CN69">
        <f t="shared" ref="CN69:CN84" si="57">IF(CA69="n.b.",2,IF(CA69&gt;CB69,1,0))</f>
        <v>2</v>
      </c>
      <c r="CO69" s="31"/>
      <c r="CP69" s="31"/>
      <c r="CQ69" s="31"/>
      <c r="CR69" s="236"/>
      <c r="CS69" s="181"/>
      <c r="CT69" s="181"/>
      <c r="DI69" s="31"/>
      <c r="DJ69" s="233"/>
      <c r="DK69" s="233"/>
      <c r="DR69" s="236"/>
      <c r="DS69" s="236">
        <f t="shared" si="52"/>
        <v>3.2094200693323578</v>
      </c>
      <c r="DY69" s="31"/>
      <c r="DZ69" s="31">
        <f>Intermediate!CR69</f>
        <v>2.3974220086271612E-2</v>
      </c>
    </row>
    <row r="70" spans="1:130">
      <c r="A70" s="39" t="str">
        <f>Basicinfo!A70</f>
        <v>Sölkbach</v>
      </c>
      <c r="B70" s="63">
        <f>Basicinfo!B70</f>
        <v>1410</v>
      </c>
      <c r="C70" s="63">
        <f>Basicinfo!C70</f>
        <v>4060</v>
      </c>
      <c r="D70" s="61">
        <f>IF(Intermediate!D70=0,0,Basicinfo!AP70*86400*365/(Intermediate!D70*1000000))</f>
        <v>96.302722592358577</v>
      </c>
      <c r="E70" s="19">
        <f>IF(Intermediate!E70=0,0,IF((Intermediate!E70-Basicinfo!AA70)&lt;0,0,'Summed emissions'!E70*86400*365/((Intermediate!E70-Basicinfo!AA70)*1000000)))</f>
        <v>0</v>
      </c>
      <c r="F70" s="19">
        <f>IF(Basicinfo!AA70=0,0,'Summed emissions'!E70*86400*365/(Basicinfo!AA70*1000000))</f>
        <v>0</v>
      </c>
      <c r="G70" s="19">
        <f>IF(D70=0,1,1/(1+Parameters!$C$138*EXP(Parameters!$C$139*Basicinfo!AQ70)*D70^Parameters!$C$140))</f>
        <v>0.92900132214817532</v>
      </c>
      <c r="H70" s="19">
        <f>IF(D70=0,1,1/(1+Parameters!$C$141*EXP(Parameters!$C$142*Basicinfo!AQ70)*D70^Parameters!$C$143))</f>
        <v>0.8784733647408679</v>
      </c>
      <c r="I70" s="161">
        <f>IF(Intermediate!AS70=0,1,IF(D70=0,1/(1+Parameters!$C$144*Intermediate!AS70^Parameters!$C$145),(1/(1+Parameters!$C$144*Intermediate!AS70^Parameters!$C$145)+1/(1+Parameters!$C$146*D70^Parameters!$C$147))/2))</f>
        <v>0.80404975824415803</v>
      </c>
      <c r="J70" s="19">
        <f>IF(E70=0,1,1/(1+Parameters!$C$138*EXP(Parameters!$C$139*Basicinfo!AQ70)*E70^Parameters!$C$140))</f>
        <v>1</v>
      </c>
      <c r="K70" s="19">
        <f>IF(E70=0,1,1/(1+Parameters!$C$141*EXP(Parameters!$C$142*Basicinfo!AQ70)*E70^Parameters!$C$143))</f>
        <v>1</v>
      </c>
      <c r="L70" s="19">
        <f>IF(E70=0,1,1/(1+Parameters!$C$146*E70^Parameters!$C$147))</f>
        <v>1</v>
      </c>
      <c r="M70" s="53">
        <f>IF(F70=0,1,1/(1+Parameters!$C$138*EXP(Parameters!$C$139*Basicinfo!AQ70)*F70^Parameters!$C$140))</f>
        <v>1</v>
      </c>
      <c r="N70" s="53">
        <f>IF(F70=0,1,1/(1+Parameters!$C$141*EXP(Parameters!$C$142*Basicinfo!AQ70)*F70^Parameters!$C$143))</f>
        <v>1</v>
      </c>
      <c r="O70" s="53">
        <f>IF(F70=0,1,1/(1+Parameters!$C$146*F70^Parameters!$C$147))</f>
        <v>1</v>
      </c>
      <c r="P70" s="64">
        <f>Basicinfo!CE70+Basicinfo!CJ70</f>
        <v>0</v>
      </c>
      <c r="Q70" s="86">
        <f>Parameters!$C$126*Intermediate!BB70*Basicinfo!P70/1000+Parameters!$C$127*Intermediate!BB70*Basicinfo!S70/1000</f>
        <v>1.7479993108145245E-2</v>
      </c>
      <c r="R70" s="48">
        <f>'Local emissions'!AE70-P70-Q70</f>
        <v>55.183088195911132</v>
      </c>
      <c r="S70" s="48">
        <f>Basicinfo!CF70+Basicinfo!CK70</f>
        <v>0</v>
      </c>
      <c r="T70" s="86">
        <f>'Local emissions'!AR70-S70</f>
        <v>2.6310659578140725</v>
      </c>
      <c r="U70" s="61">
        <f t="shared" si="35"/>
        <v>51.282641887328957</v>
      </c>
      <c r="V70" s="27">
        <f t="shared" si="36"/>
        <v>48.476873164254123</v>
      </c>
      <c r="W70" s="27">
        <f t="shared" si="37"/>
        <v>2.115507947304839</v>
      </c>
      <c r="X70" s="61">
        <f>U70+TN!CI70</f>
        <v>114.55095592800335</v>
      </c>
      <c r="Y70" s="27">
        <f>V70+DIN!CI70</f>
        <v>109.6487231523891</v>
      </c>
      <c r="Z70" s="27">
        <f>W70+TP!CI70</f>
        <v>5.2367517038020157</v>
      </c>
      <c r="AA70" s="73">
        <f>'Summed emissions'!E70</f>
        <v>7.8315973649210102</v>
      </c>
      <c r="AB70" s="131" t="str">
        <f>IF(Basicinfo!AR70="","",Basicinfo!AR70)</f>
        <v/>
      </c>
      <c r="AC70" s="131" t="str">
        <f>IF(Basicinfo!AS70="","",Basicinfo!AS70)</f>
        <v/>
      </c>
      <c r="AD70" s="131" t="str">
        <f>IF(Basicinfo!AT70="","",Basicinfo!AT70)</f>
        <v/>
      </c>
      <c r="AE70" s="174" t="str">
        <f t="shared" si="38"/>
        <v/>
      </c>
      <c r="AF70" s="19" t="str">
        <f t="shared" si="39"/>
        <v/>
      </c>
      <c r="AG70" s="27" t="str">
        <f t="shared" si="40"/>
        <v/>
      </c>
      <c r="AH70" s="56">
        <f>'Local emissions'!AE70-U70</f>
        <v>3.9179263016903221</v>
      </c>
      <c r="AI70" s="228">
        <f>'Local emissions'!AR70-W70</f>
        <v>0.51555801050923344</v>
      </c>
      <c r="AJ70" s="43">
        <f t="shared" si="41"/>
        <v>3.9179263016903234</v>
      </c>
      <c r="AK70" s="58">
        <f t="shared" si="42"/>
        <v>0.51555801050923344</v>
      </c>
      <c r="AL70" s="43">
        <f>TN!CI159</f>
        <v>0</v>
      </c>
      <c r="AM70" s="43">
        <f>TP!CI159</f>
        <v>0</v>
      </c>
      <c r="AN70" s="42">
        <f>TN!CI248+(AH70-AJ70)</f>
        <v>-1.3322676295501878E-15</v>
      </c>
      <c r="AO70" s="43">
        <f>TP!CI248+(AI70-AK70)</f>
        <v>0</v>
      </c>
      <c r="AP70" s="42">
        <f t="shared" si="43"/>
        <v>3.9179263016903221</v>
      </c>
      <c r="AQ70" s="42">
        <f t="shared" si="44"/>
        <v>0.51555801050923344</v>
      </c>
      <c r="AR70" s="42">
        <f>AH70/'Local emissions'!AE70*100</f>
        <v>7.0976195177456374</v>
      </c>
      <c r="AS70" s="42">
        <f>AI70/'Local emissions'!AR70*100</f>
        <v>19.595024175584197</v>
      </c>
      <c r="AT70" s="42">
        <f t="shared" si="33"/>
        <v>3.3071353658035205</v>
      </c>
      <c r="AU70" s="42">
        <f t="shared" si="34"/>
        <v>8.9626260774271209</v>
      </c>
      <c r="AV70" s="42">
        <f>('Summed emissions'!AE70-'River loads'!X70)/'Summed emissions'!AE70*100</f>
        <v>5.5355985454782388</v>
      </c>
      <c r="AW70" s="42">
        <f>('Summed emissions'!AR70-'River loads'!Z70)/'Summed emissions'!AR70*100</f>
        <v>16.066293362675243</v>
      </c>
      <c r="AX70" s="61">
        <f>X70/('Summed emissions'!$D70*100)*1000</f>
        <v>4.0025440587519903</v>
      </c>
      <c r="AY70" s="19">
        <f>Y70/('Summed emissions'!$D70*100)*1000</f>
        <v>3.8312543256223401</v>
      </c>
      <c r="AZ70" s="72">
        <f>Z70/('Summed emissions'!$D70*100)*1000</f>
        <v>0.18297821479888779</v>
      </c>
      <c r="BA70" s="43" t="str">
        <f>IF(AB70="","",AB70/('Summed emissions'!$D70*100)*1000)</f>
        <v/>
      </c>
      <c r="BB70" s="43" t="str">
        <f>IF(AC70="","",AC70/('Summed emissions'!$D70*100)*1000)</f>
        <v/>
      </c>
      <c r="BC70" s="43" t="str">
        <f>IF(AD70="","",AD70/('Summed emissions'!$D70*100)*1000)</f>
        <v/>
      </c>
      <c r="BF70" s="188">
        <f>('Summed emissions'!AE70-'River loads'!Y70)/'Summed emissions'!AE70*100</f>
        <v>9.5782229058562933</v>
      </c>
      <c r="BG70" s="188">
        <f>('Summed emissions'!AR70-'River loads'!Z70)/'Summed emissions'!AR70*100</f>
        <v>16.066293362675243</v>
      </c>
      <c r="BH70" s="181">
        <f>'Summed emissions'!CV70*(100-'River loads'!BG70)/100</f>
        <v>4.5840169744861337</v>
      </c>
      <c r="BI70" s="181">
        <f t="shared" si="45"/>
        <v>3.4838529006094614</v>
      </c>
      <c r="BJ70" s="233"/>
      <c r="BK70" s="233"/>
      <c r="BM70" s="31">
        <f t="shared" si="51"/>
        <v>1.4105966590568607E-2</v>
      </c>
      <c r="BN70" s="31"/>
      <c r="BO70" s="231"/>
      <c r="BP70" s="31">
        <f>BM70/Parameters!$C$156</f>
        <v>2.170148706241324E-2</v>
      </c>
      <c r="BQ70" s="305" t="s">
        <v>934</v>
      </c>
      <c r="BR70" s="237">
        <f>Basicinfo!CW70</f>
        <v>0.03</v>
      </c>
      <c r="BS70" s="237">
        <f t="shared" si="46"/>
        <v>0.72338290208044131</v>
      </c>
      <c r="BT70" s="237"/>
      <c r="BU70" s="31">
        <f t="shared" si="54"/>
        <v>2.1203376458291859E-2</v>
      </c>
      <c r="BV70" s="232"/>
      <c r="BW70" s="31">
        <f t="shared" si="55"/>
        <v>0.44396283930803404</v>
      </c>
      <c r="BX70" s="31"/>
      <c r="BY70" s="231"/>
      <c r="BZ70" s="147">
        <f t="shared" si="47"/>
        <v>0.5999497828486946</v>
      </c>
      <c r="CA70" s="305" t="s">
        <v>934</v>
      </c>
      <c r="CB70" s="231">
        <f>Basicinfo!CV70</f>
        <v>4</v>
      </c>
      <c r="CC70" s="147">
        <f t="shared" si="50"/>
        <v>0.14998744571217365</v>
      </c>
      <c r="CD70" s="147"/>
      <c r="CE70" s="233"/>
      <c r="CF70" s="233">
        <f>'Local emissions'!FD70/14*62</f>
        <v>3.3751439871608553</v>
      </c>
      <c r="CH70">
        <f t="shared" si="48"/>
        <v>0</v>
      </c>
      <c r="CI70">
        <f t="shared" si="49"/>
        <v>0</v>
      </c>
      <c r="CK70" s="276">
        <f>Basicinfo!EM70</f>
        <v>2</v>
      </c>
      <c r="CL70" s="276">
        <f>Basicinfo!EN70</f>
        <v>2</v>
      </c>
      <c r="CM70">
        <f t="shared" si="56"/>
        <v>2</v>
      </c>
      <c r="CN70">
        <f t="shared" si="57"/>
        <v>2</v>
      </c>
      <c r="CO70" s="31"/>
      <c r="CP70" s="31"/>
      <c r="CQ70" s="31"/>
      <c r="CR70" s="236"/>
      <c r="CS70" s="181"/>
      <c r="CT70" s="181"/>
      <c r="DI70" s="31"/>
      <c r="DJ70" s="233"/>
      <c r="DK70" s="233"/>
      <c r="DR70" s="236"/>
      <c r="DS70" s="236">
        <f t="shared" si="52"/>
        <v>3.3751439871608553</v>
      </c>
      <c r="DY70" s="31"/>
      <c r="DZ70" s="31">
        <f>Intermediate!CR70</f>
        <v>1.6363598885999229E-2</v>
      </c>
    </row>
    <row r="71" spans="1:130">
      <c r="A71" s="39" t="str">
        <f>Basicinfo!A71</f>
        <v>Salza</v>
      </c>
      <c r="B71" s="63">
        <f>Basicinfo!B71</f>
        <v>1420</v>
      </c>
      <c r="C71" s="63">
        <f>Basicinfo!C71</f>
        <v>4060</v>
      </c>
      <c r="D71" s="61">
        <f>IF(Intermediate!D71=0,0,Basicinfo!AP71*86400*365/(Intermediate!D71*1000000))</f>
        <v>276.01779467581667</v>
      </c>
      <c r="E71" s="19">
        <f>IF(Intermediate!E71=0,0,IF((Intermediate!E71-Basicinfo!AA71)&lt;0,0,'Summed emissions'!E71*86400*365/((Intermediate!E71-Basicinfo!AA71)*1000000)))</f>
        <v>0</v>
      </c>
      <c r="F71" s="19">
        <f>IF(Basicinfo!AA71=0,0,'Summed emissions'!E71*86400*365/(Basicinfo!AA71*1000000))</f>
        <v>0</v>
      </c>
      <c r="G71" s="19">
        <f>IF(D71=0,1,1/(1+Parameters!$C$138*EXP(Parameters!$C$139*Basicinfo!AQ71)*D71^Parameters!$C$140))</f>
        <v>0.97219232018975899</v>
      </c>
      <c r="H71" s="19">
        <f>IF(D71=0,1,1/(1+Parameters!$C$141*EXP(Parameters!$C$142*Basicinfo!AQ71)*D71^Parameters!$C$143))</f>
        <v>0.95077354049467033</v>
      </c>
      <c r="I71" s="161">
        <f>IF(Intermediate!AS71=0,1,IF(D71=0,1/(1+Parameters!$C$144*Intermediate!AS71^Parameters!$C$145),(1/(1+Parameters!$C$144*Intermediate!AS71^Parameters!$C$145)+1/(1+Parameters!$C$146*D71^Parameters!$C$147))/2))</f>
        <v>0.91072436852310235</v>
      </c>
      <c r="J71" s="19">
        <f>IF(E71=0,1,1/(1+Parameters!$C$138*EXP(Parameters!$C$139*Basicinfo!AQ71)*E71^Parameters!$C$140))</f>
        <v>1</v>
      </c>
      <c r="K71" s="19">
        <f>IF(E71=0,1,1/(1+Parameters!$C$141*EXP(Parameters!$C$142*Basicinfo!AQ71)*E71^Parameters!$C$143))</f>
        <v>1</v>
      </c>
      <c r="L71" s="19">
        <f>IF(E71=0,1,1/(1+Parameters!$C$146*E71^Parameters!$C$147))</f>
        <v>1</v>
      </c>
      <c r="M71" s="53">
        <f>IF(F71=0,1,1/(1+Parameters!$C$138*EXP(Parameters!$C$139*Basicinfo!AQ71)*F71^Parameters!$C$140))</f>
        <v>1</v>
      </c>
      <c r="N71" s="53">
        <f>IF(F71=0,1,1/(1+Parameters!$C$141*EXP(Parameters!$C$142*Basicinfo!AQ71)*F71^Parameters!$C$143))</f>
        <v>1</v>
      </c>
      <c r="O71" s="53">
        <f>IF(F71=0,1,1/(1+Parameters!$C$146*F71^Parameters!$C$147))</f>
        <v>1</v>
      </c>
      <c r="P71" s="64">
        <f>Basicinfo!CE71+Basicinfo!CJ71</f>
        <v>0</v>
      </c>
      <c r="Q71" s="86">
        <f>Parameters!$C$126*Intermediate!BB71*Basicinfo!P71/1000+Parameters!$C$127*Intermediate!BB71*Basicinfo!S71/1000</f>
        <v>1.7116549042194646</v>
      </c>
      <c r="R71" s="48">
        <f>'Local emissions'!AE71-P71-Q71</f>
        <v>359.89946868081239</v>
      </c>
      <c r="S71" s="48">
        <f>Basicinfo!CF71+Basicinfo!CK71</f>
        <v>0</v>
      </c>
      <c r="T71" s="86">
        <f>'Local emissions'!AR71-S71</f>
        <v>10.284993305861681</v>
      </c>
      <c r="U71" s="61">
        <f t="shared" si="35"/>
        <v>351.60315439607996</v>
      </c>
      <c r="V71" s="27">
        <f t="shared" si="36"/>
        <v>342.1828920598067</v>
      </c>
      <c r="W71" s="27">
        <f t="shared" si="37"/>
        <v>9.3667940337452134</v>
      </c>
      <c r="X71" s="61">
        <f>U71+TN!CI71</f>
        <v>351.60315439607996</v>
      </c>
      <c r="Y71" s="27">
        <f>V71+DIN!CI71</f>
        <v>342.1828920598067</v>
      </c>
      <c r="Z71" s="27">
        <f>W71+TP!CI71</f>
        <v>9.3667940337452134</v>
      </c>
      <c r="AA71" s="73">
        <f>'Summed emissions'!E71</f>
        <v>11.4431978844206</v>
      </c>
      <c r="AB71" s="131" t="str">
        <f>IF(Basicinfo!AR71="","",Basicinfo!AR71)</f>
        <v/>
      </c>
      <c r="AC71" s="131" t="str">
        <f>IF(Basicinfo!AS71="","",Basicinfo!AS71)</f>
        <v/>
      </c>
      <c r="AD71" s="131" t="str">
        <f>IF(Basicinfo!AT71="","",Basicinfo!AT71)</f>
        <v/>
      </c>
      <c r="AE71" s="174" t="str">
        <f t="shared" si="38"/>
        <v/>
      </c>
      <c r="AF71" s="19" t="str">
        <f t="shared" si="39"/>
        <v/>
      </c>
      <c r="AG71" s="27" t="str">
        <f t="shared" si="40"/>
        <v/>
      </c>
      <c r="AH71" s="56">
        <f>'Local emissions'!AE71-U71</f>
        <v>10.007969188951904</v>
      </c>
      <c r="AI71" s="228">
        <f>'Local emissions'!AR71-W71</f>
        <v>0.91819927211646757</v>
      </c>
      <c r="AJ71" s="43">
        <f t="shared" si="41"/>
        <v>10.007969188951895</v>
      </c>
      <c r="AK71" s="58">
        <f t="shared" si="42"/>
        <v>0.91819927211646679</v>
      </c>
      <c r="AL71" s="43">
        <f>TN!CI160</f>
        <v>0</v>
      </c>
      <c r="AM71" s="43">
        <f>TP!CI160</f>
        <v>0</v>
      </c>
      <c r="AN71" s="42">
        <f>TN!CI249+(AH71-AJ71)</f>
        <v>8.8817841970012523E-15</v>
      </c>
      <c r="AO71" s="43">
        <f>TP!CI249+(AI71-AK71)</f>
        <v>7.7715611723760958E-16</v>
      </c>
      <c r="AP71" s="42">
        <f t="shared" si="43"/>
        <v>10.007969188951904</v>
      </c>
      <c r="AQ71" s="42">
        <f t="shared" si="44"/>
        <v>0.91819927211646757</v>
      </c>
      <c r="AR71" s="42">
        <f>AH71/'Local emissions'!AE71*100</f>
        <v>2.767605456859946</v>
      </c>
      <c r="AS71" s="42">
        <f>AI71/'Local emissions'!AR71*100</f>
        <v>8.9275631476897743</v>
      </c>
      <c r="AT71" s="42">
        <f t="shared" si="33"/>
        <v>2.767605456859946</v>
      </c>
      <c r="AU71" s="42">
        <f t="shared" si="34"/>
        <v>8.9275631476897743</v>
      </c>
      <c r="AV71" s="42">
        <f>('Summed emissions'!AE71-'River loads'!X71)/'Summed emissions'!AE71*100</f>
        <v>2.767605456859946</v>
      </c>
      <c r="AW71" s="42">
        <f>('Summed emissions'!AR71-'River loads'!Z71)/'Summed emissions'!AR71*100</f>
        <v>8.9275631476897743</v>
      </c>
      <c r="AX71" s="61">
        <f>X71/('Summed emissions'!$D71*100)*1000</f>
        <v>15.16660116848607</v>
      </c>
      <c r="AY71" s="19">
        <f>Y71/('Summed emissions'!$D71*100)*1000</f>
        <v>14.760252818164327</v>
      </c>
      <c r="AZ71" s="72">
        <f>Z71/('Summed emissions'!$D71*100)*1000</f>
        <v>0.404041964814501</v>
      </c>
      <c r="BA71" s="43" t="str">
        <f>IF(AB71="","",AB71/('Summed emissions'!$D71*100)*1000)</f>
        <v/>
      </c>
      <c r="BB71" s="43" t="str">
        <f>IF(AC71="","",AC71/('Summed emissions'!$D71*100)*1000)</f>
        <v/>
      </c>
      <c r="BC71" s="43" t="str">
        <f>IF(AD71="","",AD71/('Summed emissions'!$D71*100)*1000)</f>
        <v/>
      </c>
      <c r="BF71" s="188">
        <f>('Summed emissions'!AE71-'River loads'!Y71)/'Summed emissions'!AE71*100</f>
        <v>5.3726863633542683</v>
      </c>
      <c r="BG71" s="188">
        <f>('Summed emissions'!AR71-'River loads'!Z71)/'Summed emissions'!AR71*100</f>
        <v>8.9275631476897743</v>
      </c>
      <c r="BH71" s="181">
        <f>'Summed emissions'!CV71*(100-'River loads'!BG71)/100</f>
        <v>8.2584092982642812</v>
      </c>
      <c r="BI71" s="181">
        <f t="shared" si="45"/>
        <v>6.276391066680854</v>
      </c>
      <c r="BJ71" s="233"/>
      <c r="BK71" s="233"/>
      <c r="BM71" s="31">
        <f t="shared" si="51"/>
        <v>1.7392258452872615E-2</v>
      </c>
      <c r="BN71" s="31"/>
      <c r="BO71" s="231"/>
      <c r="BP71" s="31">
        <f>BM71/Parameters!$C$156</f>
        <v>2.6757320696727101E-2</v>
      </c>
      <c r="BQ71" s="305" t="s">
        <v>934</v>
      </c>
      <c r="BR71" s="237">
        <f>Basicinfo!CW71</f>
        <v>1.4999999999999999E-2</v>
      </c>
      <c r="BS71" s="237">
        <f t="shared" si="46"/>
        <v>1.7838213797818068</v>
      </c>
      <c r="BT71" s="237"/>
      <c r="BU71" s="31">
        <f t="shared" si="54"/>
        <v>2.5955951593671738E-2</v>
      </c>
      <c r="BV71" s="232"/>
      <c r="BW71" s="31">
        <f t="shared" si="55"/>
        <v>0.94820944610177316</v>
      </c>
      <c r="BX71" s="31"/>
      <c r="BY71" s="231"/>
      <c r="BZ71" s="147">
        <f t="shared" si="47"/>
        <v>1.2813641163537475</v>
      </c>
      <c r="CA71" s="305" t="s">
        <v>934</v>
      </c>
      <c r="CB71" s="231"/>
      <c r="CC71" s="147"/>
      <c r="CD71" s="147"/>
      <c r="CE71" s="233">
        <f>'Local emissions'!FC71/14*62</f>
        <v>4.7600000000000007</v>
      </c>
      <c r="CF71" s="233">
        <f>'Local emissions'!FD71/14*62</f>
        <v>4.5000842756003934</v>
      </c>
      <c r="CH71">
        <f t="shared" si="48"/>
        <v>0</v>
      </c>
      <c r="CI71">
        <f t="shared" si="49"/>
        <v>0</v>
      </c>
      <c r="CK71" s="276">
        <f>Basicinfo!EM71</f>
        <v>2</v>
      </c>
      <c r="CL71" s="276">
        <f>Basicinfo!EN71</f>
        <v>2</v>
      </c>
      <c r="CM71">
        <f t="shared" si="56"/>
        <v>2</v>
      </c>
      <c r="CN71">
        <f t="shared" si="57"/>
        <v>2</v>
      </c>
      <c r="CO71" s="31"/>
      <c r="CP71" s="31"/>
      <c r="CQ71" s="31"/>
      <c r="CR71" s="236"/>
      <c r="CS71" s="181"/>
      <c r="CT71" s="181"/>
      <c r="DI71" s="31"/>
      <c r="DJ71" s="233"/>
      <c r="DK71" s="233"/>
      <c r="DR71" s="236">
        <f t="shared" si="53"/>
        <v>4.7600000000000007</v>
      </c>
      <c r="DS71" s="236">
        <f t="shared" si="52"/>
        <v>4.5000842756003934</v>
      </c>
      <c r="DY71" s="31">
        <f>Basicinfo!EI71</f>
        <v>2.5762631578947369E-3</v>
      </c>
      <c r="DZ71" s="31">
        <f>Intermediate!CR71</f>
        <v>2.3083309904646229E-2</v>
      </c>
    </row>
    <row r="72" spans="1:130">
      <c r="A72" s="39" t="str">
        <f>Basicinfo!A72</f>
        <v>Donnersbach</v>
      </c>
      <c r="B72" s="63">
        <f>Basicinfo!B72</f>
        <v>1430</v>
      </c>
      <c r="C72" s="63">
        <f>Basicinfo!C72</f>
        <v>4060</v>
      </c>
      <c r="D72" s="61">
        <f>IF(Intermediate!D72=0,0,Basicinfo!AP72*86400*365/(Intermediate!D72*1000000))</f>
        <v>79.42054826144188</v>
      </c>
      <c r="E72" s="19">
        <f>IF(Intermediate!E72=0,0,IF((Intermediate!E72-Basicinfo!AA72)&lt;0,0,'Summed emissions'!E72*86400*365/((Intermediate!E72-Basicinfo!AA72)*1000000)))</f>
        <v>0</v>
      </c>
      <c r="F72" s="19">
        <f>IF(Basicinfo!AA72=0,0,'Summed emissions'!E72*86400*365/(Basicinfo!AA72*1000000))</f>
        <v>0</v>
      </c>
      <c r="G72" s="19">
        <f>IF(D72=0,1,1/(1+Parameters!$C$138*EXP(Parameters!$C$139*Basicinfo!AQ72)*D72^Parameters!$C$140))</f>
        <v>0.91349833650983625</v>
      </c>
      <c r="H72" s="19">
        <f>IF(D72=0,1,1/(1+Parameters!$C$141*EXP(Parameters!$C$142*Basicinfo!AQ72)*D72^Parameters!$C$143))</f>
        <v>0.85367509344124781</v>
      </c>
      <c r="I72" s="161">
        <f>IF(Intermediate!AS72=0,1,IF(D72=0,1/(1+Parameters!$C$144*Intermediate!AS72^Parameters!$C$145),(1/(1+Parameters!$C$144*Intermediate!AS72^Parameters!$C$145)+1/(1+Parameters!$C$146*D72^Parameters!$C$147))/2))</f>
        <v>0.74161805769400613</v>
      </c>
      <c r="J72" s="19">
        <f>IF(E72=0,1,1/(1+Parameters!$C$138*EXP(Parameters!$C$139*Basicinfo!AQ72)*E72^Parameters!$C$140))</f>
        <v>1</v>
      </c>
      <c r="K72" s="19">
        <f>IF(E72=0,1,1/(1+Parameters!$C$141*EXP(Parameters!$C$142*Basicinfo!AQ72)*E72^Parameters!$C$143))</f>
        <v>1</v>
      </c>
      <c r="L72" s="19">
        <f>IF(E72=0,1,1/(1+Parameters!$C$146*E72^Parameters!$C$147))</f>
        <v>1</v>
      </c>
      <c r="M72" s="53">
        <f>IF(F72=0,1,1/(1+Parameters!$C$138*EXP(Parameters!$C$139*Basicinfo!AQ72)*F72^Parameters!$C$140))</f>
        <v>1</v>
      </c>
      <c r="N72" s="53">
        <f>IF(F72=0,1,1/(1+Parameters!$C$141*EXP(Parameters!$C$142*Basicinfo!AQ72)*F72^Parameters!$C$143))</f>
        <v>1</v>
      </c>
      <c r="O72" s="53">
        <f>IF(F72=0,1,1/(1+Parameters!$C$146*F72^Parameters!$C$147))</f>
        <v>1</v>
      </c>
      <c r="P72" s="64">
        <f>Basicinfo!CE72+Basicinfo!CJ72</f>
        <v>0</v>
      </c>
      <c r="Q72" s="86">
        <f>Parameters!$C$126*Intermediate!BB72*Basicinfo!P72/1000+Parameters!$C$127*Intermediate!BB72*Basicinfo!S72/1000</f>
        <v>8.9126658994934122E-3</v>
      </c>
      <c r="R72" s="48">
        <f>'Local emissions'!AE72-P72-Q72</f>
        <v>104.40341767252028</v>
      </c>
      <c r="S72" s="48">
        <f>Basicinfo!CF72+Basicinfo!CK72</f>
        <v>0</v>
      </c>
      <c r="T72" s="86">
        <f>'Local emissions'!AR72-S72</f>
        <v>4.1680777346505273</v>
      </c>
      <c r="U72" s="61">
        <f t="shared" ref="U72:U84" si="58">(R72*G72+P72)*M72+Q72</f>
        <v>95.381261035688397</v>
      </c>
      <c r="V72" s="27">
        <f t="shared" ref="V72:V84" si="59">(R72*H72+P72)*N72</f>
        <v>89.126597337174374</v>
      </c>
      <c r="W72" s="27">
        <f t="shared" ref="W72:W84" si="60">(T72*I72+S72)*O72</f>
        <v>3.0911217138891574</v>
      </c>
      <c r="X72" s="61">
        <f>U72+TN!CI72</f>
        <v>95.381261035688397</v>
      </c>
      <c r="Y72" s="27">
        <f>V72+DIN!CI72</f>
        <v>89.126597337174374</v>
      </c>
      <c r="Z72" s="27">
        <f>W72+TP!CI72</f>
        <v>3.0911217138891574</v>
      </c>
      <c r="AA72" s="73">
        <f>'Summed emissions'!E72</f>
        <v>2.6732958287508302</v>
      </c>
      <c r="AB72" s="131" t="str">
        <f>IF(Basicinfo!AR72="","",Basicinfo!AR72)</f>
        <v/>
      </c>
      <c r="AC72" s="131" t="str">
        <f>IF(Basicinfo!AS72="","",Basicinfo!AS72)</f>
        <v/>
      </c>
      <c r="AD72" s="131" t="str">
        <f>IF(Basicinfo!AT72="","",Basicinfo!AT72)</f>
        <v/>
      </c>
      <c r="AE72" s="174" t="str">
        <f t="shared" ref="AE72:AE84" si="61">IF(AB72="","",X72/AB72*100-100)</f>
        <v/>
      </c>
      <c r="AF72" s="19" t="str">
        <f t="shared" ref="AF72:AF84" si="62">IF(AC72="","",Y72/AC72*100-100)</f>
        <v/>
      </c>
      <c r="AG72" s="27" t="str">
        <f t="shared" ref="AG72:AG84" si="63">IF(AD72="","",Z72/AD72*100-100)</f>
        <v/>
      </c>
      <c r="AH72" s="56">
        <f>'Local emissions'!AE72-U72</f>
        <v>9.0310693027313675</v>
      </c>
      <c r="AI72" s="228">
        <f>'Local emissions'!AR72-W72</f>
        <v>1.07695602076137</v>
      </c>
      <c r="AJ72" s="43">
        <f t="shared" ref="AJ72:AJ84" si="64">R72*(1-G72)</f>
        <v>9.031069302731364</v>
      </c>
      <c r="AK72" s="58">
        <f t="shared" ref="AK72:AK84" si="65">T72*(1-I72)</f>
        <v>1.0769560207613702</v>
      </c>
      <c r="AL72" s="43">
        <f>TN!CI161</f>
        <v>0</v>
      </c>
      <c r="AM72" s="43">
        <f>TP!CI161</f>
        <v>0</v>
      </c>
      <c r="AN72" s="42">
        <f>TN!CI250+(AH72-AJ72)</f>
        <v>3.5527136788005009E-15</v>
      </c>
      <c r="AO72" s="43">
        <f>TP!CI250+(AI72-AK72)</f>
        <v>-2.2204460492503131E-16</v>
      </c>
      <c r="AP72" s="42">
        <f t="shared" ref="AP72:AP84" si="66">AJ72+AL72+AN72</f>
        <v>9.0310693027313675</v>
      </c>
      <c r="AQ72" s="42">
        <f t="shared" ref="AQ72:AQ84" si="67">AK72+AM72+AO72</f>
        <v>1.07695602076137</v>
      </c>
      <c r="AR72" s="42">
        <f>AH72/'Local emissions'!AE72*100</f>
        <v>8.6494279683826552</v>
      </c>
      <c r="AS72" s="42">
        <f>AI72/'Local emissions'!AR72*100</f>
        <v>25.838194230599381</v>
      </c>
      <c r="AT72" s="42">
        <f t="shared" ref="AT72:AT84" si="68">AP72/(X72+AP72)*100</f>
        <v>8.6494279683826552</v>
      </c>
      <c r="AU72" s="42">
        <f t="shared" ref="AU72:AU84" si="69">AQ72/(Z72+AQ72)*100</f>
        <v>25.838194230599381</v>
      </c>
      <c r="AV72" s="42">
        <f>('Summed emissions'!AE72-'River loads'!X72)/'Summed emissions'!AE72*100</f>
        <v>8.6494279683826552</v>
      </c>
      <c r="AW72" s="42">
        <f>('Summed emissions'!AR72-'River loads'!Z72)/'Summed emissions'!AR72*100</f>
        <v>25.838194230599381</v>
      </c>
      <c r="AX72" s="61">
        <f>X72/('Summed emissions'!$D72*100)*1000</f>
        <v>4.8607532929257573</v>
      </c>
      <c r="AY72" s="19">
        <f>Y72/('Summed emissions'!$D72*100)*1000</f>
        <v>4.5420074843825073</v>
      </c>
      <c r="AZ72" s="72">
        <f>Z72/('Summed emissions'!$D72*100)*1000</f>
        <v>0.1575275886109235</v>
      </c>
      <c r="BA72" s="43" t="str">
        <f>IF(AB72="","",AB72/('Summed emissions'!$D72*100)*1000)</f>
        <v/>
      </c>
      <c r="BB72" s="43" t="str">
        <f>IF(AC72="","",AC72/('Summed emissions'!$D72*100)*1000)</f>
        <v/>
      </c>
      <c r="BC72" s="43" t="str">
        <f>IF(AD72="","",AD72/('Summed emissions'!$D72*100)*1000)</f>
        <v/>
      </c>
      <c r="BF72" s="188">
        <f>('Summed emissions'!AE72-'River loads'!Y72)/'Summed emissions'!AE72*100</f>
        <v>14.639777650495386</v>
      </c>
      <c r="BG72" s="188">
        <f>('Summed emissions'!AR72-'River loads'!Z72)/'Summed emissions'!AR72*100</f>
        <v>25.838194230599381</v>
      </c>
      <c r="BH72" s="181">
        <f>'Summed emissions'!CV72*(100-'River loads'!BG72)/100</f>
        <v>2.4758077738887638</v>
      </c>
      <c r="BI72" s="181">
        <f t="shared" ref="BI72:BI84" si="70">BH72*0.76</f>
        <v>1.8816139081554606</v>
      </c>
      <c r="BJ72" s="233"/>
      <c r="BK72" s="233"/>
      <c r="BM72" s="31">
        <f t="shared" ref="BM72:BM84" si="71">BI72*1000000/24/3600/365/$AA72</f>
        <v>2.2319110732031609E-2</v>
      </c>
      <c r="BN72" s="31"/>
      <c r="BO72" s="231"/>
      <c r="BP72" s="31">
        <f>BM72/Parameters!$C$156</f>
        <v>3.433709343389478E-2</v>
      </c>
      <c r="BQ72" s="305" t="s">
        <v>934</v>
      </c>
      <c r="BR72" s="237">
        <f>Basicinfo!CW72</f>
        <v>0.03</v>
      </c>
      <c r="BS72" s="237">
        <f t="shared" ref="BS72:BS84" si="72">BP72/BR72</f>
        <v>1.1445697811298261</v>
      </c>
      <c r="BT72" s="237"/>
      <c r="BU72" s="31">
        <f t="shared" si="54"/>
        <v>3.6665910854215118E-2</v>
      </c>
      <c r="BV72" s="232"/>
      <c r="BW72" s="31">
        <f t="shared" si="55"/>
        <v>1.0571915877724458</v>
      </c>
      <c r="BX72" s="31"/>
      <c r="BY72" s="231"/>
      <c r="BZ72" s="147">
        <f t="shared" ref="BZ72:BZ84" si="73">BW72/0.74</f>
        <v>1.4286372807735754</v>
      </c>
      <c r="CA72" s="305" t="s">
        <v>934</v>
      </c>
      <c r="CB72" s="231">
        <f>Basicinfo!CV72</f>
        <v>4</v>
      </c>
      <c r="CC72" s="147">
        <f t="shared" ref="CC72:CC84" si="74">BZ72/CB72</f>
        <v>0.35715932019339386</v>
      </c>
      <c r="CD72" s="147"/>
      <c r="CE72" s="233">
        <f>'Local emissions'!FC72/14*62</f>
        <v>3.3166666666666664</v>
      </c>
      <c r="CF72" s="233">
        <f>'Local emissions'!FD72/14*62</f>
        <v>7.842851822846403</v>
      </c>
      <c r="CH72">
        <f t="shared" ref="CH72:CH84" si="75">IF(BR72&lt;0.031,0,IF(BS72&lt;0.75,0,IF(BS72&lt;1.25,1,2)))</f>
        <v>0</v>
      </c>
      <c r="CI72">
        <f t="shared" ref="CI72:CI84" si="76">IF(CB72&lt;1,0,IF(CC72&lt;0.75,0,IF(CC72&lt;1.25,1,2)))</f>
        <v>0</v>
      </c>
      <c r="CK72" s="276">
        <f>Basicinfo!EM72</f>
        <v>2</v>
      </c>
      <c r="CL72" s="276">
        <f>Basicinfo!EN72</f>
        <v>2</v>
      </c>
      <c r="CM72">
        <f t="shared" si="56"/>
        <v>2</v>
      </c>
      <c r="CN72">
        <f t="shared" si="57"/>
        <v>2</v>
      </c>
      <c r="CO72" s="31">
        <f>BN72</f>
        <v>0</v>
      </c>
      <c r="CP72" s="31"/>
      <c r="CQ72" s="31"/>
      <c r="CR72" s="236">
        <f>BX72</f>
        <v>0</v>
      </c>
      <c r="CS72" s="181"/>
      <c r="CT72" s="181"/>
      <c r="DI72" s="31" t="e">
        <f>#REF!</f>
        <v>#REF!</v>
      </c>
      <c r="DJ72" s="233"/>
      <c r="DK72" s="233"/>
      <c r="DR72" s="236">
        <f t="shared" si="53"/>
        <v>3.3166666666666664</v>
      </c>
      <c r="DS72" s="236">
        <f t="shared" si="52"/>
        <v>7.842851822846403</v>
      </c>
      <c r="DY72" s="31">
        <f>Basicinfo!EI72</f>
        <v>9.2128084210526314E-3</v>
      </c>
      <c r="DZ72" s="31">
        <f>Intermediate!CR72</f>
        <v>2.9353334832869678E-2</v>
      </c>
    </row>
    <row r="73" spans="1:130">
      <c r="A73" s="39" t="str">
        <f>Basicinfo!A73</f>
        <v>Gufling</v>
      </c>
      <c r="B73" s="63">
        <f>Basicinfo!B73</f>
        <v>1440</v>
      </c>
      <c r="C73" s="63">
        <f>Basicinfo!C73</f>
        <v>4060</v>
      </c>
      <c r="D73" s="61">
        <f>IF(Intermediate!D73=0,0,Basicinfo!AP73*86400*365/(Intermediate!D73*1000000))</f>
        <v>196.10383174916777</v>
      </c>
      <c r="E73" s="19">
        <f>IF(Intermediate!E73=0,0,IF((Intermediate!E73-Basicinfo!AA73)&lt;0,0,'Summed emissions'!E73*86400*365/((Intermediate!E73-Basicinfo!AA73)*1000000)))</f>
        <v>0</v>
      </c>
      <c r="F73" s="19">
        <f>IF(Basicinfo!AA73=0,0,'Summed emissions'!E73*86400*365/(Basicinfo!AA73*1000000))</f>
        <v>0</v>
      </c>
      <c r="G73" s="19">
        <f>IF(D73=0,1,1/(1+Parameters!$C$138*EXP(Parameters!$C$139*Basicinfo!AQ73)*D73^Parameters!$C$140))</f>
        <v>0.96224468124098772</v>
      </c>
      <c r="H73" s="19">
        <f>IF(D73=0,1,1/(1+Parameters!$C$141*EXP(Parameters!$C$142*Basicinfo!AQ73)*D73^Parameters!$C$143))</f>
        <v>0.93368640059261965</v>
      </c>
      <c r="I73" s="161">
        <f>IF(Intermediate!AS73=0,1,IF(D73=0,1/(1+Parameters!$C$144*Intermediate!AS73^Parameters!$C$145),(1/(1+Parameters!$C$144*Intermediate!AS73^Parameters!$C$145)+1/(1+Parameters!$C$146*D73^Parameters!$C$147))/2))</f>
        <v>0.87056642241367066</v>
      </c>
      <c r="J73" s="19">
        <f>IF(E73=0,1,1/(1+Parameters!$C$138*EXP(Parameters!$C$139*Basicinfo!AQ73)*E73^Parameters!$C$140))</f>
        <v>1</v>
      </c>
      <c r="K73" s="19">
        <f>IF(E73=0,1,1/(1+Parameters!$C$141*EXP(Parameters!$C$142*Basicinfo!AQ73)*E73^Parameters!$C$143))</f>
        <v>1</v>
      </c>
      <c r="L73" s="19">
        <f>IF(E73=0,1,1/(1+Parameters!$C$146*E73^Parameters!$C$147))</f>
        <v>1</v>
      </c>
      <c r="M73" s="53">
        <f>IF(F73=0,1,1/(1+Parameters!$C$138*EXP(Parameters!$C$139*Basicinfo!AQ73)*F73^Parameters!$C$140))</f>
        <v>1</v>
      </c>
      <c r="N73" s="53">
        <f>IF(F73=0,1,1/(1+Parameters!$C$141*EXP(Parameters!$C$142*Basicinfo!AQ73)*F73^Parameters!$C$143))</f>
        <v>1</v>
      </c>
      <c r="O73" s="53">
        <f>IF(F73=0,1,1/(1+Parameters!$C$146*F73^Parameters!$C$147))</f>
        <v>1</v>
      </c>
      <c r="P73" s="64">
        <f>Basicinfo!CE73+Basicinfo!CJ73</f>
        <v>0</v>
      </c>
      <c r="Q73" s="86">
        <f>Parameters!$C$126*Intermediate!BB73*Basicinfo!P73/1000+Parameters!$C$127*Intermediate!BB73*Basicinfo!S73/1000</f>
        <v>0.10601726678884997</v>
      </c>
      <c r="R73" s="48">
        <f>'Local emissions'!AE73-P73-Q73</f>
        <v>88.759795313970116</v>
      </c>
      <c r="S73" s="48">
        <f>Basicinfo!CF73+Basicinfo!CK73</f>
        <v>0</v>
      </c>
      <c r="T73" s="86">
        <f>'Local emissions'!AR73-S73</f>
        <v>4.719520010779827</v>
      </c>
      <c r="U73" s="61">
        <f t="shared" si="58"/>
        <v>85.514658215695349</v>
      </c>
      <c r="V73" s="27">
        <f t="shared" si="59"/>
        <v>82.87381380403842</v>
      </c>
      <c r="W73" s="27">
        <f t="shared" si="60"/>
        <v>4.1086556512943222</v>
      </c>
      <c r="X73" s="61">
        <f>U73+TN!CI73</f>
        <v>85.514658215695349</v>
      </c>
      <c r="Y73" s="27">
        <f>V73+DIN!CI73</f>
        <v>82.87381380403842</v>
      </c>
      <c r="Z73" s="27">
        <f>W73+TP!CI73</f>
        <v>4.1086556512943222</v>
      </c>
      <c r="AA73" s="73">
        <f>'Summed emissions'!E73</f>
        <v>5.1171615004434203</v>
      </c>
      <c r="AB73" s="131" t="str">
        <f>IF(Basicinfo!AR73="","",Basicinfo!AR73)</f>
        <v/>
      </c>
      <c r="AC73" s="131" t="str">
        <f>IF(Basicinfo!AS73="","",Basicinfo!AS73)</f>
        <v/>
      </c>
      <c r="AD73" s="131" t="str">
        <f>IF(Basicinfo!AT73="","",Basicinfo!AT73)</f>
        <v/>
      </c>
      <c r="AE73" s="174" t="str">
        <f t="shared" si="61"/>
        <v/>
      </c>
      <c r="AF73" s="19" t="str">
        <f t="shared" si="62"/>
        <v/>
      </c>
      <c r="AG73" s="27" t="str">
        <f t="shared" si="63"/>
        <v/>
      </c>
      <c r="AH73" s="56">
        <f>'Local emissions'!AE73-U73</f>
        <v>3.3511543650636213</v>
      </c>
      <c r="AI73" s="228">
        <f>'Local emissions'!AR73-W73</f>
        <v>0.61086435948550477</v>
      </c>
      <c r="AJ73" s="43">
        <f t="shared" si="64"/>
        <v>3.3511543650636262</v>
      </c>
      <c r="AK73" s="58">
        <f t="shared" si="65"/>
        <v>0.61086435948550466</v>
      </c>
      <c r="AL73" s="43">
        <f>TN!CI162</f>
        <v>0</v>
      </c>
      <c r="AM73" s="43">
        <f>TP!CI162</f>
        <v>0</v>
      </c>
      <c r="AN73" s="42">
        <f>TN!CI251+(AH73-AJ73)</f>
        <v>-4.8849813083506888E-15</v>
      </c>
      <c r="AO73" s="43">
        <f>TP!CI251+(AI73-AK73)</f>
        <v>1.1102230246251565E-16</v>
      </c>
      <c r="AP73" s="42">
        <f t="shared" si="66"/>
        <v>3.3511543650636213</v>
      </c>
      <c r="AQ73" s="42">
        <f t="shared" si="67"/>
        <v>0.61086435948550477</v>
      </c>
      <c r="AR73" s="42">
        <f>AH73/'Local emissions'!AE73*100</f>
        <v>3.771027651402139</v>
      </c>
      <c r="AS73" s="42">
        <f>AI73/'Local emissions'!AR73*100</f>
        <v>12.943357758632937</v>
      </c>
      <c r="AT73" s="42">
        <f t="shared" si="68"/>
        <v>3.771027651402139</v>
      </c>
      <c r="AU73" s="42">
        <f t="shared" si="69"/>
        <v>12.943357758632937</v>
      </c>
      <c r="AV73" s="42">
        <f>('Summed emissions'!AE73-'River loads'!X73)/'Summed emissions'!AE73*100</f>
        <v>3.771027651402139</v>
      </c>
      <c r="AW73" s="42">
        <f>('Summed emissions'!AR73-'River loads'!Z73)/'Summed emissions'!AR73*100</f>
        <v>12.943357758632937</v>
      </c>
      <c r="AX73" s="61">
        <f>X73/('Summed emissions'!$D73*100)*1000</f>
        <v>5.0843204429257538</v>
      </c>
      <c r="AY73" s="19">
        <f>Y73/('Summed emissions'!$D73*100)*1000</f>
        <v>4.9273076043208617</v>
      </c>
      <c r="AZ73" s="72">
        <f>Z73/('Summed emissions'!$D73*100)*1000</f>
        <v>0.24428235295202352</v>
      </c>
      <c r="BA73" s="43" t="str">
        <f>IF(AB73="","",AB73/('Summed emissions'!$D73*100)*1000)</f>
        <v/>
      </c>
      <c r="BB73" s="43" t="str">
        <f>IF(AC73="","",AC73/('Summed emissions'!$D73*100)*1000)</f>
        <v/>
      </c>
      <c r="BC73" s="43" t="str">
        <f>IF(AD73="","",AD73/('Summed emissions'!$D73*100)*1000)</f>
        <v/>
      </c>
      <c r="BF73" s="188">
        <f>('Summed emissions'!AE73-'River loads'!Y73)/'Summed emissions'!AE73*100</f>
        <v>6.7427490985638316</v>
      </c>
      <c r="BG73" s="188">
        <f>('Summed emissions'!AR73-'River loads'!Z73)/'Summed emissions'!AR73*100</f>
        <v>12.943357758632937</v>
      </c>
      <c r="BH73" s="181">
        <f>'Summed emissions'!CV73*(100-'River loads'!BG73)/100</f>
        <v>3.4370191118417348</v>
      </c>
      <c r="BI73" s="181">
        <f t="shared" si="70"/>
        <v>2.6121345249997185</v>
      </c>
      <c r="BJ73" s="233"/>
      <c r="BK73" s="233"/>
      <c r="BM73" s="31">
        <f t="shared" si="71"/>
        <v>1.6186755570285063E-2</v>
      </c>
      <c r="BN73" s="31"/>
      <c r="BO73" s="231"/>
      <c r="BP73" s="31">
        <f>BM73/Parameters!$C$156</f>
        <v>2.4902700877361635E-2</v>
      </c>
      <c r="BQ73" s="305" t="s">
        <v>934</v>
      </c>
      <c r="BR73" s="237">
        <f>Basicinfo!CW73</f>
        <v>0.03</v>
      </c>
      <c r="BS73" s="237">
        <f t="shared" si="72"/>
        <v>0.83009002924538788</v>
      </c>
      <c r="BT73" s="237"/>
      <c r="BU73" s="31">
        <f t="shared" si="54"/>
        <v>2.5460329134457088E-2</v>
      </c>
      <c r="BV73" s="232"/>
      <c r="BW73" s="31">
        <f t="shared" si="55"/>
        <v>0.51354865317414322</v>
      </c>
      <c r="BX73" s="31"/>
      <c r="BY73" s="231"/>
      <c r="BZ73" s="147">
        <f t="shared" si="73"/>
        <v>0.69398466645154488</v>
      </c>
      <c r="CA73" s="305" t="s">
        <v>934</v>
      </c>
      <c r="CB73" s="231">
        <f>Basicinfo!CV73</f>
        <v>4</v>
      </c>
      <c r="CC73" s="147">
        <f t="shared" si="74"/>
        <v>0.17349616661288622</v>
      </c>
      <c r="CD73" s="147"/>
      <c r="CE73" s="233">
        <f>'Local emissions'!FC73/14*62</f>
        <v>4.83</v>
      </c>
      <c r="CF73" s="233">
        <f>'Local emissions'!FD73/14*62</f>
        <v>3.1791910288351426</v>
      </c>
      <c r="CH73">
        <f t="shared" si="75"/>
        <v>0</v>
      </c>
      <c r="CI73">
        <f t="shared" si="76"/>
        <v>0</v>
      </c>
      <c r="CK73" s="276">
        <f>Basicinfo!EM73</f>
        <v>2</v>
      </c>
      <c r="CL73" s="276">
        <f>Basicinfo!EN73</f>
        <v>2</v>
      </c>
      <c r="CM73">
        <f t="shared" si="56"/>
        <v>2</v>
      </c>
      <c r="CN73">
        <f t="shared" si="57"/>
        <v>2</v>
      </c>
      <c r="CO73" s="31"/>
      <c r="CP73" s="31"/>
      <c r="CQ73" s="31"/>
      <c r="CR73" s="236"/>
      <c r="CS73" s="181"/>
      <c r="CT73" s="181"/>
      <c r="DI73" s="31"/>
      <c r="DJ73" s="233"/>
      <c r="DK73" s="233"/>
      <c r="DR73" s="236">
        <f t="shared" si="53"/>
        <v>4.83</v>
      </c>
      <c r="DS73" s="236">
        <f t="shared" si="52"/>
        <v>3.1791910288351426</v>
      </c>
      <c r="DY73" s="31">
        <f>Basicinfo!EI73</f>
        <v>1.4050505263157894E-2</v>
      </c>
      <c r="DZ73" s="31">
        <f>Intermediate!CR73</f>
        <v>2.1649525701658956E-2</v>
      </c>
    </row>
    <row r="74" spans="1:130">
      <c r="A74" s="39" t="str">
        <f>Basicinfo!A74</f>
        <v>Triebenbach</v>
      </c>
      <c r="B74" s="63">
        <f>Basicinfo!B74</f>
        <v>1450</v>
      </c>
      <c r="C74" s="63">
        <f>Basicinfo!C74</f>
        <v>1460</v>
      </c>
      <c r="D74" s="61">
        <f>IF(Intermediate!D74=0,0,Basicinfo!AP74*86400*365/(Intermediate!D74*1000000))</f>
        <v>175.27532507912179</v>
      </c>
      <c r="E74" s="19">
        <f>IF(Intermediate!E74=0,0,IF((Intermediate!E74-Basicinfo!AA74)&lt;0,0,'Summed emissions'!E74*86400*365/((Intermediate!E74-Basicinfo!AA74)*1000000)))</f>
        <v>0</v>
      </c>
      <c r="F74" s="19">
        <f>IF(Basicinfo!AA74=0,0,'Summed emissions'!E74*86400*365/(Basicinfo!AA74*1000000))</f>
        <v>0</v>
      </c>
      <c r="G74" s="19">
        <f>IF(D74=0,1,1/(1+Parameters!$C$138*EXP(Parameters!$C$139*Basicinfo!AQ74)*D74^Parameters!$C$140))</f>
        <v>0.95878119320726884</v>
      </c>
      <c r="H74" s="19">
        <f>IF(D74=0,1,1/(1+Parameters!$C$141*EXP(Parameters!$C$142*Basicinfo!AQ74)*D74^Parameters!$C$143))</f>
        <v>0.92779968753605446</v>
      </c>
      <c r="I74" s="161">
        <f>IF(Intermediate!AS74=0,1,IF(D74=0,1/(1+Parameters!$C$144*Intermediate!AS74^Parameters!$C$145),(1/(1+Parameters!$C$144*Intermediate!AS74^Parameters!$C$145)+1/(1+Parameters!$C$146*D74^Parameters!$C$147))/2))</f>
        <v>0.85994451021988616</v>
      </c>
      <c r="J74" s="19">
        <f>IF(E74=0,1,1/(1+Parameters!$C$138*EXP(Parameters!$C$139*Basicinfo!AQ74)*E74^Parameters!$C$140))</f>
        <v>1</v>
      </c>
      <c r="K74" s="19">
        <f>IF(E74=0,1,1/(1+Parameters!$C$141*EXP(Parameters!$C$142*Basicinfo!AQ74)*E74^Parameters!$C$143))</f>
        <v>1</v>
      </c>
      <c r="L74" s="19">
        <f>IF(E74=0,1,1/(1+Parameters!$C$146*E74^Parameters!$C$147))</f>
        <v>1</v>
      </c>
      <c r="M74" s="53">
        <f>IF(F74=0,1,1/(1+Parameters!$C$138*EXP(Parameters!$C$139*Basicinfo!AQ74)*F74^Parameters!$C$140))</f>
        <v>1</v>
      </c>
      <c r="N74" s="53">
        <f>IF(F74=0,1,1/(1+Parameters!$C$141*EXP(Parameters!$C$142*Basicinfo!AQ74)*F74^Parameters!$C$143))</f>
        <v>1</v>
      </c>
      <c r="O74" s="53">
        <f>IF(F74=0,1,1/(1+Parameters!$C$146*F74^Parameters!$C$147))</f>
        <v>1</v>
      </c>
      <c r="P74" s="64">
        <f>Basicinfo!CE74+Basicinfo!CJ74</f>
        <v>0</v>
      </c>
      <c r="Q74" s="86">
        <f>Parameters!$C$126*Intermediate!BB74*Basicinfo!P74/1000+Parameters!$C$127*Intermediate!BB74*Basicinfo!S74/1000</f>
        <v>0.28872671321348531</v>
      </c>
      <c r="R74" s="48">
        <f>'Local emissions'!AE74-P74-Q74</f>
        <v>60.53505948292662</v>
      </c>
      <c r="S74" s="48">
        <f>Basicinfo!CF74+Basicinfo!CK74</f>
        <v>0</v>
      </c>
      <c r="T74" s="86">
        <f>'Local emissions'!AR74-S74</f>
        <v>2.0997893469198443</v>
      </c>
      <c r="U74" s="61">
        <f t="shared" si="58"/>
        <v>58.328603275126866</v>
      </c>
      <c r="V74" s="27">
        <f t="shared" si="59"/>
        <v>56.16440927323579</v>
      </c>
      <c r="W74" s="27">
        <f t="shared" si="60"/>
        <v>1.8057023215019201</v>
      </c>
      <c r="X74" s="61">
        <f>U74+TN!CI74</f>
        <v>58.328603275126866</v>
      </c>
      <c r="Y74" s="27">
        <f>V74+DIN!CI74</f>
        <v>56.16440927323579</v>
      </c>
      <c r="Z74" s="27">
        <f>W74+TP!CI74</f>
        <v>1.8057023215019201</v>
      </c>
      <c r="AA74" s="73">
        <f>'Summed emissions'!E74</f>
        <v>3.1563719445488303</v>
      </c>
      <c r="AB74" s="131" t="str">
        <f>IF(Basicinfo!AR74="","",Basicinfo!AR74)</f>
        <v/>
      </c>
      <c r="AC74" s="131" t="str">
        <f>IF(Basicinfo!AS74="","",Basicinfo!AS74)</f>
        <v/>
      </c>
      <c r="AD74" s="131" t="str">
        <f>IF(Basicinfo!AT74="","",Basicinfo!AT74)</f>
        <v/>
      </c>
      <c r="AE74" s="174" t="str">
        <f t="shared" si="61"/>
        <v/>
      </c>
      <c r="AF74" s="19" t="str">
        <f t="shared" si="62"/>
        <v/>
      </c>
      <c r="AG74" s="27" t="str">
        <f t="shared" si="63"/>
        <v/>
      </c>
      <c r="AH74" s="56">
        <f>'Local emissions'!AE74-U74</f>
        <v>2.4951829210132388</v>
      </c>
      <c r="AI74" s="228">
        <f>'Local emissions'!AR74-W74</f>
        <v>0.2940870254179242</v>
      </c>
      <c r="AJ74" s="43">
        <f t="shared" si="64"/>
        <v>2.4951829210132401</v>
      </c>
      <c r="AK74" s="58">
        <f t="shared" si="65"/>
        <v>0.29408702541792414</v>
      </c>
      <c r="AL74" s="43">
        <f>TN!CI163</f>
        <v>0</v>
      </c>
      <c r="AM74" s="43">
        <f>TP!CI163</f>
        <v>0</v>
      </c>
      <c r="AN74" s="42">
        <f>TN!CI252+(AH74-AJ74)</f>
        <v>-1.3322676295501878E-15</v>
      </c>
      <c r="AO74" s="43">
        <f>TP!CI252+(AI74-AK74)</f>
        <v>5.5511151231257827E-17</v>
      </c>
      <c r="AP74" s="42">
        <f t="shared" si="66"/>
        <v>2.4951829210132388</v>
      </c>
      <c r="AQ74" s="42">
        <f t="shared" si="67"/>
        <v>0.2940870254179242</v>
      </c>
      <c r="AR74" s="42">
        <f>AH74/'Local emissions'!AE74*100</f>
        <v>4.1023143691958852</v>
      </c>
      <c r="AS74" s="42">
        <f>AI74/'Local emissions'!AR74*100</f>
        <v>14.005548978011383</v>
      </c>
      <c r="AT74" s="42">
        <f t="shared" si="68"/>
        <v>4.1023143691958852</v>
      </c>
      <c r="AU74" s="42">
        <f t="shared" si="69"/>
        <v>14.005548978011383</v>
      </c>
      <c r="AV74" s="42">
        <f>('Summed emissions'!AE74-'River loads'!X74)/'Summed emissions'!AE74*100</f>
        <v>4.1023143691958852</v>
      </c>
      <c r="AW74" s="42">
        <f>('Summed emissions'!AR74-'River loads'!Z74)/'Summed emissions'!AR74*100</f>
        <v>14.005548978011383</v>
      </c>
      <c r="AX74" s="61">
        <f>X74/('Summed emissions'!$D74*100)*1000</f>
        <v>5.2245391959804381</v>
      </c>
      <c r="AY74" s="19">
        <f>Y74/('Summed emissions'!$D74*100)*1000</f>
        <v>5.0306906250271313</v>
      </c>
      <c r="AZ74" s="72">
        <f>Z74/('Summed emissions'!$D74*100)*1000</f>
        <v>0.16173818718855879</v>
      </c>
      <c r="BA74" s="43" t="str">
        <f>IF(AB74="","",AB74/('Summed emissions'!$D74*100)*1000)</f>
        <v/>
      </c>
      <c r="BB74" s="43" t="str">
        <f>IF(AC74="","",AC74/('Summed emissions'!$D74*100)*1000)</f>
        <v/>
      </c>
      <c r="BC74" s="43" t="str">
        <f>IF(AD74="","",AD74/('Summed emissions'!$D74*100)*1000)</f>
        <v/>
      </c>
      <c r="BF74" s="188">
        <f>('Summed emissions'!AE74-'River loads'!Y74)/'Summed emissions'!AE74*100</f>
        <v>7.6604519618017468</v>
      </c>
      <c r="BG74" s="188">
        <f>('Summed emissions'!AR74-'River loads'!Z74)/'Summed emissions'!AR74*100</f>
        <v>14.005548978011383</v>
      </c>
      <c r="BH74" s="181">
        <f>'Summed emissions'!CV74*(100-'River loads'!BG74)/100</f>
        <v>1.2313561288457571</v>
      </c>
      <c r="BI74" s="181">
        <f t="shared" si="70"/>
        <v>0.93583065792277542</v>
      </c>
      <c r="BJ74" s="233"/>
      <c r="BK74" s="233"/>
      <c r="BM74" s="31">
        <f t="shared" si="71"/>
        <v>9.4016155307711947E-3</v>
      </c>
      <c r="BN74" s="31"/>
      <c r="BO74" s="231"/>
      <c r="BP74" s="31">
        <f>BM74/Parameters!$C$156</f>
        <v>1.4464023893494144E-2</v>
      </c>
      <c r="BQ74" s="305" t="s">
        <v>934</v>
      </c>
      <c r="BR74" s="237">
        <f>Basicinfo!CW74</f>
        <v>0.03</v>
      </c>
      <c r="BS74" s="237">
        <f t="shared" si="72"/>
        <v>0.48213412978313819</v>
      </c>
      <c r="BT74" s="237"/>
      <c r="BU74" s="31">
        <f t="shared" si="54"/>
        <v>1.8140588626861329E-2</v>
      </c>
      <c r="BV74" s="232"/>
      <c r="BW74" s="31">
        <f t="shared" si="55"/>
        <v>0.56424330409510559</v>
      </c>
      <c r="BX74" s="31"/>
      <c r="BY74" s="231"/>
      <c r="BZ74" s="147">
        <f t="shared" si="73"/>
        <v>0.76249095147987245</v>
      </c>
      <c r="CA74" s="305" t="s">
        <v>934</v>
      </c>
      <c r="CB74" s="231">
        <f>Basicinfo!CV74</f>
        <v>4</v>
      </c>
      <c r="CC74" s="147">
        <f t="shared" si="74"/>
        <v>0.19062273786996811</v>
      </c>
      <c r="CD74" s="147"/>
      <c r="CE74" s="233">
        <f>'Local emissions'!FC74/14*62</f>
        <v>3.0725000000000002</v>
      </c>
      <c r="CF74" s="233">
        <f>'Local emissions'!FD74/14*62</f>
        <v>3.5860151180448767</v>
      </c>
      <c r="CH74">
        <f t="shared" si="75"/>
        <v>0</v>
      </c>
      <c r="CI74">
        <f t="shared" si="76"/>
        <v>0</v>
      </c>
      <c r="CK74" s="276">
        <f>Basicinfo!EM74</f>
        <v>2</v>
      </c>
      <c r="CL74" s="276">
        <f>Basicinfo!EN74</f>
        <v>2</v>
      </c>
      <c r="CM74">
        <f t="shared" si="56"/>
        <v>2</v>
      </c>
      <c r="CN74">
        <f t="shared" si="57"/>
        <v>2</v>
      </c>
      <c r="CO74" s="31"/>
      <c r="CP74" s="31"/>
      <c r="CQ74" s="31"/>
      <c r="CR74" s="236"/>
      <c r="CS74" s="181"/>
      <c r="CT74" s="181"/>
      <c r="DI74" s="31"/>
      <c r="DJ74" s="233"/>
      <c r="DK74" s="233"/>
      <c r="DR74" s="236">
        <f t="shared" si="53"/>
        <v>3.0725000000000002</v>
      </c>
      <c r="DS74" s="236">
        <f t="shared" si="52"/>
        <v>3.5860151180448767</v>
      </c>
      <c r="DY74" s="31">
        <f>Basicinfo!EI74</f>
        <v>9.4209000000000011E-3</v>
      </c>
      <c r="DZ74" s="31">
        <f>Intermediate!CR74</f>
        <v>1.0966921092696716E-2</v>
      </c>
    </row>
    <row r="75" spans="1:130">
      <c r="A75" s="39" t="str">
        <f>Basicinfo!A75</f>
        <v>Patten</v>
      </c>
      <c r="B75" s="63">
        <f>Basicinfo!B75</f>
        <v>1460</v>
      </c>
      <c r="C75" s="63">
        <f>Basicinfo!C75</f>
        <v>4070</v>
      </c>
      <c r="D75" s="61">
        <f>IF(Intermediate!D75=0,0,Basicinfo!AP75*86400*365/(Intermediate!D75*1000000))</f>
        <v>199.53601197232584</v>
      </c>
      <c r="E75" s="19">
        <f>IF(Intermediate!E75=0,0,IF((Intermediate!E75-Basicinfo!AA75)&lt;0,0,'Summed emissions'!E75*86400*365/((Intermediate!E75-Basicinfo!AA75)*1000000)))</f>
        <v>0</v>
      </c>
      <c r="F75" s="19">
        <f>IF(Basicinfo!AA75=0,0,'Summed emissions'!E75*86400*365/(Basicinfo!AA75*1000000))</f>
        <v>0</v>
      </c>
      <c r="G75" s="19">
        <f>IF(D75=0,1,1/(1+Parameters!$C$138*EXP(Parameters!$C$139*Basicinfo!AQ75)*D75^Parameters!$C$140))</f>
        <v>0.96224539890468819</v>
      </c>
      <c r="H75" s="19">
        <f>IF(D75=0,1,1/(1+Parameters!$C$141*EXP(Parameters!$C$142*Basicinfo!AQ75)*D75^Parameters!$C$143))</f>
        <v>0.93368762369045988</v>
      </c>
      <c r="I75" s="161">
        <f>IF(Intermediate!AS75=0,1,IF(D75=0,1/(1+Parameters!$C$144*Intermediate!AS75^Parameters!$C$145),(1/(1+Parameters!$C$144*Intermediate!AS75^Parameters!$C$145)+1/(1+Parameters!$C$146*D75^Parameters!$C$147))/2))</f>
        <v>0.87474583098131697</v>
      </c>
      <c r="J75" s="19">
        <f>IF(E75=0,1,1/(1+Parameters!$C$138*EXP(Parameters!$C$139*Basicinfo!AQ75)*E75^Parameters!$C$140))</f>
        <v>1</v>
      </c>
      <c r="K75" s="19">
        <f>IF(E75=0,1,1/(1+Parameters!$C$141*EXP(Parameters!$C$142*Basicinfo!AQ75)*E75^Parameters!$C$143))</f>
        <v>1</v>
      </c>
      <c r="L75" s="19">
        <f>IF(E75=0,1,1/(1+Parameters!$C$146*E75^Parameters!$C$147))</f>
        <v>1</v>
      </c>
      <c r="M75" s="53">
        <f>IF(F75=0,1,1/(1+Parameters!$C$138*EXP(Parameters!$C$139*Basicinfo!AQ75)*F75^Parameters!$C$140))</f>
        <v>1</v>
      </c>
      <c r="N75" s="53">
        <f>IF(F75=0,1,1/(1+Parameters!$C$141*EXP(Parameters!$C$142*Basicinfo!AQ75)*F75^Parameters!$C$143))</f>
        <v>1</v>
      </c>
      <c r="O75" s="53">
        <f>IF(F75=0,1,1/(1+Parameters!$C$146*F75^Parameters!$C$147))</f>
        <v>1</v>
      </c>
      <c r="P75" s="64">
        <f>Basicinfo!CE75+Basicinfo!CJ75</f>
        <v>27.638053333333332</v>
      </c>
      <c r="Q75" s="86">
        <f>Parameters!$C$126*Intermediate!BB75*Basicinfo!P75/1000+Parameters!$C$127*Intermediate!BB75*Basicinfo!S75/1000</f>
        <v>1.4542226158381582</v>
      </c>
      <c r="R75" s="48">
        <f>'Local emissions'!AE75-P75-Q75</f>
        <v>177.8488833301696</v>
      </c>
      <c r="S75" s="48">
        <f>Basicinfo!CF75+Basicinfo!CK75</f>
        <v>4.3166666666666673</v>
      </c>
      <c r="T75" s="86">
        <f>'Local emissions'!AR75-S75</f>
        <v>5.6824533396399231</v>
      </c>
      <c r="U75" s="61">
        <f t="shared" si="58"/>
        <v>200.22654563396389</v>
      </c>
      <c r="V75" s="27">
        <f t="shared" si="59"/>
        <v>193.69335458588125</v>
      </c>
      <c r="W75" s="27">
        <f t="shared" si="60"/>
        <v>9.287369035262552</v>
      </c>
      <c r="X75" s="61">
        <f>U75+TN!CI75</f>
        <v>258.55514890909075</v>
      </c>
      <c r="Y75" s="27">
        <f>V75+DIN!CI75</f>
        <v>249.85776385911703</v>
      </c>
      <c r="Z75" s="27">
        <f>W75+TP!CI75</f>
        <v>11.093071356764472</v>
      </c>
      <c r="AA75" s="73">
        <f>'Summed emissions'!E75</f>
        <v>11.581260373571249</v>
      </c>
      <c r="AB75" s="131" t="str">
        <f>IF(Basicinfo!AR75="","",Basicinfo!AR75)</f>
        <v/>
      </c>
      <c r="AC75" s="131" t="str">
        <f>IF(Basicinfo!AS75="","",Basicinfo!AS75)</f>
        <v/>
      </c>
      <c r="AD75" s="131" t="str">
        <f>IF(Basicinfo!AT75="","",Basicinfo!AT75)</f>
        <v/>
      </c>
      <c r="AE75" s="174" t="str">
        <f t="shared" si="61"/>
        <v/>
      </c>
      <c r="AF75" s="19" t="str">
        <f t="shared" si="62"/>
        <v/>
      </c>
      <c r="AG75" s="27" t="str">
        <f t="shared" si="63"/>
        <v/>
      </c>
      <c r="AH75" s="56">
        <f>'Local emissions'!AE75-U75</f>
        <v>6.7146136453771987</v>
      </c>
      <c r="AI75" s="228">
        <f>'Local emissions'!AR75-W75</f>
        <v>0.71175097104403839</v>
      </c>
      <c r="AJ75" s="43">
        <f t="shared" si="64"/>
        <v>6.7146136453772041</v>
      </c>
      <c r="AK75" s="58">
        <f t="shared" si="65"/>
        <v>0.71175097104403873</v>
      </c>
      <c r="AL75" s="43">
        <f>TN!CI164</f>
        <v>0</v>
      </c>
      <c r="AM75" s="43">
        <f>TP!CI164</f>
        <v>0</v>
      </c>
      <c r="AN75" s="42">
        <f>TN!CI253+(AH75-AJ75)</f>
        <v>-5.3290705182007514E-15</v>
      </c>
      <c r="AO75" s="43">
        <f>TP!CI253+(AI75-AK75)</f>
        <v>-3.3306690738754696E-16</v>
      </c>
      <c r="AP75" s="42">
        <f t="shared" si="66"/>
        <v>6.7146136453771987</v>
      </c>
      <c r="AQ75" s="42">
        <f t="shared" si="67"/>
        <v>0.71175097104403839</v>
      </c>
      <c r="AR75" s="42">
        <f>AH75/'Local emissions'!AE75*100</f>
        <v>3.2446970282569194</v>
      </c>
      <c r="AS75" s="42">
        <f>AI75/'Local emissions'!AR75*100</f>
        <v>7.1181361019282363</v>
      </c>
      <c r="AT75" s="42">
        <f t="shared" si="68"/>
        <v>2.5312397390179306</v>
      </c>
      <c r="AU75" s="42">
        <f t="shared" si="69"/>
        <v>6.0293238752723388</v>
      </c>
      <c r="AV75" s="42">
        <f>('Summed emissions'!AE75-'River loads'!X75)/'Summed emissions'!AE75*100</f>
        <v>3.4395079423246626</v>
      </c>
      <c r="AW75" s="42">
        <f>('Summed emissions'!AR75-'River loads'!Z75)/'Summed emissions'!AR75*100</f>
        <v>8.3134600574037272</v>
      </c>
      <c r="AX75" s="61">
        <f>X75/('Summed emissions'!$D75*100)*1000</f>
        <v>6.9572943112142758</v>
      </c>
      <c r="AY75" s="19">
        <f>Y75/('Summed emissions'!$D75*100)*1000</f>
        <v>6.7232619672987504</v>
      </c>
      <c r="AZ75" s="72">
        <f>Z75/('Summed emissions'!$D75*100)*1000</f>
        <v>0.29849632687627337</v>
      </c>
      <c r="BA75" s="43" t="str">
        <f>IF(AB75="","",AB75/('Summed emissions'!$D75*100)*1000)</f>
        <v/>
      </c>
      <c r="BB75" s="43" t="str">
        <f>IF(AC75="","",AC75/('Summed emissions'!$D75*100)*1000)</f>
        <v/>
      </c>
      <c r="BC75" s="43" t="str">
        <f>IF(AD75="","",AD75/('Summed emissions'!$D75*100)*1000)</f>
        <v/>
      </c>
      <c r="BF75" s="188">
        <f>('Summed emissions'!AE75-'River loads'!Y75)/'Summed emissions'!AE75*100</f>
        <v>6.6876497162709923</v>
      </c>
      <c r="BG75" s="188">
        <f>('Summed emissions'!AR75-'River loads'!Z75)/'Summed emissions'!AR75*100</f>
        <v>8.3134600574037272</v>
      </c>
      <c r="BH75" s="181">
        <f>'Summed emissions'!CV75*(100-'River loads'!BG75)/100</f>
        <v>8.9360247148671572</v>
      </c>
      <c r="BI75" s="181">
        <f t="shared" si="70"/>
        <v>6.7913787832990398</v>
      </c>
      <c r="BJ75" s="233"/>
      <c r="BK75" s="233"/>
      <c r="BM75" s="31">
        <f t="shared" si="71"/>
        <v>1.8594971665847931E-2</v>
      </c>
      <c r="BN75" s="31"/>
      <c r="BO75" s="231"/>
      <c r="BP75" s="31">
        <f>BM75/Parameters!$C$156</f>
        <v>2.8607648716689124E-2</v>
      </c>
      <c r="BQ75" s="305" t="s">
        <v>934</v>
      </c>
      <c r="BR75" s="237">
        <f>Basicinfo!CW75</f>
        <v>0.03</v>
      </c>
      <c r="BS75" s="237">
        <f t="shared" si="72"/>
        <v>0.95358829055630412</v>
      </c>
      <c r="BT75" s="237"/>
      <c r="BU75" s="31">
        <f t="shared" si="54"/>
        <v>3.0373117764175495E-2</v>
      </c>
      <c r="BV75" s="232"/>
      <c r="BW75" s="31">
        <f t="shared" si="55"/>
        <v>0.68411705306112736</v>
      </c>
      <c r="BX75" s="31"/>
      <c r="BY75" s="231"/>
      <c r="BZ75" s="147">
        <f t="shared" si="73"/>
        <v>0.92448250413665856</v>
      </c>
      <c r="CA75" s="305" t="s">
        <v>934</v>
      </c>
      <c r="CB75" s="231">
        <f>Basicinfo!CV75</f>
        <v>4</v>
      </c>
      <c r="CC75" s="147">
        <f t="shared" si="74"/>
        <v>0.23112062603416464</v>
      </c>
      <c r="CD75" s="147"/>
      <c r="CE75" s="233">
        <f>'Local emissions'!FC75/14*62</f>
        <v>3.9987500000000002</v>
      </c>
      <c r="CF75" s="233">
        <f>'Local emissions'!FD75/14*62</f>
        <v>3.040366154980604</v>
      </c>
      <c r="CH75">
        <f t="shared" si="75"/>
        <v>0</v>
      </c>
      <c r="CI75">
        <f t="shared" si="76"/>
        <v>0</v>
      </c>
      <c r="CK75" s="276">
        <f>Basicinfo!EM75</f>
        <v>2</v>
      </c>
      <c r="CL75" s="276">
        <f>Basicinfo!EN75</f>
        <v>2</v>
      </c>
      <c r="CM75">
        <f t="shared" si="56"/>
        <v>2</v>
      </c>
      <c r="CN75">
        <f t="shared" si="57"/>
        <v>2</v>
      </c>
      <c r="CO75" s="31"/>
      <c r="CP75" s="31"/>
      <c r="CQ75" s="31"/>
      <c r="CR75" s="236"/>
      <c r="CS75" s="181"/>
      <c r="CT75" s="181"/>
      <c r="DI75" s="31" t="e">
        <f>#REF!</f>
        <v>#REF!</v>
      </c>
      <c r="DJ75" s="233"/>
      <c r="DK75" s="233"/>
      <c r="DR75" s="236">
        <f t="shared" si="53"/>
        <v>3.9987500000000002</v>
      </c>
      <c r="DS75" s="236">
        <f t="shared" si="52"/>
        <v>3.040366154980604</v>
      </c>
      <c r="DY75" s="31">
        <f>Basicinfo!EI75</f>
        <v>1.9541135526315794E-2</v>
      </c>
      <c r="DZ75" s="31">
        <f>Intermediate!CR75</f>
        <v>8.1234506068629617E-3</v>
      </c>
    </row>
    <row r="76" spans="1:130">
      <c r="A76" s="39" t="str">
        <f>Basicinfo!A76</f>
        <v>Erzbach</v>
      </c>
      <c r="B76" s="63">
        <f>Basicinfo!B76</f>
        <v>1470</v>
      </c>
      <c r="C76" s="63">
        <f>Basicinfo!C76</f>
        <v>4070</v>
      </c>
      <c r="D76" s="61">
        <f>IF(Intermediate!D76=0,0,Basicinfo!AP76*86400*365/(Intermediate!D76*1000000))</f>
        <v>179.05171955248741</v>
      </c>
      <c r="E76" s="19">
        <f>IF(Intermediate!E76=0,0,IF((Intermediate!E76-Basicinfo!AA76)&lt;0,0,'Summed emissions'!E76*86400*365/((Intermediate!E76-Basicinfo!AA76)*1000000)))</f>
        <v>0</v>
      </c>
      <c r="F76" s="19">
        <f>IF(Basicinfo!AA76=0,0,'Summed emissions'!E76*86400*365/(Basicinfo!AA76*1000000))</f>
        <v>0</v>
      </c>
      <c r="G76" s="19">
        <f>IF(D76=0,1,1/(1+Parameters!$C$138*EXP(Parameters!$C$139*Basicinfo!AQ76)*D76^Parameters!$C$140))</f>
        <v>0.95745185527090537</v>
      </c>
      <c r="H76" s="19">
        <f>IF(D76=0,1,1/(1+Parameters!$C$141*EXP(Parameters!$C$142*Basicinfo!AQ76)*D76^Parameters!$C$143))</f>
        <v>0.92554876049392931</v>
      </c>
      <c r="I76" s="161">
        <f>IF(Intermediate!AS76=0,1,IF(D76=0,1/(1+Parameters!$C$144*Intermediate!AS76^Parameters!$C$145),(1/(1+Parameters!$C$144*Intermediate!AS76^Parameters!$C$145)+1/(1+Parameters!$C$146*D76^Parameters!$C$147))/2))</f>
        <v>0.87892319854327461</v>
      </c>
      <c r="J76" s="19">
        <f>IF(E76=0,1,1/(1+Parameters!$C$138*EXP(Parameters!$C$139*Basicinfo!AQ76)*E76^Parameters!$C$140))</f>
        <v>1</v>
      </c>
      <c r="K76" s="19">
        <f>IF(E76=0,1,1/(1+Parameters!$C$141*EXP(Parameters!$C$142*Basicinfo!AQ76)*E76^Parameters!$C$143))</f>
        <v>1</v>
      </c>
      <c r="L76" s="19">
        <f>IF(E76=0,1,1/(1+Parameters!$C$146*E76^Parameters!$C$147))</f>
        <v>1</v>
      </c>
      <c r="M76" s="53">
        <f>IF(F76=0,1,1/(1+Parameters!$C$138*EXP(Parameters!$C$139*Basicinfo!AQ76)*F76^Parameters!$C$140))</f>
        <v>1</v>
      </c>
      <c r="N76" s="53">
        <f>IF(F76=0,1,1/(1+Parameters!$C$141*EXP(Parameters!$C$142*Basicinfo!AQ76)*F76^Parameters!$C$143))</f>
        <v>1</v>
      </c>
      <c r="O76" s="53">
        <f>IF(F76=0,1,1/(1+Parameters!$C$146*F76^Parameters!$C$147))</f>
        <v>1</v>
      </c>
      <c r="P76" s="64">
        <f>Basicinfo!CE76+Basicinfo!CJ76</f>
        <v>0</v>
      </c>
      <c r="Q76" s="86">
        <f>Parameters!$C$126*Intermediate!BB76*Basicinfo!P76/1000+Parameters!$C$127*Intermediate!BB76*Basicinfo!S76/1000</f>
        <v>1.5348477201328131E-2</v>
      </c>
      <c r="R76" s="48">
        <f>'Local emissions'!AE76-P76-Q76</f>
        <v>258.32780152642999</v>
      </c>
      <c r="S76" s="48">
        <f>Basicinfo!CF76+Basicinfo!CK76</f>
        <v>0</v>
      </c>
      <c r="T76" s="86">
        <f>'Local emissions'!AR76-S76</f>
        <v>4.3531913139088099</v>
      </c>
      <c r="U76" s="61">
        <f t="shared" si="58"/>
        <v>247.35178131673592</v>
      </c>
      <c r="V76" s="27">
        <f t="shared" si="59"/>
        <v>239.09497650390907</v>
      </c>
      <c r="W76" s="27">
        <f t="shared" si="60"/>
        <v>3.8261208334915313</v>
      </c>
      <c r="X76" s="61">
        <f>U76+TN!CI76</f>
        <v>247.35178131673592</v>
      </c>
      <c r="Y76" s="27">
        <f>V76+DIN!CI76</f>
        <v>239.09497650390907</v>
      </c>
      <c r="Z76" s="27">
        <f>W76+TP!CI76</f>
        <v>3.8261208334915313</v>
      </c>
      <c r="AA76" s="73">
        <f>'Summed emissions'!E76</f>
        <v>9.8404752907949007</v>
      </c>
      <c r="AB76" s="131" t="str">
        <f>IF(Basicinfo!AR76="","",Basicinfo!AR76)</f>
        <v/>
      </c>
      <c r="AC76" s="131" t="str">
        <f>IF(Basicinfo!AS76="","",Basicinfo!AS76)</f>
        <v/>
      </c>
      <c r="AD76" s="131" t="str">
        <f>IF(Basicinfo!AT76="","",Basicinfo!AT76)</f>
        <v/>
      </c>
      <c r="AE76" s="174" t="str">
        <f t="shared" si="61"/>
        <v/>
      </c>
      <c r="AF76" s="19" t="str">
        <f t="shared" si="62"/>
        <v/>
      </c>
      <c r="AG76" s="27" t="str">
        <f t="shared" si="63"/>
        <v/>
      </c>
      <c r="AH76" s="56">
        <f>'Local emissions'!AE76-U76</f>
        <v>10.991368686895385</v>
      </c>
      <c r="AI76" s="228">
        <f>'Local emissions'!AR76-W76</f>
        <v>0.52707048041727855</v>
      </c>
      <c r="AJ76" s="43">
        <f t="shared" si="64"/>
        <v>10.991368686895376</v>
      </c>
      <c r="AK76" s="58">
        <f t="shared" si="65"/>
        <v>0.52707048041727855</v>
      </c>
      <c r="AL76" s="43">
        <f>TN!CI165</f>
        <v>0</v>
      </c>
      <c r="AM76" s="43">
        <f>TP!CI165</f>
        <v>0</v>
      </c>
      <c r="AN76" s="42">
        <f>TN!CI254+(AH76-AJ76)</f>
        <v>8.8817841970012523E-15</v>
      </c>
      <c r="AO76" s="43">
        <f>TP!CI254+(AI76-AK76)</f>
        <v>0</v>
      </c>
      <c r="AP76" s="42">
        <f t="shared" si="66"/>
        <v>10.991368686895385</v>
      </c>
      <c r="AQ76" s="42">
        <f t="shared" si="67"/>
        <v>0.52707048041727855</v>
      </c>
      <c r="AR76" s="42">
        <f>AH76/'Local emissions'!AE76*100</f>
        <v>4.2545616892651843</v>
      </c>
      <c r="AS76" s="42">
        <f>AI76/'Local emissions'!AR76*100</f>
        <v>12.107680145672541</v>
      </c>
      <c r="AT76" s="42">
        <f t="shared" si="68"/>
        <v>4.2545616892651843</v>
      </c>
      <c r="AU76" s="42">
        <f t="shared" si="69"/>
        <v>12.107680145672541</v>
      </c>
      <c r="AV76" s="42">
        <f>('Summed emissions'!AE76-'River loads'!X76)/'Summed emissions'!AE76*100</f>
        <v>4.2545616892651843</v>
      </c>
      <c r="AW76" s="42">
        <f>('Summed emissions'!AR76-'River loads'!Z76)/'Summed emissions'!AR76*100</f>
        <v>12.107680145672541</v>
      </c>
      <c r="AX76" s="61">
        <f>X76/('Summed emissions'!$D76*100)*1000</f>
        <v>9.6997741014578693</v>
      </c>
      <c r="AY76" s="19">
        <f>Y76/('Summed emissions'!$D76*100)*1000</f>
        <v>9.3759877068020092</v>
      </c>
      <c r="AZ76" s="72">
        <f>Z76/('Summed emissions'!$D76*100)*1000</f>
        <v>0.15003937943032919</v>
      </c>
      <c r="BA76" s="43" t="str">
        <f>IF(AB76="","",AB76/('Summed emissions'!$D76*100)*1000)</f>
        <v/>
      </c>
      <c r="BB76" s="43" t="str">
        <f>IF(AC76="","",AC76/('Summed emissions'!$D76*100)*1000)</f>
        <v/>
      </c>
      <c r="BC76" s="43" t="str">
        <f>IF(AD76="","",AD76/('Summed emissions'!$D76*100)*1000)</f>
        <v/>
      </c>
      <c r="BF76" s="188">
        <f>('Summed emissions'!AE76-'River loads'!Y76)/'Summed emissions'!AE76*100</f>
        <v>7.4506227470911028</v>
      </c>
      <c r="BG76" s="188">
        <f>('Summed emissions'!AR76-'River loads'!Z76)/'Summed emissions'!AR76*100</f>
        <v>12.107680145672541</v>
      </c>
      <c r="BH76" s="181">
        <f>'Summed emissions'!CV76*(100-'River loads'!BG76)/100</f>
        <v>2.1811345368008608</v>
      </c>
      <c r="BI76" s="181">
        <f t="shared" si="70"/>
        <v>1.6576622479686542</v>
      </c>
      <c r="BJ76" s="233"/>
      <c r="BK76" s="233"/>
      <c r="BM76" s="31">
        <f t="shared" si="71"/>
        <v>5.3416246176234798E-3</v>
      </c>
      <c r="BN76" s="31"/>
      <c r="BO76" s="231"/>
      <c r="BP76" s="31">
        <f>BM76/Parameters!$C$156</f>
        <v>8.2178840271130461E-3</v>
      </c>
      <c r="BQ76" s="305" t="s">
        <v>934</v>
      </c>
      <c r="BR76" s="237">
        <f>Basicinfo!CW76</f>
        <v>0.03</v>
      </c>
      <c r="BS76" s="237">
        <f t="shared" si="72"/>
        <v>0.2739294675704349</v>
      </c>
      <c r="BT76" s="237"/>
      <c r="BU76" s="31">
        <f t="shared" si="54"/>
        <v>1.2329231276893326E-2</v>
      </c>
      <c r="BV76" s="232"/>
      <c r="BW76" s="31">
        <f t="shared" si="55"/>
        <v>0.77045587182096376</v>
      </c>
      <c r="BX76" s="31"/>
      <c r="BY76" s="231"/>
      <c r="BZ76" s="147">
        <f t="shared" si="73"/>
        <v>1.0411565835418428</v>
      </c>
      <c r="CA76" s="305" t="s">
        <v>934</v>
      </c>
      <c r="CB76" s="231">
        <f>Basicinfo!CV76</f>
        <v>5.5</v>
      </c>
      <c r="CC76" s="147">
        <f t="shared" si="74"/>
        <v>0.18930119700760778</v>
      </c>
      <c r="CD76" s="147"/>
      <c r="CE76" s="233">
        <f>'Local emissions'!FC76/14*62</f>
        <v>3.28</v>
      </c>
      <c r="CF76" s="233">
        <f>'Local emissions'!FD76/14*62</f>
        <v>3.9716549715688876</v>
      </c>
      <c r="CH76">
        <f t="shared" si="75"/>
        <v>0</v>
      </c>
      <c r="CI76">
        <f t="shared" si="76"/>
        <v>0</v>
      </c>
      <c r="CK76" s="276">
        <f>Basicinfo!EM76</f>
        <v>2</v>
      </c>
      <c r="CL76" s="276">
        <f>Basicinfo!EN76</f>
        <v>2</v>
      </c>
      <c r="CM76">
        <f t="shared" si="56"/>
        <v>2</v>
      </c>
      <c r="CN76">
        <f t="shared" si="57"/>
        <v>2</v>
      </c>
      <c r="CO76" s="31"/>
      <c r="CP76" s="31"/>
      <c r="CQ76" s="31"/>
      <c r="CR76" s="236"/>
      <c r="CS76" s="181"/>
      <c r="CT76" s="181"/>
      <c r="DI76" s="31"/>
      <c r="DJ76" s="233"/>
      <c r="DK76" s="233"/>
      <c r="DR76" s="236">
        <f t="shared" si="53"/>
        <v>3.28</v>
      </c>
      <c r="DS76" s="236">
        <f t="shared" si="52"/>
        <v>3.9716549715688876</v>
      </c>
      <c r="DY76" s="31">
        <f>Basicinfo!EI76</f>
        <v>1.0688364912280699E-2</v>
      </c>
      <c r="DZ76" s="31">
        <f>Intermediate!CR76</f>
        <v>1.13708103028407E-3</v>
      </c>
    </row>
    <row r="77" spans="1:130">
      <c r="A77" s="39" t="str">
        <f>Basicinfo!A77</f>
        <v>Aschbach</v>
      </c>
      <c r="B77" s="63">
        <f>Basicinfo!B77</f>
        <v>1480</v>
      </c>
      <c r="C77" s="63">
        <f>Basicinfo!C77</f>
        <v>1510</v>
      </c>
      <c r="D77" s="61">
        <f>IF(Intermediate!D77=0,0,Basicinfo!AP77*86400*365/(Intermediate!D77*1000000))</f>
        <v>383.04042190121226</v>
      </c>
      <c r="E77" s="19">
        <f>IF(Intermediate!E77=0,0,IF((Intermediate!E77-Basicinfo!AA77)&lt;0,0,'Summed emissions'!E77*86400*365/((Intermediate!E77-Basicinfo!AA77)*1000000)))</f>
        <v>0</v>
      </c>
      <c r="F77" s="19">
        <f>IF(Basicinfo!AA77=0,0,'Summed emissions'!E77*86400*365/(Basicinfo!AA77*1000000))</f>
        <v>0</v>
      </c>
      <c r="G77" s="19">
        <f>IF(D77=0,1,1/(1+Parameters!$C$138*EXP(Parameters!$C$139*Basicinfo!AQ77)*D77^Parameters!$C$140))</f>
        <v>0.97942765078301319</v>
      </c>
      <c r="H77" s="19">
        <f>IF(D77=0,1,1/(1+Parameters!$C$141*EXP(Parameters!$C$142*Basicinfo!AQ77)*D77^Parameters!$C$143))</f>
        <v>0.96337189539434853</v>
      </c>
      <c r="I77" s="161">
        <f>IF(Intermediate!AS77=0,1,IF(D77=0,1/(1+Parameters!$C$144*Intermediate!AS77^Parameters!$C$145),(1/(1+Parameters!$C$144*Intermediate!AS77^Parameters!$C$145)+1/(1+Parameters!$C$146*D77^Parameters!$C$147))/2))</f>
        <v>0.88555198579485739</v>
      </c>
      <c r="J77" s="19">
        <f>IF(E77=0,1,1/(1+Parameters!$C$138*EXP(Parameters!$C$139*Basicinfo!AQ77)*E77^Parameters!$C$140))</f>
        <v>1</v>
      </c>
      <c r="K77" s="19">
        <f>IF(E77=0,1,1/(1+Parameters!$C$141*EXP(Parameters!$C$142*Basicinfo!AQ77)*E77^Parameters!$C$143))</f>
        <v>1</v>
      </c>
      <c r="L77" s="19">
        <f>IF(E77=0,1,1/(1+Parameters!$C$146*E77^Parameters!$C$147))</f>
        <v>1</v>
      </c>
      <c r="M77" s="53">
        <f>IF(F77=0,1,1/(1+Parameters!$C$138*EXP(Parameters!$C$139*Basicinfo!AQ77)*F77^Parameters!$C$140))</f>
        <v>1</v>
      </c>
      <c r="N77" s="53">
        <f>IF(F77=0,1,1/(1+Parameters!$C$141*EXP(Parameters!$C$142*Basicinfo!AQ77)*F77^Parameters!$C$143))</f>
        <v>1</v>
      </c>
      <c r="O77" s="53">
        <f>IF(F77=0,1,1/(1+Parameters!$C$146*F77^Parameters!$C$147))</f>
        <v>1</v>
      </c>
      <c r="P77" s="64">
        <f>Basicinfo!CE77+Basicinfo!CJ77</f>
        <v>0</v>
      </c>
      <c r="Q77" s="86">
        <f>Parameters!$C$126*Intermediate!BB77*Basicinfo!P77/1000+Parameters!$C$127*Intermediate!BB77*Basicinfo!S77/1000</f>
        <v>0</v>
      </c>
      <c r="R77" s="48">
        <f>'Local emissions'!AE77-P77-Q77</f>
        <v>105.22420341987811</v>
      </c>
      <c r="S77" s="48">
        <f>Basicinfo!CF77+Basicinfo!CK77</f>
        <v>0</v>
      </c>
      <c r="T77" s="86">
        <f>'Local emissions'!AR77-S77</f>
        <v>0.95751224775822674</v>
      </c>
      <c r="U77" s="61">
        <f t="shared" si="58"/>
        <v>103.05949436104513</v>
      </c>
      <c r="V77" s="27">
        <f t="shared" si="59"/>
        <v>101.37004028996846</v>
      </c>
      <c r="W77" s="27">
        <f t="shared" si="60"/>
        <v>0.84792687242519516</v>
      </c>
      <c r="X77" s="61">
        <f>U77+TN!CI77</f>
        <v>103.05949436104513</v>
      </c>
      <c r="Y77" s="27">
        <f>V77+DIN!CI77</f>
        <v>101.37004028996846</v>
      </c>
      <c r="Z77" s="27">
        <f>W77+TP!CI77</f>
        <v>0.84792687242519516</v>
      </c>
      <c r="AA77" s="73">
        <f>'Summed emissions'!E77</f>
        <v>2.91064352195446</v>
      </c>
      <c r="AB77" s="131" t="str">
        <f>IF(Basicinfo!AR77="","",Basicinfo!AR77)</f>
        <v/>
      </c>
      <c r="AC77" s="131" t="str">
        <f>IF(Basicinfo!AS77="","",Basicinfo!AS77)</f>
        <v/>
      </c>
      <c r="AD77" s="131" t="str">
        <f>IF(Basicinfo!AT77="","",Basicinfo!AT77)</f>
        <v/>
      </c>
      <c r="AE77" s="174" t="str">
        <f t="shared" si="61"/>
        <v/>
      </c>
      <c r="AF77" s="19" t="str">
        <f t="shared" si="62"/>
        <v/>
      </c>
      <c r="AG77" s="27" t="str">
        <f t="shared" si="63"/>
        <v/>
      </c>
      <c r="AH77" s="56">
        <f>'Local emissions'!AE77-U77</f>
        <v>2.1647090588329831</v>
      </c>
      <c r="AI77" s="228">
        <f>'Local emissions'!AR77-W77</f>
        <v>0.10958537533303159</v>
      </c>
      <c r="AJ77" s="43">
        <f t="shared" si="64"/>
        <v>2.1647090588329898</v>
      </c>
      <c r="AK77" s="58">
        <f t="shared" si="65"/>
        <v>0.10958537533303156</v>
      </c>
      <c r="AL77" s="43">
        <f>TN!CI166</f>
        <v>0</v>
      </c>
      <c r="AM77" s="43">
        <f>TP!CI166</f>
        <v>0</v>
      </c>
      <c r="AN77" s="42">
        <f>TN!CI255+(AH77-AJ77)</f>
        <v>-6.6613381477509392E-15</v>
      </c>
      <c r="AO77" s="43">
        <f>TP!CI255+(AI77-AK77)</f>
        <v>2.7755575615628914E-17</v>
      </c>
      <c r="AP77" s="42">
        <f t="shared" si="66"/>
        <v>2.1647090588329831</v>
      </c>
      <c r="AQ77" s="42">
        <f t="shared" si="67"/>
        <v>0.10958537533303159</v>
      </c>
      <c r="AR77" s="42">
        <f>AH77/'Local emissions'!AE77*100</f>
        <v>2.0572349216986741</v>
      </c>
      <c r="AS77" s="42">
        <f>AI77/'Local emissions'!AR77*100</f>
        <v>11.444801420514263</v>
      </c>
      <c r="AT77" s="42">
        <f t="shared" si="68"/>
        <v>2.0572349216986741</v>
      </c>
      <c r="AU77" s="42">
        <f t="shared" si="69"/>
        <v>11.444801420514263</v>
      </c>
      <c r="AV77" s="42">
        <f>('Summed emissions'!AE77-'River loads'!X77)/'Summed emissions'!AE77*100</f>
        <v>2.0572349216986741</v>
      </c>
      <c r="AW77" s="42">
        <f>('Summed emissions'!AR77-'River loads'!Z77)/'Summed emissions'!AR77*100</f>
        <v>11.444801420514263</v>
      </c>
      <c r="AX77" s="61">
        <f>X77/('Summed emissions'!$D77*100)*1000</f>
        <v>9.0238125460560425</v>
      </c>
      <c r="AY77" s="19">
        <f>Y77/('Summed emissions'!$D77*100)*1000</f>
        <v>8.8758852062501781</v>
      </c>
      <c r="AZ77" s="72">
        <f>Z77/('Summed emissions'!$D77*100)*1000</f>
        <v>7.4243845236841161E-2</v>
      </c>
      <c r="BA77" s="43" t="str">
        <f>IF(AB77="","",AB77/('Summed emissions'!$D77*100)*1000)</f>
        <v/>
      </c>
      <c r="BB77" s="43" t="str">
        <f>IF(AC77="","",AC77/('Summed emissions'!$D77*100)*1000)</f>
        <v/>
      </c>
      <c r="BC77" s="43" t="str">
        <f>IF(AD77="","",AD77/('Summed emissions'!$D77*100)*1000)</f>
        <v/>
      </c>
      <c r="BF77" s="188">
        <f>('Summed emissions'!AE77-'River loads'!Y77)/'Summed emissions'!AE77*100</f>
        <v>3.662810460565153</v>
      </c>
      <c r="BG77" s="188">
        <f>('Summed emissions'!AR77-'River loads'!Z77)/'Summed emissions'!AR77*100</f>
        <v>11.444801420514263</v>
      </c>
      <c r="BH77" s="181">
        <f>'Summed emissions'!CV77*(100-'River loads'!BG77)/100</f>
        <v>0.31325564373412917</v>
      </c>
      <c r="BI77" s="181">
        <f t="shared" si="70"/>
        <v>0.23807428923793816</v>
      </c>
      <c r="BJ77" s="233"/>
      <c r="BK77" s="233"/>
      <c r="BM77" s="31">
        <f t="shared" si="71"/>
        <v>2.593682851051569E-3</v>
      </c>
      <c r="BN77" s="31"/>
      <c r="BO77" s="231"/>
      <c r="BP77" s="31">
        <f>BM77/Parameters!$C$156</f>
        <v>3.9902813093101062E-3</v>
      </c>
      <c r="BQ77" s="305" t="s">
        <v>934</v>
      </c>
      <c r="BR77" s="237">
        <f>Basicinfo!CW77</f>
        <v>0.03</v>
      </c>
      <c r="BS77" s="237">
        <f t="shared" si="72"/>
        <v>0.13300937697700355</v>
      </c>
      <c r="BT77" s="237"/>
      <c r="BU77" s="31">
        <f t="shared" si="54"/>
        <v>9.2376770082762856E-3</v>
      </c>
      <c r="BV77" s="232"/>
      <c r="BW77" s="31">
        <f t="shared" si="55"/>
        <v>1.1043684555442539</v>
      </c>
      <c r="BX77" s="31"/>
      <c r="BY77" s="231"/>
      <c r="BZ77" s="147">
        <f t="shared" si="73"/>
        <v>1.4923898047895323</v>
      </c>
      <c r="CA77" s="305" t="s">
        <v>934</v>
      </c>
      <c r="CB77" s="231">
        <f>Basicinfo!CV77</f>
        <v>5.5</v>
      </c>
      <c r="CC77" s="147">
        <f t="shared" si="74"/>
        <v>0.27134360087082404</v>
      </c>
      <c r="CD77" s="147"/>
      <c r="CE77" s="233">
        <f>'Local emissions'!FC77/14*62</f>
        <v>6.33</v>
      </c>
      <c r="CF77" s="233">
        <f>'Local emissions'!FD77/14*62</f>
        <v>6.3247636685719497</v>
      </c>
      <c r="CH77">
        <f t="shared" si="75"/>
        <v>0</v>
      </c>
      <c r="CI77">
        <f t="shared" si="76"/>
        <v>0</v>
      </c>
      <c r="CK77" s="276">
        <f>Basicinfo!EM77</f>
        <v>2</v>
      </c>
      <c r="CL77" s="276">
        <f>Basicinfo!EN77</f>
        <v>2</v>
      </c>
      <c r="CM77">
        <f t="shared" si="56"/>
        <v>2</v>
      </c>
      <c r="CN77">
        <f t="shared" si="57"/>
        <v>2</v>
      </c>
      <c r="CO77" s="31"/>
      <c r="CP77" s="31"/>
      <c r="CQ77" s="31"/>
      <c r="CR77" s="236"/>
      <c r="CS77" s="181"/>
      <c r="CT77" s="181"/>
      <c r="DI77" s="31"/>
      <c r="DJ77" s="233"/>
      <c r="DK77" s="233"/>
      <c r="DR77" s="236">
        <f t="shared" si="53"/>
        <v>6.33</v>
      </c>
      <c r="DS77" s="236">
        <f t="shared" si="52"/>
        <v>6.3247636685719497</v>
      </c>
      <c r="DY77" s="31">
        <f>Basicinfo!EI77</f>
        <v>4.3553368421052627E-3</v>
      </c>
      <c r="DZ77" s="31">
        <f>Intermediate!CR77</f>
        <v>3.4710265082643181E-3</v>
      </c>
    </row>
    <row r="78" spans="1:130">
      <c r="A78" s="39" t="str">
        <f>Basicinfo!A78</f>
        <v>Lassingbach</v>
      </c>
      <c r="B78" s="63">
        <f>Basicinfo!B78</f>
        <v>1490</v>
      </c>
      <c r="C78" s="63">
        <f>Basicinfo!C78</f>
        <v>1500</v>
      </c>
      <c r="D78" s="61">
        <f>IF(Intermediate!D78=0,0,Basicinfo!AP78*86400*365/(Intermediate!D78*1000000))</f>
        <v>193.77496033587792</v>
      </c>
      <c r="E78" s="19">
        <f>IF(Intermediate!E78=0,0,IF((Intermediate!E78-Basicinfo!AA78)&lt;0,0,'Summed emissions'!E78*86400*365/((Intermediate!E78-Basicinfo!AA78)*1000000)))</f>
        <v>0</v>
      </c>
      <c r="F78" s="19">
        <f>IF(Basicinfo!AA78=0,0,'Summed emissions'!E78*86400*365/(Basicinfo!AA78*1000000))</f>
        <v>0</v>
      </c>
      <c r="G78" s="19">
        <f>IF(D78=0,1,1/(1+Parameters!$C$138*EXP(Parameters!$C$139*Basicinfo!AQ78)*D78^Parameters!$C$140))</f>
        <v>0.95879531664654172</v>
      </c>
      <c r="H78" s="19">
        <f>IF(D78=0,1,1/(1+Parameters!$C$141*EXP(Parameters!$C$142*Basicinfo!AQ78)*D78^Parameters!$C$143))</f>
        <v>0.9278236275088334</v>
      </c>
      <c r="I78" s="161">
        <f>IF(Intermediate!AS78=0,1,IF(D78=0,1/(1+Parameters!$C$144*Intermediate!AS78^Parameters!$C$145),(1/(1+Parameters!$C$144*Intermediate!AS78^Parameters!$C$145)+1/(1+Parameters!$C$146*D78^Parameters!$C$147))/2))</f>
        <v>0.88823709012683882</v>
      </c>
      <c r="J78" s="19">
        <f>IF(E78=0,1,1/(1+Parameters!$C$138*EXP(Parameters!$C$139*Basicinfo!AQ78)*E78^Parameters!$C$140))</f>
        <v>1</v>
      </c>
      <c r="K78" s="19">
        <f>IF(E78=0,1,1/(1+Parameters!$C$141*EXP(Parameters!$C$142*Basicinfo!AQ78)*E78^Parameters!$C$143))</f>
        <v>1</v>
      </c>
      <c r="L78" s="19">
        <f>IF(E78=0,1,1/(1+Parameters!$C$146*E78^Parameters!$C$147))</f>
        <v>1</v>
      </c>
      <c r="M78" s="53">
        <f>IF(F78=0,1,1/(1+Parameters!$C$138*EXP(Parameters!$C$139*Basicinfo!AQ78)*F78^Parameters!$C$140))</f>
        <v>1</v>
      </c>
      <c r="N78" s="53">
        <f>IF(F78=0,1,1/(1+Parameters!$C$141*EXP(Parameters!$C$142*Basicinfo!AQ78)*F78^Parameters!$C$143))</f>
        <v>1</v>
      </c>
      <c r="O78" s="53">
        <f>IF(F78=0,1,1/(1+Parameters!$C$146*F78^Parameters!$C$147))</f>
        <v>1</v>
      </c>
      <c r="P78" s="64">
        <f>Basicinfo!CE78+Basicinfo!CJ78</f>
        <v>0</v>
      </c>
      <c r="Q78" s="86">
        <f>Parameters!$C$126*Intermediate!BB78*Basicinfo!P78/1000+Parameters!$C$127*Intermediate!BB78*Basicinfo!S78/1000</f>
        <v>0.22058871211842299</v>
      </c>
      <c r="R78" s="48">
        <f>'Local emissions'!AE78-P78-Q78</f>
        <v>114.26431600628507</v>
      </c>
      <c r="S78" s="48">
        <f>Basicinfo!CF78+Basicinfo!CK78</f>
        <v>0</v>
      </c>
      <c r="T78" s="86">
        <f>'Local emissions'!AR78-S78</f>
        <v>0.83557543824521474</v>
      </c>
      <c r="U78" s="61">
        <f t="shared" si="58"/>
        <v>109.77667975876503</v>
      </c>
      <c r="V78" s="27">
        <f t="shared" si="59"/>
        <v>106.01713217176707</v>
      </c>
      <c r="W78" s="27">
        <f t="shared" si="60"/>
        <v>0.74218909584838766</v>
      </c>
      <c r="X78" s="61">
        <f>U78+TN!CI78</f>
        <v>109.77667975876503</v>
      </c>
      <c r="Y78" s="27">
        <f>V78+DIN!CI78</f>
        <v>106.01713217176707</v>
      </c>
      <c r="Z78" s="27">
        <f>W78+TP!CI78</f>
        <v>0.74218909584838766</v>
      </c>
      <c r="AA78" s="73">
        <f>'Summed emissions'!E78</f>
        <v>4.5282511779965295</v>
      </c>
      <c r="AB78" s="131" t="str">
        <f>IF(Basicinfo!AR78="","",Basicinfo!AR78)</f>
        <v/>
      </c>
      <c r="AC78" s="131" t="str">
        <f>IF(Basicinfo!AS78="","",Basicinfo!AS78)</f>
        <v/>
      </c>
      <c r="AD78" s="131" t="str">
        <f>IF(Basicinfo!AT78="","",Basicinfo!AT78)</f>
        <v/>
      </c>
      <c r="AE78" s="174" t="str">
        <f t="shared" si="61"/>
        <v/>
      </c>
      <c r="AF78" s="19" t="str">
        <f t="shared" si="62"/>
        <v/>
      </c>
      <c r="AG78" s="27" t="str">
        <f t="shared" si="63"/>
        <v/>
      </c>
      <c r="AH78" s="56">
        <f>'Local emissions'!AE78-U78</f>
        <v>4.7082249596384713</v>
      </c>
      <c r="AI78" s="228">
        <f>'Local emissions'!AR78-W78</f>
        <v>9.3386342396827082E-2</v>
      </c>
      <c r="AJ78" s="43">
        <f t="shared" si="64"/>
        <v>4.7082249596384713</v>
      </c>
      <c r="AK78" s="58">
        <f t="shared" si="65"/>
        <v>9.3386342396827082E-2</v>
      </c>
      <c r="AL78" s="43">
        <f>TN!CI167</f>
        <v>0</v>
      </c>
      <c r="AM78" s="43">
        <f>TP!CI167</f>
        <v>0</v>
      </c>
      <c r="AN78" s="42">
        <f>TN!CI256+(AH78-AJ78)</f>
        <v>0</v>
      </c>
      <c r="AO78" s="43">
        <f>TP!CI256+(AI78-AK78)</f>
        <v>0</v>
      </c>
      <c r="AP78" s="42">
        <f t="shared" si="66"/>
        <v>4.7082249596384713</v>
      </c>
      <c r="AQ78" s="42">
        <f t="shared" si="67"/>
        <v>9.3386342396827082E-2</v>
      </c>
      <c r="AR78" s="42">
        <f>AH78/'Local emissions'!AE78*100</f>
        <v>4.1125290458329067</v>
      </c>
      <c r="AS78" s="42">
        <f>AI78/'Local emissions'!AR78*100</f>
        <v>11.176290987316118</v>
      </c>
      <c r="AT78" s="42">
        <f t="shared" si="68"/>
        <v>4.1125290458329067</v>
      </c>
      <c r="AU78" s="42">
        <f t="shared" si="69"/>
        <v>11.176290987316118</v>
      </c>
      <c r="AV78" s="42">
        <f>('Summed emissions'!AE78-'River loads'!X78)/'Summed emissions'!AE78*100</f>
        <v>4.1125290458329067</v>
      </c>
      <c r="AW78" s="42">
        <f>('Summed emissions'!AR78-'River loads'!Z78)/'Summed emissions'!AR78*100</f>
        <v>11.176290987316118</v>
      </c>
      <c r="AX78" s="61">
        <f>X78/('Summed emissions'!$D78*100)*1000</f>
        <v>10.337024796390045</v>
      </c>
      <c r="AY78" s="19">
        <f>Y78/('Summed emissions'!$D78*100)*1000</f>
        <v>9.9830102942625718</v>
      </c>
      <c r="AZ78" s="72">
        <f>Z78/('Summed emissions'!$D78*100)*1000</f>
        <v>6.9887585453070916E-2</v>
      </c>
      <c r="BA78" s="43" t="str">
        <f>IF(AB78="","",AB78/('Summed emissions'!$D78*100)*1000)</f>
        <v/>
      </c>
      <c r="BB78" s="43" t="str">
        <f>IF(AC78="","",AC78/('Summed emissions'!$D78*100)*1000)</f>
        <v/>
      </c>
      <c r="BC78" s="43" t="str">
        <f>IF(AD78="","",AD78/('Summed emissions'!$D78*100)*1000)</f>
        <v/>
      </c>
      <c r="BF78" s="188">
        <f>('Summed emissions'!AE78-'River loads'!Y78)/'Summed emissions'!AE78*100</f>
        <v>7.3964096554602161</v>
      </c>
      <c r="BG78" s="188">
        <f>('Summed emissions'!AR78-'River loads'!Z78)/'Summed emissions'!AR78*100</f>
        <v>11.176290987316118</v>
      </c>
      <c r="BH78" s="181">
        <f>'Summed emissions'!CV78*(100-'River loads'!BG78)/100</f>
        <v>0.21274528137436208</v>
      </c>
      <c r="BI78" s="181">
        <f t="shared" si="70"/>
        <v>0.16168641384451518</v>
      </c>
      <c r="BJ78" s="233"/>
      <c r="BK78" s="233"/>
      <c r="BM78" s="31">
        <f t="shared" si="71"/>
        <v>1.1322345753529623E-3</v>
      </c>
      <c r="BN78" s="31"/>
      <c r="BO78" s="231"/>
      <c r="BP78" s="31">
        <f>BM78/Parameters!$C$156</f>
        <v>1.7418993466968651E-3</v>
      </c>
      <c r="BQ78" s="305" t="s">
        <v>934</v>
      </c>
      <c r="BR78" s="237">
        <f>Basicinfo!CW78</f>
        <v>0.03</v>
      </c>
      <c r="BS78" s="237">
        <f t="shared" si="72"/>
        <v>5.8063311556562171E-2</v>
      </c>
      <c r="BT78" s="237"/>
      <c r="BU78" s="31">
        <f t="shared" si="54"/>
        <v>5.1972960237561998E-3</v>
      </c>
      <c r="BV78" s="232"/>
      <c r="BW78" s="31">
        <f t="shared" si="55"/>
        <v>0.74240166363063598</v>
      </c>
      <c r="BX78" s="31"/>
      <c r="BY78" s="231"/>
      <c r="BZ78" s="147">
        <f t="shared" si="73"/>
        <v>1.0032454913927513</v>
      </c>
      <c r="CA78" s="305" t="s">
        <v>934</v>
      </c>
      <c r="CB78" s="231">
        <f>Basicinfo!CV78</f>
        <v>5.5</v>
      </c>
      <c r="CC78" s="147">
        <f t="shared" si="74"/>
        <v>0.18240827116231842</v>
      </c>
      <c r="CD78" s="147"/>
      <c r="CE78" s="233"/>
      <c r="CF78" s="233">
        <f>'Local emissions'!FD78/14*62</f>
        <v>3.8303674472932712</v>
      </c>
      <c r="CH78">
        <f t="shared" si="75"/>
        <v>0</v>
      </c>
      <c r="CI78">
        <f t="shared" si="76"/>
        <v>0</v>
      </c>
      <c r="CK78" s="276">
        <f>Basicinfo!EM78</f>
        <v>2</v>
      </c>
      <c r="CL78" s="276">
        <f>Basicinfo!EN78</f>
        <v>2</v>
      </c>
      <c r="CM78">
        <f t="shared" si="56"/>
        <v>2</v>
      </c>
      <c r="CN78">
        <f t="shared" si="57"/>
        <v>2</v>
      </c>
      <c r="CO78" s="31"/>
      <c r="CP78" s="31"/>
      <c r="CQ78" s="31"/>
      <c r="CR78" s="236"/>
      <c r="CS78" s="181"/>
      <c r="CT78" s="181"/>
      <c r="DI78" s="31"/>
      <c r="DJ78" s="233"/>
      <c r="DK78" s="233"/>
      <c r="DR78" s="236"/>
      <c r="DS78" s="236">
        <f t="shared" si="52"/>
        <v>3.8303674472932712</v>
      </c>
      <c r="DY78" s="31"/>
      <c r="DZ78" s="31">
        <f>Intermediate!CR78</f>
        <v>1.0691491143911087E-3</v>
      </c>
    </row>
    <row r="79" spans="1:130">
      <c r="A79" s="39" t="str">
        <f>Basicinfo!A79</f>
        <v>Salza</v>
      </c>
      <c r="B79" s="63">
        <f>Basicinfo!B79</f>
        <v>1500</v>
      </c>
      <c r="C79" s="63">
        <f>Basicinfo!C79</f>
        <v>1510</v>
      </c>
      <c r="D79" s="61">
        <f>IF(Intermediate!D79=0,0,Basicinfo!AP79*86400*365/(Intermediate!D79*1000000))</f>
        <v>197.01032282933863</v>
      </c>
      <c r="E79" s="19">
        <f>IF(Intermediate!E79=0,0,IF((Intermediate!E79-Basicinfo!AA79)&lt;0,0,'Summed emissions'!E79*86400*365/((Intermediate!E79-Basicinfo!AA79)*1000000)))</f>
        <v>0</v>
      </c>
      <c r="F79" s="19">
        <f>IF(Basicinfo!AA79=0,0,'Summed emissions'!E79*86400*365/(Basicinfo!AA79*1000000))</f>
        <v>0</v>
      </c>
      <c r="G79" s="19">
        <f>IF(D79=0,1,1/(1+Parameters!$C$138*EXP(Parameters!$C$139*Basicinfo!AQ79)*D79^Parameters!$C$140))</f>
        <v>0.95983858111343956</v>
      </c>
      <c r="H79" s="19">
        <f>IF(D79=0,1,1/(1+Parameters!$C$141*EXP(Parameters!$C$142*Basicinfo!AQ79)*D79^Parameters!$C$143))</f>
        <v>0.92959348277936871</v>
      </c>
      <c r="I79" s="161">
        <f>IF(Intermediate!AS79=0,1,IF(D79=0,1/(1+Parameters!$C$144*Intermediate!AS79^Parameters!$C$145),(1/(1+Parameters!$C$144*Intermediate!AS79^Parameters!$C$145)+1/(1+Parameters!$C$146*D79^Parameters!$C$147))/2))</f>
        <v>0.88719601662414349</v>
      </c>
      <c r="J79" s="19">
        <f>IF(E79=0,1,1/(1+Parameters!$C$138*EXP(Parameters!$C$139*Basicinfo!AQ79)*E79^Parameters!$C$140))</f>
        <v>1</v>
      </c>
      <c r="K79" s="19">
        <f>IF(E79=0,1,1/(1+Parameters!$C$141*EXP(Parameters!$C$142*Basicinfo!AQ79)*E79^Parameters!$C$143))</f>
        <v>1</v>
      </c>
      <c r="L79" s="19">
        <f>IF(E79=0,1,1/(1+Parameters!$C$146*E79^Parameters!$C$147))</f>
        <v>1</v>
      </c>
      <c r="M79" s="53">
        <f>IF(F79=0,1,1/(1+Parameters!$C$138*EXP(Parameters!$C$139*Basicinfo!AQ79)*F79^Parameters!$C$140))</f>
        <v>1</v>
      </c>
      <c r="N79" s="53">
        <f>IF(F79=0,1,1/(1+Parameters!$C$141*EXP(Parameters!$C$142*Basicinfo!AQ79)*F79^Parameters!$C$143))</f>
        <v>1</v>
      </c>
      <c r="O79" s="53">
        <f>IF(F79=0,1,1/(1+Parameters!$C$146*F79^Parameters!$C$147))</f>
        <v>1</v>
      </c>
      <c r="P79" s="64">
        <f>Basicinfo!CE79+Basicinfo!CJ79</f>
        <v>0</v>
      </c>
      <c r="Q79" s="86">
        <f>Parameters!$C$126*Intermediate!BB79*Basicinfo!P79/1000+Parameters!$C$127*Intermediate!BB79*Basicinfo!S79/1000</f>
        <v>0.27212010195036457</v>
      </c>
      <c r="R79" s="48">
        <f>'Local emissions'!AE79-P79-Q79</f>
        <v>352.95297812346365</v>
      </c>
      <c r="S79" s="48">
        <f>Basicinfo!CF79+Basicinfo!CK79</f>
        <v>0</v>
      </c>
      <c r="T79" s="86">
        <f>'Local emissions'!AR79-S79</f>
        <v>2.8068496847655378</v>
      </c>
      <c r="U79" s="61">
        <f t="shared" si="58"/>
        <v>339.05000582373856</v>
      </c>
      <c r="V79" s="27">
        <f t="shared" si="59"/>
        <v>328.10278819114092</v>
      </c>
      <c r="W79" s="27">
        <f t="shared" si="60"/>
        <v>2.4902258595867179</v>
      </c>
      <c r="X79" s="61">
        <f>U79+TN!CI79</f>
        <v>448.82668558250361</v>
      </c>
      <c r="Y79" s="27">
        <f>V79+DIN!CI79</f>
        <v>434.11992036290798</v>
      </c>
      <c r="Z79" s="27">
        <f>W79+TP!CI79</f>
        <v>3.2324149554351056</v>
      </c>
      <c r="AA79" s="73">
        <f>'Summed emissions'!E79</f>
        <v>17.834993992270132</v>
      </c>
      <c r="AB79" s="131" t="str">
        <f>IF(Basicinfo!AR79="","",Basicinfo!AR79)</f>
        <v/>
      </c>
      <c r="AC79" s="131" t="str">
        <f>IF(Basicinfo!AS79="","",Basicinfo!AS79)</f>
        <v/>
      </c>
      <c r="AD79" s="131" t="str">
        <f>IF(Basicinfo!AT79="","",Basicinfo!AT79)</f>
        <v/>
      </c>
      <c r="AE79" s="174" t="str">
        <f t="shared" si="61"/>
        <v/>
      </c>
      <c r="AF79" s="19" t="str">
        <f t="shared" si="62"/>
        <v/>
      </c>
      <c r="AG79" s="27" t="str">
        <f t="shared" si="63"/>
        <v/>
      </c>
      <c r="AH79" s="56">
        <f>'Local emissions'!AE79-U79</f>
        <v>14.175092401675442</v>
      </c>
      <c r="AI79" s="228">
        <f>'Local emissions'!AR79-W79</f>
        <v>0.31662382517881982</v>
      </c>
      <c r="AJ79" s="43">
        <f t="shared" si="64"/>
        <v>14.175092401675427</v>
      </c>
      <c r="AK79" s="58">
        <f t="shared" si="65"/>
        <v>0.31662382517881982</v>
      </c>
      <c r="AL79" s="43">
        <f>TN!CI168</f>
        <v>0</v>
      </c>
      <c r="AM79" s="43">
        <f>TP!CI168</f>
        <v>0</v>
      </c>
      <c r="AN79" s="42">
        <f>TN!CI257+(AH79-AJ79)</f>
        <v>1.5987211554602254E-14</v>
      </c>
      <c r="AO79" s="43">
        <f>TP!CI257+(AI79-AK79)</f>
        <v>0</v>
      </c>
      <c r="AP79" s="42">
        <f t="shared" si="66"/>
        <v>14.175092401675442</v>
      </c>
      <c r="AQ79" s="42">
        <f t="shared" si="67"/>
        <v>0.31662382517881982</v>
      </c>
      <c r="AR79" s="42">
        <f>AH79/'Local emissions'!AE79*100</f>
        <v>4.0130479042657017</v>
      </c>
      <c r="AS79" s="42">
        <f>AI79/'Local emissions'!AR79*100</f>
        <v>11.280398337585652</v>
      </c>
      <c r="AT79" s="42">
        <f t="shared" si="68"/>
        <v>3.0615632759319147</v>
      </c>
      <c r="AU79" s="42">
        <f t="shared" si="69"/>
        <v>8.9213966020413302</v>
      </c>
      <c r="AV79" s="42">
        <f>('Summed emissions'!AE79-'River loads'!X79)/'Summed emissions'!AE79*100</f>
        <v>4.0373986535374931</v>
      </c>
      <c r="AW79" s="42">
        <f>('Summed emissions'!AR79-'River loads'!Z79)/'Summed emissions'!AR79*100</f>
        <v>11.256516022400511</v>
      </c>
      <c r="AX79" s="61">
        <f>X79/('Summed emissions'!$D79*100)*1000</f>
        <v>10.419388582959732</v>
      </c>
      <c r="AY79" s="19">
        <f>Y79/('Summed emissions'!$D79*100)*1000</f>
        <v>10.07797505621622</v>
      </c>
      <c r="AZ79" s="72">
        <f>Z79/('Summed emissions'!$D79*100)*1000</f>
        <v>7.5039627909686296E-2</v>
      </c>
      <c r="BA79" s="43" t="str">
        <f>IF(AB79="","",AB79/('Summed emissions'!$D79*100)*1000)</f>
        <v/>
      </c>
      <c r="BB79" s="43" t="str">
        <f>IF(AC79="","",AC79/('Summed emissions'!$D79*100)*1000)</f>
        <v/>
      </c>
      <c r="BC79" s="43" t="str">
        <f>IF(AD79="","",AD79/('Summed emissions'!$D79*100)*1000)</f>
        <v/>
      </c>
      <c r="BF79" s="188">
        <f>('Summed emissions'!AE79-'River loads'!Y79)/'Summed emissions'!AE79*100</f>
        <v>7.1818182996920905</v>
      </c>
      <c r="BG79" s="188">
        <f>('Summed emissions'!AR79-'River loads'!Z79)/'Summed emissions'!AR79*100</f>
        <v>11.256516022400511</v>
      </c>
      <c r="BH79" s="181">
        <f>'Summed emissions'!CV79*(100-'River loads'!BG79)/100</f>
        <v>0.99507651103532202</v>
      </c>
      <c r="BI79" s="181">
        <f t="shared" si="70"/>
        <v>0.7562581483868448</v>
      </c>
      <c r="BJ79" s="233"/>
      <c r="BK79" s="233"/>
      <c r="BM79" s="31">
        <f t="shared" si="71"/>
        <v>1.3445919063256955E-3</v>
      </c>
      <c r="BN79" s="31"/>
      <c r="BO79" s="231"/>
      <c r="BP79" s="31">
        <f>BM79/Parameters!$C$156</f>
        <v>2.0686029328087622E-3</v>
      </c>
      <c r="BQ79" s="305" t="s">
        <v>934</v>
      </c>
      <c r="BR79" s="237">
        <f>Basicinfo!CW79</f>
        <v>0.03</v>
      </c>
      <c r="BS79" s="237">
        <f t="shared" si="72"/>
        <v>6.8953431093625409E-2</v>
      </c>
      <c r="BT79" s="237"/>
      <c r="BU79" s="31">
        <f t="shared" si="54"/>
        <v>5.7470838446304533E-3</v>
      </c>
      <c r="BV79" s="232"/>
      <c r="BW79" s="31">
        <f t="shared" si="55"/>
        <v>0.77184508033378207</v>
      </c>
      <c r="BX79" s="31"/>
      <c r="BY79" s="231"/>
      <c r="BZ79" s="147">
        <f t="shared" si="73"/>
        <v>1.0430338923429487</v>
      </c>
      <c r="CA79" s="305" t="s">
        <v>934</v>
      </c>
      <c r="CB79" s="231">
        <f>Basicinfo!CV79</f>
        <v>5.5</v>
      </c>
      <c r="CC79" s="147">
        <f t="shared" si="74"/>
        <v>0.18964252588053612</v>
      </c>
      <c r="CD79" s="147"/>
      <c r="CE79" s="233">
        <f>'Local emissions'!FC79/14*62</f>
        <v>3.7900000000000005</v>
      </c>
      <c r="CF79" s="233">
        <f>'Local emissions'!FD79/14*62</f>
        <v>4.1767084416714919</v>
      </c>
      <c r="CH79">
        <f t="shared" si="75"/>
        <v>0</v>
      </c>
      <c r="CI79">
        <f t="shared" si="76"/>
        <v>0</v>
      </c>
      <c r="CK79" s="276">
        <f>Basicinfo!EM79</f>
        <v>2</v>
      </c>
      <c r="CL79" s="276">
        <f>Basicinfo!EN79</f>
        <v>2</v>
      </c>
      <c r="CM79">
        <f t="shared" si="56"/>
        <v>2</v>
      </c>
      <c r="CN79">
        <f t="shared" si="57"/>
        <v>2</v>
      </c>
      <c r="CO79" s="31"/>
      <c r="CP79" s="31"/>
      <c r="CQ79" s="31"/>
      <c r="CR79" s="236"/>
      <c r="CS79" s="181"/>
      <c r="CT79" s="181"/>
      <c r="DI79" s="31"/>
      <c r="DJ79" s="233"/>
      <c r="DK79" s="233"/>
      <c r="DR79" s="236">
        <f t="shared" si="53"/>
        <v>3.7900000000000005</v>
      </c>
      <c r="DS79" s="236">
        <f t="shared" si="52"/>
        <v>4.1767084416714919</v>
      </c>
      <c r="DY79" s="31">
        <f>Basicinfo!EI79</f>
        <v>2.9776315789473685E-3</v>
      </c>
      <c r="DZ79" s="31">
        <f>Intermediate!CR79</f>
        <v>1.2876129953716569E-3</v>
      </c>
    </row>
    <row r="80" spans="1:130">
      <c r="A80" s="39" t="str">
        <f>Basicinfo!A80</f>
        <v>Salza</v>
      </c>
      <c r="B80" s="63">
        <f>Basicinfo!B80</f>
        <v>1510</v>
      </c>
      <c r="C80" s="63">
        <f>Basicinfo!C80</f>
        <v>4070</v>
      </c>
      <c r="D80" s="61">
        <f>IF(Intermediate!D80=0,0,Basicinfo!AP80*86400*365/(Intermediate!D80*1000000))</f>
        <v>169.16633263383707</v>
      </c>
      <c r="E80" s="19">
        <f>IF(Intermediate!E80=0,0,IF((Intermediate!E80-Basicinfo!AA80)&lt;0,0,'Summed emissions'!E80*86400*365/((Intermediate!E80-Basicinfo!AA80)*1000000)))</f>
        <v>4096.7859210139695</v>
      </c>
      <c r="F80" s="19">
        <f>IF(Basicinfo!AA80=0,0,'Summed emissions'!E80*86400*365/(Basicinfo!AA80*1000000))</f>
        <v>0</v>
      </c>
      <c r="G80" s="19">
        <f>IF(D80=0,1,1/(1+Parameters!$C$138*EXP(Parameters!$C$139*Basicinfo!AQ80)*D80^Parameters!$C$140))</f>
        <v>0.95368364126665206</v>
      </c>
      <c r="H80" s="19">
        <f>IF(D80=0,1,1/(1+Parameters!$C$141*EXP(Parameters!$C$142*Basicinfo!AQ80)*D80^Parameters!$C$143))</f>
        <v>0.91919355640286515</v>
      </c>
      <c r="I80" s="161">
        <f>IF(Intermediate!AS80=0,1,IF(D80=0,1/(1+Parameters!$C$144*Intermediate!AS80^Parameters!$C$145),(1/(1+Parameters!$C$144*Intermediate!AS80^Parameters!$C$145)+1/(1+Parameters!$C$146*D80^Parameters!$C$147))/2))</f>
        <v>0.85751896349644441</v>
      </c>
      <c r="J80" s="19">
        <f>IF(E80=0,1,1/(1+Parameters!$C$138*EXP(Parameters!$C$139*Basicinfo!AQ80)*E80^Parameters!$C$140))</f>
        <v>0.99799861482565222</v>
      </c>
      <c r="K80" s="19">
        <f>IF(E80=0,1,1/(1+Parameters!$C$141*EXP(Parameters!$C$142*Basicinfo!AQ80)*E80^Parameters!$C$143))</f>
        <v>0.99638310384074269</v>
      </c>
      <c r="L80" s="19">
        <f>IF(E80=0,1,1/(1+Parameters!$C$146*E80^Parameters!$C$147))</f>
        <v>0.99375625514716737</v>
      </c>
      <c r="M80" s="53">
        <f>IF(F80=0,1,1/(1+Parameters!$C$138*EXP(Parameters!$C$139*Basicinfo!AQ80)*F80^Parameters!$C$140))</f>
        <v>1</v>
      </c>
      <c r="N80" s="53">
        <f>IF(F80=0,1,1/(1+Parameters!$C$141*EXP(Parameters!$C$142*Basicinfo!AQ80)*F80^Parameters!$C$143))</f>
        <v>1</v>
      </c>
      <c r="O80" s="53">
        <f>IF(F80=0,1,1/(1+Parameters!$C$146*F80^Parameters!$C$147))</f>
        <v>1</v>
      </c>
      <c r="P80" s="64">
        <f>Basicinfo!CE80+Basicinfo!CJ80</f>
        <v>5.2816266666666669</v>
      </c>
      <c r="Q80" s="86">
        <f>Parameters!$C$126*Intermediate!BB80*Basicinfo!P80/1000+Parameters!$C$127*Intermediate!BB80*Basicinfo!S80/1000</f>
        <v>0.29768772791016046</v>
      </c>
      <c r="R80" s="48">
        <f>'Local emissions'!AE80-P80-Q80</f>
        <v>313.56628598629948</v>
      </c>
      <c r="S80" s="48">
        <f>Basicinfo!CF80+Basicinfo!CK80</f>
        <v>0.9754666666666667</v>
      </c>
      <c r="T80" s="86">
        <f>'Local emissions'!AR80-S80</f>
        <v>3.0546886712076313</v>
      </c>
      <c r="U80" s="61">
        <f t="shared" si="58"/>
        <v>304.6223517924513</v>
      </c>
      <c r="V80" s="27">
        <f t="shared" si="59"/>
        <v>293.50973625045117</v>
      </c>
      <c r="W80" s="27">
        <f t="shared" si="60"/>
        <v>3.594920129804966</v>
      </c>
      <c r="X80" s="61">
        <f>U80+TN!CI80</f>
        <v>855.40498101764933</v>
      </c>
      <c r="Y80" s="27">
        <f>V80+DIN!CI80</f>
        <v>827.06288532132135</v>
      </c>
      <c r="Z80" s="27">
        <f>W80+TP!CI80</f>
        <v>7.6497853443797661</v>
      </c>
      <c r="AA80" s="73">
        <f>'Summed emissions'!E80</f>
        <v>29.792839192746651</v>
      </c>
      <c r="AB80" s="131" t="str">
        <f>IF(Basicinfo!AR80="","",Basicinfo!AR80)</f>
        <v/>
      </c>
      <c r="AC80" s="131" t="str">
        <f>IF(Basicinfo!AS80="","",Basicinfo!AS80)</f>
        <v/>
      </c>
      <c r="AD80" s="131" t="str">
        <f>IF(Basicinfo!AT80="","",Basicinfo!AT80)</f>
        <v/>
      </c>
      <c r="AE80" s="174" t="str">
        <f t="shared" si="61"/>
        <v/>
      </c>
      <c r="AF80" s="19" t="str">
        <f t="shared" si="62"/>
        <v/>
      </c>
      <c r="AG80" s="27" t="str">
        <f t="shared" si="63"/>
        <v/>
      </c>
      <c r="AH80" s="56">
        <f>'Local emissions'!AE80-U80</f>
        <v>14.52324858842502</v>
      </c>
      <c r="AI80" s="228">
        <f>'Local emissions'!AR80-W80</f>
        <v>0.43523520806933202</v>
      </c>
      <c r="AJ80" s="43">
        <f t="shared" si="64"/>
        <v>14.52324858842502</v>
      </c>
      <c r="AK80" s="58">
        <f t="shared" si="65"/>
        <v>0.43523520806933225</v>
      </c>
      <c r="AL80" s="43">
        <f>TN!CI169</f>
        <v>1.1035507183507023</v>
      </c>
      <c r="AM80" s="43">
        <f>TP!CI169</f>
        <v>2.5476613285500452E-2</v>
      </c>
      <c r="AN80" s="42">
        <f>TN!CI258+(AH80-AJ80)</f>
        <v>0</v>
      </c>
      <c r="AO80" s="43">
        <f>TP!CI258+(AI80-AK80)</f>
        <v>-2.2204460492503131E-16</v>
      </c>
      <c r="AP80" s="42">
        <f t="shared" si="66"/>
        <v>15.626799306775721</v>
      </c>
      <c r="AQ80" s="42">
        <f t="shared" si="67"/>
        <v>0.46071182135483246</v>
      </c>
      <c r="AR80" s="42">
        <f>AH80/'Local emissions'!AE80*100</f>
        <v>4.5506654552319104</v>
      </c>
      <c r="AS80" s="42">
        <f>AI80/'Local emissions'!AR80*100</f>
        <v>10.799464824075402</v>
      </c>
      <c r="AT80" s="42">
        <f t="shared" si="68"/>
        <v>1.7940561595761011</v>
      </c>
      <c r="AU80" s="42">
        <f t="shared" si="69"/>
        <v>5.6804387196047319</v>
      </c>
      <c r="AV80" s="42">
        <f>('Summed emissions'!AE80-'River loads'!X80)/'Summed emissions'!AE80*100</f>
        <v>4.1111597246840965</v>
      </c>
      <c r="AW80" s="42">
        <f>('Summed emissions'!AR80-'River loads'!Z80)/'Summed emissions'!AR80*100</f>
        <v>11.359175357197563</v>
      </c>
      <c r="AX80" s="61">
        <f>X80/('Summed emissions'!$D80*100)*1000</f>
        <v>9.8697171136564368</v>
      </c>
      <c r="AY80" s="19">
        <f>Y80/('Summed emissions'!$D80*100)*1000</f>
        <v>9.5427042096654482</v>
      </c>
      <c r="AZ80" s="72">
        <f>Z80/('Summed emissions'!$D80*100)*1000</f>
        <v>8.8263710177840751E-2</v>
      </c>
      <c r="BA80" s="43" t="str">
        <f>IF(AB80="","",AB80/('Summed emissions'!$D80*100)*1000)</f>
        <v/>
      </c>
      <c r="BB80" s="43" t="str">
        <f>IF(AC80="","",AC80/('Summed emissions'!$D80*100)*1000)</f>
        <v/>
      </c>
      <c r="BC80" s="43" t="str">
        <f>IF(AD80="","",AD80/('Summed emissions'!$D80*100)*1000)</f>
        <v/>
      </c>
      <c r="BF80" s="188">
        <f>('Summed emissions'!AE80-'River loads'!Y80)/'Summed emissions'!AE80*100</f>
        <v>7.2882404614127498</v>
      </c>
      <c r="BG80" s="188">
        <f>('Summed emissions'!AR80-'River loads'!Z80)/'Summed emissions'!AR80*100</f>
        <v>11.359175357197563</v>
      </c>
      <c r="BH80" s="181">
        <f>'Summed emissions'!CV80*(100-'River loads'!BG80)/100</f>
        <v>3.0851139084116874</v>
      </c>
      <c r="BI80" s="181">
        <f t="shared" si="70"/>
        <v>2.3446865703928825</v>
      </c>
      <c r="BJ80" s="233"/>
      <c r="BK80" s="233"/>
      <c r="BM80" s="31">
        <f t="shared" si="71"/>
        <v>2.4955501197209094E-3</v>
      </c>
      <c r="BN80" s="31"/>
      <c r="BO80" s="231"/>
      <c r="BP80" s="31">
        <f>BM80/Parameters!$C$156</f>
        <v>3.8393078764937067E-3</v>
      </c>
      <c r="BQ80" s="305" t="s">
        <v>934</v>
      </c>
      <c r="BR80" s="237">
        <f>Basicinfo!CW80</f>
        <v>0.03</v>
      </c>
      <c r="BS80" s="237">
        <f t="shared" si="72"/>
        <v>0.1279769292164569</v>
      </c>
      <c r="BT80" s="237"/>
      <c r="BU80" s="31">
        <f t="shared" si="54"/>
        <v>8.1419934643150779E-3</v>
      </c>
      <c r="BV80" s="232"/>
      <c r="BW80" s="31">
        <f t="shared" si="55"/>
        <v>0.88027837432211598</v>
      </c>
      <c r="BX80" s="31"/>
      <c r="BY80" s="231"/>
      <c r="BZ80" s="147">
        <f t="shared" si="73"/>
        <v>1.1895653707055622</v>
      </c>
      <c r="CA80" s="305" t="s">
        <v>934</v>
      </c>
      <c r="CB80" s="231">
        <f>Basicinfo!CV80</f>
        <v>5.5</v>
      </c>
      <c r="CC80" s="147">
        <f t="shared" si="74"/>
        <v>0.21628461285555678</v>
      </c>
      <c r="CD80" s="147"/>
      <c r="CE80" s="233">
        <f>'Local emissions'!FC80/14*62</f>
        <v>5.39</v>
      </c>
      <c r="CF80" s="233">
        <f>'Local emissions'!FD80/14*62</f>
        <v>5.9398878927474277</v>
      </c>
      <c r="CH80">
        <f t="shared" si="75"/>
        <v>0</v>
      </c>
      <c r="CI80">
        <f t="shared" si="76"/>
        <v>0</v>
      </c>
      <c r="CK80" s="276">
        <f>Basicinfo!EM80</f>
        <v>2</v>
      </c>
      <c r="CL80" s="276">
        <f>Basicinfo!EN80</f>
        <v>2</v>
      </c>
      <c r="CM80">
        <f t="shared" si="56"/>
        <v>2</v>
      </c>
      <c r="CN80">
        <f t="shared" si="57"/>
        <v>2</v>
      </c>
      <c r="CO80" s="31"/>
      <c r="CP80" s="31"/>
      <c r="CQ80" s="31"/>
      <c r="CR80" s="236"/>
      <c r="CS80" s="181"/>
      <c r="CT80" s="181"/>
      <c r="DI80" s="31"/>
      <c r="DJ80" s="233"/>
      <c r="DK80" s="233"/>
      <c r="DR80" s="236">
        <f t="shared" si="53"/>
        <v>5.39</v>
      </c>
      <c r="DS80" s="236">
        <f t="shared" si="52"/>
        <v>5.9398878927474277</v>
      </c>
      <c r="DY80" s="31">
        <f>Basicinfo!EI80</f>
        <v>4.111578947368421E-3</v>
      </c>
      <c r="DZ80" s="31">
        <f>Intermediate!CR80</f>
        <v>2.8423733823403768E-3</v>
      </c>
    </row>
    <row r="81" spans="1:130">
      <c r="A81" s="39" t="str">
        <f>Basicinfo!A81</f>
        <v>Traun</v>
      </c>
      <c r="B81" s="63">
        <f>Basicinfo!B81</f>
        <v>4000</v>
      </c>
      <c r="C81" s="63">
        <f>Basicinfo!C81</f>
        <v>4010</v>
      </c>
      <c r="D81" s="61">
        <f>IF(Intermediate!D81=0,0,Basicinfo!AP81*86400*365/(Intermediate!D81*1000000))</f>
        <v>74.092927670225862</v>
      </c>
      <c r="E81" s="19">
        <f>IF(Intermediate!E81=0,0,IF((Intermediate!E81-Basicinfo!AA81)&lt;0,0,'Summed emissions'!E81*86400*365/((Intermediate!E81-Basicinfo!AA81)*1000000)))</f>
        <v>0</v>
      </c>
      <c r="F81" s="19">
        <f>IF(Basicinfo!AA81=0,0,'Summed emissions'!E81*86400*365/(Basicinfo!AA81*1000000))</f>
        <v>0</v>
      </c>
      <c r="G81" s="19">
        <f>IF(D81=0,1,1/(1+Parameters!$C$138*EXP(Parameters!$C$139*Basicinfo!AQ81)*D81^Parameters!$C$140))</f>
        <v>0.89918841238931579</v>
      </c>
      <c r="H81" s="19">
        <f>IF(D81=0,1,1/(1+Parameters!$C$141*EXP(Parameters!$C$142*Basicinfo!AQ81)*D81^Parameters!$C$143))</f>
        <v>0.83129631981196817</v>
      </c>
      <c r="I81" s="161">
        <f>IF(Intermediate!AS81=0,1,IF(D81=0,1/(1+Parameters!$C$144*Intermediate!AS81^Parameters!$C$145),(1/(1+Parameters!$C$144*Intermediate!AS81^Parameters!$C$145)+1/(1+Parameters!$C$146*D81^Parameters!$C$147))/2))</f>
        <v>0.83364772107145979</v>
      </c>
      <c r="J81" s="19">
        <f>IF(E81=0,1,1/(1+Parameters!$C$138*EXP(Parameters!$C$139*Basicinfo!AQ81)*E81^Parameters!$C$140))</f>
        <v>1</v>
      </c>
      <c r="K81" s="19">
        <f>IF(E81=0,1,1/(1+Parameters!$C$141*EXP(Parameters!$C$142*Basicinfo!AQ81)*E81^Parameters!$C$143))</f>
        <v>1</v>
      </c>
      <c r="L81" s="19">
        <f>IF(E81=0,1,1/(1+Parameters!$C$146*E81^Parameters!$C$147))</f>
        <v>1</v>
      </c>
      <c r="M81" s="53">
        <f>IF(F81=0,1,1/(1+Parameters!$C$138*EXP(Parameters!$C$139*Basicinfo!AQ81)*F81^Parameters!$C$140))</f>
        <v>1</v>
      </c>
      <c r="N81" s="53">
        <f>IF(F81=0,1,1/(1+Parameters!$C$141*EXP(Parameters!$C$142*Basicinfo!AQ81)*F81^Parameters!$C$143))</f>
        <v>1</v>
      </c>
      <c r="O81" s="53">
        <f>IF(F81=0,1,1/(1+Parameters!$C$146*F81^Parameters!$C$147))</f>
        <v>1</v>
      </c>
      <c r="P81" s="64">
        <f>Basicinfo!CE81+Basicinfo!CJ81</f>
        <v>0</v>
      </c>
      <c r="Q81" s="86">
        <f>Parameters!$C$126*Intermediate!BB81*Basicinfo!P81/1000+Parameters!$C$127*Intermediate!BB81*Basicinfo!S81/1000</f>
        <v>0.23168759270003644</v>
      </c>
      <c r="R81" s="48">
        <f>'Local emissions'!AE81-P81-Q81</f>
        <v>450.11986157787538</v>
      </c>
      <c r="S81" s="48">
        <f>Basicinfo!CF81+Basicinfo!CK81</f>
        <v>0</v>
      </c>
      <c r="T81" s="86">
        <f>'Local emissions'!AR81-S81</f>
        <v>12.42850746758563</v>
      </c>
      <c r="U81" s="61">
        <f t="shared" si="58"/>
        <v>404.97425130980838</v>
      </c>
      <c r="V81" s="27">
        <f t="shared" si="59"/>
        <v>374.18298440396035</v>
      </c>
      <c r="W81" s="27">
        <f t="shared" si="60"/>
        <v>10.360996926672382</v>
      </c>
      <c r="X81" s="61">
        <f>U81+TN!CI81</f>
        <v>404.97425130980838</v>
      </c>
      <c r="Y81" s="27">
        <f>V81+DIN!CI81</f>
        <v>374.18298440396035</v>
      </c>
      <c r="Z81" s="27">
        <f>W81+TP!CI81</f>
        <v>10.360996926672382</v>
      </c>
      <c r="AA81" s="73">
        <f>'Summed emissions'!E81</f>
        <v>19.924093844269802</v>
      </c>
      <c r="AB81" s="131">
        <f>IF(Basicinfo!AR81="","",Basicinfo!AR81)</f>
        <v>343.66703699150901</v>
      </c>
      <c r="AC81" s="131">
        <f>IF(Basicinfo!AS81="","",Basicinfo!AS81)</f>
        <v>312.42457908319</v>
      </c>
      <c r="AD81" s="131">
        <f>IF(Basicinfo!AT81="","",Basicinfo!AT81)</f>
        <v>8.4954436715171706</v>
      </c>
      <c r="AE81" s="174">
        <f t="shared" si="61"/>
        <v>17.839131403170953</v>
      </c>
      <c r="AF81" s="19">
        <f t="shared" si="62"/>
        <v>19.767460518631538</v>
      </c>
      <c r="AG81" s="27">
        <f t="shared" si="63"/>
        <v>21.959456472060253</v>
      </c>
      <c r="AH81" s="56">
        <f>'Local emissions'!AE81-U81</f>
        <v>45.377297860767044</v>
      </c>
      <c r="AI81" s="228">
        <f>'Local emissions'!AR81-W81</f>
        <v>2.0675105409132488</v>
      </c>
      <c r="AJ81" s="43">
        <f t="shared" si="64"/>
        <v>45.37729786076703</v>
      </c>
      <c r="AK81" s="58">
        <f t="shared" si="65"/>
        <v>2.0675105409132497</v>
      </c>
      <c r="AL81" s="43">
        <f>TN!CI170</f>
        <v>0</v>
      </c>
      <c r="AM81" s="43">
        <f>TP!CI170</f>
        <v>0</v>
      </c>
      <c r="AN81" s="42">
        <f>TN!CI259+(AH81-AJ81)</f>
        <v>1.4210854715202004E-14</v>
      </c>
      <c r="AO81" s="43">
        <f>TP!CI259+(AI81-AK81)</f>
        <v>-8.8817841970012523E-16</v>
      </c>
      <c r="AP81" s="42">
        <f t="shared" si="66"/>
        <v>45.377297860767044</v>
      </c>
      <c r="AQ81" s="42">
        <f t="shared" si="67"/>
        <v>2.0675105409132488</v>
      </c>
      <c r="AR81" s="42">
        <f>AH81/'Local emissions'!AE81*100</f>
        <v>10.075972414070659</v>
      </c>
      <c r="AS81" s="42">
        <f>AI81/'Local emissions'!AR81*100</f>
        <v>16.635227892854012</v>
      </c>
      <c r="AT81" s="42">
        <f t="shared" si="68"/>
        <v>10.075972414070659</v>
      </c>
      <c r="AU81" s="42">
        <f t="shared" si="69"/>
        <v>16.635227892854012</v>
      </c>
      <c r="AV81" s="42">
        <f>('Summed emissions'!AE81-'River loads'!X81)/'Summed emissions'!AE81*100</f>
        <v>10.075972414070659</v>
      </c>
      <c r="AW81" s="42">
        <f>('Summed emissions'!AR81-'River loads'!Z81)/'Summed emissions'!AR81*100</f>
        <v>16.635227892854012</v>
      </c>
      <c r="AX81" s="61">
        <f>X81/('Summed emissions'!$D81*100)*1000</f>
        <v>12.757557141873415</v>
      </c>
      <c r="AY81" s="19">
        <f>Y81/('Summed emissions'!$D81*100)*1000</f>
        <v>11.787566220841944</v>
      </c>
      <c r="AZ81" s="72">
        <f>Z81/('Summed emissions'!$D81*100)*1000</f>
        <v>0.32639361616518742</v>
      </c>
      <c r="BA81" s="43">
        <f>IF(AB81="","",AB81/('Summed emissions'!$D81*100)*1000)</f>
        <v>10.826248454110821</v>
      </c>
      <c r="BB81" s="43">
        <f>IF(AC81="","",AC81/('Summed emissions'!$D81*100)*1000)</f>
        <v>9.8420440491916565</v>
      </c>
      <c r="BC81" s="43">
        <f>IF(AD81="","",AD81/('Summed emissions'!$D81*100)*1000)</f>
        <v>0.26762468906210735</v>
      </c>
      <c r="BF81" s="188">
        <f>('Summed emissions'!AE81-'River loads'!Y81)/'Summed emissions'!AE81*100</f>
        <v>16.913134840303488</v>
      </c>
      <c r="BG81" s="188">
        <f>('Summed emissions'!AR81-'River loads'!Z81)/'Summed emissions'!AR81*100</f>
        <v>16.635227892854012</v>
      </c>
      <c r="BH81" s="181">
        <f>'Summed emissions'!CV81*(100-'River loads'!BG81)/100</f>
        <v>8.5063014083129751</v>
      </c>
      <c r="BI81" s="181">
        <f t="shared" si="70"/>
        <v>6.4647890703178614</v>
      </c>
      <c r="BJ81" s="233"/>
      <c r="BK81" s="233"/>
      <c r="BM81" s="31">
        <f t="shared" si="71"/>
        <v>1.0288905394693857E-2</v>
      </c>
      <c r="BN81" s="31"/>
      <c r="BO81" s="231"/>
      <c r="BP81" s="31">
        <f>BM81/Parameters!$C$156</f>
        <v>1.5829085222605933E-2</v>
      </c>
      <c r="BQ81" s="305" t="s">
        <v>934</v>
      </c>
      <c r="BR81" s="237">
        <f>Basicinfo!CW81</f>
        <v>1.4999999999999999E-2</v>
      </c>
      <c r="BS81" s="237">
        <f t="shared" si="72"/>
        <v>1.0552723481737289</v>
      </c>
      <c r="BT81" s="237"/>
      <c r="BU81" s="31">
        <f t="shared" si="54"/>
        <v>1.6489836870734048E-2</v>
      </c>
      <c r="BV81" s="232">
        <v>1.3844660194174701E-2</v>
      </c>
      <c r="BW81" s="31">
        <f t="shared" si="55"/>
        <v>0.59552342465633779</v>
      </c>
      <c r="BX81" s="31">
        <v>0.51242475728155301</v>
      </c>
      <c r="BY81" s="231"/>
      <c r="BZ81" s="147">
        <f t="shared" si="73"/>
        <v>0.80476138467072678</v>
      </c>
      <c r="CA81" s="305">
        <v>0.66020000000000001</v>
      </c>
      <c r="CB81" s="231">
        <f>Basicinfo!CV81</f>
        <v>4</v>
      </c>
      <c r="CC81" s="147">
        <f t="shared" si="74"/>
        <v>0.20119034616768169</v>
      </c>
      <c r="CD81" s="147"/>
      <c r="CE81" s="233">
        <f>'Local emissions'!FC81/14*62</f>
        <v>2.59</v>
      </c>
      <c r="CF81" s="233">
        <f>'Local emissions'!FD81/14*62</f>
        <v>3.0734949722991018</v>
      </c>
      <c r="CH81">
        <f t="shared" si="75"/>
        <v>0</v>
      </c>
      <c r="CI81">
        <f t="shared" si="76"/>
        <v>0</v>
      </c>
      <c r="CK81" s="276">
        <f>Basicinfo!EM81</f>
        <v>2</v>
      </c>
      <c r="CL81" s="276">
        <f>Basicinfo!EN81</f>
        <v>2</v>
      </c>
      <c r="CM81">
        <f t="shared" si="56"/>
        <v>2</v>
      </c>
      <c r="CN81">
        <f t="shared" si="57"/>
        <v>0</v>
      </c>
      <c r="CO81" s="31">
        <f>BN81</f>
        <v>0</v>
      </c>
      <c r="CP81" s="31"/>
      <c r="CQ81" s="31"/>
      <c r="CR81" s="236">
        <f>BX81</f>
        <v>0.51242475728155301</v>
      </c>
      <c r="CS81" s="181"/>
      <c r="CT81" s="181"/>
      <c r="DI81" s="31" t="e">
        <f>#REF!</f>
        <v>#REF!</v>
      </c>
      <c r="DJ81" s="233">
        <f>Basicinfo!DA81</f>
        <v>1.4673684210526301E-2</v>
      </c>
      <c r="DK81" s="233">
        <f>Basicinfo!DB81</f>
        <v>2.5200000000000018E-2</v>
      </c>
      <c r="DR81" s="236">
        <f t="shared" si="53"/>
        <v>2.59</v>
      </c>
      <c r="DS81" s="236">
        <f t="shared" si="52"/>
        <v>3.0734949722991018</v>
      </c>
      <c r="DY81" s="31">
        <f>Basicinfo!EI81</f>
        <v>6.0407578947368427E-3</v>
      </c>
      <c r="DZ81" s="31">
        <f>Intermediate!CR81</f>
        <v>1.4151714121880305E-2</v>
      </c>
    </row>
    <row r="82" spans="1:130">
      <c r="A82" s="39" t="str">
        <f>Basicinfo!A82</f>
        <v>Enns</v>
      </c>
      <c r="B82" s="63">
        <f>Basicinfo!B82</f>
        <v>4050</v>
      </c>
      <c r="C82" s="63">
        <f>Basicinfo!C82</f>
        <v>4060</v>
      </c>
      <c r="D82" s="61">
        <f>IF(Intermediate!D82=0,0,Basicinfo!AP82*86400*365/(Intermediate!D82*1000000))</f>
        <v>203.66569204641004</v>
      </c>
      <c r="E82" s="19">
        <f>IF(Intermediate!E82=0,0,IF((Intermediate!E82-Basicinfo!AA82)&lt;0,0,'Summed emissions'!E82*86400*365/((Intermediate!E82-Basicinfo!AA82)*1000000)))</f>
        <v>0</v>
      </c>
      <c r="F82" s="19">
        <f>IF(Basicinfo!AA82=0,0,'Summed emissions'!E82*86400*365/(Basicinfo!AA82*1000000))</f>
        <v>0</v>
      </c>
      <c r="G82" s="19">
        <f>IF(D82=0,1,1/(1+Parameters!$C$138*EXP(Parameters!$C$139*Basicinfo!AQ82)*D82^Parameters!$C$140))</f>
        <v>0.9654839171407934</v>
      </c>
      <c r="H82" s="19">
        <f>IF(D82=0,1,1/(1+Parameters!$C$141*EXP(Parameters!$C$142*Basicinfo!AQ82)*D82^Parameters!$C$143))</f>
        <v>0.93922104609265589</v>
      </c>
      <c r="I82" s="161">
        <f>IF(Intermediate!AS82=0,1,IF(D82=0,1/(1+Parameters!$C$144*Intermediate!AS82^Parameters!$C$145),(1/(1+Parameters!$C$144*Intermediate!AS82^Parameters!$C$145)+1/(1+Parameters!$C$146*D82^Parameters!$C$147))/2))</f>
        <v>0.88103410476829525</v>
      </c>
      <c r="J82" s="19">
        <f>IF(E82=0,1,1/(1+Parameters!$C$138*EXP(Parameters!$C$139*Basicinfo!AQ82)*E82^Parameters!$C$140))</f>
        <v>1</v>
      </c>
      <c r="K82" s="19">
        <f>IF(E82=0,1,1/(1+Parameters!$C$141*EXP(Parameters!$C$142*Basicinfo!AQ82)*E82^Parameters!$C$143))</f>
        <v>1</v>
      </c>
      <c r="L82" s="19">
        <f>IF(E82=0,1,1/(1+Parameters!$C$146*E82^Parameters!$C$147))</f>
        <v>1</v>
      </c>
      <c r="M82" s="53">
        <f>IF(F82=0,1,1/(1+Parameters!$C$138*EXP(Parameters!$C$139*Basicinfo!AQ82)*F82^Parameters!$C$140))</f>
        <v>1</v>
      </c>
      <c r="N82" s="53">
        <f>IF(F82=0,1,1/(1+Parameters!$C$141*EXP(Parameters!$C$142*Basicinfo!AQ82)*F82^Parameters!$C$143))</f>
        <v>1</v>
      </c>
      <c r="O82" s="53">
        <f>IF(F82=0,1,1/(1+Parameters!$C$146*F82^Parameters!$C$147))</f>
        <v>1</v>
      </c>
      <c r="P82" s="64">
        <f>Basicinfo!CE82+Basicinfo!CJ82</f>
        <v>41.538333333333341</v>
      </c>
      <c r="Q82" s="86">
        <f>Parameters!$C$126*Intermediate!BB82*Basicinfo!P82/1000+Parameters!$C$127*Intermediate!BB82*Basicinfo!S82/1000</f>
        <v>3.6011797684689976E-2</v>
      </c>
      <c r="R82" s="48">
        <f>'Local emissions'!AE82-P82-Q82</f>
        <v>675.96694466425549</v>
      </c>
      <c r="S82" s="48">
        <f>Basicinfo!CF82+Basicinfo!CK82</f>
        <v>3.3533333333333335</v>
      </c>
      <c r="T82" s="86">
        <f>'Local emissions'!AR82-S82</f>
        <v>14.476539448761025</v>
      </c>
      <c r="U82" s="61">
        <f t="shared" si="58"/>
        <v>694.20955872315722</v>
      </c>
      <c r="V82" s="27">
        <f t="shared" si="59"/>
        <v>676.42071422495178</v>
      </c>
      <c r="W82" s="27">
        <f t="shared" si="60"/>
        <v>16.107658306715415</v>
      </c>
      <c r="X82" s="61">
        <f>U82+TN!CI82</f>
        <v>766.15110688991263</v>
      </c>
      <c r="Y82" s="27">
        <f>V82+DIN!CI82</f>
        <v>744.9824522750763</v>
      </c>
      <c r="Z82" s="27">
        <f>W82+TP!CI82</f>
        <v>21.465113823450579</v>
      </c>
      <c r="AA82" s="73">
        <f>'Summed emissions'!E82</f>
        <v>23.996216938055071</v>
      </c>
      <c r="AB82" s="131" t="str">
        <f>IF(Basicinfo!AR82="","",Basicinfo!AR82)</f>
        <v/>
      </c>
      <c r="AC82" s="131" t="str">
        <f>IF(Basicinfo!AS82="","",Basicinfo!AS82)</f>
        <v/>
      </c>
      <c r="AD82" s="131" t="str">
        <f>IF(Basicinfo!AT82="","",Basicinfo!AT82)</f>
        <v/>
      </c>
      <c r="AE82" s="174" t="str">
        <f t="shared" si="61"/>
        <v/>
      </c>
      <c r="AF82" s="19" t="str">
        <f t="shared" si="62"/>
        <v/>
      </c>
      <c r="AG82" s="27" t="str">
        <f t="shared" si="63"/>
        <v/>
      </c>
      <c r="AH82" s="56">
        <f>'Local emissions'!AE82-U82</f>
        <v>23.331731072116213</v>
      </c>
      <c r="AI82" s="228">
        <f>'Local emissions'!AR82-W82</f>
        <v>1.7222144753789443</v>
      </c>
      <c r="AJ82" s="43">
        <f t="shared" si="64"/>
        <v>23.331731072116163</v>
      </c>
      <c r="AK82" s="58">
        <f t="shared" si="65"/>
        <v>1.722214475378945</v>
      </c>
      <c r="AL82" s="43">
        <f>TN!CI171</f>
        <v>0</v>
      </c>
      <c r="AM82" s="43">
        <f>TP!CI171</f>
        <v>0</v>
      </c>
      <c r="AN82" s="42">
        <f>TN!CI260+(AH82-AJ82)</f>
        <v>4.9737991503207013E-14</v>
      </c>
      <c r="AO82" s="43">
        <f>TP!CI260+(AI82-AK82)</f>
        <v>-6.6613381477509392E-16</v>
      </c>
      <c r="AP82" s="42">
        <f t="shared" si="66"/>
        <v>23.331731072116213</v>
      </c>
      <c r="AQ82" s="42">
        <f t="shared" si="67"/>
        <v>1.7222144753789443</v>
      </c>
      <c r="AR82" s="42">
        <f>AH82/'Local emissions'!AE82*100</f>
        <v>3.2516220883641616</v>
      </c>
      <c r="AS82" s="42">
        <f>AI82/'Local emissions'!AR82*100</f>
        <v>9.6591517865931014</v>
      </c>
      <c r="AT82" s="42">
        <f t="shared" si="68"/>
        <v>2.9553183362851496</v>
      </c>
      <c r="AU82" s="42">
        <f t="shared" si="69"/>
        <v>7.4273950546768264</v>
      </c>
      <c r="AV82" s="42">
        <f>('Summed emissions'!AE82-'River loads'!X82)/'Summed emissions'!AE82*100</f>
        <v>3.5249244702569142</v>
      </c>
      <c r="AW82" s="42">
        <f>('Summed emissions'!AR82-'River loads'!Z82)/'Summed emissions'!AR82*100</f>
        <v>11.097301057989121</v>
      </c>
      <c r="AX82" s="61">
        <f>X82/('Summed emissions'!$D82*100)*1000</f>
        <v>11.565321129590785</v>
      </c>
      <c r="AY82" s="19">
        <f>Y82/('Summed emissions'!$D82*100)*1000</f>
        <v>11.245772823388112</v>
      </c>
      <c r="AZ82" s="72">
        <f>Z82/('Summed emissions'!$D82*100)*1000</f>
        <v>0.32402346249836472</v>
      </c>
      <c r="BA82" s="43" t="str">
        <f>IF(AB82="","",AB82/('Summed emissions'!$D82*100)*1000)</f>
        <v/>
      </c>
      <c r="BB82" s="43" t="str">
        <f>IF(AC82="","",AC82/('Summed emissions'!$D82*100)*1000)</f>
        <v/>
      </c>
      <c r="BC82" s="43" t="str">
        <f>IF(AD82="","",AD82/('Summed emissions'!$D82*100)*1000)</f>
        <v/>
      </c>
      <c r="BF82" s="188">
        <f>('Summed emissions'!AE82-'River loads'!Y82)/'Summed emissions'!AE82*100</f>
        <v>6.1905181559720059</v>
      </c>
      <c r="BG82" s="188">
        <f>('Summed emissions'!AR82-'River loads'!Z82)/'Summed emissions'!AR82*100</f>
        <v>11.097301057989121</v>
      </c>
      <c r="BH82" s="181">
        <f>'Summed emissions'!CV82*(100-'River loads'!BG82)/100</f>
        <v>17.765304663973627</v>
      </c>
      <c r="BI82" s="181">
        <f t="shared" si="70"/>
        <v>13.501631544619956</v>
      </c>
      <c r="BJ82" s="233"/>
      <c r="BK82" s="233"/>
      <c r="BM82" s="31">
        <f t="shared" si="71"/>
        <v>1.7841726003166972E-2</v>
      </c>
      <c r="BN82" s="31"/>
      <c r="BO82" s="231"/>
      <c r="BP82" s="31">
        <f>BM82/Parameters!$C$156</f>
        <v>2.7448809235641494E-2</v>
      </c>
      <c r="BQ82" s="305" t="s">
        <v>934</v>
      </c>
      <c r="BR82" s="237">
        <f>Basicinfo!CW82</f>
        <v>0.03</v>
      </c>
      <c r="BS82" s="237">
        <f t="shared" si="72"/>
        <v>0.91496030785471649</v>
      </c>
      <c r="BT82" s="237"/>
      <c r="BU82" s="31">
        <f t="shared" si="54"/>
        <v>2.8365066710578576E-2</v>
      </c>
      <c r="BV82" s="147"/>
      <c r="BW82" s="31">
        <f t="shared" si="55"/>
        <v>0.98445678559164584</v>
      </c>
      <c r="BX82" s="31"/>
      <c r="BY82" s="231"/>
      <c r="BZ82" s="147">
        <f t="shared" si="73"/>
        <v>1.3303470075562782</v>
      </c>
      <c r="CA82" s="305" t="s">
        <v>934</v>
      </c>
      <c r="CB82" s="231">
        <f>Basicinfo!CV82</f>
        <v>4</v>
      </c>
      <c r="CC82" s="147">
        <f t="shared" si="74"/>
        <v>0.33258675188906955</v>
      </c>
      <c r="CD82" s="147"/>
      <c r="CE82" s="233">
        <f>'Local emissions'!FC82/14*62</f>
        <v>3.5564999999999998</v>
      </c>
      <c r="CF82" s="233">
        <f>'Local emissions'!FD82/14*62</f>
        <v>5.9840220668824644</v>
      </c>
      <c r="CH82">
        <f t="shared" si="75"/>
        <v>0</v>
      </c>
      <c r="CI82">
        <f t="shared" si="76"/>
        <v>0</v>
      </c>
      <c r="CK82" s="276">
        <f>Basicinfo!EM82</f>
        <v>2</v>
      </c>
      <c r="CL82" s="276">
        <f>Basicinfo!EN82</f>
        <v>2</v>
      </c>
      <c r="CM82">
        <f t="shared" si="56"/>
        <v>2</v>
      </c>
      <c r="CN82">
        <f t="shared" si="57"/>
        <v>2</v>
      </c>
      <c r="CO82" s="31">
        <f>BN82</f>
        <v>0</v>
      </c>
      <c r="CP82" s="31"/>
      <c r="CQ82" s="31"/>
      <c r="CR82" s="233"/>
      <c r="CS82" s="181"/>
      <c r="CT82" s="181"/>
      <c r="DI82" s="31"/>
      <c r="DJ82" s="233"/>
      <c r="DK82" s="233"/>
      <c r="DR82" s="236">
        <f t="shared" si="53"/>
        <v>3.5564999999999998</v>
      </c>
      <c r="DS82" s="236">
        <f t="shared" si="52"/>
        <v>5.9840220668824644</v>
      </c>
      <c r="DY82" s="31">
        <f>Basicinfo!EI82</f>
        <v>9.1800300000000022E-3</v>
      </c>
      <c r="DZ82" s="31">
        <f>Intermediate!CR82</f>
        <v>1.9444600758330651E-2</v>
      </c>
    </row>
    <row r="83" spans="1:130">
      <c r="A83" s="39" t="str">
        <f>Basicinfo!A83</f>
        <v>Enns</v>
      </c>
      <c r="B83" s="63">
        <f>Basicinfo!B83</f>
        <v>4060</v>
      </c>
      <c r="C83" s="63">
        <f>Basicinfo!C83</f>
        <v>4070</v>
      </c>
      <c r="D83" s="61">
        <f>IF(Intermediate!D83=0,0,Basicinfo!AP83*86400*365/(Intermediate!D83*1000000))</f>
        <v>126.20661697980829</v>
      </c>
      <c r="E83" s="19">
        <f>IF(Intermediate!E83=0,0,IF((Intermediate!E83-Basicinfo!AA83)&lt;0,0,'Summed emissions'!E83*86400*365/((Intermediate!E83-Basicinfo!AA83)*1000000)))</f>
        <v>5009.0762520503486</v>
      </c>
      <c r="F83" s="19">
        <f>IF(Basicinfo!AA83=0,0,'Summed emissions'!E83*86400*365/(Basicinfo!AA83*1000000))</f>
        <v>0</v>
      </c>
      <c r="G83" s="19">
        <f>IF(D83=0,1,1/(1+Parameters!$C$138*EXP(Parameters!$C$139*Basicinfo!AQ83)*D83^Parameters!$C$140))</f>
        <v>0.94108583390146672</v>
      </c>
      <c r="H83" s="19">
        <f>IF(D83=0,1,1/(1+Parameters!$C$141*EXP(Parameters!$C$142*Basicinfo!AQ83)*D83^Parameters!$C$143))</f>
        <v>0.89821584891682194</v>
      </c>
      <c r="I83" s="161">
        <f>IF(Intermediate!AS83=0,1,IF(D83=0,1/(1+Parameters!$C$144*Intermediate!AS83^Parameters!$C$145),(1/(1+Parameters!$C$144*Intermediate!AS83^Parameters!$C$145)+1/(1+Parameters!$C$146*D83^Parameters!$C$147))/2))</f>
        <v>0.84842885511538846</v>
      </c>
      <c r="J83" s="19">
        <f>IF(E83=0,1,1/(1+Parameters!$C$138*EXP(Parameters!$C$139*Basicinfo!AQ83)*E83^Parameters!$C$140))</f>
        <v>0.99842518150270387</v>
      </c>
      <c r="K83" s="19">
        <f>IF(E83=0,1,1/(1+Parameters!$C$141*EXP(Parameters!$C$142*Basicinfo!AQ83)*E83^Parameters!$C$143))</f>
        <v>0.99715301137049872</v>
      </c>
      <c r="L83" s="19">
        <f>IF(E83=0,1,1/(1+Parameters!$C$146*E83^Parameters!$C$147))</f>
        <v>0.99488759892885514</v>
      </c>
      <c r="M83" s="53">
        <f>IF(F83=0,1,1/(1+Parameters!$C$138*EXP(Parameters!$C$139*Basicinfo!AQ83)*F83^Parameters!$C$140))</f>
        <v>1</v>
      </c>
      <c r="N83" s="53">
        <f>IF(F83=0,1,1/(1+Parameters!$C$141*EXP(Parameters!$C$142*Basicinfo!AQ83)*F83^Parameters!$C$143))</f>
        <v>1</v>
      </c>
      <c r="O83" s="53">
        <f>IF(F83=0,1,1/(1+Parameters!$C$146*F83^Parameters!$C$147))</f>
        <v>1</v>
      </c>
      <c r="P83" s="64">
        <f>Basicinfo!CE83+Basicinfo!CJ83</f>
        <v>45.952582506666658</v>
      </c>
      <c r="Q83" s="86">
        <f>Parameters!$C$126*Intermediate!BB83*Basicinfo!P83/1000+Parameters!$C$127*Intermediate!BB83*Basicinfo!S83/1000</f>
        <v>9.1209746144308372</v>
      </c>
      <c r="R83" s="48">
        <f>'Local emissions'!AE83-P83-Q83</f>
        <v>546.55846367750519</v>
      </c>
      <c r="S83" s="48">
        <f>Basicinfo!CF83+Basicinfo!CK83</f>
        <v>6.3315072333333333</v>
      </c>
      <c r="T83" s="86">
        <f>'Local emissions'!AR83-S83</f>
        <v>17.453390943176593</v>
      </c>
      <c r="U83" s="61">
        <f t="shared" si="58"/>
        <v>569.43198468694698</v>
      </c>
      <c r="V83" s="27">
        <f t="shared" si="59"/>
        <v>536.88005694143089</v>
      </c>
      <c r="W83" s="27">
        <f t="shared" si="60"/>
        <v>21.139467729133941</v>
      </c>
      <c r="X83" s="61">
        <f>U83+TN!CI83</f>
        <v>1980.4105466416709</v>
      </c>
      <c r="Y83" s="27">
        <f>V83+DIN!CI83</f>
        <v>1901.7975363133639</v>
      </c>
      <c r="Z83" s="27">
        <f>W83+TP!CI83</f>
        <v>64.186699052027052</v>
      </c>
      <c r="AA83" s="73">
        <f>'Summed emissions'!E83</f>
        <v>71.165884351298232</v>
      </c>
      <c r="AB83" s="131" t="str">
        <f>IF(Basicinfo!AR83="","",Basicinfo!AR83)</f>
        <v/>
      </c>
      <c r="AC83" s="131" t="str">
        <f>IF(Basicinfo!AS83="","",Basicinfo!AS83)</f>
        <v/>
      </c>
      <c r="AD83" s="131" t="str">
        <f>IF(Basicinfo!AT83="","",Basicinfo!AT83)</f>
        <v/>
      </c>
      <c r="AE83" s="174" t="str">
        <f t="shared" si="61"/>
        <v/>
      </c>
      <c r="AF83" s="19" t="str">
        <f t="shared" si="62"/>
        <v/>
      </c>
      <c r="AG83" s="27" t="str">
        <f t="shared" si="63"/>
        <v/>
      </c>
      <c r="AH83" s="56">
        <f>'Local emissions'!AE83-U83</f>
        <v>32.200036111655663</v>
      </c>
      <c r="AI83" s="228">
        <f>'Local emissions'!AR83-W83</f>
        <v>2.6454304473759862</v>
      </c>
      <c r="AJ83" s="43">
        <f t="shared" si="64"/>
        <v>32.200036111655713</v>
      </c>
      <c r="AK83" s="58">
        <f t="shared" si="65"/>
        <v>2.6454304473759862</v>
      </c>
      <c r="AL83" s="43">
        <f>TN!CI172</f>
        <v>2.2225745106559502</v>
      </c>
      <c r="AM83" s="43">
        <f>TP!CI172</f>
        <v>0.2212056032881729</v>
      </c>
      <c r="AN83" s="42">
        <f>TN!CI261+(AH83-AJ83)</f>
        <v>-4.9737991503207013E-14</v>
      </c>
      <c r="AO83" s="43">
        <f>TP!CI261+(AI83-AK83)</f>
        <v>0</v>
      </c>
      <c r="AP83" s="42">
        <f t="shared" si="66"/>
        <v>34.422610622311616</v>
      </c>
      <c r="AQ83" s="42">
        <f t="shared" si="67"/>
        <v>2.8666360506641593</v>
      </c>
      <c r="AR83" s="42">
        <f>AH83/'Local emissions'!AE83*100</f>
        <v>5.3521147476348636</v>
      </c>
      <c r="AS83" s="42">
        <f>AI83/'Local emissions'!AR83*100</f>
        <v>11.122311425274988</v>
      </c>
      <c r="AT83" s="42">
        <f t="shared" si="68"/>
        <v>1.7084596061073054</v>
      </c>
      <c r="AU83" s="42">
        <f t="shared" si="69"/>
        <v>4.2751580458659486</v>
      </c>
      <c r="AV83" s="42">
        <f>('Summed emissions'!AE83-'River loads'!X83)/'Summed emissions'!AE83*100</f>
        <v>4.4170649772351815</v>
      </c>
      <c r="AW83" s="42">
        <f>('Summed emissions'!AR83-'River loads'!Z83)/'Summed emissions'!AR83*100</f>
        <v>12.482003754519976</v>
      </c>
      <c r="AX83" s="61">
        <f>X83/('Summed emissions'!$D83*100)*1000</f>
        <v>9.1947615428526621</v>
      </c>
      <c r="AY83" s="19">
        <f>Y83/('Summed emissions'!$D83*100)*1000</f>
        <v>8.8297726341840281</v>
      </c>
      <c r="AZ83" s="72">
        <f>Z83/('Summed emissions'!$D83*100)*1000</f>
        <v>0.29800961876669968</v>
      </c>
      <c r="BA83" s="43" t="str">
        <f>IF(AB83="","",AB83/('Summed emissions'!$D83*100)*1000)</f>
        <v/>
      </c>
      <c r="BB83" s="43" t="str">
        <f>IF(AC83="","",AC83/('Summed emissions'!$D83*100)*1000)</f>
        <v/>
      </c>
      <c r="BC83" s="43" t="str">
        <f>IF(AD83="","",AD83/('Summed emissions'!$D83*100)*1000)</f>
        <v/>
      </c>
      <c r="BF83" s="188">
        <f>('Summed emissions'!AE83-'River loads'!Y83)/'Summed emissions'!AE83*100</f>
        <v>8.2112592017088168</v>
      </c>
      <c r="BG83" s="188">
        <f>('Summed emissions'!AR83-'River loads'!Z83)/'Summed emissions'!AR83*100</f>
        <v>12.482003754519976</v>
      </c>
      <c r="BH83" s="181">
        <f>'Summed emissions'!CV83*(100-'River loads'!BG83)/100</f>
        <v>54.529732888205338</v>
      </c>
      <c r="BI83" s="181">
        <f t="shared" si="70"/>
        <v>41.442596995036055</v>
      </c>
      <c r="BJ83" s="233"/>
      <c r="BK83" s="233"/>
      <c r="BM83" s="31">
        <f t="shared" si="71"/>
        <v>1.8465816057207582E-2</v>
      </c>
      <c r="BN83" s="31"/>
      <c r="BO83" s="231"/>
      <c r="BP83" s="31">
        <f>BM83/Parameters!$C$156</f>
        <v>2.8408947780319355E-2</v>
      </c>
      <c r="BQ83" s="305" t="s">
        <v>934</v>
      </c>
      <c r="BR83" s="237">
        <f>Basicinfo!CW83</f>
        <v>0.03</v>
      </c>
      <c r="BS83" s="237">
        <f t="shared" si="72"/>
        <v>0.94696492601064519</v>
      </c>
      <c r="BT83" s="237"/>
      <c r="BU83" s="31">
        <f t="shared" si="54"/>
        <v>2.860003629010124E-2</v>
      </c>
      <c r="BV83" s="147"/>
      <c r="BW83" s="31">
        <f t="shared" si="55"/>
        <v>0.84739485529392744</v>
      </c>
      <c r="BX83" s="31"/>
      <c r="BY83" s="231"/>
      <c r="BZ83" s="147">
        <f t="shared" si="73"/>
        <v>1.1451281828296316</v>
      </c>
      <c r="CA83" s="305" t="s">
        <v>934</v>
      </c>
      <c r="CB83" s="231">
        <f>Basicinfo!CV83</f>
        <v>5.5</v>
      </c>
      <c r="CC83" s="147">
        <f t="shared" si="74"/>
        <v>0.20820512415084211</v>
      </c>
      <c r="CD83" s="147"/>
      <c r="CE83" s="233">
        <f>'Local emissions'!FC83/14*62</f>
        <v>3.5906250000000002</v>
      </c>
      <c r="CF83" s="233">
        <f>'Local emissions'!FD83/14*62</f>
        <v>4.3756576589216003</v>
      </c>
      <c r="CH83">
        <f t="shared" si="75"/>
        <v>0</v>
      </c>
      <c r="CI83">
        <f t="shared" si="76"/>
        <v>0</v>
      </c>
      <c r="CK83" s="276">
        <f>Basicinfo!EM83</f>
        <v>2</v>
      </c>
      <c r="CL83" s="276">
        <f>Basicinfo!EN83</f>
        <v>2</v>
      </c>
      <c r="CM83">
        <f t="shared" si="56"/>
        <v>2</v>
      </c>
      <c r="CN83">
        <f t="shared" si="57"/>
        <v>2</v>
      </c>
      <c r="CO83" s="31"/>
      <c r="CP83" s="31"/>
      <c r="CQ83" s="31"/>
      <c r="CR83" s="236"/>
      <c r="CS83" s="181"/>
      <c r="CT83" s="181"/>
      <c r="DI83" s="31"/>
      <c r="DJ83" s="233"/>
      <c r="DK83" s="233"/>
      <c r="DR83" s="236">
        <f t="shared" si="53"/>
        <v>3.5906250000000002</v>
      </c>
      <c r="DS83" s="236">
        <f t="shared" si="52"/>
        <v>4.3756576589216003</v>
      </c>
      <c r="DY83" s="31">
        <f>Basicinfo!EI83</f>
        <v>7.7451052631578952E-3</v>
      </c>
      <c r="DZ83" s="31">
        <f>Intermediate!CR83</f>
        <v>1.8561925851198841E-2</v>
      </c>
    </row>
    <row r="84" spans="1:130">
      <c r="A84" s="39" t="str">
        <f>Basicinfo!A84</f>
        <v>Enns</v>
      </c>
      <c r="B84" s="63">
        <f>Basicinfo!B84</f>
        <v>4070</v>
      </c>
      <c r="C84" s="63">
        <f>Basicinfo!C84</f>
        <v>4080</v>
      </c>
      <c r="D84" s="61">
        <f>IF(Intermediate!D84=0,0,Basicinfo!AP84*86400*365/(Intermediate!D84*1000000))</f>
        <v>73.729146306143818</v>
      </c>
      <c r="E84" s="19">
        <f>IF(Intermediate!E84=0,0,IF((Intermediate!E84-Basicinfo!AA84)&lt;0,0,'Summed emissions'!E84*86400*365/((Intermediate!E84-Basicinfo!AA84)*1000000)))</f>
        <v>6698.3691406514235</v>
      </c>
      <c r="F84" s="19">
        <f>IF(Basicinfo!AA84=0,0,'Summed emissions'!E84*86400*365/(Basicinfo!AA84*1000000))</f>
        <v>0</v>
      </c>
      <c r="G84" s="19">
        <f>IF(D84=0,1,1/(1+Parameters!$C$138*EXP(Parameters!$C$139*Basicinfo!AQ84)*D84^Parameters!$C$140))</f>
        <v>0.90006569974324113</v>
      </c>
      <c r="H84" s="19">
        <f>IF(D84=0,1,1/(1+Parameters!$C$141*EXP(Parameters!$C$142*Basicinfo!AQ84)*D84^Parameters!$C$143))</f>
        <v>0.83265446617719896</v>
      </c>
      <c r="I84" s="161">
        <f>IF(Intermediate!AS84=0,1,IF(D84=0,1/(1+Parameters!$C$144*Intermediate!AS84^Parameters!$C$145),(1/(1+Parameters!$C$144*Intermediate!AS84^Parameters!$C$145)+1/(1+Parameters!$C$146*D84^Parameters!$C$147))/2))</f>
        <v>0.76895551007753582</v>
      </c>
      <c r="J84" s="19">
        <f>IF(E84=0,1,1/(1+Parameters!$C$138*EXP(Parameters!$C$139*Basicinfo!AQ84)*E84^Parameters!$C$140))</f>
        <v>0.9987793811841621</v>
      </c>
      <c r="K84" s="19">
        <f>IF(E84=0,1,1/(1+Parameters!$C$141*EXP(Parameters!$C$142*Basicinfo!AQ84)*E84^Parameters!$C$143))</f>
        <v>0.99779270812788123</v>
      </c>
      <c r="L84" s="19">
        <f>IF(E84=0,1,1/(1+Parameters!$C$146*E84^Parameters!$C$147))</f>
        <v>0.99617198360978632</v>
      </c>
      <c r="M84" s="53">
        <f>IF(F84=0,1,1/(1+Parameters!$C$138*EXP(Parameters!$C$139*Basicinfo!AQ84)*F84^Parameters!$C$140))</f>
        <v>1</v>
      </c>
      <c r="N84" s="53">
        <f>IF(F84=0,1,1/(1+Parameters!$C$141*EXP(Parameters!$C$142*Basicinfo!AQ84)*F84^Parameters!$C$143))</f>
        <v>1</v>
      </c>
      <c r="O84" s="53">
        <f>IF(F84=0,1,1/(1+Parameters!$C$146*F84^Parameters!$C$147))</f>
        <v>1</v>
      </c>
      <c r="P84" s="64">
        <f>Basicinfo!CE84+Basicinfo!CJ84</f>
        <v>6.4</v>
      </c>
      <c r="Q84" s="86">
        <f>Parameters!$C$126*Intermediate!BB84*Basicinfo!P84/1000+Parameters!$C$127*Intermediate!BB84*Basicinfo!S84/1000</f>
        <v>2.6351808741443059</v>
      </c>
      <c r="R84" s="48">
        <f>'Local emissions'!AE84-P84-Q84</f>
        <v>626.77316161990791</v>
      </c>
      <c r="S84" s="48">
        <f>Basicinfo!CF84+Basicinfo!CK84</f>
        <v>0.71666666666666667</v>
      </c>
      <c r="T84" s="86">
        <f>'Local emissions'!AR84-S84</f>
        <v>8.038773805636291</v>
      </c>
      <c r="U84" s="61">
        <f t="shared" si="58"/>
        <v>573.17220516785028</v>
      </c>
      <c r="V84" s="27">
        <f t="shared" si="59"/>
        <v>528.2854723028197</v>
      </c>
      <c r="W84" s="27">
        <f t="shared" si="60"/>
        <v>6.898126078777655</v>
      </c>
      <c r="X84" s="61">
        <f>U84+TN!CI84</f>
        <v>3910.8322328180116</v>
      </c>
      <c r="Y84" s="27">
        <f>V84+DIN!CI84</f>
        <v>3738.995981462057</v>
      </c>
      <c r="Z84" s="27">
        <f>W84+TP!CI84</f>
        <v>93.321700513522657</v>
      </c>
      <c r="AA84" s="73">
        <f>'Summed emissions'!E84</f>
        <v>136.52225065717744</v>
      </c>
      <c r="AB84" s="131" t="str">
        <f>IF(Basicinfo!AR84="","",Basicinfo!AR84)</f>
        <v/>
      </c>
      <c r="AC84" s="131" t="str">
        <f>IF(Basicinfo!AS84="","",Basicinfo!AS84)</f>
        <v/>
      </c>
      <c r="AD84" s="131" t="str">
        <f>IF(Basicinfo!AT84="","",Basicinfo!AT84)</f>
        <v/>
      </c>
      <c r="AE84" s="174" t="str">
        <f t="shared" si="61"/>
        <v/>
      </c>
      <c r="AF84" s="19" t="str">
        <f t="shared" si="62"/>
        <v/>
      </c>
      <c r="AG84" s="27" t="str">
        <f t="shared" si="63"/>
        <v/>
      </c>
      <c r="AH84" s="56">
        <f>'Local emissions'!AE84-U84</f>
        <v>62.636137326201947</v>
      </c>
      <c r="AI84" s="228">
        <f>'Local emissions'!AR84-W84</f>
        <v>1.8573143935253027</v>
      </c>
      <c r="AJ84" s="43">
        <f t="shared" si="64"/>
        <v>62.636137326201933</v>
      </c>
      <c r="AK84" s="58">
        <f t="shared" si="65"/>
        <v>1.8573143935253031</v>
      </c>
      <c r="AL84" s="43">
        <f>TN!CI173</f>
        <v>4.0624302349852837</v>
      </c>
      <c r="AM84" s="43">
        <f>TP!CI173</f>
        <v>0.33210215191782289</v>
      </c>
      <c r="AN84" s="42">
        <f>TN!CI262+(AH84-AJ84)</f>
        <v>1.4210854715202004E-14</v>
      </c>
      <c r="AO84" s="43">
        <f>TP!CI262+(AI84-AK84)</f>
        <v>-4.4408920985006262E-16</v>
      </c>
      <c r="AP84" s="42">
        <f t="shared" si="66"/>
        <v>66.698567561187232</v>
      </c>
      <c r="AQ84" s="42">
        <f t="shared" si="67"/>
        <v>2.1894165454431254</v>
      </c>
      <c r="AR84" s="42">
        <f>AH84/'Local emissions'!AE84*100</f>
        <v>9.8514179729857645</v>
      </c>
      <c r="AS84" s="42">
        <f>AI84/'Local emissions'!AR84*100</f>
        <v>21.213260479592641</v>
      </c>
      <c r="AT84" s="42">
        <f t="shared" si="68"/>
        <v>1.6768837479480614</v>
      </c>
      <c r="AU84" s="42">
        <f t="shared" si="69"/>
        <v>2.2923159239059507</v>
      </c>
      <c r="AV84" s="42">
        <f>('Summed emissions'!AE84-'River loads'!X84)/'Summed emissions'!AE84*100</f>
        <v>5.2132066390479306</v>
      </c>
      <c r="AW84" s="42">
        <f>('Summed emissions'!AR84-'River loads'!Z84)/'Summed emissions'!AR84*100</f>
        <v>12.928937067168956</v>
      </c>
      <c r="AX84" s="61">
        <f>X84/('Summed emissions'!$D84*100)*1000</f>
        <v>8.9739308934410431</v>
      </c>
      <c r="AY84" s="19">
        <f>Y84/('Summed emissions'!$D84*100)*1000</f>
        <v>8.5796294883037643</v>
      </c>
      <c r="AZ84" s="72">
        <f>Z84/('Summed emissions'!$D84*100)*1000</f>
        <v>0.21413920143112533</v>
      </c>
      <c r="BA84" s="43" t="str">
        <f>IF(AB84="","",AB84/('Summed emissions'!$D84*100)*1000)</f>
        <v/>
      </c>
      <c r="BB84" s="43" t="str">
        <f>IF(AC84="","",AC84/('Summed emissions'!$D84*100)*1000)</f>
        <v/>
      </c>
      <c r="BC84" s="43" t="str">
        <f>IF(AD84="","",AD84/('Summed emissions'!$D84*100)*1000)</f>
        <v/>
      </c>
      <c r="BF84" s="188">
        <f>('Summed emissions'!AE84-'River loads'!Y84)/'Summed emissions'!AE84*100</f>
        <v>9.3779997775817847</v>
      </c>
      <c r="BG84" s="188">
        <f>('Summed emissions'!AR84-'River loads'!Z84)/'Summed emissions'!AR84*100</f>
        <v>12.928937067168956</v>
      </c>
      <c r="BH84" s="181">
        <f>'Summed emissions'!CV84*(100-'River loads'!BG84)/100</f>
        <v>71.741292509304188</v>
      </c>
      <c r="BI84" s="181">
        <f t="shared" si="70"/>
        <v>54.523382307071181</v>
      </c>
      <c r="BJ84" s="233"/>
      <c r="BK84" s="233"/>
      <c r="BM84" s="31">
        <f t="shared" si="71"/>
        <v>1.2664053682721809E-2</v>
      </c>
      <c r="BN84" s="31"/>
      <c r="BO84" s="231"/>
      <c r="BP84" s="31">
        <f>BM84/Parameters!$C$156</f>
        <v>1.9483159511879705E-2</v>
      </c>
      <c r="BQ84" s="305" t="s">
        <v>934</v>
      </c>
      <c r="BR84" s="237">
        <f>Basicinfo!CW84</f>
        <v>0.05</v>
      </c>
      <c r="BS84" s="237">
        <f t="shared" si="72"/>
        <v>0.3896631902375941</v>
      </c>
      <c r="BT84" s="237"/>
      <c r="BU84" s="31">
        <f t="shared" si="54"/>
        <v>2.1675673354418178E-2</v>
      </c>
      <c r="BV84" s="147"/>
      <c r="BW84" s="31">
        <f t="shared" si="55"/>
        <v>0.86845026528326053</v>
      </c>
      <c r="BX84" s="31"/>
      <c r="BY84" s="231"/>
      <c r="BZ84" s="147">
        <f t="shared" si="73"/>
        <v>1.1735814395719737</v>
      </c>
      <c r="CA84" s="305" t="s">
        <v>934</v>
      </c>
      <c r="CB84" s="231">
        <f>Basicinfo!CV84</f>
        <v>5.5</v>
      </c>
      <c r="CC84" s="147">
        <f t="shared" si="74"/>
        <v>0.21337844355854066</v>
      </c>
      <c r="CD84" s="147"/>
      <c r="CE84" s="233">
        <f>'Local emissions'!FC84/14*62</f>
        <v>4.6218181818181812</v>
      </c>
      <c r="CF84" s="233">
        <f>'Local emissions'!FD84/14*62</f>
        <v>8.1956333710097482</v>
      </c>
      <c r="CH84">
        <f t="shared" si="75"/>
        <v>0</v>
      </c>
      <c r="CI84">
        <f t="shared" si="76"/>
        <v>0</v>
      </c>
      <c r="CK84" s="276">
        <f>Basicinfo!EM84</f>
        <v>2</v>
      </c>
      <c r="CL84" s="276">
        <f>Basicinfo!EN84</f>
        <v>2</v>
      </c>
      <c r="CM84">
        <f t="shared" si="56"/>
        <v>2</v>
      </c>
      <c r="CN84">
        <f t="shared" si="57"/>
        <v>2</v>
      </c>
      <c r="CO84" s="31">
        <f>BN84</f>
        <v>0</v>
      </c>
      <c r="CP84" s="31"/>
      <c r="CQ84" s="31"/>
      <c r="CR84" s="236">
        <f>BX84</f>
        <v>0</v>
      </c>
      <c r="CS84" s="181"/>
      <c r="CT84" s="181"/>
      <c r="DI84" s="31" t="e">
        <f>#REF!</f>
        <v>#REF!</v>
      </c>
      <c r="DJ84" s="233"/>
      <c r="DK84" s="233"/>
      <c r="DR84" s="236">
        <f t="shared" si="53"/>
        <v>4.6218181818181812</v>
      </c>
      <c r="DS84" s="236">
        <f t="shared" si="52"/>
        <v>8.1956333710097482</v>
      </c>
      <c r="DY84" s="31">
        <f>Basicinfo!EI84</f>
        <v>2.0216640935672513E-2</v>
      </c>
      <c r="DZ84" s="31">
        <f>Intermediate!CR84</f>
        <v>3.8322922032684079E-3</v>
      </c>
    </row>
    <row r="85" spans="1:130">
      <c r="A85" s="39" t="str">
        <f>Basicinfo!A85</f>
        <v>EZG_restlich1</v>
      </c>
      <c r="B85" s="63">
        <f>Basicinfo!B85</f>
        <v>61141</v>
      </c>
      <c r="C85" s="63">
        <f>Basicinfo!C85</f>
        <v>1100</v>
      </c>
      <c r="D85" s="61">
        <f>IF(Intermediate!D85=0,0,Basicinfo!AP85*86400*365/(Intermediate!D85*1000000))</f>
        <v>294.25423976127746</v>
      </c>
      <c r="E85" s="19">
        <f>IF(Intermediate!E85=0,0,IF((Intermediate!E85-Basicinfo!AA85)&lt;0,0,'Summed emissions'!E85*86400*365/((Intermediate!E85-Basicinfo!AA85)*1000000)))</f>
        <v>0</v>
      </c>
      <c r="F85" s="19">
        <f>IF(Basicinfo!AA85=0,0,'Summed emissions'!E85*86400*365/(Basicinfo!AA85*1000000))</f>
        <v>0</v>
      </c>
      <c r="G85" s="19">
        <f>IF(D85=0,1,1/(1+Parameters!$C$138*EXP(Parameters!$C$139*Basicinfo!AQ85)*D85^Parameters!$C$140))</f>
        <v>0.97117242414659311</v>
      </c>
      <c r="H85" s="19">
        <f>IF(D85=0,1,1/(1+Parameters!$C$141*EXP(Parameters!$C$142*Basicinfo!AQ85)*D85^Parameters!$C$143))</f>
        <v>0.94900927529067125</v>
      </c>
      <c r="I85" s="161">
        <f>IF(Intermediate!AS85=0,1,IF(D85=0,1/(1+Parameters!$C$144*Intermediate!AS85^Parameters!$C$145),(1/(1+Parameters!$C$144*Intermediate!AS85^Parameters!$C$145)+1/(1+Parameters!$C$146*D85^Parameters!$C$147))/2))</f>
        <v>0.8560325516352616</v>
      </c>
      <c r="J85" s="19">
        <f>IF(E85=0,1,1/(1+Parameters!$C$138*EXP(Parameters!$C$139*Basicinfo!AQ85)*E85^Parameters!$C$140))</f>
        <v>1</v>
      </c>
      <c r="K85" s="19">
        <f>IF(E85=0,1,1/(1+Parameters!$C$141*EXP(Parameters!$C$142*Basicinfo!AQ85)*E85^Parameters!$C$143))</f>
        <v>1</v>
      </c>
      <c r="L85" s="19">
        <f>IF(E85=0,1,1/(1+Parameters!$C$146*E85^Parameters!$C$147))</f>
        <v>1</v>
      </c>
      <c r="M85" s="53">
        <f>IF(F85=0,1,1/(1+Parameters!$C$138*EXP(Parameters!$C$139*Basicinfo!AQ85)*F85^Parameters!$C$140))</f>
        <v>1</v>
      </c>
      <c r="N85" s="53">
        <f>IF(F85=0,1,1/(1+Parameters!$C$141*EXP(Parameters!$C$142*Basicinfo!AQ85)*F85^Parameters!$C$143))</f>
        <v>1</v>
      </c>
      <c r="O85" s="53">
        <f>IF(F85=0,1,1/(1+Parameters!$C$146*F85^Parameters!$C$147))</f>
        <v>1</v>
      </c>
      <c r="P85" s="64">
        <f>Basicinfo!CE85+Basicinfo!CJ85</f>
        <v>7.4260000000000002</v>
      </c>
      <c r="Q85" s="86">
        <f>Parameters!$C$126*Intermediate!BB85*Basicinfo!P85/1000+Parameters!$C$127*Intermediate!BB85*Basicinfo!S85/1000</f>
        <v>0</v>
      </c>
      <c r="R85" s="48">
        <f>'Local emissions'!AE85-P85-Q85</f>
        <v>209.70511466385179</v>
      </c>
      <c r="S85" s="48">
        <f>Basicinfo!CF85+Basicinfo!CK85</f>
        <v>1.444</v>
      </c>
      <c r="T85" s="86">
        <f>'Local emissions'!AR85-S85</f>
        <v>2.006238441274288</v>
      </c>
      <c r="U85" s="61">
        <f>(R85*G85+P85)*M85+Q85</f>
        <v>211.08582456403221</v>
      </c>
      <c r="V85" s="27">
        <f>(R85*H85+P85)*N85</f>
        <v>206.4380988918891</v>
      </c>
      <c r="W85" s="27">
        <f>(T85*I85+S85)*O85</f>
        <v>3.1614054120727788</v>
      </c>
      <c r="X85" s="61">
        <f>U85+TN!CI85</f>
        <v>211.08582456403221</v>
      </c>
      <c r="Y85" s="27">
        <f>V85+DIN!CI85</f>
        <v>206.4380988918891</v>
      </c>
      <c r="Z85" s="27">
        <f>W85+TP!CI85</f>
        <v>3.1614054120727788</v>
      </c>
      <c r="AA85" s="73">
        <f>'Summed emissions'!E85</f>
        <v>2.5747195238153675</v>
      </c>
      <c r="AB85" s="131" t="str">
        <f>IF(Basicinfo!AR85="","",Basicinfo!AR85)</f>
        <v/>
      </c>
      <c r="AC85" s="131" t="str">
        <f>IF(Basicinfo!AS85="","",Basicinfo!AS85)</f>
        <v/>
      </c>
      <c r="AD85" s="131" t="str">
        <f>IF(Basicinfo!AT85="","",Basicinfo!AT85)</f>
        <v/>
      </c>
      <c r="AE85" s="174" t="str">
        <f t="shared" ref="AE85:AG88" si="77">IF(AB85="","",X85/AB85*100-100)</f>
        <v/>
      </c>
      <c r="AF85" s="19" t="str">
        <f t="shared" si="77"/>
        <v/>
      </c>
      <c r="AG85" s="27" t="str">
        <f t="shared" si="77"/>
        <v/>
      </c>
      <c r="AH85" s="56">
        <f>'Local emissions'!AE85-U85</f>
        <v>6.0452900998195673</v>
      </c>
      <c r="AI85" s="228">
        <f>'Local emissions'!AR85-W85</f>
        <v>0.28883302920150911</v>
      </c>
      <c r="AJ85" s="43">
        <f>R85*(1-G85)</f>
        <v>6.045290099819578</v>
      </c>
      <c r="AK85" s="58">
        <f>T85*(1-I85)</f>
        <v>0.28883302920150933</v>
      </c>
      <c r="AL85" s="43">
        <f>TN!CI174</f>
        <v>0</v>
      </c>
      <c r="AM85" s="43">
        <f>TP!CI174</f>
        <v>0</v>
      </c>
      <c r="AN85" s="42">
        <f>TN!CI263+(AH85-AJ85)</f>
        <v>-1.0658141036401503E-14</v>
      </c>
      <c r="AO85" s="43">
        <f>TP!CI263+(AI85-AK85)</f>
        <v>-2.2204460492503131E-16</v>
      </c>
      <c r="AP85" s="42">
        <f t="shared" ref="AP85:AQ88" si="78">AJ85+AL85+AN85</f>
        <v>6.0452900998195673</v>
      </c>
      <c r="AQ85" s="42">
        <f t="shared" si="78"/>
        <v>0.28883302920150911</v>
      </c>
      <c r="AR85" s="42">
        <f>AH85/'Local emissions'!AE85*100</f>
        <v>2.7841657374524562</v>
      </c>
      <c r="AS85" s="42">
        <f>AI85/'Local emissions'!AR85*100</f>
        <v>8.3713932853531556</v>
      </c>
      <c r="AT85" s="42">
        <f>AP85/(X85+AP85)*100</f>
        <v>2.7841657374524562</v>
      </c>
      <c r="AU85" s="42">
        <f>AQ85/(Z85+AQ85)*100</f>
        <v>8.3713932853531556</v>
      </c>
      <c r="AV85" s="42">
        <f>('Summed emissions'!AE85-'River loads'!X85)/'Summed emissions'!AE85*100</f>
        <v>2.7841657374524562</v>
      </c>
      <c r="AW85" s="42">
        <f>('Summed emissions'!AR85-'River loads'!Z85)/'Summed emissions'!AR85*100</f>
        <v>8.3713932853531556</v>
      </c>
      <c r="AX85" s="61">
        <f>X85/('Summed emissions'!$D85*100)*1000</f>
        <v>15.994419981918163</v>
      </c>
      <c r="AY85" s="19">
        <f>Y85/('Summed emissions'!$D85*100)*1000</f>
        <v>15.642251964409011</v>
      </c>
      <c r="AZ85" s="72">
        <f>Z85/('Summed emissions'!$D85*100)*1000</f>
        <v>0.23954638355387239</v>
      </c>
      <c r="BA85" s="43" t="str">
        <f>IF(AB85="","",AB85/('Summed emissions'!$D85*100)*1000)</f>
        <v/>
      </c>
      <c r="BB85" s="43" t="str">
        <f>IF(AC85="","",AC85/('Summed emissions'!$D85*100)*1000)</f>
        <v/>
      </c>
      <c r="BC85" s="43" t="str">
        <f>IF(AD85="","",AD85/('Summed emissions'!$D85*100)*1000)</f>
        <v/>
      </c>
    </row>
    <row r="86" spans="1:130">
      <c r="A86" s="39" t="str">
        <f>Basicinfo!A86</f>
        <v>EZG_restlich2</v>
      </c>
      <c r="B86" s="63">
        <f>Basicinfo!B86</f>
        <v>61142</v>
      </c>
      <c r="C86" s="63">
        <f>Basicinfo!C86</f>
        <v>1140</v>
      </c>
      <c r="D86" s="61">
        <f>IF(Intermediate!D86=0,0,Basicinfo!AP86*86400*365/(Intermediate!D86*1000000))</f>
        <v>294.25423976127746</v>
      </c>
      <c r="E86" s="19">
        <f>IF(Intermediate!E86=0,0,IF((Intermediate!E86-Basicinfo!AA86)&lt;0,0,'Summed emissions'!E86*86400*365/((Intermediate!E86-Basicinfo!AA86)*1000000)))</f>
        <v>0</v>
      </c>
      <c r="F86" s="19">
        <f>IF(Basicinfo!AA86=0,0,'Summed emissions'!E86*86400*365/(Basicinfo!AA86*1000000))</f>
        <v>0</v>
      </c>
      <c r="G86" s="19">
        <f>IF(D86=0,1,1/(1+Parameters!$C$138*EXP(Parameters!$C$139*Basicinfo!AQ86)*D86^Parameters!$C$140))</f>
        <v>0.97094287172170957</v>
      </c>
      <c r="H86" s="19">
        <f>IF(D86=0,1,1/(1+Parameters!$C$141*EXP(Parameters!$C$142*Basicinfo!AQ86)*D86^Parameters!$C$143))</f>
        <v>0.94861257716686409</v>
      </c>
      <c r="I86" s="161">
        <f>IF(Intermediate!AS86=0,1,IF(D86=0,1/(1+Parameters!$C$144*Intermediate!AS86^Parameters!$C$145),(1/(1+Parameters!$C$144*Intermediate!AS86^Parameters!$C$145)+1/(1+Parameters!$C$146*D86^Parameters!$C$147))/2))</f>
        <v>0.85664452067405095</v>
      </c>
      <c r="J86" s="19">
        <f>IF(E86=0,1,1/(1+Parameters!$C$138*EXP(Parameters!$C$139*Basicinfo!AQ86)*E86^Parameters!$C$140))</f>
        <v>1</v>
      </c>
      <c r="K86" s="19">
        <f>IF(E86=0,1,1/(1+Parameters!$C$141*EXP(Parameters!$C$142*Basicinfo!AQ86)*E86^Parameters!$C$143))</f>
        <v>1</v>
      </c>
      <c r="L86" s="19">
        <f>IF(E86=0,1,1/(1+Parameters!$C$146*E86^Parameters!$C$147))</f>
        <v>1</v>
      </c>
      <c r="M86" s="53">
        <f>IF(F86=0,1,1/(1+Parameters!$C$138*EXP(Parameters!$C$139*Basicinfo!AQ86)*F86^Parameters!$C$140))</f>
        <v>1</v>
      </c>
      <c r="N86" s="53">
        <f>IF(F86=0,1,1/(1+Parameters!$C$141*EXP(Parameters!$C$142*Basicinfo!AQ86)*F86^Parameters!$C$143))</f>
        <v>1</v>
      </c>
      <c r="O86" s="53">
        <f>IF(F86=0,1,1/(1+Parameters!$C$146*F86^Parameters!$C$147))</f>
        <v>1</v>
      </c>
      <c r="P86" s="64">
        <f>Basicinfo!CE86+Basicinfo!CJ86</f>
        <v>0</v>
      </c>
      <c r="Q86" s="86">
        <f>Parameters!$C$126*Intermediate!BB86*Basicinfo!P86/1000+Parameters!$C$127*Intermediate!BB86*Basicinfo!S86/1000</f>
        <v>0</v>
      </c>
      <c r="R86" s="48">
        <f>'Local emissions'!AE86-P86-Q86</f>
        <v>98.91303465474806</v>
      </c>
      <c r="S86" s="48">
        <f>Basicinfo!CF86+Basicinfo!CK86</f>
        <v>0</v>
      </c>
      <c r="T86" s="86">
        <f>'Local emissions'!AR86-S86</f>
        <v>1.0231555990800634</v>
      </c>
      <c r="U86" s="61">
        <f>(R86*G86+P86)*M86+Q86</f>
        <v>96.038905918390057</v>
      </c>
      <c r="V86" s="27">
        <f>(R86*H86+P86)*N86</f>
        <v>93.830148719235893</v>
      </c>
      <c r="W86" s="27">
        <f>(T86*I86+S86)*O86</f>
        <v>0.87648063774891238</v>
      </c>
      <c r="X86" s="61">
        <f>U86+TN!CI86</f>
        <v>96.038905918390057</v>
      </c>
      <c r="Y86" s="27">
        <f>V86+DIN!CI86</f>
        <v>93.830148719235893</v>
      </c>
      <c r="Z86" s="27">
        <f>W86+TP!CI86</f>
        <v>0.87648063774891238</v>
      </c>
      <c r="AA86" s="73">
        <f>'Summed emissions'!E86</f>
        <v>1.2873597619076835</v>
      </c>
      <c r="AB86" s="131" t="str">
        <f>IF(Basicinfo!AR86="","",Basicinfo!AR86)</f>
        <v/>
      </c>
      <c r="AC86" s="131" t="str">
        <f>IF(Basicinfo!AS86="","",Basicinfo!AS86)</f>
        <v/>
      </c>
      <c r="AD86" s="131" t="str">
        <f>IF(Basicinfo!AT86="","",Basicinfo!AT86)</f>
        <v/>
      </c>
      <c r="AE86" s="174" t="str">
        <f t="shared" si="77"/>
        <v/>
      </c>
      <c r="AF86" s="19" t="str">
        <f t="shared" si="77"/>
        <v/>
      </c>
      <c r="AG86" s="27" t="str">
        <f t="shared" si="77"/>
        <v/>
      </c>
      <c r="AH86" s="56">
        <f>'Local emissions'!AE86-U86</f>
        <v>2.8741287363580028</v>
      </c>
      <c r="AI86" s="228">
        <f>'Local emissions'!AR86-W86</f>
        <v>0.14667496133115099</v>
      </c>
      <c r="AJ86" s="43">
        <f>R86*(1-G86)</f>
        <v>2.8741287363580015</v>
      </c>
      <c r="AK86" s="58">
        <f>T86*(1-I86)</f>
        <v>0.14667496133115104</v>
      </c>
      <c r="AL86" s="43">
        <f>TN!CI175</f>
        <v>0</v>
      </c>
      <c r="AM86" s="43">
        <f>TP!CI175</f>
        <v>0</v>
      </c>
      <c r="AN86" s="42">
        <f>TN!CI264+(AH86-AJ86)</f>
        <v>1.3322676295501878E-15</v>
      </c>
      <c r="AO86" s="43">
        <f>TP!CI264+(AI86-AK86)</f>
        <v>-5.5511151231257827E-17</v>
      </c>
      <c r="AP86" s="42">
        <f t="shared" si="78"/>
        <v>2.8741287363580028</v>
      </c>
      <c r="AQ86" s="42">
        <f t="shared" si="78"/>
        <v>0.14667496133115099</v>
      </c>
      <c r="AR86" s="42">
        <f>AH86/'Local emissions'!AE86*100</f>
        <v>2.9057128278290447</v>
      </c>
      <c r="AS86" s="42">
        <f>AI86/'Local emissions'!AR86*100</f>
        <v>14.335547932594899</v>
      </c>
      <c r="AT86" s="42">
        <f>AP86/(X86+AP86)*100</f>
        <v>2.9057128278290447</v>
      </c>
      <c r="AU86" s="42">
        <f>AQ86/(Z86+AQ86)*100</f>
        <v>14.335547932594899</v>
      </c>
      <c r="AV86" s="42">
        <f>('Summed emissions'!AE86-'River loads'!X86)/'Summed emissions'!AE86*100</f>
        <v>2.9057128278290447</v>
      </c>
      <c r="AW86" s="42">
        <f>('Summed emissions'!AR86-'River loads'!Z86)/'Summed emissions'!AR86*100</f>
        <v>14.335547932594899</v>
      </c>
      <c r="AX86" s="61">
        <f>X86/('Summed emissions'!$D86*100)*1000</f>
        <v>14.554142600861287</v>
      </c>
      <c r="AY86" s="19">
        <f>Y86/('Summed emissions'!$D86*100)*1000</f>
        <v>14.219418179130727</v>
      </c>
      <c r="AZ86" s="72">
        <f>Z86/('Summed emissions'!$D86*100)*1000</f>
        <v>0.13282558840821659</v>
      </c>
      <c r="BA86" s="43" t="str">
        <f>IF(AB86="","",AB86/('Summed emissions'!$D86*100)*1000)</f>
        <v/>
      </c>
      <c r="BB86" s="43" t="str">
        <f>IF(AC86="","",AC86/('Summed emissions'!$D86*100)*1000)</f>
        <v/>
      </c>
      <c r="BC86" s="43" t="str">
        <f>IF(AD86="","",AD86/('Summed emissions'!$D86*100)*1000)</f>
        <v/>
      </c>
    </row>
    <row r="87" spans="1:130">
      <c r="A87" s="39" t="str">
        <f>Basicinfo!A87</f>
        <v>EZG_restlich3</v>
      </c>
      <c r="B87" s="63">
        <f>Basicinfo!B87</f>
        <v>61151</v>
      </c>
      <c r="C87" s="63">
        <f>Basicinfo!C87</f>
        <v>1130</v>
      </c>
      <c r="D87" s="61">
        <f>IF(Intermediate!D87=0,0,Basicinfo!AP87*86400*365/(Intermediate!D87*1000000))</f>
        <v>1052.2499225369472</v>
      </c>
      <c r="E87" s="19">
        <f>IF(Intermediate!E87=0,0,IF((Intermediate!E87-Basicinfo!AA87)&lt;0,0,'Summed emissions'!E87*86400*365/((Intermediate!E87-Basicinfo!AA87)*1000000)))</f>
        <v>0</v>
      </c>
      <c r="F87" s="19">
        <f>IF(Basicinfo!AA87=0,0,'Summed emissions'!E87*86400*365/(Basicinfo!AA87*1000000))</f>
        <v>0</v>
      </c>
      <c r="G87" s="19">
        <f>IF(D87=0,1,1/(1+Parameters!$C$138*EXP(Parameters!$C$139*Basicinfo!AQ87)*D87^Parameters!$C$140))</f>
        <v>0.99139069143638447</v>
      </c>
      <c r="H87" s="19">
        <f>IF(D87=0,1,1/(1+Parameters!$C$141*EXP(Parameters!$C$142*Basicinfo!AQ87)*D87^Parameters!$C$143))</f>
        <v>0.98452400107604088</v>
      </c>
      <c r="I87" s="161">
        <f>IF(Intermediate!AS87=0,1,IF(D87=0,1/(1+Parameters!$C$144*Intermediate!AS87^Parameters!$C$145),(1/(1+Parameters!$C$144*Intermediate!AS87^Parameters!$C$145)+1/(1+Parameters!$C$146*D87^Parameters!$C$147))/2))</f>
        <v>0.82689236581699865</v>
      </c>
      <c r="J87" s="19">
        <f>IF(E87=0,1,1/(1+Parameters!$C$138*EXP(Parameters!$C$139*Basicinfo!AQ87)*E87^Parameters!$C$140))</f>
        <v>1</v>
      </c>
      <c r="K87" s="19">
        <f>IF(E87=0,1,1/(1+Parameters!$C$141*EXP(Parameters!$C$142*Basicinfo!AQ87)*E87^Parameters!$C$143))</f>
        <v>1</v>
      </c>
      <c r="L87" s="19">
        <f>IF(E87=0,1,1/(1+Parameters!$C$146*E87^Parameters!$C$147))</f>
        <v>1</v>
      </c>
      <c r="M87" s="53">
        <f>IF(F87=0,1,1/(1+Parameters!$C$138*EXP(Parameters!$C$139*Basicinfo!AQ87)*F87^Parameters!$C$140))</f>
        <v>1</v>
      </c>
      <c r="N87" s="53">
        <f>IF(F87=0,1,1/(1+Parameters!$C$141*EXP(Parameters!$C$142*Basicinfo!AQ87)*F87^Parameters!$C$143))</f>
        <v>1</v>
      </c>
      <c r="O87" s="53">
        <f>IF(F87=0,1,1/(1+Parameters!$C$146*F87^Parameters!$C$147))</f>
        <v>1</v>
      </c>
      <c r="P87" s="64">
        <f>Basicinfo!CE87+Basicinfo!CJ87</f>
        <v>0</v>
      </c>
      <c r="Q87" s="86">
        <f>Parameters!$C$126*Intermediate!BB87*Basicinfo!P87/1000+Parameters!$C$127*Intermediate!BB87*Basicinfo!S87/1000</f>
        <v>5.5236757045840724E-2</v>
      </c>
      <c r="R87" s="48">
        <f>'Local emissions'!AE87-P87-Q87</f>
        <v>22.671780147720771</v>
      </c>
      <c r="S87" s="48">
        <f>Basicinfo!CF87+Basicinfo!CK87</f>
        <v>0</v>
      </c>
      <c r="T87" s="86">
        <f>'Local emissions'!AR87-S87</f>
        <v>0.41835461347481023</v>
      </c>
      <c r="U87" s="61">
        <f>(R87*G87+P87)*M87+Q87</f>
        <v>22.531828553788429</v>
      </c>
      <c r="V87" s="27">
        <f>(R87*H87+P87)*N87</f>
        <v>22.320911702550408</v>
      </c>
      <c r="W87" s="27">
        <f>(T87*I87+S87)*O87</f>
        <v>0.34593423608664187</v>
      </c>
      <c r="X87" s="61">
        <f>U87+TN!CI87</f>
        <v>22.531828553788429</v>
      </c>
      <c r="Y87" s="27">
        <f>V87+DIN!CI87</f>
        <v>22.320911702550408</v>
      </c>
      <c r="Z87" s="27">
        <f>W87+TP!CI87</f>
        <v>0.34593423608664187</v>
      </c>
      <c r="AA87" s="73">
        <f>'Summed emissions'!E87</f>
        <v>0.28200135084805245</v>
      </c>
      <c r="AB87" s="131" t="str">
        <f>IF(Basicinfo!AR87="","",Basicinfo!AR87)</f>
        <v/>
      </c>
      <c r="AC87" s="131" t="str">
        <f>IF(Basicinfo!AS87="","",Basicinfo!AS87)</f>
        <v/>
      </c>
      <c r="AD87" s="131" t="str">
        <f>IF(Basicinfo!AT87="","",Basicinfo!AT87)</f>
        <v/>
      </c>
      <c r="AE87" s="174" t="str">
        <f t="shared" si="77"/>
        <v/>
      </c>
      <c r="AF87" s="19" t="str">
        <f t="shared" si="77"/>
        <v/>
      </c>
      <c r="AG87" s="27" t="str">
        <f t="shared" si="77"/>
        <v/>
      </c>
      <c r="AH87" s="56">
        <f>'Local emissions'!AE87-U87</f>
        <v>0.19518835097818155</v>
      </c>
      <c r="AI87" s="228">
        <f>'Local emissions'!AR87-W87</f>
        <v>7.2420377388168367E-2</v>
      </c>
      <c r="AJ87" s="43">
        <f>R87*(1-G87)</f>
        <v>0.19518835097818088</v>
      </c>
      <c r="AK87" s="58">
        <f>T87*(1-I87)</f>
        <v>7.242037738816838E-2</v>
      </c>
      <c r="AL87" s="43">
        <f>TN!CI176</f>
        <v>0</v>
      </c>
      <c r="AM87" s="43">
        <f>TP!CI176</f>
        <v>0</v>
      </c>
      <c r="AN87" s="42">
        <f>TN!CI265+(AH87-AJ87)</f>
        <v>6.6613381477509392E-16</v>
      </c>
      <c r="AO87" s="43">
        <f>TP!CI265+(AI87-AK87)</f>
        <v>-1.3877787807814457E-17</v>
      </c>
      <c r="AP87" s="42">
        <f t="shared" si="78"/>
        <v>0.19518835097818155</v>
      </c>
      <c r="AQ87" s="42">
        <f t="shared" si="78"/>
        <v>7.2420377388168367E-2</v>
      </c>
      <c r="AR87" s="42">
        <f>AH87/'Local emissions'!AE87*100</f>
        <v>0.85883841155256957</v>
      </c>
      <c r="AS87" s="42">
        <f>AI87/'Local emissions'!AR87*100</f>
        <v>17.31076341830013</v>
      </c>
      <c r="AT87" s="42">
        <f>AP87/(X87+AP87)*100</f>
        <v>0.85883841155256957</v>
      </c>
      <c r="AU87" s="42">
        <f>AQ87/(Z87+AQ87)*100</f>
        <v>17.31076341830013</v>
      </c>
      <c r="AV87" s="42">
        <f>('Summed emissions'!AE87-'River loads'!X87)/'Summed emissions'!AE87*100</f>
        <v>0.85883841155256957</v>
      </c>
      <c r="AW87" s="42">
        <f>('Summed emissions'!AR87-'River loads'!Z87)/'Summed emissions'!AR87*100</f>
        <v>17.31076341830013</v>
      </c>
      <c r="AX87" s="61">
        <f>X87/('Summed emissions'!$D87*100)*1000</f>
        <v>8.5163958702001068</v>
      </c>
      <c r="AY87" s="19">
        <f>Y87/('Summed emissions'!$D87*100)*1000</f>
        <v>8.436675247590582</v>
      </c>
      <c r="AZ87" s="72">
        <f>Z87/('Summed emissions'!$D87*100)*1000</f>
        <v>0.13075338703807757</v>
      </c>
      <c r="BA87" s="43" t="str">
        <f>IF(AB87="","",AB87/('Summed emissions'!$D87*100)*1000)</f>
        <v/>
      </c>
      <c r="BB87" s="43" t="str">
        <f>IF(AC87="","",AC87/('Summed emissions'!$D87*100)*1000)</f>
        <v/>
      </c>
      <c r="BC87" s="43" t="str">
        <f>IF(AD87="","",AD87/('Summed emissions'!$D87*100)*1000)</f>
        <v/>
      </c>
    </row>
    <row r="88" spans="1:130">
      <c r="A88" s="39" t="str">
        <f>Basicinfo!A88</f>
        <v>EZG_restlich4</v>
      </c>
      <c r="B88" s="63">
        <f>Basicinfo!B88</f>
        <v>61152</v>
      </c>
      <c r="C88" s="63">
        <f>Basicinfo!C88</f>
        <v>1120</v>
      </c>
      <c r="D88" s="61">
        <f>IF(Intermediate!D88=0,0,Basicinfo!AP88*86400*365/(Intermediate!D88*1000000))</f>
        <v>1052.2499225369472</v>
      </c>
      <c r="E88" s="19">
        <f>IF(Intermediate!E88=0,0,IF((Intermediate!E88-Basicinfo!AA88)&lt;0,0,'Summed emissions'!E88*86400*365/((Intermediate!E88-Basicinfo!AA88)*1000000)))</f>
        <v>0</v>
      </c>
      <c r="F88" s="19">
        <f>IF(Basicinfo!AA88=0,0,'Summed emissions'!E88*86400*365/(Basicinfo!AA88*1000000))</f>
        <v>0</v>
      </c>
      <c r="G88" s="19">
        <f>IF(D88=0,1,1/(1+Parameters!$C$138*EXP(Parameters!$C$139*Basicinfo!AQ88)*D88^Parameters!$C$140))</f>
        <v>0.99165823174809375</v>
      </c>
      <c r="H88" s="19">
        <f>IF(D88=0,1,1/(1+Parameters!$C$141*EXP(Parameters!$C$142*Basicinfo!AQ88)*D88^Parameters!$C$143))</f>
        <v>0.98500170037612711</v>
      </c>
      <c r="I88" s="161">
        <f>IF(Intermediate!AS88=0,1,IF(D88=0,1/(1+Parameters!$C$144*Intermediate!AS88^Parameters!$C$145),(1/(1+Parameters!$C$144*Intermediate!AS88^Parameters!$C$145)+1/(1+Parameters!$C$146*D88^Parameters!$C$147))/2))</f>
        <v>0.82689236581699865</v>
      </c>
      <c r="J88" s="19">
        <f>IF(E88=0,1,1/(1+Parameters!$C$138*EXP(Parameters!$C$139*Basicinfo!AQ88)*E88^Parameters!$C$140))</f>
        <v>1</v>
      </c>
      <c r="K88" s="19">
        <f>IF(E88=0,1,1/(1+Parameters!$C$141*EXP(Parameters!$C$142*Basicinfo!AQ88)*E88^Parameters!$C$143))</f>
        <v>1</v>
      </c>
      <c r="L88" s="19">
        <f>IF(E88=0,1,1/(1+Parameters!$C$146*E88^Parameters!$C$147))</f>
        <v>1</v>
      </c>
      <c r="M88" s="53">
        <f>IF(F88=0,1,1/(1+Parameters!$C$138*EXP(Parameters!$C$139*Basicinfo!AQ88)*F88^Parameters!$C$140))</f>
        <v>1</v>
      </c>
      <c r="N88" s="53">
        <f>IF(F88=0,1,1/(1+Parameters!$C$141*EXP(Parameters!$C$142*Basicinfo!AQ88)*F88^Parameters!$C$143))</f>
        <v>1</v>
      </c>
      <c r="O88" s="53">
        <f>IF(F88=0,1,1/(1+Parameters!$C$146*F88^Parameters!$C$147))</f>
        <v>1</v>
      </c>
      <c r="P88" s="64">
        <f>Basicinfo!CE88+Basicinfo!CJ88</f>
        <v>0</v>
      </c>
      <c r="Q88" s="86">
        <f>Parameters!$C$126*Intermediate!BB88*Basicinfo!P88/1000+Parameters!$C$127*Intermediate!BB88*Basicinfo!S88/1000</f>
        <v>5.5236757045840724E-2</v>
      </c>
      <c r="R88" s="48">
        <f>'Local emissions'!AE88-P88-Q88</f>
        <v>21.835086857106724</v>
      </c>
      <c r="S88" s="48">
        <f>Basicinfo!CF88+Basicinfo!CK88</f>
        <v>0</v>
      </c>
      <c r="T88" s="86">
        <f>'Local emissions'!AR88-S88</f>
        <v>0.41124019187810446</v>
      </c>
      <c r="U88" s="61">
        <f>(R88*G88+P88)*M88+Q88</f>
        <v>21.708180379830335</v>
      </c>
      <c r="V88" s="27">
        <f>(R88*H88+P88)*N88</f>
        <v>21.50759768211055</v>
      </c>
      <c r="W88" s="27">
        <f>(T88*I88+S88)*O88</f>
        <v>0.34005137518112227</v>
      </c>
      <c r="X88" s="61">
        <f>U88+TN!CI88</f>
        <v>21.708180379830335</v>
      </c>
      <c r="Y88" s="27">
        <f>V88+DIN!CI88</f>
        <v>21.50759768211055</v>
      </c>
      <c r="Z88" s="27">
        <f>W88+TP!CI88</f>
        <v>0.34005137518112227</v>
      </c>
      <c r="AA88" s="73">
        <f>'Summed emissions'!E88</f>
        <v>0.28200135084805245</v>
      </c>
      <c r="AB88" s="131" t="str">
        <f>IF(Basicinfo!AR88="","",Basicinfo!AR88)</f>
        <v/>
      </c>
      <c r="AC88" s="131" t="str">
        <f>IF(Basicinfo!AS88="","",Basicinfo!AS88)</f>
        <v/>
      </c>
      <c r="AD88" s="131" t="str">
        <f>IF(Basicinfo!AT88="","",Basicinfo!AT88)</f>
        <v/>
      </c>
      <c r="AE88" s="174" t="str">
        <f t="shared" si="77"/>
        <v/>
      </c>
      <c r="AF88" s="19" t="str">
        <f t="shared" si="77"/>
        <v/>
      </c>
      <c r="AG88" s="27" t="str">
        <f t="shared" si="77"/>
        <v/>
      </c>
      <c r="AH88" s="56">
        <f>'Local emissions'!AE88-U88</f>
        <v>0.18214323432222912</v>
      </c>
      <c r="AI88" s="228">
        <f>'Local emissions'!AR88-W88</f>
        <v>7.1188816696982182E-2</v>
      </c>
      <c r="AJ88" s="43">
        <f>R88*(1-G88)</f>
        <v>0.18214323432222818</v>
      </c>
      <c r="AK88" s="58">
        <f>T88*(1-I88)</f>
        <v>7.1188816696982182E-2</v>
      </c>
      <c r="AL88" s="43">
        <f>TN!CI177</f>
        <v>0</v>
      </c>
      <c r="AM88" s="43">
        <f>TP!CI177</f>
        <v>0</v>
      </c>
      <c r="AN88" s="42">
        <f>TN!CI266+(AH88-AJ88)</f>
        <v>9.4368957093138306E-16</v>
      </c>
      <c r="AO88" s="43">
        <f>TP!CI266+(AI88-AK88)</f>
        <v>0</v>
      </c>
      <c r="AP88" s="42">
        <f t="shared" si="78"/>
        <v>0.18214323432222912</v>
      </c>
      <c r="AQ88" s="42">
        <f t="shared" si="78"/>
        <v>7.1188816696982182E-2</v>
      </c>
      <c r="AR88" s="42">
        <f>AH88/'Local emissions'!AE88*100</f>
        <v>0.83207191237899114</v>
      </c>
      <c r="AS88" s="42">
        <f>AI88/'Local emissions'!AR88*100</f>
        <v>17.310763418300134</v>
      </c>
      <c r="AT88" s="42">
        <f>AP88/(X88+AP88)*100</f>
        <v>0.83207191237899114</v>
      </c>
      <c r="AU88" s="42">
        <f>AQ88/(Z88+AQ88)*100</f>
        <v>17.310763418300134</v>
      </c>
      <c r="AV88" s="42">
        <f>('Summed emissions'!AE88-'River loads'!X88)/'Summed emissions'!AE88*100</f>
        <v>0.83207191237899114</v>
      </c>
      <c r="AW88" s="42">
        <f>('Summed emissions'!AR88-'River loads'!Z88)/'Summed emissions'!AR88*100</f>
        <v>17.310763418300134</v>
      </c>
      <c r="AX88" s="61">
        <f>X88/('Summed emissions'!$D88*100)*1000</f>
        <v>8.2050800846015548</v>
      </c>
      <c r="AY88" s="19">
        <f>Y88/('Summed emissions'!$D88*100)*1000</f>
        <v>8.129265480632931</v>
      </c>
      <c r="AZ88" s="72">
        <f>Z88/('Summed emissions'!$D88*100)*1000</f>
        <v>0.12852983149303482</v>
      </c>
      <c r="BA88" s="43" t="str">
        <f>IF(AB88="","",AB88/('Summed emissions'!$D88*100)*1000)</f>
        <v/>
      </c>
      <c r="BB88" s="43" t="str">
        <f>IF(AC88="","",AC88/('Summed emissions'!$D88*100)*1000)</f>
        <v/>
      </c>
      <c r="BC88" s="43" t="str">
        <f>IF(AD88="","",AD88/('Summed emissions'!$D88*100)*1000)</f>
        <v/>
      </c>
    </row>
    <row r="89" spans="1:130">
      <c r="K89" s="31"/>
      <c r="L89" s="31"/>
      <c r="M89" s="31"/>
      <c r="P89" s="159"/>
    </row>
    <row r="90" spans="1:130">
      <c r="K90" s="31"/>
      <c r="L90" s="31"/>
      <c r="M90" s="31"/>
      <c r="P90" s="159"/>
    </row>
    <row r="91" spans="1:130">
      <c r="K91" s="31"/>
      <c r="L91" s="31"/>
      <c r="M91" s="31"/>
      <c r="P91" s="159"/>
    </row>
    <row r="92" spans="1:130">
      <c r="K92" s="31"/>
      <c r="L92" s="31"/>
      <c r="M92" s="31"/>
      <c r="P92" s="159"/>
    </row>
    <row r="93" spans="1:130">
      <c r="K93" s="31"/>
      <c r="L93" s="31"/>
      <c r="M93" s="31"/>
      <c r="P93" s="159"/>
    </row>
    <row r="94" spans="1:130">
      <c r="A94" s="183" t="s">
        <v>826</v>
      </c>
      <c r="B94" s="182"/>
      <c r="C94" s="182"/>
      <c r="D94" s="259" t="s">
        <v>286</v>
      </c>
      <c r="E94" s="259" t="s">
        <v>288</v>
      </c>
      <c r="F94" s="259" t="s">
        <v>78</v>
      </c>
      <c r="K94" s="31"/>
      <c r="L94" s="31"/>
      <c r="M94" s="31"/>
      <c r="P94" s="159"/>
    </row>
    <row r="95" spans="1:130" ht="15">
      <c r="A95" s="182"/>
      <c r="B95" s="182"/>
      <c r="C95" s="182"/>
      <c r="D95" s="259" t="s">
        <v>79</v>
      </c>
      <c r="E95" s="259" t="s">
        <v>79</v>
      </c>
      <c r="F95" s="259" t="s">
        <v>234</v>
      </c>
      <c r="K95" s="31"/>
      <c r="L95" s="31"/>
      <c r="M95" s="31"/>
      <c r="P95" s="159"/>
    </row>
    <row r="96" spans="1:130">
      <c r="A96" s="260" t="s">
        <v>75</v>
      </c>
      <c r="B96" s="182"/>
      <c r="C96" s="182"/>
      <c r="D96" s="184">
        <f>'Local emissions'!AE90</f>
        <v>18968.104450468007</v>
      </c>
      <c r="E96" s="184">
        <f>'Local emissions'!AR90</f>
        <v>774.63665117491928</v>
      </c>
      <c r="F96" s="184">
        <f>'Local emissions'!E90</f>
        <v>288.95689669135305</v>
      </c>
      <c r="K96" s="31"/>
      <c r="L96" s="31"/>
      <c r="M96" s="31"/>
      <c r="P96" s="159"/>
    </row>
    <row r="97" spans="1:16">
      <c r="A97" s="260" t="s">
        <v>71</v>
      </c>
      <c r="B97" s="182"/>
      <c r="C97" s="182"/>
      <c r="D97" s="184">
        <f>SUM(AP4:AP67)</f>
        <v>2998.6541861066094</v>
      </c>
      <c r="E97" s="184">
        <f>SUM(AQ4:AQ67)</f>
        <v>220.01606710670296</v>
      </c>
      <c r="F97" s="182"/>
      <c r="K97" s="31"/>
      <c r="L97" s="31"/>
      <c r="M97" s="31"/>
      <c r="P97" s="159"/>
    </row>
    <row r="98" spans="1:16">
      <c r="A98" s="260" t="s">
        <v>827</v>
      </c>
      <c r="B98" s="182"/>
      <c r="C98" s="182"/>
      <c r="D98" s="261">
        <f>D96-D97</f>
        <v>15969.450264361398</v>
      </c>
      <c r="E98" s="261">
        <f>E96-E97</f>
        <v>554.62058406821632</v>
      </c>
      <c r="F98" s="261">
        <f>F96-F97</f>
        <v>288.95689669135305</v>
      </c>
      <c r="K98" s="31"/>
      <c r="L98" s="31"/>
      <c r="M98" s="31"/>
      <c r="P98" s="159"/>
    </row>
    <row r="99" spans="1:16">
      <c r="A99" s="260" t="s">
        <v>569</v>
      </c>
      <c r="B99" s="182"/>
      <c r="C99" s="182"/>
      <c r="D99" s="184">
        <f>SUM(AH4:AH67)</f>
        <v>2566.887080286167</v>
      </c>
      <c r="E99" s="184">
        <f>SUM(AI4:AI67)</f>
        <v>183.67168648113906</v>
      </c>
      <c r="F99" s="182"/>
      <c r="K99" s="31"/>
      <c r="L99" s="31"/>
      <c r="M99" s="31"/>
      <c r="P99" s="159"/>
    </row>
    <row r="100" spans="1:16">
      <c r="A100" s="260" t="s">
        <v>828</v>
      </c>
      <c r="B100" s="182"/>
      <c r="C100" s="182"/>
      <c r="D100" s="261">
        <f>D97/D96*100</f>
        <v>15.808929110112649</v>
      </c>
      <c r="E100" s="261">
        <f>E97/E96*100</f>
        <v>28.402486091123713</v>
      </c>
      <c r="F100" s="261"/>
      <c r="I100" s="163"/>
      <c r="P100" s="159"/>
    </row>
    <row r="101" spans="1:16">
      <c r="A101" s="260" t="s">
        <v>829</v>
      </c>
      <c r="B101" s="182"/>
      <c r="C101" s="182"/>
      <c r="D101" s="261">
        <f>D99/D96*100</f>
        <v>13.532649437845295</v>
      </c>
      <c r="E101" s="261">
        <f>E99/E96*100</f>
        <v>23.710688902023627</v>
      </c>
      <c r="F101" s="261"/>
      <c r="P101" s="159"/>
    </row>
    <row r="102" spans="1:16">
      <c r="A102" s="260" t="s">
        <v>72</v>
      </c>
      <c r="B102" s="182"/>
      <c r="C102" s="182"/>
      <c r="D102" s="184">
        <f>SUM(AJ4:AJ67)</f>
        <v>2336.1333442554719</v>
      </c>
      <c r="E102" s="184">
        <f>SUM(AK4:AK67)</f>
        <v>172.9917961134793</v>
      </c>
      <c r="F102" s="182"/>
      <c r="G102" s="31"/>
      <c r="P102" s="159"/>
    </row>
    <row r="103" spans="1:16">
      <c r="A103" s="260" t="s">
        <v>73</v>
      </c>
      <c r="B103" s="182"/>
      <c r="C103" s="182"/>
      <c r="D103" s="184">
        <f>SUM(AL4:AL67)</f>
        <v>345.96964706604348</v>
      </c>
      <c r="E103" s="184">
        <f>SUM(AM4:AM67)</f>
        <v>32.688429756245895</v>
      </c>
      <c r="F103" s="182"/>
      <c r="P103" s="159"/>
    </row>
    <row r="104" spans="1:16">
      <c r="A104" s="260" t="s">
        <v>74</v>
      </c>
      <c r="B104" s="182"/>
      <c r="C104" s="182"/>
      <c r="D104" s="184">
        <f>SUM(AN4:AN67)</f>
        <v>316.55119478509403</v>
      </c>
      <c r="E104" s="184">
        <f>SUM(AO4:AO67)</f>
        <v>14.335841236977759</v>
      </c>
      <c r="F104" s="182"/>
      <c r="P104" s="159"/>
    </row>
    <row r="105" spans="1:16">
      <c r="P105" s="159"/>
    </row>
    <row r="106" spans="1:16">
      <c r="P106" s="159"/>
    </row>
    <row r="107" spans="1:16">
      <c r="P107" s="159"/>
    </row>
    <row r="108" spans="1:16">
      <c r="H108" t="s">
        <v>493</v>
      </c>
      <c r="P108" s="159"/>
    </row>
    <row r="109" spans="1:16">
      <c r="P109" s="159"/>
    </row>
    <row r="110" spans="1:16">
      <c r="P110" s="159"/>
    </row>
    <row r="111" spans="1:16">
      <c r="D111" s="31"/>
      <c r="E111" s="31"/>
      <c r="F111" s="31"/>
      <c r="P111" s="159"/>
    </row>
    <row r="112" spans="1:16">
      <c r="P112" s="159"/>
    </row>
    <row r="113" spans="16:16">
      <c r="P113" s="159"/>
    </row>
    <row r="114" spans="16:16">
      <c r="P114" s="159"/>
    </row>
    <row r="115" spans="16:16">
      <c r="P115" s="159"/>
    </row>
    <row r="116" spans="16:16">
      <c r="P116" s="159"/>
    </row>
    <row r="117" spans="16:16">
      <c r="P117" s="159"/>
    </row>
    <row r="118" spans="16:16">
      <c r="P118" s="159"/>
    </row>
    <row r="119" spans="16:16">
      <c r="P119" s="159"/>
    </row>
    <row r="120" spans="16:16">
      <c r="P120" s="159"/>
    </row>
    <row r="121" spans="16:16">
      <c r="P121" s="159"/>
    </row>
    <row r="122" spans="16:16">
      <c r="P122" s="159"/>
    </row>
    <row r="123" spans="16:16">
      <c r="P123" s="159"/>
    </row>
    <row r="124" spans="16:16">
      <c r="P124" s="159"/>
    </row>
    <row r="125" spans="16:16">
      <c r="P125" s="159"/>
    </row>
    <row r="126" spans="16:16">
      <c r="P126" s="159"/>
    </row>
    <row r="127" spans="16:16">
      <c r="P127" s="159"/>
    </row>
    <row r="128" spans="16:16">
      <c r="P128" s="159"/>
    </row>
    <row r="129" spans="16:16">
      <c r="P129" s="159"/>
    </row>
    <row r="130" spans="16:16">
      <c r="P130" s="159"/>
    </row>
    <row r="131" spans="16:16">
      <c r="P131" s="159"/>
    </row>
    <row r="132" spans="16:16">
      <c r="P132" s="159"/>
    </row>
    <row r="133" spans="16:16">
      <c r="P133" s="159"/>
    </row>
    <row r="134" spans="16:16">
      <c r="P134" s="159"/>
    </row>
    <row r="135" spans="16:16">
      <c r="P135" s="159"/>
    </row>
    <row r="136" spans="16:16">
      <c r="P136" s="159"/>
    </row>
    <row r="137" spans="16:16">
      <c r="P137" s="159"/>
    </row>
    <row r="138" spans="16:16">
      <c r="P138" s="159"/>
    </row>
    <row r="139" spans="16:16">
      <c r="P139" s="159"/>
    </row>
    <row r="140" spans="16:16">
      <c r="P140" s="159"/>
    </row>
    <row r="141" spans="16:16">
      <c r="P141" s="159"/>
    </row>
    <row r="142" spans="16:16">
      <c r="P142" s="159"/>
    </row>
    <row r="143" spans="16:16">
      <c r="P143" s="159"/>
    </row>
    <row r="144" spans="16:16">
      <c r="P144" s="159"/>
    </row>
    <row r="145" spans="16:16">
      <c r="P145" s="159"/>
    </row>
    <row r="146" spans="16:16">
      <c r="P146" s="159"/>
    </row>
    <row r="147" spans="16:16">
      <c r="P147" s="159"/>
    </row>
    <row r="148" spans="16:16">
      <c r="P148" s="159"/>
    </row>
    <row r="149" spans="16:16">
      <c r="P149" s="159"/>
    </row>
    <row r="150" spans="16:16">
      <c r="P150" s="159"/>
    </row>
    <row r="151" spans="16:16">
      <c r="P151" s="159"/>
    </row>
    <row r="152" spans="16:16">
      <c r="P152" s="159"/>
    </row>
    <row r="153" spans="16:16">
      <c r="P153" s="159"/>
    </row>
    <row r="154" spans="16:16">
      <c r="P154" s="159"/>
    </row>
    <row r="155" spans="16:16">
      <c r="P155" s="159"/>
    </row>
    <row r="156" spans="16:16">
      <c r="P156" s="159"/>
    </row>
    <row r="157" spans="16:16">
      <c r="P157" s="159"/>
    </row>
    <row r="158" spans="16:16">
      <c r="P158" s="159"/>
    </row>
    <row r="159" spans="16:16">
      <c r="P159" s="159"/>
    </row>
    <row r="160" spans="16:16">
      <c r="P160" s="159"/>
    </row>
    <row r="161" spans="16:16">
      <c r="P161" s="159"/>
    </row>
    <row r="162" spans="16:16">
      <c r="P162" s="159"/>
    </row>
    <row r="163" spans="16:16">
      <c r="P163" s="159"/>
    </row>
    <row r="164" spans="16:16">
      <c r="P164" s="159"/>
    </row>
    <row r="165" spans="16:16">
      <c r="P165" s="159"/>
    </row>
    <row r="166" spans="16:16">
      <c r="P166" s="159"/>
    </row>
    <row r="167" spans="16:16">
      <c r="P167" s="159"/>
    </row>
    <row r="168" spans="16:16">
      <c r="P168" s="159"/>
    </row>
    <row r="169" spans="16:16">
      <c r="P169" s="159"/>
    </row>
    <row r="170" spans="16:16">
      <c r="P170" s="159"/>
    </row>
    <row r="171" spans="16:16">
      <c r="P171" s="159"/>
    </row>
    <row r="172" spans="16:16">
      <c r="P172" s="159"/>
    </row>
    <row r="173" spans="16:16">
      <c r="P173" s="159"/>
    </row>
    <row r="174" spans="16:16">
      <c r="P174" s="159"/>
    </row>
    <row r="175" spans="16:16">
      <c r="P175" s="159"/>
    </row>
    <row r="176" spans="16:16">
      <c r="P176" s="159"/>
    </row>
    <row r="177" spans="16:16">
      <c r="P177" s="159"/>
    </row>
    <row r="178" spans="16:16">
      <c r="P178" s="159"/>
    </row>
    <row r="179" spans="16:16">
      <c r="P179" s="159"/>
    </row>
    <row r="180" spans="16:16">
      <c r="P180" s="159"/>
    </row>
    <row r="181" spans="16:16">
      <c r="P181" s="159"/>
    </row>
    <row r="182" spans="16:16">
      <c r="P182" s="159"/>
    </row>
    <row r="183" spans="16:16">
      <c r="P183" s="159"/>
    </row>
    <row r="184" spans="16:16">
      <c r="P184" s="159"/>
    </row>
    <row r="185" spans="16:16">
      <c r="P185" s="159"/>
    </row>
    <row r="186" spans="16:16">
      <c r="P186" s="159"/>
    </row>
    <row r="187" spans="16:16">
      <c r="P187" s="159"/>
    </row>
    <row r="188" spans="16:16">
      <c r="P188" s="159"/>
    </row>
    <row r="189" spans="16:16">
      <c r="P189" s="159"/>
    </row>
    <row r="190" spans="16:16">
      <c r="P190" s="159"/>
    </row>
    <row r="191" spans="16:16">
      <c r="P191" s="159"/>
    </row>
    <row r="192" spans="16:16">
      <c r="P192" s="159"/>
    </row>
    <row r="193" spans="16:16">
      <c r="P193" s="159"/>
    </row>
    <row r="194" spans="16:16">
      <c r="P194" s="159"/>
    </row>
    <row r="195" spans="16:16">
      <c r="P195" s="159"/>
    </row>
    <row r="196" spans="16:16">
      <c r="P196" s="159"/>
    </row>
    <row r="197" spans="16:16">
      <c r="P197" s="159"/>
    </row>
    <row r="198" spans="16:16">
      <c r="P198" s="159"/>
    </row>
    <row r="199" spans="16:16">
      <c r="P199" s="159"/>
    </row>
    <row r="200" spans="16:16">
      <c r="P200" s="159"/>
    </row>
    <row r="201" spans="16:16">
      <c r="P201" s="159"/>
    </row>
    <row r="202" spans="16:16">
      <c r="P202" s="159"/>
    </row>
    <row r="203" spans="16:16">
      <c r="P203" s="159"/>
    </row>
    <row r="204" spans="16:16">
      <c r="P204" s="159"/>
    </row>
    <row r="205" spans="16:16">
      <c r="P205" s="159"/>
    </row>
    <row r="206" spans="16:16">
      <c r="P206" s="159"/>
    </row>
    <row r="207" spans="16:16">
      <c r="P207" s="159"/>
    </row>
    <row r="208" spans="16:16">
      <c r="P208" s="159"/>
    </row>
    <row r="209" spans="16:16">
      <c r="P209" s="159"/>
    </row>
    <row r="210" spans="16:16">
      <c r="P210" s="159"/>
    </row>
    <row r="211" spans="16:16">
      <c r="P211" s="159"/>
    </row>
    <row r="212" spans="16:16">
      <c r="P212" s="159"/>
    </row>
    <row r="213" spans="16:16">
      <c r="P213" s="159"/>
    </row>
    <row r="214" spans="16:16">
      <c r="P214" s="159"/>
    </row>
    <row r="215" spans="16:16">
      <c r="P215" s="159"/>
    </row>
    <row r="216" spans="16:16">
      <c r="P216" s="159"/>
    </row>
    <row r="217" spans="16:16">
      <c r="P217" s="159"/>
    </row>
    <row r="218" spans="16:16">
      <c r="P218" s="159"/>
    </row>
    <row r="219" spans="16:16">
      <c r="P219" s="159"/>
    </row>
    <row r="220" spans="16:16">
      <c r="P220" s="159"/>
    </row>
    <row r="221" spans="16:16">
      <c r="P221" s="159"/>
    </row>
    <row r="222" spans="16:16">
      <c r="P222" s="159"/>
    </row>
    <row r="223" spans="16:16">
      <c r="P223" s="159"/>
    </row>
    <row r="224" spans="16:16">
      <c r="P224" s="159"/>
    </row>
    <row r="225" spans="16:16">
      <c r="P225" s="159"/>
    </row>
    <row r="226" spans="16:16">
      <c r="P226" s="159"/>
    </row>
    <row r="227" spans="16:16">
      <c r="P227" s="159"/>
    </row>
    <row r="228" spans="16:16">
      <c r="P228" s="159"/>
    </row>
    <row r="229" spans="16:16">
      <c r="P229" s="159"/>
    </row>
    <row r="230" spans="16:16">
      <c r="P230" s="159"/>
    </row>
    <row r="231" spans="16:16">
      <c r="P231" s="159"/>
    </row>
    <row r="232" spans="16:16">
      <c r="P232" s="159"/>
    </row>
    <row r="233" spans="16:16">
      <c r="P233" s="159"/>
    </row>
    <row r="234" spans="16:16">
      <c r="P234" s="159"/>
    </row>
    <row r="235" spans="16:16">
      <c r="P235" s="159"/>
    </row>
    <row r="236" spans="16:16">
      <c r="P236" s="159"/>
    </row>
    <row r="237" spans="16:16">
      <c r="P237" s="159"/>
    </row>
    <row r="238" spans="16:16">
      <c r="P238" s="159"/>
    </row>
    <row r="239" spans="16:16">
      <c r="P239" s="159"/>
    </row>
    <row r="240" spans="16:16">
      <c r="P240" s="159"/>
    </row>
    <row r="241" spans="16:16">
      <c r="P241" s="159"/>
    </row>
    <row r="242" spans="16:16">
      <c r="P242" s="159"/>
    </row>
    <row r="243" spans="16:16">
      <c r="P243" s="159"/>
    </row>
    <row r="244" spans="16:16">
      <c r="P244" s="159"/>
    </row>
    <row r="245" spans="16:16">
      <c r="P245" s="159"/>
    </row>
    <row r="246" spans="16:16">
      <c r="P246" s="159"/>
    </row>
    <row r="247" spans="16:16">
      <c r="P247" s="159"/>
    </row>
    <row r="248" spans="16:16">
      <c r="P248" s="159"/>
    </row>
    <row r="249" spans="16:16">
      <c r="P249" s="159"/>
    </row>
    <row r="250" spans="16:16">
      <c r="P250" s="159"/>
    </row>
    <row r="251" spans="16:16">
      <c r="P251" s="159"/>
    </row>
    <row r="252" spans="16:16">
      <c r="P252" s="159"/>
    </row>
    <row r="253" spans="16:16">
      <c r="P253" s="159"/>
    </row>
    <row r="254" spans="16:16">
      <c r="P254" s="159"/>
    </row>
    <row r="255" spans="16:16">
      <c r="P255" s="159"/>
    </row>
    <row r="256" spans="16:16">
      <c r="P256" s="159"/>
    </row>
    <row r="257" spans="16:16">
      <c r="P257" s="159"/>
    </row>
    <row r="258" spans="16:16">
      <c r="P258" s="159"/>
    </row>
    <row r="259" spans="16:16">
      <c r="P259" s="159"/>
    </row>
    <row r="260" spans="16:16">
      <c r="P260" s="159"/>
    </row>
    <row r="261" spans="16:16">
      <c r="P261" s="159"/>
    </row>
    <row r="262" spans="16:16">
      <c r="P262" s="159"/>
    </row>
    <row r="263" spans="16:16">
      <c r="P263" s="159"/>
    </row>
    <row r="264" spans="16:16">
      <c r="P264" s="159"/>
    </row>
    <row r="265" spans="16:16">
      <c r="P265" s="159"/>
    </row>
    <row r="266" spans="16:16">
      <c r="P266" s="159"/>
    </row>
    <row r="267" spans="16:16">
      <c r="P267" s="159"/>
    </row>
    <row r="268" spans="16:16">
      <c r="P268" s="159"/>
    </row>
    <row r="269" spans="16:16">
      <c r="P269" s="159"/>
    </row>
    <row r="270" spans="16:16">
      <c r="P270" s="159"/>
    </row>
    <row r="271" spans="16:16">
      <c r="P271" s="159"/>
    </row>
    <row r="272" spans="16:16">
      <c r="P272" s="159"/>
    </row>
    <row r="273" spans="16:16">
      <c r="P273" s="159"/>
    </row>
    <row r="274" spans="16:16">
      <c r="P274" s="159"/>
    </row>
    <row r="275" spans="16:16">
      <c r="P275" s="159"/>
    </row>
    <row r="276" spans="16:16">
      <c r="P276" s="159"/>
    </row>
    <row r="277" spans="16:16">
      <c r="P277" s="159"/>
    </row>
    <row r="278" spans="16:16">
      <c r="P278" s="159"/>
    </row>
    <row r="279" spans="16:16">
      <c r="P279" s="159"/>
    </row>
    <row r="280" spans="16:16">
      <c r="P280" s="159"/>
    </row>
    <row r="281" spans="16:16">
      <c r="P281" s="159"/>
    </row>
    <row r="282" spans="16:16">
      <c r="P282" s="159"/>
    </row>
    <row r="283" spans="16:16">
      <c r="P283" s="159"/>
    </row>
    <row r="284" spans="16:16">
      <c r="P284" s="159"/>
    </row>
    <row r="285" spans="16:16">
      <c r="P285" s="159"/>
    </row>
    <row r="286" spans="16:16">
      <c r="P286" s="159"/>
    </row>
    <row r="287" spans="16:16">
      <c r="P287" s="159"/>
    </row>
    <row r="288" spans="16:16">
      <c r="P288" s="159"/>
    </row>
    <row r="289" spans="16:16">
      <c r="P289" s="159"/>
    </row>
    <row r="290" spans="16:16">
      <c r="P290" s="159"/>
    </row>
    <row r="291" spans="16:16">
      <c r="P291" s="159"/>
    </row>
    <row r="292" spans="16:16">
      <c r="P292" s="159"/>
    </row>
    <row r="293" spans="16:16">
      <c r="P293" s="159"/>
    </row>
    <row r="294" spans="16:16">
      <c r="P294" s="159"/>
    </row>
    <row r="295" spans="16:16">
      <c r="P295" s="159"/>
    </row>
    <row r="296" spans="16:16">
      <c r="P296" s="159"/>
    </row>
    <row r="297" spans="16:16">
      <c r="P297" s="159"/>
    </row>
    <row r="298" spans="16:16">
      <c r="P298" s="159"/>
    </row>
    <row r="299" spans="16:16">
      <c r="P299" s="159"/>
    </row>
    <row r="300" spans="16:16">
      <c r="P300" s="159"/>
    </row>
    <row r="301" spans="16:16">
      <c r="P301" s="159"/>
    </row>
    <row r="302" spans="16:16">
      <c r="P302" s="159"/>
    </row>
    <row r="303" spans="16:16">
      <c r="P303" s="159"/>
    </row>
    <row r="304" spans="16:16">
      <c r="P304" s="159"/>
    </row>
    <row r="305" spans="16:16">
      <c r="P305" s="159"/>
    </row>
    <row r="306" spans="16:16">
      <c r="P306" s="159"/>
    </row>
    <row r="307" spans="16:16">
      <c r="P307" s="159"/>
    </row>
    <row r="308" spans="16:16">
      <c r="P308" s="159"/>
    </row>
    <row r="309" spans="16:16">
      <c r="P309" s="159"/>
    </row>
    <row r="310" spans="16:16">
      <c r="P310" s="159"/>
    </row>
    <row r="311" spans="16:16">
      <c r="P311" s="159"/>
    </row>
    <row r="312" spans="16:16">
      <c r="P312" s="159"/>
    </row>
    <row r="313" spans="16:16">
      <c r="P313" s="159"/>
    </row>
    <row r="314" spans="16:16">
      <c r="P314" s="159"/>
    </row>
    <row r="315" spans="16:16">
      <c r="P315" s="159"/>
    </row>
    <row r="316" spans="16:16">
      <c r="P316" s="159"/>
    </row>
    <row r="317" spans="16:16">
      <c r="P317" s="159"/>
    </row>
    <row r="318" spans="16:16">
      <c r="P318" s="159"/>
    </row>
    <row r="319" spans="16:16">
      <c r="P319" s="159"/>
    </row>
    <row r="320" spans="16:16">
      <c r="P320" s="159"/>
    </row>
    <row r="321" spans="16:16">
      <c r="P321" s="159"/>
    </row>
    <row r="322" spans="16:16">
      <c r="P322" s="159"/>
    </row>
    <row r="323" spans="16:16">
      <c r="P323" s="159"/>
    </row>
    <row r="324" spans="16:16">
      <c r="P324" s="159"/>
    </row>
    <row r="325" spans="16:16">
      <c r="P325" s="159"/>
    </row>
    <row r="326" spans="16:16">
      <c r="P326" s="159"/>
    </row>
    <row r="327" spans="16:16">
      <c r="P327" s="159"/>
    </row>
    <row r="328" spans="16:16">
      <c r="P328" s="159"/>
    </row>
    <row r="329" spans="16:16">
      <c r="P329" s="159"/>
    </row>
    <row r="330" spans="16:16">
      <c r="P330" s="159"/>
    </row>
    <row r="331" spans="16:16">
      <c r="P331" s="159"/>
    </row>
    <row r="332" spans="16:16">
      <c r="P332" s="159"/>
    </row>
    <row r="333" spans="16:16">
      <c r="P333" s="159"/>
    </row>
    <row r="334" spans="16:16">
      <c r="P334" s="159"/>
    </row>
    <row r="335" spans="16:16">
      <c r="P335" s="159"/>
    </row>
    <row r="336" spans="16:16">
      <c r="P336" s="159"/>
    </row>
    <row r="337" spans="16:16">
      <c r="P337" s="159"/>
    </row>
    <row r="338" spans="16:16">
      <c r="P338" s="159"/>
    </row>
    <row r="339" spans="16:16">
      <c r="P339" s="159"/>
    </row>
    <row r="340" spans="16:16">
      <c r="P340" s="159"/>
    </row>
    <row r="341" spans="16:16">
      <c r="P341" s="159"/>
    </row>
    <row r="342" spans="16:16">
      <c r="P342" s="159"/>
    </row>
    <row r="343" spans="16:16">
      <c r="P343" s="159"/>
    </row>
    <row r="344" spans="16:16">
      <c r="P344" s="159"/>
    </row>
    <row r="345" spans="16:16">
      <c r="P345" s="159"/>
    </row>
    <row r="346" spans="16:16">
      <c r="P346" s="159"/>
    </row>
    <row r="347" spans="16:16">
      <c r="P347" s="159"/>
    </row>
    <row r="348" spans="16:16">
      <c r="P348" s="159"/>
    </row>
    <row r="349" spans="16:16">
      <c r="P349" s="159"/>
    </row>
    <row r="350" spans="16:16">
      <c r="P350" s="159"/>
    </row>
    <row r="351" spans="16:16">
      <c r="P351" s="159"/>
    </row>
    <row r="352" spans="16:16">
      <c r="P352" s="159"/>
    </row>
    <row r="353" spans="16:16">
      <c r="P353" s="159"/>
    </row>
    <row r="354" spans="16:16">
      <c r="P354" s="159"/>
    </row>
    <row r="355" spans="16:16">
      <c r="P355" s="159"/>
    </row>
    <row r="356" spans="16:16">
      <c r="P356" s="159"/>
    </row>
    <row r="357" spans="16:16">
      <c r="P357" s="159"/>
    </row>
    <row r="358" spans="16:16">
      <c r="P358" s="159"/>
    </row>
    <row r="359" spans="16:16">
      <c r="P359" s="159"/>
    </row>
    <row r="360" spans="16:16">
      <c r="P360" s="159"/>
    </row>
    <row r="361" spans="16:16">
      <c r="P361" s="159"/>
    </row>
    <row r="362" spans="16:16">
      <c r="P362" s="159"/>
    </row>
    <row r="363" spans="16:16">
      <c r="P363" s="159"/>
    </row>
    <row r="364" spans="16:16">
      <c r="P364" s="159"/>
    </row>
    <row r="365" spans="16:16">
      <c r="P365" s="159"/>
    </row>
    <row r="366" spans="16:16">
      <c r="P366" s="159"/>
    </row>
    <row r="367" spans="16:16">
      <c r="P367" s="159"/>
    </row>
    <row r="368" spans="16:16">
      <c r="P368" s="159"/>
    </row>
    <row r="369" spans="16:16">
      <c r="P369" s="159"/>
    </row>
    <row r="370" spans="16:16">
      <c r="P370" s="159"/>
    </row>
    <row r="371" spans="16:16">
      <c r="P371" s="159"/>
    </row>
    <row r="372" spans="16:16">
      <c r="P372" s="159"/>
    </row>
    <row r="373" spans="16:16">
      <c r="P373" s="159"/>
    </row>
    <row r="374" spans="16:16">
      <c r="P374" s="159"/>
    </row>
    <row r="375" spans="16:16">
      <c r="P375" s="159"/>
    </row>
    <row r="376" spans="16:16">
      <c r="P376" s="159"/>
    </row>
    <row r="377" spans="16:16">
      <c r="P377" s="159"/>
    </row>
    <row r="378" spans="16:16">
      <c r="P378" s="159"/>
    </row>
    <row r="379" spans="16:16">
      <c r="P379" s="159"/>
    </row>
    <row r="380" spans="16:16">
      <c r="P380" s="159"/>
    </row>
    <row r="381" spans="16:16">
      <c r="P381" s="159"/>
    </row>
    <row r="382" spans="16:16">
      <c r="P382" s="159"/>
    </row>
    <row r="383" spans="16:16">
      <c r="P383" s="159"/>
    </row>
    <row r="384" spans="16:16">
      <c r="P384" s="159"/>
    </row>
    <row r="385" spans="16:16">
      <c r="P385" s="159"/>
    </row>
    <row r="386" spans="16:16">
      <c r="P386" s="159"/>
    </row>
    <row r="387" spans="16:16">
      <c r="P387" s="159"/>
    </row>
    <row r="388" spans="16:16">
      <c r="P388" s="159"/>
    </row>
    <row r="389" spans="16:16">
      <c r="P389" s="159"/>
    </row>
    <row r="390" spans="16:16">
      <c r="P390" s="159"/>
    </row>
    <row r="391" spans="16:16">
      <c r="P391" s="159"/>
    </row>
    <row r="392" spans="16:16">
      <c r="P392" s="159"/>
    </row>
    <row r="393" spans="16:16">
      <c r="P393" s="159"/>
    </row>
    <row r="394" spans="16:16">
      <c r="P394" s="159"/>
    </row>
    <row r="395" spans="16:16">
      <c r="P395" s="159"/>
    </row>
    <row r="396" spans="16:16">
      <c r="P396" s="159"/>
    </row>
    <row r="397" spans="16:16">
      <c r="P397" s="159"/>
    </row>
    <row r="398" spans="16:16">
      <c r="P398" s="159"/>
    </row>
    <row r="399" spans="16:16">
      <c r="P399" s="159"/>
    </row>
    <row r="400" spans="16:16">
      <c r="P400" s="159"/>
    </row>
    <row r="401" spans="16:16">
      <c r="P401" s="159"/>
    </row>
    <row r="402" spans="16:16">
      <c r="P402" s="159"/>
    </row>
    <row r="403" spans="16:16">
      <c r="P403" s="159"/>
    </row>
    <row r="404" spans="16:16">
      <c r="P404" s="159"/>
    </row>
    <row r="405" spans="16:16">
      <c r="P405" s="159"/>
    </row>
    <row r="406" spans="16:16">
      <c r="P406" s="159"/>
    </row>
    <row r="407" spans="16:16">
      <c r="P407" s="159"/>
    </row>
    <row r="408" spans="16:16">
      <c r="P408" s="159"/>
    </row>
    <row r="409" spans="16:16">
      <c r="P409" s="159"/>
    </row>
    <row r="410" spans="16:16">
      <c r="P410" s="159"/>
    </row>
    <row r="411" spans="16:16">
      <c r="P411" s="159"/>
    </row>
    <row r="412" spans="16:16">
      <c r="P412" s="159"/>
    </row>
    <row r="413" spans="16:16">
      <c r="P413" s="159"/>
    </row>
    <row r="414" spans="16:16">
      <c r="P414" s="159"/>
    </row>
    <row r="415" spans="16:16">
      <c r="P415" s="159"/>
    </row>
    <row r="416" spans="16:16">
      <c r="P416" s="159"/>
    </row>
    <row r="417" spans="16:16">
      <c r="P417" s="159"/>
    </row>
    <row r="418" spans="16:16">
      <c r="P418" s="159"/>
    </row>
    <row r="419" spans="16:16">
      <c r="P419" s="159"/>
    </row>
    <row r="420" spans="16:16">
      <c r="P420" s="159"/>
    </row>
    <row r="421" spans="16:16">
      <c r="P421" s="159"/>
    </row>
    <row r="422" spans="16:16">
      <c r="P422" s="159"/>
    </row>
    <row r="423" spans="16:16">
      <c r="P423" s="159"/>
    </row>
    <row r="424" spans="16:16">
      <c r="P424" s="159"/>
    </row>
    <row r="425" spans="16:16">
      <c r="P425" s="159"/>
    </row>
    <row r="426" spans="16:16">
      <c r="P426" s="159"/>
    </row>
    <row r="427" spans="16:16">
      <c r="P427" s="159"/>
    </row>
    <row r="428" spans="16:16">
      <c r="P428" s="159"/>
    </row>
    <row r="429" spans="16:16">
      <c r="P429" s="159"/>
    </row>
    <row r="430" spans="16:16">
      <c r="P430" s="159"/>
    </row>
    <row r="431" spans="16:16">
      <c r="P431" s="159"/>
    </row>
    <row r="432" spans="16:16">
      <c r="P432" s="159"/>
    </row>
    <row r="433" spans="16:16">
      <c r="P433" s="159"/>
    </row>
    <row r="434" spans="16:16">
      <c r="P434" s="159"/>
    </row>
    <row r="435" spans="16:16">
      <c r="P435" s="159"/>
    </row>
    <row r="436" spans="16:16">
      <c r="P436" s="159"/>
    </row>
    <row r="437" spans="16:16">
      <c r="P437" s="159"/>
    </row>
    <row r="438" spans="16:16">
      <c r="P438" s="159"/>
    </row>
    <row r="439" spans="16:16">
      <c r="P439" s="159"/>
    </row>
    <row r="440" spans="16:16">
      <c r="P440" s="159"/>
    </row>
    <row r="441" spans="16:16">
      <c r="P441" s="159"/>
    </row>
    <row r="442" spans="16:16">
      <c r="P442" s="159"/>
    </row>
    <row r="443" spans="16:16">
      <c r="P443" s="159"/>
    </row>
    <row r="444" spans="16:16">
      <c r="P444" s="159"/>
    </row>
    <row r="445" spans="16:16">
      <c r="P445" s="159"/>
    </row>
    <row r="446" spans="16:16">
      <c r="P446" s="159"/>
    </row>
    <row r="447" spans="16:16">
      <c r="P447" s="159"/>
    </row>
    <row r="448" spans="16:16">
      <c r="P448" s="159"/>
    </row>
    <row r="449" spans="16:16">
      <c r="P449" s="159"/>
    </row>
    <row r="450" spans="16:16">
      <c r="P450" s="159"/>
    </row>
    <row r="451" spans="16:16">
      <c r="P451" s="159"/>
    </row>
    <row r="452" spans="16:16">
      <c r="P452" s="159"/>
    </row>
    <row r="453" spans="16:16">
      <c r="P453" s="159"/>
    </row>
    <row r="454" spans="16:16">
      <c r="P454" s="159"/>
    </row>
    <row r="455" spans="16:16">
      <c r="P455" s="159"/>
    </row>
    <row r="456" spans="16:16">
      <c r="P456" s="159"/>
    </row>
    <row r="457" spans="16:16">
      <c r="P457" s="159"/>
    </row>
    <row r="458" spans="16:16">
      <c r="P458" s="159"/>
    </row>
    <row r="459" spans="16:16">
      <c r="P459" s="159"/>
    </row>
    <row r="460" spans="16:16">
      <c r="P460" s="159"/>
    </row>
    <row r="461" spans="16:16">
      <c r="P461" s="159"/>
    </row>
    <row r="462" spans="16:16">
      <c r="P462" s="159"/>
    </row>
    <row r="463" spans="16:16">
      <c r="P463" s="159"/>
    </row>
    <row r="464" spans="16:16">
      <c r="P464" s="159"/>
    </row>
    <row r="465" spans="16:16">
      <c r="P465" s="159"/>
    </row>
    <row r="466" spans="16:16">
      <c r="P466" s="159"/>
    </row>
    <row r="467" spans="16:16">
      <c r="P467" s="159"/>
    </row>
    <row r="468" spans="16:16">
      <c r="P468" s="159"/>
    </row>
    <row r="469" spans="16:16">
      <c r="P469" s="159"/>
    </row>
    <row r="470" spans="16:16">
      <c r="P470" s="159"/>
    </row>
    <row r="471" spans="16:16">
      <c r="P471" s="159"/>
    </row>
    <row r="472" spans="16:16">
      <c r="P472" s="159"/>
    </row>
    <row r="473" spans="16:16">
      <c r="P473" s="159"/>
    </row>
    <row r="474" spans="16:16">
      <c r="P474" s="159"/>
    </row>
    <row r="475" spans="16:16">
      <c r="P475" s="159"/>
    </row>
    <row r="476" spans="16:16">
      <c r="P476" s="159"/>
    </row>
    <row r="477" spans="16:16">
      <c r="P477" s="159"/>
    </row>
    <row r="478" spans="16:16">
      <c r="P478" s="159"/>
    </row>
    <row r="479" spans="16:16">
      <c r="P479" s="159"/>
    </row>
    <row r="480" spans="16:16">
      <c r="P480" s="159"/>
    </row>
    <row r="481" spans="16:16">
      <c r="P481" s="159"/>
    </row>
    <row r="482" spans="16:16">
      <c r="P482" s="159"/>
    </row>
    <row r="483" spans="16:16">
      <c r="P483" s="159"/>
    </row>
    <row r="484" spans="16:16">
      <c r="P484" s="159"/>
    </row>
    <row r="485" spans="16:16">
      <c r="P485" s="159"/>
    </row>
    <row r="486" spans="16:16">
      <c r="P486" s="159"/>
    </row>
    <row r="487" spans="16:16">
      <c r="P487" s="159"/>
    </row>
    <row r="488" spans="16:16">
      <c r="P488" s="159"/>
    </row>
    <row r="489" spans="16:16">
      <c r="P489" s="159"/>
    </row>
    <row r="490" spans="16:16">
      <c r="P490" s="159"/>
    </row>
    <row r="491" spans="16:16">
      <c r="P491" s="159"/>
    </row>
    <row r="492" spans="16:16">
      <c r="P492" s="159"/>
    </row>
    <row r="493" spans="16:16">
      <c r="P493" s="159"/>
    </row>
    <row r="494" spans="16:16">
      <c r="P494" s="159"/>
    </row>
    <row r="495" spans="16:16">
      <c r="P495" s="159"/>
    </row>
    <row r="496" spans="16:16">
      <c r="P496" s="159"/>
    </row>
    <row r="497" spans="16:16">
      <c r="P497" s="159"/>
    </row>
    <row r="498" spans="16:16">
      <c r="P498" s="159"/>
    </row>
    <row r="499" spans="16:16">
      <c r="P499" s="159"/>
    </row>
    <row r="500" spans="16:16">
      <c r="P500" s="159"/>
    </row>
    <row r="501" spans="16:16">
      <c r="P501" s="159"/>
    </row>
    <row r="502" spans="16:16">
      <c r="P502" s="159"/>
    </row>
    <row r="503" spans="16:16">
      <c r="P503" s="159"/>
    </row>
    <row r="504" spans="16:16">
      <c r="P504" s="159"/>
    </row>
    <row r="505" spans="16:16">
      <c r="P505" s="159"/>
    </row>
    <row r="506" spans="16:16">
      <c r="P506" s="159"/>
    </row>
    <row r="507" spans="16:16">
      <c r="P507" s="159"/>
    </row>
    <row r="508" spans="16:16">
      <c r="P508" s="159"/>
    </row>
    <row r="509" spans="16:16">
      <c r="P509" s="159"/>
    </row>
    <row r="510" spans="16:16">
      <c r="P510" s="159"/>
    </row>
    <row r="511" spans="16:16">
      <c r="P511" s="159"/>
    </row>
    <row r="512" spans="16:16">
      <c r="P512" s="159"/>
    </row>
    <row r="513" spans="16:16">
      <c r="P513" s="159"/>
    </row>
    <row r="514" spans="16:16">
      <c r="P514" s="159"/>
    </row>
    <row r="515" spans="16:16">
      <c r="P515" s="159"/>
    </row>
    <row r="516" spans="16:16">
      <c r="P516" s="159"/>
    </row>
    <row r="517" spans="16:16">
      <c r="P517" s="159"/>
    </row>
    <row r="518" spans="16:16">
      <c r="P518" s="159"/>
    </row>
    <row r="519" spans="16:16">
      <c r="P519" s="159"/>
    </row>
    <row r="520" spans="16:16">
      <c r="P520" s="159"/>
    </row>
    <row r="521" spans="16:16">
      <c r="P521" s="159"/>
    </row>
    <row r="522" spans="16:16">
      <c r="P522" s="159"/>
    </row>
    <row r="523" spans="16:16">
      <c r="P523" s="159"/>
    </row>
    <row r="524" spans="16:16">
      <c r="P524" s="159"/>
    </row>
    <row r="525" spans="16:16">
      <c r="P525" s="159"/>
    </row>
    <row r="526" spans="16:16">
      <c r="P526" s="159"/>
    </row>
    <row r="527" spans="16:16">
      <c r="P527" s="159"/>
    </row>
    <row r="528" spans="16:16">
      <c r="P528" s="159"/>
    </row>
    <row r="529" spans="16:16">
      <c r="P529" s="159"/>
    </row>
    <row r="530" spans="16:16">
      <c r="P530" s="159"/>
    </row>
    <row r="531" spans="16:16">
      <c r="P531" s="159"/>
    </row>
    <row r="532" spans="16:16">
      <c r="P532" s="159"/>
    </row>
    <row r="533" spans="16:16">
      <c r="P533" s="159"/>
    </row>
    <row r="534" spans="16:16">
      <c r="P534" s="159"/>
    </row>
    <row r="535" spans="16:16">
      <c r="P535" s="159"/>
    </row>
    <row r="536" spans="16:16">
      <c r="P536" s="159"/>
    </row>
    <row r="537" spans="16:16">
      <c r="P537" s="159"/>
    </row>
    <row r="538" spans="16:16">
      <c r="P538" s="159"/>
    </row>
    <row r="539" spans="16:16">
      <c r="P539" s="159"/>
    </row>
    <row r="540" spans="16:16">
      <c r="P540" s="159"/>
    </row>
    <row r="541" spans="16:16">
      <c r="P541" s="159"/>
    </row>
    <row r="542" spans="16:16">
      <c r="P542" s="159"/>
    </row>
    <row r="543" spans="16:16">
      <c r="P543" s="159"/>
    </row>
    <row r="544" spans="16:16">
      <c r="P544" s="159"/>
    </row>
    <row r="545" spans="16:16">
      <c r="P545" s="159"/>
    </row>
    <row r="546" spans="16:16">
      <c r="P546" s="159"/>
    </row>
    <row r="547" spans="16:16">
      <c r="P547" s="159"/>
    </row>
    <row r="548" spans="16:16">
      <c r="P548" s="159"/>
    </row>
    <row r="549" spans="16:16">
      <c r="P549" s="159"/>
    </row>
    <row r="550" spans="16:16">
      <c r="P550" s="159"/>
    </row>
    <row r="551" spans="16:16">
      <c r="P551" s="159"/>
    </row>
    <row r="552" spans="16:16">
      <c r="P552" s="159"/>
    </row>
    <row r="553" spans="16:16">
      <c r="P553" s="159"/>
    </row>
    <row r="554" spans="16:16">
      <c r="P554" s="159"/>
    </row>
    <row r="555" spans="16:16">
      <c r="P555" s="159"/>
    </row>
    <row r="556" spans="16:16">
      <c r="P556" s="159"/>
    </row>
    <row r="557" spans="16:16">
      <c r="P557" s="159"/>
    </row>
    <row r="558" spans="16:16">
      <c r="P558" s="159"/>
    </row>
    <row r="559" spans="16:16">
      <c r="P559" s="159"/>
    </row>
    <row r="560" spans="16:16">
      <c r="P560" s="159"/>
    </row>
    <row r="561" spans="16:16">
      <c r="P561" s="159"/>
    </row>
    <row r="562" spans="16:16">
      <c r="P562" s="159"/>
    </row>
    <row r="563" spans="16:16">
      <c r="P563" s="159"/>
    </row>
    <row r="564" spans="16:16">
      <c r="P564" s="159"/>
    </row>
    <row r="565" spans="16:16">
      <c r="P565" s="159"/>
    </row>
    <row r="566" spans="16:16">
      <c r="P566" s="159"/>
    </row>
    <row r="567" spans="16:16">
      <c r="P567" s="159"/>
    </row>
    <row r="568" spans="16:16">
      <c r="P568" s="159"/>
    </row>
    <row r="569" spans="16:16">
      <c r="P569" s="159"/>
    </row>
    <row r="570" spans="16:16">
      <c r="P570" s="159"/>
    </row>
    <row r="571" spans="16:16">
      <c r="P571" s="159"/>
    </row>
    <row r="572" spans="16:16">
      <c r="P572" s="159"/>
    </row>
    <row r="573" spans="16:16">
      <c r="P573" s="159"/>
    </row>
    <row r="574" spans="16:16">
      <c r="P574" s="159"/>
    </row>
  </sheetData>
  <autoFilter ref="BQ1:BQ574" xr:uid="{00000000-0009-0000-0000-000005000000}"/>
  <mergeCells count="4">
    <mergeCell ref="CP2:CQ2"/>
    <mergeCell ref="CS2:CT2"/>
    <mergeCell ref="CH1:CI1"/>
    <mergeCell ref="CK1:CL1"/>
  </mergeCells>
  <phoneticPr fontId="2" type="noConversion"/>
  <conditionalFormatting sqref="BS4:BT84">
    <cfRule type="cellIs" dxfId="6" priority="7" operator="greaterThan">
      <formula>1</formula>
    </cfRule>
  </conditionalFormatting>
  <conditionalFormatting sqref="CC4:CD84">
    <cfRule type="cellIs" dxfId="5" priority="5" operator="greaterThan">
      <formula>0.8</formula>
    </cfRule>
    <cfRule type="cellIs" dxfId="4" priority="6" operator="greaterThan">
      <formula>1</formula>
    </cfRule>
  </conditionalFormatting>
  <conditionalFormatting sqref="CH4:CI84">
    <cfRule type="cellIs" dxfId="3" priority="3" operator="equal">
      <formula>2</formula>
    </cfRule>
    <cfRule type="cellIs" dxfId="2" priority="4" operator="equal">
      <formula>1</formula>
    </cfRule>
  </conditionalFormatting>
  <conditionalFormatting sqref="CF4:CF84">
    <cfRule type="cellIs" dxfId="1" priority="1" operator="greaterThan">
      <formula>15</formula>
    </cfRule>
    <cfRule type="cellIs" dxfId="0" priority="2" operator="greaterThan">
      <formula>20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indexed="51"/>
  </sheetPr>
  <dimension ref="K1:CL197"/>
  <sheetViews>
    <sheetView topLeftCell="BE4" workbookViewId="0">
      <selection activeCell="BP49" sqref="BP49"/>
    </sheetView>
  </sheetViews>
  <sheetFormatPr baseColWidth="10" defaultRowHeight="13"/>
  <cols>
    <col min="1" max="27" width="8.83203125" customWidth="1"/>
    <col min="28" max="29" width="13.6640625" bestFit="1" customWidth="1"/>
    <col min="30" max="32" width="8.83203125" customWidth="1"/>
    <col min="33" max="33" width="12.83203125" bestFit="1" customWidth="1"/>
    <col min="34" max="34" width="12.83203125" style="136" bestFit="1" customWidth="1"/>
    <col min="35" max="35" width="8.83203125" customWidth="1"/>
    <col min="36" max="44" width="8.83203125" style="136" customWidth="1"/>
    <col min="45" max="53" width="8.83203125" customWidth="1"/>
    <col min="54" max="54" width="12.1640625" bestFit="1" customWidth="1"/>
    <col min="55" max="58" width="8.83203125" customWidth="1"/>
    <col min="59" max="59" width="12" bestFit="1" customWidth="1"/>
    <col min="60" max="60" width="8.83203125" customWidth="1"/>
    <col min="61" max="61" width="9.1640625" customWidth="1"/>
    <col min="62" max="62" width="8.83203125" customWidth="1"/>
    <col min="63" max="63" width="12" bestFit="1" customWidth="1"/>
  </cols>
  <sheetData>
    <row r="1" spans="21:90">
      <c r="U1">
        <v>0.01</v>
      </c>
      <c r="V1">
        <v>0.01</v>
      </c>
      <c r="W1">
        <f>V1*0.7</f>
        <v>6.9999999999999993E-3</v>
      </c>
      <c r="X1">
        <f>V1*1.3</f>
        <v>1.3000000000000001E-2</v>
      </c>
      <c r="AB1" s="103"/>
      <c r="AC1" s="147" t="e">
        <f>CORREL(AB4:AB38,AC4:AC24)</f>
        <v>#N/A</v>
      </c>
      <c r="AE1" s="103"/>
      <c r="AF1" s="103"/>
      <c r="AG1" s="103"/>
      <c r="AH1" s="147">
        <f>CORREL(AG4:AG41,AH4:AH41)</f>
        <v>7.5676591749592195E-2</v>
      </c>
      <c r="AK1" s="156"/>
      <c r="AP1" s="156"/>
      <c r="AT1" t="s">
        <v>955</v>
      </c>
      <c r="AU1" t="s">
        <v>62</v>
      </c>
      <c r="AV1" t="s">
        <v>956</v>
      </c>
      <c r="AW1" t="s">
        <v>957</v>
      </c>
      <c r="AX1" t="s">
        <v>958</v>
      </c>
      <c r="AY1" t="s">
        <v>959</v>
      </c>
      <c r="AZ1" t="s">
        <v>960</v>
      </c>
      <c r="BA1" t="s">
        <v>961</v>
      </c>
      <c r="BB1" t="s">
        <v>500</v>
      </c>
      <c r="CD1" s="249" t="s">
        <v>909</v>
      </c>
    </row>
    <row r="2" spans="21:90">
      <c r="U2">
        <v>1</v>
      </c>
      <c r="V2">
        <v>1</v>
      </c>
      <c r="W2">
        <f t="shared" ref="W2:W7" si="0">V2*0.7</f>
        <v>0.7</v>
      </c>
      <c r="X2">
        <f t="shared" ref="X2:X7" si="1">V2*1.3</f>
        <v>1.3</v>
      </c>
      <c r="Z2" t="s">
        <v>393</v>
      </c>
      <c r="AC2" s="175" t="e">
        <f>AC1*AC1</f>
        <v>#N/A</v>
      </c>
      <c r="AH2" s="175">
        <f>AH1*AH1</f>
        <v>5.7269465388344459E-3</v>
      </c>
      <c r="AT2" t="s">
        <v>61</v>
      </c>
      <c r="AU2" t="s">
        <v>62</v>
      </c>
      <c r="AV2" t="s">
        <v>63</v>
      </c>
      <c r="AW2" t="s">
        <v>64</v>
      </c>
      <c r="AX2" t="s">
        <v>65</v>
      </c>
      <c r="AY2" t="s">
        <v>66</v>
      </c>
      <c r="AZ2" t="s">
        <v>67</v>
      </c>
      <c r="BA2" t="s">
        <v>952</v>
      </c>
      <c r="BB2" t="s">
        <v>953</v>
      </c>
      <c r="BC2" t="s">
        <v>954</v>
      </c>
      <c r="BD2" t="s">
        <v>68</v>
      </c>
      <c r="BN2" t="str">
        <f>Z2</f>
        <v>ID</v>
      </c>
      <c r="BP2" s="249" t="s">
        <v>899</v>
      </c>
      <c r="BQ2" s="249" t="s">
        <v>900</v>
      </c>
      <c r="BR2" s="249" t="s">
        <v>901</v>
      </c>
      <c r="BS2" s="249" t="s">
        <v>902</v>
      </c>
      <c r="BT2" s="249" t="s">
        <v>903</v>
      </c>
      <c r="BU2" s="249" t="s">
        <v>904</v>
      </c>
      <c r="BV2" s="249" t="s">
        <v>393</v>
      </c>
      <c r="BW2" s="249" t="s">
        <v>905</v>
      </c>
      <c r="BX2" s="305" t="s">
        <v>907</v>
      </c>
      <c r="BY2" s="305" t="s">
        <v>910</v>
      </c>
      <c r="BZ2" s="305" t="s">
        <v>901</v>
      </c>
      <c r="CA2" s="305" t="s">
        <v>902</v>
      </c>
      <c r="CB2" s="305" t="s">
        <v>903</v>
      </c>
      <c r="CC2" s="305" t="s">
        <v>904</v>
      </c>
      <c r="CD2" t="s">
        <v>393</v>
      </c>
      <c r="CE2" s="249" t="s">
        <v>905</v>
      </c>
      <c r="CF2" s="332" t="s">
        <v>899</v>
      </c>
      <c r="CG2" s="332" t="s">
        <v>906</v>
      </c>
      <c r="CJ2" s="249" t="s">
        <v>905</v>
      </c>
      <c r="CK2" s="249" t="s">
        <v>907</v>
      </c>
      <c r="CL2" s="249" t="s">
        <v>908</v>
      </c>
    </row>
    <row r="3" spans="21:90">
      <c r="U3">
        <v>10</v>
      </c>
      <c r="V3">
        <v>10</v>
      </c>
      <c r="W3">
        <f t="shared" si="0"/>
        <v>7</v>
      </c>
      <c r="X3">
        <f t="shared" si="1"/>
        <v>13</v>
      </c>
      <c r="AB3" s="249" t="s">
        <v>983</v>
      </c>
      <c r="AC3" s="249" t="s">
        <v>985</v>
      </c>
      <c r="AG3" s="249" t="s">
        <v>984</v>
      </c>
      <c r="AH3" s="330" t="s">
        <v>991</v>
      </c>
      <c r="BP3" s="249" t="s">
        <v>656</v>
      </c>
      <c r="BQ3" s="249" t="s">
        <v>656</v>
      </c>
      <c r="BX3" s="249" t="s">
        <v>656</v>
      </c>
      <c r="BY3" s="249" t="s">
        <v>656</v>
      </c>
    </row>
    <row r="4" spans="21:90">
      <c r="U4">
        <v>100</v>
      </c>
      <c r="V4">
        <v>100</v>
      </c>
      <c r="W4">
        <f t="shared" si="0"/>
        <v>70</v>
      </c>
      <c r="X4">
        <f t="shared" si="1"/>
        <v>130</v>
      </c>
      <c r="Y4" t="str">
        <f>Basicinfo!A8</f>
        <v>Mattig</v>
      </c>
      <c r="Z4" s="136">
        <v>630</v>
      </c>
      <c r="AA4" s="333"/>
      <c r="AB4">
        <v>6.279346576149937</v>
      </c>
      <c r="AC4">
        <v>6.8210791721937216</v>
      </c>
      <c r="AE4" s="136">
        <v>630</v>
      </c>
      <c r="AF4" s="333"/>
      <c r="AG4">
        <v>0.20056273395299884</v>
      </c>
      <c r="AH4">
        <v>0.27011734113474622</v>
      </c>
      <c r="AI4" s="136" t="s">
        <v>927</v>
      </c>
      <c r="AJ4" s="333">
        <v>4990</v>
      </c>
      <c r="AK4" s="333">
        <v>-98.701180302545183</v>
      </c>
      <c r="AL4" s="333">
        <v>-30</v>
      </c>
      <c r="AM4" s="333">
        <v>30</v>
      </c>
      <c r="AN4" s="136">
        <f>AM4/AG4*100</f>
        <v>14957.913371399491</v>
      </c>
      <c r="AO4" s="333">
        <v>4990</v>
      </c>
      <c r="AP4" s="333">
        <v>-97.854485945021906</v>
      </c>
      <c r="AQ4" s="333">
        <v>-30</v>
      </c>
      <c r="AR4" s="333">
        <v>30</v>
      </c>
      <c r="AT4" t="s">
        <v>649</v>
      </c>
      <c r="AU4" t="s">
        <v>633</v>
      </c>
      <c r="AV4" t="s">
        <v>634</v>
      </c>
      <c r="AW4" t="s">
        <v>646</v>
      </c>
      <c r="AX4" t="s">
        <v>635</v>
      </c>
      <c r="AY4" t="s">
        <v>636</v>
      </c>
      <c r="AZ4" t="s">
        <v>505</v>
      </c>
      <c r="BN4" s="136">
        <v>630</v>
      </c>
      <c r="BO4" s="188"/>
      <c r="BP4" s="356">
        <f>AB4</f>
        <v>6.279346576149937</v>
      </c>
      <c r="BQ4" s="356">
        <f>AC4</f>
        <v>6.8210791721937216</v>
      </c>
      <c r="BR4" s="356"/>
      <c r="BS4" s="356"/>
      <c r="BT4" s="356"/>
      <c r="BU4" s="356"/>
      <c r="BV4" s="136">
        <v>630</v>
      </c>
      <c r="BW4" s="188"/>
      <c r="BX4" s="358">
        <f t="shared" ref="BX4:BY4" si="2">AG4</f>
        <v>0.20056273395299884</v>
      </c>
      <c r="BY4" s="358">
        <f t="shared" si="2"/>
        <v>0.27011734113474622</v>
      </c>
      <c r="BZ4" s="358"/>
      <c r="CA4" s="358"/>
      <c r="CB4" s="358"/>
      <c r="CC4" s="358"/>
      <c r="CD4">
        <v>15</v>
      </c>
      <c r="CE4">
        <v>45.256751522000002</v>
      </c>
      <c r="CI4">
        <v>21</v>
      </c>
      <c r="CJ4">
        <v>148.377637158</v>
      </c>
    </row>
    <row r="5" spans="21:90">
      <c r="U5">
        <v>1000</v>
      </c>
      <c r="V5">
        <v>1000</v>
      </c>
      <c r="W5">
        <f t="shared" si="0"/>
        <v>700</v>
      </c>
      <c r="X5">
        <f t="shared" si="1"/>
        <v>1300</v>
      </c>
      <c r="Y5" t="str">
        <f>Basicinfo!A10</f>
        <v>Mühlheimer Ache</v>
      </c>
      <c r="Z5" s="136">
        <v>650</v>
      </c>
      <c r="AA5" s="333"/>
      <c r="AB5">
        <v>11.691274992432502</v>
      </c>
      <c r="AC5">
        <v>14.006818488355139</v>
      </c>
      <c r="AE5" s="136">
        <v>650</v>
      </c>
      <c r="AF5" s="333"/>
      <c r="AG5">
        <v>0.49963462242197942</v>
      </c>
      <c r="AH5">
        <v>0.38617409297266475</v>
      </c>
      <c r="AI5" s="136" t="s">
        <v>927</v>
      </c>
      <c r="AJ5" s="333">
        <v>1050</v>
      </c>
      <c r="AK5" s="333">
        <v>-93.698634793292896</v>
      </c>
      <c r="AL5" s="333">
        <v>-30</v>
      </c>
      <c r="AM5" s="333">
        <v>30</v>
      </c>
      <c r="AN5" s="136">
        <f t="shared" ref="AN5:AN38" si="3">AM5/AG5*100</f>
        <v>6004.3877372979005</v>
      </c>
      <c r="AO5" s="333">
        <v>1050</v>
      </c>
      <c r="AP5" s="333">
        <v>-94.33311602125228</v>
      </c>
      <c r="AQ5" s="333">
        <v>-30</v>
      </c>
      <c r="AR5" s="333">
        <v>30</v>
      </c>
      <c r="AT5" t="s">
        <v>649</v>
      </c>
      <c r="AU5" t="s">
        <v>633</v>
      </c>
      <c r="AV5" t="s">
        <v>642</v>
      </c>
      <c r="AW5" t="s">
        <v>643</v>
      </c>
      <c r="AX5" t="s">
        <v>644</v>
      </c>
      <c r="AY5" t="s">
        <v>645</v>
      </c>
      <c r="AZ5" t="s">
        <v>651</v>
      </c>
      <c r="BA5" t="s">
        <v>650</v>
      </c>
      <c r="BB5" t="s">
        <v>505</v>
      </c>
      <c r="BN5" s="136">
        <v>650</v>
      </c>
      <c r="BO5" s="188"/>
      <c r="BP5" s="356">
        <f t="shared" ref="BP5:BP40" si="4">AB5</f>
        <v>11.691274992432502</v>
      </c>
      <c r="BQ5" s="356">
        <f t="shared" ref="BQ5:BQ40" si="5">AC5</f>
        <v>14.006818488355139</v>
      </c>
      <c r="BR5" s="356"/>
      <c r="BS5" s="356"/>
      <c r="BT5" s="356"/>
      <c r="BU5" s="356"/>
      <c r="BV5" s="136">
        <v>650</v>
      </c>
      <c r="BW5" s="188"/>
      <c r="BX5" s="358">
        <f t="shared" ref="BX5:BX40" si="6">AG5</f>
        <v>0.49963462242197942</v>
      </c>
      <c r="BY5" s="358">
        <f t="shared" ref="BY5:BY40" si="7">AH5</f>
        <v>0.38617409297266475</v>
      </c>
      <c r="BZ5" s="358"/>
      <c r="CA5" s="358"/>
      <c r="CB5" s="358"/>
      <c r="CC5" s="358"/>
      <c r="CD5">
        <v>21</v>
      </c>
      <c r="CE5">
        <v>148.377637158</v>
      </c>
      <c r="CI5">
        <v>30</v>
      </c>
      <c r="CJ5">
        <v>275.09607199200002</v>
      </c>
    </row>
    <row r="6" spans="21:90">
      <c r="U6">
        <v>3000</v>
      </c>
      <c r="V6">
        <v>3000</v>
      </c>
      <c r="W6">
        <f t="shared" si="0"/>
        <v>2100</v>
      </c>
      <c r="X6">
        <f t="shared" si="1"/>
        <v>3900</v>
      </c>
      <c r="Y6" t="str">
        <f>Basicinfo!A12</f>
        <v>Antiesen</v>
      </c>
      <c r="Z6" s="136">
        <v>670</v>
      </c>
      <c r="AA6" s="333"/>
      <c r="AB6">
        <v>13.980403725701262</v>
      </c>
      <c r="AC6">
        <v>12.161968111704379</v>
      </c>
      <c r="AE6" s="136">
        <v>670</v>
      </c>
      <c r="AF6" s="333"/>
      <c r="AG6">
        <v>0.73681806969790031</v>
      </c>
      <c r="AH6">
        <v>0.89712924403423855</v>
      </c>
      <c r="AI6" s="136" t="s">
        <v>927</v>
      </c>
      <c r="AJ6" s="333">
        <v>5010</v>
      </c>
      <c r="AK6" s="333">
        <v>-92.462632047276017</v>
      </c>
      <c r="AL6" s="333">
        <v>-30</v>
      </c>
      <c r="AM6" s="333">
        <v>30</v>
      </c>
      <c r="AN6" s="136">
        <f t="shared" si="3"/>
        <v>4071.5613845219855</v>
      </c>
      <c r="AO6" s="333">
        <v>5010</v>
      </c>
      <c r="AP6" s="333">
        <v>-87.46605815992227</v>
      </c>
      <c r="AQ6" s="333">
        <v>-30</v>
      </c>
      <c r="AR6" s="333">
        <v>30</v>
      </c>
      <c r="AT6" t="s">
        <v>70</v>
      </c>
      <c r="AU6" s="249" t="s">
        <v>962</v>
      </c>
      <c r="AV6" s="249" t="s">
        <v>215</v>
      </c>
      <c r="AW6" s="249" t="s">
        <v>827</v>
      </c>
      <c r="BN6" s="136">
        <v>670</v>
      </c>
      <c r="BO6" s="188"/>
      <c r="BP6" s="356">
        <f t="shared" si="4"/>
        <v>13.980403725701262</v>
      </c>
      <c r="BR6" s="356"/>
      <c r="BS6" s="356">
        <f>AC6</f>
        <v>12.161968111704379</v>
      </c>
      <c r="BT6" s="356"/>
      <c r="BU6" s="356"/>
      <c r="BV6" s="136">
        <v>670</v>
      </c>
      <c r="BW6" s="188"/>
      <c r="BX6" s="358">
        <f t="shared" si="6"/>
        <v>0.73681806969790031</v>
      </c>
      <c r="BZ6" s="358"/>
      <c r="CA6" s="358">
        <f>AH6</f>
        <v>0.89712924403423855</v>
      </c>
      <c r="CB6" s="358"/>
      <c r="CC6" s="358"/>
      <c r="CD6">
        <v>30</v>
      </c>
      <c r="CE6">
        <v>275.09607199200002</v>
      </c>
      <c r="CI6">
        <v>40</v>
      </c>
      <c r="CJ6">
        <v>705.35724018640008</v>
      </c>
    </row>
    <row r="7" spans="21:90">
      <c r="U7">
        <v>200000</v>
      </c>
      <c r="V7">
        <v>200000</v>
      </c>
      <c r="W7">
        <f t="shared" si="0"/>
        <v>140000</v>
      </c>
      <c r="X7">
        <f t="shared" si="1"/>
        <v>260000</v>
      </c>
      <c r="Y7" t="str">
        <f>Basicinfo!A13</f>
        <v>Antiesen</v>
      </c>
      <c r="Z7" s="136">
        <v>680</v>
      </c>
      <c r="AA7" s="333"/>
      <c r="AB7">
        <v>13.580143137442645</v>
      </c>
      <c r="AC7">
        <v>12.772307997861525</v>
      </c>
      <c r="AE7" s="136">
        <v>680</v>
      </c>
      <c r="AF7" s="333"/>
      <c r="AG7">
        <v>0.76890623862353236</v>
      </c>
      <c r="AH7">
        <v>0.83778023425585713</v>
      </c>
      <c r="AI7" s="136" t="s">
        <v>927</v>
      </c>
      <c r="AJ7" s="333">
        <v>1190</v>
      </c>
      <c r="AK7" s="333">
        <v>-55.060948167486181</v>
      </c>
      <c r="AL7" s="333">
        <v>-30</v>
      </c>
      <c r="AM7" s="333">
        <v>30</v>
      </c>
      <c r="AN7" s="136">
        <f t="shared" si="3"/>
        <v>3901.6460646365535</v>
      </c>
      <c r="AO7" s="333">
        <v>1180</v>
      </c>
      <c r="AP7" s="336">
        <v>-60.575623705737769</v>
      </c>
      <c r="AQ7" s="333">
        <v>-30</v>
      </c>
      <c r="AR7" s="333">
        <v>30</v>
      </c>
      <c r="BN7" s="136">
        <v>680</v>
      </c>
      <c r="BO7" s="188"/>
      <c r="BP7" s="356">
        <f t="shared" si="4"/>
        <v>13.580143137442645</v>
      </c>
      <c r="BQ7" s="356">
        <f t="shared" si="5"/>
        <v>12.772307997861525</v>
      </c>
      <c r="BR7" s="356"/>
      <c r="BS7" s="249"/>
      <c r="BT7" s="356"/>
      <c r="BU7" s="356"/>
      <c r="BV7" s="136">
        <v>680</v>
      </c>
      <c r="BW7" s="188"/>
      <c r="BX7" s="358">
        <f t="shared" si="6"/>
        <v>0.76890623862353236</v>
      </c>
      <c r="BY7" s="358">
        <f t="shared" si="7"/>
        <v>0.83778023425585713</v>
      </c>
      <c r="BZ7" s="358"/>
      <c r="CA7" s="249"/>
      <c r="CB7" s="358"/>
      <c r="CC7" s="358"/>
      <c r="CD7">
        <v>40</v>
      </c>
      <c r="CE7">
        <v>705.35724018640008</v>
      </c>
      <c r="CI7">
        <v>80</v>
      </c>
      <c r="CJ7">
        <v>76.439990548400004</v>
      </c>
    </row>
    <row r="8" spans="21:90">
      <c r="Y8" t="str">
        <f>Basicinfo!A14</f>
        <v>Pram</v>
      </c>
      <c r="Z8" s="136">
        <v>690</v>
      </c>
      <c r="AA8" s="333"/>
      <c r="AB8">
        <v>12.46745315655467</v>
      </c>
      <c r="AC8">
        <v>13.104949460147756</v>
      </c>
      <c r="AE8" s="136">
        <v>690</v>
      </c>
      <c r="AF8" s="333"/>
      <c r="AG8">
        <v>0.64083025484727485</v>
      </c>
      <c r="AH8">
        <v>0.95594812150490416</v>
      </c>
      <c r="AI8" s="136"/>
      <c r="AJ8" s="333">
        <v>1180</v>
      </c>
      <c r="AK8" s="333">
        <v>-52.445100365117767</v>
      </c>
      <c r="AL8" s="333">
        <v>-30</v>
      </c>
      <c r="AM8" s="333">
        <v>30</v>
      </c>
      <c r="AN8" s="136">
        <f t="shared" si="3"/>
        <v>4681.426910336766</v>
      </c>
      <c r="AO8" s="333">
        <v>1590</v>
      </c>
      <c r="AP8" s="333">
        <v>-49.256283560262858</v>
      </c>
      <c r="AQ8" s="333">
        <v>-30</v>
      </c>
      <c r="AR8" s="333">
        <v>30</v>
      </c>
      <c r="AT8" t="s">
        <v>70</v>
      </c>
      <c r="AU8" t="s">
        <v>83</v>
      </c>
      <c r="AV8" t="s">
        <v>69</v>
      </c>
      <c r="AW8" s="226" t="s">
        <v>570</v>
      </c>
      <c r="BN8" s="136">
        <v>690</v>
      </c>
      <c r="BO8" s="188"/>
      <c r="BP8" s="356">
        <f t="shared" si="4"/>
        <v>12.46745315655467</v>
      </c>
      <c r="BR8" s="356"/>
      <c r="BS8" s="356">
        <f>AC8</f>
        <v>13.104949460147756</v>
      </c>
      <c r="BT8" s="356"/>
      <c r="BU8" s="356"/>
      <c r="BV8" s="136">
        <v>690</v>
      </c>
      <c r="BW8" s="188"/>
      <c r="BX8" s="358">
        <f t="shared" si="6"/>
        <v>0.64083025484727485</v>
      </c>
      <c r="BZ8" s="358"/>
      <c r="CA8" s="358">
        <f>AH8</f>
        <v>0.95594812150490416</v>
      </c>
      <c r="CB8" s="358"/>
      <c r="CC8" s="358"/>
      <c r="CD8">
        <v>80</v>
      </c>
      <c r="CE8">
        <v>76.439990548400004</v>
      </c>
      <c r="CI8">
        <v>100</v>
      </c>
      <c r="CJ8">
        <v>96.030839068399999</v>
      </c>
    </row>
    <row r="9" spans="21:90">
      <c r="W9">
        <f t="shared" ref="W9:W15" si="8">V1*0.5</f>
        <v>5.0000000000000001E-3</v>
      </c>
      <c r="X9">
        <f>V1*1.5</f>
        <v>1.4999999999999999E-2</v>
      </c>
      <c r="Y9" t="str">
        <f>Basicinfo!A15</f>
        <v>Pram</v>
      </c>
      <c r="Z9" s="136">
        <v>700</v>
      </c>
      <c r="AA9" s="333"/>
      <c r="AB9">
        <v>12.096588352986165</v>
      </c>
      <c r="AC9">
        <v>15.516797135295267</v>
      </c>
      <c r="AE9" s="136">
        <v>700</v>
      </c>
      <c r="AF9" s="333"/>
      <c r="AG9">
        <v>0.65476201715850424</v>
      </c>
      <c r="AH9">
        <v>0.97791556083613329</v>
      </c>
      <c r="AI9" s="136"/>
      <c r="AJ9" s="333">
        <v>1580</v>
      </c>
      <c r="AK9" s="333">
        <v>-36.045841486697263</v>
      </c>
      <c r="AL9" s="333">
        <v>-30</v>
      </c>
      <c r="AM9" s="333">
        <v>30</v>
      </c>
      <c r="AN9" s="136">
        <f t="shared" si="3"/>
        <v>4581.8173953022115</v>
      </c>
      <c r="AO9" s="333">
        <v>1190</v>
      </c>
      <c r="AP9" s="336">
        <v>-45.761820287202191</v>
      </c>
      <c r="AQ9" s="333">
        <v>-30</v>
      </c>
      <c r="AR9" s="333">
        <v>30</v>
      </c>
      <c r="BN9" s="136">
        <v>700</v>
      </c>
      <c r="BO9" s="188"/>
      <c r="BP9" s="356">
        <f t="shared" si="4"/>
        <v>12.096588352986165</v>
      </c>
      <c r="BQ9" s="356">
        <f t="shared" si="5"/>
        <v>15.516797135295267</v>
      </c>
      <c r="BR9" s="356"/>
      <c r="BS9" s="356"/>
      <c r="BT9" s="356"/>
      <c r="BU9" s="356"/>
      <c r="BV9" s="136">
        <v>700</v>
      </c>
      <c r="BW9" s="188"/>
      <c r="BX9" s="358">
        <f t="shared" si="6"/>
        <v>0.65476201715850424</v>
      </c>
      <c r="BY9" s="358">
        <f t="shared" si="7"/>
        <v>0.97791556083613329</v>
      </c>
      <c r="BZ9" s="358"/>
      <c r="CA9" s="358"/>
      <c r="CB9" s="358"/>
      <c r="CC9" s="358"/>
      <c r="CD9">
        <v>100</v>
      </c>
      <c r="CE9">
        <v>96.030839068399999</v>
      </c>
      <c r="CI9">
        <v>105</v>
      </c>
      <c r="CJ9">
        <v>228.15798065640001</v>
      </c>
    </row>
    <row r="10" spans="21:90">
      <c r="W10">
        <f t="shared" si="8"/>
        <v>0.5</v>
      </c>
      <c r="X10">
        <f t="shared" ref="X10:X15" si="9">V2*1.5</f>
        <v>1.5</v>
      </c>
      <c r="Y10" t="str">
        <f>Basicinfo!A16</f>
        <v>Pram</v>
      </c>
      <c r="Z10" s="136">
        <v>710</v>
      </c>
      <c r="AA10" s="333"/>
      <c r="AB10">
        <v>11.890263772543111</v>
      </c>
      <c r="AC10">
        <v>15.570386931459609</v>
      </c>
      <c r="AE10" s="136">
        <v>710</v>
      </c>
      <c r="AF10" s="333"/>
      <c r="AG10">
        <v>0.68340584486240863</v>
      </c>
      <c r="AH10">
        <v>1.195994507982892</v>
      </c>
      <c r="AI10" s="136"/>
      <c r="AJ10" s="333">
        <v>1380</v>
      </c>
      <c r="AK10" s="333">
        <v>-35.997827650730358</v>
      </c>
      <c r="AL10" s="333">
        <v>-30</v>
      </c>
      <c r="AM10" s="333">
        <v>30</v>
      </c>
      <c r="AN10" s="136">
        <f t="shared" si="3"/>
        <v>4389.7780836275924</v>
      </c>
      <c r="AO10" s="333">
        <v>1600</v>
      </c>
      <c r="AP10" s="333">
        <v>-45.705381470274908</v>
      </c>
      <c r="AQ10" s="333">
        <v>-30</v>
      </c>
      <c r="AR10" s="333">
        <v>30</v>
      </c>
      <c r="AT10" t="s">
        <v>80</v>
      </c>
      <c r="AU10" t="s">
        <v>81</v>
      </c>
      <c r="AV10" t="s">
        <v>82</v>
      </c>
      <c r="BN10" s="136">
        <v>710</v>
      </c>
      <c r="BO10" s="188"/>
      <c r="BP10" s="356">
        <f t="shared" si="4"/>
        <v>11.890263772543111</v>
      </c>
      <c r="BQ10" s="356">
        <f t="shared" si="5"/>
        <v>15.570386931459609</v>
      </c>
      <c r="BR10" s="356"/>
      <c r="BS10" s="249"/>
      <c r="BT10" s="356"/>
      <c r="BU10" s="356"/>
      <c r="BV10" s="136">
        <v>710</v>
      </c>
      <c r="BW10" s="188"/>
      <c r="BX10" s="358">
        <f t="shared" si="6"/>
        <v>0.68340584486240863</v>
      </c>
      <c r="BY10" s="358">
        <f t="shared" si="7"/>
        <v>1.195994507982892</v>
      </c>
      <c r="BZ10" s="358"/>
      <c r="CA10" s="358"/>
      <c r="CB10" s="358"/>
      <c r="CC10" s="358"/>
      <c r="CD10">
        <v>105</v>
      </c>
      <c r="CE10">
        <v>228.15798065640001</v>
      </c>
      <c r="CI10">
        <v>110</v>
      </c>
      <c r="CJ10">
        <v>673.04610579440009</v>
      </c>
    </row>
    <row r="11" spans="21:90">
      <c r="W11">
        <f t="shared" si="8"/>
        <v>5</v>
      </c>
      <c r="X11">
        <f t="shared" si="9"/>
        <v>15</v>
      </c>
      <c r="Y11" t="s">
        <v>428</v>
      </c>
      <c r="Z11" s="347">
        <v>1050</v>
      </c>
      <c r="AA11" s="362"/>
      <c r="AB11" s="361">
        <v>9.0814686149213486</v>
      </c>
      <c r="AC11" s="361">
        <v>144.11906494889607</v>
      </c>
      <c r="AE11" s="347">
        <v>1050</v>
      </c>
      <c r="AF11" s="362"/>
      <c r="AG11" s="361">
        <v>0.44086962100086119</v>
      </c>
      <c r="AH11" s="361">
        <v>7.779753788047115</v>
      </c>
      <c r="AI11" s="136"/>
      <c r="AJ11" s="333">
        <v>1300</v>
      </c>
      <c r="AK11" s="333">
        <v>-35.030746750566394</v>
      </c>
      <c r="AL11" s="333">
        <v>-30</v>
      </c>
      <c r="AM11" s="333">
        <v>30</v>
      </c>
      <c r="AN11" s="136">
        <f t="shared" si="3"/>
        <v>6804.7328668040382</v>
      </c>
      <c r="AO11" s="333">
        <v>1570</v>
      </c>
      <c r="AP11" s="333">
        <v>-45.543839038265553</v>
      </c>
      <c r="AQ11" s="333">
        <v>-30</v>
      </c>
      <c r="AR11" s="333">
        <v>30</v>
      </c>
      <c r="BN11" s="347">
        <v>1050</v>
      </c>
      <c r="BO11" s="360"/>
      <c r="BP11" s="357"/>
      <c r="BQ11" s="357"/>
      <c r="BR11" s="356"/>
      <c r="BS11" s="356"/>
      <c r="BT11" s="249"/>
      <c r="BU11" s="356"/>
      <c r="BV11" s="136">
        <v>1050</v>
      </c>
      <c r="BW11" s="188"/>
      <c r="BX11" s="359"/>
      <c r="BY11" s="359"/>
      <c r="BZ11" s="358"/>
      <c r="CA11" s="358"/>
      <c r="CB11" s="249"/>
      <c r="CC11" s="358"/>
      <c r="CD11">
        <v>110</v>
      </c>
      <c r="CE11">
        <v>673.04610579440009</v>
      </c>
      <c r="CI11">
        <v>120</v>
      </c>
      <c r="CJ11">
        <v>889.46165540940001</v>
      </c>
    </row>
    <row r="12" spans="21:90">
      <c r="W12">
        <f t="shared" si="8"/>
        <v>50</v>
      </c>
      <c r="X12">
        <f t="shared" si="9"/>
        <v>150</v>
      </c>
      <c r="Y12" t="str">
        <f>Basicinfo!A22</f>
        <v>Große Mühl</v>
      </c>
      <c r="Z12" s="136">
        <v>1140</v>
      </c>
      <c r="AA12" s="333"/>
      <c r="AB12" s="249">
        <v>9.2722888089919682</v>
      </c>
      <c r="AC12" s="249">
        <v>7.3778619598689614</v>
      </c>
      <c r="AE12" s="136">
        <v>1140</v>
      </c>
      <c r="AF12" s="333"/>
      <c r="AG12" s="249">
        <v>0.17202752259266649</v>
      </c>
      <c r="AH12" s="249">
        <v>0.30914767986519132</v>
      </c>
      <c r="AI12" s="136"/>
      <c r="AJ12" s="333">
        <v>1600</v>
      </c>
      <c r="AK12" s="333">
        <v>-32.88336101445428</v>
      </c>
      <c r="AL12" s="333">
        <v>-30</v>
      </c>
      <c r="AM12" s="333">
        <v>30</v>
      </c>
      <c r="AN12" s="136">
        <f t="shared" si="3"/>
        <v>17439.069951053807</v>
      </c>
      <c r="AO12" s="333">
        <v>1140</v>
      </c>
      <c r="AP12" s="333">
        <v>-44.35425727028526</v>
      </c>
      <c r="AQ12" s="333">
        <v>-30</v>
      </c>
      <c r="AR12" s="333">
        <v>30</v>
      </c>
      <c r="BN12" s="136">
        <v>1140</v>
      </c>
      <c r="BO12" s="188"/>
      <c r="BP12" s="356">
        <f t="shared" si="4"/>
        <v>9.2722888089919682</v>
      </c>
      <c r="BQ12" s="356">
        <f t="shared" si="5"/>
        <v>7.3778619598689614</v>
      </c>
      <c r="BR12" s="356"/>
      <c r="BS12" s="356"/>
      <c r="BT12" s="356"/>
      <c r="BU12" s="356"/>
      <c r="BV12" s="136">
        <v>1140</v>
      </c>
      <c r="BW12" s="188"/>
      <c r="BX12" s="358">
        <f t="shared" si="6"/>
        <v>0.17202752259266649</v>
      </c>
      <c r="BY12" s="358">
        <f t="shared" si="7"/>
        <v>0.30914767986519132</v>
      </c>
      <c r="BZ12" s="358"/>
      <c r="CA12" s="358"/>
      <c r="CB12" s="358"/>
      <c r="CC12" s="358"/>
      <c r="CD12">
        <v>120</v>
      </c>
      <c r="CE12">
        <v>889.46165540940001</v>
      </c>
      <c r="CI12">
        <v>150</v>
      </c>
      <c r="CJ12">
        <v>76.792290271499994</v>
      </c>
    </row>
    <row r="13" spans="21:90">
      <c r="W13">
        <f t="shared" si="8"/>
        <v>500</v>
      </c>
      <c r="X13">
        <f t="shared" si="9"/>
        <v>1500</v>
      </c>
      <c r="Y13" t="str">
        <f>Basicinfo!A23</f>
        <v>Dürre Aschach und Aschach</v>
      </c>
      <c r="Z13" s="136">
        <v>1150</v>
      </c>
      <c r="AA13" s="333"/>
      <c r="AB13" s="354">
        <v>13.006564106523012</v>
      </c>
      <c r="AC13" s="354">
        <v>14.766136661695047</v>
      </c>
      <c r="AE13" s="136">
        <v>1150</v>
      </c>
      <c r="AF13" s="333"/>
      <c r="AG13" s="354">
        <v>0.63744340078180761</v>
      </c>
      <c r="AH13" s="354">
        <v>0.73752863136209101</v>
      </c>
      <c r="AI13" s="136"/>
      <c r="AJ13" s="333">
        <v>1360</v>
      </c>
      <c r="AK13" s="333">
        <v>-32.87995115577354</v>
      </c>
      <c r="AL13" s="333">
        <v>-30</v>
      </c>
      <c r="AM13" s="333">
        <v>30</v>
      </c>
      <c r="AN13" s="136">
        <f t="shared" si="3"/>
        <v>4706.3001928023386</v>
      </c>
      <c r="AO13" s="333">
        <v>710</v>
      </c>
      <c r="AP13" s="333">
        <v>-42.85878067993734</v>
      </c>
      <c r="AQ13" s="333">
        <v>-30</v>
      </c>
      <c r="AR13" s="333">
        <v>30</v>
      </c>
      <c r="BN13" s="136">
        <v>1150</v>
      </c>
      <c r="BO13" s="188"/>
      <c r="BP13" s="356">
        <f t="shared" si="4"/>
        <v>13.006564106523012</v>
      </c>
      <c r="BQ13" s="356">
        <f t="shared" si="5"/>
        <v>14.766136661695047</v>
      </c>
      <c r="BR13" s="356"/>
      <c r="BS13" s="356"/>
      <c r="BT13" s="356"/>
      <c r="BU13" s="356"/>
      <c r="BV13" s="136">
        <v>1150</v>
      </c>
      <c r="BW13" s="188"/>
      <c r="BX13" s="358">
        <f t="shared" si="6"/>
        <v>0.63744340078180761</v>
      </c>
      <c r="BY13" s="358">
        <f t="shared" si="7"/>
        <v>0.73752863136209101</v>
      </c>
      <c r="BZ13" s="358"/>
      <c r="CA13" s="358"/>
      <c r="CB13" s="358"/>
      <c r="CC13" s="358"/>
      <c r="CD13">
        <v>150</v>
      </c>
      <c r="CE13">
        <v>76.792290271499994</v>
      </c>
      <c r="CI13">
        <v>170</v>
      </c>
      <c r="CJ13">
        <v>852.574424894</v>
      </c>
    </row>
    <row r="14" spans="21:90">
      <c r="W14">
        <f t="shared" si="8"/>
        <v>1500</v>
      </c>
      <c r="X14">
        <f t="shared" si="9"/>
        <v>4500</v>
      </c>
      <c r="Y14" t="str">
        <f>Basicinfo!A24</f>
        <v>Aschach</v>
      </c>
      <c r="Z14" s="136">
        <v>1160</v>
      </c>
      <c r="AA14" s="333"/>
      <c r="AB14" s="354">
        <v>12.162044979467272</v>
      </c>
      <c r="AC14" s="354">
        <v>14.91482720241687</v>
      </c>
      <c r="AE14" s="136">
        <v>1160</v>
      </c>
      <c r="AF14" s="333"/>
      <c r="AG14" s="354">
        <v>0.59444199305073986</v>
      </c>
      <c r="AH14" s="354">
        <v>0.72215239402769871</v>
      </c>
      <c r="AI14" s="136"/>
      <c r="AJ14" s="333">
        <v>1310</v>
      </c>
      <c r="AK14" s="333">
        <v>-31.651856510314374</v>
      </c>
      <c r="AL14" s="333">
        <v>-30</v>
      </c>
      <c r="AM14" s="333">
        <v>30</v>
      </c>
      <c r="AN14" s="136">
        <f t="shared" si="3"/>
        <v>5046.7497839506241</v>
      </c>
      <c r="AO14" s="333">
        <v>1580</v>
      </c>
      <c r="AP14" s="333">
        <v>-33.625102731566727</v>
      </c>
      <c r="AQ14" s="333">
        <v>-30</v>
      </c>
      <c r="AR14" s="333">
        <v>30</v>
      </c>
      <c r="BN14" s="136">
        <v>1160</v>
      </c>
      <c r="BO14" s="188"/>
      <c r="BP14" s="356">
        <f t="shared" si="4"/>
        <v>12.162044979467272</v>
      </c>
      <c r="BQ14" s="356">
        <f t="shared" si="5"/>
        <v>14.91482720241687</v>
      </c>
      <c r="BR14" s="356"/>
      <c r="BS14" s="356"/>
      <c r="BT14" s="356"/>
      <c r="BU14" s="356"/>
      <c r="BV14" s="136">
        <v>1160</v>
      </c>
      <c r="BW14" s="188"/>
      <c r="BX14" s="358">
        <f t="shared" si="6"/>
        <v>0.59444199305073986</v>
      </c>
      <c r="BY14" s="358">
        <f t="shared" si="7"/>
        <v>0.72215239402769871</v>
      </c>
      <c r="BZ14" s="358"/>
      <c r="CA14" s="358"/>
      <c r="CB14" s="358"/>
      <c r="CC14" s="358"/>
      <c r="CD14">
        <v>170</v>
      </c>
      <c r="CE14">
        <v>852.574424894</v>
      </c>
      <c r="CI14">
        <v>210</v>
      </c>
      <c r="CJ14">
        <v>620.277914065</v>
      </c>
    </row>
    <row r="15" spans="21:90">
      <c r="W15">
        <f t="shared" si="8"/>
        <v>100000</v>
      </c>
      <c r="X15">
        <f t="shared" si="9"/>
        <v>300000</v>
      </c>
      <c r="Y15" t="str">
        <f>Basicinfo!A25</f>
        <v>Trattnach</v>
      </c>
      <c r="Z15" s="136">
        <v>1170</v>
      </c>
      <c r="AA15" s="333"/>
      <c r="AB15" s="354">
        <v>11.058380633280631</v>
      </c>
      <c r="AC15" s="354">
        <v>9.3419258470438926</v>
      </c>
      <c r="AE15" s="136">
        <v>1170</v>
      </c>
      <c r="AF15" s="333"/>
      <c r="AG15" s="354">
        <v>0.67854361904974747</v>
      </c>
      <c r="AH15" s="354">
        <v>0.51253760724999076</v>
      </c>
      <c r="AI15" s="136"/>
      <c r="AJ15" s="333">
        <v>1570</v>
      </c>
      <c r="AK15" s="333">
        <v>-31.043127352556922</v>
      </c>
      <c r="AL15" s="333">
        <v>-30</v>
      </c>
      <c r="AM15" s="333">
        <v>30</v>
      </c>
      <c r="AN15" s="136">
        <f t="shared" si="3"/>
        <v>4421.2338245863821</v>
      </c>
      <c r="AO15" s="333">
        <v>700</v>
      </c>
      <c r="AP15" s="333">
        <v>-33.045137700981826</v>
      </c>
      <c r="AQ15" s="333">
        <v>-30</v>
      </c>
      <c r="AR15" s="333">
        <v>30</v>
      </c>
      <c r="BN15" s="136">
        <v>1170</v>
      </c>
      <c r="BO15" s="188"/>
      <c r="BP15" s="356">
        <f t="shared" si="4"/>
        <v>11.058380633280631</v>
      </c>
      <c r="BR15" s="356"/>
      <c r="BS15" s="356">
        <f>AC15</f>
        <v>9.3419258470438926</v>
      </c>
      <c r="BT15" s="356"/>
      <c r="BU15" s="356"/>
      <c r="BV15" s="136">
        <v>1170</v>
      </c>
      <c r="BW15" s="188"/>
      <c r="BX15" s="358">
        <f t="shared" si="6"/>
        <v>0.67854361904974747</v>
      </c>
      <c r="BZ15" s="358"/>
      <c r="CA15" s="358">
        <f>AH15</f>
        <v>0.51253760724999076</v>
      </c>
      <c r="CB15" s="358"/>
      <c r="CC15" s="358"/>
      <c r="CD15">
        <v>210</v>
      </c>
      <c r="CE15">
        <v>620.277914065</v>
      </c>
      <c r="CI15">
        <v>220</v>
      </c>
      <c r="CJ15">
        <v>1134.1980393379999</v>
      </c>
    </row>
    <row r="16" spans="21:90">
      <c r="Y16" t="str">
        <f>Basicinfo!A26</f>
        <v>Innbach</v>
      </c>
      <c r="Z16" s="363">
        <v>1180</v>
      </c>
      <c r="AA16" s="364"/>
      <c r="AB16" s="365">
        <v>9.2682504612175123</v>
      </c>
      <c r="AC16" s="365">
        <v>19.489580531927174</v>
      </c>
      <c r="AE16" s="347">
        <v>1180</v>
      </c>
      <c r="AF16" s="362"/>
      <c r="AG16" s="361">
        <v>0.65543777958215765</v>
      </c>
      <c r="AH16" s="361">
        <v>1.6625190838530757</v>
      </c>
      <c r="AI16" s="136"/>
      <c r="AJ16" s="333">
        <v>1630</v>
      </c>
      <c r="AK16" s="333">
        <v>-28.050380758458729</v>
      </c>
      <c r="AL16" s="333">
        <v>-30</v>
      </c>
      <c r="AM16" s="333">
        <v>30</v>
      </c>
      <c r="AN16" s="136">
        <f t="shared" si="3"/>
        <v>4577.0934991152071</v>
      </c>
      <c r="AO16" s="333">
        <v>690</v>
      </c>
      <c r="AP16" s="336">
        <v>-32.963908769604984</v>
      </c>
      <c r="AQ16" s="333">
        <v>-30</v>
      </c>
      <c r="AR16" s="333">
        <v>30</v>
      </c>
      <c r="BN16" s="347">
        <v>1180</v>
      </c>
      <c r="BO16" s="360"/>
      <c r="BP16" s="357">
        <f t="shared" si="4"/>
        <v>9.2682504612175123</v>
      </c>
      <c r="BQ16" s="357">
        <f t="shared" si="5"/>
        <v>19.489580531927174</v>
      </c>
      <c r="BR16" s="356"/>
      <c r="BS16" s="356"/>
      <c r="BT16" s="356"/>
      <c r="BU16" s="356"/>
      <c r="BV16" s="347">
        <v>1180</v>
      </c>
      <c r="BW16" s="360"/>
      <c r="BX16" s="359">
        <f t="shared" si="6"/>
        <v>0.65543777958215765</v>
      </c>
      <c r="BY16" s="359">
        <f t="shared" si="7"/>
        <v>1.6625190838530757</v>
      </c>
      <c r="BZ16" s="358"/>
      <c r="CA16" s="358"/>
      <c r="CB16" s="358"/>
      <c r="CC16" s="358"/>
      <c r="CD16">
        <v>220</v>
      </c>
      <c r="CE16">
        <v>1134.1980393379999</v>
      </c>
      <c r="CI16">
        <v>250</v>
      </c>
      <c r="CJ16">
        <v>298.37882963000004</v>
      </c>
    </row>
    <row r="17" spans="22:88">
      <c r="Y17" t="str">
        <f>Basicinfo!A27</f>
        <v>Pesenbach</v>
      </c>
      <c r="Z17" s="363">
        <v>1190</v>
      </c>
      <c r="AA17" s="364"/>
      <c r="AB17" s="365">
        <v>5.6408130909989049</v>
      </c>
      <c r="AC17" s="365">
        <v>12.552140868530131</v>
      </c>
      <c r="AE17" s="136">
        <v>1190</v>
      </c>
      <c r="AF17" s="333"/>
      <c r="AG17" s="249">
        <v>0.18673085390535163</v>
      </c>
      <c r="AH17" s="249">
        <v>0.34427935246744912</v>
      </c>
      <c r="AI17" s="136"/>
      <c r="AJ17" s="333">
        <v>1340</v>
      </c>
      <c r="AK17" s="333">
        <v>-27.917175389525994</v>
      </c>
      <c r="AL17" s="333">
        <v>-30</v>
      </c>
      <c r="AM17" s="333">
        <v>30</v>
      </c>
      <c r="AN17" s="136">
        <f t="shared" si="3"/>
        <v>16065.904146299312</v>
      </c>
      <c r="AO17" s="333">
        <v>1380</v>
      </c>
      <c r="AP17" s="333">
        <v>-31.39760814839758</v>
      </c>
      <c r="AQ17" s="333">
        <v>-30</v>
      </c>
      <c r="AR17" s="333">
        <v>30</v>
      </c>
      <c r="BN17" s="347">
        <v>1190</v>
      </c>
      <c r="BO17" s="360"/>
      <c r="BP17" s="357">
        <f t="shared" si="4"/>
        <v>5.6408130909989049</v>
      </c>
      <c r="BQ17" s="357">
        <f t="shared" si="5"/>
        <v>12.552140868530131</v>
      </c>
      <c r="BR17" s="356"/>
      <c r="BS17" s="356"/>
      <c r="BT17" s="356"/>
      <c r="BU17" s="356"/>
      <c r="BV17" s="136">
        <v>1190</v>
      </c>
      <c r="BW17" s="188"/>
      <c r="BX17" s="358">
        <f t="shared" si="6"/>
        <v>0.18673085390535163</v>
      </c>
      <c r="BY17" s="358">
        <f t="shared" si="7"/>
        <v>0.34427935246744912</v>
      </c>
      <c r="BZ17" s="358"/>
      <c r="CA17" s="358"/>
      <c r="CB17" s="358"/>
      <c r="CC17" s="358"/>
      <c r="CD17">
        <v>250</v>
      </c>
      <c r="CE17">
        <v>298.37882963000004</v>
      </c>
      <c r="CI17">
        <v>330</v>
      </c>
      <c r="CJ17">
        <v>778.55346300399992</v>
      </c>
    </row>
    <row r="18" spans="22:88">
      <c r="Y18" t="str">
        <f>Basicinfo!A28</f>
        <v>Große Rodl</v>
      </c>
      <c r="Z18" s="136">
        <v>1200</v>
      </c>
      <c r="AA18" s="333"/>
      <c r="AB18" s="354">
        <v>7.6779249742794979</v>
      </c>
      <c r="AC18" s="354">
        <v>10.615248240172246</v>
      </c>
      <c r="AE18" s="136">
        <v>1200</v>
      </c>
      <c r="AF18" s="333"/>
      <c r="AG18" s="354">
        <v>0.25486736759094353</v>
      </c>
      <c r="AH18" s="354">
        <v>0.34553798296846777</v>
      </c>
      <c r="AI18" s="136"/>
      <c r="AJ18" s="333">
        <v>1200</v>
      </c>
      <c r="AK18" s="333">
        <v>-27.67079204777113</v>
      </c>
      <c r="AL18" s="333">
        <v>-30</v>
      </c>
      <c r="AM18" s="333">
        <v>30</v>
      </c>
      <c r="AN18" s="136">
        <f t="shared" si="3"/>
        <v>11770.828209027268</v>
      </c>
      <c r="AO18" s="333">
        <v>1200</v>
      </c>
      <c r="AP18" s="333">
        <v>-26.240419243808134</v>
      </c>
      <c r="AQ18" s="333">
        <v>-30</v>
      </c>
      <c r="AR18" s="333">
        <v>30</v>
      </c>
      <c r="BN18" s="136">
        <v>1200</v>
      </c>
      <c r="BO18" s="188"/>
      <c r="BP18" s="356">
        <f t="shared" si="4"/>
        <v>7.6779249742794979</v>
      </c>
      <c r="BQ18" s="356">
        <f t="shared" si="5"/>
        <v>10.615248240172246</v>
      </c>
      <c r="BR18" s="356"/>
      <c r="BS18" s="356"/>
      <c r="BT18" s="356"/>
      <c r="BU18" s="356"/>
      <c r="BV18" s="136">
        <v>1200</v>
      </c>
      <c r="BW18" s="188"/>
      <c r="BX18" s="358">
        <f t="shared" si="6"/>
        <v>0.25486736759094353</v>
      </c>
      <c r="BY18" s="358">
        <f t="shared" si="7"/>
        <v>0.34553798296846777</v>
      </c>
      <c r="BZ18" s="358"/>
      <c r="CA18" s="358"/>
      <c r="CB18" s="358"/>
      <c r="CC18" s="358"/>
      <c r="CD18">
        <v>330</v>
      </c>
      <c r="CE18">
        <v>778.55346300399992</v>
      </c>
      <c r="CI18">
        <v>410</v>
      </c>
      <c r="CJ18">
        <v>224.483418124</v>
      </c>
    </row>
    <row r="19" spans="22:88">
      <c r="Y19" t="str">
        <f>Basicinfo!A36</f>
        <v>Ager</v>
      </c>
      <c r="Z19" s="136">
        <v>1280</v>
      </c>
      <c r="AA19" s="333"/>
      <c r="AB19" s="354">
        <v>5.7100487858213738</v>
      </c>
      <c r="AC19" s="354">
        <v>7.1610915493358895</v>
      </c>
      <c r="AE19" s="136">
        <v>1280</v>
      </c>
      <c r="AF19" s="333"/>
      <c r="AG19" s="354">
        <v>9.7571286351760836E-2</v>
      </c>
      <c r="AH19" s="354">
        <v>0.12800832895117734</v>
      </c>
      <c r="AI19" s="136"/>
      <c r="AJ19" s="333">
        <v>710</v>
      </c>
      <c r="AK19" s="333">
        <v>-23.635399525498585</v>
      </c>
      <c r="AL19" s="333">
        <v>-30</v>
      </c>
      <c r="AM19" s="333">
        <v>30</v>
      </c>
      <c r="AN19" s="136">
        <f t="shared" si="3"/>
        <v>30746.750526425341</v>
      </c>
      <c r="AO19" s="333">
        <v>630</v>
      </c>
      <c r="AP19" s="333">
        <v>-25.749774853237028</v>
      </c>
      <c r="AQ19" s="333">
        <v>-30</v>
      </c>
      <c r="AR19" s="333">
        <v>30</v>
      </c>
      <c r="BN19" s="136">
        <v>1280</v>
      </c>
      <c r="BO19" s="188"/>
      <c r="BP19" s="356">
        <f t="shared" si="4"/>
        <v>5.7100487858213738</v>
      </c>
      <c r="BQ19" s="356">
        <f t="shared" si="5"/>
        <v>7.1610915493358895</v>
      </c>
      <c r="BR19" s="356"/>
      <c r="BS19" s="356"/>
      <c r="BT19" s="356"/>
      <c r="BU19" s="356"/>
      <c r="BV19" s="136">
        <v>1280</v>
      </c>
      <c r="BW19" s="188"/>
      <c r="BX19" s="358">
        <f t="shared" si="6"/>
        <v>9.7571286351760836E-2</v>
      </c>
      <c r="BY19" s="358">
        <f t="shared" si="7"/>
        <v>0.12800832895117734</v>
      </c>
      <c r="BZ19" s="358"/>
      <c r="CA19" s="358"/>
      <c r="CB19" s="358"/>
      <c r="CC19" s="358"/>
      <c r="CD19">
        <v>410</v>
      </c>
      <c r="CE19">
        <v>224.483418124</v>
      </c>
      <c r="CI19">
        <v>430</v>
      </c>
      <c r="CJ19">
        <v>184.84579817100001</v>
      </c>
    </row>
    <row r="20" spans="22:88">
      <c r="Y20" t="str">
        <f>Basicinfo!A37</f>
        <v>Ager</v>
      </c>
      <c r="Z20" s="136">
        <v>1290</v>
      </c>
      <c r="AA20" s="333"/>
      <c r="AB20" s="354">
        <v>10.466318243134994</v>
      </c>
      <c r="AC20" s="354">
        <v>11.572753818682163</v>
      </c>
      <c r="AE20" s="136">
        <v>1290</v>
      </c>
      <c r="AF20" s="333"/>
      <c r="AG20" s="354">
        <v>0.3028285433103432</v>
      </c>
      <c r="AH20" s="354">
        <v>0.27673772238352273</v>
      </c>
      <c r="AI20" s="136"/>
      <c r="AJ20" s="333">
        <v>700</v>
      </c>
      <c r="AK20" s="333">
        <v>-22.041976527032944</v>
      </c>
      <c r="AL20" s="333">
        <v>-30</v>
      </c>
      <c r="AM20" s="333">
        <v>30</v>
      </c>
      <c r="AN20" s="136">
        <f t="shared" si="3"/>
        <v>9906.5958816357524</v>
      </c>
      <c r="AO20" s="333">
        <v>1360</v>
      </c>
      <c r="AP20" s="333">
        <v>-24.650392767983021</v>
      </c>
      <c r="AQ20" s="333">
        <v>-30</v>
      </c>
      <c r="AR20" s="333">
        <v>30</v>
      </c>
      <c r="BN20" s="136">
        <v>1290</v>
      </c>
      <c r="BO20" s="188"/>
      <c r="BP20" s="356">
        <f t="shared" si="4"/>
        <v>10.466318243134994</v>
      </c>
      <c r="BQ20" s="356">
        <f t="shared" si="5"/>
        <v>11.572753818682163</v>
      </c>
      <c r="BR20" s="356"/>
      <c r="BS20" s="356"/>
      <c r="BT20" s="356"/>
      <c r="BU20" s="356"/>
      <c r="BV20" s="136">
        <v>1290</v>
      </c>
      <c r="BW20" s="188"/>
      <c r="BX20" s="358">
        <f t="shared" si="6"/>
        <v>0.3028285433103432</v>
      </c>
      <c r="BY20" s="358">
        <f t="shared" si="7"/>
        <v>0.27673772238352273</v>
      </c>
      <c r="BZ20" s="358"/>
      <c r="CA20" s="358"/>
      <c r="CB20" s="358"/>
      <c r="CC20" s="358"/>
      <c r="CD20">
        <v>430</v>
      </c>
      <c r="CE20">
        <v>184.84579817100001</v>
      </c>
      <c r="CI20">
        <v>460</v>
      </c>
      <c r="CJ20">
        <v>171.829937839</v>
      </c>
    </row>
    <row r="21" spans="22:88">
      <c r="V21" t="s">
        <v>393</v>
      </c>
      <c r="W21" t="s">
        <v>282</v>
      </c>
      <c r="Y21" t="str">
        <f>Basicinfo!A38</f>
        <v>Alm</v>
      </c>
      <c r="Z21" s="136">
        <v>1300</v>
      </c>
      <c r="AA21" s="333"/>
      <c r="AB21" s="354">
        <v>8.711422027029819</v>
      </c>
      <c r="AC21" s="354">
        <v>13.408530329853781</v>
      </c>
      <c r="AE21" s="136">
        <v>1300</v>
      </c>
      <c r="AF21" s="333"/>
      <c r="AG21" s="354">
        <v>0.11292992872045252</v>
      </c>
      <c r="AH21" s="354">
        <v>7.5803652168528093E-2</v>
      </c>
      <c r="AI21" s="136"/>
      <c r="AJ21" s="333">
        <v>1330</v>
      </c>
      <c r="AK21" s="333">
        <v>-20.282592151095358</v>
      </c>
      <c r="AL21" s="333">
        <v>-30</v>
      </c>
      <c r="AM21" s="333">
        <v>30</v>
      </c>
      <c r="AN21" s="136">
        <f t="shared" si="3"/>
        <v>26565.145608355244</v>
      </c>
      <c r="AO21" s="333">
        <v>1280</v>
      </c>
      <c r="AP21" s="333">
        <v>-23.777392337513646</v>
      </c>
      <c r="AQ21" s="333">
        <v>-30</v>
      </c>
      <c r="AR21" s="333">
        <v>30</v>
      </c>
      <c r="BN21" s="136">
        <v>1300</v>
      </c>
      <c r="BO21" s="188"/>
      <c r="BP21" s="356">
        <f t="shared" si="4"/>
        <v>8.711422027029819</v>
      </c>
      <c r="BQ21" s="356">
        <f t="shared" si="5"/>
        <v>13.408530329853781</v>
      </c>
      <c r="BR21" s="356"/>
      <c r="BS21" s="356"/>
      <c r="BT21" s="356"/>
      <c r="BU21" s="356"/>
      <c r="BV21" s="136">
        <v>1300</v>
      </c>
      <c r="BW21" s="188"/>
      <c r="BX21" s="358">
        <f t="shared" si="6"/>
        <v>0.11292992872045252</v>
      </c>
      <c r="BY21" s="358">
        <f t="shared" si="7"/>
        <v>7.5803652168528093E-2</v>
      </c>
      <c r="BZ21" s="358"/>
      <c r="CA21" s="358"/>
      <c r="CB21" s="358"/>
      <c r="CC21" s="358"/>
      <c r="CD21">
        <v>460</v>
      </c>
      <c r="CE21">
        <v>171.829937839</v>
      </c>
      <c r="CI21">
        <v>470</v>
      </c>
      <c r="CJ21">
        <v>395.18268785099997</v>
      </c>
    </row>
    <row r="22" spans="22:88">
      <c r="W22" t="s">
        <v>415</v>
      </c>
      <c r="Y22" t="str">
        <f>Basicinfo!A39</f>
        <v>Alm</v>
      </c>
      <c r="Z22" s="136">
        <v>1310</v>
      </c>
      <c r="AA22" s="333"/>
      <c r="AB22">
        <v>9.2973433984742986</v>
      </c>
      <c r="AC22">
        <v>13.602920172773024</v>
      </c>
      <c r="AE22" s="136">
        <v>1310</v>
      </c>
      <c r="AF22" s="333"/>
      <c r="AG22">
        <v>0.27389843303961003</v>
      </c>
      <c r="AH22">
        <v>0.10271834067324732</v>
      </c>
      <c r="AI22" s="136"/>
      <c r="AJ22" s="333">
        <v>1280</v>
      </c>
      <c r="AK22" s="333">
        <v>-20.26287128879234</v>
      </c>
      <c r="AL22" s="333">
        <v>-30</v>
      </c>
      <c r="AM22" s="333">
        <v>30</v>
      </c>
      <c r="AN22" s="136">
        <f t="shared" si="3"/>
        <v>10952.965180221214</v>
      </c>
      <c r="AO22" s="333">
        <v>670</v>
      </c>
      <c r="AP22" s="333">
        <v>-17.869351088751287</v>
      </c>
      <c r="AQ22" s="333">
        <v>-30</v>
      </c>
      <c r="AR22" s="333">
        <v>30</v>
      </c>
      <c r="BN22" s="136">
        <v>1310</v>
      </c>
      <c r="BO22" s="188"/>
      <c r="BP22" s="356">
        <f t="shared" si="4"/>
        <v>9.2973433984742986</v>
      </c>
      <c r="BQ22" s="356">
        <f t="shared" si="5"/>
        <v>13.602920172773024</v>
      </c>
      <c r="BR22" s="356"/>
      <c r="BS22" s="356"/>
      <c r="BT22" s="356"/>
      <c r="BU22" s="356"/>
      <c r="BV22" s="347">
        <v>1310</v>
      </c>
      <c r="BW22" s="360"/>
      <c r="BX22" s="359">
        <f t="shared" si="6"/>
        <v>0.27389843303961003</v>
      </c>
      <c r="BY22" s="359">
        <f t="shared" si="7"/>
        <v>0.10271834067324732</v>
      </c>
      <c r="BZ22" s="358"/>
      <c r="CA22" s="358"/>
      <c r="CB22" s="358"/>
      <c r="CC22" s="358"/>
      <c r="CD22">
        <v>470</v>
      </c>
      <c r="CE22">
        <v>395.18268785099997</v>
      </c>
      <c r="CI22">
        <v>630</v>
      </c>
      <c r="CJ22">
        <v>450.37628761899998</v>
      </c>
    </row>
    <row r="23" spans="22:88">
      <c r="V23">
        <v>580</v>
      </c>
      <c r="W23">
        <v>7.2032945490214599</v>
      </c>
      <c r="Y23" t="str">
        <f>Basicinfo!A40</f>
        <v>Krems</v>
      </c>
      <c r="Z23" s="136">
        <v>1320</v>
      </c>
      <c r="AA23" s="333"/>
      <c r="AB23">
        <v>15.693627595218286</v>
      </c>
      <c r="AC23">
        <v>16.775748432785107</v>
      </c>
      <c r="AE23" s="136">
        <v>1320</v>
      </c>
      <c r="AF23" s="333"/>
      <c r="AG23">
        <v>0.83603367580772658</v>
      </c>
      <c r="AH23">
        <v>0.50732324506874826</v>
      </c>
      <c r="AI23" s="136"/>
      <c r="AJ23" s="333">
        <v>4020</v>
      </c>
      <c r="AK23" s="333">
        <v>-19.120633879642028</v>
      </c>
      <c r="AL23" s="333">
        <v>-30</v>
      </c>
      <c r="AM23" s="333">
        <v>30</v>
      </c>
      <c r="AN23" s="136">
        <f t="shared" si="3"/>
        <v>3588.372199363353</v>
      </c>
      <c r="AO23" s="333">
        <v>1160</v>
      </c>
      <c r="AP23" s="333">
        <v>-17.684688444314773</v>
      </c>
      <c r="AQ23" s="333">
        <v>-30</v>
      </c>
      <c r="AR23" s="333">
        <v>30</v>
      </c>
      <c r="BN23" s="136">
        <v>1320</v>
      </c>
      <c r="BO23" s="188"/>
      <c r="BP23" s="356">
        <f t="shared" si="4"/>
        <v>15.693627595218286</v>
      </c>
      <c r="BQ23" s="356">
        <f t="shared" si="5"/>
        <v>16.775748432785107</v>
      </c>
      <c r="BR23" s="249"/>
      <c r="BS23" s="356"/>
      <c r="BT23" s="356"/>
      <c r="BU23" s="356"/>
      <c r="BV23" s="347">
        <v>1320</v>
      </c>
      <c r="BW23" s="360"/>
      <c r="BX23" s="359">
        <f t="shared" si="6"/>
        <v>0.83603367580772658</v>
      </c>
      <c r="BY23" s="359">
        <f t="shared" si="7"/>
        <v>0.50732324506874826</v>
      </c>
      <c r="BZ23" s="249"/>
      <c r="CA23" s="358"/>
      <c r="CB23" s="358"/>
      <c r="CC23" s="358"/>
      <c r="CD23">
        <v>630</v>
      </c>
      <c r="CE23">
        <v>450.37628761899998</v>
      </c>
      <c r="CI23">
        <v>640</v>
      </c>
      <c r="CJ23">
        <v>43.323729148699996</v>
      </c>
    </row>
    <row r="24" spans="22:88">
      <c r="V24">
        <v>600</v>
      </c>
      <c r="W24">
        <v>1.668499229242032</v>
      </c>
      <c r="Y24" t="str">
        <f>Basicinfo!A41</f>
        <v>Krems</v>
      </c>
      <c r="Z24" s="136">
        <v>1330</v>
      </c>
      <c r="AA24" s="333"/>
      <c r="AB24">
        <v>16.410746806545404</v>
      </c>
      <c r="AC24">
        <v>20.586152070636974</v>
      </c>
      <c r="AE24" s="136">
        <v>1330</v>
      </c>
      <c r="AF24" s="333"/>
      <c r="AG24">
        <v>0.84787425519196036</v>
      </c>
      <c r="AH24">
        <v>0.48305851410932171</v>
      </c>
      <c r="AI24" s="136"/>
      <c r="AJ24" s="333">
        <v>1160</v>
      </c>
      <c r="AK24" s="333">
        <v>-18.456681968823105</v>
      </c>
      <c r="AL24" s="333">
        <v>-30</v>
      </c>
      <c r="AM24" s="333">
        <v>30</v>
      </c>
      <c r="AN24" s="136">
        <f t="shared" si="3"/>
        <v>3538.2605163790404</v>
      </c>
      <c r="AO24" s="333">
        <v>1630</v>
      </c>
      <c r="AP24" s="333">
        <v>-16.581064284556945</v>
      </c>
      <c r="AQ24" s="333">
        <v>-30</v>
      </c>
      <c r="AR24" s="333">
        <v>30</v>
      </c>
      <c r="BN24" s="136">
        <v>1330</v>
      </c>
      <c r="BO24" s="188"/>
      <c r="BP24" s="356">
        <f t="shared" si="4"/>
        <v>16.410746806545404</v>
      </c>
      <c r="BR24" s="356">
        <f>AC24</f>
        <v>20.586152070636974</v>
      </c>
      <c r="BS24" s="356"/>
      <c r="BT24" s="356"/>
      <c r="BU24" s="356"/>
      <c r="BV24" s="347">
        <v>1330</v>
      </c>
      <c r="BW24" s="360"/>
      <c r="BX24" s="359">
        <f t="shared" si="6"/>
        <v>0.84787425519196036</v>
      </c>
      <c r="BY24" s="347"/>
      <c r="BZ24" s="359">
        <f>AH24</f>
        <v>0.48305851410932171</v>
      </c>
      <c r="CA24" s="358"/>
      <c r="CB24" s="358"/>
      <c r="CC24" s="358"/>
      <c r="CD24">
        <v>640</v>
      </c>
      <c r="CE24">
        <v>43.323729148699996</v>
      </c>
      <c r="CI24">
        <v>650</v>
      </c>
      <c r="CJ24">
        <v>313.57887996969998</v>
      </c>
    </row>
    <row r="25" spans="22:88">
      <c r="V25">
        <v>610</v>
      </c>
      <c r="W25">
        <v>3.3752194657463024</v>
      </c>
      <c r="Y25" t="str">
        <f>Basicinfo!A42</f>
        <v>Ipfbach</v>
      </c>
      <c r="Z25">
        <v>1340</v>
      </c>
      <c r="AA25" s="333"/>
      <c r="AB25">
        <v>15.336999121452013</v>
      </c>
      <c r="AC25">
        <v>21.276911947237245</v>
      </c>
      <c r="AE25">
        <v>1340</v>
      </c>
      <c r="AF25" s="333"/>
      <c r="AG25">
        <v>0.73610587919136483</v>
      </c>
      <c r="AH25">
        <v>0.28916663005756021</v>
      </c>
      <c r="AI25" s="136"/>
      <c r="AJ25" s="333">
        <v>650</v>
      </c>
      <c r="AK25" s="333">
        <v>-16.531544960389894</v>
      </c>
      <c r="AL25" s="333">
        <v>-30</v>
      </c>
      <c r="AM25" s="333">
        <v>30</v>
      </c>
      <c r="AN25" s="136">
        <f t="shared" si="3"/>
        <v>4075.5006647896812</v>
      </c>
      <c r="AO25" s="333">
        <v>1150</v>
      </c>
      <c r="AP25" s="333">
        <v>-13.570351892026594</v>
      </c>
      <c r="AQ25" s="333">
        <v>-30</v>
      </c>
      <c r="AR25" s="333">
        <v>30</v>
      </c>
      <c r="BN25">
        <v>1340</v>
      </c>
      <c r="BO25" s="188"/>
      <c r="BP25" s="356">
        <f t="shared" si="4"/>
        <v>15.336999121452013</v>
      </c>
      <c r="BR25" s="356">
        <f>AC25</f>
        <v>21.276911947237245</v>
      </c>
      <c r="BS25" s="356"/>
      <c r="BT25" s="356"/>
      <c r="BU25" s="249"/>
      <c r="BV25" s="347">
        <v>1340</v>
      </c>
      <c r="BW25" s="360"/>
      <c r="BX25" s="359">
        <f t="shared" si="6"/>
        <v>0.73610587919136483</v>
      </c>
      <c r="BY25" s="347"/>
      <c r="BZ25" s="359">
        <f>AH25</f>
        <v>0.28916663005756021</v>
      </c>
      <c r="CA25" s="358"/>
      <c r="CB25" s="358"/>
      <c r="CC25" s="249"/>
      <c r="CD25">
        <v>650</v>
      </c>
      <c r="CE25">
        <v>313.57887996969998</v>
      </c>
      <c r="CI25">
        <v>670</v>
      </c>
      <c r="CJ25">
        <v>139.59965703099999</v>
      </c>
    </row>
    <row r="26" spans="22:88">
      <c r="V26">
        <v>620</v>
      </c>
      <c r="W26">
        <v>2.9528965783944026</v>
      </c>
      <c r="Y26" t="str">
        <f>Basicinfo!A44</f>
        <v>Kleine Gusen</v>
      </c>
      <c r="Z26">
        <v>1360</v>
      </c>
      <c r="AA26" s="333"/>
      <c r="AB26">
        <v>7.9227940769248661</v>
      </c>
      <c r="AC26">
        <v>11.803915839382425</v>
      </c>
      <c r="AD26" s="136"/>
      <c r="AE26">
        <v>1360</v>
      </c>
      <c r="AF26" s="333"/>
      <c r="AG26">
        <v>0.33703490168711914</v>
      </c>
      <c r="AH26">
        <v>0.44729483545855675</v>
      </c>
      <c r="AI26" s="136"/>
      <c r="AJ26" s="333">
        <v>1590</v>
      </c>
      <c r="AK26" s="333">
        <v>-15.667597589250079</v>
      </c>
      <c r="AL26" s="333">
        <v>-30</v>
      </c>
      <c r="AM26" s="333">
        <v>30</v>
      </c>
      <c r="AN26" s="136">
        <f t="shared" si="3"/>
        <v>8901.1552957355179</v>
      </c>
      <c r="AO26" s="333">
        <v>4080</v>
      </c>
      <c r="AP26" s="333">
        <v>-8.8182707058886365</v>
      </c>
      <c r="AQ26" s="333">
        <v>-30</v>
      </c>
      <c r="AR26" s="333">
        <v>30</v>
      </c>
      <c r="BN26">
        <v>1360</v>
      </c>
      <c r="BO26" s="188"/>
      <c r="BP26" s="356">
        <f t="shared" si="4"/>
        <v>7.9227940769248661</v>
      </c>
      <c r="BR26" s="345"/>
      <c r="BS26" s="345"/>
      <c r="BT26" s="345"/>
      <c r="BU26" s="356">
        <f>AC26</f>
        <v>11.803915839382425</v>
      </c>
      <c r="BV26">
        <v>1360</v>
      </c>
      <c r="BW26" s="188"/>
      <c r="BX26" s="358">
        <f t="shared" si="6"/>
        <v>0.33703490168711914</v>
      </c>
      <c r="BZ26" s="249"/>
      <c r="CA26" s="249"/>
      <c r="CB26" s="249"/>
      <c r="CC26" s="358">
        <f>AH26</f>
        <v>0.44729483545855675</v>
      </c>
      <c r="CD26">
        <v>670</v>
      </c>
      <c r="CE26">
        <v>139.59965703099999</v>
      </c>
      <c r="CI26">
        <v>700</v>
      </c>
      <c r="CJ26">
        <v>305.874150267</v>
      </c>
    </row>
    <row r="27" spans="22:88">
      <c r="V27">
        <v>630</v>
      </c>
      <c r="W27">
        <v>6.279346576149937</v>
      </c>
      <c r="Y27" t="str">
        <f>Basicinfo!A45</f>
        <v>Große Gusen</v>
      </c>
      <c r="Z27">
        <v>1370</v>
      </c>
      <c r="AA27" s="333"/>
      <c r="AB27">
        <v>8.5611379831667556</v>
      </c>
      <c r="AC27">
        <v>6.9379674713906505</v>
      </c>
      <c r="AD27" s="84"/>
      <c r="AE27">
        <v>1370</v>
      </c>
      <c r="AF27" s="333"/>
      <c r="AG27">
        <v>0.41084170076887538</v>
      </c>
      <c r="AH27">
        <v>0.29382517222928983</v>
      </c>
      <c r="AI27" s="136"/>
      <c r="AJ27" s="333">
        <v>1150</v>
      </c>
      <c r="AK27" s="333">
        <v>-11.916268929953489</v>
      </c>
      <c r="AL27" s="333">
        <v>-30</v>
      </c>
      <c r="AM27" s="333">
        <v>30</v>
      </c>
      <c r="AN27" s="136">
        <f t="shared" si="3"/>
        <v>7302.0825159315818</v>
      </c>
      <c r="AO27" s="333">
        <v>680</v>
      </c>
      <c r="AP27" s="333">
        <v>-8.2210098563020892</v>
      </c>
      <c r="AQ27" s="333">
        <v>-30</v>
      </c>
      <c r="AR27" s="333">
        <v>30</v>
      </c>
      <c r="BN27">
        <v>1370</v>
      </c>
      <c r="BO27" s="188"/>
      <c r="BP27" s="356">
        <f t="shared" si="4"/>
        <v>8.5611379831667556</v>
      </c>
      <c r="BR27" s="345"/>
      <c r="BS27" s="356"/>
      <c r="BT27" s="345"/>
      <c r="BU27" s="356">
        <f>AC27</f>
        <v>6.9379674713906505</v>
      </c>
      <c r="BV27">
        <v>1370</v>
      </c>
      <c r="BW27" s="188"/>
      <c r="BX27" s="358">
        <f t="shared" si="6"/>
        <v>0.41084170076887538</v>
      </c>
      <c r="BZ27" s="249"/>
      <c r="CA27" s="249"/>
      <c r="CB27" s="249"/>
      <c r="CC27" s="358">
        <f>AH27</f>
        <v>0.29382517222928983</v>
      </c>
      <c r="CD27">
        <v>700</v>
      </c>
      <c r="CE27">
        <v>305.874150267</v>
      </c>
      <c r="CI27">
        <v>900</v>
      </c>
      <c r="CJ27">
        <v>1355.212774052</v>
      </c>
    </row>
    <row r="28" spans="22:88">
      <c r="V28">
        <v>640</v>
      </c>
      <c r="W28">
        <v>7.6621673966177406</v>
      </c>
      <c r="Y28" t="str">
        <f>Basicinfo!A46</f>
        <v>Gusen</v>
      </c>
      <c r="Z28">
        <v>1380</v>
      </c>
      <c r="AA28" s="333"/>
      <c r="AB28">
        <v>8.6401180762507419</v>
      </c>
      <c r="AC28">
        <v>13.499726273508806</v>
      </c>
      <c r="AD28" s="84"/>
      <c r="AE28">
        <v>1380</v>
      </c>
      <c r="AF28" s="333"/>
      <c r="AG28">
        <v>0.43740439177119439</v>
      </c>
      <c r="AH28">
        <v>0.63759350070091969</v>
      </c>
      <c r="AI28" s="136"/>
      <c r="AJ28" s="333">
        <v>1290</v>
      </c>
      <c r="AK28" s="333">
        <v>-9.5606939617174334</v>
      </c>
      <c r="AL28" s="333">
        <v>-30</v>
      </c>
      <c r="AM28" s="333">
        <v>30</v>
      </c>
      <c r="AN28" s="136">
        <f t="shared" si="3"/>
        <v>6858.6416973364448</v>
      </c>
      <c r="AO28" s="333">
        <v>1290</v>
      </c>
      <c r="AP28" s="336">
        <v>9.4279958301680296</v>
      </c>
      <c r="AQ28" s="333">
        <v>-30</v>
      </c>
      <c r="AR28" s="333">
        <v>30</v>
      </c>
      <c r="BN28">
        <v>1380</v>
      </c>
      <c r="BO28" s="188"/>
      <c r="BP28" s="356">
        <f t="shared" si="4"/>
        <v>8.6401180762507419</v>
      </c>
      <c r="BQ28" s="356">
        <f t="shared" si="5"/>
        <v>13.499726273508806</v>
      </c>
      <c r="BR28" s="345"/>
      <c r="BS28" s="345"/>
      <c r="BT28" s="345"/>
      <c r="BU28" s="345"/>
      <c r="BV28">
        <v>1380</v>
      </c>
      <c r="BW28" s="188"/>
      <c r="BX28" s="358">
        <f t="shared" si="6"/>
        <v>0.43740439177119439</v>
      </c>
      <c r="BY28" s="358">
        <f t="shared" si="7"/>
        <v>0.63759350070091969</v>
      </c>
      <c r="BZ28" s="249"/>
      <c r="CA28" s="249"/>
      <c r="CB28" s="249"/>
      <c r="CC28" s="249"/>
      <c r="CD28">
        <v>900</v>
      </c>
      <c r="CE28">
        <v>1355.212774052</v>
      </c>
      <c r="CI28">
        <v>910</v>
      </c>
      <c r="CJ28">
        <v>3613.7425172066</v>
      </c>
    </row>
    <row r="29" spans="22:88">
      <c r="V29">
        <v>650</v>
      </c>
      <c r="W29">
        <v>11.691274992432502</v>
      </c>
      <c r="Y29" t="str">
        <f>Basicinfo!A51</f>
        <v>Steyr</v>
      </c>
      <c r="Z29">
        <v>1560</v>
      </c>
      <c r="AA29" s="333"/>
      <c r="AB29" s="136">
        <v>11.624662626335409</v>
      </c>
      <c r="AC29" s="136">
        <v>11.784208947560188</v>
      </c>
      <c r="AD29" s="84"/>
      <c r="AE29">
        <v>1560</v>
      </c>
      <c r="AF29" s="333"/>
      <c r="AG29" s="136">
        <v>0.22442107313266366</v>
      </c>
      <c r="AH29" s="136">
        <v>0.12510963306442952</v>
      </c>
      <c r="AI29" s="136"/>
      <c r="AJ29" s="333">
        <v>630</v>
      </c>
      <c r="AK29" s="333">
        <v>-7.9420364779252139</v>
      </c>
      <c r="AL29" s="333">
        <v>-30</v>
      </c>
      <c r="AM29" s="333">
        <v>30</v>
      </c>
      <c r="AN29" s="136">
        <f t="shared" si="3"/>
        <v>13367.728609989259</v>
      </c>
      <c r="AO29" s="333">
        <v>4000</v>
      </c>
      <c r="AP29" s="333">
        <v>21.959456472060253</v>
      </c>
      <c r="AQ29" s="333">
        <v>-30</v>
      </c>
      <c r="AR29" s="333">
        <v>30</v>
      </c>
      <c r="BN29">
        <v>1560</v>
      </c>
      <c r="BO29" s="188"/>
      <c r="BP29" s="356">
        <f t="shared" si="4"/>
        <v>11.624662626335409</v>
      </c>
      <c r="BQ29" s="356">
        <f t="shared" si="5"/>
        <v>11.784208947560188</v>
      </c>
      <c r="BR29" s="345"/>
      <c r="BS29" s="345"/>
      <c r="BT29" s="345"/>
      <c r="BU29" s="345"/>
      <c r="BV29">
        <v>1560</v>
      </c>
      <c r="BW29" s="188"/>
      <c r="BX29" s="358">
        <f t="shared" si="6"/>
        <v>0.22442107313266366</v>
      </c>
      <c r="BY29" s="358">
        <f t="shared" si="7"/>
        <v>0.12510963306442952</v>
      </c>
      <c r="BZ29" s="249"/>
      <c r="CA29" s="249"/>
      <c r="CB29" s="249"/>
      <c r="CC29" s="249"/>
      <c r="CD29">
        <v>910</v>
      </c>
      <c r="CE29">
        <v>3613.7425172066</v>
      </c>
      <c r="CI29">
        <v>1020</v>
      </c>
      <c r="CJ29">
        <v>6714.5074651517998</v>
      </c>
    </row>
    <row r="30" spans="22:88">
      <c r="V30">
        <v>660</v>
      </c>
      <c r="W30">
        <v>15.062941070568307</v>
      </c>
      <c r="Y30" t="str">
        <f>Basicinfo!A52</f>
        <v>Feldaist</v>
      </c>
      <c r="Z30">
        <v>1570</v>
      </c>
      <c r="AA30" s="333"/>
      <c r="AB30" s="136">
        <v>8.0045836502584198</v>
      </c>
      <c r="AC30" s="136">
        <v>11.608101329048932</v>
      </c>
      <c r="AD30" s="84"/>
      <c r="AE30">
        <v>1570</v>
      </c>
      <c r="AF30" s="333"/>
      <c r="AG30" s="136">
        <v>0.1929078968333707</v>
      </c>
      <c r="AH30" s="136">
        <v>0.35424439296946458</v>
      </c>
      <c r="AI30" s="136"/>
      <c r="AJ30" s="333">
        <v>1320</v>
      </c>
      <c r="AK30" s="333">
        <v>-6.4505070632319104</v>
      </c>
      <c r="AL30" s="333">
        <v>-30</v>
      </c>
      <c r="AM30" s="333">
        <v>30</v>
      </c>
      <c r="AN30" s="136">
        <f t="shared" si="3"/>
        <v>15551.46289626147</v>
      </c>
      <c r="AO30" s="333">
        <v>650</v>
      </c>
      <c r="AP30" s="333">
        <v>29.380668334306392</v>
      </c>
      <c r="AQ30" s="333">
        <v>-30</v>
      </c>
      <c r="AR30" s="333">
        <v>30</v>
      </c>
      <c r="BN30">
        <v>1570</v>
      </c>
      <c r="BO30" s="188"/>
      <c r="BP30" s="356">
        <f t="shared" si="4"/>
        <v>8.0045836502584198</v>
      </c>
      <c r="BQ30" s="356">
        <f t="shared" si="5"/>
        <v>11.608101329048932</v>
      </c>
      <c r="BR30" s="345"/>
      <c r="BS30" s="345"/>
      <c r="BT30" s="345"/>
      <c r="BU30" s="345"/>
      <c r="BV30">
        <v>1570</v>
      </c>
      <c r="BW30" s="188"/>
      <c r="BX30" s="358">
        <f t="shared" si="6"/>
        <v>0.1929078968333707</v>
      </c>
      <c r="BY30" s="358">
        <f t="shared" si="7"/>
        <v>0.35424439296946458</v>
      </c>
      <c r="BZ30" s="249"/>
      <c r="CA30" s="249"/>
      <c r="CB30" s="249"/>
      <c r="CC30" s="249"/>
      <c r="CD30">
        <v>1020</v>
      </c>
      <c r="CE30">
        <v>6714.5074651517998</v>
      </c>
      <c r="CI30">
        <v>1030</v>
      </c>
      <c r="CJ30">
        <v>9686.4584423321012</v>
      </c>
    </row>
    <row r="31" spans="22:88">
      <c r="V31">
        <v>670</v>
      </c>
      <c r="W31">
        <v>13.980403725701262</v>
      </c>
      <c r="Y31" t="str">
        <f>Basicinfo!A53</f>
        <v>Feldaist</v>
      </c>
      <c r="Z31">
        <v>1580</v>
      </c>
      <c r="AA31" s="333"/>
      <c r="AB31">
        <v>7.7494852633524367</v>
      </c>
      <c r="AC31">
        <v>12.117249985769902</v>
      </c>
      <c r="AD31" s="84"/>
      <c r="AE31">
        <v>1580</v>
      </c>
      <c r="AF31" s="333"/>
      <c r="AG31">
        <v>0.34470041039913302</v>
      </c>
      <c r="AH31">
        <v>0.51932345598230623</v>
      </c>
      <c r="AI31" s="136"/>
      <c r="AJ31" s="333">
        <v>690</v>
      </c>
      <c r="AK31" s="333">
        <v>-4.8645460673596403</v>
      </c>
      <c r="AL31" s="333">
        <v>-30</v>
      </c>
      <c r="AM31" s="333">
        <v>30</v>
      </c>
      <c r="AN31" s="136">
        <f t="shared" si="3"/>
        <v>8703.2098294465668</v>
      </c>
      <c r="AO31" s="333">
        <v>1170</v>
      </c>
      <c r="AP31" s="333">
        <v>32.389040228766476</v>
      </c>
      <c r="AQ31" s="333">
        <v>-30</v>
      </c>
      <c r="AR31" s="333">
        <v>30</v>
      </c>
      <c r="BN31">
        <v>1580</v>
      </c>
      <c r="BO31" s="188"/>
      <c r="BP31" s="356">
        <f t="shared" si="4"/>
        <v>7.7494852633524367</v>
      </c>
      <c r="BQ31" s="356">
        <f t="shared" si="5"/>
        <v>12.117249985769902</v>
      </c>
      <c r="BR31" s="345"/>
      <c r="BS31" s="345"/>
      <c r="BT31" s="345"/>
      <c r="BU31" s="345"/>
      <c r="BV31">
        <v>1580</v>
      </c>
      <c r="BW31" s="188"/>
      <c r="BX31" s="358">
        <f t="shared" si="6"/>
        <v>0.34470041039913302</v>
      </c>
      <c r="BY31" s="358">
        <f t="shared" si="7"/>
        <v>0.51932345598230623</v>
      </c>
      <c r="BZ31" s="249"/>
      <c r="CA31" s="249"/>
      <c r="CB31" s="249"/>
      <c r="CC31" s="249"/>
      <c r="CD31">
        <v>1030</v>
      </c>
      <c r="CE31">
        <v>9686.4584423321012</v>
      </c>
      <c r="CI31">
        <v>1110</v>
      </c>
      <c r="CJ31">
        <v>201.54418290800001</v>
      </c>
    </row>
    <row r="32" spans="22:88">
      <c r="V32">
        <v>680</v>
      </c>
      <c r="W32">
        <v>13.580143137442645</v>
      </c>
      <c r="Y32" t="str">
        <f>Basicinfo!A54</f>
        <v>Waldaist</v>
      </c>
      <c r="Z32">
        <v>1590</v>
      </c>
      <c r="AA32" s="333"/>
      <c r="AB32">
        <v>6.1492753039838979</v>
      </c>
      <c r="AC32">
        <v>7.2917112855782289</v>
      </c>
      <c r="AD32" s="84"/>
      <c r="AE32">
        <v>1590</v>
      </c>
      <c r="AF32" s="333"/>
      <c r="AG32">
        <v>0.18096307275326762</v>
      </c>
      <c r="AH32">
        <v>0.35662163800749208</v>
      </c>
      <c r="AI32" s="136"/>
      <c r="AJ32" s="333">
        <v>4010</v>
      </c>
      <c r="AK32" s="333">
        <v>-3.6023204910430877</v>
      </c>
      <c r="AL32" s="333">
        <v>-30</v>
      </c>
      <c r="AM32" s="333">
        <v>30</v>
      </c>
      <c r="AN32" s="136">
        <f t="shared" si="3"/>
        <v>16577.967838169512</v>
      </c>
      <c r="AO32" s="333">
        <v>1370</v>
      </c>
      <c r="AP32" s="333">
        <v>39.825222478988394</v>
      </c>
      <c r="AQ32" s="333">
        <v>-30</v>
      </c>
      <c r="AR32" s="333">
        <v>30</v>
      </c>
      <c r="BN32">
        <v>1590</v>
      </c>
      <c r="BO32" s="188"/>
      <c r="BP32" s="356">
        <f t="shared" si="4"/>
        <v>6.1492753039838979</v>
      </c>
      <c r="BQ32" s="356">
        <f t="shared" si="5"/>
        <v>7.2917112855782289</v>
      </c>
      <c r="BR32" s="345"/>
      <c r="BS32" s="345"/>
      <c r="BT32" s="345"/>
      <c r="BU32" s="345"/>
      <c r="BV32">
        <v>1590</v>
      </c>
      <c r="BW32" s="188"/>
      <c r="BX32" s="358">
        <f t="shared" si="6"/>
        <v>0.18096307275326762</v>
      </c>
      <c r="BY32" s="358">
        <f t="shared" si="7"/>
        <v>0.35662163800749208</v>
      </c>
      <c r="BZ32" s="249"/>
      <c r="CA32" s="249"/>
      <c r="CB32" s="249"/>
      <c r="CC32" s="249"/>
      <c r="CD32">
        <v>1110</v>
      </c>
      <c r="CE32">
        <v>201.54418290800001</v>
      </c>
      <c r="CI32">
        <v>1200</v>
      </c>
      <c r="CJ32">
        <v>268.010200478</v>
      </c>
    </row>
    <row r="33" spans="22:88">
      <c r="V33">
        <v>690</v>
      </c>
      <c r="W33">
        <v>12.46745315655467</v>
      </c>
      <c r="Y33" t="str">
        <f>Basicinfo!A55</f>
        <v>Aist</v>
      </c>
      <c r="Z33">
        <v>1600</v>
      </c>
      <c r="AA33" s="333"/>
      <c r="AB33" s="136">
        <v>6.8584936008330981</v>
      </c>
      <c r="AC33" s="136">
        <v>10.218767960520413</v>
      </c>
      <c r="AD33" s="84"/>
      <c r="AE33">
        <v>1600</v>
      </c>
      <c r="AF33" s="333"/>
      <c r="AG33" s="136">
        <v>0.27383133330379711</v>
      </c>
      <c r="AH33" s="136">
        <v>0.50434341509164593</v>
      </c>
      <c r="AI33" s="136"/>
      <c r="AJ33" s="333">
        <v>1560</v>
      </c>
      <c r="AK33" s="333">
        <v>-1.3538992895896484</v>
      </c>
      <c r="AL33" s="333">
        <v>-30</v>
      </c>
      <c r="AM33" s="333">
        <v>30</v>
      </c>
      <c r="AN33" s="136">
        <f t="shared" si="3"/>
        <v>10955.649099044869</v>
      </c>
      <c r="AO33" s="333">
        <v>1300</v>
      </c>
      <c r="AP33" s="333">
        <v>48.976896877454635</v>
      </c>
      <c r="AQ33" s="333">
        <v>-30</v>
      </c>
      <c r="AR33" s="333">
        <v>30</v>
      </c>
      <c r="BN33">
        <v>1600</v>
      </c>
      <c r="BO33" s="188"/>
      <c r="BP33" s="356">
        <f t="shared" si="4"/>
        <v>6.8584936008330981</v>
      </c>
      <c r="BQ33" s="356">
        <f t="shared" si="5"/>
        <v>10.218767960520413</v>
      </c>
      <c r="BR33" s="356"/>
      <c r="BS33" s="345"/>
      <c r="BT33" s="345"/>
      <c r="BU33" s="345"/>
      <c r="BV33">
        <v>1600</v>
      </c>
      <c r="BW33" s="188"/>
      <c r="BX33" s="358">
        <f t="shared" si="6"/>
        <v>0.27383133330379711</v>
      </c>
      <c r="BY33" s="358">
        <f t="shared" si="7"/>
        <v>0.50434341509164593</v>
      </c>
      <c r="BZ33" s="249"/>
      <c r="CA33" s="249"/>
      <c r="CB33" s="249"/>
      <c r="CC33" s="249"/>
      <c r="CD33">
        <v>1150</v>
      </c>
      <c r="CE33">
        <v>312.15736743899998</v>
      </c>
      <c r="CI33">
        <v>1270</v>
      </c>
      <c r="CJ33">
        <v>439.71632024610005</v>
      </c>
    </row>
    <row r="34" spans="22:88">
      <c r="V34">
        <v>700</v>
      </c>
      <c r="W34">
        <v>12.096588352986165</v>
      </c>
      <c r="Y34" t="str">
        <f>Basicinfo!A57</f>
        <v>Klammleitenbach</v>
      </c>
      <c r="Z34">
        <v>1630</v>
      </c>
      <c r="AA34" s="333"/>
      <c r="AB34">
        <v>5.1626319848552793</v>
      </c>
      <c r="AC34">
        <v>7.1753430237397975</v>
      </c>
      <c r="AD34" s="84"/>
      <c r="AE34">
        <v>1630</v>
      </c>
      <c r="AF34" s="333"/>
      <c r="AG34">
        <v>0.14915883116767822</v>
      </c>
      <c r="AH34">
        <v>0.17880692181986804</v>
      </c>
      <c r="AI34" s="136"/>
      <c r="AJ34" s="333">
        <v>680</v>
      </c>
      <c r="AK34" s="333">
        <v>6.3248955452403663</v>
      </c>
      <c r="AL34" s="333">
        <v>-30</v>
      </c>
      <c r="AM34" s="333">
        <v>30</v>
      </c>
      <c r="AN34" s="136">
        <f t="shared" si="3"/>
        <v>20112.788337872691</v>
      </c>
      <c r="AO34" s="333">
        <v>1320</v>
      </c>
      <c r="AP34" s="333">
        <v>64.793094724929119</v>
      </c>
      <c r="AQ34" s="333">
        <v>-30</v>
      </c>
      <c r="AR34" s="333">
        <v>30</v>
      </c>
      <c r="BN34">
        <v>1630</v>
      </c>
      <c r="BO34" s="188"/>
      <c r="BP34" s="356">
        <f t="shared" si="4"/>
        <v>5.1626319848552793</v>
      </c>
      <c r="BQ34" s="356">
        <f t="shared" si="5"/>
        <v>7.1753430237397975</v>
      </c>
      <c r="BR34" s="345"/>
      <c r="BS34" s="345"/>
      <c r="BT34" s="345"/>
      <c r="BU34" s="356"/>
      <c r="BV34">
        <v>1630</v>
      </c>
      <c r="BW34" s="188"/>
      <c r="BX34" s="358">
        <f t="shared" si="6"/>
        <v>0.14915883116767822</v>
      </c>
      <c r="BY34" s="358">
        <f t="shared" si="7"/>
        <v>0.17880692181986804</v>
      </c>
      <c r="BZ34" s="249"/>
      <c r="CA34" s="249"/>
      <c r="CB34" s="249"/>
      <c r="CC34" s="249"/>
      <c r="CD34">
        <v>1200</v>
      </c>
      <c r="CE34">
        <v>268.010200478</v>
      </c>
      <c r="CI34">
        <v>1290</v>
      </c>
      <c r="CJ34">
        <v>1255.3026211260999</v>
      </c>
    </row>
    <row r="35" spans="22:88">
      <c r="V35">
        <v>710</v>
      </c>
      <c r="W35">
        <v>11.890263772543111</v>
      </c>
      <c r="Y35" s="249" t="s">
        <v>736</v>
      </c>
      <c r="Z35">
        <v>4010</v>
      </c>
      <c r="AA35" s="333"/>
      <c r="AB35" s="314">
        <v>9.3234259154978574</v>
      </c>
      <c r="AC35" s="314">
        <v>9.6718364622372057</v>
      </c>
      <c r="AD35" s="84"/>
      <c r="AE35">
        <v>4010</v>
      </c>
      <c r="AF35" s="333"/>
      <c r="AG35" s="314">
        <v>0.32508920920759299</v>
      </c>
      <c r="AH35" s="314">
        <v>8.4087312254026991E-2</v>
      </c>
      <c r="AI35" s="136"/>
      <c r="AJ35" s="333">
        <v>4080</v>
      </c>
      <c r="AK35" s="333">
        <v>7.2258916579340422</v>
      </c>
      <c r="AL35" s="333">
        <v>-30</v>
      </c>
      <c r="AM35" s="333">
        <v>30</v>
      </c>
      <c r="AN35" s="136">
        <f t="shared" si="3"/>
        <v>9228.2361734261158</v>
      </c>
      <c r="AO35" s="333">
        <v>1330</v>
      </c>
      <c r="AP35" s="333">
        <v>75.522060045934012</v>
      </c>
      <c r="AQ35" s="333">
        <v>-30</v>
      </c>
      <c r="AR35" s="333">
        <v>30</v>
      </c>
      <c r="BN35">
        <v>4010</v>
      </c>
      <c r="BO35" s="188"/>
      <c r="BP35" s="356">
        <f t="shared" si="4"/>
        <v>9.3234259154978574</v>
      </c>
      <c r="BQ35" s="356">
        <f t="shared" si="5"/>
        <v>9.6718364622372057</v>
      </c>
      <c r="BR35" s="345"/>
      <c r="BS35" s="345"/>
      <c r="BT35" s="345"/>
      <c r="BU35" s="345"/>
      <c r="BV35" s="347">
        <v>4010</v>
      </c>
      <c r="BW35" s="360"/>
      <c r="BX35" s="359">
        <f t="shared" si="6"/>
        <v>0.32508920920759299</v>
      </c>
      <c r="BY35" s="359">
        <f t="shared" si="7"/>
        <v>8.4087312254026991E-2</v>
      </c>
      <c r="BZ35" s="249"/>
      <c r="CA35" s="249"/>
      <c r="CB35" s="249"/>
      <c r="CC35" s="249"/>
      <c r="CD35">
        <v>1270</v>
      </c>
      <c r="CE35">
        <v>439.71632024610005</v>
      </c>
      <c r="CI35">
        <v>1330</v>
      </c>
      <c r="CJ35">
        <v>380.225065696</v>
      </c>
    </row>
    <row r="36" spans="22:88">
      <c r="V36">
        <v>1050</v>
      </c>
      <c r="W36">
        <v>9.0814686149213486</v>
      </c>
      <c r="Y36" s="249" t="s">
        <v>736</v>
      </c>
      <c r="Z36">
        <v>4020</v>
      </c>
      <c r="AA36" s="333"/>
      <c r="AB36">
        <v>13.089293218813863</v>
      </c>
      <c r="AC36">
        <v>16.183723793452412</v>
      </c>
      <c r="AD36" s="84"/>
      <c r="AE36">
        <v>4020</v>
      </c>
      <c r="AF36" s="333"/>
      <c r="AG36">
        <v>0.48004344471948085</v>
      </c>
      <c r="AH36">
        <v>0.21886519499669288</v>
      </c>
      <c r="AI36" s="136"/>
      <c r="AJ36" s="333">
        <v>670</v>
      </c>
      <c r="AK36" s="333">
        <v>14.951820275263387</v>
      </c>
      <c r="AL36" s="333">
        <v>-30</v>
      </c>
      <c r="AM36" s="333">
        <v>30</v>
      </c>
      <c r="AN36" s="136">
        <f t="shared" si="3"/>
        <v>6249.4343647439782</v>
      </c>
      <c r="AO36" s="333">
        <v>1560</v>
      </c>
      <c r="AP36" s="333">
        <v>79.37953108462105</v>
      </c>
      <c r="AQ36" s="333">
        <v>-30</v>
      </c>
      <c r="AR36" s="333">
        <v>30</v>
      </c>
      <c r="BN36">
        <v>4020</v>
      </c>
      <c r="BO36" s="188"/>
      <c r="BP36" s="356">
        <f t="shared" si="4"/>
        <v>13.089293218813863</v>
      </c>
      <c r="BQ36" s="356">
        <f t="shared" si="5"/>
        <v>16.183723793452412</v>
      </c>
      <c r="BR36" s="345"/>
      <c r="BS36" s="345"/>
      <c r="BT36" s="345"/>
      <c r="BU36" s="345"/>
      <c r="BV36" s="347">
        <v>4020</v>
      </c>
      <c r="BW36" s="360"/>
      <c r="BX36" s="359">
        <f t="shared" si="6"/>
        <v>0.48004344471948085</v>
      </c>
      <c r="BY36" s="359">
        <f t="shared" si="7"/>
        <v>0.21886519499669288</v>
      </c>
      <c r="BZ36" s="249"/>
      <c r="CA36" s="249"/>
      <c r="CB36" s="249"/>
      <c r="CC36" s="249"/>
      <c r="CD36">
        <v>1290</v>
      </c>
      <c r="CE36">
        <v>1255.3026211260999</v>
      </c>
      <c r="CI36">
        <v>1430</v>
      </c>
      <c r="CJ36">
        <v>196.227323807</v>
      </c>
    </row>
    <row r="37" spans="22:88">
      <c r="V37">
        <v>1100</v>
      </c>
      <c r="W37">
        <v>12.87366133256975</v>
      </c>
      <c r="Y37" s="249" t="s">
        <v>737</v>
      </c>
      <c r="Z37">
        <v>4080</v>
      </c>
      <c r="AA37" s="333"/>
      <c r="AB37">
        <v>9.3422346648002801</v>
      </c>
      <c r="AC37">
        <v>8.7126668012268436</v>
      </c>
      <c r="AD37" s="84"/>
      <c r="AE37">
        <v>4080</v>
      </c>
      <c r="AF37" s="333"/>
      <c r="AG37">
        <v>0.23052107777700281</v>
      </c>
      <c r="AH37">
        <v>0.25281498778493794</v>
      </c>
      <c r="AI37" s="136"/>
      <c r="AJ37" s="333">
        <v>1170</v>
      </c>
      <c r="AK37" s="333">
        <v>18.373671706887748</v>
      </c>
      <c r="AL37" s="333">
        <v>-30</v>
      </c>
      <c r="AM37" s="333">
        <v>30</v>
      </c>
      <c r="AN37" s="136">
        <f t="shared" si="3"/>
        <v>13013.994333750617</v>
      </c>
      <c r="AO37" s="333">
        <v>4020</v>
      </c>
      <c r="AP37" s="333">
        <v>119.33292990086181</v>
      </c>
      <c r="AQ37" s="333">
        <v>-30</v>
      </c>
      <c r="AR37" s="333">
        <v>30</v>
      </c>
      <c r="BN37">
        <v>4080</v>
      </c>
      <c r="BO37" s="188"/>
      <c r="BP37" s="356">
        <f t="shared" si="4"/>
        <v>9.3422346648002801</v>
      </c>
      <c r="BQ37" s="356">
        <f t="shared" si="5"/>
        <v>8.7126668012268436</v>
      </c>
      <c r="BR37" s="345"/>
      <c r="BS37" s="345"/>
      <c r="BT37" s="345"/>
      <c r="BU37" s="345"/>
      <c r="BV37">
        <v>4080</v>
      </c>
      <c r="BW37" s="188"/>
      <c r="BX37" s="358">
        <f t="shared" si="6"/>
        <v>0.23052107777700281</v>
      </c>
      <c r="BY37" s="358">
        <f t="shared" si="7"/>
        <v>0.25281498778493794</v>
      </c>
      <c r="BZ37" s="249"/>
      <c r="CA37" s="249"/>
      <c r="CB37" s="249"/>
      <c r="CC37" s="249"/>
      <c r="CD37">
        <v>1330</v>
      </c>
      <c r="CE37">
        <v>380.225065696</v>
      </c>
      <c r="CI37">
        <v>1460</v>
      </c>
      <c r="CJ37">
        <v>371.631754161</v>
      </c>
    </row>
    <row r="38" spans="22:88">
      <c r="V38">
        <v>1110</v>
      </c>
      <c r="W38">
        <v>7.6652104834397408</v>
      </c>
      <c r="Y38" s="249" t="s">
        <v>738</v>
      </c>
      <c r="Z38" s="347">
        <v>4990</v>
      </c>
      <c r="AA38" s="362"/>
      <c r="AB38" s="347">
        <v>8.8577250394645706</v>
      </c>
      <c r="AC38" s="347">
        <v>681.98265369876196</v>
      </c>
      <c r="AD38" s="84"/>
      <c r="AE38" s="361">
        <v>4990</v>
      </c>
      <c r="AF38" s="361"/>
      <c r="AG38" s="361">
        <v>0.42791183178429409</v>
      </c>
      <c r="AH38" s="361">
        <v>19.944489796813027</v>
      </c>
      <c r="AI38" s="136"/>
      <c r="AJ38" s="333">
        <v>4000</v>
      </c>
      <c r="AK38" s="333">
        <v>19.767460518631538</v>
      </c>
      <c r="AL38" s="333">
        <v>-30</v>
      </c>
      <c r="AM38" s="333">
        <v>30</v>
      </c>
      <c r="AN38" s="136">
        <f t="shared" si="3"/>
        <v>7010.7900206701206</v>
      </c>
      <c r="AO38" s="333">
        <v>1340</v>
      </c>
      <c r="AP38" s="333">
        <v>154.56114318752441</v>
      </c>
      <c r="AQ38" s="333">
        <v>-30</v>
      </c>
      <c r="AR38" s="333">
        <v>30</v>
      </c>
      <c r="BN38">
        <v>4990</v>
      </c>
      <c r="BO38" s="188"/>
      <c r="BP38" s="356"/>
      <c r="BQ38" s="356"/>
      <c r="BR38" s="345"/>
      <c r="BS38" s="345"/>
      <c r="BT38" s="345"/>
      <c r="BU38" s="345"/>
      <c r="BV38">
        <v>4990</v>
      </c>
      <c r="BW38" s="188"/>
      <c r="BX38" s="358"/>
      <c r="BY38" s="358"/>
      <c r="BZ38" s="249"/>
      <c r="CA38" s="249"/>
      <c r="CB38" s="249"/>
      <c r="CC38" s="249"/>
      <c r="CD38">
        <v>1370</v>
      </c>
      <c r="CE38">
        <v>223.19648202400001</v>
      </c>
      <c r="CI38">
        <v>1550</v>
      </c>
      <c r="CJ38">
        <v>23.949311064300002</v>
      </c>
    </row>
    <row r="39" spans="22:88">
      <c r="V39">
        <v>1120</v>
      </c>
      <c r="W39">
        <v>6.7939488862414299</v>
      </c>
      <c r="Y39" s="249" t="s">
        <v>738</v>
      </c>
      <c r="Z39" s="347">
        <v>5010</v>
      </c>
      <c r="AA39" s="347"/>
      <c r="AB39" s="347">
        <v>12.612180153313592</v>
      </c>
      <c r="AC39" s="347">
        <v>167.32870456132616</v>
      </c>
      <c r="AD39" s="84"/>
      <c r="AE39" s="361">
        <v>5010</v>
      </c>
      <c r="AF39" s="361"/>
      <c r="AG39" s="366">
        <v>0.50250737138855406</v>
      </c>
      <c r="AH39" s="366">
        <v>4.0091726752853472</v>
      </c>
      <c r="AI39" s="136"/>
      <c r="AJ39" s="333">
        <v>1370</v>
      </c>
      <c r="AK39" s="333">
        <v>23.395475958476283</v>
      </c>
      <c r="AL39" s="333">
        <v>-30</v>
      </c>
      <c r="AM39" s="333">
        <v>30</v>
      </c>
      <c r="AO39" s="333">
        <v>1310</v>
      </c>
      <c r="AP39" s="333">
        <v>166.64997822627993</v>
      </c>
      <c r="AQ39" s="333">
        <v>-30</v>
      </c>
      <c r="AR39" s="333">
        <v>30</v>
      </c>
      <c r="BN39">
        <v>5010</v>
      </c>
      <c r="BO39" s="188"/>
      <c r="BP39" s="356"/>
      <c r="BQ39" s="356"/>
      <c r="BR39" s="188"/>
      <c r="BS39" s="188"/>
      <c r="BT39" s="188"/>
      <c r="BU39" s="188"/>
      <c r="BV39">
        <v>5010</v>
      </c>
      <c r="BW39" s="188"/>
      <c r="BX39" s="358"/>
      <c r="BY39" s="358"/>
      <c r="BZ39" s="332"/>
      <c r="CA39" s="332"/>
      <c r="CB39" s="332"/>
      <c r="CC39" s="332"/>
      <c r="CD39">
        <v>1430</v>
      </c>
      <c r="CE39">
        <v>196.227323807</v>
      </c>
      <c r="CI39">
        <v>1560</v>
      </c>
      <c r="CJ39">
        <v>914.96272798230007</v>
      </c>
    </row>
    <row r="40" spans="22:88">
      <c r="V40">
        <v>1130</v>
      </c>
      <c r="W40">
        <v>8.0424097106545975</v>
      </c>
      <c r="Y40" s="249" t="s">
        <v>736</v>
      </c>
      <c r="Z40" s="136">
        <v>4000</v>
      </c>
      <c r="AA40" s="136"/>
      <c r="AB40" s="136">
        <v>11.787566220841944</v>
      </c>
      <c r="AC40" s="136">
        <v>9.8420440491916583</v>
      </c>
      <c r="AD40" s="84"/>
      <c r="AE40">
        <v>4000</v>
      </c>
      <c r="AF40" s="333"/>
      <c r="AG40" s="331">
        <v>0.32639361616518742</v>
      </c>
      <c r="AH40" s="331">
        <v>0.26762468906210735</v>
      </c>
      <c r="AI40" s="136"/>
      <c r="AJ40" s="333">
        <v>1140</v>
      </c>
      <c r="AK40" s="333">
        <v>25.677179370223072</v>
      </c>
      <c r="AL40" s="333">
        <v>-30</v>
      </c>
      <c r="AM40" s="333">
        <v>30</v>
      </c>
      <c r="AO40" s="333">
        <v>4010</v>
      </c>
      <c r="AP40" s="333">
        <v>286.60910961870388</v>
      </c>
      <c r="AQ40" s="333">
        <v>-30</v>
      </c>
      <c r="AR40" s="333">
        <v>30</v>
      </c>
      <c r="BN40" s="136">
        <v>4000</v>
      </c>
      <c r="BP40" s="356">
        <f t="shared" si="4"/>
        <v>11.787566220841944</v>
      </c>
      <c r="BQ40" s="356">
        <f t="shared" si="5"/>
        <v>9.8420440491916583</v>
      </c>
      <c r="BV40" s="136">
        <v>4000</v>
      </c>
      <c r="BX40" s="358">
        <f t="shared" si="6"/>
        <v>0.32639361616518742</v>
      </c>
      <c r="BY40" s="358">
        <f t="shared" si="7"/>
        <v>0.26762468906210735</v>
      </c>
      <c r="CD40">
        <v>1460</v>
      </c>
      <c r="CE40">
        <v>371.631754161</v>
      </c>
      <c r="CI40">
        <v>1650</v>
      </c>
      <c r="CJ40">
        <v>164.515925431</v>
      </c>
    </row>
    <row r="41" spans="22:88">
      <c r="V41">
        <v>1140</v>
      </c>
      <c r="W41">
        <v>9.2722888089919682</v>
      </c>
      <c r="Z41" s="136"/>
      <c r="AA41" s="136"/>
      <c r="AB41" s="136"/>
      <c r="AC41" s="136"/>
      <c r="AD41" s="84"/>
      <c r="AF41" s="333"/>
      <c r="AG41" s="331"/>
      <c r="AH41" s="331"/>
      <c r="AI41" s="136"/>
      <c r="AJ41" s="333"/>
      <c r="AK41" s="333"/>
      <c r="AL41" s="333"/>
      <c r="AM41" s="333"/>
      <c r="AO41" s="333"/>
      <c r="AP41" s="333"/>
      <c r="AQ41" s="333"/>
      <c r="AR41" s="333"/>
      <c r="CD41">
        <v>1550</v>
      </c>
      <c r="CE41">
        <v>23.949311064300002</v>
      </c>
      <c r="CI41">
        <v>1680</v>
      </c>
      <c r="CJ41">
        <v>156.16560791000001</v>
      </c>
    </row>
    <row r="42" spans="22:88">
      <c r="V42">
        <v>1150</v>
      </c>
      <c r="W42">
        <v>13.006564106523012</v>
      </c>
      <c r="Z42" s="136"/>
      <c r="AA42" s="136"/>
      <c r="AB42" s="136"/>
      <c r="AC42" s="136"/>
      <c r="AD42" s="84"/>
      <c r="AF42" s="136"/>
      <c r="AG42" s="136"/>
      <c r="AI42" s="136"/>
      <c r="CD42">
        <v>1560</v>
      </c>
      <c r="CE42">
        <v>914.96272798230007</v>
      </c>
      <c r="CI42">
        <v>1690</v>
      </c>
      <c r="CJ42">
        <v>620.42228187499995</v>
      </c>
    </row>
    <row r="43" spans="22:88">
      <c r="V43">
        <v>1160</v>
      </c>
      <c r="W43">
        <v>12.162044979467272</v>
      </c>
      <c r="AD43" s="84"/>
      <c r="AF43" s="136"/>
      <c r="AG43" s="136"/>
      <c r="AI43" s="136"/>
      <c r="CD43">
        <v>1570</v>
      </c>
      <c r="CE43">
        <v>65.083340208799996</v>
      </c>
      <c r="CI43">
        <v>1730</v>
      </c>
      <c r="CJ43">
        <v>183.37327677499999</v>
      </c>
    </row>
    <row r="44" spans="22:88">
      <c r="V44">
        <v>1170</v>
      </c>
      <c r="W44">
        <v>11.058380633280631</v>
      </c>
      <c r="AB44" s="137"/>
      <c r="AD44" s="84"/>
      <c r="AG44" s="136"/>
      <c r="AI44" s="136"/>
      <c r="CD44">
        <v>1590</v>
      </c>
      <c r="CE44">
        <v>282.07629954999999</v>
      </c>
      <c r="CI44">
        <v>1780</v>
      </c>
      <c r="CJ44">
        <v>289.34667062199998</v>
      </c>
    </row>
    <row r="45" spans="22:88">
      <c r="V45">
        <v>1180</v>
      </c>
      <c r="W45">
        <v>9.2682504612175123</v>
      </c>
      <c r="AD45" s="84"/>
      <c r="AG45" s="136"/>
      <c r="AI45" s="136"/>
      <c r="CD45">
        <v>1650</v>
      </c>
      <c r="CE45">
        <v>164.515925431</v>
      </c>
      <c r="CI45">
        <v>1850</v>
      </c>
      <c r="CJ45">
        <v>732.55458329099997</v>
      </c>
    </row>
    <row r="46" spans="22:88">
      <c r="V46">
        <v>1190</v>
      </c>
      <c r="W46">
        <v>5.6408130909989049</v>
      </c>
      <c r="AB46" s="137"/>
      <c r="AD46" s="84"/>
      <c r="AG46" s="136"/>
      <c r="AI46" s="136"/>
      <c r="CD46">
        <v>1680</v>
      </c>
      <c r="CE46">
        <v>156.16560791000001</v>
      </c>
      <c r="CI46">
        <v>1910</v>
      </c>
      <c r="CJ46">
        <v>627.16358554399994</v>
      </c>
    </row>
    <row r="47" spans="22:88">
      <c r="V47">
        <v>1200</v>
      </c>
      <c r="W47">
        <v>7.6779249742794979</v>
      </c>
      <c r="AB47" s="137"/>
      <c r="AD47" s="84"/>
      <c r="AG47" s="136"/>
      <c r="AI47" s="136"/>
      <c r="CD47">
        <v>1690</v>
      </c>
      <c r="CE47">
        <v>620.42228187499995</v>
      </c>
      <c r="CI47">
        <v>1920</v>
      </c>
      <c r="CJ47">
        <v>1408.71777402</v>
      </c>
    </row>
    <row r="48" spans="22:88">
      <c r="V48">
        <v>1210</v>
      </c>
      <c r="W48">
        <v>8.5920721512957687</v>
      </c>
      <c r="AB48" s="137"/>
      <c r="AD48" s="84"/>
      <c r="AG48" s="136"/>
      <c r="AI48" s="136"/>
      <c r="CD48">
        <v>1730</v>
      </c>
      <c r="CE48">
        <v>183.37327677499999</v>
      </c>
      <c r="CI48">
        <v>2060</v>
      </c>
      <c r="CJ48">
        <v>390.69686456099998</v>
      </c>
    </row>
    <row r="49" spans="22:88">
      <c r="V49">
        <v>1220</v>
      </c>
      <c r="W49">
        <v>8.841317505465728</v>
      </c>
      <c r="AB49" s="137"/>
      <c r="AD49" s="84"/>
      <c r="AG49" s="136"/>
      <c r="AI49" s="136"/>
      <c r="CD49">
        <v>1780</v>
      </c>
      <c r="CE49">
        <v>289.34667062199998</v>
      </c>
      <c r="CI49">
        <v>2100</v>
      </c>
      <c r="CJ49">
        <v>1186.298051388</v>
      </c>
    </row>
    <row r="50" spans="22:88">
      <c r="V50">
        <v>1230</v>
      </c>
      <c r="W50">
        <v>7.326116390135387</v>
      </c>
      <c r="AB50" s="137"/>
      <c r="AD50" s="84"/>
      <c r="AG50" s="136"/>
      <c r="AI50" s="136"/>
      <c r="CD50">
        <v>1850</v>
      </c>
      <c r="CE50">
        <v>732.55458329099997</v>
      </c>
      <c r="CI50">
        <v>2120</v>
      </c>
      <c r="CJ50">
        <v>571.73670142900005</v>
      </c>
    </row>
    <row r="51" spans="22:88">
      <c r="V51">
        <v>1240</v>
      </c>
      <c r="W51">
        <v>10.58321208375326</v>
      </c>
      <c r="AB51" s="137"/>
      <c r="AD51" s="84"/>
      <c r="AG51" s="136"/>
      <c r="AI51" s="136"/>
      <c r="CD51">
        <v>1910</v>
      </c>
      <c r="CE51">
        <v>627.16358554399994</v>
      </c>
      <c r="CI51">
        <v>2240</v>
      </c>
      <c r="CJ51">
        <v>508.18385092800003</v>
      </c>
    </row>
    <row r="52" spans="22:88">
      <c r="V52">
        <v>1250</v>
      </c>
      <c r="W52">
        <v>10.978396426986164</v>
      </c>
      <c r="AB52" s="137"/>
      <c r="AD52" s="84"/>
      <c r="AG52" s="136"/>
      <c r="AI52" s="136"/>
      <c r="CD52">
        <v>1920</v>
      </c>
      <c r="CE52">
        <v>1408.71777402</v>
      </c>
      <c r="CI52">
        <v>2300</v>
      </c>
      <c r="CJ52">
        <v>251.98396236299999</v>
      </c>
    </row>
    <row r="53" spans="22:88">
      <c r="V53">
        <v>1260</v>
      </c>
      <c r="W53">
        <v>12.240339847025862</v>
      </c>
      <c r="AB53" s="137"/>
      <c r="AD53" s="84"/>
      <c r="AG53" s="136"/>
      <c r="AI53" s="136"/>
      <c r="CD53">
        <v>2060</v>
      </c>
      <c r="CE53">
        <v>390.69686456099998</v>
      </c>
      <c r="CI53">
        <v>2340</v>
      </c>
      <c r="CJ53">
        <v>410.96336232910005</v>
      </c>
    </row>
    <row r="54" spans="22:88">
      <c r="V54">
        <v>1270</v>
      </c>
      <c r="W54">
        <v>12.342962461526046</v>
      </c>
      <c r="AB54" s="137"/>
      <c r="AD54" s="84"/>
      <c r="AG54" s="136"/>
      <c r="AI54" s="136"/>
      <c r="CD54">
        <v>2100</v>
      </c>
      <c r="CE54">
        <v>1186.298051388</v>
      </c>
      <c r="CI54">
        <v>2390</v>
      </c>
      <c r="CJ54">
        <v>74.731376472600004</v>
      </c>
    </row>
    <row r="55" spans="22:88">
      <c r="V55">
        <v>1280</v>
      </c>
      <c r="W55">
        <v>5.7100487858213738</v>
      </c>
      <c r="AB55" s="137"/>
      <c r="AD55" s="84"/>
      <c r="AG55" s="136"/>
      <c r="AI55" s="136"/>
      <c r="CD55">
        <v>2120</v>
      </c>
      <c r="CE55">
        <v>571.73670142900005</v>
      </c>
      <c r="CI55">
        <v>2403</v>
      </c>
      <c r="CJ55">
        <v>62.225207707300001</v>
      </c>
    </row>
    <row r="56" spans="22:88">
      <c r="V56">
        <v>1290</v>
      </c>
      <c r="W56">
        <v>10.466318243134994</v>
      </c>
      <c r="AB56" s="137"/>
      <c r="AD56" s="84"/>
      <c r="AG56" s="136"/>
      <c r="AI56" s="136"/>
      <c r="CD56">
        <v>2240</v>
      </c>
      <c r="CE56">
        <v>508.18385092800003</v>
      </c>
      <c r="CI56">
        <v>2405</v>
      </c>
      <c r="CJ56">
        <v>403.55202466490005</v>
      </c>
    </row>
    <row r="57" spans="22:88">
      <c r="V57">
        <v>1300</v>
      </c>
      <c r="W57">
        <v>8.711422027029819</v>
      </c>
      <c r="AB57" s="137"/>
      <c r="AD57" s="84"/>
      <c r="AG57" s="136"/>
      <c r="AI57" s="136"/>
      <c r="CD57">
        <v>2300</v>
      </c>
      <c r="CE57">
        <v>251.98396236299999</v>
      </c>
      <c r="CI57">
        <v>2505</v>
      </c>
      <c r="CJ57">
        <v>409.90297989099997</v>
      </c>
    </row>
    <row r="58" spans="22:88">
      <c r="V58">
        <v>1310</v>
      </c>
      <c r="W58">
        <v>9.2973433984742986</v>
      </c>
      <c r="AB58" s="137"/>
      <c r="AD58" s="84"/>
      <c r="AG58" s="136"/>
      <c r="AI58" s="136"/>
      <c r="CD58">
        <v>2340</v>
      </c>
      <c r="CE58">
        <v>410.96336232910005</v>
      </c>
      <c r="CI58">
        <v>2550</v>
      </c>
      <c r="CJ58">
        <v>90.127854754500007</v>
      </c>
    </row>
    <row r="59" spans="22:88">
      <c r="V59">
        <v>1320</v>
      </c>
      <c r="W59">
        <v>15.693627595218286</v>
      </c>
      <c r="AD59" s="84"/>
      <c r="AG59" s="136"/>
      <c r="AI59" s="136"/>
      <c r="CD59">
        <v>2390</v>
      </c>
      <c r="CE59">
        <v>74.731376472600004</v>
      </c>
      <c r="CI59">
        <v>2580</v>
      </c>
      <c r="CJ59">
        <v>94.9569537741</v>
      </c>
    </row>
    <row r="60" spans="22:88">
      <c r="V60">
        <v>1330</v>
      </c>
      <c r="W60">
        <v>16.410746806545404</v>
      </c>
      <c r="Z60" s="136"/>
      <c r="AA60" s="136"/>
      <c r="AB60" s="137"/>
      <c r="AC60" s="84"/>
      <c r="AD60" s="84"/>
      <c r="AG60" s="136"/>
      <c r="AI60" s="136"/>
      <c r="CD60">
        <v>2403</v>
      </c>
      <c r="CE60">
        <v>62.225207707300001</v>
      </c>
      <c r="CI60">
        <v>2595</v>
      </c>
      <c r="CJ60">
        <v>421.41701095040003</v>
      </c>
    </row>
    <row r="61" spans="22:88">
      <c r="V61">
        <v>1340</v>
      </c>
      <c r="W61">
        <v>9.4070026463548331</v>
      </c>
      <c r="Z61" s="136"/>
      <c r="AA61" s="136"/>
      <c r="AB61" s="137"/>
      <c r="AC61" s="84"/>
      <c r="AD61" s="84"/>
      <c r="AG61" s="136"/>
      <c r="AI61" s="136"/>
      <c r="CD61">
        <v>2405</v>
      </c>
      <c r="CE61">
        <v>403.55202466490005</v>
      </c>
      <c r="CI61">
        <v>2600</v>
      </c>
      <c r="CJ61">
        <v>669.78209640720002</v>
      </c>
    </row>
    <row r="62" spans="22:88">
      <c r="V62">
        <v>1350</v>
      </c>
      <c r="W62">
        <v>12.214784509790126</v>
      </c>
      <c r="Z62" s="136"/>
      <c r="AA62" s="136"/>
      <c r="AB62" s="137"/>
      <c r="AC62" s="84"/>
      <c r="AD62" s="84"/>
      <c r="AG62" s="136"/>
      <c r="AI62" s="136"/>
      <c r="CD62">
        <v>2505</v>
      </c>
      <c r="CE62">
        <v>409.90297989099997</v>
      </c>
      <c r="CI62">
        <v>2640</v>
      </c>
      <c r="CJ62">
        <v>454.64819900199996</v>
      </c>
    </row>
    <row r="63" spans="22:88">
      <c r="V63">
        <v>1360</v>
      </c>
      <c r="W63">
        <v>7.9227940769248661</v>
      </c>
      <c r="Z63" s="136"/>
      <c r="AA63" s="136"/>
      <c r="AB63" s="137"/>
      <c r="AC63" s="84"/>
      <c r="AD63" s="84"/>
      <c r="AG63" s="136"/>
      <c r="AI63" s="136"/>
      <c r="CD63">
        <v>2550</v>
      </c>
      <c r="CE63">
        <v>90.127854754500007</v>
      </c>
      <c r="CI63">
        <v>2650</v>
      </c>
      <c r="CJ63">
        <v>891.31627557299998</v>
      </c>
    </row>
    <row r="64" spans="22:88">
      <c r="V64">
        <v>1370</v>
      </c>
      <c r="W64">
        <v>8.5611379831667556</v>
      </c>
      <c r="Z64" s="136"/>
      <c r="AA64" s="136"/>
      <c r="AB64" s="137"/>
      <c r="AC64" s="84"/>
      <c r="AD64" s="84"/>
      <c r="AG64" s="136"/>
      <c r="AI64" s="136"/>
      <c r="CD64">
        <v>2580</v>
      </c>
      <c r="CE64">
        <v>94.9569537741</v>
      </c>
      <c r="CI64">
        <v>2660</v>
      </c>
      <c r="CJ64">
        <v>1089.8208578369999</v>
      </c>
    </row>
    <row r="65" spans="22:88">
      <c r="V65">
        <v>1380</v>
      </c>
      <c r="W65">
        <v>8.6401180762507419</v>
      </c>
      <c r="Z65" s="136"/>
      <c r="AA65" s="136"/>
      <c r="AB65" s="137"/>
      <c r="AC65" s="84"/>
      <c r="AD65" s="84"/>
      <c r="AG65" s="136"/>
      <c r="AI65" s="136"/>
      <c r="CD65">
        <v>2595</v>
      </c>
      <c r="CE65">
        <v>421.41701095040003</v>
      </c>
      <c r="CI65">
        <v>2740</v>
      </c>
      <c r="CJ65">
        <v>514.60124692099998</v>
      </c>
    </row>
    <row r="66" spans="22:88">
      <c r="V66">
        <v>1520</v>
      </c>
      <c r="W66">
        <v>8.0465388465157304</v>
      </c>
      <c r="Z66" s="136"/>
      <c r="AA66" s="136"/>
      <c r="AB66" s="137"/>
      <c r="AC66" s="84"/>
      <c r="AD66" s="84"/>
      <c r="AG66" s="136"/>
      <c r="AI66" s="136"/>
      <c r="CD66">
        <v>2600</v>
      </c>
      <c r="CE66">
        <v>669.78209640720002</v>
      </c>
      <c r="CI66">
        <v>2750</v>
      </c>
      <c r="CJ66">
        <v>1200.1162182769999</v>
      </c>
    </row>
    <row r="67" spans="22:88">
      <c r="V67">
        <v>1530</v>
      </c>
      <c r="W67">
        <v>13.965513966589235</v>
      </c>
      <c r="Z67" s="136"/>
      <c r="AA67" s="136"/>
      <c r="AB67" s="137"/>
      <c r="AC67" s="84"/>
      <c r="AD67" s="84"/>
      <c r="AG67" s="136"/>
      <c r="AI67" s="136"/>
      <c r="CD67">
        <v>2640</v>
      </c>
      <c r="CE67">
        <v>454.64819900199996</v>
      </c>
      <c r="CI67">
        <v>2810</v>
      </c>
      <c r="CJ67">
        <v>1035.522440299</v>
      </c>
    </row>
    <row r="68" spans="22:88">
      <c r="V68">
        <v>1540</v>
      </c>
      <c r="W68">
        <v>9.3295386262870892</v>
      </c>
      <c r="Z68" s="136"/>
      <c r="AA68" s="136"/>
      <c r="AB68" s="137"/>
      <c r="AC68" s="84"/>
      <c r="AD68" s="84"/>
      <c r="AG68" s="136"/>
      <c r="AI68" s="136"/>
      <c r="CD68">
        <v>2650</v>
      </c>
      <c r="CE68">
        <v>891.31627557299998</v>
      </c>
      <c r="CI68">
        <v>2850</v>
      </c>
      <c r="CJ68">
        <v>304.07396288699999</v>
      </c>
    </row>
    <row r="69" spans="22:88">
      <c r="V69">
        <v>1550</v>
      </c>
      <c r="W69">
        <v>11.570135888302838</v>
      </c>
      <c r="Z69" s="136"/>
      <c r="AA69" s="136"/>
      <c r="AB69" s="137"/>
      <c r="AC69" s="84"/>
      <c r="AD69" s="84"/>
      <c r="AG69" s="136"/>
      <c r="AI69" s="136"/>
      <c r="CD69">
        <v>2660</v>
      </c>
      <c r="CE69">
        <v>1089.8208578369999</v>
      </c>
      <c r="CI69">
        <v>2870</v>
      </c>
      <c r="CJ69">
        <v>1413.890895989</v>
      </c>
    </row>
    <row r="70" spans="22:88">
      <c r="V70">
        <v>1560</v>
      </c>
      <c r="W70">
        <v>11.624662626335409</v>
      </c>
      <c r="Z70" s="136"/>
      <c r="AA70" s="136"/>
      <c r="AB70" s="137"/>
      <c r="AC70" s="84"/>
      <c r="AD70" s="84"/>
      <c r="AG70" s="136"/>
      <c r="AI70" s="136"/>
      <c r="CD70">
        <v>2740</v>
      </c>
      <c r="CE70">
        <v>514.60124692099998</v>
      </c>
      <c r="CI70">
        <v>2880</v>
      </c>
      <c r="CJ70">
        <v>220.51121432799999</v>
      </c>
    </row>
    <row r="71" spans="22:88">
      <c r="V71">
        <v>1570</v>
      </c>
      <c r="W71">
        <v>8.0045836502584198</v>
      </c>
      <c r="Z71" s="136"/>
      <c r="AA71" s="136"/>
      <c r="AB71" s="137"/>
      <c r="AC71" s="84"/>
      <c r="AD71" s="84"/>
      <c r="AG71" s="136"/>
      <c r="AI71" s="136"/>
      <c r="CD71">
        <v>2750</v>
      </c>
      <c r="CE71">
        <v>1200.1162182769999</v>
      </c>
      <c r="CI71">
        <v>2900</v>
      </c>
      <c r="CJ71">
        <v>470.84805753299997</v>
      </c>
    </row>
    <row r="72" spans="22:88">
      <c r="V72">
        <v>1580</v>
      </c>
      <c r="W72">
        <v>7.7494852633524367</v>
      </c>
      <c r="Z72" s="136"/>
      <c r="AA72" s="136"/>
      <c r="AB72" s="137"/>
      <c r="AC72" s="84"/>
      <c r="AD72" s="84"/>
      <c r="AG72" s="136"/>
      <c r="AI72" s="136"/>
      <c r="CD72">
        <v>2810</v>
      </c>
      <c r="CE72">
        <v>1035.522440299</v>
      </c>
      <c r="CI72">
        <v>2940</v>
      </c>
      <c r="CJ72">
        <v>442.64740914100003</v>
      </c>
    </row>
    <row r="73" spans="22:88">
      <c r="V73">
        <v>1590</v>
      </c>
      <c r="W73">
        <v>6.1492753039838979</v>
      </c>
      <c r="Z73" s="136"/>
      <c r="AA73" s="136"/>
      <c r="AB73" s="137"/>
      <c r="AC73" s="84"/>
      <c r="AD73" s="84"/>
      <c r="AG73" s="136"/>
      <c r="AI73" s="136"/>
      <c r="CD73">
        <v>2850</v>
      </c>
      <c r="CE73">
        <v>304.07396288699999</v>
      </c>
      <c r="CI73">
        <v>2950</v>
      </c>
      <c r="CJ73">
        <v>825.2207803980001</v>
      </c>
    </row>
    <row r="74" spans="22:88">
      <c r="V74">
        <v>1600</v>
      </c>
      <c r="W74">
        <v>6.8584936008330981</v>
      </c>
      <c r="Z74" s="136"/>
      <c r="AA74" s="136"/>
      <c r="AB74" s="137"/>
      <c r="AC74" s="84"/>
      <c r="AD74" s="84"/>
      <c r="AG74" s="136"/>
      <c r="AI74" s="136"/>
      <c r="CD74">
        <v>2870</v>
      </c>
      <c r="CE74">
        <v>1413.890895989</v>
      </c>
      <c r="CI74">
        <v>2960</v>
      </c>
      <c r="CJ74">
        <v>52.596128007799997</v>
      </c>
    </row>
    <row r="75" spans="22:88">
      <c r="V75">
        <v>1620</v>
      </c>
      <c r="W75">
        <v>6.2735385046481342</v>
      </c>
      <c r="Z75" s="136"/>
      <c r="AA75" s="136"/>
      <c r="AB75" s="137"/>
      <c r="AC75" s="84"/>
      <c r="AD75" s="84"/>
      <c r="AG75" s="136"/>
      <c r="AI75" s="136"/>
      <c r="CD75">
        <v>2880</v>
      </c>
      <c r="CE75">
        <v>220.51121432799999</v>
      </c>
      <c r="CI75">
        <v>2970</v>
      </c>
      <c r="CJ75">
        <v>236.24162572979998</v>
      </c>
    </row>
    <row r="76" spans="22:88">
      <c r="V76">
        <v>1630</v>
      </c>
      <c r="W76">
        <v>5.1626319848552793</v>
      </c>
      <c r="Z76" s="136"/>
      <c r="AA76" s="136"/>
      <c r="AB76" s="137"/>
      <c r="AC76" s="84"/>
      <c r="AD76" s="84"/>
      <c r="AG76" s="136"/>
      <c r="AI76" s="136"/>
      <c r="CD76">
        <v>2900</v>
      </c>
      <c r="CE76">
        <v>470.84805753299997</v>
      </c>
      <c r="CI76">
        <v>2980</v>
      </c>
      <c r="CJ76">
        <v>1075.9245192137998</v>
      </c>
    </row>
    <row r="77" spans="22:88">
      <c r="V77">
        <v>1640</v>
      </c>
      <c r="W77">
        <v>6.3651792766743958</v>
      </c>
      <c r="Z77" s="136"/>
      <c r="AA77" s="136"/>
      <c r="AB77" s="137"/>
      <c r="AC77" s="84"/>
      <c r="AD77" s="84"/>
      <c r="AG77" s="136"/>
      <c r="AI77" s="136"/>
      <c r="CD77">
        <v>2940</v>
      </c>
      <c r="CE77">
        <v>442.64740914100003</v>
      </c>
      <c r="CI77">
        <v>3030</v>
      </c>
      <c r="CJ77">
        <v>377.8236172</v>
      </c>
    </row>
    <row r="78" spans="22:88">
      <c r="V78">
        <v>3650</v>
      </c>
      <c r="W78">
        <v>8.8251882856588093</v>
      </c>
      <c r="Z78" s="136"/>
      <c r="AA78" s="136"/>
      <c r="AB78" s="137"/>
      <c r="AC78" s="84"/>
      <c r="AD78" s="84"/>
      <c r="AG78" s="136"/>
      <c r="AI78" s="136"/>
      <c r="CD78">
        <v>2950</v>
      </c>
      <c r="CE78">
        <v>825.2207803980001</v>
      </c>
      <c r="CI78">
        <v>3230</v>
      </c>
      <c r="CJ78">
        <v>102.080990632</v>
      </c>
    </row>
    <row r="79" spans="22:88">
      <c r="V79">
        <v>3660</v>
      </c>
      <c r="W79">
        <v>7.0618434954825684</v>
      </c>
      <c r="Z79" s="136"/>
      <c r="AA79" s="136"/>
      <c r="AB79" s="137"/>
      <c r="AC79" s="84"/>
      <c r="AD79" s="84"/>
      <c r="AG79" s="136"/>
      <c r="AI79" s="136"/>
      <c r="CD79">
        <v>2960</v>
      </c>
      <c r="CE79">
        <v>52.596128007799997</v>
      </c>
      <c r="CI79">
        <v>3240</v>
      </c>
      <c r="CJ79">
        <v>730.18388569499996</v>
      </c>
    </row>
    <row r="80" spans="22:88">
      <c r="V80">
        <v>4010</v>
      </c>
      <c r="W80">
        <v>9.3234259154978574</v>
      </c>
      <c r="Z80" s="136"/>
      <c r="AA80" s="136"/>
      <c r="AB80" s="137"/>
      <c r="AC80" s="84"/>
      <c r="AD80" s="84"/>
      <c r="AG80" s="136"/>
      <c r="AI80" s="136"/>
      <c r="CD80">
        <v>2970</v>
      </c>
      <c r="CE80">
        <v>236.24162572979998</v>
      </c>
      <c r="CI80">
        <v>3280</v>
      </c>
      <c r="CJ80">
        <v>761.66810051800007</v>
      </c>
    </row>
    <row r="81" spans="22:88">
      <c r="V81">
        <v>4020</v>
      </c>
      <c r="W81">
        <v>13.089293218813863</v>
      </c>
      <c r="Z81" s="136"/>
      <c r="AA81" s="136"/>
      <c r="AB81" s="137"/>
      <c r="AC81" s="84"/>
      <c r="AD81" s="84"/>
      <c r="AG81" s="136"/>
      <c r="AI81" s="136"/>
      <c r="CD81">
        <v>2980</v>
      </c>
      <c r="CE81">
        <v>1075.9245192137998</v>
      </c>
      <c r="CI81">
        <v>3340</v>
      </c>
      <c r="CJ81">
        <v>265.15544252799998</v>
      </c>
    </row>
    <row r="82" spans="22:88">
      <c r="V82">
        <v>4080</v>
      </c>
      <c r="W82">
        <v>9.3422346648002801</v>
      </c>
      <c r="Z82" s="136"/>
      <c r="AA82" s="136"/>
      <c r="AB82" s="137"/>
      <c r="AC82" s="84"/>
      <c r="AD82" s="84"/>
      <c r="AG82" s="136"/>
      <c r="AI82" s="136"/>
      <c r="CD82">
        <v>3030</v>
      </c>
      <c r="CE82">
        <v>377.8236172</v>
      </c>
      <c r="CI82">
        <v>3350</v>
      </c>
      <c r="CJ82">
        <v>1111.0724115419998</v>
      </c>
    </row>
    <row r="83" spans="22:88">
      <c r="V83">
        <v>4990</v>
      </c>
      <c r="W83">
        <v>8.8577250394645706</v>
      </c>
      <c r="Z83" s="136"/>
      <c r="AA83" s="136"/>
      <c r="AB83" s="137"/>
      <c r="AC83" s="84"/>
      <c r="AD83" s="84"/>
      <c r="AG83" s="136"/>
      <c r="AI83" s="136"/>
      <c r="CD83">
        <v>3230</v>
      </c>
      <c r="CE83">
        <v>102.080990632</v>
      </c>
      <c r="CI83">
        <v>3500</v>
      </c>
      <c r="CJ83">
        <v>84.947544463599996</v>
      </c>
    </row>
    <row r="84" spans="22:88">
      <c r="V84">
        <v>5000</v>
      </c>
      <c r="W84">
        <v>8.501938608143929</v>
      </c>
      <c r="Z84" s="136"/>
      <c r="AA84" s="136"/>
      <c r="AB84" s="137"/>
      <c r="AC84" s="84"/>
      <c r="AD84" s="84"/>
      <c r="AG84" s="136"/>
      <c r="AI84" s="136"/>
      <c r="CD84">
        <v>3240</v>
      </c>
      <c r="CE84">
        <v>730.18388569499996</v>
      </c>
      <c r="CI84">
        <v>3530</v>
      </c>
      <c r="CJ84">
        <v>76.7276510441</v>
      </c>
    </row>
    <row r="85" spans="22:88">
      <c r="V85">
        <v>5010</v>
      </c>
      <c r="W85">
        <v>12.531783609213202</v>
      </c>
      <c r="Z85" s="136"/>
      <c r="AA85" s="136"/>
      <c r="AB85" s="137"/>
      <c r="AC85" s="84"/>
      <c r="AD85" s="84"/>
      <c r="AG85" s="136"/>
      <c r="AI85" s="136"/>
      <c r="CD85">
        <v>3280</v>
      </c>
      <c r="CE85">
        <v>761.66810051800007</v>
      </c>
      <c r="CI85">
        <v>4000</v>
      </c>
      <c r="CJ85">
        <v>317.43871244799999</v>
      </c>
    </row>
    <row r="86" spans="22:88">
      <c r="V86">
        <v>5020</v>
      </c>
      <c r="W86">
        <v>10.811076869853496</v>
      </c>
      <c r="Z86" s="136"/>
      <c r="AA86" s="136"/>
      <c r="AB86" s="137"/>
      <c r="AC86" s="84"/>
      <c r="AD86" s="84"/>
      <c r="AG86" s="136"/>
      <c r="AI86" s="136"/>
      <c r="CD86">
        <v>3340</v>
      </c>
      <c r="CE86">
        <v>265.15544252799998</v>
      </c>
      <c r="CI86">
        <v>4010</v>
      </c>
      <c r="CJ86">
        <v>1399.3057108599999</v>
      </c>
    </row>
    <row r="87" spans="22:88">
      <c r="V87">
        <v>1390</v>
      </c>
      <c r="W87">
        <v>5.0851120292517074</v>
      </c>
      <c r="Z87" s="136"/>
      <c r="AA87" s="136"/>
      <c r="AB87" s="137"/>
      <c r="AC87" s="84"/>
      <c r="AD87" s="84"/>
      <c r="AG87" s="136"/>
      <c r="AI87" s="136"/>
      <c r="CD87">
        <v>3350</v>
      </c>
      <c r="CE87">
        <v>1111.0724115419998</v>
      </c>
      <c r="CI87">
        <v>4050</v>
      </c>
      <c r="CJ87">
        <v>662.45554127299988</v>
      </c>
    </row>
    <row r="88" spans="22:88">
      <c r="V88">
        <v>1400</v>
      </c>
      <c r="W88">
        <v>4.757154666415385</v>
      </c>
      <c r="Z88" s="136"/>
      <c r="AA88" s="136"/>
      <c r="AB88" s="137"/>
      <c r="AC88" s="84"/>
      <c r="AD88" s="84"/>
      <c r="AG88" s="136"/>
      <c r="AI88" s="136" t="s">
        <v>927</v>
      </c>
      <c r="CD88">
        <v>3500</v>
      </c>
      <c r="CE88">
        <v>84.947544463599996</v>
      </c>
      <c r="CI88">
        <v>4070</v>
      </c>
      <c r="CJ88">
        <v>4357.9923661729999</v>
      </c>
    </row>
    <row r="89" spans="22:88">
      <c r="V89">
        <v>1410</v>
      </c>
      <c r="W89">
        <v>3.8312543256223401</v>
      </c>
      <c r="Z89" s="136"/>
      <c r="AA89" s="136"/>
      <c r="AB89" s="137"/>
      <c r="AC89" s="84"/>
      <c r="AD89" s="84"/>
      <c r="AG89" s="136"/>
      <c r="AI89" s="136"/>
      <c r="CD89">
        <v>3530</v>
      </c>
      <c r="CE89">
        <v>76.7276510441</v>
      </c>
      <c r="CI89">
        <v>4080</v>
      </c>
      <c r="CJ89">
        <v>6090.3670187233001</v>
      </c>
    </row>
    <row r="90" spans="22:88">
      <c r="V90">
        <v>1420</v>
      </c>
      <c r="W90">
        <v>14.760252818164327</v>
      </c>
      <c r="Z90" s="136"/>
      <c r="AA90" s="136"/>
      <c r="AB90" s="137"/>
      <c r="AC90" s="84"/>
      <c r="AD90" s="84"/>
      <c r="AG90" s="136"/>
      <c r="AI90" s="136"/>
      <c r="CD90">
        <v>4000</v>
      </c>
      <c r="CE90">
        <v>317.43871244799999</v>
      </c>
      <c r="CI90">
        <v>4200</v>
      </c>
      <c r="CJ90">
        <v>2016.451066543</v>
      </c>
    </row>
    <row r="91" spans="22:88">
      <c r="V91">
        <v>1430</v>
      </c>
      <c r="W91">
        <v>4.5420074843825073</v>
      </c>
      <c r="Z91" s="136"/>
      <c r="AA91" s="136"/>
      <c r="AB91" s="137"/>
      <c r="AC91" s="84"/>
      <c r="AD91" s="84"/>
      <c r="AG91" s="136"/>
      <c r="AI91" s="136"/>
      <c r="CD91">
        <v>4010</v>
      </c>
      <c r="CE91">
        <v>1399.3057108599999</v>
      </c>
      <c r="CI91">
        <v>4210</v>
      </c>
      <c r="CJ91">
        <v>4807.1423412539998</v>
      </c>
    </row>
    <row r="92" spans="22:88">
      <c r="V92">
        <v>1440</v>
      </c>
      <c r="W92">
        <v>4.9273076043208617</v>
      </c>
      <c r="Z92" s="136"/>
      <c r="AA92" s="136"/>
      <c r="AB92" s="137"/>
      <c r="AC92" s="84"/>
      <c r="AD92" s="84"/>
      <c r="AG92" s="136"/>
      <c r="AI92" s="136"/>
      <c r="CD92">
        <v>4050</v>
      </c>
      <c r="CE92">
        <v>662.45554127299988</v>
      </c>
      <c r="CI92">
        <v>4300</v>
      </c>
      <c r="CJ92">
        <v>954.80942794499992</v>
      </c>
    </row>
    <row r="93" spans="22:88">
      <c r="V93">
        <v>1450</v>
      </c>
      <c r="W93">
        <v>5.0306906250271313</v>
      </c>
      <c r="Z93" s="136"/>
      <c r="AA93" s="136"/>
      <c r="AB93" s="137"/>
      <c r="AC93" s="84"/>
      <c r="AD93" s="84"/>
      <c r="AG93" s="136"/>
      <c r="AI93" s="136"/>
      <c r="CD93">
        <v>4070</v>
      </c>
      <c r="CE93">
        <v>4357.9923661729999</v>
      </c>
      <c r="CI93">
        <v>4310</v>
      </c>
      <c r="CJ93">
        <v>3262.6869077019996</v>
      </c>
    </row>
    <row r="94" spans="22:88">
      <c r="V94">
        <v>1460</v>
      </c>
      <c r="W94">
        <v>6.7232619672987504</v>
      </c>
      <c r="Z94" s="136"/>
      <c r="AA94" s="136"/>
      <c r="AB94" s="137"/>
      <c r="AC94" s="84"/>
      <c r="AD94" s="84"/>
      <c r="AG94" s="136"/>
      <c r="AI94" s="136"/>
      <c r="CD94">
        <v>4080</v>
      </c>
      <c r="CE94">
        <v>6090.3670187233001</v>
      </c>
      <c r="CI94">
        <v>4320</v>
      </c>
      <c r="CJ94">
        <v>6215.1185868100001</v>
      </c>
    </row>
    <row r="95" spans="22:88">
      <c r="V95">
        <v>1470</v>
      </c>
      <c r="W95">
        <v>9.3759877068020092</v>
      </c>
      <c r="Z95" s="136"/>
      <c r="AA95" s="136"/>
      <c r="AB95" s="137"/>
      <c r="AC95" s="84"/>
      <c r="AD95" s="84"/>
      <c r="AG95" s="136"/>
      <c r="AI95" s="136"/>
      <c r="CD95">
        <v>4200</v>
      </c>
      <c r="CE95">
        <v>2016.451066543</v>
      </c>
      <c r="CI95">
        <v>4330</v>
      </c>
      <c r="CJ95">
        <v>7123.5972143750005</v>
      </c>
    </row>
    <row r="96" spans="22:88">
      <c r="V96">
        <v>1480</v>
      </c>
      <c r="W96">
        <v>8.8758852062501781</v>
      </c>
      <c r="Z96" s="136"/>
      <c r="AA96" s="136"/>
      <c r="AB96" s="137"/>
      <c r="AC96" s="84"/>
      <c r="AD96" s="84"/>
      <c r="AG96" s="136"/>
      <c r="AI96" s="136"/>
      <c r="CD96">
        <v>4210</v>
      </c>
      <c r="CE96">
        <v>4807.1423412539998</v>
      </c>
      <c r="CI96">
        <v>5040</v>
      </c>
      <c r="CJ96">
        <v>101559.45131731726</v>
      </c>
    </row>
    <row r="97" spans="22:88">
      <c r="V97">
        <v>1490</v>
      </c>
      <c r="W97">
        <v>9.9830102942625718</v>
      </c>
      <c r="Z97" s="136"/>
      <c r="AA97" s="136"/>
      <c r="AB97" s="137"/>
      <c r="AC97" s="84"/>
      <c r="AD97" s="84"/>
      <c r="AG97" s="136"/>
      <c r="AI97" s="136"/>
      <c r="CD97">
        <v>4300</v>
      </c>
      <c r="CE97">
        <v>954.80942794499992</v>
      </c>
      <c r="CI97">
        <v>5050</v>
      </c>
      <c r="CJ97">
        <v>103917.23042601327</v>
      </c>
    </row>
    <row r="98" spans="22:88">
      <c r="V98">
        <v>1500</v>
      </c>
      <c r="W98">
        <v>10.07797505621622</v>
      </c>
      <c r="Z98" s="136"/>
      <c r="AA98" s="136"/>
      <c r="AB98" s="137"/>
      <c r="AC98" s="84"/>
      <c r="AD98" s="84"/>
      <c r="AG98" s="136"/>
      <c r="AI98" s="136"/>
      <c r="CD98">
        <v>4310</v>
      </c>
      <c r="CE98">
        <v>3262.6869077019996</v>
      </c>
      <c r="CI98">
        <v>5060</v>
      </c>
      <c r="CJ98">
        <v>131224.76140284917</v>
      </c>
    </row>
    <row r="99" spans="22:88">
      <c r="V99">
        <v>1510</v>
      </c>
      <c r="W99">
        <v>9.5427042096654482</v>
      </c>
      <c r="Z99" s="136"/>
      <c r="AA99" s="136"/>
      <c r="AB99" s="137"/>
      <c r="AC99" s="84"/>
      <c r="AD99" s="84"/>
      <c r="AG99" s="136"/>
      <c r="AI99" s="136"/>
      <c r="CD99">
        <v>4320</v>
      </c>
      <c r="CE99">
        <v>6215.1185868100001</v>
      </c>
    </row>
    <row r="100" spans="22:88">
      <c r="V100">
        <v>4000</v>
      </c>
      <c r="W100">
        <v>11.787566220841944</v>
      </c>
      <c r="Z100" s="136"/>
      <c r="AA100" s="136"/>
      <c r="AB100" s="137"/>
      <c r="AC100" s="84"/>
      <c r="AD100" s="84"/>
      <c r="AE100" s="136"/>
      <c r="AF100" s="136"/>
      <c r="AG100" s="136"/>
      <c r="AI100" s="136"/>
      <c r="CD100">
        <v>4330</v>
      </c>
      <c r="CE100">
        <v>7123.5972143750005</v>
      </c>
    </row>
    <row r="101" spans="22:88">
      <c r="V101">
        <v>4050</v>
      </c>
      <c r="W101">
        <v>11.245772823388112</v>
      </c>
      <c r="Z101" s="136"/>
      <c r="AA101" s="136"/>
      <c r="AB101" s="137"/>
      <c r="AC101" s="84"/>
      <c r="AD101" s="36"/>
      <c r="AE101" s="136"/>
      <c r="AF101" s="136"/>
      <c r="AG101" s="136"/>
      <c r="AI101" s="136"/>
      <c r="CD101">
        <v>5040</v>
      </c>
      <c r="CE101">
        <v>101559.45131731726</v>
      </c>
    </row>
    <row r="102" spans="22:88">
      <c r="V102">
        <v>4060</v>
      </c>
      <c r="W102">
        <v>8.8297726341840281</v>
      </c>
      <c r="Z102" s="136"/>
      <c r="AA102" s="136"/>
      <c r="AB102" s="137"/>
      <c r="AC102" s="84"/>
      <c r="AD102" s="36"/>
      <c r="AE102" s="136"/>
      <c r="AF102" s="136"/>
      <c r="AG102" s="136"/>
      <c r="AI102" s="136"/>
      <c r="CD102">
        <v>5050</v>
      </c>
      <c r="CE102">
        <v>103917.23042601327</v>
      </c>
    </row>
    <row r="103" spans="22:88">
      <c r="V103">
        <v>4070</v>
      </c>
      <c r="W103">
        <v>8.5796294883037643</v>
      </c>
      <c r="Z103" s="136"/>
      <c r="AA103" s="136"/>
      <c r="AB103" s="137"/>
      <c r="AC103" s="84"/>
      <c r="AD103" s="36"/>
      <c r="AE103" s="136"/>
      <c r="AF103" s="136"/>
      <c r="AG103" s="136"/>
      <c r="AI103" s="136"/>
      <c r="CD103">
        <v>5060</v>
      </c>
      <c r="CE103">
        <v>131224.76140284917</v>
      </c>
    </row>
    <row r="104" spans="22:88">
      <c r="V104">
        <v>61141</v>
      </c>
      <c r="W104">
        <v>15.642251964409011</v>
      </c>
      <c r="Z104" s="136"/>
      <c r="AA104" s="136"/>
      <c r="AB104" s="137"/>
      <c r="AC104" s="84"/>
      <c r="AD104" s="36"/>
      <c r="AE104" s="136"/>
      <c r="AF104" s="136"/>
      <c r="AG104" s="136"/>
      <c r="AI104" s="136"/>
    </row>
    <row r="105" spans="22:88">
      <c r="V105">
        <v>61142</v>
      </c>
      <c r="W105">
        <v>14.219418179130727</v>
      </c>
      <c r="Z105" s="136"/>
      <c r="AA105" s="136"/>
      <c r="AB105" s="137"/>
      <c r="AC105" s="84"/>
      <c r="AD105" s="36"/>
      <c r="AE105" s="136"/>
      <c r="AF105" s="136"/>
      <c r="AG105" s="136"/>
      <c r="AI105" s="136"/>
    </row>
    <row r="106" spans="22:88">
      <c r="V106">
        <v>61151</v>
      </c>
      <c r="W106">
        <v>8.436675247590582</v>
      </c>
      <c r="Z106" s="136"/>
      <c r="AA106" s="136"/>
      <c r="AB106" s="137"/>
      <c r="AC106" s="84"/>
      <c r="AD106" s="36"/>
      <c r="AE106" s="136"/>
      <c r="AF106" s="136"/>
      <c r="AG106" s="136"/>
      <c r="AI106" s="136"/>
    </row>
    <row r="107" spans="22:88">
      <c r="V107">
        <v>61152</v>
      </c>
      <c r="W107">
        <v>8.129265480632931</v>
      </c>
      <c r="Z107" s="136"/>
      <c r="AA107" s="136"/>
      <c r="AB107" s="137"/>
      <c r="AC107" s="84"/>
      <c r="AD107" s="36"/>
      <c r="AE107" s="136"/>
      <c r="AF107" s="136"/>
      <c r="AG107" s="136"/>
      <c r="AI107" s="136"/>
    </row>
    <row r="108" spans="22:88">
      <c r="Z108" s="136"/>
      <c r="AA108" s="136"/>
      <c r="AB108" s="137"/>
      <c r="AC108" s="84"/>
      <c r="AD108" s="36"/>
      <c r="AE108" s="136"/>
      <c r="AF108" s="136"/>
      <c r="AG108" s="136"/>
      <c r="AI108" s="136"/>
    </row>
    <row r="109" spans="22:88">
      <c r="Z109" s="136"/>
      <c r="AA109" s="136"/>
      <c r="AB109" s="137"/>
      <c r="AC109" s="84"/>
      <c r="AD109" s="36"/>
      <c r="AE109" s="136"/>
      <c r="AF109" s="136"/>
      <c r="AG109" s="136"/>
      <c r="AI109" s="136"/>
    </row>
    <row r="110" spans="22:88">
      <c r="Z110" s="136"/>
      <c r="AA110" s="136"/>
      <c r="AB110" s="137"/>
      <c r="AC110" s="84"/>
      <c r="AD110" s="36"/>
      <c r="AE110" s="136"/>
      <c r="AF110" s="136"/>
      <c r="AG110" s="136"/>
      <c r="AI110" s="136"/>
    </row>
    <row r="111" spans="22:88">
      <c r="Z111" s="136"/>
      <c r="AA111" s="136"/>
      <c r="AB111" s="137"/>
      <c r="AC111" s="84"/>
      <c r="AD111" s="36"/>
      <c r="AE111" s="136"/>
      <c r="AF111" s="136"/>
      <c r="AG111" s="136"/>
      <c r="AI111" s="136"/>
    </row>
    <row r="112" spans="22:88">
      <c r="Z112" s="136"/>
      <c r="AA112" s="136"/>
      <c r="AB112" s="137"/>
      <c r="AC112" s="84"/>
      <c r="AD112" s="36"/>
      <c r="AE112" s="136"/>
      <c r="AF112" s="136"/>
      <c r="AG112" s="136"/>
      <c r="AI112" s="136"/>
    </row>
    <row r="113" spans="11:53">
      <c r="Z113" s="136"/>
      <c r="AA113" s="136"/>
      <c r="AB113" s="137"/>
      <c r="AC113" s="84"/>
      <c r="AD113" s="36"/>
      <c r="AE113" s="136"/>
      <c r="AF113" s="136"/>
      <c r="AG113" s="136"/>
      <c r="AI113" s="136"/>
    </row>
    <row r="114" spans="11:53">
      <c r="AB114" s="137"/>
      <c r="AC114" s="84"/>
      <c r="AD114" s="177"/>
    </row>
    <row r="115" spans="11:53">
      <c r="AB115" s="137"/>
      <c r="AC115" s="84"/>
      <c r="AD115" s="177"/>
    </row>
    <row r="116" spans="11:53">
      <c r="AB116" s="137"/>
      <c r="AC116" s="84"/>
      <c r="AD116" s="177"/>
    </row>
    <row r="117" spans="11:53">
      <c r="AB117" s="137"/>
      <c r="AC117" s="84"/>
      <c r="AD117" s="177"/>
    </row>
    <row r="118" spans="11:53">
      <c r="AB118" s="137"/>
      <c r="AC118" s="84"/>
      <c r="AD118" s="177"/>
    </row>
    <row r="119" spans="11:53">
      <c r="AB119" s="137"/>
      <c r="AC119" s="84"/>
      <c r="AD119" s="177"/>
    </row>
    <row r="120" spans="11:53">
      <c r="AB120" s="137"/>
      <c r="AC120" s="84"/>
      <c r="AD120" s="177"/>
    </row>
    <row r="121" spans="11:53">
      <c r="AB121" s="137"/>
      <c r="AC121" s="84"/>
      <c r="AD121" s="177"/>
    </row>
    <row r="122" spans="11:53">
      <c r="AB122" s="137"/>
      <c r="AC122" s="84"/>
      <c r="AD122" s="177"/>
    </row>
    <row r="123" spans="11:53">
      <c r="AB123" s="137"/>
      <c r="AC123" s="84"/>
    </row>
    <row r="124" spans="11:53">
      <c r="AB124" s="137"/>
      <c r="AC124" s="84"/>
      <c r="AD124" t="s">
        <v>632</v>
      </c>
      <c r="AH124"/>
      <c r="AJ124"/>
      <c r="AK124"/>
      <c r="AL124"/>
      <c r="AM124" t="s">
        <v>626</v>
      </c>
      <c r="AN124"/>
      <c r="AO124"/>
      <c r="AP124"/>
      <c r="AR124"/>
      <c r="AS124" s="136"/>
      <c r="AT124" s="136"/>
      <c r="AU124" s="136"/>
      <c r="AV124" t="s">
        <v>627</v>
      </c>
      <c r="AW124" s="136"/>
      <c r="AX124" s="136"/>
      <c r="AY124" s="136"/>
      <c r="AZ124" s="136"/>
      <c r="BA124" s="136"/>
    </row>
    <row r="125" spans="11:53">
      <c r="U125" t="s">
        <v>640</v>
      </c>
    </row>
    <row r="126" spans="11:53">
      <c r="K126" t="s">
        <v>652</v>
      </c>
      <c r="AG126" s="136"/>
      <c r="AI126" s="136"/>
    </row>
    <row r="127" spans="11:53">
      <c r="AG127" s="136"/>
      <c r="AI127" s="136"/>
    </row>
    <row r="128" spans="11:53">
      <c r="AG128" s="136"/>
      <c r="AI128" s="136"/>
    </row>
    <row r="129" spans="33:35">
      <c r="AG129" s="136"/>
      <c r="AI129" s="136"/>
    </row>
    <row r="130" spans="33:35">
      <c r="AG130" s="136"/>
      <c r="AI130" s="136"/>
    </row>
    <row r="131" spans="33:35">
      <c r="AG131" s="136"/>
      <c r="AI131" s="136"/>
    </row>
    <row r="132" spans="33:35">
      <c r="AG132" s="136"/>
      <c r="AI132" s="136"/>
    </row>
    <row r="133" spans="33:35">
      <c r="AG133" s="136"/>
      <c r="AI133" s="136"/>
    </row>
    <row r="134" spans="33:35">
      <c r="AG134" s="136"/>
      <c r="AI134" s="136"/>
    </row>
    <row r="135" spans="33:35">
      <c r="AG135" s="136"/>
      <c r="AI135" s="136"/>
    </row>
    <row r="136" spans="33:35">
      <c r="AG136" s="136"/>
      <c r="AI136" s="136"/>
    </row>
    <row r="137" spans="33:35">
      <c r="AG137" s="136"/>
      <c r="AI137" s="136"/>
    </row>
    <row r="138" spans="33:35">
      <c r="AG138" s="136"/>
      <c r="AI138" s="136"/>
    </row>
    <row r="139" spans="33:35">
      <c r="AG139" s="136"/>
      <c r="AI139" s="136"/>
    </row>
    <row r="140" spans="33:35">
      <c r="AG140" s="136"/>
      <c r="AI140" s="136"/>
    </row>
    <row r="141" spans="33:35">
      <c r="AG141" s="136"/>
      <c r="AI141" s="136"/>
    </row>
    <row r="142" spans="33:35">
      <c r="AG142" s="136"/>
      <c r="AI142" s="136"/>
    </row>
    <row r="143" spans="33:35">
      <c r="AG143" s="136"/>
      <c r="AI143" s="136"/>
    </row>
    <row r="144" spans="33:35">
      <c r="AG144" s="136"/>
      <c r="AI144" s="136"/>
    </row>
    <row r="145" spans="33:35">
      <c r="AG145" s="136"/>
      <c r="AI145" s="136"/>
    </row>
    <row r="146" spans="33:35">
      <c r="AG146" s="136"/>
      <c r="AI146" s="136"/>
    </row>
    <row r="147" spans="33:35">
      <c r="AG147" s="136"/>
      <c r="AI147" s="136"/>
    </row>
    <row r="148" spans="33:35">
      <c r="AG148" s="136"/>
      <c r="AI148" s="136"/>
    </row>
    <row r="190" spans="13:21">
      <c r="M190" s="226"/>
      <c r="O190" s="226"/>
      <c r="P190" s="226"/>
      <c r="Q190" s="226"/>
      <c r="R190" s="226"/>
      <c r="S190" s="226"/>
      <c r="T190" s="226"/>
      <c r="U190" s="226"/>
    </row>
    <row r="191" spans="13:21">
      <c r="O191" s="226"/>
    </row>
    <row r="192" spans="13:21">
      <c r="O192" s="226"/>
    </row>
    <row r="193" spans="15:15">
      <c r="O193" s="226"/>
    </row>
    <row r="194" spans="15:15">
      <c r="O194" s="226"/>
    </row>
    <row r="195" spans="15:15">
      <c r="O195" s="226"/>
    </row>
    <row r="196" spans="15:15">
      <c r="O196" s="226"/>
    </row>
    <row r="197" spans="15:15">
      <c r="O197" s="226"/>
    </row>
  </sheetData>
  <sortState ref="AO4:AR41">
    <sortCondition ref="AP4:AP41"/>
  </sortState>
  <phoneticPr fontId="2" type="noConversion"/>
  <pageMargins left="0.78740157499999996" right="0.78740157499999996" top="0.984251969" bottom="0.984251969" header="0.5" footer="0.5"/>
  <pageSetup paperSize="9" scale="95" orientation="portrait" horizontalDpi="4294967292" verticalDpi="4294967292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indexed="51"/>
  </sheetPr>
  <dimension ref="K1:BD197"/>
  <sheetViews>
    <sheetView topLeftCell="AY163" workbookViewId="0">
      <selection activeCell="W71" sqref="W71"/>
    </sheetView>
  </sheetViews>
  <sheetFormatPr baseColWidth="10" defaultRowHeight="13"/>
  <cols>
    <col min="1" max="27" width="8.83203125" customWidth="1"/>
    <col min="28" max="29" width="13.6640625" bestFit="1" customWidth="1"/>
    <col min="30" max="32" width="8.83203125" customWidth="1"/>
    <col min="33" max="33" width="12.83203125" bestFit="1" customWidth="1"/>
    <col min="34" max="34" width="12.83203125" style="136" bestFit="1" customWidth="1"/>
    <col min="35" max="35" width="8.83203125" customWidth="1"/>
    <col min="36" max="44" width="8.83203125" style="136" customWidth="1"/>
    <col min="45" max="53" width="8.83203125" customWidth="1"/>
    <col min="54" max="54" width="12.1640625" bestFit="1" customWidth="1"/>
    <col min="55" max="58" width="8.83203125" customWidth="1"/>
    <col min="59" max="59" width="12" bestFit="1" customWidth="1"/>
    <col min="60" max="60" width="8.83203125" customWidth="1"/>
    <col min="61" max="61" width="9.1640625" customWidth="1"/>
    <col min="62" max="62" width="8.83203125" customWidth="1"/>
    <col min="63" max="63" width="12" bestFit="1" customWidth="1"/>
  </cols>
  <sheetData>
    <row r="1" spans="21:56">
      <c r="U1">
        <v>0.01</v>
      </c>
      <c r="V1">
        <v>0.01</v>
      </c>
      <c r="W1">
        <f>V1*0.7</f>
        <v>6.9999999999999993E-3</v>
      </c>
      <c r="X1">
        <f>V1*1.3</f>
        <v>1.3000000000000001E-2</v>
      </c>
      <c r="AB1" s="103"/>
      <c r="AC1" s="103"/>
      <c r="AD1" s="147">
        <f>CORREL(AB4:AB113,AC4:AC113)</f>
        <v>0.87914030601614668</v>
      </c>
      <c r="AE1" s="103"/>
      <c r="AF1" s="103"/>
      <c r="AG1" s="103"/>
      <c r="AH1" s="156"/>
      <c r="AI1" s="147">
        <f>CORREL(AG4:AG107,AH4:AH107)</f>
        <v>0.90627193231903913</v>
      </c>
      <c r="AK1" s="156"/>
      <c r="AP1" s="156"/>
      <c r="AT1" t="s">
        <v>667</v>
      </c>
      <c r="AU1" t="s">
        <v>891</v>
      </c>
      <c r="AV1" t="s">
        <v>892</v>
      </c>
      <c r="AW1" t="s">
        <v>893</v>
      </c>
      <c r="AX1" t="s">
        <v>894</v>
      </c>
      <c r="AY1" t="s">
        <v>895</v>
      </c>
      <c r="AZ1" t="s">
        <v>896</v>
      </c>
      <c r="BA1" s="249" t="s">
        <v>949</v>
      </c>
      <c r="BB1" s="249" t="s">
        <v>950</v>
      </c>
      <c r="BC1" s="249" t="s">
        <v>951</v>
      </c>
      <c r="BD1" t="s">
        <v>898</v>
      </c>
    </row>
    <row r="2" spans="21:56">
      <c r="U2">
        <v>1</v>
      </c>
      <c r="V2">
        <v>1</v>
      </c>
      <c r="W2">
        <f t="shared" ref="W2:W7" si="0">V2*0.7</f>
        <v>0.7</v>
      </c>
      <c r="X2">
        <f t="shared" ref="X2:X7" si="1">V2*1.3</f>
        <v>1.3</v>
      </c>
      <c r="Z2" t="s">
        <v>393</v>
      </c>
      <c r="AD2" s="175">
        <f>AD1*AD1</f>
        <v>0.77288767766216404</v>
      </c>
      <c r="AI2" s="175">
        <f>AI1*AI1</f>
        <v>0.82132881530928503</v>
      </c>
      <c r="AT2" t="s">
        <v>667</v>
      </c>
      <c r="AU2" t="s">
        <v>891</v>
      </c>
      <c r="AV2" t="s">
        <v>892</v>
      </c>
      <c r="AW2" t="s">
        <v>893</v>
      </c>
      <c r="AX2" t="s">
        <v>894</v>
      </c>
      <c r="AY2" t="s">
        <v>895</v>
      </c>
      <c r="AZ2" t="s">
        <v>896</v>
      </c>
      <c r="BA2" s="249" t="s">
        <v>949</v>
      </c>
      <c r="BB2" s="249" t="s">
        <v>950</v>
      </c>
      <c r="BC2" s="249" t="s">
        <v>951</v>
      </c>
      <c r="BD2" t="s">
        <v>898</v>
      </c>
    </row>
    <row r="3" spans="21:56">
      <c r="U3">
        <v>10</v>
      </c>
      <c r="V3">
        <v>10</v>
      </c>
      <c r="W3">
        <f t="shared" si="0"/>
        <v>7</v>
      </c>
      <c r="X3">
        <f t="shared" si="1"/>
        <v>13</v>
      </c>
    </row>
    <row r="4" spans="21:56">
      <c r="U4">
        <v>100</v>
      </c>
      <c r="V4">
        <v>100</v>
      </c>
      <c r="W4">
        <f t="shared" si="0"/>
        <v>70</v>
      </c>
      <c r="X4">
        <f t="shared" si="1"/>
        <v>130</v>
      </c>
      <c r="Z4" s="136">
        <v>15</v>
      </c>
      <c r="AA4" s="136">
        <v>45.256751522000002</v>
      </c>
      <c r="AB4" s="185">
        <v>7.2337402493353702</v>
      </c>
      <c r="AC4" s="185">
        <v>3.8458657175589908</v>
      </c>
      <c r="AD4" s="136"/>
      <c r="AE4" s="136">
        <v>21</v>
      </c>
      <c r="AF4" s="136">
        <v>148.377637158</v>
      </c>
      <c r="AG4" s="136">
        <v>8.2042776079647689E-2</v>
      </c>
      <c r="AH4" s="136">
        <v>2.6958240315827366E-2</v>
      </c>
      <c r="AI4" s="136"/>
      <c r="AJ4" s="136">
        <v>15</v>
      </c>
      <c r="AK4" s="136">
        <v>88.091337050808335</v>
      </c>
      <c r="AL4" s="136">
        <v>-30</v>
      </c>
      <c r="AM4" s="136">
        <v>30</v>
      </c>
      <c r="AO4" s="136">
        <v>21</v>
      </c>
      <c r="AP4" s="136">
        <v>204.33283151452514</v>
      </c>
      <c r="AQ4" s="136">
        <v>-30</v>
      </c>
      <c r="AR4" s="136">
        <v>30</v>
      </c>
      <c r="AT4" t="s">
        <v>663</v>
      </c>
      <c r="AU4" t="s">
        <v>664</v>
      </c>
      <c r="AV4" t="s">
        <v>665</v>
      </c>
      <c r="AW4" t="s">
        <v>674</v>
      </c>
      <c r="AX4" t="s">
        <v>666</v>
      </c>
      <c r="AY4" t="s">
        <v>667</v>
      </c>
      <c r="AZ4" t="s">
        <v>668</v>
      </c>
    </row>
    <row r="5" spans="21:56">
      <c r="U5">
        <v>1000</v>
      </c>
      <c r="V5">
        <v>1000</v>
      </c>
      <c r="W5">
        <f t="shared" si="0"/>
        <v>700</v>
      </c>
      <c r="X5">
        <f t="shared" si="1"/>
        <v>1300</v>
      </c>
      <c r="Z5" s="136">
        <v>21</v>
      </c>
      <c r="AA5" s="136">
        <v>148.377637158</v>
      </c>
      <c r="AB5" s="185">
        <v>5.6181242679406482</v>
      </c>
      <c r="AC5" s="185">
        <v>4.6750526938039112</v>
      </c>
      <c r="AD5" s="136"/>
      <c r="AE5" s="136">
        <v>30</v>
      </c>
      <c r="AF5" s="136">
        <v>275.09607199200002</v>
      </c>
      <c r="AG5" s="136">
        <v>0.55641270880411198</v>
      </c>
      <c r="AH5" s="136">
        <v>0.76257562765094811</v>
      </c>
      <c r="AI5" s="136"/>
      <c r="AJ5" s="136">
        <v>21</v>
      </c>
      <c r="AK5" s="136">
        <v>20.172426620701799</v>
      </c>
      <c r="AL5" s="136">
        <v>-30</v>
      </c>
      <c r="AM5" s="136">
        <v>30</v>
      </c>
      <c r="AO5" s="136">
        <v>30</v>
      </c>
      <c r="AP5" s="136">
        <v>-27.035078406833449</v>
      </c>
      <c r="AQ5" s="136">
        <v>-30</v>
      </c>
      <c r="AR5" s="136">
        <v>30</v>
      </c>
      <c r="AT5" t="s">
        <v>883</v>
      </c>
      <c r="AU5" t="s">
        <v>884</v>
      </c>
      <c r="AV5" t="s">
        <v>885</v>
      </c>
      <c r="AW5" t="s">
        <v>886</v>
      </c>
      <c r="AX5" t="s">
        <v>887</v>
      </c>
      <c r="AY5" t="s">
        <v>888</v>
      </c>
      <c r="AZ5" t="s">
        <v>889</v>
      </c>
      <c r="BA5" t="s">
        <v>890</v>
      </c>
      <c r="BB5" t="s">
        <v>668</v>
      </c>
    </row>
    <row r="6" spans="21:56">
      <c r="U6">
        <v>3000</v>
      </c>
      <c r="V6">
        <v>3000</v>
      </c>
      <c r="W6">
        <f t="shared" si="0"/>
        <v>2100</v>
      </c>
      <c r="X6">
        <f t="shared" si="1"/>
        <v>3900</v>
      </c>
      <c r="Z6" s="136">
        <v>30</v>
      </c>
      <c r="AA6" s="136">
        <v>275.09607199200002</v>
      </c>
      <c r="AB6" s="185">
        <v>3.3289188687561975</v>
      </c>
      <c r="AC6" s="185">
        <v>4.5204004325549256</v>
      </c>
      <c r="AD6" s="136"/>
      <c r="AE6" s="136">
        <v>40</v>
      </c>
      <c r="AF6" s="136">
        <v>705.35724018640008</v>
      </c>
      <c r="AG6" s="136">
        <v>0.31386842481168392</v>
      </c>
      <c r="AH6" s="136">
        <v>0.49620246317668454</v>
      </c>
      <c r="AI6" s="136"/>
      <c r="AJ6" s="136">
        <v>30</v>
      </c>
      <c r="AK6" s="136">
        <v>-26.357876510628159</v>
      </c>
      <c r="AL6" s="136">
        <v>-30</v>
      </c>
      <c r="AM6" s="136">
        <v>30</v>
      </c>
      <c r="AO6" s="136">
        <v>40</v>
      </c>
      <c r="AP6" s="136">
        <v>-36.745895455193725</v>
      </c>
      <c r="AQ6" s="136">
        <v>-30</v>
      </c>
      <c r="AR6" s="136">
        <v>30</v>
      </c>
      <c r="AT6" t="s">
        <v>70</v>
      </c>
      <c r="AU6" t="s">
        <v>75</v>
      </c>
      <c r="AV6" t="s">
        <v>71</v>
      </c>
      <c r="AW6" s="226" t="s">
        <v>570</v>
      </c>
      <c r="AX6" t="s">
        <v>69</v>
      </c>
    </row>
    <row r="7" spans="21:56">
      <c r="U7">
        <v>200000</v>
      </c>
      <c r="V7">
        <v>200000</v>
      </c>
      <c r="W7">
        <f t="shared" si="0"/>
        <v>140000</v>
      </c>
      <c r="X7">
        <f t="shared" si="1"/>
        <v>260000</v>
      </c>
      <c r="Z7" s="136">
        <v>40</v>
      </c>
      <c r="AA7" s="136">
        <v>705.35724018640008</v>
      </c>
      <c r="AB7" s="185">
        <v>2.8935992422168173</v>
      </c>
      <c r="AC7" s="185">
        <v>3.7130307850955626</v>
      </c>
      <c r="AD7" s="136"/>
      <c r="AE7" s="136">
        <v>80</v>
      </c>
      <c r="AF7" s="136">
        <v>76.439990548400004</v>
      </c>
      <c r="AG7" s="136">
        <v>7.600258682111841</v>
      </c>
      <c r="AH7" s="136">
        <v>10.989012347772752</v>
      </c>
      <c r="AI7" s="136"/>
      <c r="AJ7" s="136">
        <v>40</v>
      </c>
      <c r="AK7" s="136">
        <v>-22.069074842256015</v>
      </c>
      <c r="AL7" s="136">
        <v>-30</v>
      </c>
      <c r="AM7" s="136">
        <v>30</v>
      </c>
      <c r="AO7" s="136">
        <v>80</v>
      </c>
      <c r="AP7" s="136">
        <v>-30.83765454452093</v>
      </c>
      <c r="AQ7" s="136">
        <v>-30</v>
      </c>
      <c r="AR7" s="136">
        <v>30</v>
      </c>
    </row>
    <row r="8" spans="21:56">
      <c r="Z8" s="136">
        <v>80</v>
      </c>
      <c r="AA8" s="136">
        <v>76.439990548400004</v>
      </c>
      <c r="AB8" s="185">
        <v>2.9357043925711581</v>
      </c>
      <c r="AC8" s="185">
        <v>2.7022601864837705</v>
      </c>
      <c r="AD8" s="136"/>
      <c r="AE8" s="136">
        <v>100</v>
      </c>
      <c r="AF8" s="136">
        <v>96.030839068399999</v>
      </c>
      <c r="AG8" s="136">
        <v>9.6363023299028097</v>
      </c>
      <c r="AH8" s="136">
        <v>6.3521261077966278</v>
      </c>
      <c r="AI8" s="136"/>
      <c r="AJ8" s="136">
        <v>80</v>
      </c>
      <c r="AK8" s="136">
        <v>8.6388500728032938</v>
      </c>
      <c r="AL8" s="136">
        <v>-30</v>
      </c>
      <c r="AM8" s="136">
        <v>30</v>
      </c>
      <c r="AO8" s="136">
        <v>100</v>
      </c>
      <c r="AP8" s="136">
        <v>51.701999714318816</v>
      </c>
      <c r="AQ8" s="136">
        <v>-30</v>
      </c>
      <c r="AR8" s="136">
        <v>30</v>
      </c>
      <c r="AT8" t="s">
        <v>70</v>
      </c>
      <c r="AU8" t="s">
        <v>83</v>
      </c>
      <c r="AV8" t="s">
        <v>69</v>
      </c>
    </row>
    <row r="9" spans="21:56">
      <c r="W9">
        <f t="shared" ref="W9:W15" si="2">V1*0.5</f>
        <v>5.0000000000000001E-3</v>
      </c>
      <c r="X9">
        <f>V1*1.5</f>
        <v>1.4999999999999999E-2</v>
      </c>
      <c r="Z9" s="136">
        <v>100</v>
      </c>
      <c r="AA9" s="136">
        <v>96.030839068399999</v>
      </c>
      <c r="AB9" s="185">
        <v>2.8351725918889001</v>
      </c>
      <c r="AC9" s="185">
        <v>2.2909307274020625</v>
      </c>
      <c r="AD9" s="136"/>
      <c r="AE9" s="136">
        <v>105</v>
      </c>
      <c r="AF9" s="136">
        <v>228.15798065640001</v>
      </c>
      <c r="AG9" s="136">
        <v>6.926858670295486</v>
      </c>
      <c r="AH9" s="136">
        <v>4.5144158316826672</v>
      </c>
      <c r="AI9" s="136"/>
      <c r="AJ9" s="136">
        <v>100</v>
      </c>
      <c r="AK9" s="136">
        <v>23.756364955827962</v>
      </c>
      <c r="AL9" s="136">
        <v>-30</v>
      </c>
      <c r="AM9" s="136">
        <v>30</v>
      </c>
      <c r="AO9" s="136">
        <v>105</v>
      </c>
      <c r="AP9" s="136">
        <v>53.438649175426633</v>
      </c>
      <c r="AQ9" s="136">
        <v>-30</v>
      </c>
      <c r="AR9" s="136">
        <v>30</v>
      </c>
    </row>
    <row r="10" spans="21:56">
      <c r="W10">
        <f t="shared" si="2"/>
        <v>0.5</v>
      </c>
      <c r="X10">
        <f t="shared" ref="X10:X15" si="3">V2*1.5</f>
        <v>1.5</v>
      </c>
      <c r="Z10" s="136">
        <v>105</v>
      </c>
      <c r="AA10" s="136">
        <v>228.15798065640001</v>
      </c>
      <c r="AB10" s="185">
        <v>2.8190463742653518</v>
      </c>
      <c r="AC10" s="185">
        <v>2.5420982353164532</v>
      </c>
      <c r="AD10" s="136"/>
      <c r="AE10" s="136">
        <v>110</v>
      </c>
      <c r="AF10" s="136">
        <v>673.04610579440009</v>
      </c>
      <c r="AG10" s="136">
        <v>4.1990740783284659</v>
      </c>
      <c r="AH10" s="136">
        <v>3.0161380959243198</v>
      </c>
      <c r="AI10" s="136"/>
      <c r="AJ10" s="136">
        <v>105</v>
      </c>
      <c r="AK10" s="136">
        <v>10.894470367091174</v>
      </c>
      <c r="AL10" s="136">
        <v>-30</v>
      </c>
      <c r="AM10" s="136">
        <v>30</v>
      </c>
      <c r="AO10" s="136">
        <v>110</v>
      </c>
      <c r="AP10" s="136">
        <v>39.220219525181449</v>
      </c>
      <c r="AQ10" s="136">
        <v>-30</v>
      </c>
      <c r="AR10" s="136">
        <v>30</v>
      </c>
      <c r="AT10" t="s">
        <v>80</v>
      </c>
      <c r="AU10" t="s">
        <v>81</v>
      </c>
      <c r="AV10" t="s">
        <v>82</v>
      </c>
    </row>
    <row r="11" spans="21:56">
      <c r="W11">
        <f t="shared" si="2"/>
        <v>5</v>
      </c>
      <c r="X11">
        <f t="shared" si="3"/>
        <v>15</v>
      </c>
      <c r="Z11" s="136">
        <v>110</v>
      </c>
      <c r="AA11" s="136">
        <v>673.04610579440009</v>
      </c>
      <c r="AB11" s="185">
        <v>3.7234810666020479</v>
      </c>
      <c r="AC11" s="185">
        <v>3.0718753401127041</v>
      </c>
      <c r="AD11" s="136"/>
      <c r="AE11" s="136">
        <v>120</v>
      </c>
      <c r="AF11" s="136">
        <v>889.46165540940001</v>
      </c>
      <c r="AG11" s="136">
        <v>3.2527510286926375</v>
      </c>
      <c r="AH11" s="136">
        <v>3.1254860545061116</v>
      </c>
      <c r="AI11" s="136"/>
      <c r="AJ11" s="136">
        <v>110</v>
      </c>
      <c r="AK11" s="136">
        <v>21.21198467856567</v>
      </c>
      <c r="AL11" s="136">
        <v>-30</v>
      </c>
      <c r="AM11" s="136">
        <v>30</v>
      </c>
      <c r="AO11" s="136">
        <v>120</v>
      </c>
      <c r="AP11" s="136">
        <v>4.0718458494813774</v>
      </c>
      <c r="AQ11" s="136">
        <v>-30</v>
      </c>
      <c r="AR11" s="136">
        <v>30</v>
      </c>
    </row>
    <row r="12" spans="21:56">
      <c r="W12">
        <f t="shared" si="2"/>
        <v>50</v>
      </c>
      <c r="X12">
        <f t="shared" si="3"/>
        <v>150</v>
      </c>
      <c r="Z12" s="136">
        <v>120</v>
      </c>
      <c r="AA12" s="136">
        <v>889.46165540940001</v>
      </c>
      <c r="AB12" s="185">
        <v>3.8293269037365643</v>
      </c>
      <c r="AC12" s="185">
        <v>3.3201805788394947</v>
      </c>
      <c r="AD12" s="136"/>
      <c r="AE12" s="136">
        <v>150</v>
      </c>
      <c r="AF12" s="136">
        <v>76.792290271499994</v>
      </c>
      <c r="AG12" s="136">
        <v>0.49745062095642623</v>
      </c>
      <c r="AH12" s="136">
        <v>0.14324354646943563</v>
      </c>
      <c r="AI12" s="136"/>
      <c r="AJ12" s="136">
        <v>120</v>
      </c>
      <c r="AK12" s="136">
        <v>15.334898593829863</v>
      </c>
      <c r="AL12" s="136">
        <v>-30</v>
      </c>
      <c r="AM12" s="136">
        <v>30</v>
      </c>
      <c r="AO12" s="136">
        <v>150</v>
      </c>
      <c r="AP12" s="136">
        <v>247.27611345657994</v>
      </c>
      <c r="AQ12" s="136">
        <v>-30</v>
      </c>
      <c r="AR12" s="136">
        <v>30</v>
      </c>
    </row>
    <row r="13" spans="21:56">
      <c r="W13">
        <f t="shared" si="2"/>
        <v>500</v>
      </c>
      <c r="X13">
        <f t="shared" si="3"/>
        <v>1500</v>
      </c>
      <c r="Z13" s="136">
        <v>150</v>
      </c>
      <c r="AA13" s="136">
        <v>76.792290271499994</v>
      </c>
      <c r="AB13" s="185">
        <v>4.8514636332840118</v>
      </c>
      <c r="AC13" s="185">
        <v>4.5989901300320524</v>
      </c>
      <c r="AD13" s="136"/>
      <c r="AE13" s="136">
        <v>170</v>
      </c>
      <c r="AF13" s="136">
        <v>852.574424894</v>
      </c>
      <c r="AG13" s="136">
        <v>0.87143826275497771</v>
      </c>
      <c r="AH13" s="136">
        <v>0.83486061639651521</v>
      </c>
      <c r="AI13" s="136"/>
      <c r="AJ13" s="136">
        <v>150</v>
      </c>
      <c r="AK13" s="136">
        <v>5.48975962360241</v>
      </c>
      <c r="AL13" s="136">
        <v>-30</v>
      </c>
      <c r="AM13" s="136">
        <v>30</v>
      </c>
      <c r="AO13" s="136">
        <v>170</v>
      </c>
      <c r="AP13" s="136">
        <v>4.3812878030277176</v>
      </c>
      <c r="AQ13" s="136">
        <v>-30</v>
      </c>
      <c r="AR13" s="136">
        <v>30</v>
      </c>
    </row>
    <row r="14" spans="21:56">
      <c r="W14">
        <f t="shared" si="2"/>
        <v>1500</v>
      </c>
      <c r="X14">
        <f t="shared" si="3"/>
        <v>4500</v>
      </c>
      <c r="Z14" s="136">
        <v>170</v>
      </c>
      <c r="AA14" s="136">
        <v>852.574424894</v>
      </c>
      <c r="AB14" s="185">
        <v>4.965789726846972</v>
      </c>
      <c r="AC14" s="185">
        <v>5.301067399037712</v>
      </c>
      <c r="AD14" s="136"/>
      <c r="AE14" s="136">
        <v>210</v>
      </c>
      <c r="AF14" s="136">
        <v>620.277914065</v>
      </c>
      <c r="AG14" s="136">
        <v>0.25238979643329545</v>
      </c>
      <c r="AH14" s="136">
        <v>0.36097156044451895</v>
      </c>
      <c r="AI14" s="136"/>
      <c r="AJ14" s="136">
        <v>170</v>
      </c>
      <c r="AK14" s="136">
        <v>-6.3247200413185141</v>
      </c>
      <c r="AL14" s="136">
        <v>-30</v>
      </c>
      <c r="AM14" s="136">
        <v>30</v>
      </c>
      <c r="AO14" s="136">
        <v>210</v>
      </c>
      <c r="AP14" s="136">
        <v>-30.08042070613827</v>
      </c>
      <c r="AQ14" s="136">
        <v>-30</v>
      </c>
      <c r="AR14" s="136">
        <v>30</v>
      </c>
      <c r="AT14" t="s">
        <v>663</v>
      </c>
    </row>
    <row r="15" spans="21:56">
      <c r="W15">
        <f t="shared" si="2"/>
        <v>100000</v>
      </c>
      <c r="X15">
        <f t="shared" si="3"/>
        <v>300000</v>
      </c>
      <c r="Z15" s="136">
        <v>210</v>
      </c>
      <c r="AA15" s="136">
        <v>620.277914065</v>
      </c>
      <c r="AB15" s="185">
        <v>3.5462227306527199</v>
      </c>
      <c r="AC15" s="185">
        <v>5.4056074711975119</v>
      </c>
      <c r="AD15" s="136"/>
      <c r="AE15" s="136">
        <v>220</v>
      </c>
      <c r="AF15" s="136">
        <v>1134.1980393379999</v>
      </c>
      <c r="AG15" s="136">
        <v>0.24675766700126847</v>
      </c>
      <c r="AH15" s="136">
        <v>0.6863676604000466</v>
      </c>
      <c r="AI15" s="136"/>
      <c r="AJ15" s="136">
        <v>210</v>
      </c>
      <c r="AK15" s="136">
        <v>-34.3973318531188</v>
      </c>
      <c r="AL15" s="136">
        <v>-30</v>
      </c>
      <c r="AM15" s="136">
        <v>30</v>
      </c>
      <c r="AO15" s="136">
        <v>220</v>
      </c>
      <c r="AP15" s="136">
        <v>-64.048762603784866</v>
      </c>
      <c r="AQ15" s="136">
        <v>-30</v>
      </c>
      <c r="AR15" s="136">
        <v>30</v>
      </c>
      <c r="AT15" t="s">
        <v>664</v>
      </c>
    </row>
    <row r="16" spans="21:56">
      <c r="Z16" s="136">
        <v>220</v>
      </c>
      <c r="AA16" s="136">
        <v>1134.1980393379999</v>
      </c>
      <c r="AB16" s="185">
        <v>4.3438004983587692</v>
      </c>
      <c r="AC16" s="185">
        <v>6.4312535980111587</v>
      </c>
      <c r="AD16" s="136"/>
      <c r="AE16" s="136">
        <v>250</v>
      </c>
      <c r="AF16" s="136">
        <v>298.37882963000004</v>
      </c>
      <c r="AG16" s="136">
        <v>0.23072725423914875</v>
      </c>
      <c r="AH16" s="136">
        <v>1.4219270234840773</v>
      </c>
      <c r="AI16" s="136"/>
      <c r="AJ16" s="136">
        <v>220</v>
      </c>
      <c r="AK16" s="136">
        <v>-32.457950348870185</v>
      </c>
      <c r="AL16" s="136">
        <v>-30</v>
      </c>
      <c r="AM16" s="136">
        <v>30</v>
      </c>
      <c r="AO16" s="136">
        <v>250</v>
      </c>
      <c r="AP16" s="136">
        <v>-83.773621963115289</v>
      </c>
      <c r="AQ16" s="136">
        <v>-30</v>
      </c>
      <c r="AR16" s="136">
        <v>30</v>
      </c>
      <c r="AT16" t="s">
        <v>671</v>
      </c>
    </row>
    <row r="17" spans="26:46">
      <c r="Z17" s="136">
        <v>250</v>
      </c>
      <c r="AA17" s="136">
        <v>298.37882963000004</v>
      </c>
      <c r="AB17" s="185">
        <v>6.4400749968660449</v>
      </c>
      <c r="AC17" s="185">
        <v>6.1161244741174796</v>
      </c>
      <c r="AD17" s="136"/>
      <c r="AE17" s="136">
        <v>330</v>
      </c>
      <c r="AF17" s="136">
        <v>778.55346300399992</v>
      </c>
      <c r="AG17" s="136">
        <v>0.28618980555963064</v>
      </c>
      <c r="AH17" s="136">
        <v>0.89910331565297219</v>
      </c>
      <c r="AI17" s="136"/>
      <c r="AJ17" s="136">
        <v>250</v>
      </c>
      <c r="AK17" s="136">
        <v>5.2966633383521753</v>
      </c>
      <c r="AL17" s="136">
        <v>-30</v>
      </c>
      <c r="AM17" s="136">
        <v>30</v>
      </c>
      <c r="AO17" s="136">
        <v>330</v>
      </c>
      <c r="AP17" s="136">
        <v>-68.169419400729737</v>
      </c>
      <c r="AQ17" s="136">
        <v>-30</v>
      </c>
      <c r="AR17" s="136">
        <v>30</v>
      </c>
      <c r="AT17" t="s">
        <v>669</v>
      </c>
    </row>
    <row r="18" spans="26:46">
      <c r="Z18" s="136">
        <v>330</v>
      </c>
      <c r="AA18" s="136">
        <v>778.55346300399992</v>
      </c>
      <c r="AB18" s="185">
        <v>10.275465453560825</v>
      </c>
      <c r="AC18" s="185">
        <v>10.030101044091419</v>
      </c>
      <c r="AD18" s="136"/>
      <c r="AE18" s="136">
        <v>410</v>
      </c>
      <c r="AF18" s="136">
        <v>224.483418124</v>
      </c>
      <c r="AG18" s="136">
        <v>0.47898071266648651</v>
      </c>
      <c r="AH18" s="136">
        <v>0.18625339776994787</v>
      </c>
      <c r="AI18" s="136"/>
      <c r="AJ18" s="136">
        <v>330</v>
      </c>
      <c r="AK18" s="136">
        <v>2.4462805348700414</v>
      </c>
      <c r="AL18" s="136">
        <v>-30</v>
      </c>
      <c r="AM18" s="136">
        <v>30</v>
      </c>
      <c r="AO18" s="136">
        <v>410</v>
      </c>
      <c r="AP18" s="136">
        <v>157.16616094064642</v>
      </c>
      <c r="AQ18" s="136">
        <v>-30</v>
      </c>
      <c r="AR18" s="136">
        <v>30</v>
      </c>
      <c r="AT18" t="s">
        <v>665</v>
      </c>
    </row>
    <row r="19" spans="26:46">
      <c r="Z19" s="136">
        <v>410</v>
      </c>
      <c r="AA19" s="136">
        <v>224.483418124</v>
      </c>
      <c r="AB19" s="185">
        <v>4.6505644763260161</v>
      </c>
      <c r="AC19" s="185">
        <v>5.5319300015259136</v>
      </c>
      <c r="AD19" s="136"/>
      <c r="AE19" s="136">
        <v>430</v>
      </c>
      <c r="AF19" s="136">
        <v>184.84579817100001</v>
      </c>
      <c r="AG19" s="136">
        <v>0.12803744180680043</v>
      </c>
      <c r="AH19" s="136">
        <v>0.1966390028589407</v>
      </c>
      <c r="AI19" s="136"/>
      <c r="AJ19" s="136">
        <v>410</v>
      </c>
      <c r="AK19" s="136">
        <v>-15.93233328977017</v>
      </c>
      <c r="AL19" s="136">
        <v>-30</v>
      </c>
      <c r="AM19" s="136">
        <v>30</v>
      </c>
      <c r="AO19" s="136">
        <v>430</v>
      </c>
      <c r="AP19" s="136">
        <v>-34.887057020601205</v>
      </c>
      <c r="AQ19" s="136">
        <v>-30</v>
      </c>
      <c r="AR19" s="136">
        <v>30</v>
      </c>
      <c r="AT19" t="s">
        <v>673</v>
      </c>
    </row>
    <row r="20" spans="26:46">
      <c r="Z20" s="136">
        <v>430</v>
      </c>
      <c r="AA20" s="136">
        <v>184.84579817100001</v>
      </c>
      <c r="AB20" s="185">
        <v>4.2629448459567945</v>
      </c>
      <c r="AC20" s="185">
        <v>5.9043340604315491</v>
      </c>
      <c r="AD20" s="136"/>
      <c r="AE20" s="136">
        <v>460</v>
      </c>
      <c r="AF20" s="136">
        <v>171.829937839</v>
      </c>
      <c r="AG20" s="136">
        <v>0.16757212465390314</v>
      </c>
      <c r="AH20" s="136">
        <v>0.11114826691118831</v>
      </c>
      <c r="AI20" s="136"/>
      <c r="AJ20" s="136">
        <v>430</v>
      </c>
      <c r="AK20" s="136">
        <v>-27.799734867216927</v>
      </c>
      <c r="AL20" s="136">
        <v>-30</v>
      </c>
      <c r="AM20" s="136">
        <v>30</v>
      </c>
      <c r="AO20" s="136">
        <v>460</v>
      </c>
      <c r="AP20" s="136">
        <v>50.764496209193823</v>
      </c>
      <c r="AQ20" s="136">
        <v>-30</v>
      </c>
      <c r="AR20" s="136">
        <v>30</v>
      </c>
      <c r="AT20" t="s">
        <v>670</v>
      </c>
    </row>
    <row r="21" spans="26:46">
      <c r="Z21" s="136">
        <v>460</v>
      </c>
      <c r="AA21" s="136">
        <v>171.829937839</v>
      </c>
      <c r="AB21" s="185">
        <v>7.3545863732239809</v>
      </c>
      <c r="AC21" s="185">
        <v>5.5731489426746306</v>
      </c>
      <c r="AD21" s="136"/>
      <c r="AE21" s="136">
        <v>470</v>
      </c>
      <c r="AF21" s="136">
        <v>395.18268785099997</v>
      </c>
      <c r="AG21" s="136">
        <v>0.18068490787420197</v>
      </c>
      <c r="AH21" s="136">
        <v>0.1189824655052846</v>
      </c>
      <c r="AI21" s="136"/>
      <c r="AJ21" s="136">
        <v>460</v>
      </c>
      <c r="AK21" s="136">
        <v>31.964647793791301</v>
      </c>
      <c r="AL21" s="136">
        <v>-30</v>
      </c>
      <c r="AM21" s="136">
        <v>30</v>
      </c>
      <c r="AO21" s="136">
        <v>470</v>
      </c>
      <c r="AP21" s="136">
        <v>51.858433179111472</v>
      </c>
      <c r="AQ21" s="136">
        <v>-30</v>
      </c>
      <c r="AR21" s="136">
        <v>30</v>
      </c>
      <c r="AT21" t="s">
        <v>672</v>
      </c>
    </row>
    <row r="22" spans="26:46">
      <c r="Z22" s="136">
        <v>470</v>
      </c>
      <c r="AA22" s="136">
        <v>395.18268785099997</v>
      </c>
      <c r="AB22" s="185">
        <v>9.5069663057916625</v>
      </c>
      <c r="AC22" s="185">
        <v>7.9413634973383829</v>
      </c>
      <c r="AD22" s="136"/>
      <c r="AE22" s="136">
        <v>630</v>
      </c>
      <c r="AF22" s="136">
        <v>450.37628761899998</v>
      </c>
      <c r="AG22" s="136">
        <v>0.34195047250753241</v>
      </c>
      <c r="AH22" s="136">
        <v>0.1573876880959699</v>
      </c>
      <c r="AI22" s="136"/>
      <c r="AJ22" s="136">
        <v>470</v>
      </c>
      <c r="AK22" s="136">
        <v>19.714534021493961</v>
      </c>
      <c r="AL22" s="136">
        <v>-30</v>
      </c>
      <c r="AM22" s="136">
        <v>30</v>
      </c>
      <c r="AO22" s="136">
        <v>630</v>
      </c>
      <c r="AP22" s="136">
        <v>117.26634188757009</v>
      </c>
      <c r="AQ22" s="136">
        <v>-30</v>
      </c>
      <c r="AR22" s="136">
        <v>30</v>
      </c>
      <c r="AT22" t="s">
        <v>668</v>
      </c>
    </row>
    <row r="23" spans="26:46">
      <c r="Z23" s="136">
        <v>630</v>
      </c>
      <c r="AA23" s="136">
        <v>450.37628761899998</v>
      </c>
      <c r="AB23" s="185">
        <v>6.5519912851156938</v>
      </c>
      <c r="AC23" s="185">
        <v>6.0492430896571916</v>
      </c>
      <c r="AD23" s="136"/>
      <c r="AE23" s="136">
        <v>640</v>
      </c>
      <c r="AF23" s="136">
        <v>43.323729148699996</v>
      </c>
      <c r="AG23" s="136">
        <v>0.28464473378231031</v>
      </c>
      <c r="AH23" s="136">
        <v>0.11540814960625313</v>
      </c>
      <c r="AI23" s="136"/>
      <c r="AJ23" s="136">
        <v>630</v>
      </c>
      <c r="AK23" s="136">
        <v>8.3109273012699276</v>
      </c>
      <c r="AL23" s="136">
        <v>-30</v>
      </c>
      <c r="AM23" s="136">
        <v>30</v>
      </c>
      <c r="AO23" s="136">
        <v>640</v>
      </c>
      <c r="AP23" s="136">
        <v>146.64179674785075</v>
      </c>
      <c r="AQ23" s="136">
        <v>-30</v>
      </c>
      <c r="AR23" s="136">
        <v>30</v>
      </c>
    </row>
    <row r="24" spans="26:46">
      <c r="Z24" s="136">
        <v>640</v>
      </c>
      <c r="AA24" s="136">
        <v>43.323729148699996</v>
      </c>
      <c r="AB24" s="185">
        <v>9.7984656834143529</v>
      </c>
      <c r="AC24" s="185">
        <v>10.404036218006826</v>
      </c>
      <c r="AD24" s="136"/>
      <c r="AE24" s="136">
        <v>650</v>
      </c>
      <c r="AF24" s="136">
        <v>313.57887996969998</v>
      </c>
      <c r="AG24" s="136">
        <v>0.43496593122152288</v>
      </c>
      <c r="AH24" s="136">
        <v>0.24345933563148922</v>
      </c>
      <c r="AI24" s="136"/>
      <c r="AJ24" s="136">
        <v>640</v>
      </c>
      <c r="AK24" s="136">
        <v>-5.8205346646562219</v>
      </c>
      <c r="AL24" s="136">
        <v>-30</v>
      </c>
      <c r="AM24" s="136">
        <v>30</v>
      </c>
      <c r="AO24" s="136">
        <v>650</v>
      </c>
      <c r="AP24" s="136">
        <v>78.660608800767648</v>
      </c>
      <c r="AQ24" s="136">
        <v>-30</v>
      </c>
      <c r="AR24" s="136">
        <v>30</v>
      </c>
    </row>
    <row r="25" spans="26:46">
      <c r="Z25" s="136">
        <v>650</v>
      </c>
      <c r="AA25" s="136">
        <v>313.57887996969998</v>
      </c>
      <c r="AB25" s="185">
        <v>15.750648252844504</v>
      </c>
      <c r="AC25" s="185">
        <v>17.602477057799859</v>
      </c>
      <c r="AD25" s="136"/>
      <c r="AE25" s="136">
        <v>670</v>
      </c>
      <c r="AF25" s="136">
        <v>139.59965703099999</v>
      </c>
      <c r="AG25" s="136">
        <v>0.74650273322072924</v>
      </c>
      <c r="AH25" s="136">
        <v>0.76417650401518888</v>
      </c>
      <c r="AI25" s="136"/>
      <c r="AJ25" s="136">
        <v>650</v>
      </c>
      <c r="AK25" s="136">
        <v>-10.52027393005342</v>
      </c>
      <c r="AL25" s="136">
        <v>-30</v>
      </c>
      <c r="AM25" s="136">
        <v>30</v>
      </c>
      <c r="AO25" s="136">
        <v>670</v>
      </c>
      <c r="AP25" s="136">
        <v>-2.3127864703503604</v>
      </c>
      <c r="AQ25" s="136">
        <v>-30</v>
      </c>
      <c r="AR25" s="136">
        <v>30</v>
      </c>
      <c r="AT25" t="s">
        <v>663</v>
      </c>
    </row>
    <row r="26" spans="26:46">
      <c r="Z26" s="136">
        <v>670</v>
      </c>
      <c r="AA26" s="136">
        <v>139.59965703099999</v>
      </c>
      <c r="AB26" s="185">
        <v>13.718846340375343</v>
      </c>
      <c r="AC26" s="185">
        <v>12.11028361862682</v>
      </c>
      <c r="AD26" s="136"/>
      <c r="AE26" s="136">
        <v>700</v>
      </c>
      <c r="AF26" s="136">
        <v>305.874150267</v>
      </c>
      <c r="AG26" s="136">
        <v>0.63718868022237629</v>
      </c>
      <c r="AH26" s="136">
        <v>0.9574248846938338</v>
      </c>
      <c r="AI26" s="136"/>
      <c r="AJ26" s="136">
        <v>670</v>
      </c>
      <c r="AK26" s="136">
        <v>13.282618082324632</v>
      </c>
      <c r="AL26" s="136">
        <v>-30</v>
      </c>
      <c r="AM26" s="136">
        <v>30</v>
      </c>
      <c r="AO26" s="136">
        <v>700</v>
      </c>
      <c r="AP26" s="136">
        <v>-33.447658358479259</v>
      </c>
      <c r="AQ26" s="136">
        <v>-30</v>
      </c>
      <c r="AR26" s="136">
        <v>30</v>
      </c>
      <c r="AT26" t="s">
        <v>664</v>
      </c>
    </row>
    <row r="27" spans="26:46">
      <c r="Z27" s="136">
        <v>700</v>
      </c>
      <c r="AA27" s="136">
        <v>305.874150267</v>
      </c>
      <c r="AB27" s="185">
        <v>13.973351487147967</v>
      </c>
      <c r="AC27" s="185">
        <v>17.452163880288211</v>
      </c>
      <c r="AD27" s="136"/>
      <c r="AE27" s="136">
        <v>900</v>
      </c>
      <c r="AF27" s="136">
        <v>1355.212774052</v>
      </c>
      <c r="AG27" s="136">
        <v>0.29883421498585688</v>
      </c>
      <c r="AH27" s="136">
        <v>0.42961702798707874</v>
      </c>
      <c r="AI27" s="136"/>
      <c r="AJ27" s="136">
        <v>700</v>
      </c>
      <c r="AK27" s="136">
        <v>-19.933415804497884</v>
      </c>
      <c r="AL27" s="136">
        <v>-30</v>
      </c>
      <c r="AM27" s="136">
        <v>30</v>
      </c>
      <c r="AO27" s="136">
        <v>900</v>
      </c>
      <c r="AP27" s="136">
        <v>-30.441720062631063</v>
      </c>
      <c r="AQ27" s="136">
        <v>-30</v>
      </c>
      <c r="AR27" s="136">
        <v>30</v>
      </c>
      <c r="AT27" t="s">
        <v>665</v>
      </c>
    </row>
    <row r="28" spans="26:46">
      <c r="Z28" s="136">
        <v>900</v>
      </c>
      <c r="AA28" s="136">
        <v>1355.212774052</v>
      </c>
      <c r="AB28" s="185">
        <v>5.5821682209822896</v>
      </c>
      <c r="AC28" s="185">
        <v>5.5338609730681245</v>
      </c>
      <c r="AD28" s="136"/>
      <c r="AE28" s="136">
        <v>910</v>
      </c>
      <c r="AF28" s="136">
        <v>3613.7425172066</v>
      </c>
      <c r="AG28" s="136">
        <v>0.28190383393607543</v>
      </c>
      <c r="AH28" s="136">
        <v>0.29008057996022307</v>
      </c>
      <c r="AI28" s="136"/>
      <c r="AJ28" s="136">
        <v>900</v>
      </c>
      <c r="AK28" s="136">
        <v>0.8729393121595308</v>
      </c>
      <c r="AL28" s="136">
        <v>-30</v>
      </c>
      <c r="AM28" s="136">
        <v>30</v>
      </c>
      <c r="AO28" s="136">
        <v>910</v>
      </c>
      <c r="AP28" s="136">
        <v>-2.8187843616656068</v>
      </c>
      <c r="AQ28" s="136">
        <v>-30</v>
      </c>
      <c r="AR28" s="136">
        <v>30</v>
      </c>
      <c r="AT28" t="s">
        <v>674</v>
      </c>
    </row>
    <row r="29" spans="26:46">
      <c r="Z29" s="136">
        <v>910</v>
      </c>
      <c r="AA29" s="136">
        <v>3613.7425172066</v>
      </c>
      <c r="AB29" s="185">
        <v>6.7295451790196106</v>
      </c>
      <c r="AC29" s="185">
        <v>6.8811118021141562</v>
      </c>
      <c r="AD29" s="136"/>
      <c r="AE29" s="136">
        <v>1020</v>
      </c>
      <c r="AF29" s="136">
        <v>6714.5074651517998</v>
      </c>
      <c r="AG29" s="136">
        <v>0.80474095025455927</v>
      </c>
      <c r="AH29" s="136">
        <v>2.1494655349847807</v>
      </c>
      <c r="AI29" s="136"/>
      <c r="AJ29" s="136">
        <v>910</v>
      </c>
      <c r="AK29" s="136">
        <v>-2.2026472967344972</v>
      </c>
      <c r="AL29" s="136">
        <v>-30</v>
      </c>
      <c r="AM29" s="136">
        <v>30</v>
      </c>
      <c r="AO29" s="136">
        <v>1020</v>
      </c>
      <c r="AP29" s="136">
        <v>-62.560881430450237</v>
      </c>
      <c r="AQ29" s="136">
        <v>-30</v>
      </c>
      <c r="AR29" s="136">
        <v>30</v>
      </c>
      <c r="AT29" t="s">
        <v>666</v>
      </c>
    </row>
    <row r="30" spans="26:46">
      <c r="Z30" s="136">
        <v>1020</v>
      </c>
      <c r="AA30" s="136">
        <v>6714.5074651517998</v>
      </c>
      <c r="AB30" s="185">
        <v>6.1609115780032289</v>
      </c>
      <c r="AC30" s="185">
        <v>4.9505563653758511</v>
      </c>
      <c r="AD30" s="136"/>
      <c r="AE30" s="136">
        <v>1030</v>
      </c>
      <c r="AF30" s="136">
        <v>9686.4584423321012</v>
      </c>
      <c r="AG30" s="136">
        <v>0.65112652822699801</v>
      </c>
      <c r="AH30" s="136">
        <v>1.3066541977750439</v>
      </c>
      <c r="AI30" s="136"/>
      <c r="AJ30" s="136">
        <v>1020</v>
      </c>
      <c r="AK30" s="136">
        <v>24.448872476083523</v>
      </c>
      <c r="AL30" s="136">
        <v>-30</v>
      </c>
      <c r="AM30" s="136">
        <v>30</v>
      </c>
      <c r="AO30" s="136">
        <v>1030</v>
      </c>
      <c r="AP30" s="136">
        <v>-50.168412627018768</v>
      </c>
      <c r="AQ30" s="136">
        <v>-30</v>
      </c>
      <c r="AR30" s="136">
        <v>30</v>
      </c>
      <c r="AT30" t="s">
        <v>667</v>
      </c>
    </row>
    <row r="31" spans="26:46">
      <c r="Z31" s="136">
        <v>1030</v>
      </c>
      <c r="AA31" s="136">
        <v>9686.4584423321012</v>
      </c>
      <c r="AB31" s="185">
        <v>6.6518986509828926</v>
      </c>
      <c r="AC31" s="185">
        <v>6.1725976465904235</v>
      </c>
      <c r="AD31" s="136"/>
      <c r="AE31" s="136">
        <v>1110</v>
      </c>
      <c r="AF31" s="136">
        <v>201.54418290800001</v>
      </c>
      <c r="AG31" s="136">
        <v>0.45645972647722333</v>
      </c>
      <c r="AH31" s="136">
        <v>0.26948684049584254</v>
      </c>
      <c r="AI31" s="136"/>
      <c r="AJ31" s="136">
        <v>1030</v>
      </c>
      <c r="AK31" s="136">
        <v>7.7649805128189797</v>
      </c>
      <c r="AL31" s="136">
        <v>-30</v>
      </c>
      <c r="AM31" s="136">
        <v>30</v>
      </c>
      <c r="AO31" s="136">
        <v>1110</v>
      </c>
      <c r="AP31" s="136">
        <v>69.381082073380611</v>
      </c>
      <c r="AQ31" s="136">
        <v>-30</v>
      </c>
      <c r="AR31" s="136">
        <v>30</v>
      </c>
      <c r="AT31" t="s">
        <v>668</v>
      </c>
    </row>
    <row r="32" spans="26:46">
      <c r="Z32" s="136">
        <v>1110</v>
      </c>
      <c r="AA32" s="136">
        <v>201.54418290800001</v>
      </c>
      <c r="AB32" s="185">
        <v>10.701972491824032</v>
      </c>
      <c r="AC32" s="185">
        <v>11.088129263410432</v>
      </c>
      <c r="AD32" s="136"/>
      <c r="AE32" s="136">
        <v>1200</v>
      </c>
      <c r="AF32" s="136">
        <v>268.010200478</v>
      </c>
      <c r="AG32" s="136">
        <v>0.39154665495636437</v>
      </c>
      <c r="AH32" s="136">
        <v>0.21473433522653337</v>
      </c>
      <c r="AI32" s="136"/>
      <c r="AJ32" s="136">
        <v>1110</v>
      </c>
      <c r="AK32" s="136">
        <v>-3.4826142662376327</v>
      </c>
      <c r="AL32" s="136">
        <v>-30</v>
      </c>
      <c r="AM32" s="136">
        <v>30</v>
      </c>
      <c r="AO32" s="136">
        <v>1200</v>
      </c>
      <c r="AP32" s="136">
        <v>82.340031715609598</v>
      </c>
      <c r="AQ32" s="136">
        <v>-30</v>
      </c>
      <c r="AR32" s="136">
        <v>30</v>
      </c>
    </row>
    <row r="33" spans="26:54">
      <c r="Z33" s="136">
        <v>1150</v>
      </c>
      <c r="AA33" s="136">
        <v>312.15736743899998</v>
      </c>
      <c r="AB33" s="185">
        <v>14.109415264687398</v>
      </c>
      <c r="AC33" s="185">
        <v>16.744071126620813</v>
      </c>
      <c r="AD33" s="136"/>
      <c r="AE33" s="136">
        <v>1270</v>
      </c>
      <c r="AF33" s="136">
        <v>439.71632024610005</v>
      </c>
      <c r="AG33" s="136">
        <v>0.29086044746735418</v>
      </c>
      <c r="AH33" s="136">
        <v>0.24921100054570874</v>
      </c>
      <c r="AI33" s="136"/>
      <c r="AJ33" s="136">
        <v>1150</v>
      </c>
      <c r="AK33" s="136">
        <v>-15.73485827914736</v>
      </c>
      <c r="AL33" s="136">
        <v>-30</v>
      </c>
      <c r="AM33" s="136">
        <v>30</v>
      </c>
      <c r="AO33" s="136">
        <v>1270</v>
      </c>
      <c r="AP33" s="136">
        <v>16.71252345620529</v>
      </c>
      <c r="AQ33" s="136">
        <v>-30</v>
      </c>
      <c r="AR33" s="136">
        <v>30</v>
      </c>
    </row>
    <row r="34" spans="26:54">
      <c r="Z34" s="136">
        <v>1200</v>
      </c>
      <c r="AA34" s="136">
        <v>268.010200478</v>
      </c>
      <c r="AB34" s="185">
        <v>9.8249695814316738</v>
      </c>
      <c r="AC34" s="185">
        <v>8.9559328085712497</v>
      </c>
      <c r="AD34" s="136"/>
      <c r="AE34" s="136">
        <v>1290</v>
      </c>
      <c r="AF34" s="136">
        <v>1255.3026211260999</v>
      </c>
      <c r="AG34" s="136">
        <v>0.33798894344109814</v>
      </c>
      <c r="AH34" s="136">
        <v>0.25105902741227643</v>
      </c>
      <c r="AI34" s="136"/>
      <c r="AJ34" s="136">
        <v>1200</v>
      </c>
      <c r="AK34" s="136">
        <v>9.7034758013002858</v>
      </c>
      <c r="AL34" s="136">
        <v>-30</v>
      </c>
      <c r="AM34" s="136">
        <v>30</v>
      </c>
      <c r="AO34" s="136">
        <v>1290</v>
      </c>
      <c r="AP34" s="136">
        <v>34.625289886935548</v>
      </c>
      <c r="AQ34" s="136">
        <v>-30</v>
      </c>
      <c r="AR34" s="136">
        <v>30</v>
      </c>
      <c r="AT34" t="s">
        <v>667</v>
      </c>
      <c r="AU34" t="s">
        <v>891</v>
      </c>
      <c r="AV34" t="s">
        <v>892</v>
      </c>
      <c r="AW34" t="s">
        <v>893</v>
      </c>
      <c r="AX34" t="s">
        <v>894</v>
      </c>
      <c r="AY34" t="s">
        <v>895</v>
      </c>
      <c r="AZ34" t="s">
        <v>896</v>
      </c>
      <c r="BA34" t="s">
        <v>897</v>
      </c>
      <c r="BB34" t="s">
        <v>898</v>
      </c>
    </row>
    <row r="35" spans="26:54">
      <c r="Z35" s="136">
        <v>1270</v>
      </c>
      <c r="AA35" s="136">
        <v>439.71632024610005</v>
      </c>
      <c r="AB35" s="185">
        <v>15.857047705475257</v>
      </c>
      <c r="AC35" s="185">
        <v>13.437426691217841</v>
      </c>
      <c r="AD35" s="136"/>
      <c r="AE35" s="136">
        <v>1330</v>
      </c>
      <c r="AF35" s="136">
        <v>380.225065696</v>
      </c>
      <c r="AG35" s="136">
        <v>0.88430482444283021</v>
      </c>
      <c r="AH35" s="136">
        <v>0.42700711065719116</v>
      </c>
      <c r="AI35" s="136"/>
      <c r="AJ35" s="136">
        <v>1270</v>
      </c>
      <c r="AK35" s="136">
        <v>18.00658020213632</v>
      </c>
      <c r="AL35" s="136">
        <v>-30</v>
      </c>
      <c r="AM35" s="136">
        <v>30</v>
      </c>
      <c r="AO35" s="136">
        <v>1330</v>
      </c>
      <c r="AP35" s="136">
        <v>107.09369993437085</v>
      </c>
      <c r="AQ35" s="136">
        <v>-30</v>
      </c>
      <c r="AR35" s="136">
        <v>30</v>
      </c>
    </row>
    <row r="36" spans="26:54">
      <c r="Z36" s="136">
        <v>1290</v>
      </c>
      <c r="AA36" s="136">
        <v>1255.3026211260999</v>
      </c>
      <c r="AB36" s="185">
        <v>13.330335658158132</v>
      </c>
      <c r="AC36" s="185">
        <v>13.380785671226302</v>
      </c>
      <c r="AD36" s="136"/>
      <c r="AE36" s="136">
        <v>1430</v>
      </c>
      <c r="AF36" s="136">
        <v>196.227323807</v>
      </c>
      <c r="AG36" s="136">
        <v>9.187883703055813E-2</v>
      </c>
      <c r="AH36" s="136">
        <v>4.6523306520805149E-2</v>
      </c>
      <c r="AI36" s="136"/>
      <c r="AJ36" s="136">
        <v>1290</v>
      </c>
      <c r="AK36" s="136">
        <v>-0.37703326477051746</v>
      </c>
      <c r="AL36" s="136">
        <v>-30</v>
      </c>
      <c r="AM36" s="136">
        <v>30</v>
      </c>
      <c r="AO36" s="136">
        <v>1430</v>
      </c>
      <c r="AP36" s="136">
        <v>97.489911834770538</v>
      </c>
      <c r="AQ36" s="136">
        <v>-30</v>
      </c>
      <c r="AR36" s="136">
        <v>30</v>
      </c>
    </row>
    <row r="37" spans="26:54">
      <c r="Z37" s="136">
        <v>1330</v>
      </c>
      <c r="AA37" s="136">
        <v>380.225065696</v>
      </c>
      <c r="AB37" s="185">
        <v>16.697824205205865</v>
      </c>
      <c r="AC37" s="185">
        <v>23.992584660341969</v>
      </c>
      <c r="AD37" s="136"/>
      <c r="AE37" s="136">
        <v>1460</v>
      </c>
      <c r="AF37" s="136">
        <v>371.631754161</v>
      </c>
      <c r="AG37" s="136">
        <v>0.26128780764788395</v>
      </c>
      <c r="AH37" s="136">
        <v>0.24276357200908397</v>
      </c>
      <c r="AI37" s="136"/>
      <c r="AJ37" s="136">
        <v>1330</v>
      </c>
      <c r="AK37" s="136">
        <v>-30.40422930003794</v>
      </c>
      <c r="AL37" s="136">
        <v>-30</v>
      </c>
      <c r="AM37" s="136">
        <v>30</v>
      </c>
      <c r="AO37" s="136">
        <v>1460</v>
      </c>
      <c r="AP37" s="136">
        <v>7.6305664336273793</v>
      </c>
      <c r="AQ37" s="136">
        <v>-30</v>
      </c>
      <c r="AR37" s="136">
        <v>30</v>
      </c>
    </row>
    <row r="38" spans="26:54">
      <c r="Z38" s="136">
        <v>1370</v>
      </c>
      <c r="AA38" s="136">
        <v>223.19648202400001</v>
      </c>
      <c r="AB38" s="185">
        <v>8.8169966617439322</v>
      </c>
      <c r="AC38" s="185">
        <v>6.6507865021881143</v>
      </c>
      <c r="AD38" s="136"/>
      <c r="AE38" s="136">
        <v>1550</v>
      </c>
      <c r="AF38" s="136">
        <v>23.949311064300002</v>
      </c>
      <c r="AG38" s="136">
        <v>0.12363451406882423</v>
      </c>
      <c r="AH38" s="136">
        <v>0.23245141072454098</v>
      </c>
      <c r="AI38" s="136"/>
      <c r="AJ38" s="136">
        <v>1370</v>
      </c>
      <c r="AK38" s="136">
        <v>32.570736691715098</v>
      </c>
      <c r="AL38" s="136">
        <v>-30</v>
      </c>
      <c r="AM38" s="136">
        <v>30</v>
      </c>
      <c r="AO38" s="136">
        <v>1550</v>
      </c>
      <c r="AP38" s="136">
        <v>-46.812749518937821</v>
      </c>
      <c r="AQ38" s="136">
        <v>-30</v>
      </c>
      <c r="AR38" s="136">
        <v>30</v>
      </c>
    </row>
    <row r="39" spans="26:54">
      <c r="Z39" s="136">
        <v>1430</v>
      </c>
      <c r="AA39" s="136">
        <v>196.227323807</v>
      </c>
      <c r="AB39" s="185">
        <v>4.4834038683477253</v>
      </c>
      <c r="AC39" s="185">
        <v>1.9064952448565169</v>
      </c>
      <c r="AD39" s="136"/>
      <c r="AE39" s="136">
        <v>1560</v>
      </c>
      <c r="AF39" s="136">
        <v>914.96272798230007</v>
      </c>
      <c r="AG39" s="136">
        <v>0.20609348417765147</v>
      </c>
      <c r="AH39" s="136">
        <v>0.22831819685897187</v>
      </c>
      <c r="AI39" s="136"/>
      <c r="AJ39" s="136">
        <v>1430</v>
      </c>
      <c r="AK39" s="136">
        <v>135.16470237433751</v>
      </c>
      <c r="AL39" s="136">
        <v>-30</v>
      </c>
      <c r="AM39" s="136">
        <v>30</v>
      </c>
      <c r="AO39" s="136">
        <v>1560</v>
      </c>
      <c r="AP39" s="136">
        <v>-9.7340960935532479</v>
      </c>
      <c r="AQ39" s="136">
        <v>-30</v>
      </c>
      <c r="AR39" s="136">
        <v>30</v>
      </c>
    </row>
    <row r="40" spans="26:54">
      <c r="Z40" s="136">
        <v>1460</v>
      </c>
      <c r="AA40" s="136">
        <v>371.631754161</v>
      </c>
      <c r="AB40" s="185">
        <v>6.5128710886413614</v>
      </c>
      <c r="AC40" s="185">
        <v>6.7942107164940317</v>
      </c>
      <c r="AD40" s="136"/>
      <c r="AE40" s="136">
        <v>1650</v>
      </c>
      <c r="AF40" s="136">
        <v>164.515925431</v>
      </c>
      <c r="AG40" s="136">
        <v>0.17818733085007293</v>
      </c>
      <c r="AH40" s="136">
        <v>0.17920063343205883</v>
      </c>
      <c r="AI40" s="136"/>
      <c r="AJ40" s="136">
        <v>1460</v>
      </c>
      <c r="AK40" s="136">
        <v>-4.1408728635641694</v>
      </c>
      <c r="AL40" s="136">
        <v>-30</v>
      </c>
      <c r="AM40" s="136">
        <v>30</v>
      </c>
      <c r="AO40" s="136">
        <v>1650</v>
      </c>
      <c r="AP40" s="136">
        <v>-0.56545703136148973</v>
      </c>
      <c r="AQ40" s="136">
        <v>-30</v>
      </c>
      <c r="AR40" s="136">
        <v>30</v>
      </c>
    </row>
    <row r="41" spans="26:54">
      <c r="Z41" s="136">
        <v>1550</v>
      </c>
      <c r="AA41" s="136">
        <v>23.949311064300002</v>
      </c>
      <c r="AB41" s="185">
        <v>10.783649480787288</v>
      </c>
      <c r="AC41" s="185">
        <v>9.3489785788635213</v>
      </c>
      <c r="AD41" s="136"/>
      <c r="AE41" s="136">
        <v>1680</v>
      </c>
      <c r="AF41" s="136">
        <v>156.16560791000001</v>
      </c>
      <c r="AG41" s="136">
        <v>0.47297639665283198</v>
      </c>
      <c r="AH41" s="136">
        <v>0.64034585680114109</v>
      </c>
      <c r="AI41" s="136"/>
      <c r="AJ41" s="136">
        <v>1550</v>
      </c>
      <c r="AK41" s="136">
        <v>15.345750231659736</v>
      </c>
      <c r="AL41" s="136">
        <v>-30</v>
      </c>
      <c r="AM41" s="136">
        <v>30</v>
      </c>
      <c r="AO41" s="136">
        <v>1680</v>
      </c>
      <c r="AP41" s="136">
        <v>-26.137353489629206</v>
      </c>
      <c r="AQ41" s="136">
        <v>-30</v>
      </c>
      <c r="AR41" s="136">
        <v>30</v>
      </c>
    </row>
    <row r="42" spans="26:54">
      <c r="Z42" s="136">
        <v>1560</v>
      </c>
      <c r="AA42" s="136">
        <v>914.96272798230007</v>
      </c>
      <c r="AB42" s="185">
        <v>11.933619189287832</v>
      </c>
      <c r="AC42" s="185">
        <v>13.909215346750276</v>
      </c>
      <c r="AD42" s="136"/>
      <c r="AE42" s="136">
        <v>1690</v>
      </c>
      <c r="AF42" s="136">
        <v>620.42228187499995</v>
      </c>
      <c r="AG42" s="136">
        <v>0.11375766518132994</v>
      </c>
      <c r="AH42" s="136">
        <v>7.3165550439637003E-2</v>
      </c>
      <c r="AI42" s="136"/>
      <c r="AJ42" s="136">
        <v>1560</v>
      </c>
      <c r="AK42" s="136">
        <v>-14.203505432993538</v>
      </c>
      <c r="AL42" s="136">
        <v>-30</v>
      </c>
      <c r="AM42" s="136">
        <v>30</v>
      </c>
      <c r="AO42" s="136">
        <v>1690</v>
      </c>
      <c r="AP42" s="136">
        <v>55.479818709465206</v>
      </c>
      <c r="AQ42" s="136">
        <v>-30</v>
      </c>
      <c r="AR42" s="136">
        <v>30</v>
      </c>
    </row>
    <row r="43" spans="26:54">
      <c r="Z43" s="136">
        <v>1570</v>
      </c>
      <c r="AA43" s="136">
        <v>65.083340208799996</v>
      </c>
      <c r="AB43" s="185">
        <v>10.090973236549695</v>
      </c>
      <c r="AC43" s="185">
        <v>13.970030460170042</v>
      </c>
      <c r="AD43" s="185"/>
      <c r="AE43" s="136">
        <v>1730</v>
      </c>
      <c r="AF43" s="136">
        <v>183.37327677499999</v>
      </c>
      <c r="AG43" s="136">
        <v>7.923460825963162E-2</v>
      </c>
      <c r="AH43" s="136">
        <v>0.10015524118949806</v>
      </c>
      <c r="AI43" s="136"/>
      <c r="AJ43" s="136">
        <v>1570</v>
      </c>
      <c r="AK43" s="136">
        <v>-27.766991880797448</v>
      </c>
      <c r="AL43" s="136">
        <v>-30</v>
      </c>
      <c r="AM43" s="136">
        <v>30</v>
      </c>
      <c r="AO43" s="136">
        <v>1730</v>
      </c>
      <c r="AP43" s="136">
        <v>-20.888205830670117</v>
      </c>
      <c r="AQ43" s="136">
        <v>-30</v>
      </c>
      <c r="AR43" s="136">
        <v>30</v>
      </c>
    </row>
    <row r="44" spans="26:54">
      <c r="Z44" s="136">
        <v>1590</v>
      </c>
      <c r="AA44" s="136">
        <v>282.07629954999999</v>
      </c>
      <c r="AB44" s="185">
        <v>6.6515164457996416</v>
      </c>
      <c r="AC44" s="185">
        <v>7.7348374507559727</v>
      </c>
      <c r="AD44" s="136"/>
      <c r="AE44" s="136">
        <v>1780</v>
      </c>
      <c r="AF44" s="136">
        <v>289.34667062199998</v>
      </c>
      <c r="AG44" s="136">
        <v>0.11625744659693578</v>
      </c>
      <c r="AH44" s="136">
        <v>0.21132763116136094</v>
      </c>
      <c r="AI44" s="136"/>
      <c r="AJ44" s="136">
        <v>1590</v>
      </c>
      <c r="AK44" s="136">
        <v>-14.005737183920417</v>
      </c>
      <c r="AL44" s="136">
        <v>-30</v>
      </c>
      <c r="AM44" s="136">
        <v>30</v>
      </c>
      <c r="AO44" s="136">
        <v>1780</v>
      </c>
      <c r="AP44" s="136">
        <v>-44.98710558669611</v>
      </c>
      <c r="AQ44" s="136">
        <v>-30</v>
      </c>
      <c r="AR44" s="136">
        <v>30</v>
      </c>
    </row>
    <row r="45" spans="26:54">
      <c r="Z45" s="136">
        <v>1650</v>
      </c>
      <c r="AA45" s="136">
        <v>164.515925431</v>
      </c>
      <c r="AB45" s="185">
        <v>5.3571951278633545</v>
      </c>
      <c r="AC45" s="185">
        <v>7.4244476504497019</v>
      </c>
      <c r="AD45" s="136"/>
      <c r="AE45" s="136">
        <v>1850</v>
      </c>
      <c r="AF45" s="136">
        <v>732.55458329099997</v>
      </c>
      <c r="AG45" s="136">
        <v>0.11196490526039601</v>
      </c>
      <c r="AH45" s="136">
        <v>0.1708157020667854</v>
      </c>
      <c r="AI45" s="136"/>
      <c r="AJ45" s="136">
        <v>1650</v>
      </c>
      <c r="AK45" s="136">
        <v>-27.84385613468676</v>
      </c>
      <c r="AL45" s="136">
        <v>-30</v>
      </c>
      <c r="AM45" s="136">
        <v>30</v>
      </c>
      <c r="AO45" s="136">
        <v>1850</v>
      </c>
      <c r="AP45" s="136">
        <v>-34.452802695726376</v>
      </c>
      <c r="AQ45" s="136">
        <v>-30</v>
      </c>
      <c r="AR45" s="136">
        <v>30</v>
      </c>
    </row>
    <row r="46" spans="26:54">
      <c r="Z46" s="136">
        <v>1680</v>
      </c>
      <c r="AA46" s="136">
        <v>156.16560791000001</v>
      </c>
      <c r="AB46" s="185">
        <v>12.430293043969092</v>
      </c>
      <c r="AC46" s="185">
        <v>21.291776271169237</v>
      </c>
      <c r="AD46" s="136"/>
      <c r="AE46" s="136">
        <v>1910</v>
      </c>
      <c r="AF46" s="136">
        <v>627.16358554399994</v>
      </c>
      <c r="AG46" s="136">
        <v>0.27815471388158719</v>
      </c>
      <c r="AH46" s="136">
        <v>0.22826876619218556</v>
      </c>
      <c r="AI46" s="136"/>
      <c r="AJ46" s="136">
        <v>1680</v>
      </c>
      <c r="AK46" s="136">
        <v>-41.619276448998299</v>
      </c>
      <c r="AL46" s="136">
        <v>-30</v>
      </c>
      <c r="AM46" s="136">
        <v>30</v>
      </c>
      <c r="AO46" s="136">
        <v>1910</v>
      </c>
      <c r="AP46" s="136">
        <v>21.854040095613129</v>
      </c>
      <c r="AQ46" s="136">
        <v>-30</v>
      </c>
      <c r="AR46" s="136">
        <v>30</v>
      </c>
    </row>
    <row r="47" spans="26:54">
      <c r="Z47" s="136">
        <v>1690</v>
      </c>
      <c r="AA47" s="136">
        <v>620.42228187499995</v>
      </c>
      <c r="AB47" s="185">
        <v>8.9973034651038031</v>
      </c>
      <c r="AC47" s="185">
        <v>9.9089815598514992</v>
      </c>
      <c r="AD47" s="136"/>
      <c r="AE47" s="136">
        <v>1920</v>
      </c>
      <c r="AF47" s="136">
        <v>1408.71777402</v>
      </c>
      <c r="AG47" s="136">
        <v>0.15058797870918517</v>
      </c>
      <c r="AH47" s="136">
        <v>0.18446871737046619</v>
      </c>
      <c r="AI47" s="136"/>
      <c r="AJ47" s="136">
        <v>1690</v>
      </c>
      <c r="AK47" s="136">
        <v>-9.2005226696714004</v>
      </c>
      <c r="AL47" s="136">
        <v>-30</v>
      </c>
      <c r="AM47" s="136">
        <v>30</v>
      </c>
      <c r="AO47" s="136">
        <v>1920</v>
      </c>
      <c r="AP47" s="136">
        <v>-18.366658121896506</v>
      </c>
      <c r="AQ47" s="136">
        <v>-30</v>
      </c>
      <c r="AR47" s="136">
        <v>30</v>
      </c>
    </row>
    <row r="48" spans="26:54">
      <c r="Z48" s="136">
        <v>1730</v>
      </c>
      <c r="AA48" s="136">
        <v>183.37327677499999</v>
      </c>
      <c r="AB48" s="185">
        <v>8.592612169687186</v>
      </c>
      <c r="AC48" s="185">
        <v>12.887991997416989</v>
      </c>
      <c r="AD48" s="136"/>
      <c r="AE48" s="136">
        <v>2060</v>
      </c>
      <c r="AF48" s="136">
        <v>390.69686456099998</v>
      </c>
      <c r="AG48" s="136">
        <v>9.2659136437552289E-2</v>
      </c>
      <c r="AH48" s="136">
        <v>7.3440576456567708E-2</v>
      </c>
      <c r="AI48" s="136"/>
      <c r="AJ48" s="136">
        <v>1730</v>
      </c>
      <c r="AK48" s="136">
        <v>-33.328542014851365</v>
      </c>
      <c r="AL48" s="136">
        <v>-30</v>
      </c>
      <c r="AM48" s="136">
        <v>30</v>
      </c>
      <c r="AO48" s="136">
        <v>2060</v>
      </c>
      <c r="AP48" s="136">
        <v>26.168857746303686</v>
      </c>
      <c r="AQ48" s="136">
        <v>-30</v>
      </c>
      <c r="AR48" s="136">
        <v>30</v>
      </c>
    </row>
    <row r="49" spans="26:44">
      <c r="Z49" s="136">
        <v>1780</v>
      </c>
      <c r="AA49" s="136">
        <v>289.34667062199998</v>
      </c>
      <c r="AB49" s="185">
        <v>9.1415067810412634</v>
      </c>
      <c r="AC49" s="185">
        <v>9.046983665789039</v>
      </c>
      <c r="AD49" s="136"/>
      <c r="AE49" s="136">
        <v>2100</v>
      </c>
      <c r="AF49" s="136">
        <v>1186.298051388</v>
      </c>
      <c r="AG49" s="136">
        <v>0.35212563998088497</v>
      </c>
      <c r="AH49" s="136">
        <v>0.20112458748436091</v>
      </c>
      <c r="AI49" s="136"/>
      <c r="AJ49" s="136">
        <v>1780</v>
      </c>
      <c r="AK49" s="136">
        <v>1.0448025413117819</v>
      </c>
      <c r="AL49" s="136">
        <v>-30</v>
      </c>
      <c r="AM49" s="136">
        <v>30</v>
      </c>
      <c r="AO49" s="136">
        <v>2100</v>
      </c>
      <c r="AP49" s="136">
        <v>75.07836529845747</v>
      </c>
      <c r="AQ49" s="136">
        <v>-30</v>
      </c>
      <c r="AR49" s="136">
        <v>30</v>
      </c>
    </row>
    <row r="50" spans="26:44">
      <c r="Z50" s="136">
        <v>1850</v>
      </c>
      <c r="AA50" s="136">
        <v>732.55458329099997</v>
      </c>
      <c r="AB50" s="185">
        <v>8.3931128496740772</v>
      </c>
      <c r="AC50" s="185">
        <v>8.7149831147749275</v>
      </c>
      <c r="AD50" s="136"/>
      <c r="AE50" s="136">
        <v>2120</v>
      </c>
      <c r="AF50" s="136">
        <v>571.73670142900005</v>
      </c>
      <c r="AG50" s="136">
        <v>0.23196721522860483</v>
      </c>
      <c r="AH50" s="136">
        <v>0.17377290660167272</v>
      </c>
      <c r="AI50" s="136"/>
      <c r="AJ50" s="136">
        <v>1850</v>
      </c>
      <c r="AK50" s="136">
        <v>-3.6932976330748062</v>
      </c>
      <c r="AL50" s="136">
        <v>-30</v>
      </c>
      <c r="AM50" s="136">
        <v>30</v>
      </c>
      <c r="AO50" s="136">
        <v>2120</v>
      </c>
      <c r="AP50" s="136">
        <v>33.488712230800616</v>
      </c>
      <c r="AQ50" s="136">
        <v>-30</v>
      </c>
      <c r="AR50" s="136">
        <v>30</v>
      </c>
    </row>
    <row r="51" spans="26:44">
      <c r="Z51" s="136">
        <v>1910</v>
      </c>
      <c r="AA51" s="136">
        <v>627.16358554399994</v>
      </c>
      <c r="AB51" s="185">
        <v>6.0554389928453602</v>
      </c>
      <c r="AC51" s="185">
        <v>11.425100065897764</v>
      </c>
      <c r="AD51" s="136"/>
      <c r="AE51" s="136">
        <v>2240</v>
      </c>
      <c r="AF51" s="136">
        <v>508.18385092800003</v>
      </c>
      <c r="AG51" s="136">
        <v>0.30864800247022189</v>
      </c>
      <c r="AH51" s="136">
        <v>0.10415580852666494</v>
      </c>
      <c r="AI51" s="136"/>
      <c r="AJ51" s="136">
        <v>1910</v>
      </c>
      <c r="AK51" s="136">
        <v>-46.998810006750389</v>
      </c>
      <c r="AL51" s="136">
        <v>-30</v>
      </c>
      <c r="AM51" s="136">
        <v>30</v>
      </c>
      <c r="AO51" s="136">
        <v>2240</v>
      </c>
      <c r="AP51" s="136">
        <v>196.33297157038044</v>
      </c>
      <c r="AQ51" s="136">
        <v>-30</v>
      </c>
      <c r="AR51" s="136">
        <v>30</v>
      </c>
    </row>
    <row r="52" spans="26:44">
      <c r="Z52" s="136">
        <v>1920</v>
      </c>
      <c r="AA52" s="136">
        <v>1408.71777402</v>
      </c>
      <c r="AB52" s="185">
        <v>4.2993004892491067</v>
      </c>
      <c r="AC52" s="185">
        <v>9.4095558492126976</v>
      </c>
      <c r="AD52" s="136"/>
      <c r="AE52" s="136">
        <v>2300</v>
      </c>
      <c r="AF52" s="136">
        <v>251.98396236299999</v>
      </c>
      <c r="AG52" s="136">
        <v>6.0102918746684518E-2</v>
      </c>
      <c r="AH52" s="136">
        <v>4.985804283647835E-2</v>
      </c>
      <c r="AI52" s="136"/>
      <c r="AJ52" s="136">
        <v>1920</v>
      </c>
      <c r="AK52" s="136">
        <v>-54.309209083350829</v>
      </c>
      <c r="AL52" s="136">
        <v>-30</v>
      </c>
      <c r="AM52" s="136">
        <v>30</v>
      </c>
      <c r="AO52" s="136">
        <v>2300</v>
      </c>
      <c r="AP52" s="136">
        <v>20.548090794110692</v>
      </c>
      <c r="AQ52" s="136">
        <v>-30</v>
      </c>
      <c r="AR52" s="136">
        <v>30</v>
      </c>
    </row>
    <row r="53" spans="26:44">
      <c r="Z53" s="136">
        <v>2060</v>
      </c>
      <c r="AA53" s="136">
        <v>390.69686456099998</v>
      </c>
      <c r="AB53" s="185">
        <v>3.192844961657034</v>
      </c>
      <c r="AC53" s="185">
        <v>4.5192280226666721</v>
      </c>
      <c r="AD53" s="136"/>
      <c r="AE53" s="136">
        <v>2340</v>
      </c>
      <c r="AF53" s="136">
        <v>410.96336232910005</v>
      </c>
      <c r="AG53" s="136">
        <v>0.14569995685368856</v>
      </c>
      <c r="AH53" s="136">
        <v>0.14418767386924983</v>
      </c>
      <c r="AI53" s="136"/>
      <c r="AJ53" s="136">
        <v>2060</v>
      </c>
      <c r="AK53" s="136">
        <v>-29.349770676695712</v>
      </c>
      <c r="AL53" s="136">
        <v>-30</v>
      </c>
      <c r="AM53" s="136">
        <v>30</v>
      </c>
      <c r="AO53" s="136">
        <v>2340</v>
      </c>
      <c r="AP53" s="136">
        <v>1.0488295870630679</v>
      </c>
      <c r="AQ53" s="136">
        <v>-30</v>
      </c>
      <c r="AR53" s="136">
        <v>30</v>
      </c>
    </row>
    <row r="54" spans="26:44">
      <c r="Z54" s="136">
        <v>2100</v>
      </c>
      <c r="AA54" s="136">
        <v>1186.298051388</v>
      </c>
      <c r="AB54" s="185">
        <v>5.9744150616219036</v>
      </c>
      <c r="AC54" s="185">
        <v>7.9649011113588379</v>
      </c>
      <c r="AD54" s="136"/>
      <c r="AE54" s="136">
        <v>2390</v>
      </c>
      <c r="AF54" s="136">
        <v>74.731376472600004</v>
      </c>
      <c r="AG54" s="136">
        <v>0.12163577631928772</v>
      </c>
      <c r="AH54" s="136">
        <v>0.14016729820359436</v>
      </c>
      <c r="AI54" s="136"/>
      <c r="AJ54" s="136">
        <v>2100</v>
      </c>
      <c r="AK54" s="136">
        <v>-24.990718929306951</v>
      </c>
      <c r="AL54" s="136">
        <v>-30</v>
      </c>
      <c r="AM54" s="136">
        <v>30</v>
      </c>
      <c r="AO54" s="136">
        <v>2390</v>
      </c>
      <c r="AP54" s="136">
        <v>-13.221002417689064</v>
      </c>
      <c r="AQ54" s="136">
        <v>-30</v>
      </c>
      <c r="AR54" s="136">
        <v>30</v>
      </c>
    </row>
    <row r="55" spans="26:44">
      <c r="Z55" s="136">
        <v>2120</v>
      </c>
      <c r="AA55" s="136">
        <v>571.73670142900005</v>
      </c>
      <c r="AB55" s="185">
        <v>7.4129508633817869</v>
      </c>
      <c r="AC55" s="185">
        <v>13.626648207417528</v>
      </c>
      <c r="AD55" s="136"/>
      <c r="AE55" s="136">
        <v>2403</v>
      </c>
      <c r="AF55" s="136">
        <v>62.225207707300001</v>
      </c>
      <c r="AG55" s="136">
        <v>8.1040036446518623E-2</v>
      </c>
      <c r="AH55" s="136">
        <v>6.6336250381341971E-2</v>
      </c>
      <c r="AI55" s="136"/>
      <c r="AJ55" s="136">
        <v>2120</v>
      </c>
      <c r="AK55" s="136">
        <v>-45.599601967073447</v>
      </c>
      <c r="AL55" s="136">
        <v>-30</v>
      </c>
      <c r="AM55" s="136">
        <v>30</v>
      </c>
      <c r="AO55" s="136">
        <v>2403</v>
      </c>
      <c r="AP55" s="136">
        <v>22.165536913301793</v>
      </c>
      <c r="AQ55" s="136">
        <v>-30</v>
      </c>
      <c r="AR55" s="136">
        <v>30</v>
      </c>
    </row>
    <row r="56" spans="26:44">
      <c r="Z56" s="136">
        <v>2240</v>
      </c>
      <c r="AA56" s="136">
        <v>508.18385092800003</v>
      </c>
      <c r="AB56" s="185">
        <v>2.0859320780714681</v>
      </c>
      <c r="AC56" s="185">
        <v>3.0648743655080675</v>
      </c>
      <c r="AD56" s="136"/>
      <c r="AE56" s="136">
        <v>2405</v>
      </c>
      <c r="AF56" s="136">
        <v>403.55202466490005</v>
      </c>
      <c r="AG56" s="136">
        <v>0.24666897248834546</v>
      </c>
      <c r="AH56" s="136">
        <v>0.11382659021864429</v>
      </c>
      <c r="AI56" s="136"/>
      <c r="AJ56" s="136">
        <v>2240</v>
      </c>
      <c r="AK56" s="136">
        <v>-31.940698726628526</v>
      </c>
      <c r="AL56" s="136">
        <v>-30</v>
      </c>
      <c r="AM56" s="136">
        <v>30</v>
      </c>
      <c r="AO56" s="136">
        <v>2405</v>
      </c>
      <c r="AP56" s="136">
        <v>116.70593137730853</v>
      </c>
      <c r="AQ56" s="136">
        <v>-30</v>
      </c>
      <c r="AR56" s="136">
        <v>30</v>
      </c>
    </row>
    <row r="57" spans="26:44">
      <c r="Z57" s="136">
        <v>2300</v>
      </c>
      <c r="AA57" s="136">
        <v>251.98396236299999</v>
      </c>
      <c r="AB57" s="185">
        <v>8.0944887112746109</v>
      </c>
      <c r="AC57" s="185">
        <v>7.3188748858934192</v>
      </c>
      <c r="AD57" s="136"/>
      <c r="AE57" s="136">
        <v>2505</v>
      </c>
      <c r="AF57" s="136">
        <v>409.90297989099997</v>
      </c>
      <c r="AG57" s="136">
        <v>0.11377503724135328</v>
      </c>
      <c r="AH57" s="136">
        <v>0.12295690728550605</v>
      </c>
      <c r="AI57" s="136"/>
      <c r="AJ57" s="136">
        <v>2300</v>
      </c>
      <c r="AK57" s="136">
        <v>10.597446157689177</v>
      </c>
      <c r="AL57" s="136">
        <v>-30</v>
      </c>
      <c r="AM57" s="136">
        <v>30</v>
      </c>
      <c r="AO57" s="136">
        <v>2505</v>
      </c>
      <c r="AP57" s="136">
        <v>-7.4675512314509263</v>
      </c>
      <c r="AQ57" s="136">
        <v>-30</v>
      </c>
      <c r="AR57" s="136">
        <v>30</v>
      </c>
    </row>
    <row r="58" spans="26:44">
      <c r="Z58" s="136">
        <v>2340</v>
      </c>
      <c r="AA58" s="136">
        <v>410.96336232910005</v>
      </c>
      <c r="AB58" s="185">
        <v>4.9640889082600097</v>
      </c>
      <c r="AC58" s="185">
        <v>3.3972065838679733</v>
      </c>
      <c r="AD58" s="136"/>
      <c r="AE58" s="136">
        <v>2550</v>
      </c>
      <c r="AF58" s="136">
        <v>90.127854754500007</v>
      </c>
      <c r="AG58" s="136">
        <v>6.4209032300497779E-2</v>
      </c>
      <c r="AH58" s="136">
        <v>0.12307762165749335</v>
      </c>
      <c r="AI58" s="136"/>
      <c r="AJ58" s="136">
        <v>2340</v>
      </c>
      <c r="AK58" s="136">
        <v>46.122668307325171</v>
      </c>
      <c r="AL58" s="136">
        <v>-30</v>
      </c>
      <c r="AM58" s="136">
        <v>30</v>
      </c>
      <c r="AO58" s="136">
        <v>2550</v>
      </c>
      <c r="AP58" s="136">
        <v>-47.830457368454901</v>
      </c>
      <c r="AQ58" s="136">
        <v>-30</v>
      </c>
      <c r="AR58" s="136">
        <v>30</v>
      </c>
    </row>
    <row r="59" spans="26:44">
      <c r="Z59" s="136">
        <v>2390</v>
      </c>
      <c r="AA59" s="136">
        <v>74.731376472600004</v>
      </c>
      <c r="AB59" s="185">
        <v>1.6409788731939807</v>
      </c>
      <c r="AC59" s="185">
        <v>2.1433185844064697</v>
      </c>
      <c r="AD59" s="136"/>
      <c r="AE59" s="136">
        <v>2580</v>
      </c>
      <c r="AF59" s="136">
        <v>94.9569537741</v>
      </c>
      <c r="AG59" s="136">
        <v>7.5827664205088713E-2</v>
      </c>
      <c r="AH59" s="136">
        <v>0.2488902564744615</v>
      </c>
      <c r="AI59" s="136"/>
      <c r="AJ59" s="136">
        <v>2390</v>
      </c>
      <c r="AK59" s="136">
        <v>-23.437472845484507</v>
      </c>
      <c r="AL59" s="136">
        <v>-30</v>
      </c>
      <c r="AM59" s="136">
        <v>30</v>
      </c>
      <c r="AO59" s="136">
        <v>2580</v>
      </c>
      <c r="AP59" s="136">
        <v>-69.533695179879686</v>
      </c>
      <c r="AQ59" s="136">
        <v>-30</v>
      </c>
      <c r="AR59" s="136">
        <v>30</v>
      </c>
    </row>
    <row r="60" spans="26:44">
      <c r="Z60" s="136">
        <v>2403</v>
      </c>
      <c r="AA60" s="136">
        <v>62.225207707300001</v>
      </c>
      <c r="AB60" s="185">
        <v>0.87219590276263514</v>
      </c>
      <c r="AC60" s="185">
        <v>1.128441853116793</v>
      </c>
      <c r="AD60" s="136"/>
      <c r="AE60" s="136">
        <v>2595</v>
      </c>
      <c r="AF60" s="136">
        <v>421.41701095040003</v>
      </c>
      <c r="AG60" s="136">
        <v>8.5704393887123545E-2</v>
      </c>
      <c r="AH60" s="136">
        <v>9.0993178923564733E-2</v>
      </c>
      <c r="AI60" s="136"/>
      <c r="AJ60" s="136">
        <v>2403</v>
      </c>
      <c r="AK60" s="136">
        <v>-22.707944556150437</v>
      </c>
      <c r="AL60" s="136">
        <v>-30</v>
      </c>
      <c r="AM60" s="136">
        <v>30</v>
      </c>
      <c r="AO60" s="136">
        <v>2595</v>
      </c>
      <c r="AP60" s="136">
        <v>-5.8122873593457314</v>
      </c>
      <c r="AQ60" s="136">
        <v>-30</v>
      </c>
      <c r="AR60" s="136">
        <v>30</v>
      </c>
    </row>
    <row r="61" spans="26:44">
      <c r="Z61" s="136">
        <v>2405</v>
      </c>
      <c r="AA61" s="136">
        <v>403.55202466490005</v>
      </c>
      <c r="AB61" s="185">
        <v>2.4390054356200248</v>
      </c>
      <c r="AC61" s="185">
        <v>2.7324550786363981</v>
      </c>
      <c r="AD61" s="136"/>
      <c r="AE61" s="136">
        <v>2600</v>
      </c>
      <c r="AF61" s="136">
        <v>669.78209640720002</v>
      </c>
      <c r="AG61" s="136">
        <v>0.13288088129673212</v>
      </c>
      <c r="AH61" s="136">
        <v>8.8504942327276168E-2</v>
      </c>
      <c r="AI61" s="136"/>
      <c r="AJ61" s="136">
        <v>2405</v>
      </c>
      <c r="AK61" s="136">
        <v>-10.73941325918581</v>
      </c>
      <c r="AL61" s="136">
        <v>-30</v>
      </c>
      <c r="AM61" s="136">
        <v>30</v>
      </c>
      <c r="AO61" s="136">
        <v>2600</v>
      </c>
      <c r="AP61" s="136">
        <v>50.139503854328581</v>
      </c>
      <c r="AQ61" s="136">
        <v>-30</v>
      </c>
      <c r="AR61" s="136">
        <v>30</v>
      </c>
    </row>
    <row r="62" spans="26:44">
      <c r="Z62" s="136">
        <v>2505</v>
      </c>
      <c r="AA62" s="136">
        <v>409.90297989099997</v>
      </c>
      <c r="AB62" s="185">
        <v>5.7748733008694622</v>
      </c>
      <c r="AC62" s="185">
        <v>3.5967853061203572</v>
      </c>
      <c r="AD62" s="136"/>
      <c r="AE62" s="136">
        <v>2640</v>
      </c>
      <c r="AF62" s="136">
        <v>454.64819900199996</v>
      </c>
      <c r="AG62" s="136">
        <v>0.21538424170639661</v>
      </c>
      <c r="AH62" s="136">
        <v>0.14088225711096217</v>
      </c>
      <c r="AI62" s="136"/>
      <c r="AJ62" s="136">
        <v>2505</v>
      </c>
      <c r="AK62" s="136">
        <v>60.556519485409069</v>
      </c>
      <c r="AL62" s="136">
        <v>-30</v>
      </c>
      <c r="AM62" s="136">
        <v>30</v>
      </c>
      <c r="AO62" s="136">
        <v>2640</v>
      </c>
      <c r="AP62" s="136">
        <v>52.882446748957847</v>
      </c>
      <c r="AQ62" s="136">
        <v>-30</v>
      </c>
      <c r="AR62" s="136">
        <v>30</v>
      </c>
    </row>
    <row r="63" spans="26:44">
      <c r="Z63" s="136">
        <v>2550</v>
      </c>
      <c r="AA63" s="136">
        <v>90.127854754500007</v>
      </c>
      <c r="AB63" s="185">
        <v>3.2400983535578614</v>
      </c>
      <c r="AC63" s="185">
        <v>1.1762533296245292</v>
      </c>
      <c r="AD63" s="136"/>
      <c r="AE63" s="136">
        <v>2650</v>
      </c>
      <c r="AF63" s="136">
        <v>891.31627557299998</v>
      </c>
      <c r="AG63" s="136">
        <v>0.29369748270657847</v>
      </c>
      <c r="AH63" s="136">
        <v>0.19937387185406696</v>
      </c>
      <c r="AI63" s="136"/>
      <c r="AJ63" s="136">
        <v>2550</v>
      </c>
      <c r="AK63" s="136">
        <v>175.45922905843167</v>
      </c>
      <c r="AL63" s="136">
        <v>-30</v>
      </c>
      <c r="AM63" s="136">
        <v>30</v>
      </c>
      <c r="AO63" s="136">
        <v>2650</v>
      </c>
      <c r="AP63" s="136">
        <v>47.309915775499576</v>
      </c>
      <c r="AQ63" s="136">
        <v>-30</v>
      </c>
      <c r="AR63" s="136">
        <v>30</v>
      </c>
    </row>
    <row r="64" spans="26:44">
      <c r="Z64" s="136">
        <v>2580</v>
      </c>
      <c r="AA64" s="136">
        <v>94.9569537741</v>
      </c>
      <c r="AB64" s="185">
        <v>0.50896340553302921</v>
      </c>
      <c r="AC64" s="185">
        <v>1.0850154300944728</v>
      </c>
      <c r="AD64" s="136"/>
      <c r="AE64" s="136">
        <v>2660</v>
      </c>
      <c r="AF64" s="136">
        <v>1089.8208578369999</v>
      </c>
      <c r="AG64" s="136">
        <v>0.25050650507244687</v>
      </c>
      <c r="AH64" s="136">
        <v>0.20897619012137877</v>
      </c>
      <c r="AI64" s="136"/>
      <c r="AJ64" s="136">
        <v>2580</v>
      </c>
      <c r="AK64" s="136">
        <v>-53.091597463391508</v>
      </c>
      <c r="AL64" s="136">
        <v>-30</v>
      </c>
      <c r="AM64" s="136">
        <v>30</v>
      </c>
      <c r="AO64" s="136">
        <v>2660</v>
      </c>
      <c r="AP64" s="136">
        <v>19.873228106487289</v>
      </c>
      <c r="AQ64" s="136">
        <v>-30</v>
      </c>
      <c r="AR64" s="136">
        <v>30</v>
      </c>
    </row>
    <row r="65" spans="26:44">
      <c r="Z65" s="136">
        <v>2595</v>
      </c>
      <c r="AA65" s="136">
        <v>421.41701095040003</v>
      </c>
      <c r="AB65" s="185">
        <v>0.51025885560344153</v>
      </c>
      <c r="AC65" s="185">
        <v>1.190162722124265</v>
      </c>
      <c r="AD65" s="136"/>
      <c r="AE65" s="136">
        <v>2740</v>
      </c>
      <c r="AF65" s="136">
        <v>514.60124692099998</v>
      </c>
      <c r="AG65" s="136">
        <v>2.381478884329276</v>
      </c>
      <c r="AH65" s="136">
        <v>0.96048278639569629</v>
      </c>
      <c r="AI65" s="136"/>
      <c r="AJ65" s="136">
        <v>2595</v>
      </c>
      <c r="AK65" s="136">
        <v>-57.126967084576073</v>
      </c>
      <c r="AL65" s="136">
        <v>-30</v>
      </c>
      <c r="AM65" s="136">
        <v>30</v>
      </c>
      <c r="AO65" s="136">
        <v>2740</v>
      </c>
      <c r="AP65" s="136">
        <v>147.9460244431869</v>
      </c>
      <c r="AQ65" s="136">
        <v>-30</v>
      </c>
      <c r="AR65" s="136">
        <v>30</v>
      </c>
    </row>
    <row r="66" spans="26:44">
      <c r="Z66" s="136">
        <v>2600</v>
      </c>
      <c r="AA66" s="136">
        <v>669.78209640720002</v>
      </c>
      <c r="AB66" s="185">
        <v>2.6379328316200739</v>
      </c>
      <c r="AC66" s="185">
        <v>1.6483840641383571</v>
      </c>
      <c r="AD66" s="136"/>
      <c r="AE66" s="136">
        <v>2750</v>
      </c>
      <c r="AF66" s="136">
        <v>1200.1162182769999</v>
      </c>
      <c r="AG66" s="136">
        <v>1.3660634911968619</v>
      </c>
      <c r="AH66" s="136">
        <v>0.84744281729265958</v>
      </c>
      <c r="AI66" s="136"/>
      <c r="AJ66" s="136">
        <v>2600</v>
      </c>
      <c r="AK66" s="136">
        <v>60.031444674210263</v>
      </c>
      <c r="AL66" s="136">
        <v>-30</v>
      </c>
      <c r="AM66" s="136">
        <v>30</v>
      </c>
      <c r="AO66" s="136">
        <v>2750</v>
      </c>
      <c r="AP66" s="136">
        <v>61.198308997537879</v>
      </c>
      <c r="AQ66" s="136">
        <v>-30</v>
      </c>
      <c r="AR66" s="136">
        <v>30</v>
      </c>
    </row>
    <row r="67" spans="26:44">
      <c r="Z67" s="136">
        <v>2640</v>
      </c>
      <c r="AA67" s="136">
        <v>454.64819900199996</v>
      </c>
      <c r="AB67" s="185">
        <v>6.5858363237912974</v>
      </c>
      <c r="AC67" s="185">
        <v>5.7495636059272117</v>
      </c>
      <c r="AD67" s="136"/>
      <c r="AE67" s="136">
        <v>2810</v>
      </c>
      <c r="AF67" s="136">
        <v>1035.522440299</v>
      </c>
      <c r="AG67" s="136">
        <v>8.168249927715264E-2</v>
      </c>
      <c r="AH67" s="136">
        <v>8.1186837465405476E-2</v>
      </c>
      <c r="AI67" s="136"/>
      <c r="AJ67" s="136">
        <v>2640</v>
      </c>
      <c r="AK67" s="136">
        <v>14.544977239698213</v>
      </c>
      <c r="AL67" s="136">
        <v>-30</v>
      </c>
      <c r="AM67" s="136">
        <v>30</v>
      </c>
      <c r="AO67" s="136">
        <v>2810</v>
      </c>
      <c r="AP67" s="136">
        <v>0.61051991581561538</v>
      </c>
      <c r="AQ67" s="136">
        <v>-30</v>
      </c>
      <c r="AR67" s="136">
        <v>30</v>
      </c>
    </row>
    <row r="68" spans="26:44">
      <c r="Z68" s="136">
        <v>2650</v>
      </c>
      <c r="AA68" s="136">
        <v>891.31627557299998</v>
      </c>
      <c r="AB68" s="185">
        <v>7.0456576306978569</v>
      </c>
      <c r="AC68" s="185">
        <v>7.4202096583621726</v>
      </c>
      <c r="AD68" s="136"/>
      <c r="AE68" s="136">
        <v>2850</v>
      </c>
      <c r="AF68" s="136">
        <v>304.07396288699999</v>
      </c>
      <c r="AG68" s="136">
        <v>0.10705365374256018</v>
      </c>
      <c r="AH68" s="136">
        <v>6.8852118004526369E-2</v>
      </c>
      <c r="AI68" s="136"/>
      <c r="AJ68" s="136">
        <v>2650</v>
      </c>
      <c r="AK68" s="136">
        <v>-5.0477283649555176</v>
      </c>
      <c r="AL68" s="136">
        <v>-30</v>
      </c>
      <c r="AM68" s="136">
        <v>30</v>
      </c>
      <c r="AO68" s="136">
        <v>2850</v>
      </c>
      <c r="AP68" s="136">
        <v>55.483457655612625</v>
      </c>
      <c r="AQ68" s="136">
        <v>-30</v>
      </c>
      <c r="AR68" s="136">
        <v>30</v>
      </c>
    </row>
    <row r="69" spans="26:44">
      <c r="Z69" s="136">
        <v>2660</v>
      </c>
      <c r="AA69" s="136">
        <v>1089.8208578369999</v>
      </c>
      <c r="AB69" s="185">
        <v>5.8264476138750005</v>
      </c>
      <c r="AC69" s="185">
        <v>6.3113519320556435</v>
      </c>
      <c r="AD69" s="136"/>
      <c r="AE69" s="136">
        <v>2870</v>
      </c>
      <c r="AF69" s="136">
        <v>1413.890895989</v>
      </c>
      <c r="AG69" s="136">
        <v>0.18004341900005708</v>
      </c>
      <c r="AH69" s="136">
        <v>0.2658282461765476</v>
      </c>
      <c r="AI69" s="136"/>
      <c r="AJ69" s="136">
        <v>2660</v>
      </c>
      <c r="AK69" s="136">
        <v>-7.6830498980383624</v>
      </c>
      <c r="AL69" s="136">
        <v>-30</v>
      </c>
      <c r="AM69" s="136">
        <v>30</v>
      </c>
      <c r="AO69" s="136">
        <v>2870</v>
      </c>
      <c r="AP69" s="136">
        <v>-32.270771977902314</v>
      </c>
      <c r="AQ69" s="136">
        <v>-30</v>
      </c>
      <c r="AR69" s="136">
        <v>30</v>
      </c>
    </row>
    <row r="70" spans="26:44">
      <c r="Z70" s="136">
        <v>2740</v>
      </c>
      <c r="AA70" s="136">
        <v>514.60124692099998</v>
      </c>
      <c r="AB70" s="185">
        <v>2.1840344203498789</v>
      </c>
      <c r="AC70" s="185">
        <v>3.6799264134938414</v>
      </c>
      <c r="AD70" s="136"/>
      <c r="AE70" s="136">
        <v>2880</v>
      </c>
      <c r="AF70" s="136">
        <v>220.51121432799999</v>
      </c>
      <c r="AG70" s="136">
        <v>0.10759432962915674</v>
      </c>
      <c r="AH70" s="136">
        <v>0.12907021574600774</v>
      </c>
      <c r="AI70" s="136"/>
      <c r="AJ70" s="136">
        <v>2740</v>
      </c>
      <c r="AK70" s="136">
        <v>-40.650051796109523</v>
      </c>
      <c r="AL70" s="136">
        <v>-30</v>
      </c>
      <c r="AM70" s="136">
        <v>30</v>
      </c>
      <c r="AO70" s="136">
        <v>2880</v>
      </c>
      <c r="AP70" s="136">
        <v>-16.638917036531936</v>
      </c>
      <c r="AQ70" s="136">
        <v>-30</v>
      </c>
      <c r="AR70" s="136">
        <v>30</v>
      </c>
    </row>
    <row r="71" spans="26:44">
      <c r="Z71" s="136">
        <v>2750</v>
      </c>
      <c r="AA71" s="136">
        <v>1200.1162182769999</v>
      </c>
      <c r="AB71" s="185">
        <v>2.2783853625649355</v>
      </c>
      <c r="AC71" s="185">
        <v>3.3335678675239335</v>
      </c>
      <c r="AD71" s="136"/>
      <c r="AE71" s="136">
        <v>2900</v>
      </c>
      <c r="AF71" s="136">
        <v>470.84805753299997</v>
      </c>
      <c r="AG71" s="136">
        <v>8.8086723853790641E-2</v>
      </c>
      <c r="AH71" s="136">
        <v>0.23918913434273353</v>
      </c>
      <c r="AI71" s="136"/>
      <c r="AJ71" s="136">
        <v>2750</v>
      </c>
      <c r="AK71" s="136">
        <v>-31.653248018098807</v>
      </c>
      <c r="AL71" s="136">
        <v>-30</v>
      </c>
      <c r="AM71" s="136">
        <v>30</v>
      </c>
      <c r="AO71" s="136">
        <v>2900</v>
      </c>
      <c r="AP71" s="136">
        <v>-63.17277367308359</v>
      </c>
      <c r="AQ71" s="136">
        <v>-30</v>
      </c>
      <c r="AR71" s="136">
        <v>30</v>
      </c>
    </row>
    <row r="72" spans="26:44">
      <c r="Z72" s="136">
        <v>2810</v>
      </c>
      <c r="AA72" s="136">
        <v>1035.522440299</v>
      </c>
      <c r="AB72" s="185">
        <v>2.0612783015405434</v>
      </c>
      <c r="AC72" s="185">
        <v>2.0387747030193264</v>
      </c>
      <c r="AD72" s="136"/>
      <c r="AE72" s="136">
        <v>2940</v>
      </c>
      <c r="AF72" s="136">
        <v>442.64740914100003</v>
      </c>
      <c r="AG72" s="136">
        <v>0.26772852442139294</v>
      </c>
      <c r="AH72" s="136">
        <v>0.37799912029277127</v>
      </c>
      <c r="AI72" s="136"/>
      <c r="AJ72" s="136">
        <v>2810</v>
      </c>
      <c r="AK72" s="136">
        <v>1.1037805446521674</v>
      </c>
      <c r="AL72" s="136">
        <v>-30</v>
      </c>
      <c r="AM72" s="136">
        <v>30</v>
      </c>
      <c r="AO72" s="136">
        <v>2940</v>
      </c>
      <c r="AP72" s="136">
        <v>-29.172183201371098</v>
      </c>
      <c r="AQ72" s="136">
        <v>-30</v>
      </c>
      <c r="AR72" s="136">
        <v>30</v>
      </c>
    </row>
    <row r="73" spans="26:44">
      <c r="Z73" s="136">
        <v>2850</v>
      </c>
      <c r="AA73" s="136">
        <v>304.07396288699999</v>
      </c>
      <c r="AB73" s="185">
        <v>3.5228742079423414</v>
      </c>
      <c r="AC73" s="185">
        <v>3.3521087275033197</v>
      </c>
      <c r="AD73" s="136"/>
      <c r="AE73" s="136">
        <v>2950</v>
      </c>
      <c r="AF73" s="136">
        <v>825.2207803980001</v>
      </c>
      <c r="AG73" s="136">
        <v>0.29039291906763814</v>
      </c>
      <c r="AH73" s="136">
        <v>0.38996090328457017</v>
      </c>
      <c r="AI73" s="136"/>
      <c r="AJ73" s="136">
        <v>2850</v>
      </c>
      <c r="AK73" s="136">
        <v>5.0942703331168246</v>
      </c>
      <c r="AL73" s="136">
        <v>-30</v>
      </c>
      <c r="AM73" s="136">
        <v>30</v>
      </c>
      <c r="AO73" s="136">
        <v>2950</v>
      </c>
      <c r="AP73" s="136">
        <v>-25.532811976351709</v>
      </c>
      <c r="AQ73" s="136">
        <v>-30</v>
      </c>
      <c r="AR73" s="136">
        <v>30</v>
      </c>
    </row>
    <row r="74" spans="26:44">
      <c r="Z74" s="136">
        <v>2870</v>
      </c>
      <c r="AA74" s="136">
        <v>1413.890895989</v>
      </c>
      <c r="AB74" s="185">
        <v>6.3315671619848786</v>
      </c>
      <c r="AC74" s="185">
        <v>6.1306860963625001</v>
      </c>
      <c r="AD74" s="136"/>
      <c r="AE74" s="136">
        <v>2960</v>
      </c>
      <c r="AF74" s="136">
        <v>52.596128007799997</v>
      </c>
      <c r="AG74" s="136">
        <v>0.11178888882487653</v>
      </c>
      <c r="AH74" s="136">
        <v>0.11407683849104255</v>
      </c>
      <c r="AI74" s="136"/>
      <c r="AJ74" s="136">
        <v>2870</v>
      </c>
      <c r="AK74" s="136">
        <v>3.2766490155411248</v>
      </c>
      <c r="AL74" s="136">
        <v>-30</v>
      </c>
      <c r="AM74" s="136">
        <v>30</v>
      </c>
      <c r="AO74" s="136">
        <v>2960</v>
      </c>
      <c r="AP74" s="136">
        <v>-2.005621558617861</v>
      </c>
      <c r="AQ74" s="136">
        <v>-30</v>
      </c>
      <c r="AR74" s="136">
        <v>30</v>
      </c>
    </row>
    <row r="75" spans="26:44">
      <c r="Z75" s="136">
        <v>2880</v>
      </c>
      <c r="AA75" s="136">
        <v>220.51121432799999</v>
      </c>
      <c r="AB75" s="185">
        <v>6.0091578758048154</v>
      </c>
      <c r="AC75" s="185">
        <v>4.4333865221986546</v>
      </c>
      <c r="AD75" s="136"/>
      <c r="AE75" s="136">
        <v>2970</v>
      </c>
      <c r="AF75" s="136">
        <v>236.24162572979998</v>
      </c>
      <c r="AG75" s="136">
        <v>8.1943634584314945E-2</v>
      </c>
      <c r="AH75" s="136">
        <v>0.1275783683468153</v>
      </c>
      <c r="AI75" s="136"/>
      <c r="AJ75" s="136">
        <v>2880</v>
      </c>
      <c r="AK75" s="136">
        <v>35.543288312806226</v>
      </c>
      <c r="AL75" s="136">
        <v>-30</v>
      </c>
      <c r="AM75" s="136">
        <v>30</v>
      </c>
      <c r="AO75" s="136">
        <v>2970</v>
      </c>
      <c r="AP75" s="136">
        <v>-35.769961909564998</v>
      </c>
      <c r="AQ75" s="136">
        <v>-30</v>
      </c>
      <c r="AR75" s="136">
        <v>30</v>
      </c>
    </row>
    <row r="76" spans="26:44">
      <c r="Z76" s="136">
        <v>2900</v>
      </c>
      <c r="AA76" s="136">
        <v>470.84805753299997</v>
      </c>
      <c r="AB76" s="185">
        <v>3.7397798165749911</v>
      </c>
      <c r="AC76" s="185">
        <v>3.4676442737782462</v>
      </c>
      <c r="AD76" s="136"/>
      <c r="AE76" s="136">
        <v>2980</v>
      </c>
      <c r="AF76" s="136">
        <v>1075.9245192137998</v>
      </c>
      <c r="AG76" s="136">
        <v>0.1017759089582026</v>
      </c>
      <c r="AH76" s="136">
        <v>0.28376782531865119</v>
      </c>
      <c r="AI76" s="136"/>
      <c r="AJ76" s="136">
        <v>2900</v>
      </c>
      <c r="AK76" s="136">
        <v>7.8478506245461546</v>
      </c>
      <c r="AL76" s="136">
        <v>-30</v>
      </c>
      <c r="AM76" s="136">
        <v>30</v>
      </c>
      <c r="AO76" s="136">
        <v>2980</v>
      </c>
      <c r="AP76" s="136">
        <v>-64.134091367153616</v>
      </c>
      <c r="AQ76" s="136">
        <v>-30</v>
      </c>
      <c r="AR76" s="136">
        <v>30</v>
      </c>
    </row>
    <row r="77" spans="26:44">
      <c r="Z77" s="136">
        <v>2940</v>
      </c>
      <c r="AA77" s="136">
        <v>442.64740914100003</v>
      </c>
      <c r="AB77" s="185">
        <v>5.6836102005367977</v>
      </c>
      <c r="AC77" s="185">
        <v>6.9025853099008909</v>
      </c>
      <c r="AD77" s="136"/>
      <c r="AE77" s="136">
        <v>3030</v>
      </c>
      <c r="AF77" s="136">
        <v>377.8236172</v>
      </c>
      <c r="AG77" s="136">
        <v>0.10945925455622865</v>
      </c>
      <c r="AH77" s="136">
        <v>0.15344245142492119</v>
      </c>
      <c r="AI77" s="136"/>
      <c r="AJ77" s="136">
        <v>2940</v>
      </c>
      <c r="AK77" s="136">
        <v>-17.659689154665386</v>
      </c>
      <c r="AL77" s="136">
        <v>-30</v>
      </c>
      <c r="AM77" s="136">
        <v>30</v>
      </c>
      <c r="AO77" s="136">
        <v>3030</v>
      </c>
      <c r="AP77" s="136">
        <v>-28.664294958956219</v>
      </c>
      <c r="AQ77" s="136">
        <v>-30</v>
      </c>
      <c r="AR77" s="136">
        <v>30</v>
      </c>
    </row>
    <row r="78" spans="26:44">
      <c r="Z78" s="136">
        <v>2950</v>
      </c>
      <c r="AA78" s="136">
        <v>825.2207803980001</v>
      </c>
      <c r="AB78" s="185">
        <v>4.730329097912592</v>
      </c>
      <c r="AC78" s="185">
        <v>7.590040956579422</v>
      </c>
      <c r="AD78" s="136"/>
      <c r="AE78" s="136">
        <v>3230</v>
      </c>
      <c r="AF78" s="136">
        <v>102.080990632</v>
      </c>
      <c r="AG78" s="136">
        <v>6.6102659897387769E-2</v>
      </c>
      <c r="AH78" s="136">
        <v>0.28408815216678729</v>
      </c>
      <c r="AI78" s="136"/>
      <c r="AJ78" s="136">
        <v>2950</v>
      </c>
      <c r="AK78" s="136">
        <v>-37.67715978117208</v>
      </c>
      <c r="AL78" s="136">
        <v>-30</v>
      </c>
      <c r="AM78" s="136">
        <v>30</v>
      </c>
      <c r="AO78" s="136">
        <v>3230</v>
      </c>
      <c r="AP78" s="136">
        <v>-76.731637911256826</v>
      </c>
      <c r="AQ78" s="136">
        <v>-30</v>
      </c>
      <c r="AR78" s="136">
        <v>30</v>
      </c>
    </row>
    <row r="79" spans="26:44">
      <c r="Z79" s="136">
        <v>2960</v>
      </c>
      <c r="AA79" s="136">
        <v>52.596128007799997</v>
      </c>
      <c r="AB79" s="185">
        <v>2.7249510853556766</v>
      </c>
      <c r="AC79" s="185">
        <v>1.7681909966111595</v>
      </c>
      <c r="AD79" s="136"/>
      <c r="AE79" s="136">
        <v>3240</v>
      </c>
      <c r="AF79" s="136">
        <v>730.18388569499996</v>
      </c>
      <c r="AG79" s="136">
        <v>0.15948864363684689</v>
      </c>
      <c r="AH79" s="136">
        <v>0.20742927490748175</v>
      </c>
      <c r="AI79" s="136"/>
      <c r="AJ79" s="136">
        <v>2960</v>
      </c>
      <c r="AK79" s="136">
        <v>54.109544193936244</v>
      </c>
      <c r="AL79" s="136">
        <v>-30</v>
      </c>
      <c r="AM79" s="136">
        <v>30</v>
      </c>
      <c r="AO79" s="136">
        <v>3240</v>
      </c>
      <c r="AP79" s="136">
        <v>-23.11179619753166</v>
      </c>
      <c r="AQ79" s="136">
        <v>-30</v>
      </c>
      <c r="AR79" s="136">
        <v>30</v>
      </c>
    </row>
    <row r="80" spans="26:44">
      <c r="Z80" s="136">
        <v>2970</v>
      </c>
      <c r="AA80" s="136">
        <v>236.24162572979998</v>
      </c>
      <c r="AB80" s="185">
        <v>2.9879214789958048</v>
      </c>
      <c r="AC80" s="185">
        <v>2.2397773470945714</v>
      </c>
      <c r="AD80" s="136"/>
      <c r="AE80" s="136">
        <v>3280</v>
      </c>
      <c r="AF80" s="136">
        <v>761.66810051800007</v>
      </c>
      <c r="AG80" s="136">
        <v>0.25051195160355444</v>
      </c>
      <c r="AH80" s="136">
        <v>0.17443067162769779</v>
      </c>
      <c r="AI80" s="136"/>
      <c r="AJ80" s="136">
        <v>2970</v>
      </c>
      <c r="AK80" s="136">
        <v>33.402611776198313</v>
      </c>
      <c r="AL80" s="136">
        <v>-30</v>
      </c>
      <c r="AM80" s="136">
        <v>30</v>
      </c>
      <c r="AO80" s="136">
        <v>3280</v>
      </c>
      <c r="AP80" s="136">
        <v>43.616916260142261</v>
      </c>
      <c r="AQ80" s="136">
        <v>-30</v>
      </c>
      <c r="AR80" s="136">
        <v>30</v>
      </c>
    </row>
    <row r="81" spans="26:44">
      <c r="Z81" s="136">
        <v>2980</v>
      </c>
      <c r="AA81" s="136">
        <v>1075.9245192137998</v>
      </c>
      <c r="AB81" s="185">
        <v>3.5700926261700663</v>
      </c>
      <c r="AC81" s="185">
        <v>4.2914224995000918</v>
      </c>
      <c r="AD81" s="136"/>
      <c r="AE81" s="136">
        <v>3340</v>
      </c>
      <c r="AF81" s="136">
        <v>265.15544252799998</v>
      </c>
      <c r="AG81" s="136">
        <v>0.21679837571256158</v>
      </c>
      <c r="AH81" s="136">
        <v>0.2001999419412176</v>
      </c>
      <c r="AI81" s="136"/>
      <c r="AJ81" s="136">
        <v>2980</v>
      </c>
      <c r="AK81" s="136">
        <v>-16.808642668347233</v>
      </c>
      <c r="AL81" s="136">
        <v>-30</v>
      </c>
      <c r="AM81" s="136">
        <v>30</v>
      </c>
      <c r="AO81" s="136">
        <v>3340</v>
      </c>
      <c r="AP81" s="136">
        <v>8.2909283641139098</v>
      </c>
      <c r="AQ81" s="136">
        <v>-30</v>
      </c>
      <c r="AR81" s="136">
        <v>30</v>
      </c>
    </row>
    <row r="82" spans="26:44">
      <c r="Z82" s="136">
        <v>3030</v>
      </c>
      <c r="AA82" s="136">
        <v>377.8236172</v>
      </c>
      <c r="AB82" s="185">
        <v>3.7559529042716076</v>
      </c>
      <c r="AC82" s="185">
        <v>2.7473535182106681</v>
      </c>
      <c r="AD82" s="136"/>
      <c r="AE82" s="136">
        <v>3350</v>
      </c>
      <c r="AF82" s="136">
        <v>1111.0724115419998</v>
      </c>
      <c r="AG82" s="136">
        <v>0.31327369662042187</v>
      </c>
      <c r="AH82" s="136">
        <v>0.21552498562185346</v>
      </c>
      <c r="AI82" s="136"/>
      <c r="AJ82" s="136">
        <v>3030</v>
      </c>
      <c r="AK82" s="136">
        <v>36.711671045444206</v>
      </c>
      <c r="AL82" s="136">
        <v>-30</v>
      </c>
      <c r="AM82" s="136">
        <v>30</v>
      </c>
      <c r="AO82" s="136">
        <v>3350</v>
      </c>
      <c r="AP82" s="136">
        <v>45.353772193295526</v>
      </c>
      <c r="AQ82" s="136">
        <v>-30</v>
      </c>
      <c r="AR82" s="136">
        <v>30</v>
      </c>
    </row>
    <row r="83" spans="26:44">
      <c r="Z83" s="136">
        <v>3230</v>
      </c>
      <c r="AA83" s="136">
        <v>102.080990632</v>
      </c>
      <c r="AB83" s="185">
        <v>8.3607297265326839</v>
      </c>
      <c r="AC83" s="185">
        <v>11.853333245579744</v>
      </c>
      <c r="AD83" s="136"/>
      <c r="AE83" s="136">
        <v>3500</v>
      </c>
      <c r="AF83" s="136">
        <v>84.947544463599996</v>
      </c>
      <c r="AG83" s="136">
        <v>0.19393620097977457</v>
      </c>
      <c r="AH83" s="136">
        <v>0.10553798466692152</v>
      </c>
      <c r="AI83" s="136"/>
      <c r="AJ83" s="136">
        <v>3230</v>
      </c>
      <c r="AK83" s="136">
        <v>-29.465159265217622</v>
      </c>
      <c r="AL83" s="136">
        <v>-30</v>
      </c>
      <c r="AM83" s="136">
        <v>30</v>
      </c>
      <c r="AO83" s="136">
        <v>3500</v>
      </c>
      <c r="AP83" s="136">
        <v>83.759621326708412</v>
      </c>
      <c r="AQ83" s="136">
        <v>-30</v>
      </c>
      <c r="AR83" s="136">
        <v>30</v>
      </c>
    </row>
    <row r="84" spans="26:44">
      <c r="Z84" s="136">
        <v>3240</v>
      </c>
      <c r="AA84" s="136">
        <v>730.18388569499996</v>
      </c>
      <c r="AB84" s="185">
        <v>7.8026019530587876</v>
      </c>
      <c r="AC84" s="185">
        <v>6.6339101089219383</v>
      </c>
      <c r="AD84" s="136"/>
      <c r="AE84" s="136">
        <v>3530</v>
      </c>
      <c r="AF84" s="136">
        <v>76.7276510441</v>
      </c>
      <c r="AG84" s="136">
        <v>9.1897375722425997E-2</v>
      </c>
      <c r="AH84" s="136">
        <v>0.10313850026520587</v>
      </c>
      <c r="AI84" s="136"/>
      <c r="AJ84" s="136">
        <v>3240</v>
      </c>
      <c r="AK84" s="136">
        <v>17.616938200068091</v>
      </c>
      <c r="AL84" s="136">
        <v>-30</v>
      </c>
      <c r="AM84" s="136">
        <v>30</v>
      </c>
      <c r="AO84" s="136">
        <v>3530</v>
      </c>
      <c r="AP84" s="136">
        <v>-10.899057591369782</v>
      </c>
      <c r="AQ84" s="136">
        <v>-30</v>
      </c>
      <c r="AR84" s="136">
        <v>30</v>
      </c>
    </row>
    <row r="85" spans="26:44">
      <c r="Z85" s="136">
        <v>3280</v>
      </c>
      <c r="AA85" s="136">
        <v>761.66810051800007</v>
      </c>
      <c r="AB85" s="185">
        <v>7.6479846337367681</v>
      </c>
      <c r="AC85" s="185">
        <v>4.1288288874759296</v>
      </c>
      <c r="AD85" s="136"/>
      <c r="AE85" s="136">
        <v>4000</v>
      </c>
      <c r="AF85" s="136">
        <v>317.43871244799999</v>
      </c>
      <c r="AG85" s="136">
        <v>0.27420021233962644</v>
      </c>
      <c r="AH85" s="136">
        <v>0.24499304857843357</v>
      </c>
      <c r="AI85" s="136"/>
      <c r="AJ85" s="136">
        <v>3280</v>
      </c>
      <c r="AK85" s="136">
        <v>85.233751317124643</v>
      </c>
      <c r="AL85" s="136">
        <v>-30</v>
      </c>
      <c r="AM85" s="136">
        <v>30</v>
      </c>
      <c r="AO85" s="136">
        <v>4000</v>
      </c>
      <c r="AP85" s="136">
        <v>11.921629585274673</v>
      </c>
      <c r="AQ85" s="136">
        <v>-30</v>
      </c>
      <c r="AR85" s="136">
        <v>30</v>
      </c>
    </row>
    <row r="86" spans="26:44">
      <c r="Z86" s="136">
        <v>3340</v>
      </c>
      <c r="AA86" s="136">
        <v>265.15544252799998</v>
      </c>
      <c r="AB86" s="185">
        <v>5.2573158979404804</v>
      </c>
      <c r="AC86" s="185">
        <v>7.5638265186564357</v>
      </c>
      <c r="AD86" s="136"/>
      <c r="AE86" s="136">
        <v>4010</v>
      </c>
      <c r="AF86" s="136">
        <v>1399.3057108599999</v>
      </c>
      <c r="AG86" s="136">
        <v>0.27952854301266744</v>
      </c>
      <c r="AH86" s="136">
        <v>0.13438351384551156</v>
      </c>
      <c r="AI86" s="136"/>
      <c r="AJ86" s="136">
        <v>3340</v>
      </c>
      <c r="AK86" s="136">
        <v>-30.493965125017979</v>
      </c>
      <c r="AL86" s="136">
        <v>-30</v>
      </c>
      <c r="AM86" s="136">
        <v>30</v>
      </c>
      <c r="AO86" s="136">
        <v>4010</v>
      </c>
      <c r="AP86" s="136">
        <v>108.00806216007709</v>
      </c>
      <c r="AQ86" s="136">
        <v>-30</v>
      </c>
      <c r="AR86" s="136">
        <v>30</v>
      </c>
    </row>
    <row r="87" spans="26:44">
      <c r="Z87" s="136">
        <v>3350</v>
      </c>
      <c r="AA87" s="136">
        <v>1111.0724115419998</v>
      </c>
      <c r="AB87" s="185">
        <v>5.4905468976322949</v>
      </c>
      <c r="AC87" s="185">
        <v>6.7277513295481075</v>
      </c>
      <c r="AD87" s="136"/>
      <c r="AE87" s="136">
        <v>4050</v>
      </c>
      <c r="AF87" s="136">
        <v>662.45554127299988</v>
      </c>
      <c r="AG87" s="136">
        <v>0.24709212357850779</v>
      </c>
      <c r="AH87" s="136">
        <v>0.18003535337640381</v>
      </c>
      <c r="AI87" s="136"/>
      <c r="AJ87" s="136">
        <v>3350</v>
      </c>
      <c r="AK87" s="136">
        <v>-18.389568390883355</v>
      </c>
      <c r="AL87" s="136">
        <v>-30</v>
      </c>
      <c r="AM87" s="136">
        <v>30</v>
      </c>
      <c r="AO87" s="136">
        <v>4050</v>
      </c>
      <c r="AP87" s="136">
        <v>37.246445736636502</v>
      </c>
      <c r="AQ87" s="136">
        <v>-30</v>
      </c>
      <c r="AR87" s="136">
        <v>30</v>
      </c>
    </row>
    <row r="88" spans="26:44">
      <c r="Z88" s="136">
        <v>3500</v>
      </c>
      <c r="AA88" s="136">
        <v>84.947544463599996</v>
      </c>
      <c r="AB88" s="185">
        <v>3.1522856015429275</v>
      </c>
      <c r="AC88" s="185">
        <v>2.5105533044252786</v>
      </c>
      <c r="AD88" s="136"/>
      <c r="AE88" s="136">
        <v>4070</v>
      </c>
      <c r="AF88" s="136">
        <v>4357.9923661729999</v>
      </c>
      <c r="AG88" s="136">
        <v>0.18394992919927614</v>
      </c>
      <c r="AH88" s="136">
        <v>0.21208081520428565</v>
      </c>
      <c r="AI88" s="136"/>
      <c r="AJ88" s="136">
        <v>3500</v>
      </c>
      <c r="AK88" s="136">
        <v>25.561389036691068</v>
      </c>
      <c r="AL88" s="136">
        <v>-30</v>
      </c>
      <c r="AM88" s="136">
        <v>30</v>
      </c>
      <c r="AO88" s="136">
        <v>4070</v>
      </c>
      <c r="AP88" s="136">
        <v>-13.2642294768212</v>
      </c>
      <c r="AQ88" s="136">
        <v>-30</v>
      </c>
      <c r="AR88" s="136">
        <v>30</v>
      </c>
    </row>
    <row r="89" spans="26:44">
      <c r="Z89" s="136">
        <v>3530</v>
      </c>
      <c r="AA89" s="136">
        <v>76.7276510441</v>
      </c>
      <c r="AB89" s="185">
        <v>8.8795697134399294</v>
      </c>
      <c r="AC89" s="185">
        <v>4.4626441758775925</v>
      </c>
      <c r="AD89" s="136"/>
      <c r="AE89" s="136">
        <v>4080</v>
      </c>
      <c r="AF89" s="136">
        <v>6090.3670187233001</v>
      </c>
      <c r="AG89" s="136">
        <v>0.19484314855147189</v>
      </c>
      <c r="AH89" s="136">
        <v>0.22115758562464433</v>
      </c>
      <c r="AI89" s="136"/>
      <c r="AJ89" s="136">
        <v>3530</v>
      </c>
      <c r="AK89" s="136">
        <v>98.975525797858069</v>
      </c>
      <c r="AL89" s="136">
        <v>-30</v>
      </c>
      <c r="AM89" s="136">
        <v>30</v>
      </c>
      <c r="AO89" s="136">
        <v>4080</v>
      </c>
      <c r="AP89" s="136">
        <v>-11.898500790216659</v>
      </c>
      <c r="AQ89" s="136">
        <v>-30</v>
      </c>
      <c r="AR89" s="136">
        <v>30</v>
      </c>
    </row>
    <row r="90" spans="26:44">
      <c r="Z90" s="136">
        <v>4000</v>
      </c>
      <c r="AA90" s="136">
        <v>317.43871244799999</v>
      </c>
      <c r="AB90" s="185">
        <v>11.198257850299109</v>
      </c>
      <c r="AC90" s="185">
        <v>8.3960645217341003</v>
      </c>
      <c r="AD90" s="136"/>
      <c r="AE90" s="136">
        <v>4200</v>
      </c>
      <c r="AF90" s="136">
        <v>2016.451066543</v>
      </c>
      <c r="AG90" s="136">
        <v>0.87048180684076082</v>
      </c>
      <c r="AH90" s="136">
        <v>0.46921023695862157</v>
      </c>
      <c r="AI90" s="136"/>
      <c r="AJ90" s="136">
        <v>4000</v>
      </c>
      <c r="AK90" s="136">
        <v>33.375080924059574</v>
      </c>
      <c r="AL90" s="136">
        <v>-30</v>
      </c>
      <c r="AM90" s="136">
        <v>30</v>
      </c>
      <c r="AO90" s="136">
        <v>4200</v>
      </c>
      <c r="AP90" s="136">
        <v>85.520634094248521</v>
      </c>
      <c r="AQ90" s="136">
        <v>-30</v>
      </c>
      <c r="AR90" s="136">
        <v>30</v>
      </c>
    </row>
    <row r="91" spans="26:44">
      <c r="Z91" s="136">
        <v>4010</v>
      </c>
      <c r="AA91" s="136">
        <v>1399.3057108599999</v>
      </c>
      <c r="AB91" s="185">
        <v>9.868409824099162</v>
      </c>
      <c r="AC91" s="185">
        <v>10.889717214750847</v>
      </c>
      <c r="AD91" s="136"/>
      <c r="AE91" s="136">
        <v>4210</v>
      </c>
      <c r="AF91" s="136">
        <v>4807.1423412539998</v>
      </c>
      <c r="AG91" s="136">
        <v>0.60773258430092303</v>
      </c>
      <c r="AH91" s="136">
        <v>0.67811978722835653</v>
      </c>
      <c r="AI91" s="136"/>
      <c r="AJ91" s="136">
        <v>4010</v>
      </c>
      <c r="AK91" s="136">
        <v>-9.3786401474985581</v>
      </c>
      <c r="AL91" s="136">
        <v>-30</v>
      </c>
      <c r="AM91" s="136">
        <v>30</v>
      </c>
      <c r="AO91" s="136">
        <v>4210</v>
      </c>
      <c r="AP91" s="136">
        <v>-10.379759483958352</v>
      </c>
      <c r="AQ91" s="136">
        <v>-30</v>
      </c>
      <c r="AR91" s="136">
        <v>30</v>
      </c>
    </row>
    <row r="92" spans="26:44">
      <c r="Z92" s="136">
        <v>4050</v>
      </c>
      <c r="AA92" s="136">
        <v>662.45554127299988</v>
      </c>
      <c r="AB92" s="185">
        <v>8.2234863139244112</v>
      </c>
      <c r="AC92" s="185">
        <v>4.7748816885531262</v>
      </c>
      <c r="AD92" s="136"/>
      <c r="AE92" s="136">
        <v>4300</v>
      </c>
      <c r="AF92" s="136">
        <v>954.80942794499992</v>
      </c>
      <c r="AG92" s="136">
        <v>0.15531625247898534</v>
      </c>
      <c r="AH92" s="136">
        <v>0.12097871448336089</v>
      </c>
      <c r="AI92" s="136"/>
      <c r="AJ92" s="136">
        <v>4050</v>
      </c>
      <c r="AK92" s="136">
        <v>72.223875905421068</v>
      </c>
      <c r="AL92" s="136">
        <v>-30</v>
      </c>
      <c r="AM92" s="136">
        <v>30</v>
      </c>
      <c r="AO92" s="136">
        <v>4300</v>
      </c>
      <c r="AP92" s="136">
        <v>28.383123545544976</v>
      </c>
      <c r="AQ92" s="136">
        <v>-30</v>
      </c>
      <c r="AR92" s="136">
        <v>30</v>
      </c>
    </row>
    <row r="93" spans="26:44">
      <c r="Z93" s="136">
        <v>4070</v>
      </c>
      <c r="AA93" s="136">
        <v>4357.9923661729999</v>
      </c>
      <c r="AB93" s="185">
        <v>8.1296986145129573</v>
      </c>
      <c r="AC93" s="185">
        <v>7.3969606126009664</v>
      </c>
      <c r="AD93" s="136"/>
      <c r="AE93" s="136">
        <v>4310</v>
      </c>
      <c r="AF93" s="136">
        <v>3262.6869077019996</v>
      </c>
      <c r="AG93" s="136">
        <v>0.18705854963967883</v>
      </c>
      <c r="AH93" s="136">
        <v>0.18554292122556962</v>
      </c>
      <c r="AI93" s="136"/>
      <c r="AJ93" s="136">
        <v>4070</v>
      </c>
      <c r="AK93" s="136">
        <v>9.9059335352380486</v>
      </c>
      <c r="AL93" s="136">
        <v>-30</v>
      </c>
      <c r="AM93" s="136">
        <v>30</v>
      </c>
      <c r="AO93" s="136">
        <v>4310</v>
      </c>
      <c r="AP93" s="136">
        <v>0.81686135159348794</v>
      </c>
      <c r="AQ93" s="136">
        <v>-30</v>
      </c>
      <c r="AR93" s="136">
        <v>30</v>
      </c>
    </row>
    <row r="94" spans="26:44">
      <c r="Z94" s="136">
        <v>4080</v>
      </c>
      <c r="AA94" s="136">
        <v>6090.3670187233001</v>
      </c>
      <c r="AB94" s="185">
        <v>9.2858670365688223</v>
      </c>
      <c r="AC94" s="185">
        <v>12.112667017886215</v>
      </c>
      <c r="AD94" s="136"/>
      <c r="AE94" s="136">
        <v>4320</v>
      </c>
      <c r="AF94" s="136">
        <v>6215.1185868100001</v>
      </c>
      <c r="AG94" s="136">
        <v>0.19208954949053444</v>
      </c>
      <c r="AH94" s="136">
        <v>0.26232914334720719</v>
      </c>
      <c r="AI94" s="136"/>
      <c r="AJ94" s="136">
        <v>4080</v>
      </c>
      <c r="AK94" s="136">
        <v>-23.337552143910074</v>
      </c>
      <c r="AL94" s="136">
        <v>-30</v>
      </c>
      <c r="AM94" s="136">
        <v>30</v>
      </c>
      <c r="AO94" s="136">
        <v>4320</v>
      </c>
      <c r="AP94" s="136">
        <v>-26.775368135025218</v>
      </c>
      <c r="AQ94" s="136">
        <v>-30</v>
      </c>
      <c r="AR94" s="136">
        <v>30</v>
      </c>
    </row>
    <row r="95" spans="26:44">
      <c r="Z95" s="136">
        <v>4200</v>
      </c>
      <c r="AA95" s="136">
        <v>2016.451066543</v>
      </c>
      <c r="AB95" s="185">
        <v>3.3781792285891248</v>
      </c>
      <c r="AC95" s="185">
        <v>3.99491706204876</v>
      </c>
      <c r="AD95" s="136"/>
      <c r="AE95" s="136">
        <v>4330</v>
      </c>
      <c r="AF95" s="136">
        <v>7123.5972143750005</v>
      </c>
      <c r="AG95" s="136">
        <v>0.35162603306255297</v>
      </c>
      <c r="AH95" s="136">
        <v>0.22495259427955616</v>
      </c>
      <c r="AI95" s="136"/>
      <c r="AJ95" s="136">
        <v>4200</v>
      </c>
      <c r="AK95" s="136">
        <v>-15.438063516225938</v>
      </c>
      <c r="AL95" s="136">
        <v>-30</v>
      </c>
      <c r="AM95" s="136">
        <v>30</v>
      </c>
      <c r="AO95" s="136">
        <v>4330</v>
      </c>
      <c r="AP95" s="136">
        <v>56.311170444016085</v>
      </c>
      <c r="AQ95" s="136">
        <v>-30</v>
      </c>
      <c r="AR95" s="136">
        <v>30</v>
      </c>
    </row>
    <row r="96" spans="26:44">
      <c r="Z96" s="136">
        <v>4210</v>
      </c>
      <c r="AA96" s="136">
        <v>4807.1423412539998</v>
      </c>
      <c r="AB96" s="185">
        <v>3.9751024960723651</v>
      </c>
      <c r="AC96" s="185">
        <v>3.5134042557929202</v>
      </c>
      <c r="AD96" s="136"/>
      <c r="AE96" s="136">
        <v>5040</v>
      </c>
      <c r="AF96" s="136">
        <v>101559.45131731726</v>
      </c>
      <c r="AG96" s="136">
        <v>0.50148561442086736</v>
      </c>
      <c r="AH96" s="136">
        <v>0.39367223379061245</v>
      </c>
      <c r="AI96" s="136"/>
      <c r="AJ96" s="136">
        <v>4210</v>
      </c>
      <c r="AK96" s="136">
        <v>13.141050863082285</v>
      </c>
      <c r="AL96" s="136">
        <v>-30</v>
      </c>
      <c r="AM96" s="136">
        <v>30</v>
      </c>
      <c r="AO96" s="136">
        <v>5040</v>
      </c>
      <c r="AP96" s="136">
        <v>27.386584924249163</v>
      </c>
      <c r="AQ96" s="136">
        <v>-30</v>
      </c>
      <c r="AR96" s="136">
        <v>30</v>
      </c>
    </row>
    <row r="97" spans="26:44">
      <c r="Z97" s="136">
        <v>4300</v>
      </c>
      <c r="AA97" s="136">
        <v>954.80942794499992</v>
      </c>
      <c r="AB97" s="185">
        <v>3.5541703102430739</v>
      </c>
      <c r="AC97" s="185">
        <v>3.637169465730727</v>
      </c>
      <c r="AD97" s="136"/>
      <c r="AE97" s="136">
        <v>5050</v>
      </c>
      <c r="AF97" s="136">
        <v>103917.23042601327</v>
      </c>
      <c r="AG97" s="136">
        <v>0.51040102484000793</v>
      </c>
      <c r="AH97" s="136">
        <v>0.37676628448784422</v>
      </c>
      <c r="AI97" s="136"/>
      <c r="AJ97" s="136">
        <v>4300</v>
      </c>
      <c r="AK97" s="136">
        <v>-2.2819710840989842</v>
      </c>
      <c r="AL97" s="136">
        <v>-30</v>
      </c>
      <c r="AM97" s="136">
        <v>30</v>
      </c>
      <c r="AO97" s="136">
        <v>5050</v>
      </c>
      <c r="AP97" s="136">
        <v>35.468869125011963</v>
      </c>
      <c r="AQ97" s="136">
        <v>-30</v>
      </c>
      <c r="AR97" s="136">
        <v>30</v>
      </c>
    </row>
    <row r="98" spans="26:44">
      <c r="Z98" s="136">
        <v>4310</v>
      </c>
      <c r="AA98" s="136">
        <v>3262.6869077019996</v>
      </c>
      <c r="AB98" s="185">
        <v>4.3853524581121164</v>
      </c>
      <c r="AC98" s="185">
        <v>4.1694995679130571</v>
      </c>
      <c r="AD98" s="136"/>
      <c r="AE98" s="136">
        <v>5060</v>
      </c>
      <c r="AF98" s="136">
        <v>131224.76140284917</v>
      </c>
      <c r="AG98" s="136">
        <v>0.46752350434484924</v>
      </c>
      <c r="AH98" s="136">
        <v>0.3071713258257433</v>
      </c>
      <c r="AI98" s="136"/>
      <c r="AJ98" s="136">
        <v>4310</v>
      </c>
      <c r="AK98" s="136">
        <v>5.1769495759199629</v>
      </c>
      <c r="AL98" s="136">
        <v>-30</v>
      </c>
      <c r="AM98" s="136">
        <v>30</v>
      </c>
      <c r="AO98" s="136">
        <v>5060</v>
      </c>
      <c r="AP98" s="136">
        <v>52.202847413587307</v>
      </c>
      <c r="AQ98" s="136">
        <v>-30</v>
      </c>
      <c r="AR98" s="136">
        <v>30</v>
      </c>
    </row>
    <row r="99" spans="26:44">
      <c r="Z99" s="136">
        <v>4320</v>
      </c>
      <c r="AA99" s="136">
        <v>6215.1185868100001</v>
      </c>
      <c r="AB99" s="185">
        <v>5.2171754292962271</v>
      </c>
      <c r="AC99" s="185">
        <v>5.1696582687272041</v>
      </c>
      <c r="AD99" s="136"/>
      <c r="AE99" s="136"/>
      <c r="AF99" s="136"/>
      <c r="AG99" s="136"/>
      <c r="AI99" s="136"/>
      <c r="AJ99" s="136">
        <v>4320</v>
      </c>
      <c r="AK99" s="136">
        <v>0.9191547699868039</v>
      </c>
      <c r="AL99" s="136">
        <v>-30</v>
      </c>
      <c r="AM99" s="136">
        <v>30</v>
      </c>
    </row>
    <row r="100" spans="26:44">
      <c r="Z100" s="136">
        <v>4330</v>
      </c>
      <c r="AA100" s="136">
        <v>7123.5972143750005</v>
      </c>
      <c r="AB100" s="185">
        <v>6.4499431177347804</v>
      </c>
      <c r="AC100" s="185">
        <v>5.1371117030501852</v>
      </c>
      <c r="AD100" s="136"/>
      <c r="AE100" s="136"/>
      <c r="AF100" s="136"/>
      <c r="AG100" s="136"/>
      <c r="AI100" s="136"/>
      <c r="AJ100" s="136">
        <v>4330</v>
      </c>
      <c r="AK100" s="136">
        <v>25.555827682413351</v>
      </c>
      <c r="AL100" s="136">
        <v>-30</v>
      </c>
      <c r="AM100" s="136">
        <v>30</v>
      </c>
    </row>
    <row r="101" spans="26:44">
      <c r="Z101" s="136">
        <v>5040</v>
      </c>
      <c r="AA101" s="136">
        <v>101559.45131731726</v>
      </c>
      <c r="AB101" s="185">
        <v>12.592153267605287</v>
      </c>
      <c r="AC101" s="185">
        <v>12.694237405307339</v>
      </c>
      <c r="AD101" s="136"/>
      <c r="AE101" s="136"/>
      <c r="AF101" s="136"/>
      <c r="AG101" s="136"/>
      <c r="AI101" s="136"/>
      <c r="AJ101" s="136">
        <v>5040</v>
      </c>
      <c r="AK101" s="136">
        <v>-0.80417700128542435</v>
      </c>
      <c r="AL101" s="136">
        <v>-30</v>
      </c>
      <c r="AM101" s="136">
        <v>30</v>
      </c>
    </row>
    <row r="102" spans="26:44">
      <c r="Z102" s="136">
        <v>5050</v>
      </c>
      <c r="AA102" s="136">
        <v>103917.23042601327</v>
      </c>
      <c r="AB102" s="185">
        <v>12.821550517159716</v>
      </c>
      <c r="AC102" s="185">
        <v>12.932269484169355</v>
      </c>
      <c r="AD102" s="136"/>
      <c r="AE102" s="136"/>
      <c r="AF102" s="136"/>
      <c r="AG102" s="136"/>
      <c r="AI102" s="136"/>
      <c r="AJ102" s="136">
        <v>5050</v>
      </c>
      <c r="AK102" s="136">
        <v>-0.85614491056789177</v>
      </c>
      <c r="AL102" s="136">
        <v>-30</v>
      </c>
      <c r="AM102" s="136">
        <v>30</v>
      </c>
    </row>
    <row r="103" spans="26:44">
      <c r="Z103" s="136">
        <v>5060</v>
      </c>
      <c r="AA103" s="136">
        <v>131224.76140284917</v>
      </c>
      <c r="AB103" s="185">
        <v>11.269739910077973</v>
      </c>
      <c r="AC103" s="185">
        <v>10.156014044749558</v>
      </c>
      <c r="AD103" s="136"/>
      <c r="AE103" s="136"/>
      <c r="AF103" s="136"/>
      <c r="AG103" s="136"/>
      <c r="AI103" s="136"/>
      <c r="AJ103" s="136">
        <v>5060</v>
      </c>
      <c r="AK103" s="136">
        <v>10.966170984217854</v>
      </c>
      <c r="AL103" s="136">
        <v>-30</v>
      </c>
      <c r="AM103" s="136">
        <v>30</v>
      </c>
    </row>
    <row r="104" spans="26:44">
      <c r="Z104" s="136"/>
      <c r="AA104" s="136"/>
      <c r="AB104" s="185"/>
      <c r="AC104" s="185"/>
      <c r="AD104" s="136"/>
      <c r="AE104" s="136"/>
      <c r="AF104" s="136"/>
      <c r="AG104" s="136"/>
      <c r="AI104" s="136"/>
    </row>
    <row r="105" spans="26:44">
      <c r="Z105" s="136"/>
      <c r="AA105" s="136"/>
      <c r="AB105" s="185"/>
      <c r="AC105" s="185"/>
      <c r="AD105" s="136"/>
      <c r="AE105" s="136"/>
      <c r="AF105" s="136"/>
      <c r="AG105" s="136"/>
      <c r="AI105" s="136"/>
    </row>
    <row r="106" spans="26:44">
      <c r="Z106" s="136"/>
      <c r="AA106" s="136"/>
      <c r="AB106" s="185"/>
      <c r="AC106" s="185"/>
      <c r="AD106" s="136"/>
      <c r="AE106" s="136"/>
      <c r="AF106" s="136"/>
      <c r="AG106" s="136"/>
      <c r="AI106" s="136"/>
    </row>
    <row r="107" spans="26:44">
      <c r="Z107" s="136"/>
      <c r="AA107" s="136"/>
      <c r="AB107" s="185"/>
      <c r="AC107" s="185"/>
      <c r="AD107" s="136"/>
      <c r="AE107" s="136"/>
      <c r="AF107" s="136"/>
      <c r="AG107" s="136"/>
      <c r="AI107" s="136"/>
    </row>
    <row r="108" spans="26:44">
      <c r="Z108" s="136"/>
      <c r="AA108" s="136"/>
      <c r="AB108" s="185"/>
      <c r="AC108" s="185"/>
      <c r="AD108" s="136"/>
      <c r="AE108" s="136"/>
      <c r="AF108" s="136"/>
      <c r="AG108" s="136"/>
      <c r="AI108" s="136"/>
    </row>
    <row r="109" spans="26:44">
      <c r="Z109" s="136"/>
      <c r="AA109" s="136"/>
      <c r="AB109" s="185"/>
      <c r="AC109" s="185"/>
      <c r="AD109" s="136"/>
      <c r="AE109" s="136"/>
      <c r="AF109" s="136"/>
      <c r="AG109" s="136"/>
      <c r="AI109" s="136"/>
    </row>
    <row r="110" spans="26:44">
      <c r="Z110" s="136"/>
      <c r="AA110" s="136"/>
      <c r="AB110" s="185"/>
      <c r="AC110" s="185"/>
      <c r="AD110" s="136"/>
      <c r="AE110" s="136"/>
      <c r="AF110" s="136"/>
      <c r="AG110" s="136"/>
      <c r="AI110" s="136"/>
    </row>
    <row r="111" spans="26:44">
      <c r="Z111" s="136"/>
      <c r="AA111" s="136"/>
      <c r="AB111" s="185"/>
      <c r="AC111" s="185"/>
      <c r="AD111" s="136"/>
      <c r="AE111" s="136"/>
      <c r="AF111" s="136"/>
      <c r="AG111" s="136"/>
      <c r="AI111" s="136"/>
    </row>
    <row r="112" spans="26:44">
      <c r="Z112" s="136"/>
      <c r="AA112" s="136"/>
      <c r="AB112" s="185"/>
      <c r="AC112" s="185"/>
      <c r="AD112" s="136"/>
      <c r="AE112" s="136"/>
      <c r="AF112" s="136"/>
      <c r="AG112" s="136"/>
      <c r="AI112" s="136"/>
    </row>
    <row r="113" spans="11:53">
      <c r="Z113" s="136"/>
      <c r="AA113" s="136"/>
      <c r="AB113" s="185"/>
      <c r="AC113" s="185"/>
      <c r="AD113" s="136"/>
      <c r="AE113" s="136"/>
      <c r="AF113" s="136"/>
      <c r="AG113" s="136"/>
      <c r="AI113" s="136"/>
    </row>
    <row r="124" spans="11:53">
      <c r="AD124" t="s">
        <v>632</v>
      </c>
      <c r="AH124"/>
      <c r="AJ124"/>
      <c r="AK124"/>
      <c r="AL124"/>
      <c r="AM124" t="s">
        <v>626</v>
      </c>
      <c r="AN124"/>
      <c r="AO124"/>
      <c r="AP124"/>
      <c r="AR124"/>
      <c r="AS124" s="136"/>
      <c r="AT124" s="136"/>
      <c r="AU124" s="136"/>
      <c r="AV124" t="s">
        <v>627</v>
      </c>
      <c r="AW124" s="136"/>
      <c r="AX124" s="136"/>
      <c r="AY124" s="136"/>
      <c r="AZ124" s="136"/>
      <c r="BA124" s="136"/>
    </row>
    <row r="125" spans="11:53">
      <c r="U125" t="s">
        <v>640</v>
      </c>
    </row>
    <row r="126" spans="11:53">
      <c r="K126" t="s">
        <v>652</v>
      </c>
      <c r="AG126" s="136"/>
      <c r="AI126" s="136"/>
    </row>
    <row r="127" spans="11:53">
      <c r="AG127" s="136"/>
      <c r="AI127" s="136"/>
    </row>
    <row r="128" spans="11:53">
      <c r="AG128" s="136"/>
      <c r="AI128" s="136"/>
    </row>
    <row r="129" spans="33:35">
      <c r="AG129" s="136"/>
      <c r="AI129" s="136"/>
    </row>
    <row r="130" spans="33:35">
      <c r="AG130" s="136"/>
      <c r="AI130" s="136"/>
    </row>
    <row r="131" spans="33:35">
      <c r="AG131" s="136"/>
      <c r="AI131" s="136"/>
    </row>
    <row r="132" spans="33:35">
      <c r="AG132" s="136"/>
      <c r="AI132" s="136"/>
    </row>
    <row r="133" spans="33:35">
      <c r="AG133" s="136"/>
      <c r="AI133" s="136"/>
    </row>
    <row r="134" spans="33:35">
      <c r="AG134" s="136"/>
      <c r="AI134" s="136"/>
    </row>
    <row r="135" spans="33:35">
      <c r="AG135" s="136"/>
      <c r="AI135" s="136"/>
    </row>
    <row r="136" spans="33:35">
      <c r="AG136" s="136"/>
      <c r="AI136" s="136"/>
    </row>
    <row r="137" spans="33:35">
      <c r="AG137" s="136"/>
      <c r="AI137" s="136"/>
    </row>
    <row r="138" spans="33:35">
      <c r="AG138" s="136"/>
      <c r="AI138" s="136"/>
    </row>
    <row r="139" spans="33:35">
      <c r="AG139" s="136"/>
      <c r="AI139" s="136"/>
    </row>
    <row r="140" spans="33:35">
      <c r="AG140" s="136"/>
      <c r="AI140" s="136"/>
    </row>
    <row r="141" spans="33:35">
      <c r="AG141" s="136"/>
      <c r="AI141" s="136"/>
    </row>
    <row r="142" spans="33:35">
      <c r="AG142" s="136"/>
      <c r="AI142" s="136"/>
    </row>
    <row r="143" spans="33:35">
      <c r="AG143" s="136"/>
      <c r="AI143" s="136"/>
    </row>
    <row r="144" spans="33:35">
      <c r="AG144" s="136"/>
      <c r="AI144" s="136"/>
    </row>
    <row r="145" spans="33:35">
      <c r="AG145" s="136"/>
      <c r="AI145" s="136"/>
    </row>
    <row r="146" spans="33:35">
      <c r="AG146" s="136"/>
      <c r="AI146" s="136"/>
    </row>
    <row r="147" spans="33:35">
      <c r="AG147" s="136"/>
      <c r="AI147" s="136"/>
    </row>
    <row r="148" spans="33:35">
      <c r="AG148" s="136"/>
      <c r="AI148" s="136"/>
    </row>
    <row r="190" spans="13:21">
      <c r="M190" s="226"/>
      <c r="O190" s="226"/>
      <c r="P190" s="226"/>
      <c r="Q190" s="226"/>
      <c r="R190" s="226"/>
      <c r="S190" s="226"/>
      <c r="T190" s="226"/>
      <c r="U190" s="226"/>
    </row>
    <row r="191" spans="13:21">
      <c r="O191" s="226"/>
    </row>
    <row r="192" spans="13:21">
      <c r="O192" s="226"/>
    </row>
    <row r="193" spans="15:15">
      <c r="O193" s="226"/>
    </row>
    <row r="194" spans="15:15">
      <c r="O194" s="226"/>
    </row>
    <row r="195" spans="15:15">
      <c r="O195" s="226"/>
    </row>
    <row r="196" spans="15:15">
      <c r="O196" s="226"/>
    </row>
    <row r="197" spans="15:15">
      <c r="O197" s="226"/>
    </row>
  </sheetData>
  <pageMargins left="0.78740157499999996" right="0.78740157499999996" top="0.984251969" bottom="0.984251969" header="0.5" footer="0.5"/>
  <pageSetup paperSize="9" scale="95" orientation="portrait" horizontalDpi="4294967292" verticalDpi="4294967292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indexed="51"/>
  </sheetPr>
  <dimension ref="O1:Z180"/>
  <sheetViews>
    <sheetView workbookViewId="0">
      <selection activeCell="V33" sqref="V33"/>
    </sheetView>
  </sheetViews>
  <sheetFormatPr baseColWidth="10" defaultRowHeight="13"/>
  <sheetData>
    <row r="1" spans="15:26" ht="14">
      <c r="P1" s="103" t="s">
        <v>127</v>
      </c>
      <c r="Q1" s="103" t="s">
        <v>128</v>
      </c>
      <c r="R1" s="103"/>
      <c r="S1" s="103" t="s">
        <v>127</v>
      </c>
      <c r="T1" s="156" t="s">
        <v>128</v>
      </c>
    </row>
    <row r="2" spans="15:26">
      <c r="O2" t="s">
        <v>393</v>
      </c>
      <c r="P2" t="s">
        <v>282</v>
      </c>
      <c r="Q2" t="s">
        <v>282</v>
      </c>
      <c r="R2" t="s">
        <v>393</v>
      </c>
      <c r="S2" t="s">
        <v>284</v>
      </c>
      <c r="T2" s="136" t="s">
        <v>284</v>
      </c>
    </row>
    <row r="3" spans="15:26">
      <c r="P3" t="s">
        <v>79</v>
      </c>
      <c r="Q3" t="s">
        <v>79</v>
      </c>
      <c r="S3" t="s">
        <v>79</v>
      </c>
      <c r="T3" t="s">
        <v>79</v>
      </c>
      <c r="V3" s="305" t="s">
        <v>986</v>
      </c>
      <c r="W3" s="305" t="s">
        <v>987</v>
      </c>
      <c r="Y3" s="305" t="s">
        <v>989</v>
      </c>
      <c r="Z3" s="305" t="s">
        <v>990</v>
      </c>
    </row>
    <row r="4" spans="15:26">
      <c r="O4">
        <f>Graphs!Z4</f>
        <v>630</v>
      </c>
      <c r="P4" s="181">
        <f>Graphs!$AA4*Graphs!AB4*100/1000</f>
        <v>0</v>
      </c>
      <c r="Q4" s="181" t="e">
        <f>Graphs!$AA4*Graphs!#REF!*100/1000</f>
        <v>#REF!</v>
      </c>
      <c r="R4" s="181">
        <f>Graphs!AE4</f>
        <v>630</v>
      </c>
      <c r="S4" s="181" t="e">
        <f>Graphs!$AF4*Graphs!#REF!*100/1000</f>
        <v>#REF!</v>
      </c>
      <c r="T4" s="181">
        <f>Graphs!$AF4*Graphs!AH4*100/1000</f>
        <v>0</v>
      </c>
      <c r="V4" s="334" t="e">
        <f>Q4-P4</f>
        <v>#REF!</v>
      </c>
      <c r="W4" s="305" t="e">
        <f>V4/Q4*100</f>
        <v>#REF!</v>
      </c>
      <c r="Y4" s="181" t="e">
        <f>T4-S4</f>
        <v>#REF!</v>
      </c>
      <c r="Z4" s="305" t="e">
        <f>Y4/T4*100</f>
        <v>#REF!</v>
      </c>
    </row>
    <row r="5" spans="15:26">
      <c r="O5">
        <f>Graphs!Z5</f>
        <v>650</v>
      </c>
      <c r="P5" s="181">
        <f>Graphs!$AA5*Graphs!AB5*100/1000</f>
        <v>0</v>
      </c>
      <c r="Q5" s="181" t="e">
        <f>Graphs!$AA5*Graphs!#REF!*100/1000</f>
        <v>#REF!</v>
      </c>
      <c r="R5" s="181">
        <f>Graphs!AE5</f>
        <v>650</v>
      </c>
      <c r="S5" s="181" t="e">
        <f>Graphs!$AF5*Graphs!#REF!*100/1000</f>
        <v>#REF!</v>
      </c>
      <c r="T5" s="181">
        <f>Graphs!$AF5*Graphs!AH5*100/1000</f>
        <v>0</v>
      </c>
      <c r="V5" s="334" t="e">
        <f t="shared" ref="V5:V25" si="0">Q5-P5</f>
        <v>#REF!</v>
      </c>
      <c r="W5" s="305" t="e">
        <f t="shared" ref="W5:W25" si="1">V5/Q5*100</f>
        <v>#REF!</v>
      </c>
      <c r="Y5" s="181" t="e">
        <f t="shared" ref="Y5:Y25" si="2">T5-S5</f>
        <v>#REF!</v>
      </c>
      <c r="Z5" s="305" t="e">
        <f t="shared" ref="Z5:Z25" si="3">Y5/T5*100</f>
        <v>#REF!</v>
      </c>
    </row>
    <row r="6" spans="15:26">
      <c r="O6">
        <f>Graphs!Z6</f>
        <v>670</v>
      </c>
      <c r="P6" s="181">
        <f>Graphs!$AA6*Graphs!AB6*100/1000</f>
        <v>0</v>
      </c>
      <c r="Q6" s="181" t="e">
        <f>Graphs!$AA6*Graphs!#REF!*100/1000</f>
        <v>#REF!</v>
      </c>
      <c r="R6" s="181">
        <f>Graphs!AE6</f>
        <v>670</v>
      </c>
      <c r="S6" s="181" t="e">
        <f>Graphs!$AF6*Graphs!#REF!*100/1000</f>
        <v>#REF!</v>
      </c>
      <c r="T6" s="181">
        <f>Graphs!$AF6*Graphs!AH6*100/1000</f>
        <v>0</v>
      </c>
      <c r="V6" s="334" t="e">
        <f t="shared" si="0"/>
        <v>#REF!</v>
      </c>
      <c r="W6" s="305" t="e">
        <f t="shared" si="1"/>
        <v>#REF!</v>
      </c>
      <c r="Y6" s="181" t="e">
        <f t="shared" si="2"/>
        <v>#REF!</v>
      </c>
      <c r="Z6" s="305" t="e">
        <f t="shared" si="3"/>
        <v>#REF!</v>
      </c>
    </row>
    <row r="7" spans="15:26">
      <c r="O7">
        <f>Graphs!Z7</f>
        <v>680</v>
      </c>
      <c r="P7" s="181">
        <f>Graphs!$AA7*Graphs!AB7*100/1000</f>
        <v>0</v>
      </c>
      <c r="Q7" s="181" t="e">
        <f>Graphs!$AA7*Graphs!#REF!*100/1000</f>
        <v>#REF!</v>
      </c>
      <c r="R7" s="181">
        <f>Graphs!AE7</f>
        <v>680</v>
      </c>
      <c r="S7" s="181" t="e">
        <f>Graphs!$AF7*Graphs!#REF!*100/1000</f>
        <v>#REF!</v>
      </c>
      <c r="T7" s="181">
        <f>Graphs!$AF7*Graphs!AH7*100/1000</f>
        <v>0</v>
      </c>
      <c r="V7" s="334" t="e">
        <f t="shared" si="0"/>
        <v>#REF!</v>
      </c>
      <c r="W7" s="305" t="e">
        <f t="shared" si="1"/>
        <v>#REF!</v>
      </c>
      <c r="Y7" s="181" t="e">
        <f t="shared" si="2"/>
        <v>#REF!</v>
      </c>
      <c r="Z7" s="305" t="e">
        <f t="shared" si="3"/>
        <v>#REF!</v>
      </c>
    </row>
    <row r="8" spans="15:26">
      <c r="O8">
        <f>Graphs!Z8</f>
        <v>690</v>
      </c>
      <c r="P8" s="181">
        <f>Graphs!$AA8*Graphs!AB8*100/1000</f>
        <v>0</v>
      </c>
      <c r="Q8" s="181">
        <f>Graphs!$AA8*Graphs!AC8*100/1000</f>
        <v>0</v>
      </c>
      <c r="R8" s="181">
        <f>Graphs!AE8</f>
        <v>690</v>
      </c>
      <c r="S8" s="181" t="e">
        <f>Graphs!$AF8*Graphs!#REF!*100/1000</f>
        <v>#REF!</v>
      </c>
      <c r="T8" s="181">
        <f>Graphs!$AF8*Graphs!AH8*100/1000</f>
        <v>0</v>
      </c>
      <c r="V8" s="334">
        <f t="shared" si="0"/>
        <v>0</v>
      </c>
      <c r="W8" s="305" t="e">
        <f t="shared" si="1"/>
        <v>#DIV/0!</v>
      </c>
      <c r="Y8" s="181" t="e">
        <f t="shared" si="2"/>
        <v>#REF!</v>
      </c>
      <c r="Z8" s="305" t="e">
        <f t="shared" si="3"/>
        <v>#REF!</v>
      </c>
    </row>
    <row r="9" spans="15:26">
      <c r="O9">
        <f>Graphs!Z9</f>
        <v>700</v>
      </c>
      <c r="P9" s="181">
        <f>Graphs!$AA9*Graphs!AB9*100/1000</f>
        <v>0</v>
      </c>
      <c r="Q9" s="181">
        <f>Graphs!$AA9*Graphs!AC9*100/1000</f>
        <v>0</v>
      </c>
      <c r="R9" s="181">
        <f>Graphs!AE9</f>
        <v>700</v>
      </c>
      <c r="S9" s="181" t="e">
        <f>Graphs!$AF9*Graphs!#REF!*100/1000</f>
        <v>#REF!</v>
      </c>
      <c r="T9" s="181">
        <f>Graphs!$AF9*Graphs!AH9*100/1000</f>
        <v>0</v>
      </c>
      <c r="V9" s="334">
        <f t="shared" si="0"/>
        <v>0</v>
      </c>
      <c r="W9" s="305" t="e">
        <f t="shared" si="1"/>
        <v>#DIV/0!</v>
      </c>
      <c r="Y9" s="181" t="e">
        <f t="shared" si="2"/>
        <v>#REF!</v>
      </c>
      <c r="Z9" s="305" t="e">
        <f t="shared" si="3"/>
        <v>#REF!</v>
      </c>
    </row>
    <row r="10" spans="15:26">
      <c r="O10">
        <f>Graphs!Z10</f>
        <v>710</v>
      </c>
      <c r="P10" s="181">
        <f>Graphs!$AA10*Graphs!AB10*100/1000</f>
        <v>0</v>
      </c>
      <c r="Q10" s="181">
        <f>Graphs!$AA10*Graphs!AC10*100/1000</f>
        <v>0</v>
      </c>
      <c r="R10" s="181">
        <f>Graphs!AE10</f>
        <v>710</v>
      </c>
      <c r="S10" s="181" t="e">
        <f>Graphs!$AF10*Graphs!#REF!*100/1000</f>
        <v>#REF!</v>
      </c>
      <c r="T10" s="181">
        <f>Graphs!$AF10*Graphs!AH10*100/1000</f>
        <v>0</v>
      </c>
      <c r="V10" s="334">
        <f t="shared" si="0"/>
        <v>0</v>
      </c>
      <c r="W10" s="305" t="e">
        <f t="shared" si="1"/>
        <v>#DIV/0!</v>
      </c>
      <c r="Y10" s="181" t="e">
        <f t="shared" si="2"/>
        <v>#REF!</v>
      </c>
      <c r="Z10" s="305" t="e">
        <f t="shared" si="3"/>
        <v>#REF!</v>
      </c>
    </row>
    <row r="11" spans="15:26">
      <c r="O11">
        <f>Graphs!Z11</f>
        <v>1050</v>
      </c>
      <c r="P11" s="181">
        <f>Graphs!$AA11*Graphs!AB11*100/1000</f>
        <v>0</v>
      </c>
      <c r="Q11" s="181">
        <f>Graphs!$AA11*Graphs!AC11*100/1000</f>
        <v>0</v>
      </c>
      <c r="R11" s="181">
        <f>Graphs!AE11</f>
        <v>1050</v>
      </c>
      <c r="S11" s="181" t="e">
        <f>Graphs!$AF11*Graphs!#REF!*100/1000</f>
        <v>#REF!</v>
      </c>
      <c r="T11" s="181">
        <f>Graphs!$AF11*Graphs!AH11*100/1000</f>
        <v>0</v>
      </c>
      <c r="V11" s="334">
        <f t="shared" si="0"/>
        <v>0</v>
      </c>
      <c r="W11" s="305" t="e">
        <f t="shared" si="1"/>
        <v>#DIV/0!</v>
      </c>
      <c r="Y11" s="181" t="e">
        <f t="shared" si="2"/>
        <v>#REF!</v>
      </c>
      <c r="Z11" s="305" t="e">
        <f t="shared" si="3"/>
        <v>#REF!</v>
      </c>
    </row>
    <row r="12" spans="15:26">
      <c r="O12">
        <f>Graphs!Z12</f>
        <v>1140</v>
      </c>
      <c r="P12" s="181">
        <f>Graphs!$AA12*Graphs!AB12*100/1000</f>
        <v>0</v>
      </c>
      <c r="Q12" s="181">
        <f>Graphs!$AA12*Graphs!AC12*100/1000</f>
        <v>0</v>
      </c>
      <c r="R12" s="181">
        <f>Graphs!AE12</f>
        <v>1140</v>
      </c>
      <c r="S12" s="181" t="e">
        <f>Graphs!$AF12*Graphs!#REF!*100/1000</f>
        <v>#REF!</v>
      </c>
      <c r="T12" s="181">
        <f>Graphs!$AF12*Graphs!AH12*100/1000</f>
        <v>0</v>
      </c>
      <c r="V12" s="334">
        <f t="shared" si="0"/>
        <v>0</v>
      </c>
      <c r="W12" s="305" t="e">
        <f t="shared" si="1"/>
        <v>#DIV/0!</v>
      </c>
      <c r="Y12" s="181" t="e">
        <f t="shared" si="2"/>
        <v>#REF!</v>
      </c>
      <c r="Z12" s="305" t="e">
        <f t="shared" si="3"/>
        <v>#REF!</v>
      </c>
    </row>
    <row r="13" spans="15:26">
      <c r="O13">
        <f>Graphs!Z13</f>
        <v>1150</v>
      </c>
      <c r="P13" s="181">
        <f>Graphs!$AA13*Graphs!AB13*100/1000</f>
        <v>0</v>
      </c>
      <c r="Q13" s="181">
        <f>Graphs!$AA13*Graphs!AC13*100/1000</f>
        <v>0</v>
      </c>
      <c r="R13" s="181">
        <f>Graphs!AE13</f>
        <v>1150</v>
      </c>
      <c r="S13" s="181" t="e">
        <f>Graphs!$AF13*Graphs!#REF!*100/1000</f>
        <v>#REF!</v>
      </c>
      <c r="T13" s="181">
        <f>Graphs!$AF13*Graphs!AH13*100/1000</f>
        <v>0</v>
      </c>
      <c r="V13" s="334">
        <f t="shared" si="0"/>
        <v>0</v>
      </c>
      <c r="W13" s="305" t="e">
        <f t="shared" si="1"/>
        <v>#DIV/0!</v>
      </c>
      <c r="Y13" s="181" t="e">
        <f t="shared" si="2"/>
        <v>#REF!</v>
      </c>
      <c r="Z13" s="305" t="e">
        <f t="shared" si="3"/>
        <v>#REF!</v>
      </c>
    </row>
    <row r="14" spans="15:26">
      <c r="O14">
        <f>Graphs!Z14</f>
        <v>1160</v>
      </c>
      <c r="P14" s="181">
        <f>Graphs!$AA14*Graphs!AB14*100/1000</f>
        <v>0</v>
      </c>
      <c r="Q14" s="181">
        <f>Graphs!$AA14*Graphs!AC14*100/1000</f>
        <v>0</v>
      </c>
      <c r="R14" s="181">
        <f>Graphs!AE14</f>
        <v>1160</v>
      </c>
      <c r="S14" s="181" t="e">
        <f>Graphs!$AF14*Graphs!#REF!*100/1000</f>
        <v>#REF!</v>
      </c>
      <c r="T14" s="181">
        <f>Graphs!$AF14*Graphs!AH14*100/1000</f>
        <v>0</v>
      </c>
      <c r="V14" s="334">
        <f t="shared" si="0"/>
        <v>0</v>
      </c>
      <c r="W14" s="305" t="e">
        <f t="shared" si="1"/>
        <v>#DIV/0!</v>
      </c>
      <c r="Y14" s="181" t="e">
        <f t="shared" si="2"/>
        <v>#REF!</v>
      </c>
      <c r="Z14" s="305" t="e">
        <f t="shared" si="3"/>
        <v>#REF!</v>
      </c>
    </row>
    <row r="15" spans="15:26">
      <c r="O15">
        <f>Graphs!Z15</f>
        <v>1170</v>
      </c>
      <c r="P15" s="181">
        <f>Graphs!$AA15*Graphs!AB15*100/1000</f>
        <v>0</v>
      </c>
      <c r="Q15" s="181">
        <f>Graphs!$AA15*Graphs!AC15*100/1000</f>
        <v>0</v>
      </c>
      <c r="R15" s="181">
        <f>Graphs!AE15</f>
        <v>1170</v>
      </c>
      <c r="S15" s="181" t="e">
        <f>Graphs!$AF15*Graphs!#REF!*100/1000</f>
        <v>#REF!</v>
      </c>
      <c r="T15" s="181">
        <f>Graphs!$AF15*Graphs!AH15*100/1000</f>
        <v>0</v>
      </c>
      <c r="V15" s="334">
        <f t="shared" si="0"/>
        <v>0</v>
      </c>
      <c r="W15" s="305" t="e">
        <f t="shared" si="1"/>
        <v>#DIV/0!</v>
      </c>
      <c r="Y15" s="181" t="e">
        <f t="shared" si="2"/>
        <v>#REF!</v>
      </c>
      <c r="Z15" s="305" t="e">
        <f t="shared" si="3"/>
        <v>#REF!</v>
      </c>
    </row>
    <row r="16" spans="15:26">
      <c r="O16">
        <f>Graphs!Z16</f>
        <v>1180</v>
      </c>
      <c r="P16" s="181">
        <f>Graphs!$AA16*Graphs!AB16*100/1000</f>
        <v>0</v>
      </c>
      <c r="Q16" s="181">
        <f>Graphs!$AA16*Graphs!AC16*100/1000</f>
        <v>0</v>
      </c>
      <c r="R16" s="181">
        <f>Graphs!AE16</f>
        <v>1180</v>
      </c>
      <c r="S16" s="181" t="e">
        <f>Graphs!$AF16*Graphs!#REF!*100/1000</f>
        <v>#REF!</v>
      </c>
      <c r="T16" s="181">
        <f>Graphs!$AF16*Graphs!AH16*100/1000</f>
        <v>0</v>
      </c>
      <c r="V16" s="334">
        <f t="shared" si="0"/>
        <v>0</v>
      </c>
      <c r="W16" s="305" t="e">
        <f t="shared" si="1"/>
        <v>#DIV/0!</v>
      </c>
      <c r="Y16" s="181" t="e">
        <f t="shared" si="2"/>
        <v>#REF!</v>
      </c>
      <c r="Z16" s="305" t="e">
        <f t="shared" si="3"/>
        <v>#REF!</v>
      </c>
    </row>
    <row r="17" spans="15:26">
      <c r="O17">
        <f>Graphs!Z17</f>
        <v>1190</v>
      </c>
      <c r="P17" s="181">
        <f>Graphs!$AA17*Graphs!AB17*100/1000</f>
        <v>0</v>
      </c>
      <c r="Q17" s="181">
        <f>Graphs!$AA17*Graphs!AC17*100/1000</f>
        <v>0</v>
      </c>
      <c r="R17" s="181">
        <f>Graphs!AE17</f>
        <v>1190</v>
      </c>
      <c r="S17" s="181" t="e">
        <f>Graphs!$AF17*Graphs!#REF!*100/1000</f>
        <v>#REF!</v>
      </c>
      <c r="T17" s="181">
        <f>Graphs!$AF17*Graphs!AH17*100/1000</f>
        <v>0</v>
      </c>
      <c r="V17" s="334">
        <f t="shared" si="0"/>
        <v>0</v>
      </c>
      <c r="W17" s="305" t="e">
        <f t="shared" si="1"/>
        <v>#DIV/0!</v>
      </c>
      <c r="Y17" s="181" t="e">
        <f t="shared" si="2"/>
        <v>#REF!</v>
      </c>
      <c r="Z17" s="305" t="e">
        <f t="shared" si="3"/>
        <v>#REF!</v>
      </c>
    </row>
    <row r="18" spans="15:26">
      <c r="O18">
        <f>Graphs!Z18</f>
        <v>1200</v>
      </c>
      <c r="P18" s="181">
        <f>Graphs!$AA18*Graphs!AB18*100/1000</f>
        <v>0</v>
      </c>
      <c r="Q18" s="181">
        <f>Graphs!$AA18*Graphs!AC18*100/1000</f>
        <v>0</v>
      </c>
      <c r="R18" s="181">
        <f>Graphs!AE18</f>
        <v>1200</v>
      </c>
      <c r="S18" s="181" t="e">
        <f>Graphs!$AF18*Graphs!#REF!*100/1000</f>
        <v>#REF!</v>
      </c>
      <c r="T18" s="181">
        <f>Graphs!$AF18*Graphs!AH18*100/1000</f>
        <v>0</v>
      </c>
      <c r="V18" s="334">
        <f t="shared" si="0"/>
        <v>0</v>
      </c>
      <c r="W18" s="305" t="e">
        <f t="shared" si="1"/>
        <v>#DIV/0!</v>
      </c>
      <c r="Y18" s="181" t="e">
        <f t="shared" si="2"/>
        <v>#REF!</v>
      </c>
      <c r="Z18" s="305" t="e">
        <f t="shared" si="3"/>
        <v>#REF!</v>
      </c>
    </row>
    <row r="19" spans="15:26">
      <c r="O19">
        <f>Graphs!Z19</f>
        <v>1280</v>
      </c>
      <c r="P19" s="181">
        <f>Graphs!$AA19*Graphs!AB19*100/1000</f>
        <v>0</v>
      </c>
      <c r="Q19" s="181">
        <f>Graphs!$AA19*Graphs!AC19*100/1000</f>
        <v>0</v>
      </c>
      <c r="R19" s="181">
        <f>Graphs!AE19</f>
        <v>1280</v>
      </c>
      <c r="S19" s="181" t="e">
        <f>Graphs!$AF19*Graphs!#REF!*100/1000</f>
        <v>#REF!</v>
      </c>
      <c r="T19" s="181">
        <f>Graphs!$AF19*Graphs!AH19*100/1000</f>
        <v>0</v>
      </c>
      <c r="V19" s="334">
        <f t="shared" si="0"/>
        <v>0</v>
      </c>
      <c r="W19" s="305" t="e">
        <f t="shared" si="1"/>
        <v>#DIV/0!</v>
      </c>
      <c r="Y19" s="181" t="e">
        <f t="shared" si="2"/>
        <v>#REF!</v>
      </c>
      <c r="Z19" s="305" t="e">
        <f t="shared" si="3"/>
        <v>#REF!</v>
      </c>
    </row>
    <row r="20" spans="15:26">
      <c r="O20">
        <f>Graphs!Z20</f>
        <v>1290</v>
      </c>
      <c r="P20" s="181">
        <f>Graphs!$AA20*Graphs!AB20*100/1000</f>
        <v>0</v>
      </c>
      <c r="Q20" s="181">
        <f>Graphs!$AA20*Graphs!AC35*100/1000</f>
        <v>0</v>
      </c>
      <c r="R20" s="181">
        <f>Graphs!AE20</f>
        <v>1290</v>
      </c>
      <c r="S20" s="181" t="e">
        <f>Graphs!$AF20*Graphs!#REF!*100/1000</f>
        <v>#REF!</v>
      </c>
      <c r="T20" s="181">
        <f>Graphs!$AF20*Graphs!AH20*100/1000</f>
        <v>0</v>
      </c>
      <c r="V20" s="334">
        <f t="shared" si="0"/>
        <v>0</v>
      </c>
      <c r="W20" s="305" t="e">
        <f t="shared" si="1"/>
        <v>#DIV/0!</v>
      </c>
      <c r="Y20" s="181" t="e">
        <f t="shared" si="2"/>
        <v>#REF!</v>
      </c>
      <c r="Z20" s="305" t="e">
        <f t="shared" si="3"/>
        <v>#REF!</v>
      </c>
    </row>
    <row r="21" spans="15:26">
      <c r="O21">
        <f>Graphs!Z21</f>
        <v>1300</v>
      </c>
      <c r="P21" s="181">
        <f>Graphs!$AA21*Graphs!AB21*100/1000</f>
        <v>0</v>
      </c>
      <c r="Q21" s="181">
        <f>Graphs!$AA21*Graphs!AC20*100/1000</f>
        <v>0</v>
      </c>
      <c r="R21" s="181">
        <f>Graphs!AE21</f>
        <v>1300</v>
      </c>
      <c r="S21" s="181" t="e">
        <f>Graphs!$AF21*Graphs!#REF!*100/1000</f>
        <v>#REF!</v>
      </c>
      <c r="T21" s="181">
        <f>Graphs!$AF21*Graphs!AH21*100/1000</f>
        <v>0</v>
      </c>
      <c r="V21" s="334">
        <f t="shared" si="0"/>
        <v>0</v>
      </c>
      <c r="W21" s="305" t="e">
        <f t="shared" si="1"/>
        <v>#DIV/0!</v>
      </c>
      <c r="Y21" s="181" t="e">
        <f t="shared" si="2"/>
        <v>#REF!</v>
      </c>
      <c r="Z21" s="305" t="e">
        <f t="shared" si="3"/>
        <v>#REF!</v>
      </c>
    </row>
    <row r="22" spans="15:26">
      <c r="O22">
        <f>Graphs!Z22</f>
        <v>1310</v>
      </c>
      <c r="P22" s="181">
        <f>Graphs!$AA22*Graphs!AB22*100/1000</f>
        <v>0</v>
      </c>
      <c r="Q22" s="181">
        <f>Graphs!$AA22*Graphs!AC21*100/1000</f>
        <v>0</v>
      </c>
      <c r="R22" s="181">
        <f>Graphs!AE22</f>
        <v>1310</v>
      </c>
      <c r="S22" s="181" t="e">
        <f>Graphs!$AF22*Graphs!#REF!*100/1000</f>
        <v>#REF!</v>
      </c>
      <c r="T22" s="181">
        <f>Graphs!$AF22*Graphs!AH22*100/1000</f>
        <v>0</v>
      </c>
      <c r="V22" s="334">
        <f t="shared" si="0"/>
        <v>0</v>
      </c>
      <c r="W22" s="305" t="e">
        <f t="shared" si="1"/>
        <v>#DIV/0!</v>
      </c>
      <c r="Y22" s="181" t="e">
        <f t="shared" si="2"/>
        <v>#REF!</v>
      </c>
      <c r="Z22" s="305" t="e">
        <f t="shared" si="3"/>
        <v>#REF!</v>
      </c>
    </row>
    <row r="23" spans="15:26">
      <c r="O23">
        <f>Graphs!Z23</f>
        <v>1320</v>
      </c>
      <c r="P23" s="181">
        <f>Graphs!$AA23*Graphs!AB23*100/1000</f>
        <v>0</v>
      </c>
      <c r="Q23" s="181">
        <f>Graphs!$AA23*Graphs!AC23*100/1000</f>
        <v>0</v>
      </c>
      <c r="R23" s="181">
        <f>Graphs!AE23</f>
        <v>1320</v>
      </c>
      <c r="S23" s="181" t="e">
        <f>Graphs!$AF23*Graphs!#REF!*100/1000</f>
        <v>#REF!</v>
      </c>
      <c r="T23" s="181">
        <f>Graphs!$AF23*Graphs!AH23*100/1000</f>
        <v>0</v>
      </c>
      <c r="V23" s="334">
        <f t="shared" si="0"/>
        <v>0</v>
      </c>
      <c r="W23" s="305" t="e">
        <f t="shared" si="1"/>
        <v>#DIV/0!</v>
      </c>
      <c r="Y23" s="181" t="e">
        <f t="shared" si="2"/>
        <v>#REF!</v>
      </c>
      <c r="Z23" s="305" t="e">
        <f t="shared" si="3"/>
        <v>#REF!</v>
      </c>
    </row>
    <row r="24" spans="15:26">
      <c r="O24" t="e">
        <f>Graphs!#REF!</f>
        <v>#REF!</v>
      </c>
      <c r="P24" s="181" t="e">
        <f>Graphs!#REF!*Graphs!AB37*100/1000</f>
        <v>#REF!</v>
      </c>
      <c r="Q24" s="181" t="e">
        <f>Graphs!#REF!*Graphs!#REF!*100/1000</f>
        <v>#REF!</v>
      </c>
      <c r="R24" s="181">
        <f>Graphs!AE24</f>
        <v>1330</v>
      </c>
      <c r="S24" s="181" t="e">
        <f>Graphs!$AF24*Graphs!#REF!*100/1000</f>
        <v>#REF!</v>
      </c>
      <c r="T24" s="181">
        <f>Graphs!$AF24*Graphs!AH24*100/1000</f>
        <v>0</v>
      </c>
      <c r="V24" s="334" t="e">
        <f t="shared" si="0"/>
        <v>#REF!</v>
      </c>
      <c r="W24" s="305" t="e">
        <f t="shared" si="1"/>
        <v>#REF!</v>
      </c>
      <c r="Y24" s="181" t="e">
        <f t="shared" si="2"/>
        <v>#REF!</v>
      </c>
      <c r="Z24" s="305" t="e">
        <f t="shared" si="3"/>
        <v>#REF!</v>
      </c>
    </row>
    <row r="25" spans="15:26">
      <c r="O25">
        <f>Graphs!Z24</f>
        <v>1330</v>
      </c>
      <c r="P25" s="181">
        <f>Graphs!$AA24*Graphs!AB24*100/1000</f>
        <v>0</v>
      </c>
      <c r="Q25" s="181">
        <f>Graphs!$AA24*Graphs!AC24*100/1000</f>
        <v>0</v>
      </c>
      <c r="R25" s="181">
        <f>Graphs!AE25</f>
        <v>1340</v>
      </c>
      <c r="S25" s="181" t="e">
        <f>Graphs!$AF25*Graphs!#REF!*100/1000</f>
        <v>#REF!</v>
      </c>
      <c r="T25" s="181">
        <f>Graphs!$AF25*Graphs!AH25*100/1000</f>
        <v>0</v>
      </c>
      <c r="V25" s="334">
        <f t="shared" si="0"/>
        <v>0</v>
      </c>
      <c r="W25" s="305" t="e">
        <f t="shared" si="1"/>
        <v>#DIV/0!</v>
      </c>
      <c r="Y25" s="181" t="e">
        <f t="shared" si="2"/>
        <v>#REF!</v>
      </c>
      <c r="Z25" s="305" t="e">
        <f t="shared" si="3"/>
        <v>#REF!</v>
      </c>
    </row>
    <row r="26" spans="15:26">
      <c r="O26" t="e">
        <f>Graphs!#REF!</f>
        <v>#REF!</v>
      </c>
      <c r="P26" s="181"/>
      <c r="Q26" s="181"/>
      <c r="R26" s="181">
        <f>Graphs!AE26</f>
        <v>1360</v>
      </c>
      <c r="S26" s="181"/>
      <c r="T26" s="181"/>
    </row>
    <row r="27" spans="15:26">
      <c r="O27" t="e">
        <f>Graphs!#REF!</f>
        <v>#REF!</v>
      </c>
      <c r="P27" s="181"/>
      <c r="Q27" s="181"/>
      <c r="R27" s="181">
        <f>Graphs!AE27</f>
        <v>1370</v>
      </c>
      <c r="S27" s="181"/>
      <c r="T27" s="181"/>
      <c r="V27" s="305" t="s">
        <v>749</v>
      </c>
      <c r="W27" s="335" t="e">
        <f>AVERAGE(W4:W25)</f>
        <v>#REF!</v>
      </c>
      <c r="Y27" s="305" t="s">
        <v>749</v>
      </c>
      <c r="Z27" s="335" t="e">
        <f>AVERAGE(Z4:Z25)</f>
        <v>#REF!</v>
      </c>
    </row>
    <row r="28" spans="15:26">
      <c r="O28" t="e">
        <f>Graphs!#REF!</f>
        <v>#REF!</v>
      </c>
      <c r="P28" s="181"/>
      <c r="Q28" s="181"/>
      <c r="R28" s="181">
        <f>Graphs!AE28</f>
        <v>1380</v>
      </c>
      <c r="S28" s="181"/>
      <c r="T28" s="181"/>
      <c r="V28" s="305" t="s">
        <v>988</v>
      </c>
      <c r="W28" s="305" t="e">
        <f>STDEV(W4:W25)</f>
        <v>#REF!</v>
      </c>
      <c r="Y28" s="305" t="s">
        <v>988</v>
      </c>
      <c r="Z28" s="305" t="e">
        <f>STDEV(Z4:Z25)</f>
        <v>#REF!</v>
      </c>
    </row>
    <row r="29" spans="15:26">
      <c r="O29" t="e">
        <f>Graphs!#REF!</f>
        <v>#REF!</v>
      </c>
      <c r="P29" s="181"/>
      <c r="Q29" s="181"/>
      <c r="R29" s="181">
        <f>Graphs!AE29</f>
        <v>1560</v>
      </c>
      <c r="S29" s="181"/>
      <c r="T29" s="181"/>
    </row>
    <row r="30" spans="15:26">
      <c r="O30" t="e">
        <f>Graphs!#REF!</f>
        <v>#REF!</v>
      </c>
      <c r="P30" s="181"/>
      <c r="Q30" s="181"/>
      <c r="R30" s="181">
        <f>Graphs!AE30</f>
        <v>1570</v>
      </c>
      <c r="S30" s="181"/>
      <c r="T30" s="181"/>
    </row>
    <row r="31" spans="15:26">
      <c r="O31" t="e">
        <f>Graphs!#REF!</f>
        <v>#REF!</v>
      </c>
      <c r="P31" s="181"/>
      <c r="Q31" s="181"/>
      <c r="R31" s="181">
        <f>Graphs!AE31</f>
        <v>1580</v>
      </c>
      <c r="S31" s="181"/>
      <c r="T31" s="181"/>
    </row>
    <row r="32" spans="15:26">
      <c r="O32" t="e">
        <f>Graphs!#REF!</f>
        <v>#REF!</v>
      </c>
      <c r="P32" s="181"/>
      <c r="Q32" s="181"/>
      <c r="R32" s="181">
        <f>Graphs!AE32</f>
        <v>1590</v>
      </c>
      <c r="S32" s="181"/>
      <c r="T32" s="181"/>
    </row>
    <row r="33" spans="15:20">
      <c r="O33" t="e">
        <f>Graphs!#REF!</f>
        <v>#REF!</v>
      </c>
      <c r="P33" s="181"/>
      <c r="Q33" s="181"/>
      <c r="R33" s="181">
        <f>Graphs!AE33</f>
        <v>1600</v>
      </c>
      <c r="S33" s="181"/>
      <c r="T33" s="181"/>
    </row>
    <row r="34" spans="15:20">
      <c r="O34" t="e">
        <f>Graphs!#REF!</f>
        <v>#REF!</v>
      </c>
      <c r="P34" s="181"/>
      <c r="Q34" s="181"/>
      <c r="R34" s="181">
        <f>Graphs!AE34</f>
        <v>1630</v>
      </c>
      <c r="S34" s="181"/>
      <c r="T34" s="181"/>
    </row>
    <row r="35" spans="15:20">
      <c r="O35" t="e">
        <f>Graphs!#REF!</f>
        <v>#REF!</v>
      </c>
      <c r="P35" s="181"/>
      <c r="Q35" s="181"/>
      <c r="R35" s="181">
        <f>Graphs!AE35</f>
        <v>4010</v>
      </c>
      <c r="S35" s="181"/>
      <c r="T35" s="181"/>
    </row>
    <row r="36" spans="15:20">
      <c r="O36" t="e">
        <f>Graphs!#REF!</f>
        <v>#REF!</v>
      </c>
      <c r="P36" s="181"/>
      <c r="Q36" s="181"/>
      <c r="R36" s="181">
        <f>Graphs!AE36</f>
        <v>4020</v>
      </c>
      <c r="S36" s="181"/>
      <c r="T36" s="181"/>
    </row>
    <row r="37" spans="15:20">
      <c r="O37" t="e">
        <f>Graphs!#REF!</f>
        <v>#REF!</v>
      </c>
      <c r="P37" s="181"/>
      <c r="Q37" s="181"/>
      <c r="R37" s="181">
        <f>Graphs!AE37</f>
        <v>4080</v>
      </c>
      <c r="S37" s="181"/>
      <c r="T37" s="181"/>
    </row>
    <row r="38" spans="15:20">
      <c r="O38" t="e">
        <f>Graphs!#REF!</f>
        <v>#REF!</v>
      </c>
      <c r="P38" s="181"/>
      <c r="Q38" s="181"/>
      <c r="R38" s="181">
        <f>Graphs!AE38</f>
        <v>4990</v>
      </c>
      <c r="S38" s="181"/>
      <c r="T38" s="181"/>
    </row>
    <row r="39" spans="15:20">
      <c r="O39" t="e">
        <f>Graphs!#REF!</f>
        <v>#REF!</v>
      </c>
      <c r="P39" s="181"/>
      <c r="Q39" s="181"/>
      <c r="R39" s="181">
        <f>Graphs!AE39</f>
        <v>5010</v>
      </c>
      <c r="S39" s="181"/>
      <c r="T39" s="181"/>
    </row>
    <row r="40" spans="15:20">
      <c r="P40" s="181"/>
      <c r="Q40" s="181"/>
      <c r="R40" s="181"/>
      <c r="S40" s="181"/>
      <c r="T40" s="181"/>
    </row>
    <row r="41" spans="15:20">
      <c r="P41" s="181"/>
      <c r="Q41" s="181"/>
      <c r="R41" s="181"/>
      <c r="S41" s="181"/>
      <c r="T41" s="181"/>
    </row>
    <row r="42" spans="15:20">
      <c r="P42" s="181"/>
      <c r="Q42" s="181"/>
      <c r="R42" s="181"/>
      <c r="S42" s="181"/>
      <c r="T42" s="181"/>
    </row>
    <row r="43" spans="15:20">
      <c r="P43" s="181"/>
      <c r="Q43" s="181"/>
      <c r="R43" s="181"/>
      <c r="S43" s="181"/>
      <c r="T43" s="181"/>
    </row>
    <row r="44" spans="15:20">
      <c r="P44" s="181"/>
      <c r="Q44" s="181"/>
      <c r="R44" s="181"/>
      <c r="S44" s="181"/>
      <c r="T44" s="181"/>
    </row>
    <row r="45" spans="15:20">
      <c r="P45" s="181"/>
      <c r="Q45" s="181"/>
      <c r="R45" s="181"/>
      <c r="S45" s="181"/>
      <c r="T45" s="181"/>
    </row>
    <row r="46" spans="15:20">
      <c r="P46" s="181"/>
      <c r="Q46" s="181"/>
      <c r="R46" s="181"/>
      <c r="S46" s="181"/>
      <c r="T46" s="181"/>
    </row>
    <row r="47" spans="15:20">
      <c r="P47" s="181"/>
      <c r="Q47" s="181"/>
      <c r="R47" s="181"/>
      <c r="S47" s="181"/>
      <c r="T47" s="181"/>
    </row>
    <row r="48" spans="15:20">
      <c r="P48" s="181"/>
      <c r="Q48" s="181"/>
      <c r="R48" s="181"/>
      <c r="S48" s="181"/>
      <c r="T48" s="181"/>
    </row>
    <row r="49" spans="16:20">
      <c r="P49" s="181"/>
      <c r="Q49" s="181"/>
      <c r="R49" s="181"/>
      <c r="S49" s="181"/>
      <c r="T49" s="181"/>
    </row>
    <row r="50" spans="16:20">
      <c r="P50" s="181"/>
      <c r="Q50" s="181"/>
      <c r="R50" s="181"/>
      <c r="S50" s="181"/>
      <c r="T50" s="181"/>
    </row>
    <row r="51" spans="16:20">
      <c r="P51" s="181"/>
      <c r="Q51" s="181"/>
      <c r="R51" s="181"/>
      <c r="S51" s="181"/>
      <c r="T51" s="181"/>
    </row>
    <row r="52" spans="16:20">
      <c r="P52" s="181"/>
      <c r="Q52" s="181"/>
      <c r="R52" s="181"/>
      <c r="S52" s="181"/>
      <c r="T52" s="181"/>
    </row>
    <row r="53" spans="16:20">
      <c r="P53" s="181"/>
      <c r="Q53" s="181"/>
      <c r="R53" s="181"/>
      <c r="S53" s="181"/>
      <c r="T53" s="181"/>
    </row>
    <row r="54" spans="16:20">
      <c r="P54" s="181"/>
      <c r="Q54" s="181"/>
      <c r="R54" s="181"/>
      <c r="S54" s="181"/>
      <c r="T54" s="181"/>
    </row>
    <row r="55" spans="16:20">
      <c r="P55" s="181"/>
      <c r="Q55" s="181"/>
      <c r="R55" s="181"/>
      <c r="S55" s="181"/>
      <c r="T55" s="181"/>
    </row>
    <row r="56" spans="16:20">
      <c r="P56" s="181"/>
      <c r="Q56" s="181"/>
      <c r="R56" s="181"/>
      <c r="S56" s="181"/>
      <c r="T56" s="181"/>
    </row>
    <row r="57" spans="16:20">
      <c r="P57" s="181"/>
      <c r="Q57" s="181"/>
      <c r="R57" s="181"/>
      <c r="S57" s="181"/>
      <c r="T57" s="181"/>
    </row>
    <row r="58" spans="16:20">
      <c r="P58" s="181"/>
      <c r="Q58" s="181"/>
      <c r="R58" s="181"/>
      <c r="S58" s="181"/>
      <c r="T58" s="181"/>
    </row>
    <row r="59" spans="16:20">
      <c r="P59" s="181"/>
      <c r="Q59" s="181"/>
      <c r="R59" s="181"/>
      <c r="S59" s="181"/>
      <c r="T59" s="181"/>
    </row>
    <row r="60" spans="16:20">
      <c r="P60" s="181"/>
      <c r="Q60" s="181"/>
      <c r="R60" s="181"/>
      <c r="S60" s="181"/>
      <c r="T60" s="181"/>
    </row>
    <row r="61" spans="16:20">
      <c r="P61" s="181"/>
      <c r="Q61" s="181"/>
      <c r="R61" s="181"/>
      <c r="S61" s="181"/>
      <c r="T61" s="181"/>
    </row>
    <row r="62" spans="16:20">
      <c r="P62" s="181"/>
      <c r="Q62" s="181"/>
      <c r="R62" s="181"/>
      <c r="S62" s="181"/>
      <c r="T62" s="181"/>
    </row>
    <row r="63" spans="16:20">
      <c r="P63" s="181"/>
      <c r="Q63" s="181"/>
      <c r="R63" s="181"/>
      <c r="S63" s="181"/>
      <c r="T63" s="181"/>
    </row>
    <row r="64" spans="16:20">
      <c r="P64" s="181"/>
      <c r="Q64" s="181"/>
      <c r="R64" s="181"/>
      <c r="S64" s="181"/>
      <c r="T64" s="181"/>
    </row>
    <row r="65" spans="16:20">
      <c r="P65" s="181"/>
      <c r="Q65" s="181"/>
      <c r="R65" s="181"/>
      <c r="S65" s="181"/>
      <c r="T65" s="181"/>
    </row>
    <row r="66" spans="16:20">
      <c r="P66" s="181"/>
      <c r="Q66" s="181"/>
      <c r="R66" s="181"/>
      <c r="S66" s="181"/>
      <c r="T66" s="181"/>
    </row>
    <row r="67" spans="16:20">
      <c r="P67" s="181"/>
      <c r="Q67" s="181"/>
      <c r="R67" s="181"/>
      <c r="S67" s="181"/>
      <c r="T67" s="181"/>
    </row>
    <row r="68" spans="16:20">
      <c r="P68" s="181"/>
      <c r="Q68" s="181"/>
      <c r="R68" s="181"/>
      <c r="S68" s="181"/>
      <c r="T68" s="181"/>
    </row>
    <row r="69" spans="16:20">
      <c r="P69" s="181"/>
      <c r="Q69" s="181"/>
      <c r="R69" s="181"/>
      <c r="S69" s="181"/>
      <c r="T69" s="181"/>
    </row>
    <row r="70" spans="16:20">
      <c r="P70" s="181"/>
      <c r="Q70" s="181"/>
      <c r="R70" s="181"/>
      <c r="S70" s="181"/>
      <c r="T70" s="181"/>
    </row>
    <row r="71" spans="16:20">
      <c r="P71" s="181"/>
      <c r="Q71" s="181"/>
      <c r="R71" s="181"/>
      <c r="S71" s="181"/>
      <c r="T71" s="181"/>
    </row>
    <row r="72" spans="16:20">
      <c r="P72" s="181"/>
      <c r="Q72" s="181"/>
      <c r="R72" s="181"/>
      <c r="S72" s="181"/>
      <c r="T72" s="181"/>
    </row>
    <row r="73" spans="16:20">
      <c r="P73" s="181"/>
      <c r="Q73" s="181"/>
      <c r="R73" s="181"/>
      <c r="S73" s="181"/>
      <c r="T73" s="181"/>
    </row>
    <row r="74" spans="16:20">
      <c r="P74" s="181"/>
      <c r="Q74" s="181"/>
      <c r="R74" s="181"/>
      <c r="S74" s="181"/>
      <c r="T74" s="181"/>
    </row>
    <row r="75" spans="16:20">
      <c r="P75" s="181"/>
      <c r="Q75" s="181"/>
      <c r="R75" s="181"/>
      <c r="S75" s="181"/>
      <c r="T75" s="181"/>
    </row>
    <row r="76" spans="16:20">
      <c r="P76" s="181"/>
      <c r="Q76" s="181"/>
      <c r="R76" s="181"/>
      <c r="S76" s="181"/>
      <c r="T76" s="181"/>
    </row>
    <row r="77" spans="16:20">
      <c r="P77" s="181"/>
      <c r="Q77" s="181"/>
      <c r="R77" s="181"/>
      <c r="S77" s="181"/>
      <c r="T77" s="181"/>
    </row>
    <row r="78" spans="16:20">
      <c r="P78" s="181"/>
      <c r="Q78" s="181"/>
      <c r="R78" s="181"/>
      <c r="S78" s="181"/>
      <c r="T78" s="181"/>
    </row>
    <row r="79" spans="16:20">
      <c r="P79" s="181"/>
      <c r="Q79" s="181"/>
      <c r="R79" s="181"/>
      <c r="S79" s="181"/>
      <c r="T79" s="181"/>
    </row>
    <row r="80" spans="16:20">
      <c r="P80" s="181"/>
      <c r="Q80" s="181"/>
      <c r="R80" s="181"/>
      <c r="S80" s="181"/>
      <c r="T80" s="181"/>
    </row>
    <row r="81" spans="16:20">
      <c r="P81" s="181"/>
      <c r="Q81" s="181"/>
      <c r="R81" s="181"/>
      <c r="S81" s="181"/>
      <c r="T81" s="181"/>
    </row>
    <row r="82" spans="16:20">
      <c r="P82" s="181"/>
      <c r="Q82" s="181"/>
      <c r="R82" s="181"/>
      <c r="S82" s="181"/>
      <c r="T82" s="181"/>
    </row>
    <row r="83" spans="16:20">
      <c r="P83" s="181"/>
      <c r="Q83" s="181"/>
      <c r="R83" s="181"/>
      <c r="S83" s="181"/>
      <c r="T83" s="181"/>
    </row>
    <row r="84" spans="16:20">
      <c r="P84" s="181"/>
      <c r="Q84" s="181"/>
      <c r="R84" s="181"/>
      <c r="S84" s="181"/>
      <c r="T84" s="181"/>
    </row>
    <row r="85" spans="16:20">
      <c r="P85" s="181"/>
      <c r="Q85" s="181"/>
      <c r="R85" s="181"/>
      <c r="S85" s="181"/>
      <c r="T85" s="181"/>
    </row>
    <row r="86" spans="16:20">
      <c r="P86" s="181"/>
      <c r="Q86" s="181"/>
      <c r="R86" s="181"/>
      <c r="S86" s="181"/>
      <c r="T86" s="181"/>
    </row>
    <row r="87" spans="16:20">
      <c r="P87" s="181"/>
      <c r="Q87" s="181"/>
      <c r="R87" s="181"/>
      <c r="S87" s="181"/>
      <c r="T87" s="181"/>
    </row>
    <row r="88" spans="16:20">
      <c r="P88" s="181"/>
      <c r="Q88" s="181"/>
      <c r="R88" s="181"/>
      <c r="S88" s="181"/>
      <c r="T88" s="181"/>
    </row>
    <row r="89" spans="16:20">
      <c r="P89" s="181"/>
      <c r="Q89" s="181"/>
      <c r="R89" s="181"/>
      <c r="S89" s="181"/>
      <c r="T89" s="181"/>
    </row>
    <row r="90" spans="16:20">
      <c r="P90" s="181"/>
      <c r="Q90" s="181"/>
      <c r="R90" s="181"/>
      <c r="S90" s="181"/>
      <c r="T90" s="181"/>
    </row>
    <row r="91" spans="16:20">
      <c r="P91" s="181"/>
      <c r="Q91" s="181"/>
      <c r="R91" s="181"/>
      <c r="S91" s="181"/>
      <c r="T91" s="181"/>
    </row>
    <row r="92" spans="16:20">
      <c r="P92" s="181"/>
      <c r="Q92" s="181"/>
      <c r="R92" s="181"/>
      <c r="S92" s="181"/>
      <c r="T92" s="181"/>
    </row>
    <row r="93" spans="16:20">
      <c r="P93" s="181"/>
      <c r="Q93" s="181"/>
      <c r="R93" s="181"/>
      <c r="S93" s="181"/>
      <c r="T93" s="181"/>
    </row>
    <row r="94" spans="16:20">
      <c r="P94" s="181"/>
      <c r="Q94" s="181"/>
      <c r="R94" s="181"/>
      <c r="S94" s="181"/>
      <c r="T94" s="181"/>
    </row>
    <row r="95" spans="16:20">
      <c r="P95" s="181"/>
      <c r="Q95" s="181"/>
      <c r="R95" s="181"/>
      <c r="S95" s="181"/>
      <c r="T95" s="181"/>
    </row>
    <row r="96" spans="16:20">
      <c r="P96" s="181"/>
      <c r="Q96" s="181"/>
      <c r="R96" s="181"/>
      <c r="S96" s="181"/>
      <c r="T96" s="181"/>
    </row>
    <row r="97" spans="16:20">
      <c r="P97" s="181"/>
      <c r="Q97" s="181"/>
      <c r="R97" s="181"/>
      <c r="S97" s="181"/>
      <c r="T97" s="181"/>
    </row>
    <row r="98" spans="16:20">
      <c r="P98" s="181"/>
      <c r="Q98" s="181"/>
      <c r="R98" s="181"/>
      <c r="S98" s="181"/>
      <c r="T98" s="181"/>
    </row>
    <row r="99" spans="16:20">
      <c r="P99" s="181"/>
      <c r="Q99" s="181"/>
      <c r="R99" s="181"/>
      <c r="S99" s="181"/>
      <c r="T99" s="181"/>
    </row>
    <row r="100" spans="16:20">
      <c r="P100" s="181"/>
      <c r="Q100" s="181"/>
      <c r="R100" s="181"/>
      <c r="S100" s="181"/>
      <c r="T100" s="181"/>
    </row>
    <row r="101" spans="16:20">
      <c r="P101" s="181"/>
      <c r="Q101" s="181"/>
      <c r="R101" s="181"/>
      <c r="S101" s="181"/>
      <c r="T101" s="181"/>
    </row>
    <row r="102" spans="16:20">
      <c r="P102" s="181"/>
      <c r="Q102" s="181"/>
      <c r="R102" s="181"/>
      <c r="S102" s="181"/>
      <c r="T102" s="181"/>
    </row>
    <row r="103" spans="16:20">
      <c r="P103" s="181"/>
      <c r="Q103" s="181"/>
      <c r="R103" s="181"/>
      <c r="S103" s="181"/>
      <c r="T103" s="181"/>
    </row>
    <row r="104" spans="16:20">
      <c r="P104" s="181"/>
      <c r="Q104" s="181"/>
      <c r="R104" s="181"/>
      <c r="S104" s="181"/>
      <c r="T104" s="181"/>
    </row>
    <row r="105" spans="16:20">
      <c r="P105" s="181"/>
      <c r="Q105" s="181"/>
      <c r="R105" s="181"/>
      <c r="S105" s="181"/>
      <c r="T105" s="181"/>
    </row>
    <row r="106" spans="16:20">
      <c r="P106" s="181"/>
      <c r="Q106" s="181"/>
      <c r="R106" s="181"/>
      <c r="S106" s="181"/>
      <c r="T106" s="181"/>
    </row>
    <row r="107" spans="16:20">
      <c r="P107" s="181"/>
      <c r="Q107" s="181"/>
      <c r="R107" s="181"/>
      <c r="S107" s="181"/>
      <c r="T107" s="181"/>
    </row>
    <row r="108" spans="16:20">
      <c r="P108" s="181"/>
      <c r="Q108" s="181"/>
      <c r="R108" s="181"/>
      <c r="S108" s="181"/>
      <c r="T108" s="181"/>
    </row>
    <row r="109" spans="16:20">
      <c r="P109" s="181"/>
      <c r="Q109" s="181"/>
      <c r="R109" s="181"/>
      <c r="S109" s="181"/>
      <c r="T109" s="181"/>
    </row>
    <row r="110" spans="16:20">
      <c r="P110" s="181"/>
      <c r="Q110" s="181"/>
      <c r="R110" s="181"/>
      <c r="S110" s="181"/>
      <c r="T110" s="181"/>
    </row>
    <row r="111" spans="16:20">
      <c r="P111" s="181"/>
      <c r="Q111" s="181"/>
      <c r="R111" s="181"/>
      <c r="S111" s="181"/>
      <c r="T111" s="181"/>
    </row>
    <row r="112" spans="16:20">
      <c r="P112" s="181"/>
      <c r="Q112" s="181"/>
      <c r="R112" s="181"/>
      <c r="S112" s="181"/>
      <c r="T112" s="181"/>
    </row>
    <row r="113" spans="16:20">
      <c r="P113" s="181"/>
      <c r="Q113" s="181"/>
      <c r="R113" s="181"/>
      <c r="S113" s="181"/>
      <c r="T113" s="181"/>
    </row>
    <row r="114" spans="16:20">
      <c r="P114" s="181"/>
      <c r="Q114" s="181"/>
      <c r="R114" s="181"/>
      <c r="S114" s="181"/>
      <c r="T114" s="181"/>
    </row>
    <row r="115" spans="16:20">
      <c r="P115" s="181"/>
      <c r="Q115" s="181"/>
      <c r="R115" s="181"/>
      <c r="S115" s="181"/>
      <c r="T115" s="181"/>
    </row>
    <row r="116" spans="16:20">
      <c r="P116" s="181"/>
      <c r="Q116" s="181"/>
      <c r="R116" s="181"/>
      <c r="S116" s="181"/>
      <c r="T116" s="181"/>
    </row>
    <row r="117" spans="16:20">
      <c r="P117" s="181"/>
      <c r="Q117" s="181"/>
      <c r="R117" s="181"/>
      <c r="S117" s="181"/>
      <c r="T117" s="181"/>
    </row>
    <row r="118" spans="16:20">
      <c r="P118" s="181"/>
      <c r="Q118" s="181"/>
      <c r="R118" s="181"/>
      <c r="S118" s="181"/>
      <c r="T118" s="181"/>
    </row>
    <row r="119" spans="16:20">
      <c r="P119" s="181"/>
      <c r="Q119" s="181"/>
      <c r="R119" s="181"/>
      <c r="S119" s="181"/>
      <c r="T119" s="181"/>
    </row>
    <row r="120" spans="16:20">
      <c r="P120" s="181"/>
      <c r="Q120" s="181"/>
      <c r="R120" s="181"/>
      <c r="S120" s="181"/>
      <c r="T120" s="181"/>
    </row>
    <row r="121" spans="16:20">
      <c r="P121" s="181"/>
      <c r="Q121" s="181"/>
      <c r="R121" s="181"/>
      <c r="S121" s="181"/>
      <c r="T121" s="181"/>
    </row>
    <row r="122" spans="16:20">
      <c r="P122" s="181"/>
      <c r="Q122" s="181"/>
      <c r="R122" s="181"/>
      <c r="S122" s="181"/>
      <c r="T122" s="181"/>
    </row>
    <row r="123" spans="16:20">
      <c r="P123" s="181"/>
      <c r="Q123" s="181"/>
      <c r="R123" s="181"/>
      <c r="S123" s="181"/>
      <c r="T123" s="181"/>
    </row>
    <row r="124" spans="16:20">
      <c r="P124" s="181"/>
      <c r="Q124" s="181"/>
      <c r="R124" s="181"/>
      <c r="S124" s="181"/>
      <c r="T124" s="181"/>
    </row>
    <row r="125" spans="16:20">
      <c r="P125" s="181"/>
      <c r="Q125" s="181"/>
      <c r="R125" s="181"/>
      <c r="S125" s="181"/>
      <c r="T125" s="181"/>
    </row>
    <row r="126" spans="16:20">
      <c r="P126" s="181"/>
      <c r="Q126" s="181"/>
      <c r="R126" s="181"/>
      <c r="S126" s="181"/>
      <c r="T126" s="181"/>
    </row>
    <row r="127" spans="16:20">
      <c r="P127" s="181"/>
      <c r="Q127" s="181"/>
      <c r="R127" s="181"/>
      <c r="S127" s="181"/>
      <c r="T127" s="181"/>
    </row>
    <row r="128" spans="16:20">
      <c r="P128" s="181"/>
      <c r="Q128" s="181"/>
      <c r="R128" s="181"/>
      <c r="S128" s="181"/>
      <c r="T128" s="181"/>
    </row>
    <row r="129" spans="16:20">
      <c r="P129" s="181"/>
      <c r="Q129" s="181"/>
      <c r="R129" s="181"/>
      <c r="S129" s="181"/>
      <c r="T129" s="181"/>
    </row>
    <row r="130" spans="16:20">
      <c r="P130" s="181"/>
      <c r="Q130" s="181"/>
      <c r="R130" s="181"/>
      <c r="S130" s="181"/>
      <c r="T130" s="181"/>
    </row>
    <row r="131" spans="16:20">
      <c r="P131" s="181"/>
      <c r="Q131" s="181"/>
      <c r="R131" s="181"/>
      <c r="S131" s="181"/>
      <c r="T131" s="181"/>
    </row>
    <row r="132" spans="16:20">
      <c r="P132" s="181"/>
      <c r="Q132" s="181"/>
      <c r="R132" s="181"/>
      <c r="S132" s="181"/>
      <c r="T132" s="181"/>
    </row>
    <row r="133" spans="16:20">
      <c r="P133" s="181"/>
      <c r="Q133" s="181"/>
      <c r="R133" s="181"/>
      <c r="S133" s="181"/>
      <c r="T133" s="181"/>
    </row>
    <row r="134" spans="16:20">
      <c r="P134" s="181"/>
      <c r="Q134" s="181"/>
      <c r="R134" s="181"/>
      <c r="S134" s="181"/>
      <c r="T134" s="181"/>
    </row>
    <row r="135" spans="16:20">
      <c r="P135" s="181"/>
      <c r="Q135" s="181"/>
      <c r="R135" s="181"/>
      <c r="S135" s="181"/>
      <c r="T135" s="181"/>
    </row>
    <row r="136" spans="16:20">
      <c r="P136" s="181"/>
      <c r="Q136" s="181"/>
      <c r="R136" s="181"/>
      <c r="S136" s="181"/>
      <c r="T136" s="181"/>
    </row>
    <row r="137" spans="16:20">
      <c r="P137" s="181"/>
      <c r="Q137" s="181"/>
      <c r="R137" s="181"/>
      <c r="S137" s="181"/>
      <c r="T137" s="181"/>
    </row>
    <row r="138" spans="16:20">
      <c r="P138" s="181"/>
      <c r="Q138" s="181"/>
      <c r="R138" s="181"/>
      <c r="S138" s="181"/>
      <c r="T138" s="181"/>
    </row>
    <row r="139" spans="16:20">
      <c r="P139" s="181"/>
      <c r="Q139" s="181"/>
      <c r="R139" s="181"/>
      <c r="S139" s="181"/>
      <c r="T139" s="181"/>
    </row>
    <row r="140" spans="16:20">
      <c r="P140" s="181"/>
      <c r="Q140" s="181"/>
      <c r="R140" s="181"/>
      <c r="S140" s="181"/>
      <c r="T140" s="181"/>
    </row>
    <row r="141" spans="16:20">
      <c r="P141" s="181"/>
      <c r="Q141" s="181"/>
      <c r="R141" s="181"/>
      <c r="S141" s="181"/>
      <c r="T141" s="181"/>
    </row>
    <row r="142" spans="16:20">
      <c r="P142" s="181"/>
      <c r="Q142" s="181"/>
      <c r="R142" s="181"/>
      <c r="S142" s="181"/>
      <c r="T142" s="181"/>
    </row>
    <row r="143" spans="16:20">
      <c r="P143" s="181"/>
      <c r="Q143" s="181"/>
      <c r="R143" s="181"/>
      <c r="S143" s="181"/>
      <c r="T143" s="181"/>
    </row>
    <row r="144" spans="16:20">
      <c r="P144" s="181"/>
      <c r="Q144" s="181"/>
      <c r="R144" s="181"/>
      <c r="S144" s="181"/>
      <c r="T144" s="181"/>
    </row>
    <row r="145" spans="16:20">
      <c r="P145" s="181"/>
      <c r="Q145" s="181"/>
      <c r="R145" s="181"/>
      <c r="S145" s="181"/>
      <c r="T145" s="181"/>
    </row>
    <row r="146" spans="16:20">
      <c r="P146" s="181"/>
      <c r="Q146" s="181"/>
      <c r="R146" s="181"/>
      <c r="S146" s="181"/>
      <c r="T146" s="181"/>
    </row>
    <row r="147" spans="16:20">
      <c r="P147" s="181"/>
      <c r="Q147" s="181"/>
      <c r="R147" s="181"/>
      <c r="S147" s="181"/>
      <c r="T147" s="181"/>
    </row>
    <row r="148" spans="16:20">
      <c r="P148" s="181"/>
      <c r="Q148" s="181"/>
      <c r="R148" s="181"/>
      <c r="S148" s="181"/>
      <c r="T148" s="181"/>
    </row>
    <row r="149" spans="16:20">
      <c r="P149" s="181"/>
      <c r="Q149" s="181"/>
      <c r="R149" s="181"/>
      <c r="S149" s="181"/>
      <c r="T149" s="181"/>
    </row>
    <row r="150" spans="16:20">
      <c r="P150" s="181"/>
      <c r="Q150" s="181"/>
      <c r="R150" s="181"/>
      <c r="S150" s="181"/>
      <c r="T150" s="181"/>
    </row>
    <row r="151" spans="16:20">
      <c r="P151" s="181"/>
      <c r="Q151" s="181"/>
      <c r="R151" s="181"/>
      <c r="S151" s="181"/>
      <c r="T151" s="181"/>
    </row>
    <row r="152" spans="16:20">
      <c r="P152" s="181"/>
      <c r="Q152" s="181"/>
      <c r="R152" s="181"/>
      <c r="S152" s="181"/>
      <c r="T152" s="181"/>
    </row>
    <row r="153" spans="16:20">
      <c r="P153" s="181"/>
      <c r="Q153" s="181"/>
      <c r="R153" s="181"/>
      <c r="S153" s="181"/>
      <c r="T153" s="181"/>
    </row>
    <row r="154" spans="16:20">
      <c r="P154" s="181"/>
      <c r="Q154" s="181"/>
      <c r="R154" s="181"/>
      <c r="S154" s="181"/>
      <c r="T154" s="181"/>
    </row>
    <row r="155" spans="16:20">
      <c r="P155" s="181"/>
      <c r="Q155" s="181"/>
      <c r="R155" s="181"/>
      <c r="S155" s="181"/>
      <c r="T155" s="181"/>
    </row>
    <row r="156" spans="16:20">
      <c r="P156" s="181"/>
      <c r="Q156" s="181"/>
      <c r="R156" s="181"/>
      <c r="S156" s="181"/>
      <c r="T156" s="181"/>
    </row>
    <row r="157" spans="16:20">
      <c r="P157" s="181"/>
      <c r="Q157" s="181"/>
      <c r="R157" s="181"/>
      <c r="S157" s="181"/>
      <c r="T157" s="181"/>
    </row>
    <row r="158" spans="16:20">
      <c r="P158" s="181"/>
      <c r="Q158" s="181"/>
      <c r="R158" s="181"/>
      <c r="S158" s="181"/>
      <c r="T158" s="181"/>
    </row>
    <row r="159" spans="16:20">
      <c r="P159" s="181"/>
      <c r="Q159" s="181"/>
      <c r="R159" s="181"/>
      <c r="S159" s="181"/>
      <c r="T159" s="181"/>
    </row>
    <row r="160" spans="16:20">
      <c r="P160" s="181"/>
      <c r="Q160" s="181"/>
      <c r="R160" s="181"/>
      <c r="S160" s="181"/>
      <c r="T160" s="181"/>
    </row>
    <row r="161" spans="16:20">
      <c r="P161" s="181"/>
      <c r="Q161" s="181"/>
      <c r="R161" s="181"/>
      <c r="S161" s="181"/>
      <c r="T161" s="181"/>
    </row>
    <row r="162" spans="16:20">
      <c r="P162" s="181"/>
      <c r="Q162" s="181"/>
      <c r="R162" s="181"/>
      <c r="S162" s="181"/>
      <c r="T162" s="181"/>
    </row>
    <row r="163" spans="16:20">
      <c r="P163" s="181"/>
      <c r="Q163" s="181"/>
      <c r="R163" s="181"/>
      <c r="S163" s="181"/>
      <c r="T163" s="181"/>
    </row>
    <row r="164" spans="16:20">
      <c r="P164" s="181"/>
      <c r="Q164" s="181"/>
      <c r="R164" s="181"/>
      <c r="S164" s="181"/>
      <c r="T164" s="181"/>
    </row>
    <row r="165" spans="16:20">
      <c r="P165" s="181"/>
      <c r="Q165" s="181"/>
      <c r="R165" s="181"/>
      <c r="S165" s="181"/>
      <c r="T165" s="181"/>
    </row>
    <row r="166" spans="16:20">
      <c r="P166" s="181"/>
      <c r="Q166" s="181"/>
      <c r="R166" s="181"/>
      <c r="S166" s="181"/>
      <c r="T166" s="181"/>
    </row>
    <row r="167" spans="16:20">
      <c r="P167" s="181"/>
      <c r="Q167" s="181"/>
      <c r="R167" s="181"/>
      <c r="S167" s="181"/>
      <c r="T167" s="181"/>
    </row>
    <row r="168" spans="16:20">
      <c r="P168" s="181"/>
      <c r="Q168" s="181"/>
      <c r="R168" s="181"/>
      <c r="S168" s="181"/>
      <c r="T168" s="181"/>
    </row>
    <row r="169" spans="16:20">
      <c r="P169" s="181"/>
      <c r="Q169" s="181"/>
      <c r="R169" s="181"/>
      <c r="S169" s="181"/>
      <c r="T169" s="181"/>
    </row>
    <row r="170" spans="16:20">
      <c r="P170" s="181"/>
      <c r="Q170" s="181"/>
      <c r="R170" s="181"/>
      <c r="S170" s="181"/>
      <c r="T170" s="181"/>
    </row>
    <row r="171" spans="16:20">
      <c r="P171" s="181"/>
      <c r="Q171" s="181"/>
      <c r="R171" s="181"/>
      <c r="S171" s="181"/>
      <c r="T171" s="181"/>
    </row>
    <row r="172" spans="16:20">
      <c r="P172" s="181"/>
      <c r="Q172" s="181"/>
      <c r="R172" s="181"/>
      <c r="S172" s="181"/>
      <c r="T172" s="181"/>
    </row>
    <row r="173" spans="16:20">
      <c r="P173" s="181"/>
      <c r="Q173" s="181"/>
      <c r="R173" s="181"/>
      <c r="S173" s="181"/>
      <c r="T173" s="181"/>
    </row>
    <row r="174" spans="16:20">
      <c r="P174" s="181"/>
      <c r="Q174" s="181"/>
      <c r="R174" s="181"/>
      <c r="S174" s="181"/>
      <c r="T174" s="181"/>
    </row>
    <row r="175" spans="16:20">
      <c r="P175" s="181"/>
      <c r="Q175" s="181"/>
      <c r="R175" s="181"/>
      <c r="S175" s="181"/>
      <c r="T175" s="181"/>
    </row>
    <row r="176" spans="16:20">
      <c r="P176" s="181"/>
      <c r="Q176" s="181"/>
      <c r="R176" s="181"/>
      <c r="S176" s="181"/>
      <c r="T176" s="181"/>
    </row>
    <row r="177" spans="16:20">
      <c r="P177" s="181"/>
      <c r="Q177" s="181"/>
      <c r="R177" s="181"/>
      <c r="S177" s="181"/>
      <c r="T177" s="181"/>
    </row>
    <row r="178" spans="16:20">
      <c r="P178" s="181"/>
      <c r="Q178" s="181"/>
      <c r="R178" s="181"/>
      <c r="S178" s="181"/>
      <c r="T178" s="181"/>
    </row>
    <row r="179" spans="16:20">
      <c r="P179" s="181"/>
      <c r="Q179" s="181"/>
      <c r="R179" s="181"/>
      <c r="S179" s="181"/>
      <c r="T179" s="181"/>
    </row>
    <row r="180" spans="16:20">
      <c r="P180" s="181"/>
      <c r="Q180" s="181"/>
      <c r="R180" s="181"/>
      <c r="S180" s="181"/>
      <c r="T180" s="181"/>
    </row>
  </sheetData>
  <phoneticPr fontId="11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"/>
  <dimension ref="A1:G103"/>
  <sheetViews>
    <sheetView workbookViewId="0"/>
  </sheetViews>
  <sheetFormatPr baseColWidth="10" defaultRowHeight="13"/>
  <cols>
    <col min="2" max="3" width="12.5" bestFit="1" customWidth="1"/>
    <col min="4" max="4" width="11.5" bestFit="1" customWidth="1"/>
  </cols>
  <sheetData>
    <row r="1" spans="1:7">
      <c r="A1" s="234" t="s">
        <v>588</v>
      </c>
    </row>
    <row r="2" spans="1:7" ht="42">
      <c r="A2" s="103" t="s">
        <v>589</v>
      </c>
      <c r="B2" s="103" t="s">
        <v>590</v>
      </c>
      <c r="C2" s="103" t="s">
        <v>591</v>
      </c>
      <c r="D2" s="103" t="s">
        <v>593</v>
      </c>
      <c r="E2" s="103" t="s">
        <v>591</v>
      </c>
      <c r="F2" s="103" t="s">
        <v>618</v>
      </c>
      <c r="G2" s="103" t="s">
        <v>619</v>
      </c>
    </row>
    <row r="3" spans="1:7">
      <c r="A3" t="s">
        <v>410</v>
      </c>
      <c r="B3" t="s">
        <v>416</v>
      </c>
      <c r="C3" t="s">
        <v>416</v>
      </c>
      <c r="D3" t="s">
        <v>594</v>
      </c>
      <c r="E3" t="s">
        <v>594</v>
      </c>
      <c r="F3" t="s">
        <v>494</v>
      </c>
      <c r="G3" t="s">
        <v>494</v>
      </c>
    </row>
    <row r="4" spans="1:7">
      <c r="A4">
        <v>0</v>
      </c>
      <c r="B4" s="31">
        <f>PERCENTILE('River loads'!BM$4:BM$84,$A4)</f>
        <v>1.1322345753529623E-3</v>
      </c>
      <c r="C4" s="31">
        <f>PERCENTILE('River loads'!BN$4:BN$84,$A4)</f>
        <v>7.3210035511855048E-3</v>
      </c>
      <c r="D4" s="31">
        <f>PERCENTILE('River loads'!BP$4:BP$84,$A4)</f>
        <v>1.7418993466968651E-3</v>
      </c>
      <c r="E4" s="31">
        <f>PERCENTILE('River loads'!BQ$4:BQ$84,$A4)</f>
        <v>1.2999999999999999E-2</v>
      </c>
      <c r="F4" s="31">
        <f>PERCENTILE('River loads'!BS$4:BS$84,$A4)</f>
        <v>5.8063311556562171E-2</v>
      </c>
      <c r="G4" s="31">
        <f>PERCENTILE('River loads'!BT$4:BT$84,$A4)</f>
        <v>0.16249999999999998</v>
      </c>
    </row>
    <row r="5" spans="1:7">
      <c r="A5">
        <f>A4+0.05</f>
        <v>0.05</v>
      </c>
      <c r="B5" s="31">
        <f>PERCENTILE('River loads'!BM$4:BM$84,$A5)</f>
        <v>3.2577573800905133E-3</v>
      </c>
      <c r="C5" s="31">
        <f>PERCENTILE('River loads'!BN$4:BN$84,$A5)</f>
        <v>9.4374932315289088E-3</v>
      </c>
      <c r="D5" s="31">
        <f>PERCENTILE('River loads'!BP$4:BP$84,$A5)</f>
        <v>5.0119344309084816E-3</v>
      </c>
      <c r="E5" s="31">
        <f>PERCENTILE('River loads'!BQ$4:BQ$84,$A5)</f>
        <v>1.635E-2</v>
      </c>
      <c r="F5" s="31">
        <f>PERCENTILE('River loads'!BS$4:BS$84,$A5)</f>
        <v>0.14901672646879083</v>
      </c>
      <c r="G5" s="31">
        <f>PERCENTILE('River loads'!BT$4:BT$84,$A5)</f>
        <v>0.20572500000000002</v>
      </c>
    </row>
    <row r="6" spans="1:7">
      <c r="A6">
        <f t="shared" ref="A6:A23" si="0">A5+0.05</f>
        <v>0.1</v>
      </c>
      <c r="B6" s="31">
        <f>PERCENTILE('River loads'!BM$4:BM$84,$A6)</f>
        <v>5.1937232016177667E-3</v>
      </c>
      <c r="C6" s="31">
        <f>PERCENTILE('River loads'!BN$4:BN$84,$A6)</f>
        <v>1.1614349186782474E-2</v>
      </c>
      <c r="D6" s="31">
        <f>PERCENTILE('River loads'!BP$4:BP$84,$A6)</f>
        <v>7.9903433871042553E-3</v>
      </c>
      <c r="E6" s="31">
        <f>PERCENTILE('River loads'!BQ$4:BQ$84,$A6)</f>
        <v>2.2320000000000003E-2</v>
      </c>
      <c r="F6" s="31">
        <f>PERCENTILE('River loads'!BS$4:BS$84,$A6)</f>
        <v>0.23378454462525503</v>
      </c>
      <c r="G6" s="31">
        <f>PERCENTILE('River loads'!BT$4:BT$84,$A6)</f>
        <v>0.3468</v>
      </c>
    </row>
    <row r="7" spans="1:7">
      <c r="A7">
        <f t="shared" si="0"/>
        <v>0.15000000000000002</v>
      </c>
      <c r="B7" s="31">
        <f>PERCENTILE('River loads'!BM$4:BM$84,$A7)</f>
        <v>7.3838749995421464E-3</v>
      </c>
      <c r="C7" s="31">
        <f>PERCENTILE('River loads'!BN$4:BN$84,$A7)</f>
        <v>1.5575262589695485E-2</v>
      </c>
      <c r="D7" s="31">
        <f>PERCENTILE('River loads'!BP$4:BP$84,$A7)</f>
        <v>1.1359807691603302E-2</v>
      </c>
      <c r="E7" s="31">
        <f>PERCENTILE('River loads'!BQ$4:BQ$84,$A7)</f>
        <v>3.5645000000000003E-2</v>
      </c>
      <c r="F7" s="31">
        <f>PERCENTILE('River loads'!BS$4:BS$84,$A7)</f>
        <v>0.26637072177673132</v>
      </c>
      <c r="G7" s="31">
        <f>PERCENTILE('River loads'!BT$4:BT$84,$A7)</f>
        <v>0.42435</v>
      </c>
    </row>
    <row r="8" spans="1:7">
      <c r="A8">
        <f t="shared" si="0"/>
        <v>0.2</v>
      </c>
      <c r="B8" s="31">
        <f>PERCENTILE('River loads'!BM$4:BM$84,$A8)</f>
        <v>9.6728823245250378E-3</v>
      </c>
      <c r="C8" s="31">
        <f>PERCENTILE('River loads'!BN$4:BN$84,$A8)</f>
        <v>1.9494442854752523E-2</v>
      </c>
      <c r="D8" s="31">
        <f>PERCENTILE('River loads'!BP$4:BP$84,$A8)</f>
        <v>1.4881357422346211E-2</v>
      </c>
      <c r="E8" s="31">
        <f>PERCENTILE('River loads'!BQ$4:BQ$84,$A8)</f>
        <v>3.9740000000000004E-2</v>
      </c>
      <c r="F8" s="31">
        <f>PERCENTILE('River loads'!BS$4:BS$84,$A8)</f>
        <v>0.3549534624867477</v>
      </c>
      <c r="G8" s="31">
        <f>PERCENTILE('River loads'!BT$4:BT$84,$A8)</f>
        <v>0.47200000000000003</v>
      </c>
    </row>
    <row r="9" spans="1:7">
      <c r="A9">
        <f t="shared" si="0"/>
        <v>0.25</v>
      </c>
      <c r="B9" s="31">
        <f>PERCENTILE('River loads'!BM$4:BM$84,$A9)</f>
        <v>1.2840147458944094E-2</v>
      </c>
      <c r="C9" s="31">
        <f>PERCENTILE('River loads'!BN$4:BN$84,$A9)</f>
        <v>2.9536117009637028E-2</v>
      </c>
      <c r="D9" s="31">
        <f>PERCENTILE('River loads'!BP$4:BP$84,$A9)</f>
        <v>1.9754073013760143E-2</v>
      </c>
      <c r="E9" s="31">
        <f>PERCENTILE('River loads'!BQ$4:BQ$84,$A9)</f>
        <v>4.4249999999999998E-2</v>
      </c>
      <c r="F9" s="31">
        <f>PERCENTILE('River loads'!BS$4:BS$84,$A9)</f>
        <v>0.39508146027520286</v>
      </c>
      <c r="G9" s="31">
        <f>PERCENTILE('River loads'!BT$4:BT$84,$A9)</f>
        <v>0.58462499999999995</v>
      </c>
    </row>
    <row r="10" spans="1:7">
      <c r="A10">
        <f t="shared" si="0"/>
        <v>0.3</v>
      </c>
      <c r="B10" s="31">
        <f>PERCENTILE('River loads'!BM$4:BM$84,$A10)</f>
        <v>1.5602873576656937E-2</v>
      </c>
      <c r="C10" s="31">
        <f>PERCENTILE('River loads'!BN$4:BN$84,$A10)</f>
        <v>3.5201468408893967E-2</v>
      </c>
      <c r="D10" s="31">
        <f>PERCENTILE('River loads'!BP$4:BP$84,$A10)</f>
        <v>2.4004420887164517E-2</v>
      </c>
      <c r="E10" s="31">
        <f>PERCENTILE('River loads'!BQ$4:BQ$84,$A10)</f>
        <v>5.1130000000000002E-2</v>
      </c>
      <c r="F10" s="31">
        <f>PERCENTILE('River loads'!BS$4:BS$84,$A10)</f>
        <v>0.42171675396024755</v>
      </c>
      <c r="G10" s="31">
        <f>PERCENTILE('River loads'!BT$4:BT$84,$A10)</f>
        <v>0.7962499999999999</v>
      </c>
    </row>
    <row r="11" spans="1:7">
      <c r="A11">
        <f t="shared" si="0"/>
        <v>0.35</v>
      </c>
      <c r="B11" s="31">
        <f>PERCENTILE('River loads'!BM$4:BM$84,$A11)</f>
        <v>1.7698038729985519E-2</v>
      </c>
      <c r="C11" s="31">
        <f>PERCENTILE('River loads'!BN$4:BN$84,$A11)</f>
        <v>3.7611104267570444E-2</v>
      </c>
      <c r="D11" s="31">
        <f>PERCENTILE('River loads'!BP$4:BP$84,$A11)</f>
        <v>2.7227751892285414E-2</v>
      </c>
      <c r="E11" s="31">
        <f>PERCENTILE('River loads'!BQ$4:BQ$84,$A11)</f>
        <v>5.7629999999999994E-2</v>
      </c>
      <c r="F11" s="31">
        <f>PERCENTILE('River loads'!BS$4:BS$84,$A11)</f>
        <v>0.49604524741154038</v>
      </c>
      <c r="G11" s="31">
        <f>PERCENTILE('River loads'!BT$4:BT$84,$A11)</f>
        <v>1.0067999999999999</v>
      </c>
    </row>
    <row r="12" spans="1:7">
      <c r="A12">
        <f t="shared" si="0"/>
        <v>0.39999999999999997</v>
      </c>
      <c r="B12" s="31">
        <f>PERCENTILE('River loads'!BM$4:BM$84,$A12)</f>
        <v>1.8465816057207582E-2</v>
      </c>
      <c r="C12" s="31">
        <f>PERCENTILE('River loads'!BN$4:BN$84,$A12)</f>
        <v>3.9400745592052124E-2</v>
      </c>
      <c r="D12" s="31">
        <f>PERCENTILE('River loads'!BP$4:BP$84,$A12)</f>
        <v>2.8408947780319355E-2</v>
      </c>
      <c r="E12" s="31">
        <f>PERCENTILE('River loads'!BQ$4:BQ$84,$A12)</f>
        <v>6.1619999999999994E-2</v>
      </c>
      <c r="F12" s="31">
        <f>PERCENTILE('River loads'!BS$4:BS$84,$A12)</f>
        <v>0.55377634525957375</v>
      </c>
      <c r="G12" s="31">
        <f>PERCENTILE('River loads'!BT$4:BT$84,$A12)</f>
        <v>1.1112</v>
      </c>
    </row>
    <row r="13" spans="1:7">
      <c r="A13">
        <f t="shared" si="0"/>
        <v>0.44999999999999996</v>
      </c>
      <c r="B13" s="31">
        <f>PERCENTILE('River loads'!BM$4:BM$84,$A13)</f>
        <v>2.2114130183506563E-2</v>
      </c>
      <c r="C13" s="31">
        <f>PERCENTILE('River loads'!BN$4:BN$84,$A13)</f>
        <v>4.4423985011793621E-2</v>
      </c>
      <c r="D13" s="31">
        <f>PERCENTILE('River loads'!BP$4:BP$84,$A13)</f>
        <v>3.402173874385625E-2</v>
      </c>
      <c r="E13" s="31">
        <f>PERCENTILE('River loads'!BQ$4:BQ$84,$A13)</f>
        <v>6.3049999999999995E-2</v>
      </c>
      <c r="F13" s="31">
        <f>PERCENTILE('River loads'!BS$4:BS$84,$A13)</f>
        <v>0.65693422692190084</v>
      </c>
      <c r="G13" s="31">
        <f>PERCENTILE('River loads'!BT$4:BT$84,$A13)</f>
        <v>1.2246999999999999</v>
      </c>
    </row>
    <row r="14" spans="1:7">
      <c r="A14">
        <f t="shared" si="0"/>
        <v>0.49999999999999994</v>
      </c>
      <c r="B14" s="31">
        <f>PERCENTILE('River loads'!BM$4:BM$84,$A14)</f>
        <v>2.349876553158595E-2</v>
      </c>
      <c r="C14" s="31">
        <f>PERCENTILE('River loads'!BN$4:BN$84,$A14)</f>
        <v>4.7681805202891774E-2</v>
      </c>
      <c r="D14" s="31">
        <f>PERCENTILE('River loads'!BP$4:BP$84,$A14)</f>
        <v>3.6151946971670693E-2</v>
      </c>
      <c r="E14" s="31">
        <f>PERCENTILE('River loads'!BQ$4:BQ$84,$A14)</f>
        <v>6.8999999999999978E-2</v>
      </c>
      <c r="F14" s="31">
        <f>PERCENTILE('River loads'!BS$4:BS$84,$A14)</f>
        <v>0.79405798334767108</v>
      </c>
      <c r="G14" s="31">
        <f>PERCENTILE('River loads'!BT$4:BT$84,$A14)</f>
        <v>1.2589999999999999</v>
      </c>
    </row>
    <row r="15" spans="1:7">
      <c r="A15">
        <f t="shared" si="0"/>
        <v>0.54999999999999993</v>
      </c>
      <c r="B15" s="31">
        <f>PERCENTILE('River loads'!BM$4:BM$84,$A15)</f>
        <v>2.5857888790323365E-2</v>
      </c>
      <c r="C15" s="31">
        <f>PERCENTILE('River loads'!BN$4:BN$84,$A15)</f>
        <v>5.0911351291888972E-2</v>
      </c>
      <c r="D15" s="31">
        <f>PERCENTILE('River loads'!BP$4:BP$84,$A15)</f>
        <v>3.9781367369728253E-2</v>
      </c>
      <c r="E15" s="31">
        <f>PERCENTILE('River loads'!BQ$4:BQ$84,$A15)</f>
        <v>7.5899999999999995E-2</v>
      </c>
      <c r="F15" s="31">
        <f>PERCENTILE('River loads'!BS$4:BS$84,$A15)</f>
        <v>0.83393659271101317</v>
      </c>
      <c r="G15" s="31">
        <f>PERCENTILE('River loads'!BT$4:BT$84,$A15)</f>
        <v>1.3939999999999997</v>
      </c>
    </row>
    <row r="16" spans="1:7">
      <c r="A16">
        <f t="shared" si="0"/>
        <v>0.6</v>
      </c>
      <c r="B16" s="31">
        <f>PERCENTILE('River loads'!BM$4:BM$84,$A16)</f>
        <v>3.1331580111728159E-2</v>
      </c>
      <c r="C16" s="31">
        <f>PERCENTILE('River loads'!BN$4:BN$84,$A16)</f>
        <v>5.6770302169436682E-2</v>
      </c>
      <c r="D16" s="31">
        <f>PERCENTILE('River loads'!BP$4:BP$84,$A16)</f>
        <v>4.8202430941120242E-2</v>
      </c>
      <c r="E16" s="31">
        <f>PERCENTILE('River loads'!BQ$4:BQ$84,$A16)</f>
        <v>0.11607999999999997</v>
      </c>
      <c r="F16" s="31">
        <f>PERCENTILE('River loads'!BS$4:BS$84,$A16)</f>
        <v>0.94696492601064519</v>
      </c>
      <c r="G16" s="31">
        <f>PERCENTILE('River loads'!BT$4:BT$84,$A16)</f>
        <v>1.4879999999999998</v>
      </c>
    </row>
    <row r="17" spans="1:7">
      <c r="A17">
        <f t="shared" si="0"/>
        <v>0.65</v>
      </c>
      <c r="B17" s="31">
        <f>PERCENTILE('River loads'!BM$4:BM$84,$A17)</f>
        <v>3.7467671337739372E-2</v>
      </c>
      <c r="C17" s="31">
        <f>PERCENTILE('River loads'!BN$4:BN$84,$A17)</f>
        <v>7.626721979388032E-2</v>
      </c>
      <c r="D17" s="31">
        <f>PERCENTILE('River loads'!BP$4:BP$84,$A17)</f>
        <v>5.7642571288829804E-2</v>
      </c>
      <c r="E17" s="31">
        <f>PERCENTILE('River loads'!BQ$4:BQ$84,$A17)</f>
        <v>0.13</v>
      </c>
      <c r="F17" s="31">
        <f>PERCENTILE('River loads'!BS$4:BS$84,$A17)</f>
        <v>1.0552723481737289</v>
      </c>
      <c r="G17" s="31">
        <f>PERCENTILE('River loads'!BT$4:BT$84,$A17)</f>
        <v>1.5169999999999999</v>
      </c>
    </row>
    <row r="18" spans="1:7">
      <c r="A18">
        <f t="shared" si="0"/>
        <v>0.70000000000000007</v>
      </c>
      <c r="B18" s="31">
        <f>PERCENTILE('River loads'!BM$4:BM$84,$A18)</f>
        <v>4.5953318896021764E-2</v>
      </c>
      <c r="C18" s="31">
        <f>PERCENTILE('River loads'!BN$4:BN$84,$A18)</f>
        <v>7.8457096836640899E-2</v>
      </c>
      <c r="D18" s="31">
        <f>PERCENTILE('River loads'!BP$4:BP$84,$A18)</f>
        <v>7.069741368618733E-2</v>
      </c>
      <c r="E18" s="31">
        <f>PERCENTILE('River loads'!BQ$4:BQ$84,$A18)</f>
        <v>0.13300000000000001</v>
      </c>
      <c r="F18" s="31">
        <f>PERCENTILE('River loads'!BS$4:BS$84,$A18)</f>
        <v>1.1688935306479349</v>
      </c>
      <c r="G18" s="31">
        <f>PERCENTILE('River loads'!BT$4:BT$84,$A18)</f>
        <v>2.6</v>
      </c>
    </row>
    <row r="19" spans="1:7">
      <c r="A19">
        <f t="shared" si="0"/>
        <v>0.75000000000000011</v>
      </c>
      <c r="B19" s="31">
        <f>PERCENTILE('River loads'!BM$4:BM$84,$A19)</f>
        <v>5.620671206266864E-2</v>
      </c>
      <c r="C19" s="31">
        <f>PERCENTILE('River loads'!BN$4:BN$84,$A19)</f>
        <v>8.2298010402055755E-2</v>
      </c>
      <c r="D19" s="31">
        <f>PERCENTILE('River loads'!BP$4:BP$84,$A19)</f>
        <v>8.6471864711797908E-2</v>
      </c>
      <c r="E19" s="31">
        <f>PERCENTILE('River loads'!BQ$4:BQ$84,$A19)</f>
        <v>0.14074999999999999</v>
      </c>
      <c r="F19" s="31">
        <f>PERCENTILE('River loads'!BS$4:BS$84,$A19)</f>
        <v>1.3444671298883326</v>
      </c>
      <c r="G19" s="31">
        <f>PERCENTILE('River loads'!BT$4:BT$84,$A19)</f>
        <v>2.6</v>
      </c>
    </row>
    <row r="20" spans="1:7">
      <c r="A20">
        <f t="shared" si="0"/>
        <v>0.80000000000000016</v>
      </c>
      <c r="B20" s="31">
        <f>PERCENTILE('River loads'!BM$4:BM$84,$A20)</f>
        <v>7.0620683493760064E-2</v>
      </c>
      <c r="C20" s="31">
        <f>PERCENTILE('River loads'!BN$4:BN$84,$A20)</f>
        <v>8.8769842519414846E-2</v>
      </c>
      <c r="D20" s="31">
        <f>PERCENTILE('River loads'!BP$4:BP$84,$A20)</f>
        <v>0.10864720537501549</v>
      </c>
      <c r="E20" s="31">
        <f>PERCENTILE('River loads'!BQ$4:BQ$84,$A20)</f>
        <v>0.15</v>
      </c>
      <c r="F20" s="31">
        <f>PERCENTILE('River loads'!BS$4:BS$84,$A20)</f>
        <v>1.783821379781809</v>
      </c>
      <c r="G20" s="31">
        <f>PERCENTILE('River loads'!BT$4:BT$84,$A20)</f>
        <v>2.8559999999999999</v>
      </c>
    </row>
    <row r="21" spans="1:7">
      <c r="A21">
        <f t="shared" si="0"/>
        <v>0.8500000000000002</v>
      </c>
      <c r="B21" s="31">
        <f>PERCENTILE('River loads'!BM$4:BM$84,$A21)</f>
        <v>8.060086752558103E-2</v>
      </c>
      <c r="C21" s="31">
        <f>PERCENTILE('River loads'!BN$4:BN$84,$A21)</f>
        <v>9.7686365320003729E-2</v>
      </c>
      <c r="D21" s="31">
        <f>PERCENTILE('River loads'!BP$4:BP$84,$A21)</f>
        <v>0.12400133465474006</v>
      </c>
      <c r="E21" s="31">
        <f>PERCENTILE('River loads'!BQ$4:BQ$84,$A21)</f>
        <v>0.15650000000000006</v>
      </c>
      <c r="F21" s="31">
        <f>PERCENTILE('River loads'!BS$4:BS$84,$A21)</f>
        <v>2.4184051180840647</v>
      </c>
      <c r="G21" s="31">
        <f>PERCENTILE('River loads'!BT$4:BT$84,$A21)</f>
        <v>3.1300000000000008</v>
      </c>
    </row>
    <row r="22" spans="1:7">
      <c r="A22">
        <f t="shared" si="0"/>
        <v>0.90000000000000024</v>
      </c>
      <c r="B22" s="31">
        <f>PERCENTILE('River loads'!BM$4:BM$84,$A22)</f>
        <v>8.6548856305455127E-2</v>
      </c>
      <c r="C22" s="31">
        <f>PERCENTILE('River loads'!BN$4:BN$84,$A22)</f>
        <v>0.10276816397151019</v>
      </c>
      <c r="D22" s="31">
        <f>PERCENTILE('River loads'!BP$4:BP$84,$A22)</f>
        <v>0.13315208662377712</v>
      </c>
      <c r="E22" s="31">
        <f>PERCENTILE('River loads'!BQ$4:BQ$84,$A22)</f>
        <v>0.16290000000000016</v>
      </c>
      <c r="F22" s="31">
        <f>PERCENTILE('River loads'!BS$4:BS$84,$A22)</f>
        <v>2.5683196844431246</v>
      </c>
      <c r="G22" s="31">
        <f>PERCENTILE('River loads'!BT$4:BT$84,$A22)</f>
        <v>3.2580000000000031</v>
      </c>
    </row>
    <row r="23" spans="1:7">
      <c r="A23">
        <f t="shared" si="0"/>
        <v>0.95000000000000029</v>
      </c>
      <c r="B23" s="31">
        <f>PERCENTILE('River loads'!BM$4:BM$84,$A23)</f>
        <v>9.1215403672192441E-2</v>
      </c>
      <c r="C23" s="31">
        <f>PERCENTILE('River loads'!BN$4:BN$84,$A23)</f>
        <v>0.1177581559964611</v>
      </c>
      <c r="D23" s="31">
        <f>PERCENTILE('River loads'!BP$4:BP$84,$A23)</f>
        <v>0.14033139026491143</v>
      </c>
      <c r="E23" s="31">
        <f>PERCENTILE('River loads'!BQ$4:BQ$84,$A23)</f>
        <v>0.19100000000000017</v>
      </c>
      <c r="F23" s="31">
        <f>PERCENTILE('River loads'!BS$4:BS$84,$A23)</f>
        <v>2.8066278052982288</v>
      </c>
      <c r="G23" s="31">
        <f>PERCENTILE('River loads'!BT$4:BT$84,$A23)</f>
        <v>3.8200000000000029</v>
      </c>
    </row>
    <row r="24" spans="1:7">
      <c r="A24">
        <v>0.99</v>
      </c>
      <c r="B24" s="31">
        <f>PERCENTILE('River loads'!BM$4:BM$84,$A24)</f>
        <v>0.10142280637629937</v>
      </c>
      <c r="C24" s="31">
        <f>PERCENTILE('River loads'!BN$4:BN$84,$A24)</f>
        <v>0.1389500803147857</v>
      </c>
      <c r="D24" s="31">
        <f>PERCENTILE('River loads'!BP$4:BP$84,$A24)</f>
        <v>0.15603508673276825</v>
      </c>
      <c r="E24" s="31">
        <f>PERCENTILE('River loads'!BQ$4:BQ$84,$A24)</f>
        <v>0.22911000000000004</v>
      </c>
      <c r="F24" s="31">
        <f>PERCENTILE('River loads'!BS$4:BS$84,$A24)</f>
        <v>3.1207017346553649</v>
      </c>
      <c r="G24" s="31">
        <f>PERCENTILE('River loads'!BT$4:BT$84,$A24)</f>
        <v>4.5822000000000003</v>
      </c>
    </row>
    <row r="27" spans="1:7" ht="42">
      <c r="A27" s="103" t="s">
        <v>589</v>
      </c>
      <c r="B27" s="103" t="s">
        <v>597</v>
      </c>
      <c r="C27" s="103" t="s">
        <v>598</v>
      </c>
    </row>
    <row r="28" spans="1:7">
      <c r="A28" t="s">
        <v>410</v>
      </c>
      <c r="B28" t="s">
        <v>416</v>
      </c>
      <c r="C28" t="s">
        <v>416</v>
      </c>
    </row>
    <row r="29" spans="1:7">
      <c r="A29">
        <v>0</v>
      </c>
      <c r="B29" s="31">
        <f>PERCENTILE('River loads'!BU$4:BU$84,$A29)</f>
        <v>5.1972960237561998E-3</v>
      </c>
      <c r="C29" s="31" t="e">
        <f>PERCENTILE('River loads'!#REF!,$A29)</f>
        <v>#REF!</v>
      </c>
    </row>
    <row r="30" spans="1:7">
      <c r="A30">
        <f>A29+0.05</f>
        <v>0.05</v>
      </c>
      <c r="B30" s="31">
        <f>PERCENTILE('River loads'!BU$4:BU$84,$A30)</f>
        <v>8.9048714971147781E-3</v>
      </c>
      <c r="C30" s="31" t="e">
        <f>PERCENTILE('River loads'!#REF!,$A30)</f>
        <v>#REF!</v>
      </c>
    </row>
    <row r="31" spans="1:7">
      <c r="A31">
        <f t="shared" ref="A31:A48" si="1">A30+0.05</f>
        <v>0.1</v>
      </c>
      <c r="B31" s="31">
        <f>PERCENTILE('River loads'!BU$4:BU$84,$A31)</f>
        <v>1.2269101261775685E-2</v>
      </c>
      <c r="C31" s="31" t="e">
        <f>PERCENTILE('River loads'!#REF!,$A31)</f>
        <v>#REF!</v>
      </c>
    </row>
    <row r="32" spans="1:7">
      <c r="A32">
        <f t="shared" si="1"/>
        <v>0.15000000000000002</v>
      </c>
      <c r="B32" s="31">
        <f>PERCENTILE('River loads'!BU$4:BU$84,$A32)</f>
        <v>1.6826112048516324E-2</v>
      </c>
      <c r="C32" s="31" t="e">
        <f>PERCENTILE('River loads'!#REF!,$A32)</f>
        <v>#REF!</v>
      </c>
    </row>
    <row r="33" spans="1:3">
      <c r="A33">
        <f t="shared" si="1"/>
        <v>0.2</v>
      </c>
      <c r="B33" s="31">
        <f>PERCENTILE('River loads'!BU$4:BU$84,$A33)</f>
        <v>2.0601503532891807E-2</v>
      </c>
      <c r="C33" s="31" t="e">
        <f>PERCENTILE('River loads'!#REF!,$A33)</f>
        <v>#REF!</v>
      </c>
    </row>
    <row r="34" spans="1:3">
      <c r="A34">
        <f t="shared" si="1"/>
        <v>0.25</v>
      </c>
      <c r="B34" s="31">
        <f>PERCENTILE('River loads'!BU$4:BU$84,$A34)</f>
        <v>2.3477366384890758E-2</v>
      </c>
      <c r="C34" s="31" t="e">
        <f>PERCENTILE('River loads'!#REF!,$A34)</f>
        <v>#REF!</v>
      </c>
    </row>
    <row r="35" spans="1:3">
      <c r="A35">
        <f t="shared" si="1"/>
        <v>0.3</v>
      </c>
      <c r="B35" s="31">
        <f>PERCENTILE('River loads'!BU$4:BU$84,$A35)</f>
        <v>2.5955951593671738E-2</v>
      </c>
      <c r="C35" s="31" t="e">
        <f>PERCENTILE('River loads'!#REF!,$A35)</f>
        <v>#REF!</v>
      </c>
    </row>
    <row r="36" spans="1:3">
      <c r="A36">
        <f t="shared" si="1"/>
        <v>0.35</v>
      </c>
      <c r="B36" s="31">
        <f>PERCENTILE('River loads'!BU$4:BU$84,$A36)</f>
        <v>3.0373117764175495E-2</v>
      </c>
      <c r="C36" s="31" t="e">
        <f>PERCENTILE('River loads'!#REF!,$A36)</f>
        <v>#REF!</v>
      </c>
    </row>
    <row r="37" spans="1:3">
      <c r="A37">
        <f t="shared" si="1"/>
        <v>0.39999999999999997</v>
      </c>
      <c r="B37" s="31">
        <f>PERCENTILE('River loads'!BU$4:BU$84,$A37)</f>
        <v>3.3531835804240288E-2</v>
      </c>
      <c r="C37" s="31" t="e">
        <f>PERCENTILE('River loads'!#REF!,$A37)</f>
        <v>#REF!</v>
      </c>
    </row>
    <row r="38" spans="1:3">
      <c r="A38">
        <f t="shared" si="1"/>
        <v>0.44999999999999996</v>
      </c>
      <c r="B38" s="31">
        <f>PERCENTILE('River loads'!BU$4:BU$84,$A38)</f>
        <v>4.1662542393360064E-2</v>
      </c>
      <c r="C38" s="31" t="e">
        <f>PERCENTILE('River loads'!#REF!,$A38)</f>
        <v>#REF!</v>
      </c>
    </row>
    <row r="39" spans="1:3">
      <c r="A39">
        <f t="shared" si="1"/>
        <v>0.49999999999999994</v>
      </c>
      <c r="B39" s="31">
        <f>PERCENTILE('River loads'!BU$4:BU$84,$A39)</f>
        <v>4.3509228084652997E-2</v>
      </c>
      <c r="C39" s="31" t="e">
        <f>PERCENTILE('River loads'!#REF!,$A39)</f>
        <v>#REF!</v>
      </c>
    </row>
    <row r="40" spans="1:3">
      <c r="A40">
        <f t="shared" si="1"/>
        <v>0.54999999999999993</v>
      </c>
      <c r="B40" s="31">
        <f>PERCENTILE('River loads'!BU$4:BU$84,$A40)</f>
        <v>4.4893154830520046E-2</v>
      </c>
      <c r="C40" s="31" t="e">
        <f>PERCENTILE('River loads'!#REF!,$A40)</f>
        <v>#REF!</v>
      </c>
    </row>
    <row r="41" spans="1:3">
      <c r="A41">
        <f t="shared" si="1"/>
        <v>0.6</v>
      </c>
      <c r="B41" s="31">
        <f>PERCENTILE('River loads'!BU$4:BU$84,$A41)</f>
        <v>5.5198013054885572E-2</v>
      </c>
      <c r="C41" s="31" t="e">
        <f>PERCENTILE('River loads'!#REF!,$A41)</f>
        <v>#REF!</v>
      </c>
    </row>
    <row r="42" spans="1:3">
      <c r="A42">
        <f t="shared" si="1"/>
        <v>0.65</v>
      </c>
      <c r="B42" s="31">
        <f>PERCENTILE('River loads'!BU$4:BU$84,$A42)</f>
        <v>6.7904047965280059E-2</v>
      </c>
      <c r="C42" s="31" t="e">
        <f>PERCENTILE('River loads'!#REF!,$A42)</f>
        <v>#REF!</v>
      </c>
    </row>
    <row r="43" spans="1:3">
      <c r="A43">
        <f t="shared" si="1"/>
        <v>0.70000000000000007</v>
      </c>
      <c r="B43" s="31">
        <f>PERCENTILE('River loads'!BU$4:BU$84,$A43)</f>
        <v>8.0226360587548659E-2</v>
      </c>
      <c r="C43" s="31" t="e">
        <f>PERCENTILE('River loads'!#REF!,$A43)</f>
        <v>#REF!</v>
      </c>
    </row>
    <row r="44" spans="1:3">
      <c r="A44">
        <f t="shared" si="1"/>
        <v>0.75000000000000011</v>
      </c>
      <c r="B44" s="31">
        <f>PERCENTILE('River loads'!BU$4:BU$84,$A44)</f>
        <v>0.10728702186777463</v>
      </c>
      <c r="C44" s="31" t="e">
        <f>PERCENTILE('River loads'!#REF!,$A44)</f>
        <v>#REF!</v>
      </c>
    </row>
    <row r="45" spans="1:3">
      <c r="A45">
        <f t="shared" si="1"/>
        <v>0.80000000000000016</v>
      </c>
      <c r="B45" s="31">
        <f>PERCENTILE('River loads'!BU$4:BU$84,$A45)</f>
        <v>0.12822574022161276</v>
      </c>
      <c r="C45" s="31" t="e">
        <f>PERCENTILE('River loads'!#REF!,$A45)</f>
        <v>#REF!</v>
      </c>
    </row>
    <row r="46" spans="1:3">
      <c r="A46">
        <f t="shared" si="1"/>
        <v>0.8500000000000002</v>
      </c>
      <c r="B46" s="31">
        <f>PERCENTILE('River loads'!BU$4:BU$84,$A46)</f>
        <v>0.14354933621371205</v>
      </c>
      <c r="C46" s="31" t="e">
        <f>PERCENTILE('River loads'!#REF!,$A46)</f>
        <v>#REF!</v>
      </c>
    </row>
    <row r="47" spans="1:3">
      <c r="A47">
        <f t="shared" si="1"/>
        <v>0.90000000000000024</v>
      </c>
      <c r="B47" s="31">
        <f>PERCENTILE('River loads'!BU$4:BU$84,$A47)</f>
        <v>0.15827461776940474</v>
      </c>
      <c r="C47" s="31" t="e">
        <f>PERCENTILE('River loads'!#REF!,$A47)</f>
        <v>#REF!</v>
      </c>
    </row>
    <row r="48" spans="1:3">
      <c r="A48">
        <f t="shared" si="1"/>
        <v>0.95000000000000029</v>
      </c>
      <c r="B48" s="31">
        <f>PERCENTILE('River loads'!BU$4:BU$84,$A48)</f>
        <v>0.18183219043032181</v>
      </c>
      <c r="C48" s="31" t="e">
        <f>PERCENTILE('River loads'!#REF!,$A48)</f>
        <v>#REF!</v>
      </c>
    </row>
    <row r="49" spans="1:7">
      <c r="A49">
        <v>0.99</v>
      </c>
      <c r="B49" s="31">
        <f>PERCENTILE('River loads'!BU$4:BU$84,$A49)</f>
        <v>0.19592196423419164</v>
      </c>
      <c r="C49" s="31" t="e">
        <f>PERCENTILE('River loads'!#REF!,$A49)</f>
        <v>#REF!</v>
      </c>
    </row>
    <row r="55" spans="1:7" ht="42">
      <c r="A55" s="103" t="s">
        <v>589</v>
      </c>
      <c r="B55" s="103" t="s">
        <v>602</v>
      </c>
      <c r="C55" s="103" t="s">
        <v>603</v>
      </c>
      <c r="D55" s="103" t="s">
        <v>604</v>
      </c>
      <c r="E55" s="103" t="s">
        <v>603</v>
      </c>
      <c r="F55" s="103" t="s">
        <v>618</v>
      </c>
      <c r="G55" s="103" t="s">
        <v>619</v>
      </c>
    </row>
    <row r="56" spans="1:7">
      <c r="A56" t="s">
        <v>410</v>
      </c>
      <c r="B56" t="s">
        <v>416</v>
      </c>
      <c r="C56" t="s">
        <v>416</v>
      </c>
      <c r="D56" t="s">
        <v>594</v>
      </c>
      <c r="E56" t="s">
        <v>594</v>
      </c>
      <c r="F56" t="s">
        <v>494</v>
      </c>
      <c r="G56" t="s">
        <v>494</v>
      </c>
    </row>
    <row r="57" spans="1:7">
      <c r="A57">
        <v>0</v>
      </c>
      <c r="B57" s="31">
        <f>PERCENTILE('River loads'!BW$4:BW$84,$A57)</f>
        <v>0.41140284325176629</v>
      </c>
      <c r="C57" s="31">
        <f>PERCENTILE('River loads'!BX$4:BX$84,$A57)</f>
        <v>0.51242475728155301</v>
      </c>
      <c r="D57" s="31">
        <f>PERCENTILE('River loads'!BZ$4:BZ$84,$A57)</f>
        <v>0.55594978817806251</v>
      </c>
      <c r="E57" s="31">
        <f>PERCENTILE('River loads'!CA$4:CA$84,$A57)</f>
        <v>0.66020000000000001</v>
      </c>
      <c r="F57" s="31">
        <f>PERCENTILE('River loads'!CC$4:CC$84,$A57)</f>
        <v>9.8999097718286203E-2</v>
      </c>
      <c r="G57" s="31" t="e">
        <f>PERCENTILE('River loads'!CD$4:CD$84,$A57)</f>
        <v>#NUM!</v>
      </c>
    </row>
    <row r="58" spans="1:7">
      <c r="A58">
        <f>A57+0.05</f>
        <v>0.05</v>
      </c>
      <c r="B58" s="31">
        <f>PERCENTILE('River loads'!BW$4:BW$84,$A58)</f>
        <v>0.51281532618072256</v>
      </c>
      <c r="C58" s="31">
        <f>PERCENTILE('River loads'!BX$4:BX$84,$A58)</f>
        <v>0.69342899038461536</v>
      </c>
      <c r="D58" s="31">
        <f>PERCENTILE('River loads'!BZ$4:BZ$84,$A58)</f>
        <v>0.69299368402800343</v>
      </c>
      <c r="E58" s="31">
        <f>PERCENTILE('River loads'!CA$4:CA$84,$A58)</f>
        <v>0.83031499999999991</v>
      </c>
      <c r="F58" s="31">
        <f>PERCENTILE('River loads'!CC$4:CC$84,$A58)</f>
        <v>0.14844742852779111</v>
      </c>
      <c r="G58" s="31" t="e">
        <f>PERCENTILE('River loads'!CD$4:CD$84,$A58)</f>
        <v>#NUM!</v>
      </c>
    </row>
    <row r="59" spans="1:7">
      <c r="A59">
        <f t="shared" ref="A59:A76" si="2">A58+0.05</f>
        <v>0.1</v>
      </c>
      <c r="B59" s="31">
        <f>PERCENTILE('River loads'!BW$4:BW$84,$A59)</f>
        <v>0.58325002459189834</v>
      </c>
      <c r="C59" s="31">
        <f>PERCENTILE('River loads'!BX$4:BX$84,$A59)</f>
        <v>0.90868034540702058</v>
      </c>
      <c r="D59" s="31">
        <f>PERCENTILE('River loads'!BZ$4:BZ$84,$A59)</f>
        <v>0.78817570890797073</v>
      </c>
      <c r="E59" s="31">
        <f>PERCENTILE('River loads'!CA$4:CA$84,$A59)</f>
        <v>1.1215200000000001</v>
      </c>
      <c r="F59" s="31">
        <f>PERCENTILE('River loads'!CC$4:CC$84,$A59)</f>
        <v>0.16620252743801736</v>
      </c>
      <c r="G59" s="31" t="e">
        <f>PERCENTILE('River loads'!CD$4:CD$84,$A59)</f>
        <v>#NUM!</v>
      </c>
    </row>
    <row r="60" spans="1:7">
      <c r="A60">
        <f t="shared" si="2"/>
        <v>0.15000000000000002</v>
      </c>
      <c r="B60" s="31">
        <f>PERCENTILE('River loads'!BW$4:BW$84,$A60)</f>
        <v>0.68411705306112736</v>
      </c>
      <c r="C60" s="31">
        <f>PERCENTILE('River loads'!BX$4:BX$84,$A60)</f>
        <v>1.071699239346551</v>
      </c>
      <c r="D60" s="31">
        <f>PERCENTILE('River loads'!BZ$4:BZ$84,$A60)</f>
        <v>0.92448250413665856</v>
      </c>
      <c r="E60" s="31">
        <f>PERCENTILE('River loads'!CA$4:CA$84,$A60)</f>
        <v>1.3733600000000001</v>
      </c>
      <c r="F60" s="31">
        <f>PERCENTILE('River loads'!CC$4:CC$84,$A60)</f>
        <v>0.18954012721865762</v>
      </c>
      <c r="G60" s="31" t="e">
        <f>PERCENTILE('River loads'!CD$4:CD$84,$A60)</f>
        <v>#NUM!</v>
      </c>
    </row>
    <row r="61" spans="1:7">
      <c r="A61">
        <f t="shared" si="2"/>
        <v>0.2</v>
      </c>
      <c r="B61" s="31">
        <f>PERCENTILE('River loads'!BW$4:BW$84,$A61)</f>
        <v>0.77184508033378207</v>
      </c>
      <c r="C61" s="31">
        <f>PERCENTILE('River loads'!BX$4:BX$84,$A61)</f>
        <v>1.3874354079536939</v>
      </c>
      <c r="D61" s="31">
        <f>PERCENTILE('River loads'!BZ$4:BZ$84,$A61)</f>
        <v>1.0430338923429487</v>
      </c>
      <c r="E61" s="31">
        <f>PERCENTILE('River loads'!CA$4:CA$84,$A61)</f>
        <v>1.7371999999999999</v>
      </c>
      <c r="F61" s="31">
        <f>PERCENTILE('River loads'!CC$4:CC$84,$A61)</f>
        <v>0.20024147723363528</v>
      </c>
      <c r="G61" s="31" t="e">
        <f>PERCENTILE('River loads'!CD$4:CD$84,$A61)</f>
        <v>#NUM!</v>
      </c>
    </row>
    <row r="62" spans="1:7">
      <c r="A62">
        <f t="shared" si="2"/>
        <v>0.25</v>
      </c>
      <c r="B62" s="31">
        <f>PERCENTILE('River loads'!BW$4:BW$84,$A62)</f>
        <v>0.88027837432211598</v>
      </c>
      <c r="C62" s="31">
        <f>PERCENTILE('River loads'!BX$4:BX$84,$A62)</f>
        <v>1.46291538461538</v>
      </c>
      <c r="D62" s="31">
        <f>PERCENTILE('River loads'!BZ$4:BZ$84,$A62)</f>
        <v>1.1895653707055622</v>
      </c>
      <c r="E62" s="31">
        <f>PERCENTILE('River loads'!CA$4:CA$84,$A62)</f>
        <v>1.8140000000000001</v>
      </c>
      <c r="F62" s="31">
        <f>PERCENTILE('River loads'!CC$4:CC$84,$A62)</f>
        <v>0.21701841968123986</v>
      </c>
      <c r="G62" s="31" t="e">
        <f>PERCENTILE('River loads'!CD$4:CD$84,$A62)</f>
        <v>#NUM!</v>
      </c>
    </row>
    <row r="63" spans="1:7">
      <c r="A63">
        <f t="shared" si="2"/>
        <v>0.3</v>
      </c>
      <c r="B63" s="31">
        <f>PERCENTILE('River loads'!BW$4:BW$84,$A63)</f>
        <v>0.94820944610177316</v>
      </c>
      <c r="C63" s="31">
        <f>PERCENTILE('River loads'!BX$4:BX$84,$A63)</f>
        <v>1.5960300330032979</v>
      </c>
      <c r="D63" s="31">
        <f>PERCENTILE('River loads'!BZ$4:BZ$84,$A63)</f>
        <v>1.2813641163537475</v>
      </c>
      <c r="E63" s="31">
        <f>PERCENTILE('River loads'!CA$4:CA$84,$A63)</f>
        <v>2.0510999999999995</v>
      </c>
      <c r="F63" s="31">
        <f>PERCENTILE('River loads'!CC$4:CC$84,$A63)</f>
        <v>0.27924781433198687</v>
      </c>
      <c r="G63" s="31" t="e">
        <f>PERCENTILE('River loads'!CD$4:CD$84,$A63)</f>
        <v>#NUM!</v>
      </c>
    </row>
    <row r="64" spans="1:7">
      <c r="A64">
        <f t="shared" si="2"/>
        <v>0.35</v>
      </c>
      <c r="B64" s="31">
        <f>PERCENTILE('River loads'!BW$4:BW$84,$A64)</f>
        <v>1.0571915877724458</v>
      </c>
      <c r="C64" s="31">
        <f>PERCENTILE('River loads'!BX$4:BX$84,$A64)</f>
        <v>1.7183890614886719</v>
      </c>
      <c r="D64" s="31">
        <f>PERCENTILE('River loads'!BZ$4:BZ$84,$A64)</f>
        <v>1.4286372807735754</v>
      </c>
      <c r="E64" s="31">
        <f>PERCENTILE('River loads'!CA$4:CA$84,$A64)</f>
        <v>2.1190920000000002</v>
      </c>
      <c r="F64" s="31">
        <f>PERCENTILE('River loads'!CC$4:CC$84,$A64)</f>
        <v>0.32706287932571909</v>
      </c>
      <c r="G64" s="31" t="e">
        <f>PERCENTILE('River loads'!CD$4:CD$84,$A64)</f>
        <v>#NUM!</v>
      </c>
    </row>
    <row r="65" spans="1:7">
      <c r="A65">
        <f t="shared" si="2"/>
        <v>0.39999999999999997</v>
      </c>
      <c r="B65" s="31">
        <f>PERCENTILE('River loads'!BW$4:BW$84,$A65)</f>
        <v>1.2624053779914362</v>
      </c>
      <c r="C65" s="31">
        <f>PERCENTILE('River loads'!BX$4:BX$84,$A65)</f>
        <v>2.0106665999999995</v>
      </c>
      <c r="D65" s="31">
        <f>PERCENTILE('River loads'!BZ$4:BZ$84,$A65)</f>
        <v>1.7059532135019408</v>
      </c>
      <c r="E65" s="31">
        <f>PERCENTILE('River loads'!CA$4:CA$84,$A65)</f>
        <v>2.9625199999999996</v>
      </c>
      <c r="F65" s="31">
        <f>PERCENTILE('River loads'!CC$4:CC$84,$A65)</f>
        <v>0.35389787460447009</v>
      </c>
      <c r="G65" s="31" t="e">
        <f>PERCENTILE('River loads'!CD$4:CD$84,$A65)</f>
        <v>#NUM!</v>
      </c>
    </row>
    <row r="66" spans="1:7">
      <c r="A66">
        <f t="shared" si="2"/>
        <v>0.44999999999999996</v>
      </c>
      <c r="B66" s="31">
        <f>PERCENTILE('River loads'!BW$4:BW$84,$A66)</f>
        <v>1.4370458287534633</v>
      </c>
      <c r="C66" s="31">
        <f>PERCENTILE('River loads'!BX$4:BX$84,$A66)</f>
        <v>2.2327386165413543</v>
      </c>
      <c r="D66" s="31">
        <f>PERCENTILE('River loads'!BZ$4:BZ$84,$A66)</f>
        <v>1.9419538226398154</v>
      </c>
      <c r="E66" s="31">
        <f>PERCENTILE('River loads'!CA$4:CA$84,$A66)</f>
        <v>3.1579200000000003</v>
      </c>
      <c r="F66" s="31">
        <f>PERCENTILE('River loads'!CC$4:CC$84,$A66)</f>
        <v>0.37478112180947754</v>
      </c>
      <c r="G66" s="31" t="e">
        <f>PERCENTILE('River loads'!CD$4:CD$84,$A66)</f>
        <v>#NUM!</v>
      </c>
    </row>
    <row r="67" spans="1:7">
      <c r="A67">
        <f t="shared" si="2"/>
        <v>0.49999999999999994</v>
      </c>
      <c r="B67" s="31">
        <f>PERCENTILE('River loads'!BW$4:BW$84,$A67)</f>
        <v>1.5022418610239929</v>
      </c>
      <c r="C67" s="31">
        <f>PERCENTILE('River loads'!BX$4:BX$84,$A67)</f>
        <v>2.3237448979591799</v>
      </c>
      <c r="D67" s="31">
        <f>PERCENTILE('River loads'!BZ$4:BZ$84,$A67)</f>
        <v>2.0300565689513417</v>
      </c>
      <c r="E67" s="31">
        <f>PERCENTILE('River loads'!CA$4:CA$84,$A67)</f>
        <v>3.198</v>
      </c>
      <c r="F67" s="31">
        <f>PERCENTILE('River loads'!CC$4:CC$84,$A67)</f>
        <v>0.45810788080566889</v>
      </c>
      <c r="G67" s="31" t="e">
        <f>PERCENTILE('River loads'!CD$4:CD$84,$A67)</f>
        <v>#NUM!</v>
      </c>
    </row>
    <row r="68" spans="1:7">
      <c r="A68">
        <f t="shared" si="2"/>
        <v>0.54999999999999993</v>
      </c>
      <c r="B68" s="31">
        <f>PERCENTILE('River loads'!BW$4:BW$84,$A68)</f>
        <v>1.6613917586774296</v>
      </c>
      <c r="C68" s="31">
        <f>PERCENTILE('River loads'!BX$4:BX$84,$A68)</f>
        <v>2.45795786904762</v>
      </c>
      <c r="D68" s="31">
        <f>PERCENTILE('River loads'!BZ$4:BZ$84,$A68)</f>
        <v>2.2451239982127431</v>
      </c>
      <c r="E68" s="31">
        <f>PERCENTILE('River loads'!CA$4:CA$84,$A68)</f>
        <v>3.4029759999999993</v>
      </c>
      <c r="F68" s="31">
        <f>PERCENTILE('River loads'!CC$4:CC$84,$A68)</f>
        <v>0.50164273122759406</v>
      </c>
      <c r="G68" s="31" t="e">
        <f>PERCENTILE('River loads'!CD$4:CD$84,$A68)</f>
        <v>#NUM!</v>
      </c>
    </row>
    <row r="69" spans="1:7">
      <c r="A69">
        <f t="shared" si="2"/>
        <v>0.6</v>
      </c>
      <c r="B69" s="31">
        <f>PERCENTILE('River loads'!BW$4:BW$84,$A69)</f>
        <v>1.8734991491935404</v>
      </c>
      <c r="C69" s="31">
        <f>PERCENTILE('River loads'!BX$4:BX$84,$A69)</f>
        <v>2.4811050691244279</v>
      </c>
      <c r="D69" s="31">
        <f>PERCENTILE('River loads'!BZ$4:BZ$84,$A69)</f>
        <v>2.5317556070182978</v>
      </c>
      <c r="E69" s="31">
        <f>PERCENTILE('River loads'!CA$4:CA$84,$A69)</f>
        <v>3.5063999999999997</v>
      </c>
      <c r="F69" s="31">
        <f>PERCENTILE('River loads'!CC$4:CC$84,$A69)</f>
        <v>0.55440324600406898</v>
      </c>
      <c r="G69" s="31" t="e">
        <f>PERCENTILE('River loads'!CD$4:CD$84,$A69)</f>
        <v>#NUM!</v>
      </c>
    </row>
    <row r="70" spans="1:7">
      <c r="A70">
        <f t="shared" si="2"/>
        <v>0.65</v>
      </c>
      <c r="B70" s="31">
        <f>PERCENTILE('River loads'!BW$4:BW$84,$A70)</f>
        <v>1.936641913316189</v>
      </c>
      <c r="C70" s="31">
        <f>PERCENTILE('River loads'!BX$4:BX$84,$A70)</f>
        <v>2.5588147233546903</v>
      </c>
      <c r="D70" s="31">
        <f>PERCENTILE('River loads'!BZ$4:BZ$84,$A70)</f>
        <v>2.6170836666434987</v>
      </c>
      <c r="E70" s="31">
        <f>PERCENTILE('River loads'!CA$4:CA$84,$A70)</f>
        <v>3.5482400000000003</v>
      </c>
      <c r="F70" s="31">
        <f>PERCENTILE('River loads'!CC$4:CC$84,$A70)</f>
        <v>0.63309073399650484</v>
      </c>
      <c r="G70" s="31" t="e">
        <f>PERCENTILE('River loads'!CD$4:CD$84,$A70)</f>
        <v>#NUM!</v>
      </c>
    </row>
    <row r="71" spans="1:7">
      <c r="A71">
        <f t="shared" si="2"/>
        <v>0.70000000000000007</v>
      </c>
      <c r="B71" s="31">
        <f>PERCENTILE('River loads'!BW$4:BW$84,$A71)</f>
        <v>2.0186129017405721</v>
      </c>
      <c r="C71" s="31">
        <f>PERCENTILE('River loads'!BX$4:BX$84,$A71)</f>
        <v>2.9169598141414159</v>
      </c>
      <c r="D71" s="31">
        <f>PERCENTILE('River loads'!BZ$4:BZ$84,$A71)</f>
        <v>2.7278552726223948</v>
      </c>
      <c r="E71" s="31">
        <f>PERCENTILE('River loads'!CA$4:CA$84,$A71)</f>
        <v>3.9000800000000009</v>
      </c>
      <c r="F71" s="31">
        <f>PERCENTILE('River loads'!CC$4:CC$84,$A71)</f>
        <v>0.66153730142082345</v>
      </c>
      <c r="G71" s="31" t="e">
        <f>PERCENTILE('River loads'!CD$4:CD$84,$A71)</f>
        <v>#NUM!</v>
      </c>
    </row>
    <row r="72" spans="1:7">
      <c r="A72">
        <f t="shared" si="2"/>
        <v>0.75000000000000011</v>
      </c>
      <c r="B72" s="31">
        <f>PERCENTILE('River loads'!BW$4:BW$84,$A72)</f>
        <v>2.4354076929624147</v>
      </c>
      <c r="C72" s="31">
        <f>PERCENTILE('River loads'!BX$4:BX$84,$A72)</f>
        <v>3.0674520000000003</v>
      </c>
      <c r="D72" s="31">
        <f>PERCENTILE('River loads'!BZ$4:BZ$84,$A72)</f>
        <v>3.2910914769762361</v>
      </c>
      <c r="E72" s="31">
        <f>PERCENTILE('River loads'!CA$4:CA$84,$A72)</f>
        <v>4.3894000000000002</v>
      </c>
      <c r="F72" s="31">
        <f>PERCENTILE('River loads'!CC$4:CC$84,$A72)</f>
        <v>0.70386471302962383</v>
      </c>
      <c r="G72" s="31" t="e">
        <f>PERCENTILE('River loads'!CD$4:CD$84,$A72)</f>
        <v>#NUM!</v>
      </c>
    </row>
    <row r="73" spans="1:7">
      <c r="A73">
        <f t="shared" si="2"/>
        <v>0.80000000000000016</v>
      </c>
      <c r="B73" s="31">
        <f>PERCENTILE('River loads'!BW$4:BW$84,$A73)</f>
        <v>2.5104786968023665</v>
      </c>
      <c r="C73" s="31">
        <f>PERCENTILE('River loads'!BX$4:BX$84,$A73)</f>
        <v>3.1376124000000001</v>
      </c>
      <c r="D73" s="31">
        <f>PERCENTILE('River loads'!BZ$4:BZ$84,$A73)</f>
        <v>3.3925387794626571</v>
      </c>
      <c r="E73" s="31">
        <f>PERCENTILE('River loads'!CA$4:CA$84,$A73)</f>
        <v>4.5412600000000003</v>
      </c>
      <c r="F73" s="31">
        <f>PERCENTILE('River loads'!CC$4:CC$84,$A73)</f>
        <v>0.84039911956226709</v>
      </c>
      <c r="G73" s="31" t="e">
        <f>PERCENTILE('River loads'!CD$4:CD$84,$A73)</f>
        <v>#NUM!</v>
      </c>
    </row>
    <row r="74" spans="1:7">
      <c r="A74">
        <f t="shared" si="2"/>
        <v>0.8500000000000002</v>
      </c>
      <c r="B74" s="31">
        <f>PERCENTILE('River loads'!BW$4:BW$84,$A74)</f>
        <v>2.818753715060005</v>
      </c>
      <c r="C74" s="31">
        <f>PERCENTILE('River loads'!BX$4:BX$84,$A74)</f>
        <v>3.3341996116504866</v>
      </c>
      <c r="D74" s="31">
        <f>PERCENTILE('River loads'!BZ$4:BZ$84,$A74)</f>
        <v>3.8091266419729801</v>
      </c>
      <c r="E74" s="31">
        <f>PERCENTILE('River loads'!CA$4:CA$84,$A74)</f>
        <v>4.6424000000000012</v>
      </c>
      <c r="F74" s="31">
        <f>PERCENTILE('River loads'!CC$4:CC$84,$A74)</f>
        <v>0.93427551364413408</v>
      </c>
      <c r="G74" s="31" t="e">
        <f>PERCENTILE('River loads'!CD$4:CD$84,$A74)</f>
        <v>#NUM!</v>
      </c>
    </row>
    <row r="75" spans="1:7">
      <c r="A75">
        <f t="shared" si="2"/>
        <v>0.90000000000000024</v>
      </c>
      <c r="B75" s="31">
        <f>PERCENTILE('River loads'!BW$4:BW$84,$A75)</f>
        <v>2.9538660241678496</v>
      </c>
      <c r="C75" s="31">
        <f>PERCENTILE('River loads'!BX$4:BX$84,$A75)</f>
        <v>3.7934601980198002</v>
      </c>
      <c r="D75" s="31">
        <f>PERCENTILE('River loads'!BZ$4:BZ$84,$A75)</f>
        <v>3.9917108434700674</v>
      </c>
      <c r="E75" s="31">
        <f>PERCENTILE('River loads'!CA$4:CA$84,$A75)</f>
        <v>4.862000000000001</v>
      </c>
      <c r="F75" s="31">
        <f>PERCENTILE('River loads'!CC$4:CC$84,$A75)</f>
        <v>0.99309213239475624</v>
      </c>
      <c r="G75" s="31" t="e">
        <f>PERCENTILE('River loads'!CD$4:CD$84,$A75)</f>
        <v>#NUM!</v>
      </c>
    </row>
    <row r="76" spans="1:7">
      <c r="A76">
        <f t="shared" si="2"/>
        <v>0.95000000000000029</v>
      </c>
      <c r="B76" s="31">
        <f>PERCENTILE('River loads'!BW$4:BW$84,$A76)</f>
        <v>3.2671292679132948</v>
      </c>
      <c r="C76" s="31">
        <f>PERCENTILE('River loads'!BX$4:BX$84,$A76)</f>
        <v>3.8610871287128758</v>
      </c>
      <c r="D76" s="31">
        <f>PERCENTILE('River loads'!BZ$4:BZ$84,$A76)</f>
        <v>4.4150395512341829</v>
      </c>
      <c r="E76" s="31">
        <f>PERCENTILE('River loads'!CA$4:CA$84,$A76)</f>
        <v>5.23</v>
      </c>
      <c r="F76" s="31">
        <f>PERCENTILE('River loads'!CC$4:CC$84,$A76)</f>
        <v>1.1045112323914283</v>
      </c>
      <c r="G76" s="31" t="e">
        <f>PERCENTILE('River loads'!CD$4:CD$84,$A76)</f>
        <v>#NUM!</v>
      </c>
    </row>
    <row r="77" spans="1:7">
      <c r="A77">
        <v>0.99</v>
      </c>
      <c r="B77" s="31">
        <f>PERCENTILE('River loads'!BW$4:BW$84,$A77)</f>
        <v>3.762087289993707</v>
      </c>
      <c r="C77" s="31">
        <f>PERCENTILE('River loads'!BX$4:BX$84,$A77)</f>
        <v>5.5549827326732659</v>
      </c>
      <c r="D77" s="31">
        <f>PERCENTILE('River loads'!BZ$4:BZ$84,$A77)</f>
        <v>5.0839017432347386</v>
      </c>
      <c r="E77" s="31">
        <f>PERCENTILE('River loads'!CA$4:CA$84,$A77)</f>
        <v>6.4780000000000015</v>
      </c>
      <c r="F77" s="31">
        <f>PERCENTILE('River loads'!CC$4:CC$84,$A77)</f>
        <v>1.2782539608591472</v>
      </c>
      <c r="G77" s="31" t="e">
        <f>PERCENTILE('River loads'!CD$4:CD$84,$A77)</f>
        <v>#NUM!</v>
      </c>
    </row>
    <row r="81" spans="1:5">
      <c r="A81" t="s">
        <v>589</v>
      </c>
      <c r="B81" t="s">
        <v>608</v>
      </c>
      <c r="C81" t="s">
        <v>609</v>
      </c>
      <c r="D81" t="s">
        <v>610</v>
      </c>
      <c r="E81" t="s">
        <v>611</v>
      </c>
    </row>
    <row r="82" spans="1:5">
      <c r="A82" t="s">
        <v>410</v>
      </c>
      <c r="B82" t="s">
        <v>416</v>
      </c>
      <c r="C82" t="s">
        <v>416</v>
      </c>
      <c r="D82" t="s">
        <v>416</v>
      </c>
      <c r="E82" t="s">
        <v>416</v>
      </c>
    </row>
    <row r="83" spans="1:5">
      <c r="A83">
        <v>0</v>
      </c>
      <c r="B83" s="147">
        <f>PERCENTILE('Local emissions'!FD$4:FD$84,$A83)</f>
        <v>0.51784358059297608</v>
      </c>
      <c r="C83" s="147">
        <f>PERCENTILE('Local emissions'!FC$4:FC$84,$A83)</f>
        <v>0.46516129032258063</v>
      </c>
      <c r="D83" s="147">
        <f>B83/14*62</f>
        <v>2.2933072854831797</v>
      </c>
      <c r="E83" s="147">
        <f t="shared" ref="E83:E103" si="3">C83/14*62</f>
        <v>2.06</v>
      </c>
    </row>
    <row r="84" spans="1:5">
      <c r="A84">
        <f>A83+0.05</f>
        <v>0.05</v>
      </c>
      <c r="B84" s="147">
        <f>PERCENTILE('Local emissions'!FD$4:FD$84,$A84)</f>
        <v>0.69401499374495856</v>
      </c>
      <c r="C84" s="147">
        <f>PERCENTILE('Local emissions'!FC$4:FC$84,$A84)</f>
        <v>0.69175806451612909</v>
      </c>
      <c r="D84" s="147">
        <f t="shared" ref="D84:D103" si="4">B84/14*62</f>
        <v>3.0734949722991018</v>
      </c>
      <c r="E84" s="147">
        <f t="shared" si="3"/>
        <v>3.0634999999999999</v>
      </c>
    </row>
    <row r="85" spans="1:5">
      <c r="A85">
        <f t="shared" ref="A85:A102" si="5">A84+0.05</f>
        <v>0.1</v>
      </c>
      <c r="B85" s="147">
        <f>PERCENTILE('Local emissions'!FD$4:FD$84,$A85)</f>
        <v>0.7621292874234189</v>
      </c>
      <c r="C85" s="147">
        <f>PERCENTILE('Local emissions'!FC$4:FC$84,$A85)</f>
        <v>0.75720430107526882</v>
      </c>
      <c r="D85" s="147">
        <f t="shared" si="4"/>
        <v>3.3751439871608553</v>
      </c>
      <c r="E85" s="147">
        <f t="shared" si="3"/>
        <v>3.3533333333333331</v>
      </c>
    </row>
    <row r="86" spans="1:5">
      <c r="A86">
        <f t="shared" si="5"/>
        <v>0.15000000000000002</v>
      </c>
      <c r="B86" s="147">
        <f>PERCENTILE('Local emissions'!FD$4:FD$84,$A86)</f>
        <v>0.83307381174080697</v>
      </c>
      <c r="C86" s="147">
        <f>PERCENTILE('Local emissions'!FC$4:FC$84,$A86)</f>
        <v>0.8468024193548388</v>
      </c>
      <c r="D86" s="147">
        <f t="shared" si="4"/>
        <v>3.6893268805664308</v>
      </c>
      <c r="E86" s="147">
        <f t="shared" si="3"/>
        <v>3.7501250000000006</v>
      </c>
    </row>
    <row r="87" spans="1:5">
      <c r="A87">
        <f t="shared" si="5"/>
        <v>0.2</v>
      </c>
      <c r="B87" s="147">
        <f>PERCENTILE('Local emissions'!FD$4:FD$84,$A87)</f>
        <v>0.94312771263549822</v>
      </c>
      <c r="C87" s="147">
        <f>PERCENTILE('Local emissions'!FC$4:FC$84,$A87)</f>
        <v>0.99825806451612908</v>
      </c>
      <c r="D87" s="147">
        <f t="shared" si="4"/>
        <v>4.1767084416714919</v>
      </c>
      <c r="E87" s="147">
        <f t="shared" si="3"/>
        <v>4.4208571428571437</v>
      </c>
    </row>
    <row r="88" spans="1:5">
      <c r="A88">
        <f t="shared" si="5"/>
        <v>0.25</v>
      </c>
      <c r="B88" s="147">
        <f>PERCENTILE('Local emissions'!FD$4:FD$84,$A88)</f>
        <v>1.233269024886148</v>
      </c>
      <c r="C88" s="147">
        <f>PERCENTILE('Local emissions'!FC$4:FC$84,$A88)</f>
        <v>1.0808602150537632</v>
      </c>
      <c r="D88" s="147">
        <f t="shared" si="4"/>
        <v>5.4616199673529406</v>
      </c>
      <c r="E88" s="147">
        <f t="shared" si="3"/>
        <v>4.7866666666666653</v>
      </c>
    </row>
    <row r="89" spans="1:5">
      <c r="A89">
        <f t="shared" si="5"/>
        <v>0.3</v>
      </c>
      <c r="B89" s="147">
        <f>PERCENTILE('Local emissions'!FD$4:FD$84,$A89)</f>
        <v>1.3512307892960402</v>
      </c>
      <c r="C89" s="147">
        <f>PERCENTILE('Local emissions'!FC$4:FC$84,$A89)</f>
        <v>1.2161935483870967</v>
      </c>
      <c r="D89" s="147">
        <f t="shared" si="4"/>
        <v>5.9840220668824644</v>
      </c>
      <c r="E89" s="147">
        <f t="shared" si="3"/>
        <v>5.3859999999999992</v>
      </c>
    </row>
    <row r="90" spans="1:5">
      <c r="A90">
        <f t="shared" si="5"/>
        <v>0.35</v>
      </c>
      <c r="B90" s="147">
        <f>PERCENTILE('Local emissions'!FD$4:FD$84,$A90)</f>
        <v>1.7709665406427364</v>
      </c>
      <c r="C90" s="147">
        <f>PERCENTILE('Local emissions'!FC$4:FC$84,$A90)</f>
        <v>1.5849354838709677</v>
      </c>
      <c r="D90" s="147">
        <f t="shared" si="4"/>
        <v>7.842851822846403</v>
      </c>
      <c r="E90" s="147">
        <f t="shared" si="3"/>
        <v>7.0190000000000001</v>
      </c>
    </row>
    <row r="91" spans="1:5">
      <c r="A91">
        <f t="shared" si="5"/>
        <v>0.39999999999999997</v>
      </c>
      <c r="B91" s="147">
        <f>PERCENTILE('Local emissions'!FD$4:FD$84,$A91)</f>
        <v>2.1552557719421692</v>
      </c>
      <c r="C91" s="147">
        <f>PERCENTILE('Local emissions'!FC$4:FC$84,$A91)</f>
        <v>1.9450064516129029</v>
      </c>
      <c r="D91" s="147">
        <f t="shared" si="4"/>
        <v>9.5447041328867481</v>
      </c>
      <c r="E91" s="147">
        <f t="shared" si="3"/>
        <v>8.6135999999999981</v>
      </c>
    </row>
    <row r="92" spans="1:5">
      <c r="A92">
        <f t="shared" si="5"/>
        <v>0.44999999999999996</v>
      </c>
      <c r="B92" s="147">
        <f>PERCENTILE('Local emissions'!FD$4:FD$84,$A92)</f>
        <v>2.346183782853668</v>
      </c>
      <c r="C92" s="147">
        <f>PERCENTILE('Local emissions'!FC$4:FC$84,$A92)</f>
        <v>2.3165032258064517</v>
      </c>
      <c r="D92" s="147">
        <f t="shared" si="4"/>
        <v>10.390242466923386</v>
      </c>
      <c r="E92" s="147">
        <f t="shared" si="3"/>
        <v>10.258800000000001</v>
      </c>
    </row>
    <row r="93" spans="1:5">
      <c r="A93">
        <f t="shared" si="5"/>
        <v>0.49999999999999994</v>
      </c>
      <c r="B93" s="147">
        <f>PERCENTILE('Local emissions'!FD$4:FD$84,$A93)</f>
        <v>2.4694926783232454</v>
      </c>
      <c r="C93" s="147">
        <f>PERCENTILE('Local emissions'!FC$4:FC$84,$A93)</f>
        <v>2.6143870967741933</v>
      </c>
      <c r="D93" s="147">
        <f t="shared" si="4"/>
        <v>10.936324718288658</v>
      </c>
      <c r="E93" s="147">
        <f t="shared" si="3"/>
        <v>11.577999999999998</v>
      </c>
    </row>
    <row r="94" spans="1:5">
      <c r="A94">
        <f t="shared" si="5"/>
        <v>0.54999999999999993</v>
      </c>
      <c r="B94" s="147">
        <f>PERCENTILE('Local emissions'!FD$4:FD$84,$A94)</f>
        <v>2.8045205837067799</v>
      </c>
      <c r="C94" s="147">
        <f>PERCENTILE('Local emissions'!FC$4:FC$84,$A94)</f>
        <v>2.967458064516129</v>
      </c>
      <c r="D94" s="147">
        <f t="shared" si="4"/>
        <v>12.420019727844311</v>
      </c>
      <c r="E94" s="147">
        <f t="shared" si="3"/>
        <v>13.1416</v>
      </c>
    </row>
    <row r="95" spans="1:5">
      <c r="A95">
        <f t="shared" si="5"/>
        <v>0.6</v>
      </c>
      <c r="B95" s="147">
        <f>PERCENTILE('Local emissions'!FD$4:FD$84,$A95)</f>
        <v>2.9697285966909313</v>
      </c>
      <c r="C95" s="147">
        <f>PERCENTILE('Local emissions'!FC$4:FC$84,$A95)</f>
        <v>3.1309720430107526</v>
      </c>
      <c r="D95" s="147">
        <f t="shared" si="4"/>
        <v>13.15165521391698</v>
      </c>
      <c r="E95" s="147">
        <f t="shared" si="3"/>
        <v>13.865733333333333</v>
      </c>
    </row>
    <row r="96" spans="1:5">
      <c r="A96">
        <f t="shared" si="5"/>
        <v>0.65</v>
      </c>
      <c r="B96" s="147">
        <f>PERCENTILE('Local emissions'!FD$4:FD$84,$A96)</f>
        <v>3.046228943081049</v>
      </c>
      <c r="C96" s="147">
        <f>PERCENTILE('Local emissions'!FC$4:FC$84,$A96)</f>
        <v>3.3521720430107522</v>
      </c>
      <c r="D96" s="147">
        <f t="shared" si="4"/>
        <v>13.490442462216075</v>
      </c>
      <c r="E96" s="147">
        <f t="shared" si="3"/>
        <v>14.845333333333331</v>
      </c>
    </row>
    <row r="97" spans="1:5">
      <c r="A97">
        <f t="shared" si="5"/>
        <v>0.70000000000000007</v>
      </c>
      <c r="B97" s="147">
        <f>PERCENTILE('Local emissions'!FD$4:FD$84,$A97)</f>
        <v>3.3974438222929466</v>
      </c>
      <c r="C97" s="147">
        <f>PERCENTILE('Local emissions'!FC$4:FC$84,$A97)</f>
        <v>3.8392000000000013</v>
      </c>
      <c r="D97" s="147">
        <f t="shared" si="4"/>
        <v>15.045822641583049</v>
      </c>
      <c r="E97" s="147">
        <f t="shared" si="3"/>
        <v>17.002171428571437</v>
      </c>
    </row>
    <row r="98" spans="1:5">
      <c r="A98">
        <f t="shared" si="5"/>
        <v>0.75000000000000011</v>
      </c>
      <c r="B98" s="147">
        <f>PERCENTILE('Local emissions'!FD$4:FD$84,$A98)</f>
        <v>3.8293669041187428</v>
      </c>
      <c r="C98" s="147">
        <f>PERCENTILE('Local emissions'!FC$4:FC$84,$A98)</f>
        <v>4.3022770398482013</v>
      </c>
      <c r="D98" s="147">
        <f t="shared" si="4"/>
        <v>16.958624861097292</v>
      </c>
      <c r="E98" s="147">
        <f t="shared" si="3"/>
        <v>19.052941176470604</v>
      </c>
    </row>
    <row r="99" spans="1:5">
      <c r="A99">
        <f t="shared" si="5"/>
        <v>0.80000000000000016</v>
      </c>
      <c r="B99" s="147">
        <f>PERCENTILE('Local emissions'!FD$4:FD$84,$A99)</f>
        <v>4.0237420064799698</v>
      </c>
      <c r="C99" s="147">
        <f>PERCENTILE('Local emissions'!FC$4:FC$84,$A99)</f>
        <v>5.0193763440860222</v>
      </c>
      <c r="D99" s="147">
        <f t="shared" si="4"/>
        <v>17.819428885839869</v>
      </c>
      <c r="E99" s="147">
        <f t="shared" si="3"/>
        <v>22.228666666666673</v>
      </c>
    </row>
    <row r="100" spans="1:5">
      <c r="A100">
        <f t="shared" si="5"/>
        <v>0.8500000000000002</v>
      </c>
      <c r="B100" s="147">
        <f>PERCENTILE('Local emissions'!FD$4:FD$84,$A100)</f>
        <v>4.1696306497964759</v>
      </c>
      <c r="C100" s="147">
        <f>PERCENTILE('Local emissions'!FC$4:FC$84,$A100)</f>
        <v>5.7052258064516135</v>
      </c>
      <c r="D100" s="147">
        <f t="shared" si="4"/>
        <v>18.465507163384395</v>
      </c>
      <c r="E100" s="147">
        <f t="shared" si="3"/>
        <v>25.266000000000002</v>
      </c>
    </row>
    <row r="101" spans="1:5">
      <c r="A101">
        <f t="shared" si="5"/>
        <v>0.90000000000000024</v>
      </c>
      <c r="B101" s="147">
        <f>PERCENTILE('Local emissions'!FD$4:FD$84,$A101)</f>
        <v>4.4723871813240379</v>
      </c>
      <c r="C101" s="147">
        <f>PERCENTILE('Local emissions'!FC$4:FC$84,$A101)</f>
        <v>6.4398996415770648</v>
      </c>
      <c r="D101" s="147">
        <f t="shared" si="4"/>
        <v>19.806286088720739</v>
      </c>
      <c r="E101" s="147">
        <f t="shared" si="3"/>
        <v>28.51955555555557</v>
      </c>
    </row>
    <row r="102" spans="1:5">
      <c r="A102">
        <f t="shared" si="5"/>
        <v>0.95000000000000029</v>
      </c>
      <c r="B102" s="147">
        <f>PERCENTILE('Local emissions'!FD$4:FD$84,$A102)</f>
        <v>4.968443183846361</v>
      </c>
      <c r="C102" s="147">
        <f>PERCENTILE('Local emissions'!FC$4:FC$84,$A102)</f>
        <v>7.3181450412230955</v>
      </c>
      <c r="D102" s="147">
        <f t="shared" si="4"/>
        <v>22.003105528462456</v>
      </c>
      <c r="E102" s="147">
        <f t="shared" si="3"/>
        <v>32.408928039702282</v>
      </c>
    </row>
    <row r="103" spans="1:5">
      <c r="A103">
        <v>0.99</v>
      </c>
      <c r="B103" s="147">
        <f>PERCENTILE('Local emissions'!FD$4:FD$84,$A103)</f>
        <v>6.7231199051040962</v>
      </c>
      <c r="C103" s="147">
        <f>PERCENTILE('Local emissions'!FC$4:FC$84,$A103)</f>
        <v>9.1852538899430733</v>
      </c>
      <c r="D103" s="147">
        <f t="shared" si="4"/>
        <v>29.773816722603854</v>
      </c>
      <c r="E103" s="147">
        <f t="shared" si="3"/>
        <v>40.677552941176465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"/>
  <dimension ref="A1:BB369"/>
  <sheetViews>
    <sheetView topLeftCell="A6" workbookViewId="0">
      <selection activeCell="U27" sqref="U27"/>
    </sheetView>
  </sheetViews>
  <sheetFormatPr baseColWidth="10" defaultRowHeight="13"/>
  <cols>
    <col min="2" max="3" width="12.5" bestFit="1" customWidth="1"/>
    <col min="4" max="4" width="11.5" bestFit="1" customWidth="1"/>
  </cols>
  <sheetData>
    <row r="1" spans="1:54" ht="56">
      <c r="A1" s="234" t="s">
        <v>588</v>
      </c>
      <c r="AW1" s="253" t="s">
        <v>601</v>
      </c>
      <c r="AX1" s="253" t="s">
        <v>916</v>
      </c>
      <c r="AY1" s="253" t="s">
        <v>587</v>
      </c>
      <c r="AZ1" s="253" t="s">
        <v>918</v>
      </c>
      <c r="BA1" s="103" t="s">
        <v>595</v>
      </c>
      <c r="BB1" s="103" t="s">
        <v>596</v>
      </c>
    </row>
    <row r="2" spans="1:54" ht="42">
      <c r="A2" s="103" t="s">
        <v>589</v>
      </c>
      <c r="B2" s="103" t="s">
        <v>662</v>
      </c>
      <c r="C2" s="103" t="s">
        <v>590</v>
      </c>
      <c r="D2" s="103" t="s">
        <v>591</v>
      </c>
      <c r="E2" s="103" t="s">
        <v>593</v>
      </c>
      <c r="F2" s="103" t="s">
        <v>591</v>
      </c>
      <c r="G2" s="103" t="s">
        <v>618</v>
      </c>
      <c r="H2" s="103" t="s">
        <v>619</v>
      </c>
      <c r="AW2" t="s">
        <v>416</v>
      </c>
      <c r="AX2" t="s">
        <v>416</v>
      </c>
      <c r="AY2" t="s">
        <v>416</v>
      </c>
      <c r="AZ2" t="s">
        <v>416</v>
      </c>
      <c r="BA2" t="s">
        <v>416</v>
      </c>
      <c r="BB2" t="s">
        <v>416</v>
      </c>
    </row>
    <row r="3" spans="1:54">
      <c r="A3" t="s">
        <v>410</v>
      </c>
      <c r="B3" t="s">
        <v>410</v>
      </c>
      <c r="C3" t="s">
        <v>416</v>
      </c>
      <c r="D3" t="s">
        <v>416</v>
      </c>
      <c r="E3" t="s">
        <v>594</v>
      </c>
      <c r="F3" t="s">
        <v>594</v>
      </c>
      <c r="G3" t="s">
        <v>494</v>
      </c>
      <c r="H3" t="s">
        <v>494</v>
      </c>
      <c r="AW3" s="147">
        <v>0.86657641981662392</v>
      </c>
      <c r="AY3" s="31">
        <v>1.2210944461065508E-2</v>
      </c>
      <c r="BA3" s="31">
        <v>1.5120324863682129E-2</v>
      </c>
      <c r="BB3" s="31"/>
    </row>
    <row r="4" spans="1:54">
      <c r="A4">
        <v>0</v>
      </c>
      <c r="B4">
        <f>1-A4</f>
        <v>1</v>
      </c>
      <c r="C4" s="31">
        <f>PERCENTILE('River loads'!BM$4:BM$84,$A4)</f>
        <v>1.1322345753529623E-3</v>
      </c>
      <c r="D4" s="31">
        <f>PERCENTILE('River loads'!BN$4:BN$84,$A4)</f>
        <v>7.3210035511855048E-3</v>
      </c>
      <c r="E4" s="31">
        <f>PERCENTILE('River loads'!BP$4:BP$84,$A4)</f>
        <v>1.7418993466968651E-3</v>
      </c>
      <c r="F4" s="31">
        <f>PERCENTILE('River loads'!BQ$4:BQ$84,$A4)</f>
        <v>1.2999999999999999E-2</v>
      </c>
      <c r="G4" s="31">
        <f>PERCENTILE('River loads'!BS$4:BS$84,$A4)</f>
        <v>5.8063311556562171E-2</v>
      </c>
      <c r="H4" s="31">
        <f>PERCENTILE('River loads'!BT$4:BT$84,$A4)</f>
        <v>0.16249999999999998</v>
      </c>
      <c r="AW4" s="147">
        <v>0.89149245172984504</v>
      </c>
      <c r="AY4" s="31">
        <v>1.279122766984519E-2</v>
      </c>
      <c r="BA4" s="31">
        <v>1.5546233664436301E-2</v>
      </c>
      <c r="BB4" s="31"/>
    </row>
    <row r="5" spans="1:54">
      <c r="A5">
        <f>A4+0.05</f>
        <v>0.05</v>
      </c>
      <c r="B5">
        <f t="shared" ref="B5:B24" si="0">1-A5</f>
        <v>0.95</v>
      </c>
      <c r="C5" s="31">
        <f>PERCENTILE('River loads'!BM$4:BM$84,$A5)</f>
        <v>3.2577573800905133E-3</v>
      </c>
      <c r="D5" s="31">
        <f>PERCENTILE('River loads'!BN$4:BN$84,$A5)</f>
        <v>9.4374932315289088E-3</v>
      </c>
      <c r="E5" s="31">
        <f>PERCENTILE('River loads'!BP$4:BP$84,$A5)</f>
        <v>5.0119344309084816E-3</v>
      </c>
      <c r="F5" s="31">
        <f>PERCENTILE('River loads'!BQ$4:BQ$84,$A5)</f>
        <v>1.635E-2</v>
      </c>
      <c r="G5" s="31">
        <f>PERCENTILE('River loads'!BS$4:BS$84,$A5)</f>
        <v>0.14901672646879083</v>
      </c>
      <c r="H5" s="31">
        <f>PERCENTILE('River loads'!BT$4:BT$84,$A5)</f>
        <v>0.20572500000000002</v>
      </c>
      <c r="AW5" s="147">
        <v>0.77452582299720529</v>
      </c>
      <c r="AY5" s="31">
        <v>9.0763492124078145E-3</v>
      </c>
      <c r="BA5" s="31">
        <v>1.1988764462944434E-2</v>
      </c>
      <c r="BB5" s="31"/>
    </row>
    <row r="6" spans="1:54">
      <c r="A6">
        <f t="shared" ref="A6:A23" si="1">A5+0.05</f>
        <v>0.1</v>
      </c>
      <c r="B6">
        <f t="shared" si="0"/>
        <v>0.9</v>
      </c>
      <c r="C6" s="31">
        <f>PERCENTILE('River loads'!BM$4:BM$84,$A6)</f>
        <v>5.1937232016177667E-3</v>
      </c>
      <c r="D6" s="31">
        <f>PERCENTILE('River loads'!BN$4:BN$84,$A6)</f>
        <v>1.1614349186782474E-2</v>
      </c>
      <c r="E6" s="31">
        <f>PERCENTILE('River loads'!BP$4:BP$84,$A6)</f>
        <v>7.9903433871042553E-3</v>
      </c>
      <c r="F6" s="31">
        <f>PERCENTILE('River loads'!BQ$4:BQ$84,$A6)</f>
        <v>2.2320000000000003E-2</v>
      </c>
      <c r="G6" s="31">
        <f>PERCENTILE('River loads'!BS$4:BS$84,$A6)</f>
        <v>0.23378454462525503</v>
      </c>
      <c r="H6" s="31">
        <f>PERCENTILE('River loads'!BT$4:BT$84,$A6)</f>
        <v>0.3468</v>
      </c>
      <c r="AW6" s="147">
        <v>1.2296756708896259</v>
      </c>
      <c r="AY6" s="31">
        <v>2.185696462899071E-2</v>
      </c>
      <c r="BA6" s="31">
        <v>2.4274487896279801E-2</v>
      </c>
      <c r="BB6" s="31"/>
    </row>
    <row r="7" spans="1:54">
      <c r="A7">
        <f t="shared" si="1"/>
        <v>0.15000000000000002</v>
      </c>
      <c r="B7">
        <f t="shared" si="0"/>
        <v>0.85</v>
      </c>
      <c r="C7" s="31">
        <f>PERCENTILE('River loads'!BM$4:BM$84,$A7)</f>
        <v>7.3838749995421464E-3</v>
      </c>
      <c r="D7" s="31">
        <f>PERCENTILE('River loads'!BN$4:BN$84,$A7)</f>
        <v>1.5575262589695485E-2</v>
      </c>
      <c r="E7" s="31">
        <f>PERCENTILE('River loads'!BP$4:BP$84,$A7)</f>
        <v>1.1359807691603302E-2</v>
      </c>
      <c r="F7" s="31">
        <f>PERCENTILE('River loads'!BQ$4:BQ$84,$A7)</f>
        <v>3.5645000000000003E-2</v>
      </c>
      <c r="G7" s="31">
        <f>PERCENTILE('River loads'!BS$4:BS$84,$A7)</f>
        <v>0.26637072177673132</v>
      </c>
      <c r="H7" s="31">
        <f>PERCENTILE('River loads'!BT$4:BT$84,$A7)</f>
        <v>0.42435</v>
      </c>
      <c r="AW7" s="147">
        <v>0.68953585501427128</v>
      </c>
      <c r="AY7" s="31">
        <v>3.4229699629964986E-3</v>
      </c>
      <c r="BA7" s="31">
        <v>6.1760473067640279E-3</v>
      </c>
      <c r="BB7" s="31"/>
    </row>
    <row r="8" spans="1:54">
      <c r="A8">
        <f t="shared" si="1"/>
        <v>0.2</v>
      </c>
      <c r="B8">
        <f t="shared" si="0"/>
        <v>0.8</v>
      </c>
      <c r="C8" s="31">
        <f>PERCENTILE('River loads'!BM$4:BM$84,$A8)</f>
        <v>9.6728823245250378E-3</v>
      </c>
      <c r="D8" s="31">
        <f>PERCENTILE('River loads'!BN$4:BN$84,$A8)</f>
        <v>1.9494442854752523E-2</v>
      </c>
      <c r="E8" s="31">
        <f>PERCENTILE('River loads'!BP$4:BP$84,$A8)</f>
        <v>1.4881357422346211E-2</v>
      </c>
      <c r="F8" s="31">
        <f>PERCENTILE('River loads'!BQ$4:BQ$84,$A8)</f>
        <v>3.9740000000000004E-2</v>
      </c>
      <c r="G8" s="31">
        <f>PERCENTILE('River loads'!BS$4:BS$84,$A8)</f>
        <v>0.3549534624867477</v>
      </c>
      <c r="H8" s="31">
        <f>PERCENTILE('River loads'!BT$4:BT$84,$A8)</f>
        <v>0.47200000000000003</v>
      </c>
      <c r="AW8" s="147">
        <v>0.84723847454043699</v>
      </c>
      <c r="AY8" s="31">
        <v>7.4589878132096448E-3</v>
      </c>
      <c r="BA8" s="31">
        <v>1.0293454996159699E-2</v>
      </c>
      <c r="BB8" s="31"/>
    </row>
    <row r="9" spans="1:54">
      <c r="A9">
        <f t="shared" si="1"/>
        <v>0.25</v>
      </c>
      <c r="B9">
        <f t="shared" si="0"/>
        <v>0.75</v>
      </c>
      <c r="C9" s="31">
        <f>PERCENTILE('River loads'!BM$4:BM$84,$A9)</f>
        <v>1.2840147458944094E-2</v>
      </c>
      <c r="D9" s="31">
        <f>PERCENTILE('River loads'!BN$4:BN$84,$A9)</f>
        <v>2.9536117009637028E-2</v>
      </c>
      <c r="E9" s="31">
        <f>PERCENTILE('River loads'!BP$4:BP$84,$A9)</f>
        <v>1.9754073013760143E-2</v>
      </c>
      <c r="F9" s="31">
        <f>PERCENTILE('River loads'!BQ$4:BQ$84,$A9)</f>
        <v>4.4249999999999998E-2</v>
      </c>
      <c r="G9" s="31">
        <f>PERCENTILE('River loads'!BS$4:BS$84,$A9)</f>
        <v>0.39508146027520286</v>
      </c>
      <c r="H9" s="31">
        <f>PERCENTILE('River loads'!BT$4:BT$84,$A9)</f>
        <v>0.58462499999999995</v>
      </c>
      <c r="AW9" s="147">
        <v>0.92996617756942146</v>
      </c>
      <c r="AX9" s="232">
        <v>0.51185000000000003</v>
      </c>
      <c r="AY9" s="31">
        <v>1.8964043042887168E-3</v>
      </c>
      <c r="AZ9">
        <v>3.7499999999999999E-3</v>
      </c>
      <c r="BA9" s="31">
        <v>6.7798891702714323E-3</v>
      </c>
      <c r="BB9" s="31"/>
    </row>
    <row r="10" spans="1:54">
      <c r="A10">
        <f t="shared" si="1"/>
        <v>0.3</v>
      </c>
      <c r="B10">
        <f t="shared" si="0"/>
        <v>0.7</v>
      </c>
      <c r="C10" s="31">
        <f>PERCENTILE('River loads'!BM$4:BM$84,$A10)</f>
        <v>1.5602873576656937E-2</v>
      </c>
      <c r="D10" s="31">
        <f>PERCENTILE('River loads'!BN$4:BN$84,$A10)</f>
        <v>3.5201468408893967E-2</v>
      </c>
      <c r="E10" s="31">
        <f>PERCENTILE('River loads'!BP$4:BP$84,$A10)</f>
        <v>2.4004420887164517E-2</v>
      </c>
      <c r="F10" s="31">
        <f>PERCENTILE('River loads'!BQ$4:BQ$84,$A10)</f>
        <v>5.1130000000000002E-2</v>
      </c>
      <c r="G10" s="31">
        <f>PERCENTILE('River loads'!BS$4:BS$84,$A10)</f>
        <v>0.42171675396024755</v>
      </c>
      <c r="H10" s="31">
        <f>PERCENTILE('River loads'!BT$4:BT$84,$A10)</f>
        <v>0.7962499999999999</v>
      </c>
      <c r="AW10" s="147">
        <v>1.0015971848045235</v>
      </c>
      <c r="AX10" s="232"/>
      <c r="AY10" s="31">
        <v>4.6426286097709544E-3</v>
      </c>
      <c r="BA10" s="31">
        <v>8.9053216649163554E-3</v>
      </c>
      <c r="BB10" s="31"/>
    </row>
    <row r="11" spans="1:54">
      <c r="A11">
        <f t="shared" si="1"/>
        <v>0.35</v>
      </c>
      <c r="B11">
        <f t="shared" si="0"/>
        <v>0.65</v>
      </c>
      <c r="C11" s="31">
        <f>PERCENTILE('River loads'!BM$4:BM$84,$A11)</f>
        <v>1.7698038729985519E-2</v>
      </c>
      <c r="D11" s="31">
        <f>PERCENTILE('River loads'!BN$4:BN$84,$A11)</f>
        <v>3.7611104267570444E-2</v>
      </c>
      <c r="E11" s="31">
        <f>PERCENTILE('River loads'!BP$4:BP$84,$A11)</f>
        <v>2.7227751892285414E-2</v>
      </c>
      <c r="F11" s="31">
        <f>PERCENTILE('River loads'!BQ$4:BQ$84,$A11)</f>
        <v>5.7629999999999994E-2</v>
      </c>
      <c r="G11" s="31">
        <f>PERCENTILE('River loads'!BS$4:BS$84,$A11)</f>
        <v>0.49604524741154038</v>
      </c>
      <c r="H11" s="31">
        <f>PERCENTILE('River loads'!BT$4:BT$84,$A11)</f>
        <v>1.0067999999999999</v>
      </c>
      <c r="AW11" s="147">
        <v>0.78002546715391119</v>
      </c>
      <c r="AX11" s="232"/>
      <c r="AY11" s="31">
        <v>2.1600377803314436E-3</v>
      </c>
      <c r="BA11" s="31">
        <v>5.9365790426230865E-3</v>
      </c>
      <c r="BB11" s="31"/>
    </row>
    <row r="12" spans="1:54">
      <c r="A12">
        <f t="shared" si="1"/>
        <v>0.39999999999999997</v>
      </c>
      <c r="B12">
        <f t="shared" si="0"/>
        <v>0.60000000000000009</v>
      </c>
      <c r="C12" s="31">
        <f>PERCENTILE('River loads'!BM$4:BM$84,$A12)</f>
        <v>1.8465816057207582E-2</v>
      </c>
      <c r="D12" s="31">
        <f>PERCENTILE('River loads'!BN$4:BN$84,$A12)</f>
        <v>3.9400745592052124E-2</v>
      </c>
      <c r="E12" s="31">
        <f>PERCENTILE('River loads'!BP$4:BP$84,$A12)</f>
        <v>2.8408947780319355E-2</v>
      </c>
      <c r="F12" s="31">
        <f>PERCENTILE('River loads'!BQ$4:BQ$84,$A12)</f>
        <v>6.1619999999999994E-2</v>
      </c>
      <c r="G12" s="31">
        <f>PERCENTILE('River loads'!BS$4:BS$84,$A12)</f>
        <v>0.55377634525957375</v>
      </c>
      <c r="H12" s="31">
        <f>PERCENTILE('River loads'!BT$4:BT$84,$A12)</f>
        <v>1.1112</v>
      </c>
      <c r="AW12" s="147">
        <v>0.86893214393043094</v>
      </c>
      <c r="AX12" s="232"/>
      <c r="AY12" s="31">
        <v>3.9029390955475553E-3</v>
      </c>
      <c r="BA12" s="31">
        <v>5.6521920352100765E-3</v>
      </c>
      <c r="BB12" s="31"/>
    </row>
    <row r="13" spans="1:54">
      <c r="A13">
        <f t="shared" si="1"/>
        <v>0.44999999999999996</v>
      </c>
      <c r="B13">
        <f t="shared" si="0"/>
        <v>0.55000000000000004</v>
      </c>
      <c r="C13" s="31">
        <f>PERCENTILE('River loads'!BM$4:BM$84,$A13)</f>
        <v>2.2114130183506563E-2</v>
      </c>
      <c r="D13" s="31">
        <f>PERCENTILE('River loads'!BN$4:BN$84,$A13)</f>
        <v>4.4423985011793621E-2</v>
      </c>
      <c r="E13" s="31">
        <f>PERCENTILE('River loads'!BP$4:BP$84,$A13)</f>
        <v>3.402173874385625E-2</v>
      </c>
      <c r="F13" s="31">
        <f>PERCENTILE('River loads'!BQ$4:BQ$84,$A13)</f>
        <v>6.3049999999999995E-2</v>
      </c>
      <c r="G13" s="31">
        <f>PERCENTILE('River loads'!BS$4:BS$84,$A13)</f>
        <v>0.65693422692190084</v>
      </c>
      <c r="H13" s="31">
        <f>PERCENTILE('River loads'!BT$4:BT$84,$A13)</f>
        <v>1.2246999999999999</v>
      </c>
      <c r="AW13" s="147">
        <v>0.64846613569941702</v>
      </c>
      <c r="AX13" s="232"/>
      <c r="AY13" s="31">
        <v>3.1046653233161681E-3</v>
      </c>
      <c r="BA13" s="31">
        <v>5.6580786905593306E-3</v>
      </c>
      <c r="BB13" s="31"/>
    </row>
    <row r="14" spans="1:54">
      <c r="A14">
        <f t="shared" si="1"/>
        <v>0.49999999999999994</v>
      </c>
      <c r="B14">
        <f t="shared" si="0"/>
        <v>0.5</v>
      </c>
      <c r="C14" s="31">
        <f>PERCENTILE('River loads'!BM$4:BM$84,$A14)</f>
        <v>2.349876553158595E-2</v>
      </c>
      <c r="D14" s="31">
        <f>PERCENTILE('River loads'!BN$4:BN$84,$A14)</f>
        <v>4.7681805202891774E-2</v>
      </c>
      <c r="E14" s="31">
        <f>PERCENTILE('River loads'!BP$4:BP$84,$A14)</f>
        <v>3.6151946971670693E-2</v>
      </c>
      <c r="F14" s="31">
        <f>PERCENTILE('River loads'!BQ$4:BQ$84,$A14)</f>
        <v>6.8999999999999978E-2</v>
      </c>
      <c r="G14" s="31">
        <f>PERCENTILE('River loads'!BS$4:BS$84,$A14)</f>
        <v>0.79405798334767108</v>
      </c>
      <c r="H14" s="31">
        <f>PERCENTILE('River loads'!BT$4:BT$84,$A14)</f>
        <v>1.2589999999999999</v>
      </c>
      <c r="AW14" s="147">
        <v>1.1912453105386114</v>
      </c>
      <c r="AX14" s="232"/>
      <c r="AY14" s="31">
        <v>2.2156549591230409E-2</v>
      </c>
      <c r="BA14" s="31">
        <v>2.6333975456261833E-2</v>
      </c>
      <c r="BB14" s="31"/>
    </row>
    <row r="15" spans="1:54">
      <c r="A15">
        <f t="shared" si="1"/>
        <v>0.54999999999999993</v>
      </c>
      <c r="B15">
        <f t="shared" si="0"/>
        <v>0.45000000000000007</v>
      </c>
      <c r="C15" s="31">
        <f>PERCENTILE('River loads'!BM$4:BM$84,$A15)</f>
        <v>2.5857888790323365E-2</v>
      </c>
      <c r="D15" s="31">
        <f>PERCENTILE('River loads'!BN$4:BN$84,$A15)</f>
        <v>5.0911351291888972E-2</v>
      </c>
      <c r="E15" s="31">
        <f>PERCENTILE('River loads'!BP$4:BP$84,$A15)</f>
        <v>3.9781367369728253E-2</v>
      </c>
      <c r="F15" s="31">
        <f>PERCENTILE('River loads'!BQ$4:BQ$84,$A15)</f>
        <v>7.5899999999999995E-2</v>
      </c>
      <c r="G15" s="31">
        <f>PERCENTILE('River loads'!BS$4:BS$84,$A15)</f>
        <v>0.83393659271101317</v>
      </c>
      <c r="H15" s="31">
        <f>PERCENTILE('River loads'!BT$4:BT$84,$A15)</f>
        <v>1.3939999999999997</v>
      </c>
      <c r="AW15" s="147">
        <v>0.73646281127276325</v>
      </c>
      <c r="AX15" s="232">
        <v>0.45600000000000002</v>
      </c>
      <c r="AY15" s="31">
        <v>2.0349199293790564E-3</v>
      </c>
      <c r="BA15" s="31">
        <v>7.9585059834225286E-3</v>
      </c>
      <c r="BB15" s="31">
        <v>2.615066519053068E-3</v>
      </c>
    </row>
    <row r="16" spans="1:54">
      <c r="A16">
        <f t="shared" si="1"/>
        <v>0.6</v>
      </c>
      <c r="B16">
        <f t="shared" si="0"/>
        <v>0.4</v>
      </c>
      <c r="C16" s="31">
        <f>PERCENTILE('River loads'!BM$4:BM$84,$A16)</f>
        <v>3.1331580111728159E-2</v>
      </c>
      <c r="D16" s="31">
        <f>PERCENTILE('River loads'!BN$4:BN$84,$A16)</f>
        <v>5.6770302169436682E-2</v>
      </c>
      <c r="E16" s="31">
        <f>PERCENTILE('River loads'!BP$4:BP$84,$A16)</f>
        <v>4.8202430941120242E-2</v>
      </c>
      <c r="F16" s="31">
        <f>PERCENTILE('River loads'!BQ$4:BQ$84,$A16)</f>
        <v>0.11607999999999997</v>
      </c>
      <c r="G16" s="31">
        <f>PERCENTILE('River loads'!BS$4:BS$84,$A16)</f>
        <v>0.94696492601064519</v>
      </c>
      <c r="H16" s="31">
        <f>PERCENTILE('River loads'!BT$4:BT$84,$A16)</f>
        <v>1.4879999999999998</v>
      </c>
      <c r="AW16" s="147">
        <v>0.87559333109610282</v>
      </c>
      <c r="AX16" s="232"/>
      <c r="AY16" s="31">
        <v>1.8612232533616352E-2</v>
      </c>
      <c r="BA16" s="31">
        <v>2.6733022288083708E-2</v>
      </c>
      <c r="BB16" s="31"/>
    </row>
    <row r="17" spans="1:54">
      <c r="A17">
        <f t="shared" si="1"/>
        <v>0.65</v>
      </c>
      <c r="B17">
        <f t="shared" si="0"/>
        <v>0.35</v>
      </c>
      <c r="C17" s="31">
        <f>PERCENTILE('River loads'!BM$4:BM$84,$A17)</f>
        <v>3.7467671337739372E-2</v>
      </c>
      <c r="D17" s="31">
        <f>PERCENTILE('River loads'!BN$4:BN$84,$A17)</f>
        <v>7.626721979388032E-2</v>
      </c>
      <c r="E17" s="31">
        <f>PERCENTILE('River loads'!BP$4:BP$84,$A17)</f>
        <v>5.7642571288829804E-2</v>
      </c>
      <c r="F17" s="31">
        <f>PERCENTILE('River loads'!BQ$4:BQ$84,$A17)</f>
        <v>0.13</v>
      </c>
      <c r="G17" s="31">
        <f>PERCENTILE('River loads'!BS$4:BS$84,$A17)</f>
        <v>1.0552723481737289</v>
      </c>
      <c r="H17" s="31">
        <f>PERCENTILE('River loads'!BT$4:BT$84,$A17)</f>
        <v>1.5169999999999999</v>
      </c>
      <c r="AW17" s="147">
        <v>0.39133454934014172</v>
      </c>
      <c r="AX17" s="232"/>
      <c r="AY17" s="31">
        <v>9.5948334053698944E-3</v>
      </c>
      <c r="BA17" s="31">
        <v>1.6317907917734367E-2</v>
      </c>
      <c r="BB17" s="31"/>
    </row>
    <row r="18" spans="1:54">
      <c r="A18">
        <f t="shared" si="1"/>
        <v>0.70000000000000007</v>
      </c>
      <c r="B18">
        <f t="shared" si="0"/>
        <v>0.29999999999999993</v>
      </c>
      <c r="C18" s="31">
        <f>PERCENTILE('River loads'!BM$4:BM$84,$A18)</f>
        <v>4.5953318896021764E-2</v>
      </c>
      <c r="D18" s="31">
        <f>PERCENTILE('River loads'!BN$4:BN$84,$A18)</f>
        <v>7.8457096836640899E-2</v>
      </c>
      <c r="E18" s="31">
        <f>PERCENTILE('River loads'!BP$4:BP$84,$A18)</f>
        <v>7.069741368618733E-2</v>
      </c>
      <c r="F18" s="31">
        <f>PERCENTILE('River loads'!BQ$4:BQ$84,$A18)</f>
        <v>0.13300000000000001</v>
      </c>
      <c r="G18" s="31">
        <f>PERCENTILE('River loads'!BS$4:BS$84,$A18)</f>
        <v>1.1688935306479349</v>
      </c>
      <c r="H18" s="31">
        <f>PERCENTILE('River loads'!BT$4:BT$84,$A18)</f>
        <v>2.6</v>
      </c>
      <c r="AW18" s="147">
        <v>0.41523120975626793</v>
      </c>
      <c r="AX18" s="232">
        <v>1.1571000000000002</v>
      </c>
      <c r="AY18" s="31">
        <v>1.2557852468062408E-2</v>
      </c>
      <c r="AZ18">
        <v>1.7999999999999999E-2</v>
      </c>
      <c r="BA18" s="31">
        <v>5.1358879314546184E-2</v>
      </c>
      <c r="BB18" s="31">
        <v>7.0388452688142325E-2</v>
      </c>
    </row>
    <row r="19" spans="1:54">
      <c r="A19">
        <f t="shared" si="1"/>
        <v>0.75000000000000011</v>
      </c>
      <c r="B19">
        <f t="shared" si="0"/>
        <v>0.24999999999999989</v>
      </c>
      <c r="C19" s="31">
        <f>PERCENTILE('River loads'!BM$4:BM$84,$A19)</f>
        <v>5.620671206266864E-2</v>
      </c>
      <c r="D19" s="31">
        <f>PERCENTILE('River loads'!BN$4:BN$84,$A19)</f>
        <v>8.2298010402055755E-2</v>
      </c>
      <c r="E19" s="31">
        <f>PERCENTILE('River loads'!BP$4:BP$84,$A19)</f>
        <v>8.6471864711797908E-2</v>
      </c>
      <c r="F19" s="31">
        <f>PERCENTILE('River loads'!BQ$4:BQ$84,$A19)</f>
        <v>0.14074999999999999</v>
      </c>
      <c r="G19" s="31">
        <f>PERCENTILE('River loads'!BS$4:BS$84,$A19)</f>
        <v>1.3444671298883326</v>
      </c>
      <c r="H19" s="31">
        <f>PERCENTILE('River loads'!BT$4:BT$84,$A19)</f>
        <v>2.6</v>
      </c>
      <c r="AW19" s="147">
        <v>0.4517145834945826</v>
      </c>
      <c r="AX19" s="232"/>
      <c r="AY19" s="31">
        <v>1.4401960730303769E-2</v>
      </c>
      <c r="BA19" s="31">
        <v>2.1969508311796979E-2</v>
      </c>
      <c r="BB19" s="31"/>
    </row>
    <row r="20" spans="1:54">
      <c r="A20">
        <f t="shared" si="1"/>
        <v>0.80000000000000016</v>
      </c>
      <c r="B20">
        <f t="shared" si="0"/>
        <v>0.19999999999999984</v>
      </c>
      <c r="C20" s="31">
        <f>PERCENTILE('River loads'!BM$4:BM$84,$A20)</f>
        <v>7.0620683493760064E-2</v>
      </c>
      <c r="D20" s="31">
        <f>PERCENTILE('River loads'!BN$4:BN$84,$A20)</f>
        <v>8.8769842519414846E-2</v>
      </c>
      <c r="E20" s="31">
        <f>PERCENTILE('River loads'!BP$4:BP$84,$A20)</f>
        <v>0.10864720537501549</v>
      </c>
      <c r="F20" s="31">
        <f>PERCENTILE('River loads'!BQ$4:BQ$84,$A20)</f>
        <v>0.15</v>
      </c>
      <c r="G20" s="31">
        <f>PERCENTILE('River loads'!BS$4:BS$84,$A20)</f>
        <v>1.783821379781809</v>
      </c>
      <c r="H20" s="31">
        <f>PERCENTILE('River loads'!BT$4:BT$84,$A20)</f>
        <v>2.8559999999999999</v>
      </c>
      <c r="AW20" s="147">
        <v>0.44669431360024064</v>
      </c>
      <c r="AX20" s="232">
        <v>1.0223000000000002</v>
      </c>
      <c r="AY20" s="31">
        <v>1.369633342777501E-2</v>
      </c>
      <c r="AZ20">
        <v>2.5999999999999999E-2</v>
      </c>
      <c r="BA20" s="31">
        <v>3.5855137268845913E-2</v>
      </c>
      <c r="BB20" s="31">
        <v>5.6684285592008964E-2</v>
      </c>
    </row>
    <row r="21" spans="1:54">
      <c r="A21">
        <f t="shared" si="1"/>
        <v>0.8500000000000002</v>
      </c>
      <c r="B21">
        <f t="shared" si="0"/>
        <v>0.1499999999999998</v>
      </c>
      <c r="C21" s="31">
        <f>PERCENTILE('River loads'!BM$4:BM$84,$A21)</f>
        <v>8.060086752558103E-2</v>
      </c>
      <c r="D21" s="31">
        <f>PERCENTILE('River loads'!BN$4:BN$84,$A21)</f>
        <v>9.7686365320003729E-2</v>
      </c>
      <c r="E21" s="31">
        <f>PERCENTILE('River loads'!BP$4:BP$84,$A21)</f>
        <v>0.12400133465474006</v>
      </c>
      <c r="F21" s="31">
        <f>PERCENTILE('River loads'!BQ$4:BQ$84,$A21)</f>
        <v>0.15650000000000006</v>
      </c>
      <c r="G21" s="31">
        <f>PERCENTILE('River loads'!BS$4:BS$84,$A21)</f>
        <v>2.4184051180840647</v>
      </c>
      <c r="H21" s="31">
        <f>PERCENTILE('River loads'!BT$4:BT$84,$A21)</f>
        <v>3.1300000000000008</v>
      </c>
      <c r="AW21" s="147">
        <v>1.1318463479443037</v>
      </c>
      <c r="AX21" s="232"/>
      <c r="AY21" s="31">
        <v>6.9836258699410283E-3</v>
      </c>
      <c r="BA21" s="31">
        <v>1.2063253984824636E-2</v>
      </c>
      <c r="BB21" s="31"/>
    </row>
    <row r="22" spans="1:54">
      <c r="A22">
        <f t="shared" si="1"/>
        <v>0.90000000000000024</v>
      </c>
      <c r="B22">
        <f t="shared" si="0"/>
        <v>9.9999999999999756E-2</v>
      </c>
      <c r="C22" s="31">
        <f>PERCENTILE('River loads'!BM$4:BM$84,$A22)</f>
        <v>8.6548856305455127E-2</v>
      </c>
      <c r="D22" s="31">
        <f>PERCENTILE('River loads'!BN$4:BN$84,$A22)</f>
        <v>0.10276816397151019</v>
      </c>
      <c r="E22" s="31">
        <f>PERCENTILE('River loads'!BP$4:BP$84,$A22)</f>
        <v>0.13315208662377712</v>
      </c>
      <c r="F22" s="31">
        <f>PERCENTILE('River loads'!BQ$4:BQ$84,$A22)</f>
        <v>0.16290000000000016</v>
      </c>
      <c r="G22" s="31">
        <f>PERCENTILE('River loads'!BS$4:BS$84,$A22)</f>
        <v>2.5683196844431246</v>
      </c>
      <c r="H22" s="31">
        <f>PERCENTILE('River loads'!BT$4:BT$84,$A22)</f>
        <v>3.2580000000000031</v>
      </c>
      <c r="AW22" s="147">
        <v>0.5241046076190381</v>
      </c>
      <c r="AX22" s="232">
        <v>0.41084999999999999</v>
      </c>
      <c r="AY22" s="31">
        <v>9.4609162253728226E-3</v>
      </c>
      <c r="BA22" s="31">
        <v>0.57996973055088463</v>
      </c>
      <c r="BB22" s="31"/>
    </row>
    <row r="23" spans="1:54">
      <c r="A23">
        <f t="shared" si="1"/>
        <v>0.95000000000000029</v>
      </c>
      <c r="B23">
        <f t="shared" si="0"/>
        <v>4.9999999999999711E-2</v>
      </c>
      <c r="C23" s="31">
        <f>PERCENTILE('River loads'!BM$4:BM$84,$A23)</f>
        <v>9.1215403672192441E-2</v>
      </c>
      <c r="D23" s="31">
        <f>PERCENTILE('River loads'!BN$4:BN$84,$A23)</f>
        <v>0.1177581559964611</v>
      </c>
      <c r="E23" s="31">
        <f>PERCENTILE('River loads'!BP$4:BP$84,$A23)</f>
        <v>0.14033139026491143</v>
      </c>
      <c r="F23" s="31">
        <f>PERCENTILE('River loads'!BQ$4:BQ$84,$A23)</f>
        <v>0.19100000000000017</v>
      </c>
      <c r="G23" s="31">
        <f>PERCENTILE('River loads'!BS$4:BS$84,$A23)</f>
        <v>2.8066278052982288</v>
      </c>
      <c r="H23" s="31">
        <f>PERCENTILE('River loads'!BT$4:BT$84,$A23)</f>
        <v>3.8200000000000029</v>
      </c>
      <c r="AW23" s="147">
        <v>0.69587726897245394</v>
      </c>
      <c r="AX23" s="232"/>
      <c r="AY23" s="31">
        <v>1.2505881950912106E-2</v>
      </c>
      <c r="BA23" s="31">
        <v>0.34531300797439568</v>
      </c>
      <c r="BB23" s="31"/>
    </row>
    <row r="24" spans="1:54">
      <c r="A24">
        <v>0.99</v>
      </c>
      <c r="B24">
        <f t="shared" si="0"/>
        <v>1.0000000000000009E-2</v>
      </c>
      <c r="C24" s="31">
        <f>PERCENTILE('River loads'!BM$4:BM$84,$A24)</f>
        <v>0.10142280637629937</v>
      </c>
      <c r="D24" s="31">
        <f>PERCENTILE('River loads'!BN$4:BN$84,$A24)</f>
        <v>0.1389500803147857</v>
      </c>
      <c r="E24" s="31">
        <f>PERCENTILE('River loads'!BP$4:BP$84,$A24)</f>
        <v>0.15603508673276825</v>
      </c>
      <c r="F24" s="31">
        <f>PERCENTILE('River loads'!BQ$4:BQ$84,$A24)</f>
        <v>0.22911000000000004</v>
      </c>
      <c r="G24" s="31">
        <f>PERCENTILE('River loads'!BS$4:BS$84,$A24)</f>
        <v>3.1207017346553649</v>
      </c>
      <c r="H24" s="31">
        <f>PERCENTILE('River loads'!BT$4:BT$84,$A24)</f>
        <v>4.5822000000000003</v>
      </c>
      <c r="AW24" s="147">
        <v>0.23129761448535893</v>
      </c>
      <c r="AX24" s="232">
        <v>0.20735000000000003</v>
      </c>
      <c r="AY24" s="31">
        <v>9.5482986758514913E-3</v>
      </c>
      <c r="AZ24">
        <v>3.7499999999999999E-3</v>
      </c>
      <c r="BA24" s="31">
        <v>0.44311752342929661</v>
      </c>
      <c r="BB24" s="31">
        <v>0.64069186854650351</v>
      </c>
    </row>
    <row r="25" spans="1:54">
      <c r="AW25" s="147">
        <v>0.26917335815199445</v>
      </c>
      <c r="AX25" s="232"/>
      <c r="AY25" s="31">
        <v>9.9982324660837594E-3</v>
      </c>
      <c r="BA25" s="31">
        <v>0.30622766706501459</v>
      </c>
      <c r="BB25" s="31"/>
    </row>
    <row r="26" spans="1:54">
      <c r="AW26" s="147">
        <v>0.23278877269939244</v>
      </c>
      <c r="AX26" s="232"/>
      <c r="AY26" s="31">
        <v>9.7213167695678181E-3</v>
      </c>
      <c r="BA26" s="31">
        <v>0.58549698856973287</v>
      </c>
      <c r="BB26" s="31">
        <v>0.38595205710691027</v>
      </c>
    </row>
    <row r="27" spans="1:54" ht="42">
      <c r="A27" s="103" t="s">
        <v>589</v>
      </c>
      <c r="B27" s="103" t="s">
        <v>597</v>
      </c>
      <c r="C27" s="103" t="s">
        <v>598</v>
      </c>
      <c r="AW27" s="147">
        <v>0.26844188329875546</v>
      </c>
      <c r="AX27" s="232"/>
      <c r="AY27" s="31">
        <v>9.8364101826830322E-3</v>
      </c>
      <c r="BA27" s="31">
        <v>0.48810819956426876</v>
      </c>
      <c r="BB27" s="31">
        <v>0.31811294102714238</v>
      </c>
    </row>
    <row r="28" spans="1:54">
      <c r="A28" t="s">
        <v>410</v>
      </c>
      <c r="B28" t="s">
        <v>416</v>
      </c>
      <c r="C28" t="s">
        <v>416</v>
      </c>
      <c r="AW28" s="147">
        <v>0.39928251496020223</v>
      </c>
      <c r="AX28" s="232">
        <v>0.67100000000000004</v>
      </c>
      <c r="AY28" s="31">
        <v>1.1846020899077582E-2</v>
      </c>
      <c r="AZ28">
        <v>0.02</v>
      </c>
      <c r="BA28" s="31">
        <v>0.33320875092339958</v>
      </c>
      <c r="BB28" s="31">
        <v>0.23933933738922916</v>
      </c>
    </row>
    <row r="29" spans="1:54">
      <c r="A29">
        <v>0</v>
      </c>
      <c r="B29" s="31">
        <f>PERCENTILE('River loads'!BU$4:BU$84,$A29)</f>
        <v>5.1972960237561998E-3</v>
      </c>
      <c r="C29" s="31" t="e">
        <f>PERCENTILE('River loads'!#REF!,$A29)</f>
        <v>#REF!</v>
      </c>
      <c r="AW29" s="147">
        <v>0.44451785079577405</v>
      </c>
      <c r="AX29" s="232">
        <v>0.77744999999999997</v>
      </c>
      <c r="AY29" s="31">
        <v>1.3087412522569192E-2</v>
      </c>
      <c r="AZ29">
        <v>1.4499999999999999E-2</v>
      </c>
      <c r="BA29" s="31">
        <v>0.27941473534881878</v>
      </c>
      <c r="BB29" s="31">
        <v>0.26848254017992057</v>
      </c>
    </row>
    <row r="30" spans="1:54">
      <c r="A30">
        <f>A29+0.05</f>
        <v>0.05</v>
      </c>
      <c r="B30" s="31">
        <f>PERCENTILE('River loads'!BU$4:BU$84,$A30)</f>
        <v>8.9048714971147781E-3</v>
      </c>
      <c r="C30" s="31" t="e">
        <f>PERCENTILE('River loads'!#REF!,$A30)</f>
        <v>#REF!</v>
      </c>
      <c r="AW30" s="147">
        <v>0.42458403414405343</v>
      </c>
      <c r="AX30" s="232"/>
      <c r="AY30" s="31">
        <v>1.092249457255055E-2</v>
      </c>
      <c r="BA30" s="31">
        <v>6.6899162178742352E-2</v>
      </c>
      <c r="BB30" s="31"/>
    </row>
    <row r="31" spans="1:54">
      <c r="A31">
        <f t="shared" ref="A31:A48" si="2">A30+0.05</f>
        <v>0.1</v>
      </c>
      <c r="B31" s="31">
        <f>PERCENTILE('River loads'!BU$4:BU$84,$A31)</f>
        <v>1.2269101261775685E-2</v>
      </c>
      <c r="C31" s="31" t="e">
        <f>PERCENTILE('River loads'!#REF!,$A31)</f>
        <v>#REF!</v>
      </c>
      <c r="AW31" s="147">
        <v>0.58879525468231164</v>
      </c>
      <c r="AX31" s="232"/>
      <c r="AY31" s="31">
        <v>9.271907717412169E-3</v>
      </c>
      <c r="BA31" s="31">
        <v>3.5868094476288713E-2</v>
      </c>
      <c r="BB31" s="31"/>
    </row>
    <row r="32" spans="1:54">
      <c r="A32">
        <f t="shared" si="2"/>
        <v>0.15000000000000002</v>
      </c>
      <c r="B32" s="31">
        <f>PERCENTILE('River loads'!BU$4:BU$84,$A32)</f>
        <v>1.6826112048516324E-2</v>
      </c>
      <c r="C32" s="31" t="e">
        <f>PERCENTILE('River loads'!#REF!,$A32)</f>
        <v>#REF!</v>
      </c>
      <c r="AW32" s="147">
        <v>0.49567326560398467</v>
      </c>
      <c r="AX32" s="232">
        <v>0.56000000000000005</v>
      </c>
      <c r="AY32" s="31">
        <v>9.0559983439490524E-3</v>
      </c>
      <c r="AZ32">
        <v>3.7499999999999999E-3</v>
      </c>
      <c r="BA32" s="31">
        <v>3.7610093443795907E-2</v>
      </c>
      <c r="BB32" s="31">
        <v>1.0830026018618842E-2</v>
      </c>
    </row>
    <row r="33" spans="1:54">
      <c r="A33">
        <f t="shared" si="2"/>
        <v>0.2</v>
      </c>
      <c r="B33" s="31">
        <f>PERCENTILE('River loads'!BU$4:BU$84,$A33)</f>
        <v>2.0601503532891807E-2</v>
      </c>
      <c r="C33" s="31" t="e">
        <f>PERCENTILE('River loads'!#REF!,$A33)</f>
        <v>#REF!</v>
      </c>
      <c r="AW33" s="147">
        <v>0.59637309162948282</v>
      </c>
      <c r="AX33" s="232"/>
      <c r="AY33" s="31">
        <v>9.6074782908386145E-3</v>
      </c>
      <c r="BA33" s="31">
        <v>3.1100847692713915E-2</v>
      </c>
      <c r="BB33" s="31"/>
    </row>
    <row r="34" spans="1:54">
      <c r="A34">
        <f t="shared" si="2"/>
        <v>0.25</v>
      </c>
      <c r="B34" s="31">
        <f>PERCENTILE('River loads'!BU$4:BU$84,$A34)</f>
        <v>2.3477366384890758E-2</v>
      </c>
      <c r="C34" s="31" t="e">
        <f>PERCENTILE('River loads'!#REF!,$A34)</f>
        <v>#REF!</v>
      </c>
      <c r="AW34" s="147">
        <v>0.70613299994500089</v>
      </c>
      <c r="AX34" s="232"/>
      <c r="AY34" s="31">
        <v>1.6901936788057546E-2</v>
      </c>
      <c r="BA34" s="31">
        <v>0.18724972251904567</v>
      </c>
      <c r="BB34" s="31"/>
    </row>
    <row r="35" spans="1:54">
      <c r="A35">
        <f t="shared" si="2"/>
        <v>0.3</v>
      </c>
      <c r="B35" s="31">
        <f>PERCENTILE('River loads'!BU$4:BU$84,$A35)</f>
        <v>2.5955951593671738E-2</v>
      </c>
      <c r="C35" s="31" t="e">
        <f>PERCENTILE('River loads'!#REF!,$A35)</f>
        <v>#REF!</v>
      </c>
      <c r="AW35" s="147">
        <v>0.71516798555841543</v>
      </c>
      <c r="AX35" s="232">
        <v>0.93799999999999994</v>
      </c>
      <c r="AY35" s="31">
        <v>1.612813758018683E-2</v>
      </c>
      <c r="AZ35">
        <v>2.58E-2</v>
      </c>
      <c r="BA35" s="31">
        <v>9.2872702648336275E-2</v>
      </c>
      <c r="BB35" s="31">
        <v>8.897447483459997E-2</v>
      </c>
    </row>
    <row r="36" spans="1:54">
      <c r="A36">
        <f t="shared" si="2"/>
        <v>0.35</v>
      </c>
      <c r="B36" s="31">
        <f>PERCENTILE('River loads'!BU$4:BU$84,$A36)</f>
        <v>3.0373117764175495E-2</v>
      </c>
      <c r="C36" s="31" t="e">
        <f>PERCENTILE('River loads'!#REF!,$A36)</f>
        <v>#REF!</v>
      </c>
      <c r="AW36" s="147">
        <v>0.62195585465478431</v>
      </c>
      <c r="AX36" s="232"/>
      <c r="AY36" s="31">
        <v>1.1199973445521471E-2</v>
      </c>
      <c r="BA36" s="31">
        <v>2.0451562421989474E-2</v>
      </c>
      <c r="BB36" s="31"/>
    </row>
    <row r="37" spans="1:54">
      <c r="A37">
        <f t="shared" si="2"/>
        <v>0.39999999999999997</v>
      </c>
      <c r="B37" s="31">
        <f>PERCENTILE('River loads'!BU$4:BU$84,$A37)</f>
        <v>3.3531835804240288E-2</v>
      </c>
      <c r="C37" s="31" t="e">
        <f>PERCENTILE('River loads'!#REF!,$A37)</f>
        <v>#REF!</v>
      </c>
      <c r="AW37" s="147">
        <v>0.37634332589954195</v>
      </c>
      <c r="AX37" s="232"/>
      <c r="AY37" s="31">
        <v>1.0449020148524488E-2</v>
      </c>
      <c r="BA37" s="31">
        <v>1.6643337166769714E-2</v>
      </c>
      <c r="BB37" s="31"/>
    </row>
    <row r="38" spans="1:54">
      <c r="A38">
        <f t="shared" si="2"/>
        <v>0.44999999999999996</v>
      </c>
      <c r="B38" s="31">
        <f>PERCENTILE('River loads'!BU$4:BU$84,$A38)</f>
        <v>4.1662542393360064E-2</v>
      </c>
      <c r="C38" s="31" t="e">
        <f>PERCENTILE('River loads'!#REF!,$A38)</f>
        <v>#REF!</v>
      </c>
      <c r="AW38" s="147">
        <v>0.27400364532284616</v>
      </c>
      <c r="AX38" s="232"/>
      <c r="AY38" s="31">
        <v>1.021056575226593E-2</v>
      </c>
      <c r="BA38" s="31">
        <v>1.4776344711119337E-2</v>
      </c>
      <c r="BB38" s="31"/>
    </row>
    <row r="39" spans="1:54">
      <c r="A39">
        <f t="shared" si="2"/>
        <v>0.49999999999999994</v>
      </c>
      <c r="B39" s="31">
        <f>PERCENTILE('River loads'!BU$4:BU$84,$A39)</f>
        <v>4.3509228084652997E-2</v>
      </c>
      <c r="C39" s="31" t="e">
        <f>PERCENTILE('River loads'!#REF!,$A39)</f>
        <v>#REF!</v>
      </c>
      <c r="AW39" s="147">
        <v>0.32151444359464709</v>
      </c>
      <c r="AX39" s="232">
        <v>0.51212499999999994</v>
      </c>
      <c r="AY39" s="31">
        <v>1.0629511715772953E-2</v>
      </c>
      <c r="AZ39">
        <v>3.7499999999999999E-3</v>
      </c>
      <c r="BA39" s="31">
        <v>1.6933159205758112E-2</v>
      </c>
      <c r="BB39" s="31">
        <v>2.4218050761705138E-2</v>
      </c>
    </row>
    <row r="40" spans="1:54">
      <c r="A40">
        <f t="shared" si="2"/>
        <v>0.54999999999999993</v>
      </c>
      <c r="B40" s="31">
        <f>PERCENTILE('River loads'!BU$4:BU$84,$A40)</f>
        <v>4.4893154830520046E-2</v>
      </c>
      <c r="C40" s="31" t="e">
        <f>PERCENTILE('River loads'!#REF!,$A40)</f>
        <v>#REF!</v>
      </c>
      <c r="AW40" s="147">
        <v>0.40257148236591034</v>
      </c>
      <c r="AX40" s="232">
        <v>0.70862000000000014</v>
      </c>
      <c r="AY40" s="31">
        <v>1.2184144949992839E-2</v>
      </c>
      <c r="AZ40">
        <v>5.100000000000009E-3</v>
      </c>
      <c r="BA40" s="31">
        <v>1.6922928175975537E-2</v>
      </c>
      <c r="BB40" s="31">
        <v>4.7071893491368789E-2</v>
      </c>
    </row>
    <row r="41" spans="1:54">
      <c r="A41">
        <f t="shared" si="2"/>
        <v>0.6</v>
      </c>
      <c r="B41" s="31">
        <f>PERCENTILE('River loads'!BU$4:BU$84,$A41)</f>
        <v>5.5198013054885572E-2</v>
      </c>
      <c r="C41" s="31" t="e">
        <f>PERCENTILE('River loads'!#REF!,$A41)</f>
        <v>#REF!</v>
      </c>
      <c r="AW41" s="147">
        <v>1.0179576351803776</v>
      </c>
      <c r="AX41" s="232"/>
      <c r="AY41" s="31">
        <v>1.3526099163656002E-2</v>
      </c>
      <c r="BA41" s="31">
        <v>2.0607797835909266E-2</v>
      </c>
      <c r="BB41" s="31"/>
    </row>
    <row r="42" spans="1:54">
      <c r="A42">
        <f t="shared" si="2"/>
        <v>0.65</v>
      </c>
      <c r="B42" s="31">
        <f>PERCENTILE('River loads'!BU$4:BU$84,$A42)</f>
        <v>6.7904047965280059E-2</v>
      </c>
      <c r="C42" s="31" t="e">
        <f>PERCENTILE('River loads'!#REF!,$A42)</f>
        <v>#REF!</v>
      </c>
      <c r="AW42" s="147">
        <v>0.47522345188860449</v>
      </c>
      <c r="AX42" s="232"/>
      <c r="AY42" s="31">
        <v>1.1090553905306848E-2</v>
      </c>
      <c r="BA42" s="31">
        <v>1.2150051318523057E-2</v>
      </c>
      <c r="BB42" s="31"/>
    </row>
    <row r="43" spans="1:54">
      <c r="A43">
        <f t="shared" si="2"/>
        <v>0.70000000000000007</v>
      </c>
      <c r="B43" s="31">
        <f>PERCENTILE('River loads'!BU$4:BU$84,$A43)</f>
        <v>8.0226360587548659E-2</v>
      </c>
      <c r="C43" s="31" t="e">
        <f>PERCENTILE('River loads'!#REF!,$A43)</f>
        <v>#REF!</v>
      </c>
      <c r="AW43" s="147">
        <v>0.76597363644774175</v>
      </c>
      <c r="AX43" s="232">
        <v>0.79603000000000002</v>
      </c>
      <c r="AY43" s="31">
        <v>1.8580082097525385E-2</v>
      </c>
      <c r="AZ43">
        <v>1.5090000000000001E-2</v>
      </c>
      <c r="BA43" s="31">
        <v>2.0307362195617795E-2</v>
      </c>
      <c r="BB43" s="31">
        <v>0.12515030864840243</v>
      </c>
    </row>
    <row r="44" spans="1:54">
      <c r="A44">
        <f t="shared" si="2"/>
        <v>0.75000000000000011</v>
      </c>
      <c r="B44" s="31">
        <f>PERCENTILE('River loads'!BU$4:BU$84,$A44)</f>
        <v>0.10728702186777463</v>
      </c>
      <c r="C44" s="31" t="e">
        <f>PERCENTILE('River loads'!#REF!,$A44)</f>
        <v>#REF!</v>
      </c>
      <c r="AW44" s="147">
        <v>0.85183584798462342</v>
      </c>
      <c r="AX44" s="232"/>
      <c r="AY44" s="31">
        <v>2.0156806596070925E-2</v>
      </c>
      <c r="BA44" s="31">
        <v>2.2252534128127725E-2</v>
      </c>
      <c r="BB44" s="31"/>
    </row>
    <row r="45" spans="1:54">
      <c r="A45">
        <f t="shared" si="2"/>
        <v>0.80000000000000016</v>
      </c>
      <c r="B45" s="31">
        <f>PERCENTILE('River loads'!BU$4:BU$84,$A45)</f>
        <v>0.12822574022161276</v>
      </c>
      <c r="C45" s="31" t="e">
        <f>PERCENTILE('River loads'!#REF!,$A45)</f>
        <v>#REF!</v>
      </c>
      <c r="AW45" s="147">
        <v>1.314228429281824</v>
      </c>
      <c r="AX45" s="232"/>
      <c r="AY45" s="31">
        <v>2.4319362811776771E-2</v>
      </c>
      <c r="BA45" s="31">
        <v>2.8783929770903022E-2</v>
      </c>
      <c r="BB45" s="31"/>
    </row>
    <row r="46" spans="1:54">
      <c r="A46">
        <f t="shared" si="2"/>
        <v>0.8500000000000002</v>
      </c>
      <c r="B46" s="31">
        <f>PERCENTILE('River loads'!BU$4:BU$84,$A46)</f>
        <v>0.14354933621371205</v>
      </c>
      <c r="C46" s="31" t="e">
        <f>PERCENTILE('River loads'!#REF!,$A46)</f>
        <v>#REF!</v>
      </c>
      <c r="AW46" s="147">
        <v>1.2433457040305067</v>
      </c>
      <c r="AX46" s="232"/>
      <c r="AY46" s="31">
        <v>7.4024652543111854E-3</v>
      </c>
      <c r="BA46" s="31">
        <v>9.8203183756090592E-3</v>
      </c>
      <c r="BB46" s="31"/>
    </row>
    <row r="47" spans="1:54">
      <c r="A47">
        <f t="shared" si="2"/>
        <v>0.90000000000000024</v>
      </c>
      <c r="B47" s="31">
        <f>PERCENTILE('River loads'!BU$4:BU$84,$A47)</f>
        <v>0.15827461776940474</v>
      </c>
      <c r="C47" s="31" t="e">
        <f>PERCENTILE('River loads'!#REF!,$A47)</f>
        <v>#REF!</v>
      </c>
      <c r="AW47" s="147">
        <v>1.0429663718627689</v>
      </c>
      <c r="AX47" s="232"/>
      <c r="AY47" s="31">
        <v>2.4447775085925195E-2</v>
      </c>
      <c r="BA47" s="31">
        <v>2.7828426421754277E-2</v>
      </c>
      <c r="BB47" s="31"/>
    </row>
    <row r="48" spans="1:54">
      <c r="A48">
        <f t="shared" si="2"/>
        <v>0.95000000000000029</v>
      </c>
      <c r="B48" s="31">
        <f>PERCENTILE('River loads'!BU$4:BU$84,$A48)</f>
        <v>0.18183219043032181</v>
      </c>
      <c r="C48" s="31" t="e">
        <f>PERCENTILE('River loads'!#REF!,$A48)</f>
        <v>#REF!</v>
      </c>
      <c r="AW48" s="147">
        <v>0.86878289276237564</v>
      </c>
      <c r="AX48" s="232"/>
      <c r="AY48" s="31">
        <v>1.6438252215050873E-2</v>
      </c>
      <c r="BA48" s="31">
        <v>1.879324569892224E-2</v>
      </c>
      <c r="BB48" s="31"/>
    </row>
    <row r="49" spans="1:54">
      <c r="A49">
        <v>0.99</v>
      </c>
      <c r="B49" s="31">
        <f>PERCENTILE('River loads'!BU$4:BU$84,$A49)</f>
        <v>0.19592196423419164</v>
      </c>
      <c r="C49" s="31" t="e">
        <f>PERCENTILE('River loads'!#REF!,$A49)</f>
        <v>#REF!</v>
      </c>
      <c r="AW49" s="147">
        <v>1.2477687387241849</v>
      </c>
      <c r="AX49" s="232"/>
      <c r="AY49" s="31">
        <v>1.328969479574898E-2</v>
      </c>
      <c r="BA49" s="31">
        <v>1.5698166151853495E-2</v>
      </c>
      <c r="BB49" s="31"/>
    </row>
    <row r="50" spans="1:54">
      <c r="AW50" s="147">
        <v>1.0541140517059717</v>
      </c>
      <c r="AX50" s="232">
        <v>1.17862</v>
      </c>
      <c r="AY50" s="31">
        <v>2.569517391005656E-2</v>
      </c>
      <c r="BA50" s="31">
        <v>2.9026688022023506E-2</v>
      </c>
      <c r="BB50" s="31"/>
    </row>
    <row r="51" spans="1:54">
      <c r="AW51" s="147">
        <v>1.131692895217592</v>
      </c>
      <c r="AX51" s="232"/>
      <c r="AY51" s="31">
        <v>2.0141720928511422E-2</v>
      </c>
      <c r="BA51" s="31">
        <v>2.3324533434857062E-2</v>
      </c>
      <c r="BB51" s="31">
        <v>7.3277122175370538E-2</v>
      </c>
    </row>
    <row r="52" spans="1:54">
      <c r="AW52" s="147">
        <v>0.35239587760306174</v>
      </c>
      <c r="AX52" s="232"/>
      <c r="AY52" s="31">
        <v>1.0419245902571183E-2</v>
      </c>
      <c r="BA52" s="31">
        <v>1.6929066219404754E-2</v>
      </c>
      <c r="BB52" s="31"/>
    </row>
    <row r="53" spans="1:54">
      <c r="AW53" s="147">
        <v>0.43335853212902575</v>
      </c>
      <c r="AX53" s="232"/>
      <c r="AY53" s="31">
        <v>9.8828270082497831E-3</v>
      </c>
      <c r="BA53" s="31">
        <v>1.2220444603416715E-2</v>
      </c>
      <c r="BB53" s="31"/>
    </row>
    <row r="54" spans="1:54">
      <c r="AW54" s="147">
        <v>0.55469874932819818</v>
      </c>
      <c r="AX54" s="232"/>
      <c r="AY54" s="31">
        <v>8.1890238754407582E-3</v>
      </c>
      <c r="BA54" s="31">
        <v>1.1007324694813784E-2</v>
      </c>
      <c r="BB54" s="31"/>
    </row>
    <row r="55" spans="1:54" ht="42">
      <c r="A55" s="103" t="s">
        <v>589</v>
      </c>
      <c r="B55" s="103" t="s">
        <v>662</v>
      </c>
      <c r="C55" s="103" t="s">
        <v>602</v>
      </c>
      <c r="D55" s="103" t="s">
        <v>603</v>
      </c>
      <c r="E55" s="103" t="s">
        <v>604</v>
      </c>
      <c r="F55" s="103" t="s">
        <v>603</v>
      </c>
      <c r="G55" s="103" t="s">
        <v>618</v>
      </c>
      <c r="H55" s="103" t="s">
        <v>619</v>
      </c>
      <c r="AW55" s="147">
        <v>0.6931206708781924</v>
      </c>
      <c r="AX55" s="232"/>
      <c r="AY55" s="31">
        <v>1.2702125790697825E-2</v>
      </c>
      <c r="BA55" s="31">
        <v>1.6040681663405758E-2</v>
      </c>
      <c r="BB55" s="31"/>
    </row>
    <row r="56" spans="1:54">
      <c r="A56" t="s">
        <v>410</v>
      </c>
      <c r="B56" t="s">
        <v>410</v>
      </c>
      <c r="C56" t="s">
        <v>416</v>
      </c>
      <c r="D56" t="s">
        <v>416</v>
      </c>
      <c r="E56" t="s">
        <v>594</v>
      </c>
      <c r="F56" t="s">
        <v>594</v>
      </c>
      <c r="G56" t="s">
        <v>494</v>
      </c>
      <c r="H56" t="s">
        <v>494</v>
      </c>
      <c r="AW56" s="147">
        <v>0.39343805209229826</v>
      </c>
      <c r="AX56" s="232">
        <v>0.64640000000000031</v>
      </c>
      <c r="AY56" s="31">
        <v>1.0401745094465554E-2</v>
      </c>
      <c r="AZ56">
        <v>6.0000000000000001E-3</v>
      </c>
      <c r="BA56" s="31">
        <v>2.9986131201930603E-2</v>
      </c>
      <c r="BB56" s="31">
        <v>1.1660216527808012E-2</v>
      </c>
    </row>
    <row r="57" spans="1:54">
      <c r="A57">
        <v>0</v>
      </c>
      <c r="B57">
        <f>1-A57</f>
        <v>1</v>
      </c>
      <c r="C57" s="31">
        <f>PERCENTILE('River loads'!BW$4:BW$84,$A57)</f>
        <v>0.41140284325176629</v>
      </c>
      <c r="D57" s="31">
        <f>PERCENTILE('River loads'!BX$4:BX$84,$A57)</f>
        <v>0.51242475728155301</v>
      </c>
      <c r="E57" s="31">
        <f>PERCENTILE('River loads'!BZ$4:BZ$84,$A57)</f>
        <v>0.55594978817806251</v>
      </c>
      <c r="F57" s="31">
        <f>PERCENTILE('River loads'!CA$4:CA$84,$A57)</f>
        <v>0.66020000000000001</v>
      </c>
      <c r="G57" s="31">
        <f>PERCENTILE('River loads'!CC$4:CC$84,$A57)</f>
        <v>9.8999097718286203E-2</v>
      </c>
      <c r="H57" s="31" t="e">
        <f>PERCENTILE('River loads'!CD$4:CD$84,$A57)</f>
        <v>#NUM!</v>
      </c>
      <c r="AW57" s="147">
        <v>0.62206562870484672</v>
      </c>
      <c r="AX57" s="232"/>
      <c r="AY57" s="31">
        <v>2.1181354842141682E-2</v>
      </c>
      <c r="BA57" s="31">
        <v>3.8619338851899297E-2</v>
      </c>
      <c r="BB57" s="31"/>
    </row>
    <row r="58" spans="1:54">
      <c r="A58">
        <f>A57+0.05</f>
        <v>0.05</v>
      </c>
      <c r="B58">
        <f t="shared" ref="B58:B77" si="3">1-A58</f>
        <v>0.95</v>
      </c>
      <c r="C58" s="31">
        <f>PERCENTILE('River loads'!BW$4:BW$84,$A58)</f>
        <v>0.51281532618072256</v>
      </c>
      <c r="D58" s="31">
        <f>PERCENTILE('River loads'!BX$4:BX$84,$A58)</f>
        <v>0.69342899038461536</v>
      </c>
      <c r="E58" s="31">
        <f>PERCENTILE('River loads'!BZ$4:BZ$84,$A58)</f>
        <v>0.69299368402800343</v>
      </c>
      <c r="F58" s="31">
        <f>PERCENTILE('River loads'!CA$4:CA$84,$A58)</f>
        <v>0.83031499999999991</v>
      </c>
      <c r="G58" s="31">
        <f>PERCENTILE('River loads'!CC$4:CC$84,$A58)</f>
        <v>0.14844742852779111</v>
      </c>
      <c r="H58" s="31" t="e">
        <f>PERCENTILE('River loads'!CD$4:CD$84,$A58)</f>
        <v>#NUM!</v>
      </c>
      <c r="AW58" s="147">
        <v>0.59044500924109933</v>
      </c>
      <c r="AX58" s="232">
        <v>0.78600000000000003</v>
      </c>
      <c r="AY58" s="31">
        <v>1.0413775378949166E-2</v>
      </c>
      <c r="AZ58">
        <v>4.0000000000000001E-3</v>
      </c>
      <c r="BA58" s="31">
        <v>1.312316080070064E-2</v>
      </c>
      <c r="BB58" s="31">
        <v>2.0154458085011914E-2</v>
      </c>
    </row>
    <row r="59" spans="1:54">
      <c r="A59">
        <f t="shared" ref="A59:A76" si="4">A58+0.05</f>
        <v>0.1</v>
      </c>
      <c r="B59">
        <f t="shared" si="3"/>
        <v>0.9</v>
      </c>
      <c r="C59" s="31">
        <f>PERCENTILE('River loads'!BW$4:BW$84,$A59)</f>
        <v>0.58325002459189834</v>
      </c>
      <c r="D59" s="31">
        <f>PERCENTILE('River loads'!BX$4:BX$84,$A59)</f>
        <v>0.90868034540702058</v>
      </c>
      <c r="E59" s="31">
        <f>PERCENTILE('River loads'!BZ$4:BZ$84,$A59)</f>
        <v>0.78817570890797073</v>
      </c>
      <c r="F59" s="31">
        <f>PERCENTILE('River loads'!CA$4:CA$84,$A59)</f>
        <v>1.1215200000000001</v>
      </c>
      <c r="G59" s="31">
        <f>PERCENTILE('River loads'!CC$4:CC$84,$A59)</f>
        <v>0.16620252743801736</v>
      </c>
      <c r="H59" s="31" t="e">
        <f>PERCENTILE('River loads'!CD$4:CD$84,$A59)</f>
        <v>#NUM!</v>
      </c>
      <c r="AW59" s="147">
        <v>0.72177172748208351</v>
      </c>
      <c r="AX59" s="232"/>
      <c r="AY59" s="31">
        <v>1.4910545862377901E-2</v>
      </c>
      <c r="BA59" s="31">
        <v>1.8234756966204808E-2</v>
      </c>
      <c r="BB59" s="31"/>
    </row>
    <row r="60" spans="1:54">
      <c r="A60">
        <f t="shared" si="4"/>
        <v>0.15000000000000002</v>
      </c>
      <c r="B60">
        <f t="shared" si="3"/>
        <v>0.85</v>
      </c>
      <c r="C60" s="31">
        <f>PERCENTILE('River loads'!BW$4:BW$84,$A60)</f>
        <v>0.68411705306112736</v>
      </c>
      <c r="D60" s="31">
        <f>PERCENTILE('River loads'!BX$4:BX$84,$A60)</f>
        <v>1.071699239346551</v>
      </c>
      <c r="E60" s="31">
        <f>PERCENTILE('River loads'!BZ$4:BZ$84,$A60)</f>
        <v>0.92448250413665856</v>
      </c>
      <c r="F60" s="31">
        <f>PERCENTILE('River loads'!CA$4:CA$84,$A60)</f>
        <v>1.3733600000000001</v>
      </c>
      <c r="G60" s="31">
        <f>PERCENTILE('River loads'!CC$4:CC$84,$A60)</f>
        <v>0.18954012721865762</v>
      </c>
      <c r="H60" s="31" t="e">
        <f>PERCENTILE('River loads'!CD$4:CD$84,$A60)</f>
        <v>#NUM!</v>
      </c>
      <c r="AW60" s="147">
        <v>0.9474516451482532</v>
      </c>
      <c r="AX60" s="232"/>
      <c r="AY60" s="31">
        <v>1.3123563032753301E-2</v>
      </c>
      <c r="BA60" s="31">
        <v>1.6382803091870578E-2</v>
      </c>
      <c r="BB60" s="31"/>
    </row>
    <row r="61" spans="1:54">
      <c r="A61">
        <f t="shared" si="4"/>
        <v>0.2</v>
      </c>
      <c r="B61">
        <f t="shared" si="3"/>
        <v>0.8</v>
      </c>
      <c r="C61" s="31">
        <f>PERCENTILE('River loads'!BW$4:BW$84,$A61)</f>
        <v>0.77184508033378207</v>
      </c>
      <c r="D61" s="31">
        <f>PERCENTILE('River loads'!BX$4:BX$84,$A61)</f>
        <v>1.3874354079536939</v>
      </c>
      <c r="E61" s="31">
        <f>PERCENTILE('River loads'!BZ$4:BZ$84,$A61)</f>
        <v>1.0430338923429487</v>
      </c>
      <c r="F61" s="31">
        <f>PERCENTILE('River loads'!CA$4:CA$84,$A61)</f>
        <v>1.7371999999999999</v>
      </c>
      <c r="G61" s="31">
        <f>PERCENTILE('River loads'!CC$4:CC$84,$A61)</f>
        <v>0.20024147723363528</v>
      </c>
      <c r="H61" s="31" t="e">
        <f>PERCENTILE('River loads'!CD$4:CD$84,$A61)</f>
        <v>#NUM!</v>
      </c>
      <c r="AW61" s="147">
        <v>0.91005827235472159</v>
      </c>
      <c r="AX61" s="232"/>
      <c r="AY61" s="31">
        <v>2.0350918495700834E-2</v>
      </c>
      <c r="BA61" s="31">
        <v>2.52942556218754E-2</v>
      </c>
      <c r="BB61" s="31"/>
    </row>
    <row r="62" spans="1:54">
      <c r="A62">
        <f t="shared" si="4"/>
        <v>0.25</v>
      </c>
      <c r="B62">
        <f t="shared" si="3"/>
        <v>0.75</v>
      </c>
      <c r="C62" s="31">
        <f>PERCENTILE('River loads'!BW$4:BW$84,$A62)</f>
        <v>0.88027837432211598</v>
      </c>
      <c r="D62" s="31">
        <f>PERCENTILE('River loads'!BX$4:BX$84,$A62)</f>
        <v>1.46291538461538</v>
      </c>
      <c r="E62" s="31">
        <f>PERCENTILE('River loads'!BZ$4:BZ$84,$A62)</f>
        <v>1.1895653707055622</v>
      </c>
      <c r="F62" s="31">
        <f>PERCENTILE('River loads'!CA$4:CA$84,$A62)</f>
        <v>1.8140000000000001</v>
      </c>
      <c r="G62" s="31">
        <f>PERCENTILE('River loads'!CC$4:CC$84,$A62)</f>
        <v>0.21701841968123986</v>
      </c>
      <c r="H62" s="31" t="e">
        <f>PERCENTILE('River loads'!CD$4:CD$84,$A62)</f>
        <v>#NUM!</v>
      </c>
      <c r="AW62" s="147">
        <v>0.89397397606226514</v>
      </c>
      <c r="AX62" s="232">
        <v>0.69152499999999995</v>
      </c>
      <c r="AY62" s="31">
        <v>1.1105264973094657E-2</v>
      </c>
      <c r="AZ62">
        <v>7.4499999999999992E-3</v>
      </c>
      <c r="BA62" s="31">
        <v>1.5073014593124273E-2</v>
      </c>
      <c r="BB62" s="31">
        <v>9.9977215936898414E-3</v>
      </c>
    </row>
    <row r="63" spans="1:54">
      <c r="A63">
        <f t="shared" si="4"/>
        <v>0.3</v>
      </c>
      <c r="B63">
        <f t="shared" si="3"/>
        <v>0.7</v>
      </c>
      <c r="C63" s="31">
        <f>PERCENTILE('River loads'!BW$4:BW$84,$A63)</f>
        <v>0.94820944610177316</v>
      </c>
      <c r="D63" s="31">
        <f>PERCENTILE('River loads'!BX$4:BX$84,$A63)</f>
        <v>1.5960300330032979</v>
      </c>
      <c r="E63" s="31">
        <f>PERCENTILE('River loads'!BZ$4:BZ$84,$A63)</f>
        <v>1.2813641163537475</v>
      </c>
      <c r="F63" s="31">
        <f>PERCENTILE('River loads'!CA$4:CA$84,$A63)</f>
        <v>2.0510999999999995</v>
      </c>
      <c r="G63" s="31">
        <f>PERCENTILE('River loads'!CC$4:CC$84,$A63)</f>
        <v>0.27924781433198687</v>
      </c>
      <c r="H63" s="31" t="e">
        <f>PERCENTILE('River loads'!CD$4:CD$84,$A63)</f>
        <v>#NUM!</v>
      </c>
      <c r="AW63" s="147">
        <v>0.89003855596510795</v>
      </c>
      <c r="AX63" s="232">
        <v>0.75600000000000001</v>
      </c>
      <c r="AY63" s="31">
        <v>9.4150179571018261E-3</v>
      </c>
      <c r="AZ63">
        <v>6.0000000000000001E-3</v>
      </c>
      <c r="BA63" s="31">
        <v>1.2517582548850983E-2</v>
      </c>
      <c r="BB63" s="31">
        <v>8.2429288165293754E-3</v>
      </c>
    </row>
    <row r="64" spans="1:54">
      <c r="A64">
        <f t="shared" si="4"/>
        <v>0.35</v>
      </c>
      <c r="B64">
        <f t="shared" si="3"/>
        <v>0.65</v>
      </c>
      <c r="C64" s="31">
        <f>PERCENTILE('River loads'!BW$4:BW$84,$A64)</f>
        <v>1.0571915877724458</v>
      </c>
      <c r="D64" s="31">
        <f>PERCENTILE('River loads'!BX$4:BX$84,$A64)</f>
        <v>1.7183890614886719</v>
      </c>
      <c r="E64" s="31">
        <f>PERCENTILE('River loads'!BZ$4:BZ$84,$A64)</f>
        <v>1.4286372807735754</v>
      </c>
      <c r="F64" s="31">
        <f>PERCENTILE('River loads'!CA$4:CA$84,$A64)</f>
        <v>2.1190920000000002</v>
      </c>
      <c r="G64" s="31">
        <f>PERCENTILE('River loads'!CC$4:CC$84,$A64)</f>
        <v>0.32706287932571909</v>
      </c>
      <c r="H64" s="31" t="e">
        <f>PERCENTILE('River loads'!CD$4:CD$84,$A64)</f>
        <v>#NUM!</v>
      </c>
      <c r="AW64" s="147">
        <v>1.2979792941233712</v>
      </c>
      <c r="AX64" s="232"/>
      <c r="AY64" s="31">
        <v>1.1929780959052432E-2</v>
      </c>
      <c r="BA64" s="31">
        <v>1.4960740868488285E-2</v>
      </c>
      <c r="BB64" s="31"/>
    </row>
    <row r="65" spans="1:54">
      <c r="A65">
        <f t="shared" si="4"/>
        <v>0.39999999999999997</v>
      </c>
      <c r="B65">
        <f t="shared" si="3"/>
        <v>0.60000000000000009</v>
      </c>
      <c r="C65" s="31">
        <f>PERCENTILE('River loads'!BW$4:BW$84,$A65)</f>
        <v>1.2624053779914362</v>
      </c>
      <c r="D65" s="31">
        <f>PERCENTILE('River loads'!BX$4:BX$84,$A65)</f>
        <v>2.0106665999999995</v>
      </c>
      <c r="E65" s="31">
        <f>PERCENTILE('River loads'!BZ$4:BZ$84,$A65)</f>
        <v>1.7059532135019408</v>
      </c>
      <c r="F65" s="31">
        <f>PERCENTILE('River loads'!CA$4:CA$84,$A65)</f>
        <v>2.9625199999999996</v>
      </c>
      <c r="G65" s="31">
        <f>PERCENTILE('River loads'!CC$4:CC$84,$A65)</f>
        <v>0.35389787460447009</v>
      </c>
      <c r="H65" s="31" t="e">
        <f>PERCENTILE('River loads'!CD$4:CD$84,$A65)</f>
        <v>#NUM!</v>
      </c>
      <c r="AW65" s="147">
        <v>1.8023562695336621</v>
      </c>
      <c r="AX65" s="232"/>
      <c r="AY65" s="31">
        <v>4.1937243476866927E-2</v>
      </c>
      <c r="BA65" s="31">
        <v>4.8462241284975796E-2</v>
      </c>
      <c r="BB65" s="31"/>
    </row>
    <row r="66" spans="1:54">
      <c r="A66">
        <f t="shared" si="4"/>
        <v>0.44999999999999996</v>
      </c>
      <c r="B66">
        <f t="shared" si="3"/>
        <v>0.55000000000000004</v>
      </c>
      <c r="C66" s="31">
        <f>PERCENTILE('River loads'!BW$4:BW$84,$A66)</f>
        <v>1.4370458287534633</v>
      </c>
      <c r="D66" s="31">
        <f>PERCENTILE('River loads'!BX$4:BX$84,$A66)</f>
        <v>2.2327386165413543</v>
      </c>
      <c r="E66" s="31">
        <f>PERCENTILE('River loads'!BZ$4:BZ$84,$A66)</f>
        <v>1.9419538226398154</v>
      </c>
      <c r="F66" s="31">
        <f>PERCENTILE('River loads'!CA$4:CA$84,$A66)</f>
        <v>3.1579200000000003</v>
      </c>
      <c r="G66" s="31">
        <f>PERCENTILE('River loads'!CC$4:CC$84,$A66)</f>
        <v>0.37478112180947754</v>
      </c>
      <c r="H66" s="31" t="e">
        <f>PERCENTILE('River loads'!CD$4:CD$84,$A66)</f>
        <v>#NUM!</v>
      </c>
      <c r="AW66" s="147">
        <v>1.1377554368166571</v>
      </c>
      <c r="AX66" s="232"/>
      <c r="AY66" s="31">
        <v>1.7281198977925086E-2</v>
      </c>
      <c r="BA66" s="31">
        <v>2.1220388315900333E-2</v>
      </c>
      <c r="BB66" s="31"/>
    </row>
    <row r="67" spans="1:54">
      <c r="A67">
        <f t="shared" si="4"/>
        <v>0.49999999999999994</v>
      </c>
      <c r="B67">
        <f t="shared" si="3"/>
        <v>0.5</v>
      </c>
      <c r="C67" s="31">
        <f>PERCENTILE('River loads'!BW$4:BW$84,$A67)</f>
        <v>1.5022418610239929</v>
      </c>
      <c r="D67" s="31">
        <f>PERCENTILE('River loads'!BX$4:BX$84,$A67)</f>
        <v>2.3237448979591799</v>
      </c>
      <c r="E67" s="31">
        <f>PERCENTILE('River loads'!BZ$4:BZ$84,$A67)</f>
        <v>2.0300565689513417</v>
      </c>
      <c r="F67" s="31">
        <f>PERCENTILE('River loads'!CA$4:CA$84,$A67)</f>
        <v>3.198</v>
      </c>
      <c r="G67" s="31">
        <f>PERCENTILE('River loads'!CC$4:CC$84,$A67)</f>
        <v>0.45810788080566889</v>
      </c>
      <c r="H67" s="31" t="e">
        <f>PERCENTILE('River loads'!CD$4:CD$84,$A67)</f>
        <v>#NUM!</v>
      </c>
      <c r="AW67" s="147">
        <v>1.2582851153434134</v>
      </c>
      <c r="AX67" s="232"/>
      <c r="AY67" s="31">
        <v>1.2722654376218227E-2</v>
      </c>
      <c r="BA67" s="31">
        <v>1.6827732256987301E-2</v>
      </c>
      <c r="BB67" s="31"/>
    </row>
    <row r="68" spans="1:54">
      <c r="A68">
        <f t="shared" si="4"/>
        <v>0.54999999999999993</v>
      </c>
      <c r="B68">
        <f t="shared" si="3"/>
        <v>0.45000000000000007</v>
      </c>
      <c r="C68" s="31">
        <f>PERCENTILE('River loads'!BW$4:BW$84,$A68)</f>
        <v>1.6613917586774296</v>
      </c>
      <c r="D68" s="31">
        <f>PERCENTILE('River loads'!BX$4:BX$84,$A68)</f>
        <v>2.45795786904762</v>
      </c>
      <c r="E68" s="31">
        <f>PERCENTILE('River loads'!BZ$4:BZ$84,$A68)</f>
        <v>2.2451239982127431</v>
      </c>
      <c r="F68" s="31">
        <f>PERCENTILE('River loads'!CA$4:CA$84,$A68)</f>
        <v>3.4029759999999993</v>
      </c>
      <c r="G68" s="31">
        <f>PERCENTILE('River loads'!CC$4:CC$84,$A68)</f>
        <v>0.50164273122759406</v>
      </c>
      <c r="H68" s="31" t="e">
        <f>PERCENTILE('River loads'!CD$4:CD$84,$A68)</f>
        <v>#NUM!</v>
      </c>
      <c r="AW68" s="147">
        <v>1.0680966687246618</v>
      </c>
      <c r="AX68" s="232"/>
      <c r="AY68" s="31">
        <v>1.0956059931123068E-2</v>
      </c>
      <c r="BA68" s="31">
        <v>1.3751001830914981E-2</v>
      </c>
      <c r="BB68" s="31"/>
    </row>
    <row r="69" spans="1:54">
      <c r="A69">
        <f t="shared" si="4"/>
        <v>0.6</v>
      </c>
      <c r="B69">
        <f t="shared" si="3"/>
        <v>0.4</v>
      </c>
      <c r="C69" s="31">
        <f>PERCENTILE('River loads'!BW$4:BW$84,$A69)</f>
        <v>1.8734991491935404</v>
      </c>
      <c r="D69" s="31">
        <f>PERCENTILE('River loads'!BX$4:BX$84,$A69)</f>
        <v>2.4811050691244279</v>
      </c>
      <c r="E69" s="31">
        <f>PERCENTILE('River loads'!BZ$4:BZ$84,$A69)</f>
        <v>2.5317556070182978</v>
      </c>
      <c r="F69" s="31">
        <f>PERCENTILE('River loads'!CA$4:CA$84,$A69)</f>
        <v>3.5063999999999997</v>
      </c>
      <c r="G69" s="31">
        <f>PERCENTILE('River loads'!CC$4:CC$84,$A69)</f>
        <v>0.55440324600406898</v>
      </c>
      <c r="H69" s="31" t="e">
        <f>PERCENTILE('River loads'!CD$4:CD$84,$A69)</f>
        <v>#NUM!</v>
      </c>
      <c r="AW69" s="147">
        <v>1.2584448098106655</v>
      </c>
      <c r="AX69" s="232"/>
      <c r="AY69" s="31">
        <v>1.8219475795237285E-2</v>
      </c>
      <c r="BA69" s="31">
        <v>2.242198025334537E-2</v>
      </c>
      <c r="BB69" s="31"/>
    </row>
    <row r="70" spans="1:54">
      <c r="A70">
        <f t="shared" si="4"/>
        <v>0.65</v>
      </c>
      <c r="B70">
        <f t="shared" si="3"/>
        <v>0.35</v>
      </c>
      <c r="C70" s="31">
        <f>PERCENTILE('River loads'!BW$4:BW$84,$A70)</f>
        <v>1.936641913316189</v>
      </c>
      <c r="D70" s="31">
        <f>PERCENTILE('River loads'!BX$4:BX$84,$A70)</f>
        <v>2.5588147233546903</v>
      </c>
      <c r="E70" s="31">
        <f>PERCENTILE('River loads'!BZ$4:BZ$84,$A70)</f>
        <v>2.6170836666434987</v>
      </c>
      <c r="F70" s="31">
        <f>PERCENTILE('River loads'!CA$4:CA$84,$A70)</f>
        <v>3.5482400000000003</v>
      </c>
      <c r="G70" s="31">
        <f>PERCENTILE('River loads'!CC$4:CC$84,$A70)</f>
        <v>0.63309073399650484</v>
      </c>
      <c r="H70" s="31" t="e">
        <f>PERCENTILE('River loads'!CD$4:CD$84,$A70)</f>
        <v>#NUM!</v>
      </c>
      <c r="AW70" s="147">
        <v>2.4084836870250239</v>
      </c>
      <c r="AX70" s="232"/>
      <c r="AY70" s="31">
        <v>2.5978496976794014E-2</v>
      </c>
      <c r="BA70" s="31">
        <v>2.7861154054662971E-2</v>
      </c>
      <c r="BB70" s="31"/>
    </row>
    <row r="71" spans="1:54">
      <c r="A71">
        <f t="shared" si="4"/>
        <v>0.70000000000000007</v>
      </c>
      <c r="B71">
        <f t="shared" si="3"/>
        <v>0.29999999999999993</v>
      </c>
      <c r="C71" s="31">
        <f>PERCENTILE('River loads'!BW$4:BW$84,$A71)</f>
        <v>2.0186129017405721</v>
      </c>
      <c r="D71" s="31">
        <f>PERCENTILE('River loads'!BX$4:BX$84,$A71)</f>
        <v>2.9169598141414159</v>
      </c>
      <c r="E71" s="31">
        <f>PERCENTILE('River loads'!BZ$4:BZ$84,$A71)</f>
        <v>2.7278552726223948</v>
      </c>
      <c r="F71" s="31">
        <f>PERCENTILE('River loads'!CA$4:CA$84,$A71)</f>
        <v>3.9000800000000009</v>
      </c>
      <c r="G71" s="31">
        <f>PERCENTILE('River loads'!CC$4:CC$84,$A71)</f>
        <v>0.66153730142082345</v>
      </c>
      <c r="H71" s="31" t="e">
        <f>PERCENTILE('River loads'!CD$4:CD$84,$A71)</f>
        <v>#NUM!</v>
      </c>
      <c r="AW71" s="147">
        <v>3.1340525177389571</v>
      </c>
      <c r="AX71" s="232"/>
      <c r="AY71" s="31">
        <v>6.7583453000719995E-2</v>
      </c>
      <c r="BA71" s="31">
        <v>6.9988670564706743E-2</v>
      </c>
      <c r="BB71" s="31"/>
    </row>
    <row r="72" spans="1:54">
      <c r="A72">
        <f t="shared" si="4"/>
        <v>0.75000000000000011</v>
      </c>
      <c r="B72">
        <f t="shared" si="3"/>
        <v>0.24999999999999989</v>
      </c>
      <c r="C72" s="31">
        <f>PERCENTILE('River loads'!BW$4:BW$84,$A72)</f>
        <v>2.4354076929624147</v>
      </c>
      <c r="D72" s="31">
        <f>PERCENTILE('River loads'!BX$4:BX$84,$A72)</f>
        <v>3.0674520000000003</v>
      </c>
      <c r="E72" s="31">
        <f>PERCENTILE('River loads'!BZ$4:BZ$84,$A72)</f>
        <v>3.2910914769762361</v>
      </c>
      <c r="F72" s="31">
        <f>PERCENTILE('River loads'!CA$4:CA$84,$A72)</f>
        <v>4.3894000000000002</v>
      </c>
      <c r="G72" s="31">
        <f>PERCENTILE('River loads'!CC$4:CC$84,$A72)</f>
        <v>0.70386471302962383</v>
      </c>
      <c r="H72" s="31" t="e">
        <f>PERCENTILE('River loads'!CD$4:CD$84,$A72)</f>
        <v>#NUM!</v>
      </c>
      <c r="AW72" s="147">
        <v>3.6728947291840428</v>
      </c>
      <c r="AX72" s="232"/>
      <c r="AY72" s="31">
        <v>5.3149691975048506E-2</v>
      </c>
      <c r="AZ72">
        <v>2.5640000000000007E-2</v>
      </c>
      <c r="BA72" s="31">
        <v>7.0193182945028312E-2</v>
      </c>
      <c r="BB72" s="31"/>
    </row>
    <row r="73" spans="1:54">
      <c r="A73">
        <f t="shared" si="4"/>
        <v>0.80000000000000016</v>
      </c>
      <c r="B73">
        <f t="shared" si="3"/>
        <v>0.19999999999999984</v>
      </c>
      <c r="C73" s="31">
        <f>PERCENTILE('River loads'!BW$4:BW$84,$A73)</f>
        <v>2.5104786968023665</v>
      </c>
      <c r="D73" s="31">
        <f>PERCENTILE('River loads'!BX$4:BX$84,$A73)</f>
        <v>3.1376124000000001</v>
      </c>
      <c r="E73" s="31">
        <f>PERCENTILE('River loads'!BZ$4:BZ$84,$A73)</f>
        <v>3.3925387794626571</v>
      </c>
      <c r="F73" s="31">
        <f>PERCENTILE('River loads'!CA$4:CA$84,$A73)</f>
        <v>4.5412600000000003</v>
      </c>
      <c r="G73" s="31">
        <f>PERCENTILE('River loads'!CC$4:CC$84,$A73)</f>
        <v>0.84039911956226709</v>
      </c>
      <c r="H73" s="31" t="e">
        <f>PERCENTILE('River loads'!CD$4:CD$84,$A73)</f>
        <v>#NUM!</v>
      </c>
      <c r="AW73" s="147">
        <v>3.6369903478631938</v>
      </c>
      <c r="AX73" s="232"/>
      <c r="AY73" s="31">
        <v>5.8221460354153806E-2</v>
      </c>
      <c r="BA73" s="31">
        <v>7.673566419260329E-2</v>
      </c>
      <c r="BB73" s="31"/>
    </row>
    <row r="74" spans="1:54">
      <c r="A74">
        <f t="shared" si="4"/>
        <v>0.8500000000000002</v>
      </c>
      <c r="B74">
        <f t="shared" si="3"/>
        <v>0.1499999999999998</v>
      </c>
      <c r="C74" s="31">
        <f>PERCENTILE('River loads'!BW$4:BW$84,$A74)</f>
        <v>2.818753715060005</v>
      </c>
      <c r="D74" s="31">
        <f>PERCENTILE('River loads'!BX$4:BX$84,$A74)</f>
        <v>3.3341996116504866</v>
      </c>
      <c r="E74" s="31">
        <f>PERCENTILE('River loads'!BZ$4:BZ$84,$A74)</f>
        <v>3.8091266419729801</v>
      </c>
      <c r="F74" s="31">
        <f>PERCENTILE('River loads'!CA$4:CA$84,$A74)</f>
        <v>4.6424000000000012</v>
      </c>
      <c r="G74" s="31">
        <f>PERCENTILE('River loads'!CC$4:CC$84,$A74)</f>
        <v>0.93427551364413408</v>
      </c>
      <c r="H74" s="31" t="e">
        <f>PERCENTILE('River loads'!CD$4:CD$84,$A74)</f>
        <v>#NUM!</v>
      </c>
      <c r="AW74" s="147">
        <v>2.9285387029604522</v>
      </c>
      <c r="AX74" s="232"/>
      <c r="AY74" s="31">
        <v>2.7129674701393346E-2</v>
      </c>
      <c r="BA74" s="31">
        <v>3.793360373843533E-2</v>
      </c>
      <c r="BB74" s="31"/>
    </row>
    <row r="75" spans="1:54">
      <c r="A75">
        <f t="shared" si="4"/>
        <v>0.90000000000000024</v>
      </c>
      <c r="B75">
        <f t="shared" si="3"/>
        <v>9.9999999999999756E-2</v>
      </c>
      <c r="C75" s="31">
        <f>PERCENTILE('River loads'!BW$4:BW$84,$A75)</f>
        <v>2.9538660241678496</v>
      </c>
      <c r="D75" s="31">
        <f>PERCENTILE('River loads'!BX$4:BX$84,$A75)</f>
        <v>3.7934601980198002</v>
      </c>
      <c r="E75" s="31">
        <f>PERCENTILE('River loads'!BZ$4:BZ$84,$A75)</f>
        <v>3.9917108434700674</v>
      </c>
      <c r="F75" s="31">
        <f>PERCENTILE('River loads'!CA$4:CA$84,$A75)</f>
        <v>4.862000000000001</v>
      </c>
      <c r="G75" s="31">
        <f>PERCENTILE('River loads'!CC$4:CC$84,$A75)</f>
        <v>0.99309213239475624</v>
      </c>
      <c r="H75" s="31" t="e">
        <f>PERCENTILE('River loads'!CD$4:CD$84,$A75)</f>
        <v>#NUM!</v>
      </c>
      <c r="AW75" s="147">
        <v>2.6694364472856238</v>
      </c>
      <c r="AX75" s="232">
        <v>2.2216</v>
      </c>
      <c r="AY75" s="31">
        <v>8.4616989096373468E-2</v>
      </c>
      <c r="AZ75">
        <v>4.5420000000000002E-2</v>
      </c>
      <c r="BA75" s="31">
        <v>0.10309585451499904</v>
      </c>
      <c r="BB75" s="31">
        <v>4.7451369420279825E-2</v>
      </c>
    </row>
    <row r="76" spans="1:54">
      <c r="A76">
        <f t="shared" si="4"/>
        <v>0.95000000000000029</v>
      </c>
      <c r="B76">
        <f t="shared" si="3"/>
        <v>4.9999999999999711E-2</v>
      </c>
      <c r="C76" s="31">
        <f>PERCENTILE('River loads'!BW$4:BW$84,$A76)</f>
        <v>3.2671292679132948</v>
      </c>
      <c r="D76" s="31">
        <f>PERCENTILE('River loads'!BX$4:BX$84,$A76)</f>
        <v>3.8610871287128758</v>
      </c>
      <c r="E76" s="31">
        <f>PERCENTILE('River loads'!BZ$4:BZ$84,$A76)</f>
        <v>4.4150395512341829</v>
      </c>
      <c r="F76" s="31">
        <f>PERCENTILE('River loads'!CA$4:CA$84,$A76)</f>
        <v>5.23</v>
      </c>
      <c r="G76" s="31">
        <f>PERCENTILE('River loads'!CC$4:CC$84,$A76)</f>
        <v>1.1045112323914283</v>
      </c>
      <c r="H76" s="31" t="e">
        <f>PERCENTILE('River loads'!CD$4:CD$84,$A76)</f>
        <v>#NUM!</v>
      </c>
      <c r="AW76" s="147">
        <v>3.6227502684554622</v>
      </c>
      <c r="AX76" s="232">
        <v>3.7444999999999999</v>
      </c>
      <c r="AY76" s="31">
        <v>5.9466675411870881E-2</v>
      </c>
      <c r="AZ76">
        <v>3.1E-2</v>
      </c>
      <c r="BA76" s="31">
        <v>7.7878072556567604E-2</v>
      </c>
      <c r="BB76" s="31">
        <v>3.1575375132457652E-2</v>
      </c>
    </row>
    <row r="77" spans="1:54">
      <c r="A77">
        <v>0.99</v>
      </c>
      <c r="B77">
        <f t="shared" si="3"/>
        <v>1.0000000000000009E-2</v>
      </c>
      <c r="C77" s="31">
        <f>PERCENTILE('River loads'!BW$4:BW$84,$A77)</f>
        <v>3.762087289993707</v>
      </c>
      <c r="D77" s="31">
        <f>PERCENTILE('River loads'!BX$4:BX$84,$A77)</f>
        <v>5.5549827326732659</v>
      </c>
      <c r="E77" s="31">
        <f>PERCENTILE('River loads'!BZ$4:BZ$84,$A77)</f>
        <v>5.0839017432347386</v>
      </c>
      <c r="F77" s="31">
        <f>PERCENTILE('River loads'!CA$4:CA$84,$A77)</f>
        <v>6.4780000000000015</v>
      </c>
      <c r="G77" s="31">
        <f>PERCENTILE('River loads'!CC$4:CC$84,$A77)</f>
        <v>1.2782539608591472</v>
      </c>
      <c r="H77" s="31" t="e">
        <f>PERCENTILE('River loads'!CD$4:CD$84,$A77)</f>
        <v>#NUM!</v>
      </c>
      <c r="AW77" s="147">
        <v>4.2402217504982849</v>
      </c>
      <c r="AX77" s="232">
        <v>3.9439599999999997</v>
      </c>
      <c r="AY77" s="31">
        <v>6.080020720855598E-2</v>
      </c>
      <c r="AZ77">
        <v>5.1519999999999996E-2</v>
      </c>
      <c r="BA77" s="31">
        <v>8.6651702189402768E-2</v>
      </c>
      <c r="BB77" s="31">
        <v>4.8500731510453941E-2</v>
      </c>
    </row>
    <row r="78" spans="1:54">
      <c r="AW78" s="147">
        <v>4.6221018377317318</v>
      </c>
      <c r="AX78" s="232"/>
      <c r="AY78" s="31">
        <v>8.1989488780334754E-2</v>
      </c>
      <c r="BA78" s="31">
        <v>0.15547799755848105</v>
      </c>
      <c r="BB78" s="31"/>
    </row>
    <row r="79" spans="1:54">
      <c r="AW79" s="147">
        <v>4.3946140645084517</v>
      </c>
      <c r="AX79" s="232">
        <v>3.11382</v>
      </c>
      <c r="AY79" s="31">
        <v>0.12968971602719265</v>
      </c>
      <c r="AZ79">
        <v>0.21640000000000001</v>
      </c>
      <c r="BA79" s="31">
        <v>0.17695639878286482</v>
      </c>
      <c r="BB79" s="31">
        <v>0.18114591704384703</v>
      </c>
    </row>
    <row r="80" spans="1:54">
      <c r="AW80" s="147">
        <v>4.4646324110157911</v>
      </c>
      <c r="AX80" s="232"/>
      <c r="AY80" s="31">
        <v>0.10843112180624656</v>
      </c>
      <c r="BA80" s="31">
        <v>0.16884379323885554</v>
      </c>
      <c r="BB80" s="31"/>
    </row>
    <row r="81" spans="1:54">
      <c r="A81" t="s">
        <v>589</v>
      </c>
      <c r="B81" t="s">
        <v>608</v>
      </c>
      <c r="C81" t="s">
        <v>609</v>
      </c>
      <c r="D81" t="s">
        <v>610</v>
      </c>
      <c r="E81" t="s">
        <v>611</v>
      </c>
      <c r="AW81" s="147">
        <v>4.3783908560440077</v>
      </c>
      <c r="AX81" s="232"/>
      <c r="AY81" s="31">
        <v>8.7190268239395505E-2</v>
      </c>
      <c r="BA81" s="31">
        <v>0.13494150139048433</v>
      </c>
      <c r="BB81" s="31"/>
    </row>
    <row r="82" spans="1:54">
      <c r="A82" t="s">
        <v>410</v>
      </c>
      <c r="B82" t="s">
        <v>416</v>
      </c>
      <c r="C82" t="s">
        <v>416</v>
      </c>
      <c r="D82" t="s">
        <v>416</v>
      </c>
      <c r="E82" t="s">
        <v>416</v>
      </c>
      <c r="AW82" s="147">
        <v>3.9571865517552038</v>
      </c>
      <c r="AX82" s="232">
        <v>3.95512</v>
      </c>
      <c r="AY82" s="31">
        <v>9.0845157017490116E-2</v>
      </c>
      <c r="AZ82">
        <v>0.18229999999999999</v>
      </c>
      <c r="BA82" s="31">
        <v>0.13353211033037193</v>
      </c>
      <c r="BB82" s="31">
        <v>0.20064224193587774</v>
      </c>
    </row>
    <row r="83" spans="1:54">
      <c r="A83">
        <v>0</v>
      </c>
      <c r="B83" s="147">
        <f>PERCENTILE('Local emissions'!FD$4:FD$84,$A83)</f>
        <v>0.51784358059297608</v>
      </c>
      <c r="C83" s="147">
        <f>PERCENTILE('Local emissions'!FC$4:FC$84,$A83)</f>
        <v>0.46516129032258063</v>
      </c>
      <c r="D83" s="147">
        <f>B83/14*62</f>
        <v>2.2933072854831797</v>
      </c>
      <c r="E83" s="147">
        <f t="shared" ref="E83:E103" si="5">C83/14*62</f>
        <v>2.06</v>
      </c>
      <c r="AW83" s="147">
        <v>3.9445495973843401</v>
      </c>
      <c r="AX83" s="232"/>
      <c r="AY83" s="31">
        <v>8.6395098110622723E-2</v>
      </c>
      <c r="BA83" s="31">
        <v>0.13104409681873536</v>
      </c>
      <c r="BB83" s="31"/>
    </row>
    <row r="84" spans="1:54">
      <c r="A84">
        <f>A83+0.05</f>
        <v>0.05</v>
      </c>
      <c r="B84" s="147">
        <f>PERCENTILE('Local emissions'!FD$4:FD$84,$A84)</f>
        <v>0.69401499374495856</v>
      </c>
      <c r="C84" s="147">
        <f>PERCENTILE('Local emissions'!FC$4:FC$84,$A84)</f>
        <v>0.69175806451612909</v>
      </c>
      <c r="D84" s="147">
        <f t="shared" ref="D84:D103" si="6">B84/14*62</f>
        <v>3.0734949722991018</v>
      </c>
      <c r="E84" s="147">
        <f t="shared" si="5"/>
        <v>3.0634999999999999</v>
      </c>
      <c r="AW84" s="147">
        <v>0.50903669077593294</v>
      </c>
      <c r="AX84" s="232">
        <v>0.59357800000000016</v>
      </c>
      <c r="AY84" s="31">
        <v>1.6775171326050692E-2</v>
      </c>
      <c r="AZ84">
        <v>1.5170000000000017E-2</v>
      </c>
      <c r="BA84" s="31">
        <v>2.0165463429296236E-2</v>
      </c>
      <c r="BB84" s="31">
        <v>2.8990744807740283E-2</v>
      </c>
    </row>
    <row r="85" spans="1:54">
      <c r="A85">
        <f t="shared" ref="A85:A102" si="7">A84+0.05</f>
        <v>0.1</v>
      </c>
      <c r="B85" s="147">
        <f>PERCENTILE('Local emissions'!FD$4:FD$84,$A85)</f>
        <v>0.7621292874234189</v>
      </c>
      <c r="C85" s="147">
        <f>PERCENTILE('Local emissions'!FC$4:FC$84,$A85)</f>
        <v>0.75720430107526882</v>
      </c>
      <c r="D85" s="147">
        <f t="shared" si="6"/>
        <v>3.3751439871608553</v>
      </c>
      <c r="E85" s="147">
        <f t="shared" si="5"/>
        <v>3.3533333333333331</v>
      </c>
      <c r="AW85" s="147">
        <v>0.71026796214072896</v>
      </c>
      <c r="AX85" s="232">
        <v>0.82965</v>
      </c>
      <c r="AY85" s="31">
        <v>1.6930245590218506E-2</v>
      </c>
      <c r="AZ85">
        <v>1.6860000000000003E-2</v>
      </c>
      <c r="BA85" s="31">
        <v>2.2017561317890951E-2</v>
      </c>
      <c r="BB85" s="31">
        <v>2.2656190471860942E-2</v>
      </c>
    </row>
    <row r="86" spans="1:54">
      <c r="A86">
        <f t="shared" si="7"/>
        <v>0.15000000000000002</v>
      </c>
      <c r="B86" s="147">
        <f>PERCENTILE('Local emissions'!FD$4:FD$84,$A86)</f>
        <v>0.83307381174080697</v>
      </c>
      <c r="C86" s="147">
        <f>PERCENTILE('Local emissions'!FC$4:FC$84,$A86)</f>
        <v>0.8468024193548388</v>
      </c>
      <c r="D86" s="147">
        <f t="shared" si="6"/>
        <v>3.6893268805664308</v>
      </c>
      <c r="E86" s="147">
        <f t="shared" si="5"/>
        <v>3.7501250000000006</v>
      </c>
      <c r="AW86" s="147">
        <v>1.0719301839909647</v>
      </c>
      <c r="AX86" s="232"/>
      <c r="AY86" s="31">
        <v>2.81783915445773E-2</v>
      </c>
      <c r="BA86" s="31">
        <v>3.4826355008475786E-2</v>
      </c>
      <c r="BB86" s="31"/>
    </row>
    <row r="87" spans="1:54">
      <c r="A87">
        <f t="shared" si="7"/>
        <v>0.2</v>
      </c>
      <c r="B87" s="147">
        <f>PERCENTILE('Local emissions'!FD$4:FD$84,$A87)</f>
        <v>0.94312771263549822</v>
      </c>
      <c r="C87" s="147">
        <f>PERCENTILE('Local emissions'!FC$4:FC$84,$A87)</f>
        <v>0.99825806451612908</v>
      </c>
      <c r="D87" s="147">
        <f t="shared" si="6"/>
        <v>4.1767084416714919</v>
      </c>
      <c r="E87" s="147">
        <f t="shared" si="5"/>
        <v>4.4208571428571437</v>
      </c>
      <c r="AW87" s="147">
        <v>1.0308886726970605</v>
      </c>
      <c r="AX87" s="232">
        <v>0.86250000000000004</v>
      </c>
      <c r="AY87" s="31">
        <v>8.4083776620746554E-3</v>
      </c>
      <c r="BA87" s="31">
        <v>1.8795167185508312E-2</v>
      </c>
      <c r="BB87" s="31"/>
    </row>
    <row r="88" spans="1:54">
      <c r="A88">
        <f t="shared" si="7"/>
        <v>0.25</v>
      </c>
      <c r="B88" s="147">
        <f>PERCENTILE('Local emissions'!FD$4:FD$84,$A88)</f>
        <v>1.233269024886148</v>
      </c>
      <c r="C88" s="147">
        <f>PERCENTILE('Local emissions'!FC$4:FC$84,$A88)</f>
        <v>1.0808602150537632</v>
      </c>
      <c r="D88" s="147">
        <f t="shared" si="6"/>
        <v>5.4616199673529406</v>
      </c>
      <c r="E88" s="147">
        <f t="shared" si="5"/>
        <v>4.7866666666666653</v>
      </c>
      <c r="AW88" s="147">
        <v>0.89365905305364779</v>
      </c>
      <c r="AX88" s="232"/>
      <c r="AY88" s="31">
        <v>1.02147194698822E-2</v>
      </c>
      <c r="BA88" s="31">
        <v>8.9956199228114125E-2</v>
      </c>
      <c r="BB88" s="31"/>
    </row>
    <row r="89" spans="1:54">
      <c r="A89">
        <f t="shared" si="7"/>
        <v>0.3</v>
      </c>
      <c r="B89" s="147">
        <f>PERCENTILE('Local emissions'!FD$4:FD$84,$A89)</f>
        <v>1.3512307892960402</v>
      </c>
      <c r="C89" s="147">
        <f>PERCENTILE('Local emissions'!FC$4:FC$84,$A89)</f>
        <v>1.2161935483870967</v>
      </c>
      <c r="D89" s="147">
        <f t="shared" si="6"/>
        <v>5.9840220668824644</v>
      </c>
      <c r="E89" s="147">
        <f t="shared" si="5"/>
        <v>5.3859999999999992</v>
      </c>
      <c r="AW89" s="147">
        <v>0.89285269341427265</v>
      </c>
      <c r="AX89" s="232">
        <v>0.82800000000000007</v>
      </c>
      <c r="AY89" s="31">
        <v>1.3985018495050601E-2</v>
      </c>
      <c r="AZ89">
        <v>1.2999999999999999E-2</v>
      </c>
      <c r="BA89" s="31">
        <v>8.6302357324957557E-2</v>
      </c>
      <c r="BB89" s="31">
        <v>0.23051385989399226</v>
      </c>
    </row>
    <row r="90" spans="1:54">
      <c r="A90">
        <f t="shared" si="7"/>
        <v>0.35</v>
      </c>
      <c r="B90" s="147">
        <f>PERCENTILE('Local emissions'!FD$4:FD$84,$A90)</f>
        <v>1.7709665406427364</v>
      </c>
      <c r="C90" s="147">
        <f>PERCENTILE('Local emissions'!FC$4:FC$84,$A90)</f>
        <v>1.5849354838709677</v>
      </c>
      <c r="D90" s="147">
        <f t="shared" si="6"/>
        <v>7.842851822846403</v>
      </c>
      <c r="E90" s="147">
        <f t="shared" si="5"/>
        <v>7.0190000000000001</v>
      </c>
      <c r="AW90" s="147">
        <v>0.85896974872588638</v>
      </c>
      <c r="AX90" s="232">
        <v>0.90100000000000002</v>
      </c>
      <c r="AY90" s="31">
        <v>1.6161231978317103E-2</v>
      </c>
      <c r="AZ90">
        <v>1.7000000000000001E-2</v>
      </c>
      <c r="BA90" s="31">
        <v>6.2219906611230925E-2</v>
      </c>
      <c r="BB90" s="31">
        <v>0.12486037449605036</v>
      </c>
    </row>
    <row r="91" spans="1:54">
      <c r="A91">
        <f t="shared" si="7"/>
        <v>0.39999999999999997</v>
      </c>
      <c r="B91" s="147">
        <f>PERCENTILE('Local emissions'!FD$4:FD$84,$A91)</f>
        <v>2.1552557719421692</v>
      </c>
      <c r="C91" s="147">
        <f>PERCENTILE('Local emissions'!FC$4:FC$84,$A91)</f>
        <v>1.9450064516129029</v>
      </c>
      <c r="D91" s="147">
        <f t="shared" si="6"/>
        <v>9.5447041328867481</v>
      </c>
      <c r="E91" s="147">
        <f t="shared" si="5"/>
        <v>8.6135999999999981</v>
      </c>
      <c r="AW91" s="147">
        <v>1.5385675392712228</v>
      </c>
      <c r="AX91" s="232"/>
      <c r="AY91" s="31">
        <v>2.9009002881619689E-2</v>
      </c>
      <c r="BA91" s="31">
        <v>5.4146007484020708E-2</v>
      </c>
      <c r="BB91" s="31"/>
    </row>
    <row r="92" spans="1:54">
      <c r="A92">
        <f t="shared" si="7"/>
        <v>0.44999999999999996</v>
      </c>
      <c r="B92" s="147">
        <f>PERCENTILE('Local emissions'!FD$4:FD$84,$A92)</f>
        <v>2.346183782853668</v>
      </c>
      <c r="C92" s="147">
        <f>PERCENTILE('Local emissions'!FC$4:FC$84,$A92)</f>
        <v>2.3165032258064517</v>
      </c>
      <c r="D92" s="147">
        <f t="shared" si="6"/>
        <v>10.390242466923386</v>
      </c>
      <c r="E92" s="147">
        <f t="shared" si="5"/>
        <v>10.258800000000001</v>
      </c>
      <c r="AW92" s="147">
        <v>1.2107458714791497</v>
      </c>
      <c r="AX92" s="232"/>
      <c r="AY92" s="31">
        <v>3.3782667839784265E-2</v>
      </c>
      <c r="BA92" s="31">
        <v>3.3632961193676286E-2</v>
      </c>
      <c r="BB92" s="31"/>
    </row>
    <row r="93" spans="1:54">
      <c r="A93">
        <f t="shared" si="7"/>
        <v>0.49999999999999994</v>
      </c>
      <c r="B93" s="147">
        <f>PERCENTILE('Local emissions'!FD$4:FD$84,$A93)</f>
        <v>2.4694926783232454</v>
      </c>
      <c r="C93" s="147">
        <f>PERCENTILE('Local emissions'!FC$4:FC$84,$A93)</f>
        <v>2.6143870967741933</v>
      </c>
      <c r="D93" s="147">
        <f t="shared" si="6"/>
        <v>10.936324718288658</v>
      </c>
      <c r="E93" s="147">
        <f t="shared" si="5"/>
        <v>11.577999999999998</v>
      </c>
      <c r="AW93" s="147">
        <v>2.653961627235923</v>
      </c>
      <c r="AX93" s="232">
        <v>3.1121399999999997</v>
      </c>
      <c r="AY93" s="31">
        <v>8.0264579440279746E-2</v>
      </c>
      <c r="AZ93">
        <v>9.1199999999999989E-2</v>
      </c>
      <c r="BA93" s="31">
        <v>8.37654631926254E-2</v>
      </c>
      <c r="BB93" s="31">
        <v>4.9453848190871681E-2</v>
      </c>
    </row>
    <row r="94" spans="1:54">
      <c r="A94">
        <f t="shared" si="7"/>
        <v>0.54999999999999993</v>
      </c>
      <c r="B94" s="147">
        <f>PERCENTILE('Local emissions'!FD$4:FD$84,$A94)</f>
        <v>2.8045205837067799</v>
      </c>
      <c r="C94" s="147">
        <f>PERCENTILE('Local emissions'!FC$4:FC$84,$A94)</f>
        <v>2.967458064516129</v>
      </c>
      <c r="D94" s="147">
        <f t="shared" si="6"/>
        <v>12.420019727844311</v>
      </c>
      <c r="E94" s="147">
        <f t="shared" si="5"/>
        <v>13.1416</v>
      </c>
      <c r="AW94" s="147">
        <v>1.8427192092682705</v>
      </c>
      <c r="AX94" s="232"/>
      <c r="AY94" s="31">
        <v>7.8485573782714396E-2</v>
      </c>
      <c r="BA94" s="31">
        <v>7.7344092142658902E-2</v>
      </c>
      <c r="BB94" s="31"/>
    </row>
    <row r="95" spans="1:54">
      <c r="A95">
        <f t="shared" si="7"/>
        <v>0.6</v>
      </c>
      <c r="B95" s="147">
        <f>PERCENTILE('Local emissions'!FD$4:FD$84,$A95)</f>
        <v>2.9697285966909313</v>
      </c>
      <c r="C95" s="147">
        <f>PERCENTILE('Local emissions'!FC$4:FC$84,$A95)</f>
        <v>3.1309720430107526</v>
      </c>
      <c r="D95" s="147">
        <f t="shared" si="6"/>
        <v>13.15165521391698</v>
      </c>
      <c r="E95" s="147">
        <f t="shared" si="5"/>
        <v>13.865733333333333</v>
      </c>
      <c r="AW95" s="147">
        <v>1.8669628702645065</v>
      </c>
      <c r="AX95" s="232"/>
      <c r="AY95" s="31">
        <v>6.8713289156241475E-2</v>
      </c>
      <c r="BA95" s="31">
        <v>7.1763658207918413E-2</v>
      </c>
      <c r="BB95" s="31"/>
    </row>
    <row r="96" spans="1:54">
      <c r="A96">
        <f t="shared" si="7"/>
        <v>0.65</v>
      </c>
      <c r="B96" s="147">
        <f>PERCENTILE('Local emissions'!FD$4:FD$84,$A96)</f>
        <v>3.046228943081049</v>
      </c>
      <c r="C96" s="147">
        <f>PERCENTILE('Local emissions'!FC$4:FC$84,$A96)</f>
        <v>3.3521720430107522</v>
      </c>
      <c r="D96" s="147">
        <f t="shared" si="6"/>
        <v>13.490442462216075</v>
      </c>
      <c r="E96" s="147">
        <f t="shared" si="5"/>
        <v>14.845333333333331</v>
      </c>
      <c r="AW96" s="147">
        <v>1.5986073007434469</v>
      </c>
      <c r="AX96" s="232"/>
      <c r="AY96" s="31">
        <v>6.2098624527232346E-2</v>
      </c>
      <c r="BA96" s="31">
        <v>6.2678894838325755E-2</v>
      </c>
      <c r="BB96" s="31"/>
    </row>
    <row r="97" spans="1:54">
      <c r="A97">
        <f t="shared" si="7"/>
        <v>0.70000000000000007</v>
      </c>
      <c r="B97" s="147">
        <f>PERCENTILE('Local emissions'!FD$4:FD$84,$A97)</f>
        <v>3.3974438222929466</v>
      </c>
      <c r="C97" s="147">
        <f>PERCENTILE('Local emissions'!FC$4:FC$84,$A97)</f>
        <v>3.8392000000000013</v>
      </c>
      <c r="D97" s="147">
        <f t="shared" si="6"/>
        <v>15.045822641583049</v>
      </c>
      <c r="E97" s="147">
        <f t="shared" si="5"/>
        <v>17.002171428571437</v>
      </c>
      <c r="AW97" s="147">
        <v>4.4673544569686543</v>
      </c>
      <c r="AX97" s="232"/>
      <c r="AY97" s="31">
        <v>9.0894658340061996E-2</v>
      </c>
      <c r="BA97" s="31">
        <v>0.13211870073122747</v>
      </c>
      <c r="BB97" s="31"/>
    </row>
    <row r="98" spans="1:54">
      <c r="A98">
        <f t="shared" si="7"/>
        <v>0.75000000000000011</v>
      </c>
      <c r="B98" s="147">
        <f>PERCENTILE('Local emissions'!FD$4:FD$84,$A98)</f>
        <v>3.8293669041187428</v>
      </c>
      <c r="C98" s="147">
        <f>PERCENTILE('Local emissions'!FC$4:FC$84,$A98)</f>
        <v>4.3022770398482013</v>
      </c>
      <c r="D98" s="147">
        <f t="shared" si="6"/>
        <v>16.958624861097292</v>
      </c>
      <c r="E98" s="147">
        <f t="shared" si="5"/>
        <v>19.052941176470604</v>
      </c>
      <c r="AW98" s="147">
        <v>4.2904345788142697</v>
      </c>
      <c r="AX98" s="232"/>
      <c r="AY98" s="31">
        <v>8.8876376172796354E-2</v>
      </c>
      <c r="BA98" s="31">
        <v>0.12707205241960828</v>
      </c>
      <c r="BB98" s="31"/>
    </row>
    <row r="99" spans="1:54">
      <c r="A99">
        <f t="shared" si="7"/>
        <v>0.80000000000000016</v>
      </c>
      <c r="B99" s="147">
        <f>PERCENTILE('Local emissions'!FD$4:FD$84,$A99)</f>
        <v>4.0237420064799698</v>
      </c>
      <c r="C99" s="147">
        <f>PERCENTILE('Local emissions'!FC$4:FC$84,$A99)</f>
        <v>5.0193763440860222</v>
      </c>
      <c r="D99" s="147">
        <f t="shared" si="6"/>
        <v>17.819428885839869</v>
      </c>
      <c r="E99" s="147">
        <f t="shared" si="5"/>
        <v>22.228666666666673</v>
      </c>
      <c r="AW99" s="147">
        <v>4.5965126887758645</v>
      </c>
      <c r="AX99" s="232"/>
      <c r="AY99" s="31">
        <v>0.11318063484921369</v>
      </c>
      <c r="BA99" s="31">
        <v>0.17415379473518361</v>
      </c>
      <c r="BB99" s="31"/>
    </row>
    <row r="100" spans="1:54">
      <c r="A100">
        <f t="shared" si="7"/>
        <v>0.8500000000000002</v>
      </c>
      <c r="B100" s="147">
        <f>PERCENTILE('Local emissions'!FD$4:FD$84,$A100)</f>
        <v>4.1696306497964759</v>
      </c>
      <c r="C100" s="147">
        <f>PERCENTILE('Local emissions'!FC$4:FC$84,$A100)</f>
        <v>5.7052258064516135</v>
      </c>
      <c r="D100" s="147">
        <f t="shared" si="6"/>
        <v>18.465507163384395</v>
      </c>
      <c r="E100" s="147">
        <f t="shared" si="5"/>
        <v>25.266000000000002</v>
      </c>
      <c r="AW100" s="147">
        <v>4.244820428126042</v>
      </c>
      <c r="AX100" s="232"/>
      <c r="AY100" s="31">
        <v>9.8042120494561472E-2</v>
      </c>
      <c r="BA100" s="31">
        <v>0.16685347936053901</v>
      </c>
      <c r="BB100" s="31"/>
    </row>
    <row r="101" spans="1:54">
      <c r="A101">
        <f t="shared" si="7"/>
        <v>0.90000000000000024</v>
      </c>
      <c r="B101" s="147">
        <f>PERCENTILE('Local emissions'!FD$4:FD$84,$A101)</f>
        <v>4.4723871813240379</v>
      </c>
      <c r="C101" s="147">
        <f>PERCENTILE('Local emissions'!FC$4:FC$84,$A101)</f>
        <v>6.4398996415770648</v>
      </c>
      <c r="D101" s="147">
        <f t="shared" si="6"/>
        <v>19.806286088720739</v>
      </c>
      <c r="E101" s="147">
        <f t="shared" si="5"/>
        <v>28.51955555555557</v>
      </c>
      <c r="AW101" s="147">
        <v>2.9102410813101622</v>
      </c>
      <c r="AX101" s="232"/>
      <c r="AY101" s="31">
        <v>6.8267976019511997E-2</v>
      </c>
      <c r="BA101" s="31">
        <v>8.7663811491622057E-2</v>
      </c>
      <c r="BB101" s="31"/>
    </row>
    <row r="102" spans="1:54">
      <c r="A102">
        <f t="shared" si="7"/>
        <v>0.95000000000000029</v>
      </c>
      <c r="B102" s="147">
        <f>PERCENTILE('Local emissions'!FD$4:FD$84,$A102)</f>
        <v>4.968443183846361</v>
      </c>
      <c r="C102" s="147">
        <f>PERCENTILE('Local emissions'!FC$4:FC$84,$A102)</f>
        <v>7.3181450412230955</v>
      </c>
      <c r="D102" s="147">
        <f t="shared" si="6"/>
        <v>22.003105528462456</v>
      </c>
      <c r="E102" s="147">
        <f t="shared" si="5"/>
        <v>32.408928039702282</v>
      </c>
      <c r="AW102" s="147">
        <v>2.7427209635099867</v>
      </c>
      <c r="AX102" s="232">
        <v>2.9696000000000002</v>
      </c>
      <c r="AY102" s="31">
        <v>7.1780968495777503E-2</v>
      </c>
      <c r="AZ102">
        <v>6.8479999999999999E-2</v>
      </c>
      <c r="BA102" s="31">
        <v>8.0884564097812028E-2</v>
      </c>
      <c r="BB102" s="31">
        <v>4.4359191635967972E-2</v>
      </c>
    </row>
    <row r="103" spans="1:54">
      <c r="A103">
        <v>0.99</v>
      </c>
      <c r="B103" s="147">
        <f>PERCENTILE('Local emissions'!FD$4:FD$84,$A103)</f>
        <v>6.7231199051040962</v>
      </c>
      <c r="C103" s="147">
        <f>PERCENTILE('Local emissions'!FC$4:FC$84,$A103)</f>
        <v>9.1852538899430733</v>
      </c>
      <c r="D103" s="147">
        <f t="shared" si="6"/>
        <v>29.773816722603854</v>
      </c>
      <c r="E103" s="147">
        <f t="shared" si="5"/>
        <v>40.677552941176465</v>
      </c>
      <c r="AW103" s="147">
        <v>2.9402521409427043</v>
      </c>
      <c r="AX103" s="232"/>
      <c r="AY103" s="31">
        <v>0.11023160550741169</v>
      </c>
      <c r="BA103" s="31">
        <v>0.1325527914001273</v>
      </c>
      <c r="BB103" s="31"/>
    </row>
    <row r="104" spans="1:54">
      <c r="AW104" s="147">
        <v>0.83844494170313233</v>
      </c>
      <c r="AX104" s="232"/>
      <c r="AY104" s="31">
        <v>4.1837431280154049E-3</v>
      </c>
      <c r="BA104" s="31">
        <v>2.1486089635637293E-2</v>
      </c>
      <c r="BB104" s="31"/>
    </row>
    <row r="105" spans="1:54">
      <c r="AW105" s="147">
        <v>0.76778846277544066</v>
      </c>
      <c r="AX105" s="232"/>
      <c r="AY105" s="31">
        <v>1.3945393221806322E-2</v>
      </c>
      <c r="BA105" s="31">
        <v>1.6149573615435356E-2</v>
      </c>
      <c r="BB105" s="31"/>
    </row>
    <row r="106" spans="1:54">
      <c r="AW106" s="147">
        <v>1.7967879626649754</v>
      </c>
      <c r="AX106" s="232"/>
      <c r="AY106" s="31">
        <v>3.0654703225721058E-2</v>
      </c>
      <c r="BA106" s="31">
        <v>3.5959928877690422E-2</v>
      </c>
      <c r="BB106" s="31"/>
    </row>
    <row r="107" spans="1:54">
      <c r="AW107" s="147">
        <v>3.4339850098699154</v>
      </c>
      <c r="AX107" s="232"/>
      <c r="AY107" s="31">
        <v>3.3466851952555429E-2</v>
      </c>
      <c r="BA107" s="31">
        <v>4.6294520842304315E-2</v>
      </c>
      <c r="BB107" s="31"/>
    </row>
    <row r="108" spans="1:54">
      <c r="AW108" s="147">
        <v>3.1070537940406133</v>
      </c>
      <c r="AX108" s="232"/>
      <c r="AY108" s="31">
        <v>2.4838607826328133E-2</v>
      </c>
      <c r="BA108" s="31">
        <v>2.9771721213294713E-2</v>
      </c>
      <c r="BB108" s="31"/>
    </row>
    <row r="109" spans="1:54">
      <c r="AW109" s="147">
        <v>3.3484122545441064</v>
      </c>
      <c r="AX109" s="232">
        <v>2.5868099999999998</v>
      </c>
      <c r="AY109" s="31">
        <v>3.7042757451724216E-2</v>
      </c>
      <c r="AZ109">
        <v>3.1300000000000001E-2</v>
      </c>
      <c r="BA109" s="31">
        <v>4.54499047689019E-2</v>
      </c>
      <c r="BB109" s="31">
        <v>3.8941754854573359E-2</v>
      </c>
    </row>
    <row r="110" spans="1:54">
      <c r="AW110" s="147">
        <v>0.9447865284301239</v>
      </c>
      <c r="AX110" s="232">
        <v>1.4794499999999999</v>
      </c>
      <c r="AY110" s="31">
        <v>2.437216134568863E-2</v>
      </c>
      <c r="BA110" s="31">
        <v>2.8583868395009041E-2</v>
      </c>
      <c r="BB110" s="31"/>
    </row>
    <row r="111" spans="1:54">
      <c r="AW111" s="147">
        <v>2.182430694430177</v>
      </c>
      <c r="AX111" s="232">
        <v>1.9368999999999998</v>
      </c>
      <c r="AY111" s="31">
        <v>3.3449760214504902E-2</v>
      </c>
      <c r="AZ111">
        <v>2.4E-2</v>
      </c>
      <c r="BA111" s="31">
        <v>4.0948084351380115E-2</v>
      </c>
      <c r="BB111" s="31">
        <v>3.0416338851169924E-2</v>
      </c>
    </row>
    <row r="112" spans="1:54">
      <c r="AW112" s="147">
        <v>0.78570059182358698</v>
      </c>
      <c r="AX112" s="232"/>
      <c r="AY112" s="31">
        <v>2.3192510442458427E-3</v>
      </c>
      <c r="BA112" s="31">
        <v>4.9673251614904233E-3</v>
      </c>
      <c r="BB112" s="31"/>
    </row>
    <row r="113" spans="49:54">
      <c r="AW113" s="147">
        <v>1.5496309649776525</v>
      </c>
      <c r="AX113" s="232"/>
      <c r="AY113" s="31">
        <v>1.2654094996777792E-2</v>
      </c>
      <c r="BA113" s="31">
        <v>1.9276264607890524E-2</v>
      </c>
      <c r="BB113" s="31"/>
    </row>
    <row r="114" spans="49:54">
      <c r="AW114" s="147">
        <v>4.3487291057765045</v>
      </c>
      <c r="AX114" s="232"/>
      <c r="AY114" s="31">
        <v>7.4274103619576384E-2</v>
      </c>
      <c r="BA114" s="31">
        <v>0.12295678965394935</v>
      </c>
      <c r="BB114" s="31"/>
    </row>
    <row r="115" spans="49:54">
      <c r="AW115" s="147">
        <v>4.5096096456090207</v>
      </c>
      <c r="AX115" s="232">
        <v>5.5815999999999999</v>
      </c>
      <c r="AY115" s="31">
        <v>0.10487069753948029</v>
      </c>
      <c r="BA115" s="31">
        <v>0.17673101851765724</v>
      </c>
      <c r="BB115" s="31"/>
    </row>
    <row r="116" spans="49:54">
      <c r="AW116" s="147">
        <v>2.6809794038123895</v>
      </c>
      <c r="AX116" s="232"/>
      <c r="AY116" s="31">
        <v>9.646226363080021E-2</v>
      </c>
      <c r="BA116" s="31">
        <v>0.16937712094774859</v>
      </c>
      <c r="BB116" s="31"/>
    </row>
    <row r="117" spans="49:54">
      <c r="AW117" s="147">
        <v>4.2320377913933394</v>
      </c>
      <c r="AX117" s="232"/>
      <c r="AY117" s="31">
        <v>8.5996829318701659E-2</v>
      </c>
      <c r="BA117" s="31">
        <v>0.14952064391412093</v>
      </c>
      <c r="BB117" s="31"/>
    </row>
    <row r="118" spans="49:54">
      <c r="AW118" s="147">
        <v>7.0179985998562033</v>
      </c>
      <c r="AX118" s="232"/>
      <c r="AY118" s="31">
        <v>9.8122681499080155E-2</v>
      </c>
      <c r="BA118" s="31">
        <v>0.12552585598679925</v>
      </c>
      <c r="BB118" s="31"/>
    </row>
    <row r="119" spans="49:54">
      <c r="AW119" s="147">
        <v>6.9134821368342836</v>
      </c>
      <c r="AX119" s="232"/>
      <c r="AY119" s="31">
        <v>0.12578587595116333</v>
      </c>
      <c r="BA119" s="31">
        <v>0.15784495571325741</v>
      </c>
      <c r="BB119" s="31"/>
    </row>
    <row r="120" spans="49:54">
      <c r="AW120" s="147">
        <v>5.6112509677626132</v>
      </c>
      <c r="AX120" s="232"/>
      <c r="AY120" s="31">
        <v>0.11962901057313191</v>
      </c>
      <c r="BA120" s="31">
        <v>0.16459391166113124</v>
      </c>
      <c r="BB120" s="31"/>
    </row>
    <row r="121" spans="49:54">
      <c r="AW121" s="147">
        <v>0.61423793071251975</v>
      </c>
      <c r="AX121" s="232"/>
      <c r="AY121" s="31">
        <v>1.4702740909218486E-2</v>
      </c>
      <c r="BA121" s="31">
        <v>1.8514497079888864E-2</v>
      </c>
      <c r="BB121" s="31"/>
    </row>
    <row r="122" spans="49:54">
      <c r="AW122" s="147">
        <v>0.56775077477331659</v>
      </c>
      <c r="AX122" s="232"/>
      <c r="AY122" s="31">
        <v>1.2180843032352099E-2</v>
      </c>
      <c r="BA122" s="31">
        <v>1.5453801398611302E-2</v>
      </c>
      <c r="BB122" s="31"/>
    </row>
    <row r="123" spans="49:54">
      <c r="AW123" s="147">
        <v>0.53656429425433283</v>
      </c>
      <c r="AX123" s="232"/>
      <c r="AY123" s="31">
        <v>1.0905674058825445E-2</v>
      </c>
      <c r="BA123" s="31">
        <v>1.3248300188200416E-2</v>
      </c>
      <c r="BB123" s="31"/>
    </row>
    <row r="124" spans="49:54">
      <c r="AW124" s="147">
        <v>1.3247151952073495</v>
      </c>
      <c r="AX124" s="232"/>
      <c r="AY124" s="31">
        <v>1.7699357657587681E-2</v>
      </c>
      <c r="BA124" s="31">
        <v>1.999023993035157E-2</v>
      </c>
      <c r="BB124" s="31"/>
    </row>
    <row r="125" spans="49:54">
      <c r="AW125" s="147">
        <v>1.5334073543815989</v>
      </c>
      <c r="AX125" s="232">
        <v>0.90382499999999988</v>
      </c>
      <c r="AY125" s="31">
        <v>1.8303870646690243E-2</v>
      </c>
      <c r="AZ125">
        <v>1.1899999999999999E-2</v>
      </c>
      <c r="BA125" s="31">
        <v>2.3253958271060186E-2</v>
      </c>
      <c r="BB125" s="31">
        <v>1.177475753319266E-2</v>
      </c>
    </row>
    <row r="126" spans="49:54">
      <c r="AW126" s="147">
        <v>0.73367093008959217</v>
      </c>
      <c r="AX126" s="232"/>
      <c r="AY126" s="31">
        <v>1.3074494091585669E-2</v>
      </c>
      <c r="BA126" s="31">
        <v>1.5261172321373823E-2</v>
      </c>
      <c r="BB126" s="31"/>
    </row>
    <row r="127" spans="49:54">
      <c r="AW127" s="147">
        <v>0.76174645930944218</v>
      </c>
      <c r="AX127" s="232"/>
      <c r="AY127" s="31">
        <v>9.1062608842607147E-3</v>
      </c>
      <c r="BA127" s="31">
        <v>1.2958648064071272E-2</v>
      </c>
      <c r="BB127" s="31"/>
    </row>
    <row r="128" spans="49:54">
      <c r="AW128" s="147">
        <v>1.0170760117749151</v>
      </c>
      <c r="AX128" s="232">
        <v>1.1586000000000001</v>
      </c>
      <c r="AY128" s="31">
        <v>2.4865891492703202E-2</v>
      </c>
      <c r="AZ128">
        <v>2.0199999999999999E-2</v>
      </c>
      <c r="BA128" s="31">
        <v>3.0194774732396141E-2</v>
      </c>
      <c r="BB128" s="31">
        <v>2.8054088845677849E-2</v>
      </c>
    </row>
    <row r="129" spans="49:54">
      <c r="AW129" s="147">
        <v>0.99311075239172675</v>
      </c>
      <c r="AX129" s="232"/>
      <c r="AY129" s="31">
        <v>8.9012758126906597E-3</v>
      </c>
      <c r="BA129" s="31">
        <v>1.3432462144521653E-2</v>
      </c>
      <c r="BB129" s="31"/>
    </row>
    <row r="130" spans="49:54">
      <c r="AW130" s="147">
        <v>1.179996396725115</v>
      </c>
      <c r="AX130" s="232"/>
      <c r="AY130" s="31">
        <v>7.8998010970027215E-3</v>
      </c>
      <c r="BA130" s="31">
        <v>1.2250718987158734E-2</v>
      </c>
      <c r="BB130" s="31"/>
    </row>
    <row r="131" spans="49:54">
      <c r="AW131" s="147">
        <v>1.0024033813942266</v>
      </c>
      <c r="AX131" s="232"/>
      <c r="AY131" s="31">
        <v>1.5425596531898366E-3</v>
      </c>
      <c r="BA131" s="31">
        <v>4.810455281832199E-3</v>
      </c>
      <c r="BB131" s="31"/>
    </row>
    <row r="132" spans="49:54">
      <c r="AW132" s="147">
        <v>1.1518913936592305</v>
      </c>
      <c r="AX132" s="232"/>
      <c r="AY132" s="31">
        <v>3.9167032309019422E-3</v>
      </c>
      <c r="BA132" s="31">
        <v>7.5956635949968893E-3</v>
      </c>
      <c r="BB132" s="31"/>
    </row>
    <row r="133" spans="49:54">
      <c r="AW133" s="147">
        <v>1.1642455368500058</v>
      </c>
      <c r="AX133" s="232"/>
      <c r="AY133" s="31">
        <v>4.2367398878431738E-3</v>
      </c>
      <c r="BA133" s="31">
        <v>8.1366235173371913E-3</v>
      </c>
      <c r="BB133" s="31"/>
    </row>
    <row r="134" spans="49:54">
      <c r="AW134" s="147">
        <v>1.1030689995129115</v>
      </c>
      <c r="AX134" s="232"/>
      <c r="AY134" s="31">
        <v>2.2184074274074592E-3</v>
      </c>
      <c r="BA134" s="31">
        <v>6.1082377787557976E-3</v>
      </c>
      <c r="BB134" s="31"/>
    </row>
    <row r="135" spans="49:54">
      <c r="AW135" s="147">
        <v>1.1891831033743392</v>
      </c>
      <c r="AX135" s="232"/>
      <c r="AY135" s="31">
        <v>1.9211698864744914E-2</v>
      </c>
      <c r="BA135" s="31">
        <v>2.2115075380240531E-2</v>
      </c>
      <c r="BB135" s="31"/>
    </row>
    <row r="136" spans="49:54">
      <c r="AW136" s="147">
        <v>1.2556243908032205</v>
      </c>
      <c r="AX136" s="232"/>
      <c r="AY136" s="31">
        <v>4.945942972844476E-3</v>
      </c>
      <c r="BA136" s="31">
        <v>1.0848426589263783E-2</v>
      </c>
      <c r="BB136" s="31"/>
    </row>
    <row r="137" spans="49:54">
      <c r="AW137" s="147">
        <v>0.74076624349297693</v>
      </c>
      <c r="AX137" s="232">
        <v>0.70977999999999997</v>
      </c>
      <c r="AY137" s="31">
        <v>3.1665982407117635E-3</v>
      </c>
      <c r="AZ137">
        <v>3.7499999999999999E-3</v>
      </c>
      <c r="BA137" s="31">
        <v>6.2847335023129463E-3</v>
      </c>
      <c r="BB137" s="31">
        <v>1.1816240631860986E-2</v>
      </c>
    </row>
    <row r="138" spans="49:54">
      <c r="AW138" s="147">
        <v>1.2561733957376879</v>
      </c>
      <c r="AX138" s="232">
        <v>1.2734000000000001</v>
      </c>
      <c r="AY138" s="31">
        <v>1.2059254395500445E-2</v>
      </c>
      <c r="AZ138">
        <v>7.0000000000000001E-3</v>
      </c>
      <c r="BA138" s="31">
        <v>1.6053635476111026E-2</v>
      </c>
      <c r="BB138" s="31">
        <v>1.7784827693908999E-2</v>
      </c>
    </row>
    <row r="139" spans="49:54">
      <c r="AW139" s="147">
        <v>4.2304637782651211</v>
      </c>
      <c r="AX139" s="232"/>
      <c r="AY139" s="31">
        <v>7.7655634193393844E-2</v>
      </c>
      <c r="BA139" s="31">
        <v>8.6640031540897028E-2</v>
      </c>
      <c r="BB139" s="31"/>
    </row>
    <row r="140" spans="49:54">
      <c r="AW140" s="147">
        <v>4.409596543759549</v>
      </c>
      <c r="AX140" s="232"/>
      <c r="AY140" s="31">
        <v>9.3960463135911887E-2</v>
      </c>
      <c r="BA140" s="31">
        <v>0.10548888701924648</v>
      </c>
      <c r="BB140" s="31"/>
    </row>
    <row r="141" spans="49:54">
      <c r="AW141" s="147">
        <v>2.310957634755975</v>
      </c>
      <c r="AX141" s="232"/>
      <c r="AY141" s="31">
        <v>4.1912476896625424E-2</v>
      </c>
      <c r="BA141" s="31">
        <v>4.7103885550783708E-2</v>
      </c>
      <c r="BB141" s="31"/>
    </row>
    <row r="142" spans="49:54">
      <c r="AW142" s="147">
        <v>3.2755192295248143</v>
      </c>
      <c r="AX142" s="232"/>
      <c r="AY142" s="31">
        <v>6.7611621844378703E-2</v>
      </c>
      <c r="BA142" s="31">
        <v>7.8517370900237277E-2</v>
      </c>
      <c r="BB142" s="31"/>
    </row>
    <row r="143" spans="49:54">
      <c r="AW143" s="147">
        <v>4.0582042139394972</v>
      </c>
      <c r="AX143" s="232"/>
      <c r="AY143" s="31">
        <v>9.0969670676282657E-2</v>
      </c>
      <c r="BA143" s="31">
        <v>0.17623245075560026</v>
      </c>
      <c r="BB143" s="31"/>
    </row>
    <row r="144" spans="49:54">
      <c r="AW144" s="147">
        <v>3.573503408877579</v>
      </c>
      <c r="AX144" s="232"/>
      <c r="AY144" s="31">
        <v>5.3831970782301751E-2</v>
      </c>
      <c r="BA144" s="31">
        <v>7.6718022702781954E-2</v>
      </c>
      <c r="BB144" s="31"/>
    </row>
    <row r="145" spans="49:54">
      <c r="AW145" s="147">
        <v>1.8719503545317546</v>
      </c>
      <c r="AX145" s="232"/>
      <c r="AY145" s="31">
        <v>3.9593348884819281E-2</v>
      </c>
      <c r="BA145" s="31">
        <v>4.3541524515691751E-2</v>
      </c>
      <c r="BB145" s="31"/>
    </row>
    <row r="146" spans="49:54">
      <c r="AW146" s="147">
        <v>2.9725917361042415</v>
      </c>
      <c r="AX146" s="232"/>
      <c r="AY146" s="31">
        <v>5.7279258764202708E-2</v>
      </c>
      <c r="BA146" s="31">
        <v>7.2171025696777025E-2</v>
      </c>
      <c r="BB146" s="31"/>
    </row>
    <row r="147" spans="49:54">
      <c r="AW147" s="147">
        <v>1.6514567431656439</v>
      </c>
      <c r="AX147" s="232">
        <v>2.6019999999999999</v>
      </c>
      <c r="AY147" s="31">
        <v>3.3193211247923377E-2</v>
      </c>
      <c r="AZ147">
        <v>5.7300000000000004E-2</v>
      </c>
      <c r="BA147" s="31">
        <v>4.0647915545562761E-2</v>
      </c>
      <c r="BB147" s="31">
        <v>4.087906911623565E-2</v>
      </c>
    </row>
    <row r="148" spans="49:54">
      <c r="AW148" s="147">
        <v>1.7314621011766</v>
      </c>
      <c r="AX148" s="232"/>
      <c r="AY148" s="31">
        <v>1.0479904373337319E-2</v>
      </c>
      <c r="BA148" s="31">
        <v>2.0665680591081821E-2</v>
      </c>
      <c r="BB148" s="31"/>
    </row>
    <row r="149" spans="49:54">
      <c r="AW149" s="147">
        <v>3.8102034792284174</v>
      </c>
      <c r="AX149" s="232"/>
      <c r="AY149" s="31">
        <v>6.5815017292653807E-2</v>
      </c>
      <c r="BA149" s="31">
        <v>0.10728474914076819</v>
      </c>
      <c r="BB149" s="31">
        <v>0.14524899148543877</v>
      </c>
    </row>
    <row r="150" spans="49:54">
      <c r="AW150" s="147">
        <v>1.2920822300470149</v>
      </c>
      <c r="AX150" s="232">
        <v>1.1672500000000001</v>
      </c>
      <c r="AY150" s="31">
        <v>6.4701201589337258E-3</v>
      </c>
      <c r="AZ150">
        <v>3.7499999999999999E-3</v>
      </c>
      <c r="BA150" s="31">
        <v>1.2088994344701322E-2</v>
      </c>
      <c r="BB150" s="31">
        <v>7.7752819916076851E-3</v>
      </c>
    </row>
    <row r="151" spans="49:54">
      <c r="AW151" s="147">
        <v>1.8950230933136616</v>
      </c>
      <c r="AX151" s="232"/>
      <c r="AY151" s="31">
        <v>2.5628230496869731E-2</v>
      </c>
      <c r="BA151" s="31">
        <v>3.931711292719188E-2</v>
      </c>
      <c r="BB151" s="31"/>
    </row>
    <row r="152" spans="49:54">
      <c r="AW152" s="147">
        <v>2.0145090126012661</v>
      </c>
      <c r="AX152" s="232"/>
      <c r="AY152" s="31">
        <v>2.8149001846810382E-2</v>
      </c>
      <c r="BA152" s="31">
        <v>4.2947601191918254E-2</v>
      </c>
      <c r="BB152" s="31"/>
    </row>
    <row r="153" spans="49:54">
      <c r="AW153" s="147">
        <v>2.592536090610547</v>
      </c>
      <c r="AX153" s="232"/>
      <c r="AY153" s="31">
        <v>3.266221360650301E-2</v>
      </c>
      <c r="BA153" s="31">
        <v>4.5281320537184949E-2</v>
      </c>
      <c r="BB153" s="31"/>
    </row>
    <row r="154" spans="49:54">
      <c r="AW154" s="147">
        <v>1.104965488688455</v>
      </c>
      <c r="AX154" s="232">
        <v>1.2202999999999999</v>
      </c>
      <c r="AY154" s="31">
        <v>3.8396507395680015E-3</v>
      </c>
      <c r="AZ154">
        <v>3.7499999999999999E-3</v>
      </c>
      <c r="BA154" s="31">
        <v>7.539979039164966E-3</v>
      </c>
      <c r="BB154" s="31">
        <v>9.5307900905729562E-3</v>
      </c>
    </row>
    <row r="155" spans="49:54">
      <c r="AW155" s="147">
        <v>1.8518943189835702</v>
      </c>
      <c r="AX155" s="232"/>
      <c r="AY155" s="31">
        <v>2.1132505138433875E-2</v>
      </c>
      <c r="BA155" s="31">
        <v>3.1809333681841717E-2</v>
      </c>
      <c r="BB155" s="31"/>
    </row>
    <row r="156" spans="49:54">
      <c r="AW156" s="147">
        <v>2.7576595699049351</v>
      </c>
      <c r="AX156" s="232"/>
      <c r="AY156" s="31">
        <v>5.4603723924312508E-2</v>
      </c>
      <c r="BA156" s="31">
        <v>6.833078659737872E-2</v>
      </c>
      <c r="BB156" s="31"/>
    </row>
    <row r="157" spans="49:54">
      <c r="AW157" s="147">
        <v>2.9702408005560703</v>
      </c>
      <c r="AX157" s="232"/>
      <c r="AY157" s="31">
        <v>7.142002965005767E-2</v>
      </c>
      <c r="BA157" s="31">
        <v>0.12695701988950264</v>
      </c>
      <c r="BB157" s="31"/>
    </row>
    <row r="158" spans="49:54">
      <c r="AW158" s="147">
        <v>2.9727517848684397</v>
      </c>
      <c r="AX158" s="232"/>
      <c r="AY158" s="31">
        <v>8.0693278255465531E-2</v>
      </c>
      <c r="BA158" s="31">
        <v>0.14565441874515125</v>
      </c>
      <c r="BB158" s="31"/>
    </row>
    <row r="159" spans="49:54">
      <c r="AW159" s="147">
        <v>1.9315638131775497</v>
      </c>
      <c r="AX159" s="232">
        <v>1.7196739999999999</v>
      </c>
      <c r="AY159" s="31">
        <v>1.2530402860344448E-2</v>
      </c>
      <c r="AZ159">
        <v>1.4380000000000004E-2</v>
      </c>
      <c r="BA159" s="31">
        <v>1.8177902708592462E-2</v>
      </c>
      <c r="BB159" s="31">
        <v>3.3042985471777801E-2</v>
      </c>
    </row>
    <row r="160" spans="49:54">
      <c r="AW160" s="147">
        <v>2.5749386242768</v>
      </c>
      <c r="AX160" s="232"/>
      <c r="AY160" s="31">
        <v>4.8930893959343108E-2</v>
      </c>
      <c r="BA160" s="31">
        <v>8.5099322243813461E-2</v>
      </c>
      <c r="BB160" s="31"/>
    </row>
    <row r="161" spans="49:54">
      <c r="AW161" s="147">
        <v>3.5007720546840129</v>
      </c>
      <c r="AX161" s="232"/>
      <c r="AY161" s="31">
        <v>6.0633865648293879E-2</v>
      </c>
      <c r="BA161" s="31">
        <v>7.354883721098901E-2</v>
      </c>
      <c r="BB161" s="31"/>
    </row>
    <row r="162" spans="49:54">
      <c r="AW162" s="147">
        <v>5.350176439779589</v>
      </c>
      <c r="AX162" s="232"/>
      <c r="AY162" s="31">
        <v>0.12720153611167212</v>
      </c>
      <c r="BA162" s="31">
        <v>0.15931375958347477</v>
      </c>
      <c r="BB162" s="31"/>
    </row>
    <row r="163" spans="49:54">
      <c r="AW163" s="147">
        <v>5.5218919954313561</v>
      </c>
      <c r="AX163" s="232"/>
      <c r="AY163" s="31">
        <v>0.12486711255485003</v>
      </c>
      <c r="BA163" s="31">
        <v>0.24435518577058596</v>
      </c>
      <c r="BB163" s="31"/>
    </row>
    <row r="164" spans="49:54">
      <c r="AW164" s="147">
        <v>1.8272028786206911</v>
      </c>
      <c r="AX164" s="232"/>
      <c r="AY164" s="31">
        <v>9.7382241113452769E-3</v>
      </c>
      <c r="BA164" s="31">
        <v>1.5677378890294774E-2</v>
      </c>
      <c r="BB164" s="31"/>
    </row>
    <row r="165" spans="49:54">
      <c r="AW165" s="147">
        <v>2.0694441604404918</v>
      </c>
      <c r="AX165" s="232"/>
      <c r="AY165" s="31">
        <v>1.2188638716365701E-2</v>
      </c>
      <c r="BA165" s="31">
        <v>1.9839328373805826E-2</v>
      </c>
      <c r="BB165" s="31"/>
    </row>
    <row r="166" spans="49:54">
      <c r="AW166" s="147">
        <v>1.8502103397503815</v>
      </c>
      <c r="AX166" s="232">
        <v>1.5840000000000001</v>
      </c>
      <c r="AY166" s="31">
        <v>1.1449716325778255E-2</v>
      </c>
      <c r="AZ166">
        <v>2.4500000000000001E-2</v>
      </c>
      <c r="BA166" s="31">
        <v>1.8264663604922311E-2</v>
      </c>
      <c r="BB166" s="31">
        <v>2.7864904002129577E-2</v>
      </c>
    </row>
    <row r="167" spans="49:54">
      <c r="AW167" s="147">
        <v>1.9625034517179496</v>
      </c>
      <c r="AX167" s="232"/>
      <c r="AY167" s="31">
        <v>3.6143398326184697E-2</v>
      </c>
      <c r="BA167" s="31">
        <v>5.1158474055023988E-2</v>
      </c>
      <c r="BB167" s="31"/>
    </row>
    <row r="168" spans="49:54">
      <c r="AW168" s="147">
        <v>1.870476588736266</v>
      </c>
      <c r="AX168" s="232"/>
      <c r="AY168" s="31">
        <v>4.9965861493542388E-2</v>
      </c>
      <c r="BA168" s="31">
        <v>5.4569787022614946E-2</v>
      </c>
      <c r="BB168" s="31"/>
    </row>
    <row r="169" spans="49:54">
      <c r="AW169" s="147">
        <v>2.5940464109836392</v>
      </c>
      <c r="AX169" s="232"/>
      <c r="AY169" s="31">
        <v>7.3606553759953133E-2</v>
      </c>
      <c r="BA169" s="31">
        <v>8.5318098249273666E-2</v>
      </c>
      <c r="BB169" s="31"/>
    </row>
    <row r="170" spans="49:54">
      <c r="AW170" s="147">
        <v>2.4964485036479354</v>
      </c>
      <c r="AX170" s="232"/>
      <c r="AY170" s="31">
        <v>5.2086485834485843E-2</v>
      </c>
      <c r="BA170" s="31">
        <v>6.6148812690518533E-2</v>
      </c>
      <c r="BB170" s="31"/>
    </row>
    <row r="171" spans="49:54">
      <c r="AW171" s="147">
        <v>4.868159019716999</v>
      </c>
      <c r="AX171" s="232"/>
      <c r="AY171" s="31">
        <v>7.7502949955535486E-2</v>
      </c>
      <c r="BA171" s="31">
        <v>0.12363919723010802</v>
      </c>
      <c r="BB171" s="31"/>
    </row>
    <row r="172" spans="49:54">
      <c r="AW172" s="147">
        <v>2.4699458871423476</v>
      </c>
      <c r="AX172" s="232">
        <v>4.1479999999999997</v>
      </c>
      <c r="AY172" s="31">
        <v>7.3767847460676328E-2</v>
      </c>
      <c r="AZ172">
        <v>5.1999999999999998E-2</v>
      </c>
      <c r="BA172" s="31">
        <v>8.3957587276675974E-2</v>
      </c>
      <c r="BB172" s="31">
        <v>6.8900126094135566E-2</v>
      </c>
    </row>
    <row r="173" spans="49:54">
      <c r="AW173" s="147">
        <v>2.3014122240488475</v>
      </c>
      <c r="AX173" s="232">
        <v>4.1840000000000002</v>
      </c>
      <c r="AY173" s="31">
        <v>4.7523893213081925E-2</v>
      </c>
      <c r="AZ173">
        <v>5.7700000000000001E-2</v>
      </c>
      <c r="BA173" s="31">
        <v>5.9651125046606163E-2</v>
      </c>
      <c r="BB173" s="31">
        <v>7.3072011599964126E-2</v>
      </c>
    </row>
    <row r="174" spans="49:54">
      <c r="AW174" s="147">
        <v>2.4529856388652118</v>
      </c>
      <c r="AX174" s="232"/>
      <c r="AY174" s="31">
        <v>5.1638753848691522E-2</v>
      </c>
      <c r="BA174" s="31">
        <v>6.7457176341683009E-2</v>
      </c>
      <c r="BB174" s="31"/>
    </row>
    <row r="175" spans="49:54">
      <c r="AW175" s="147">
        <v>1.6729981318193217</v>
      </c>
      <c r="AX175" s="232"/>
      <c r="AY175" s="31">
        <v>9.1032406894931042E-2</v>
      </c>
      <c r="BA175" s="31">
        <v>0.12958022050624146</v>
      </c>
      <c r="BB175" s="31"/>
    </row>
    <row r="176" spans="49:54">
      <c r="AW176" s="147">
        <v>2.919104716896666</v>
      </c>
      <c r="AX176" s="232"/>
      <c r="AY176" s="31">
        <v>5.5622611153555032E-2</v>
      </c>
      <c r="BA176" s="31">
        <v>9.8806039104757784E-2</v>
      </c>
      <c r="BB176" s="31"/>
    </row>
    <row r="177" spans="49:54">
      <c r="AW177" s="147">
        <v>3.3942886955921234</v>
      </c>
      <c r="AX177" s="232"/>
      <c r="AY177" s="31">
        <v>9.8853933842356259E-2</v>
      </c>
      <c r="BA177" s="31">
        <v>0.18712164142090795</v>
      </c>
      <c r="BB177" s="31"/>
    </row>
    <row r="178" spans="49:54">
      <c r="AW178" s="147">
        <v>4.4158453112216041</v>
      </c>
      <c r="AX178" s="232"/>
      <c r="AY178" s="31">
        <v>0.14225581235444068</v>
      </c>
      <c r="BA178" s="31">
        <v>0.22581558151798184</v>
      </c>
      <c r="BB178" s="31"/>
    </row>
    <row r="179" spans="49:54">
      <c r="AW179" s="147">
        <v>3.0127657037155329</v>
      </c>
      <c r="AX179" s="232"/>
      <c r="AY179" s="31">
        <v>9.9138673249293069E-2</v>
      </c>
      <c r="BA179" s="31">
        <v>0.19026116799553219</v>
      </c>
      <c r="BB179" s="31"/>
    </row>
    <row r="180" spans="49:54">
      <c r="AW180" s="147">
        <v>4.2516834262273449</v>
      </c>
      <c r="AX180" s="232"/>
      <c r="AY180" s="31">
        <v>0.18438081681637222</v>
      </c>
      <c r="BA180" s="31">
        <v>0.3411866270103</v>
      </c>
      <c r="BB180" s="31"/>
    </row>
    <row r="181" spans="49:54">
      <c r="AW181" s="147">
        <v>4.1178324795524981</v>
      </c>
      <c r="AX181" s="232"/>
      <c r="AY181" s="31">
        <v>0.17890796781668114</v>
      </c>
      <c r="BA181" s="31">
        <v>0.33552209017367246</v>
      </c>
      <c r="BB181" s="31"/>
    </row>
    <row r="182" spans="49:54">
      <c r="AW182" s="147">
        <v>4.4918301719325013</v>
      </c>
      <c r="AX182" s="232"/>
      <c r="AY182" s="31">
        <v>0.23703344948554003</v>
      </c>
      <c r="BA182" s="31">
        <v>0.43217985638347195</v>
      </c>
      <c r="BB182" s="31"/>
    </row>
    <row r="183" spans="49:54">
      <c r="AW183" s="147">
        <v>3.8246837265296496</v>
      </c>
      <c r="AX183" s="232"/>
      <c r="AY183" s="31">
        <v>0.19554524678251828</v>
      </c>
      <c r="BA183" s="31">
        <v>0.35906360424586015</v>
      </c>
      <c r="BB183" s="31"/>
    </row>
    <row r="184" spans="49:54">
      <c r="AW184" s="147">
        <v>2.5114348125647776</v>
      </c>
      <c r="AX184" s="232"/>
      <c r="AY184" s="31">
        <v>4.9267576055160918E-2</v>
      </c>
      <c r="BA184" s="31">
        <v>6.7177630498749086E-2</v>
      </c>
      <c r="BB184" s="31"/>
    </row>
    <row r="185" spans="49:54">
      <c r="AW185" s="147">
        <v>2.9285802326711723</v>
      </c>
      <c r="AX185" s="232"/>
      <c r="AY185" s="31">
        <v>0.13075237926126115</v>
      </c>
      <c r="BA185" s="31">
        <v>0.17610922766707748</v>
      </c>
      <c r="BB185" s="31"/>
    </row>
    <row r="186" spans="49:54">
      <c r="AW186" s="147">
        <v>3.1215257227987148</v>
      </c>
      <c r="AX186" s="232"/>
      <c r="AY186" s="31">
        <v>0.10450921957518464</v>
      </c>
      <c r="BA186" s="31">
        <v>0.12753688676798158</v>
      </c>
      <c r="BB186" s="31"/>
    </row>
    <row r="187" spans="49:54">
      <c r="AW187" s="147">
        <v>2.3646135570372944</v>
      </c>
      <c r="AX187" s="232">
        <v>2.8141240000000001</v>
      </c>
      <c r="AY187" s="31">
        <v>3.6406184717263472E-2</v>
      </c>
      <c r="AZ187">
        <v>2.9399999999999999E-2</v>
      </c>
      <c r="BA187" s="31">
        <v>5.078112438836406E-2</v>
      </c>
      <c r="BB187" s="31">
        <v>4.0248540959666235E-2</v>
      </c>
    </row>
    <row r="188" spans="49:54">
      <c r="AW188" s="147">
        <v>2.4314152045249369</v>
      </c>
      <c r="AX188" s="232"/>
      <c r="AY188" s="31">
        <v>8.2946094466927203E-2</v>
      </c>
      <c r="BA188" s="31">
        <v>0.11526299092516376</v>
      </c>
      <c r="BB188" s="31"/>
    </row>
    <row r="189" spans="49:54">
      <c r="AW189" s="147">
        <v>2.5117704261467404</v>
      </c>
      <c r="AX189" s="232"/>
      <c r="AY189" s="31">
        <v>8.4205315352945898E-2</v>
      </c>
      <c r="BA189" s="31">
        <v>0.10980590269764184</v>
      </c>
      <c r="BB189" s="31"/>
    </row>
    <row r="190" spans="49:54">
      <c r="AW190" s="147">
        <v>3.5952450984558024</v>
      </c>
      <c r="AX190" s="232"/>
      <c r="AY190" s="31">
        <v>0.12514522779341075</v>
      </c>
      <c r="BA190" s="31">
        <v>0.15234784590768502</v>
      </c>
      <c r="BB190" s="31"/>
    </row>
    <row r="191" spans="49:54">
      <c r="AW191" s="147">
        <v>3.5085612449690484</v>
      </c>
      <c r="AX191" s="232">
        <v>3.90449</v>
      </c>
      <c r="AY191" s="31">
        <v>0.1219951965999926</v>
      </c>
      <c r="AZ191">
        <v>7.3398000000000005E-2</v>
      </c>
      <c r="BA191" s="31">
        <v>0.15302522961327059</v>
      </c>
      <c r="BB191" s="31">
        <v>8.7403848757901803E-2</v>
      </c>
    </row>
    <row r="192" spans="49:54">
      <c r="AW192" s="147">
        <v>2.2349915067019488</v>
      </c>
      <c r="AX192" s="232"/>
      <c r="AY192" s="31">
        <v>3.4178233580558388E-2</v>
      </c>
      <c r="BA192" s="31">
        <v>4.4261170082433472E-2</v>
      </c>
      <c r="BB192" s="31"/>
    </row>
    <row r="193" spans="49:54">
      <c r="AW193" s="147">
        <v>2.2900225795571507</v>
      </c>
      <c r="AX193" s="232">
        <v>3.3504</v>
      </c>
      <c r="AY193" s="31">
        <v>4.188917243050308E-2</v>
      </c>
      <c r="AZ193">
        <v>2.3959999999999999E-2</v>
      </c>
      <c r="BA193" s="31">
        <v>5.3028210503696611E-2</v>
      </c>
      <c r="BB193" s="31">
        <v>3.9724864835021675E-2</v>
      </c>
    </row>
    <row r="194" spans="49:54">
      <c r="AW194" s="147">
        <v>5.1841684237509433</v>
      </c>
      <c r="AX194" s="232"/>
      <c r="AY194" s="31">
        <v>0.23077611814300944</v>
      </c>
      <c r="BA194" s="31">
        <v>0.39340927456559222</v>
      </c>
      <c r="BB194" s="31"/>
    </row>
    <row r="195" spans="49:54">
      <c r="AW195" s="147">
        <v>4.2952571682310676</v>
      </c>
      <c r="AX195" s="232"/>
      <c r="AY195" s="31">
        <v>0.11785725735369613</v>
      </c>
      <c r="BA195" s="31">
        <v>0.17912971838779038</v>
      </c>
      <c r="BB195" s="31"/>
    </row>
    <row r="196" spans="49:54">
      <c r="AW196" s="147">
        <v>3.3177858223842058</v>
      </c>
      <c r="AX196" s="232"/>
      <c r="AY196" s="31">
        <v>5.8232003738091009E-2</v>
      </c>
      <c r="BA196" s="31">
        <v>7.4692254686999263E-2</v>
      </c>
      <c r="BB196" s="31"/>
    </row>
    <row r="197" spans="49:54">
      <c r="AW197" s="147">
        <v>2.9336104451094918</v>
      </c>
      <c r="AX197" s="232"/>
      <c r="AY197" s="31">
        <v>5.8624182971530381E-2</v>
      </c>
      <c r="BA197" s="31">
        <v>8.774349515684525E-2</v>
      </c>
      <c r="BB197" s="31"/>
    </row>
    <row r="198" spans="49:54">
      <c r="AW198" s="147">
        <v>3.3957871702771398</v>
      </c>
      <c r="AX198" s="232"/>
      <c r="AY198" s="31">
        <v>6.3060933840296415E-2</v>
      </c>
      <c r="BA198" s="31">
        <v>9.5039298251016369E-2</v>
      </c>
      <c r="BB198" s="31"/>
    </row>
    <row r="199" spans="49:54">
      <c r="AW199" s="147">
        <v>4.6777790500806216</v>
      </c>
      <c r="AX199" s="232"/>
      <c r="AY199" s="31">
        <v>7.4083245643030468E-2</v>
      </c>
      <c r="BA199" s="31">
        <v>0.11106919519450616</v>
      </c>
      <c r="BB199" s="31"/>
    </row>
    <row r="200" spans="49:54">
      <c r="AW200" s="147">
        <v>5.0022192774643717</v>
      </c>
      <c r="AX200" s="232"/>
      <c r="AY200" s="31">
        <v>8.2039859518181588E-2</v>
      </c>
      <c r="BA200" s="31">
        <v>0.15122206652806819</v>
      </c>
      <c r="BB200" s="31"/>
    </row>
    <row r="201" spans="49:54">
      <c r="AW201" s="147">
        <v>6.1938245058403636</v>
      </c>
      <c r="AX201" s="232"/>
      <c r="AY201" s="31">
        <v>0.16196210094102001</v>
      </c>
      <c r="BA201" s="31">
        <v>0.28071133311515178</v>
      </c>
      <c r="BB201" s="31"/>
    </row>
    <row r="202" spans="49:54">
      <c r="AW202" s="147">
        <v>18.48861147233168</v>
      </c>
      <c r="AX202" s="232"/>
      <c r="AY202" s="31">
        <v>0.37281310003477064</v>
      </c>
      <c r="BA202" s="31">
        <v>0.59570744379276219</v>
      </c>
      <c r="BB202" s="31"/>
    </row>
    <row r="203" spans="49:54">
      <c r="AW203" s="147">
        <v>2.2332594774745087</v>
      </c>
      <c r="AX203" s="232"/>
      <c r="AY203" s="31">
        <v>0.1496367282031201</v>
      </c>
      <c r="BA203" s="31">
        <v>0.29141617596972413</v>
      </c>
      <c r="BB203" s="31"/>
    </row>
    <row r="204" spans="49:54">
      <c r="AW204" s="147">
        <v>4.3834819038462562</v>
      </c>
      <c r="AX204" s="232"/>
      <c r="AY204" s="31">
        <v>0.289882149485444</v>
      </c>
      <c r="BA204" s="31">
        <v>0.55763679081137019</v>
      </c>
      <c r="BB204" s="31"/>
    </row>
    <row r="205" spans="49:54">
      <c r="AW205" s="147">
        <v>4.5423719790364165</v>
      </c>
      <c r="AX205" s="232">
        <v>6.495140000000001</v>
      </c>
      <c r="AY205" s="31">
        <v>0.26437080011378206</v>
      </c>
      <c r="AZ205">
        <v>0.24180000000000001</v>
      </c>
      <c r="BA205" s="31">
        <v>0.49736786680794082</v>
      </c>
      <c r="BB205" s="31">
        <v>0.16784087986301371</v>
      </c>
    </row>
    <row r="206" spans="49:54">
      <c r="AW206" s="147">
        <v>4.4099621337406347</v>
      </c>
      <c r="AX206" s="232"/>
      <c r="AY206" s="31">
        <v>0.2607393441845251</v>
      </c>
      <c r="BA206" s="31">
        <v>0.49049862081294648</v>
      </c>
      <c r="BB206" s="31"/>
    </row>
    <row r="207" spans="49:54">
      <c r="AW207" s="147">
        <v>3.1478571285698624</v>
      </c>
      <c r="AX207" s="232"/>
      <c r="AY207" s="31">
        <v>0.18835487774917206</v>
      </c>
      <c r="BA207" s="31">
        <v>0.34826756191390129</v>
      </c>
      <c r="BB207" s="31"/>
    </row>
    <row r="208" spans="49:54">
      <c r="AW208" s="147">
        <v>4.3132785239684193</v>
      </c>
      <c r="AX208" s="232"/>
      <c r="AY208" s="31">
        <v>0.14996505292553483</v>
      </c>
      <c r="BA208" s="31">
        <v>0.24980178220861321</v>
      </c>
      <c r="BB208" s="31"/>
    </row>
    <row r="209" spans="49:54">
      <c r="AW209" s="147">
        <v>3.0494470071781845</v>
      </c>
      <c r="AX209" s="232"/>
      <c r="AY209" s="31">
        <v>4.1097279406586543E-2</v>
      </c>
      <c r="BA209" s="31">
        <v>4.6867443222463924E-2</v>
      </c>
      <c r="BB209" s="31"/>
    </row>
    <row r="210" spans="49:54">
      <c r="AW210" s="147">
        <v>2.7734055284602275</v>
      </c>
      <c r="AX210" s="232"/>
      <c r="AY210" s="31">
        <v>1.360013394393223E-2</v>
      </c>
      <c r="BA210" s="31">
        <v>2.5505150280340439E-2</v>
      </c>
      <c r="BB210" s="31"/>
    </row>
    <row r="211" spans="49:54">
      <c r="AW211" s="147">
        <v>1.6877053209990143</v>
      </c>
      <c r="AX211" s="232">
        <v>1.2985</v>
      </c>
      <c r="AY211" s="31">
        <v>3.5829434130168953E-3</v>
      </c>
      <c r="AZ211">
        <v>6.0000000000000001E-3</v>
      </c>
      <c r="BA211" s="31">
        <v>9.2733036454725991E-3</v>
      </c>
      <c r="BB211" s="31">
        <v>7.6926175971636715E-3</v>
      </c>
    </row>
    <row r="212" spans="49:54">
      <c r="AW212" s="147">
        <v>2.3254936545262503</v>
      </c>
      <c r="AX212" s="232"/>
      <c r="AY212" s="31">
        <v>3.0852527126356815E-2</v>
      </c>
      <c r="BA212" s="31">
        <v>4.2086800138461243E-2</v>
      </c>
      <c r="BB212" s="31"/>
    </row>
    <row r="213" spans="49:54">
      <c r="AW213" s="147">
        <v>2.1408328788178514</v>
      </c>
      <c r="AX213" s="232"/>
      <c r="AY213" s="31">
        <v>2.9702336268230357E-2</v>
      </c>
      <c r="BA213" s="31">
        <v>3.5398553045667809E-2</v>
      </c>
      <c r="BB213" s="31"/>
    </row>
    <row r="214" spans="49:54">
      <c r="AW214" s="147">
        <v>2.6185422102663067</v>
      </c>
      <c r="AX214" s="232"/>
      <c r="AY214" s="31">
        <v>1.7232221544293644E-2</v>
      </c>
      <c r="BA214" s="31">
        <v>2.5558314448516303E-2</v>
      </c>
      <c r="BB214" s="31"/>
    </row>
    <row r="215" spans="49:54">
      <c r="AW215" s="147">
        <v>3.0760291049387067</v>
      </c>
      <c r="AX215" s="232">
        <v>1.8492690000000007</v>
      </c>
      <c r="AY215" s="31">
        <v>5.1298753865905468E-2</v>
      </c>
      <c r="AZ215">
        <v>4.581000000000001E-2</v>
      </c>
      <c r="BA215" s="31">
        <v>6.6810086191675611E-2</v>
      </c>
      <c r="BB215" s="31">
        <v>6.6116635358069553E-2</v>
      </c>
    </row>
    <row r="216" spans="49:54">
      <c r="AW216" s="147">
        <v>3.7270152286894138</v>
      </c>
      <c r="AX216" s="232"/>
      <c r="AY216" s="31">
        <v>0.11793454380787907</v>
      </c>
      <c r="BA216" s="31">
        <v>0.14133225597299545</v>
      </c>
      <c r="BB216" s="31"/>
    </row>
    <row r="217" spans="49:54">
      <c r="AW217" s="147">
        <v>2.7015145723392706</v>
      </c>
      <c r="AX217" s="232"/>
      <c r="AY217" s="31">
        <v>5.2262712440755532E-2</v>
      </c>
      <c r="BA217" s="31">
        <v>6.683121549643567E-2</v>
      </c>
      <c r="BB217" s="31"/>
    </row>
    <row r="218" spans="49:54">
      <c r="AW218" s="147">
        <v>2.9189247831497562</v>
      </c>
      <c r="AX218" s="232"/>
      <c r="AY218" s="31">
        <v>5.5486958083178363E-2</v>
      </c>
      <c r="BA218" s="31">
        <v>7.2063620663607594E-2</v>
      </c>
      <c r="BB218" s="31"/>
    </row>
    <row r="219" spans="49:54">
      <c r="AW219" s="147">
        <v>4.5898304488142934</v>
      </c>
      <c r="AX219" s="232"/>
      <c r="AY219" s="31">
        <v>7.8963348344915127E-2</v>
      </c>
      <c r="BA219" s="31">
        <v>0.12676993596419503</v>
      </c>
      <c r="BB219" s="31"/>
    </row>
    <row r="220" spans="49:54">
      <c r="AW220" s="147">
        <v>3.4162218778140025</v>
      </c>
      <c r="AX220" s="232"/>
      <c r="AY220" s="31">
        <v>0.10769770280939513</v>
      </c>
      <c r="BA220" s="31">
        <v>0.18738556428807426</v>
      </c>
      <c r="BB220" s="31">
        <v>0.21593423467508577</v>
      </c>
    </row>
    <row r="221" spans="49:54">
      <c r="AW221" s="147">
        <v>4.5743351606169851</v>
      </c>
      <c r="AX221" s="232"/>
      <c r="AY221" s="31">
        <v>0.13557172794364178</v>
      </c>
      <c r="BA221" s="31">
        <v>0.24977367285755692</v>
      </c>
      <c r="BB221" s="31"/>
    </row>
    <row r="222" spans="49:54">
      <c r="AW222" s="147">
        <v>3.5794324981126842</v>
      </c>
      <c r="AX222" s="232"/>
      <c r="AY222" s="31">
        <v>0.13239537754173614</v>
      </c>
      <c r="BA222" s="31">
        <v>0.24611125894734678</v>
      </c>
      <c r="BB222" s="31">
        <v>0.20145719092775452</v>
      </c>
    </row>
    <row r="223" spans="49:54">
      <c r="AW223" s="147">
        <v>5.0259339748305409</v>
      </c>
      <c r="AX223" s="232">
        <v>6.3569999999999993</v>
      </c>
      <c r="AY223" s="31">
        <v>0.23190559750551312</v>
      </c>
      <c r="AZ223">
        <v>0.2</v>
      </c>
      <c r="BA223" s="31">
        <v>0.37614063664331809</v>
      </c>
      <c r="BB223" s="31">
        <v>0.17357191575361935</v>
      </c>
    </row>
    <row r="224" spans="49:54">
      <c r="AW224" s="147">
        <v>2.4139927378538841</v>
      </c>
      <c r="AX224" s="232"/>
      <c r="AY224" s="31">
        <v>9.6594372417244181E-2</v>
      </c>
      <c r="BA224" s="31">
        <v>0.18204078119668729</v>
      </c>
      <c r="BB224" s="31"/>
    </row>
    <row r="225" spans="49:54">
      <c r="AW225" s="147">
        <v>2.2242655510176377</v>
      </c>
      <c r="AX225" s="232"/>
      <c r="AY225" s="31">
        <v>0.12701638651239594</v>
      </c>
      <c r="BA225" s="31">
        <v>0.17659753739603659</v>
      </c>
      <c r="BB225" s="31"/>
    </row>
    <row r="226" spans="49:54">
      <c r="AW226" s="147">
        <v>5.3362294178045167</v>
      </c>
      <c r="AX226" s="232"/>
      <c r="AY226" s="31">
        <v>4.4592164786646536E-2</v>
      </c>
      <c r="BA226" s="31">
        <v>6.161250977819268E-2</v>
      </c>
      <c r="BB226" s="31"/>
    </row>
    <row r="227" spans="49:54">
      <c r="AW227" s="147">
        <v>4.4079983400243803</v>
      </c>
      <c r="AX227" s="232"/>
      <c r="AY227" s="31">
        <v>7.396274431034229E-2</v>
      </c>
      <c r="BA227" s="31">
        <v>0.11881360544198379</v>
      </c>
      <c r="BB227" s="31"/>
    </row>
    <row r="228" spans="49:54">
      <c r="AW228" s="147">
        <v>5.4036508678221828</v>
      </c>
      <c r="AX228" s="232"/>
      <c r="AY228" s="31">
        <v>0.17009606633292776</v>
      </c>
      <c r="BA228" s="31">
        <v>0.21403391109256731</v>
      </c>
      <c r="BB228" s="31"/>
    </row>
    <row r="229" spans="49:54">
      <c r="AW229" s="147">
        <v>5.1052768105331818</v>
      </c>
      <c r="AX229" s="232"/>
      <c r="AY229" s="31">
        <v>5.1698142364058473E-2</v>
      </c>
      <c r="BA229" s="31">
        <v>7.5596700474823891E-2</v>
      </c>
      <c r="BB229" s="31"/>
    </row>
    <row r="230" spans="49:54">
      <c r="AW230" s="147">
        <v>5.895639823953382</v>
      </c>
      <c r="AX230" s="232"/>
      <c r="AY230" s="31">
        <v>0.10981304362646643</v>
      </c>
      <c r="BA230" s="31">
        <v>0.22373621591525716</v>
      </c>
      <c r="BB230" s="31"/>
    </row>
    <row r="231" spans="49:54">
      <c r="AW231" s="147">
        <v>7.5225196591061065</v>
      </c>
      <c r="AX231" s="232"/>
      <c r="AY231" s="31">
        <v>0.16609431149191614</v>
      </c>
      <c r="BA231" s="31">
        <v>0.31121997363596193</v>
      </c>
      <c r="BB231" s="31"/>
    </row>
    <row r="232" spans="49:54">
      <c r="AW232" s="147">
        <v>8.0413738907950325</v>
      </c>
      <c r="AX232" s="232"/>
      <c r="AY232" s="31">
        <v>0.11674995612117843</v>
      </c>
      <c r="BA232" s="31">
        <v>0.30190058842616918</v>
      </c>
      <c r="BB232" s="31"/>
    </row>
    <row r="233" spans="49:54">
      <c r="AW233" s="147">
        <v>2.4751937369832442</v>
      </c>
      <c r="AX233" s="232">
        <v>1.382625</v>
      </c>
      <c r="AY233" s="31">
        <v>2.9044102370905364E-2</v>
      </c>
      <c r="AZ233">
        <v>2.555E-2</v>
      </c>
      <c r="BA233" s="31">
        <v>3.6086556578860451E-2</v>
      </c>
      <c r="BB233" s="31">
        <v>3.8998812912779991E-2</v>
      </c>
    </row>
    <row r="234" spans="49:54">
      <c r="AW234" s="147">
        <v>3.3107303490448916</v>
      </c>
      <c r="AX234" s="232"/>
      <c r="AY234" s="31">
        <v>4.2915164271172729E-2</v>
      </c>
      <c r="BA234" s="31">
        <v>7.9349004618985516E-2</v>
      </c>
      <c r="BB234" s="31"/>
    </row>
    <row r="235" spans="49:54">
      <c r="AW235" s="147">
        <v>11.199525650620371</v>
      </c>
      <c r="AX235" s="232"/>
      <c r="AY235" s="31">
        <v>0.15538268814617348</v>
      </c>
      <c r="BA235" s="31">
        <v>0.38100775077138332</v>
      </c>
      <c r="BB235" s="31"/>
    </row>
    <row r="236" spans="49:54">
      <c r="AW236" s="147">
        <v>5.5414533060181377</v>
      </c>
      <c r="AX236" s="232"/>
      <c r="AY236" s="31">
        <v>0.1135764769884036</v>
      </c>
      <c r="BA236" s="31">
        <v>0.18812161076404119</v>
      </c>
      <c r="BB236" s="31"/>
    </row>
    <row r="237" spans="49:54">
      <c r="AW237" s="147">
        <v>4.6172464632682537</v>
      </c>
      <c r="AX237" s="232"/>
      <c r="AY237" s="31">
        <v>7.8603476915683951E-2</v>
      </c>
      <c r="BA237" s="31">
        <v>0.14125342013093536</v>
      </c>
      <c r="BB237" s="31"/>
    </row>
    <row r="238" spans="49:54">
      <c r="AW238" s="147">
        <v>5.0974670339578827</v>
      </c>
      <c r="AX238" s="232"/>
      <c r="AY238" s="31">
        <v>4.7748896888612245E-2</v>
      </c>
      <c r="BA238" s="31">
        <v>7.4752216874927238E-2</v>
      </c>
      <c r="BB238" s="31"/>
    </row>
    <row r="239" spans="49:54">
      <c r="AW239" s="147">
        <v>4.6237294971337928</v>
      </c>
      <c r="AX239" s="232"/>
      <c r="AY239" s="31">
        <v>8.4476028900290351E-2</v>
      </c>
      <c r="BA239" s="31">
        <v>0.15199038232258019</v>
      </c>
      <c r="BB239" s="31"/>
    </row>
    <row r="240" spans="49:54">
      <c r="AW240" s="147">
        <v>4.3893712899203612</v>
      </c>
      <c r="AX240" s="232"/>
      <c r="AY240" s="31">
        <v>0.10062621513934872</v>
      </c>
      <c r="BA240" s="31">
        <v>0.16615791001664254</v>
      </c>
      <c r="BB240" s="31"/>
    </row>
    <row r="241" spans="49:54">
      <c r="AW241" s="147">
        <v>0.97992455442973425</v>
      </c>
      <c r="AX241" s="232"/>
      <c r="AY241" s="31">
        <v>5.3190936028690336E-2</v>
      </c>
      <c r="BA241" s="31">
        <v>0.10803524977700933</v>
      </c>
      <c r="BB241" s="31"/>
    </row>
    <row r="242" spans="49:54">
      <c r="AW242" s="147">
        <v>1.4073086247796922</v>
      </c>
      <c r="AX242" s="232"/>
      <c r="AY242" s="31">
        <v>8.7615662565234551E-2</v>
      </c>
      <c r="BA242" s="31">
        <v>0.19688224732975973</v>
      </c>
      <c r="BB242" s="31"/>
    </row>
    <row r="243" spans="49:54">
      <c r="AW243" s="147">
        <v>1.4119038780210216</v>
      </c>
      <c r="AX243" s="232">
        <v>4.0129999999999999</v>
      </c>
      <c r="AY243" s="31">
        <v>7.7698606703533388E-2</v>
      </c>
      <c r="AZ243">
        <v>0.1542</v>
      </c>
      <c r="BA243" s="31">
        <v>0.17548879343344115</v>
      </c>
      <c r="BB243" s="31">
        <v>0.18631813907931646</v>
      </c>
    </row>
    <row r="244" spans="49:54">
      <c r="AW244" s="147">
        <v>4.1857992809589017</v>
      </c>
      <c r="AX244" s="232">
        <v>3.1133999999999999</v>
      </c>
      <c r="AY244" s="31">
        <v>9.3661561850824207E-2</v>
      </c>
      <c r="AZ244">
        <v>3.492E-2</v>
      </c>
      <c r="BA244" s="31">
        <v>0.15603027913798465</v>
      </c>
      <c r="BB244" s="31">
        <v>0.10392353453450301</v>
      </c>
    </row>
    <row r="245" spans="49:54">
      <c r="AW245" s="147">
        <v>3.2947786711914713</v>
      </c>
      <c r="AX245" s="232"/>
      <c r="AY245" s="31">
        <v>8.2180763146492516E-2</v>
      </c>
      <c r="BA245" s="31">
        <v>0.15405767464264361</v>
      </c>
      <c r="BB245" s="31"/>
    </row>
    <row r="246" spans="49:54">
      <c r="AW246" s="147">
        <v>4.9546085347905597</v>
      </c>
      <c r="AX246" s="232"/>
      <c r="AY246" s="31">
        <v>5.065083067095813E-2</v>
      </c>
      <c r="BA246" s="31">
        <v>6.801776193960174E-2</v>
      </c>
      <c r="BB246" s="31"/>
    </row>
    <row r="247" spans="49:54">
      <c r="AW247" s="147">
        <v>4.2507348486303522</v>
      </c>
      <c r="AX247" s="232"/>
      <c r="AY247" s="31">
        <v>4.266007353969048E-2</v>
      </c>
      <c r="BA247" s="31">
        <v>6.3483441282295022E-2</v>
      </c>
      <c r="BB247" s="31"/>
    </row>
    <row r="248" spans="49:54">
      <c r="AW248" s="147">
        <v>4.3427344870103806</v>
      </c>
      <c r="AX248" s="232">
        <v>3.52</v>
      </c>
      <c r="AY248" s="31">
        <v>7.8602000481206219E-2</v>
      </c>
      <c r="AZ248">
        <v>7.0899999999999991E-2</v>
      </c>
      <c r="BA248" s="31">
        <v>0.10509885624823434</v>
      </c>
      <c r="BB248" s="31">
        <v>6.8744881105162442E-2</v>
      </c>
    </row>
    <row r="249" spans="49:54">
      <c r="AW249" s="147">
        <v>5.6472459892170228</v>
      </c>
      <c r="AX249" s="232">
        <v>4.7449999999999992</v>
      </c>
      <c r="AY249" s="31">
        <v>0.10473031672631264</v>
      </c>
      <c r="AZ249">
        <v>7.7949999999999992E-2</v>
      </c>
      <c r="BA249" s="31">
        <v>0.17419958412161041</v>
      </c>
      <c r="BB249" s="31">
        <v>0.11825380742671164</v>
      </c>
    </row>
    <row r="250" spans="49:54">
      <c r="AW250" s="147">
        <v>5.159158335037918</v>
      </c>
      <c r="AX250" s="232">
        <v>5.6514000000000006</v>
      </c>
      <c r="AY250" s="31">
        <v>9.5989416521237242E-2</v>
      </c>
      <c r="AZ250">
        <v>7.980000000000001E-2</v>
      </c>
      <c r="BA250" s="31">
        <v>0.16414427432687123</v>
      </c>
      <c r="BB250" s="31">
        <v>0.13693155420913217</v>
      </c>
    </row>
    <row r="251" spans="49:54">
      <c r="AW251" s="147">
        <v>0.35829856958654799</v>
      </c>
      <c r="AX251" s="232"/>
      <c r="AY251" s="31">
        <v>9.2397584399011787E-3</v>
      </c>
      <c r="BA251" s="31">
        <v>1.5642485539278585E-2</v>
      </c>
      <c r="BB251" s="31"/>
    </row>
    <row r="252" spans="49:54">
      <c r="AW252" s="147">
        <v>0.21335874793449888</v>
      </c>
      <c r="AX252" s="232"/>
      <c r="AY252" s="31">
        <v>1.0046806761017673E-2</v>
      </c>
      <c r="BA252" s="31">
        <v>0.18879942827956878</v>
      </c>
      <c r="BB252" s="31"/>
    </row>
    <row r="253" spans="49:54">
      <c r="AW253" s="147">
        <v>0.28680063409071005</v>
      </c>
      <c r="AX253" s="232"/>
      <c r="AY253" s="31">
        <v>9.8133410424582086E-3</v>
      </c>
      <c r="BA253" s="31">
        <v>5.343978120485527E-2</v>
      </c>
      <c r="BB253" s="31"/>
    </row>
    <row r="254" spans="49:54">
      <c r="AW254" s="147">
        <v>0.26773831505420326</v>
      </c>
      <c r="AX254" s="232"/>
      <c r="AY254" s="31">
        <v>9.0741977239123927E-3</v>
      </c>
      <c r="BA254" s="31">
        <v>0.16304493930045239</v>
      </c>
      <c r="BB254" s="31"/>
    </row>
    <row r="255" spans="49:54">
      <c r="AW255" s="147">
        <v>0.23467444502954532</v>
      </c>
      <c r="AX255" s="232">
        <v>0.48609999999999998</v>
      </c>
      <c r="AY255" s="31">
        <v>1.0084560611459768E-2</v>
      </c>
      <c r="AZ255">
        <v>3.7499999999999999E-3</v>
      </c>
      <c r="BA255" s="31">
        <v>0.18935848741139208</v>
      </c>
      <c r="BB255" s="31">
        <v>7.6370850404492249E-2</v>
      </c>
    </row>
    <row r="256" spans="49:54">
      <c r="AW256" s="147">
        <v>0.30061608460812522</v>
      </c>
      <c r="AX256" s="232">
        <v>0.49864999999999998</v>
      </c>
      <c r="AY256" s="31">
        <v>1.0653823470931613E-2</v>
      </c>
      <c r="AZ256">
        <v>3.7499999999999999E-3</v>
      </c>
      <c r="BA256" s="31">
        <v>0.1333790551632909</v>
      </c>
      <c r="BB256" s="31">
        <v>8.2742217330163237E-2</v>
      </c>
    </row>
    <row r="257" spans="49:54">
      <c r="AW257" s="147">
        <v>0.26877233447655713</v>
      </c>
      <c r="AX257" s="232"/>
      <c r="AY257" s="31">
        <v>1.0244193130475221E-2</v>
      </c>
      <c r="BA257" s="31">
        <v>2.1913008824587073E-2</v>
      </c>
      <c r="BB257" s="31"/>
    </row>
    <row r="258" spans="49:54">
      <c r="AW258" s="147">
        <v>0.61482498282032572</v>
      </c>
      <c r="AX258" s="232"/>
      <c r="AY258" s="31">
        <v>1.0215044156673164E-2</v>
      </c>
      <c r="BA258" s="31">
        <v>7.7216868783892945E-2</v>
      </c>
      <c r="BB258" s="31"/>
    </row>
    <row r="259" spans="49:54">
      <c r="AW259" s="147">
        <v>0.58661030737147479</v>
      </c>
      <c r="AX259" s="232"/>
      <c r="AY259" s="31">
        <v>1.0350545479577115E-2</v>
      </c>
      <c r="BA259" s="31">
        <v>6.5557198190888094E-2</v>
      </c>
      <c r="BB259" s="31"/>
    </row>
    <row r="260" spans="49:54">
      <c r="AW260" s="147">
        <v>0.49369993232600973</v>
      </c>
      <c r="AX260" s="232"/>
      <c r="AY260" s="31">
        <v>9.1801905864874744E-3</v>
      </c>
      <c r="BA260" s="31">
        <v>1.9772383421862494E-2</v>
      </c>
      <c r="BB260" s="31"/>
    </row>
    <row r="261" spans="49:54">
      <c r="AW261" s="147">
        <v>0.43110925656294846</v>
      </c>
      <c r="AX261" s="232"/>
      <c r="AY261" s="31">
        <v>1.1922665995103759E-2</v>
      </c>
      <c r="BA261" s="31">
        <v>1.5090965392654507E-2</v>
      </c>
      <c r="BB261" s="31"/>
    </row>
    <row r="262" spans="49:54">
      <c r="AW262" s="147">
        <v>0.52752406762902893</v>
      </c>
      <c r="AX262" s="232">
        <v>0.55745</v>
      </c>
      <c r="AY262" s="31">
        <v>9.0711251196764955E-3</v>
      </c>
      <c r="BA262" s="31">
        <v>1.4658821932100203E-2</v>
      </c>
      <c r="BB262" s="31"/>
    </row>
    <row r="263" spans="49:54">
      <c r="AW263" s="147">
        <v>0.52873510973035975</v>
      </c>
      <c r="AX263" s="232">
        <v>0.5535000000000001</v>
      </c>
      <c r="AY263" s="31">
        <v>1.0485226231927389E-2</v>
      </c>
      <c r="AZ263">
        <v>4.0000000000000001E-3</v>
      </c>
      <c r="BA263" s="31">
        <v>1.5504660306033081E-2</v>
      </c>
      <c r="BB263" s="31">
        <v>1.5410575672411173E-2</v>
      </c>
    </row>
    <row r="264" spans="49:54">
      <c r="AW264" s="147">
        <v>0.55831626794552602</v>
      </c>
      <c r="AX264" s="232"/>
      <c r="AY264" s="31">
        <v>5.6955099252900101E-3</v>
      </c>
      <c r="BA264" s="31">
        <v>8.4327671295638378E-3</v>
      </c>
      <c r="BB264" s="31"/>
    </row>
    <row r="265" spans="49:54">
      <c r="AW265" s="147">
        <v>1.2582820206675913</v>
      </c>
      <c r="AX265" s="232"/>
      <c r="AY265" s="31">
        <v>1.5244464413452447E-2</v>
      </c>
      <c r="BA265" s="31">
        <v>2.1793440112047219E-2</v>
      </c>
      <c r="BB265" s="31"/>
    </row>
    <row r="266" spans="49:54">
      <c r="AW266" s="147">
        <v>0.84995134947314477</v>
      </c>
      <c r="AX266" s="232"/>
      <c r="AY266" s="31">
        <v>1.8677888093763136E-2</v>
      </c>
      <c r="BA266" s="31">
        <v>2.4228499288970969E-2</v>
      </c>
      <c r="BB266" s="31"/>
    </row>
    <row r="267" spans="49:54">
      <c r="AW267" s="147">
        <v>0.48378507595827774</v>
      </c>
      <c r="AX267" s="232">
        <v>0.52079399999999998</v>
      </c>
      <c r="AY267" s="31">
        <v>8.0008858632862091E-3</v>
      </c>
      <c r="AZ267">
        <v>4.0000000000000001E-3</v>
      </c>
      <c r="BA267" s="31">
        <v>1.0878989184204343E-2</v>
      </c>
      <c r="BB267" s="31">
        <v>6.9968788630239438E-3</v>
      </c>
    </row>
    <row r="268" spans="49:54">
      <c r="AW268" s="147">
        <v>0.69630184604715795</v>
      </c>
      <c r="AX268" s="232"/>
      <c r="AY268" s="31">
        <v>1.0637836564106221E-2</v>
      </c>
      <c r="BA268" s="31">
        <v>1.3380194948273687E-2</v>
      </c>
      <c r="BB268" s="31"/>
    </row>
    <row r="269" spans="49:54">
      <c r="AW269" s="147">
        <v>0.85047951890345563</v>
      </c>
      <c r="AX269" s="232">
        <v>0.70250000000000012</v>
      </c>
      <c r="AY269" s="31">
        <v>1.2524310219806656E-2</v>
      </c>
      <c r="AZ269">
        <v>4.0000000000000001E-3</v>
      </c>
      <c r="BA269" s="31">
        <v>1.7896232477209558E-2</v>
      </c>
      <c r="BB269" s="31">
        <v>2.6423204574796928E-2</v>
      </c>
    </row>
    <row r="270" spans="49:54">
      <c r="AW270" s="147">
        <v>0.96516311621793283</v>
      </c>
      <c r="AX270" s="232">
        <v>0.62960800000000006</v>
      </c>
      <c r="AY270" s="31">
        <v>8.7651324093746159E-3</v>
      </c>
      <c r="AZ270">
        <v>5.0000000000000001E-3</v>
      </c>
      <c r="BA270" s="31">
        <v>1.2788164274878135E-2</v>
      </c>
      <c r="BB270" s="31">
        <v>1.5340688748588339E-2</v>
      </c>
    </row>
    <row r="271" spans="49:54">
      <c r="AW271" s="147">
        <v>1.7519727976472343</v>
      </c>
      <c r="AX271" s="232"/>
      <c r="AY271" s="31">
        <v>2.7606777992428784E-2</v>
      </c>
      <c r="BA271" s="31">
        <v>3.382751957284711E-2</v>
      </c>
      <c r="BB271" s="31"/>
    </row>
    <row r="272" spans="49:54">
      <c r="AW272" s="147">
        <v>1.4702910617532412</v>
      </c>
      <c r="AX272" s="232">
        <v>1.3643780000000001</v>
      </c>
      <c r="AY272" s="31">
        <v>1.8987482236713978E-2</v>
      </c>
      <c r="AZ272">
        <v>1.6800000000000006E-2</v>
      </c>
      <c r="BA272" s="31">
        <v>2.5627099863963464E-2</v>
      </c>
      <c r="BB272" s="31">
        <v>6.958737439651555E-2</v>
      </c>
    </row>
    <row r="273" spans="49:54">
      <c r="AW273" s="147">
        <v>1.3343352464669878</v>
      </c>
      <c r="AX273" s="232"/>
      <c r="AY273" s="31">
        <v>1.4851362699682798E-2</v>
      </c>
      <c r="BA273" s="31">
        <v>2.1746828260514193E-2</v>
      </c>
      <c r="BB273" s="31"/>
    </row>
    <row r="274" spans="49:54">
      <c r="AW274" s="147">
        <v>1.8618680562985386</v>
      </c>
      <c r="AX274" s="232"/>
      <c r="AY274" s="31">
        <v>1.7047412578390389E-2</v>
      </c>
      <c r="BA274" s="31">
        <v>2.6966700542493109E-2</v>
      </c>
      <c r="BB274" s="31"/>
    </row>
    <row r="275" spans="49:54">
      <c r="AW275" s="147">
        <v>0.89966042615060959</v>
      </c>
      <c r="AX275" s="232"/>
      <c r="AY275" s="31">
        <v>6.512427951421397E-2</v>
      </c>
      <c r="BA275" s="31">
        <v>7.8939625323040871E-2</v>
      </c>
      <c r="BB275" s="31"/>
    </row>
    <row r="276" spans="49:54">
      <c r="AW276" s="147">
        <v>2.7892918940884286</v>
      </c>
      <c r="AX276" s="232">
        <v>3.0183600000000004</v>
      </c>
      <c r="AY276" s="31">
        <v>7.366093661607831E-2</v>
      </c>
      <c r="AZ276">
        <v>0.12976000000000021</v>
      </c>
      <c r="BA276" s="31">
        <v>9.7229050323787966E-2</v>
      </c>
      <c r="BB276" s="31">
        <v>0.13727523269596265</v>
      </c>
    </row>
    <row r="277" spans="49:54">
      <c r="AW277" s="147">
        <v>1.9236260251180228</v>
      </c>
      <c r="AX277" s="232">
        <v>3.0726</v>
      </c>
      <c r="AY277" s="31">
        <v>6.7901438729421712E-2</v>
      </c>
      <c r="AZ277">
        <v>0.11960000000000014</v>
      </c>
      <c r="BA277" s="31">
        <v>8.73870401295129E-2</v>
      </c>
      <c r="BB277" s="31">
        <v>0.11734972468916335</v>
      </c>
    </row>
    <row r="278" spans="49:54">
      <c r="AW278" s="147">
        <v>0.6388054957972914</v>
      </c>
      <c r="AX278" s="232"/>
      <c r="AY278" s="31">
        <v>1.3062158476817668E-2</v>
      </c>
      <c r="BA278" s="31">
        <v>1.9392789885768189E-2</v>
      </c>
      <c r="BB278" s="31">
        <v>1.9789696301169443E-2</v>
      </c>
    </row>
    <row r="279" spans="49:54">
      <c r="AW279" s="147">
        <v>0.75745892615871313</v>
      </c>
      <c r="AX279" s="232">
        <v>0.52187000000000006</v>
      </c>
      <c r="AY279" s="31">
        <v>1.0364910171838543E-2</v>
      </c>
      <c r="AZ279">
        <v>5.0000000000000001E-3</v>
      </c>
      <c r="BA279" s="31">
        <v>1.5372229170557665E-2</v>
      </c>
      <c r="BB279" s="31">
        <v>2.3933084313158558E-2</v>
      </c>
    </row>
    <row r="280" spans="49:54">
      <c r="AW280" s="147">
        <v>1.3101316891314538</v>
      </c>
      <c r="AX280" s="232">
        <v>1.6588850000000002</v>
      </c>
      <c r="AY280" s="31">
        <v>2.059290655271152E-2</v>
      </c>
      <c r="AZ280">
        <v>2.7000000000000003E-2</v>
      </c>
      <c r="BA280" s="31">
        <v>2.7638354108451897E-2</v>
      </c>
      <c r="BB280" s="31">
        <v>7.7060236759596237E-2</v>
      </c>
    </row>
    <row r="281" spans="49:54">
      <c r="AW281" s="147">
        <v>1.6164314614294804</v>
      </c>
      <c r="AX281" s="232"/>
      <c r="AY281" s="31">
        <v>3.9491302455126831E-2</v>
      </c>
      <c r="BA281" s="31">
        <v>5.1692432883830478E-2</v>
      </c>
      <c r="BB281" s="31"/>
    </row>
    <row r="282" spans="49:54">
      <c r="AW282" s="147">
        <v>1.9247657705074963</v>
      </c>
      <c r="AX282" s="232"/>
      <c r="AY282" s="31">
        <v>2.7384231795307527E-2</v>
      </c>
      <c r="BA282" s="31">
        <v>3.811844479203013E-2</v>
      </c>
      <c r="BB282" s="31"/>
    </row>
    <row r="283" spans="49:54">
      <c r="AW283" s="147">
        <v>1.8696881887577343</v>
      </c>
      <c r="AX283" s="232"/>
      <c r="AY283" s="31">
        <v>2.0313469056225782E-2</v>
      </c>
      <c r="BA283" s="31">
        <v>3.3737280867765757E-2</v>
      </c>
      <c r="BB283" s="31"/>
    </row>
    <row r="284" spans="49:54">
      <c r="AW284" s="147">
        <v>1.1109245278453435</v>
      </c>
      <c r="AX284" s="232"/>
      <c r="AY284" s="31">
        <v>1.4859836105880471E-2</v>
      </c>
      <c r="BA284" s="31">
        <v>2.0584700972271747E-2</v>
      </c>
      <c r="BB284" s="31"/>
    </row>
    <row r="285" spans="49:54">
      <c r="AW285" s="147">
        <v>1.3027105302073181</v>
      </c>
      <c r="AX285" s="232">
        <v>0.94935499999999995</v>
      </c>
      <c r="AY285" s="31">
        <v>2.0729756701267636E-2</v>
      </c>
      <c r="AZ285">
        <v>2.1000000000000001E-2</v>
      </c>
      <c r="BA285" s="31">
        <v>2.8093897369928494E-2</v>
      </c>
      <c r="BB285" s="31">
        <v>3.9382658871548772E-2</v>
      </c>
    </row>
    <row r="286" spans="49:54">
      <c r="AW286" s="147">
        <v>1.4816999747537325</v>
      </c>
      <c r="AX286" s="232"/>
      <c r="AY286" s="31">
        <v>2.2677164689394048E-2</v>
      </c>
      <c r="BA286" s="31">
        <v>3.1679492339906704E-2</v>
      </c>
      <c r="BB286" s="31"/>
    </row>
    <row r="287" spans="49:54">
      <c r="AW287" s="147">
        <v>1.7347085960954551</v>
      </c>
      <c r="AX287" s="232"/>
      <c r="AY287" s="31">
        <v>4.6941937160514279E-2</v>
      </c>
      <c r="BA287" s="31">
        <v>6.133418493194065E-2</v>
      </c>
      <c r="BB287" s="31"/>
    </row>
    <row r="288" spans="49:54">
      <c r="AW288" s="147">
        <v>0.64161452128394525</v>
      </c>
      <c r="AX288" s="232"/>
      <c r="AY288" s="31">
        <v>9.6701417117865205E-3</v>
      </c>
      <c r="BA288" s="31">
        <v>1.4870421017354944E-2</v>
      </c>
      <c r="BB288" s="31"/>
    </row>
    <row r="289" spans="49:54">
      <c r="AW289" s="147">
        <v>0.49980665100420107</v>
      </c>
      <c r="AX289" s="232"/>
      <c r="AY289" s="31">
        <v>7.6090627916427997E-3</v>
      </c>
      <c r="BA289" s="31">
        <v>1.0522738315297625E-2</v>
      </c>
      <c r="BB289" s="31"/>
    </row>
    <row r="290" spans="49:54">
      <c r="AW290" s="147">
        <v>0.52739202899792748</v>
      </c>
      <c r="AX290" s="232"/>
      <c r="AY290" s="31">
        <v>9.9943702031209097E-3</v>
      </c>
      <c r="BA290" s="31">
        <v>1.3168301100677182E-2</v>
      </c>
      <c r="BB290" s="31"/>
    </row>
    <row r="291" spans="49:54">
      <c r="AW291" s="147">
        <v>0.59865872364068584</v>
      </c>
      <c r="AX291" s="232"/>
      <c r="AY291" s="31">
        <v>6.8674175243550488E-3</v>
      </c>
      <c r="BA291" s="31">
        <v>1.0173952728450196E-2</v>
      </c>
      <c r="BB291" s="31"/>
    </row>
    <row r="292" spans="49:54">
      <c r="AW292" s="147">
        <v>0.69497621274327659</v>
      </c>
      <c r="AX292" s="232"/>
      <c r="AY292" s="31">
        <v>6.3065310904542315E-3</v>
      </c>
      <c r="BA292" s="31">
        <v>1.0445237673693479E-2</v>
      </c>
      <c r="BB292" s="31"/>
    </row>
    <row r="293" spans="49:54">
      <c r="AW293" s="147">
        <v>0.8811954425038131</v>
      </c>
      <c r="AX293" s="232"/>
      <c r="AY293" s="31">
        <v>1.8417503123177213E-2</v>
      </c>
      <c r="BA293" s="31">
        <v>2.065405817268625E-2</v>
      </c>
      <c r="BB293" s="31"/>
    </row>
    <row r="294" spans="49:54">
      <c r="AW294" s="147">
        <v>1.0881771816621193</v>
      </c>
      <c r="AX294" s="232"/>
      <c r="AY294" s="31">
        <v>1.566482129624729E-2</v>
      </c>
      <c r="BA294" s="31">
        <v>1.8863541550380399E-2</v>
      </c>
      <c r="BB294" s="31"/>
    </row>
    <row r="295" spans="49:54">
      <c r="AW295" s="147">
        <v>1.152785665474972</v>
      </c>
      <c r="AX295" s="232"/>
      <c r="AY295" s="31">
        <v>1.5928313227683063E-2</v>
      </c>
      <c r="BA295" s="31">
        <v>1.8685877565364179E-2</v>
      </c>
      <c r="BB295" s="31"/>
    </row>
    <row r="296" spans="49:54">
      <c r="AW296" s="147">
        <v>0.61108549169591564</v>
      </c>
      <c r="AX296" s="232"/>
      <c r="AY296" s="31">
        <v>8.2925625641302424E-3</v>
      </c>
      <c r="BA296" s="31">
        <v>1.0484729844487249E-2</v>
      </c>
      <c r="BB296" s="31"/>
    </row>
    <row r="297" spans="49:54">
      <c r="AW297" s="147">
        <v>0.97153033220974716</v>
      </c>
      <c r="AX297" s="232"/>
      <c r="AY297" s="31">
        <v>6.0612572316192929E-2</v>
      </c>
      <c r="BA297" s="31">
        <v>7.2229659247586786E-2</v>
      </c>
      <c r="BB297" s="31"/>
    </row>
    <row r="298" spans="49:54">
      <c r="AW298" s="147">
        <v>1.6232522913677752</v>
      </c>
      <c r="AX298" s="232"/>
      <c r="AY298" s="31">
        <v>2.8056106893759161E-2</v>
      </c>
      <c r="BA298" s="31">
        <v>3.3383301434337806E-2</v>
      </c>
      <c r="BB298" s="31"/>
    </row>
    <row r="299" spans="49:54">
      <c r="AW299" s="147">
        <v>0.98661632290456236</v>
      </c>
      <c r="AX299" s="232"/>
      <c r="AY299" s="31">
        <v>1.0654247790186613E-2</v>
      </c>
      <c r="BA299" s="31">
        <v>1.5503326392940116E-2</v>
      </c>
      <c r="BB299" s="31"/>
    </row>
    <row r="300" spans="49:54">
      <c r="AW300" s="147">
        <v>1.1924423495817236</v>
      </c>
      <c r="AX300" s="232"/>
      <c r="AY300" s="31">
        <v>1.234469152395355E-2</v>
      </c>
      <c r="BA300" s="31">
        <v>1.8154184432882366E-2</v>
      </c>
      <c r="BB300" s="31"/>
    </row>
    <row r="301" spans="49:54">
      <c r="AW301" s="147">
        <v>1.7168453946978806</v>
      </c>
      <c r="AX301" s="232"/>
      <c r="AY301" s="31">
        <v>2.4632319040021819E-2</v>
      </c>
      <c r="BA301" s="31">
        <v>3.5065288231806865E-2</v>
      </c>
      <c r="BB301" s="31"/>
    </row>
    <row r="302" spans="49:54">
      <c r="AW302" s="147">
        <v>1.5231795218614206</v>
      </c>
      <c r="AX302" s="232"/>
      <c r="AY302" s="31">
        <v>7.225764112447527E-3</v>
      </c>
      <c r="BA302" s="31">
        <v>1.6338364848441995E-2</v>
      </c>
      <c r="BB302" s="31"/>
    </row>
    <row r="303" spans="49:54">
      <c r="AW303" s="147">
        <v>1.6237479012473275</v>
      </c>
      <c r="AX303" s="232"/>
      <c r="AY303" s="31">
        <v>1.6208115099822958E-2</v>
      </c>
      <c r="BA303" s="31">
        <v>2.7150655623261875E-2</v>
      </c>
      <c r="BB303" s="31"/>
    </row>
    <row r="304" spans="49:54">
      <c r="AW304" s="147">
        <v>1.3372298622900345</v>
      </c>
      <c r="AX304" s="232"/>
      <c r="AY304" s="31">
        <v>1.0489720145548075E-2</v>
      </c>
      <c r="BA304" s="31">
        <v>1.6253463235575357E-2</v>
      </c>
      <c r="BB304" s="31"/>
    </row>
    <row r="305" spans="49:54">
      <c r="AW305" s="147">
        <v>1.3471896767500724</v>
      </c>
      <c r="AX305" s="232"/>
      <c r="AY305" s="31">
        <v>3.2096931703870764E-3</v>
      </c>
      <c r="BA305" s="31">
        <v>7.881977974396959E-3</v>
      </c>
      <c r="BB305" s="31">
        <v>3.3874227779058505E-2</v>
      </c>
    </row>
    <row r="306" spans="49:54">
      <c r="AW306" s="147">
        <v>1.8351986272994312</v>
      </c>
      <c r="AX306" s="232">
        <v>1.4683619999999999</v>
      </c>
      <c r="AY306" s="31">
        <v>1.9636434479054696E-2</v>
      </c>
      <c r="AZ306">
        <v>3.1760000000000004E-2</v>
      </c>
      <c r="BA306" s="31">
        <v>2.7759082522530978E-2</v>
      </c>
      <c r="BB306" s="31">
        <v>3.6103174674032158E-2</v>
      </c>
    </row>
    <row r="307" spans="49:54">
      <c r="AW307" s="147">
        <v>1.8400180569979743</v>
      </c>
      <c r="AX307" s="232"/>
      <c r="AY307" s="31">
        <v>2.9212315981757886E-2</v>
      </c>
      <c r="BA307" s="31">
        <v>3.9798987728716359E-2</v>
      </c>
      <c r="BB307" s="31"/>
    </row>
    <row r="308" spans="49:54">
      <c r="AW308" s="147">
        <v>1.7595526168196347</v>
      </c>
      <c r="AX308" s="232"/>
      <c r="AY308" s="31">
        <v>1.1988120565727879E-2</v>
      </c>
      <c r="BA308" s="31">
        <v>2.0040747281353362E-2</v>
      </c>
      <c r="BB308" s="31"/>
    </row>
    <row r="309" spans="49:54">
      <c r="AW309" s="147">
        <v>1.5775779396166232</v>
      </c>
      <c r="AX309" s="232"/>
      <c r="AY309" s="31">
        <v>2.8523166344072502E-2</v>
      </c>
      <c r="BA309" s="31">
        <v>3.4624779687653567E-2</v>
      </c>
      <c r="BB309" s="31"/>
    </row>
    <row r="310" spans="49:54">
      <c r="AW310" s="147">
        <v>3.5179911281515963</v>
      </c>
      <c r="AX310" s="232">
        <v>2.1654800000000001</v>
      </c>
      <c r="AY310" s="31">
        <v>6.6906359550471292E-2</v>
      </c>
      <c r="AZ310">
        <v>6.2960000000000016E-2</v>
      </c>
      <c r="BA310" s="31">
        <v>8.5272285501039227E-2</v>
      </c>
      <c r="BB310" s="31">
        <v>5.9374819987486872E-2</v>
      </c>
    </row>
    <row r="311" spans="49:54">
      <c r="AW311" s="147">
        <v>3.477601667959195</v>
      </c>
      <c r="AX311" s="232"/>
      <c r="AY311" s="31">
        <v>6.3411841836958208E-2</v>
      </c>
      <c r="BA311" s="31">
        <v>8.5210125150331259E-2</v>
      </c>
      <c r="BB311" s="31"/>
    </row>
    <row r="312" spans="49:54">
      <c r="AW312" s="147">
        <v>7.1699993996527853</v>
      </c>
      <c r="AX312" s="232"/>
      <c r="AY312" s="31">
        <v>0.17613687141542941</v>
      </c>
      <c r="BA312" s="31">
        <v>0.35072860362024599</v>
      </c>
      <c r="BB312" s="31"/>
    </row>
    <row r="313" spans="49:54">
      <c r="AW313" s="147">
        <v>2.1626031355540953</v>
      </c>
      <c r="AX313" s="232"/>
      <c r="AY313" s="31">
        <v>4.1945578421681069E-2</v>
      </c>
      <c r="BA313" s="31">
        <v>5.7631200248604804E-2</v>
      </c>
      <c r="BB313" s="31"/>
    </row>
    <row r="314" spans="49:54">
      <c r="AW314" s="147">
        <v>3.4012586141212746</v>
      </c>
      <c r="AX314" s="232"/>
      <c r="AY314" s="31">
        <v>6.4726008582803488E-2</v>
      </c>
      <c r="BA314" s="31">
        <v>0.10115768482060096</v>
      </c>
      <c r="BB314" s="31"/>
    </row>
    <row r="315" spans="49:54">
      <c r="AW315" s="147">
        <v>2.8694627868961518</v>
      </c>
      <c r="AX315" s="232"/>
      <c r="AY315" s="31">
        <v>7.5941375702473501E-2</v>
      </c>
      <c r="BA315" s="31">
        <v>0.13194570625638796</v>
      </c>
      <c r="BB315" s="31"/>
    </row>
    <row r="316" spans="49:54">
      <c r="AW316" s="147">
        <v>1.6071750981323776</v>
      </c>
      <c r="AX316" s="232">
        <v>2.0674000000000001</v>
      </c>
      <c r="AY316" s="31">
        <v>3.6032490400330755E-2</v>
      </c>
      <c r="AZ316">
        <v>3.0180000000000002E-2</v>
      </c>
      <c r="BA316" s="31">
        <v>4.9044110829250663E-2</v>
      </c>
      <c r="BB316" s="31">
        <v>4.5289214498509367E-2</v>
      </c>
    </row>
    <row r="317" spans="49:54">
      <c r="AW317" s="147">
        <v>2.2694019412705924</v>
      </c>
      <c r="AX317" s="232">
        <v>2.4251000000000005</v>
      </c>
      <c r="AY317" s="31">
        <v>5.9247722847413815E-2</v>
      </c>
      <c r="AZ317">
        <v>2.9610000000000004E-2</v>
      </c>
      <c r="BA317" s="31">
        <v>9.581896337481921E-2</v>
      </c>
      <c r="BB317" s="31">
        <v>6.5921208599523953E-2</v>
      </c>
    </row>
    <row r="318" spans="49:54">
      <c r="AW318" s="147">
        <v>3.3079069423685272</v>
      </c>
      <c r="AX318" s="232"/>
      <c r="AY318" s="31">
        <v>0.11370258375945139</v>
      </c>
      <c r="BA318" s="31">
        <v>0.29113842136096302</v>
      </c>
      <c r="BB318" s="31"/>
    </row>
    <row r="319" spans="49:54">
      <c r="AW319" s="147">
        <v>3.5201904312462622</v>
      </c>
      <c r="AX319" s="232"/>
      <c r="AY319" s="31">
        <v>0.12178122450202684</v>
      </c>
      <c r="BA319" s="31">
        <v>0.32134424360980468</v>
      </c>
      <c r="BB319" s="31"/>
    </row>
    <row r="320" spans="49:54">
      <c r="AW320" s="147">
        <v>4.7381078531705061</v>
      </c>
      <c r="AX320" s="232"/>
      <c r="AY320" s="31">
        <v>0.24790834610902987</v>
      </c>
      <c r="BA320" s="31">
        <v>0.51083298919075371</v>
      </c>
      <c r="BB320" s="31"/>
    </row>
    <row r="321" spans="49:54">
      <c r="AW321" s="147">
        <v>4.6165218671141579</v>
      </c>
      <c r="AX321" s="232"/>
      <c r="AY321" s="31">
        <v>0.20606636940974393</v>
      </c>
      <c r="BA321" s="31">
        <v>0.4116244929925833</v>
      </c>
      <c r="BB321" s="31"/>
    </row>
    <row r="322" spans="49:54">
      <c r="AW322" s="147">
        <v>6.1307406119334287</v>
      </c>
      <c r="AX322" s="232"/>
      <c r="AY322" s="31">
        <v>0.10608947267145702</v>
      </c>
      <c r="BA322" s="31">
        <v>0.2298219648532176</v>
      </c>
      <c r="BB322" s="31"/>
    </row>
    <row r="323" spans="49:54">
      <c r="AW323" s="147">
        <v>0.25063774971852215</v>
      </c>
      <c r="AX323" s="232"/>
      <c r="AY323" s="31">
        <v>9.2561517840017773E-3</v>
      </c>
      <c r="BA323" s="31">
        <v>1.141068004887189E-2</v>
      </c>
      <c r="BB323" s="31">
        <v>6.2095687651558167E-3</v>
      </c>
    </row>
    <row r="324" spans="49:54">
      <c r="AW324" s="147">
        <v>0.33560208429454352</v>
      </c>
      <c r="AX324" s="232"/>
      <c r="AY324" s="31">
        <v>1.1781670639282555E-2</v>
      </c>
      <c r="BA324" s="31">
        <v>1.4105187004857536E-2</v>
      </c>
      <c r="BB324" s="31"/>
    </row>
    <row r="325" spans="49:54">
      <c r="AW325" s="147">
        <v>0.64925310761623178</v>
      </c>
      <c r="AX325" s="232"/>
      <c r="AY325" s="31">
        <v>7.2823399278320556E-3</v>
      </c>
      <c r="BA325" s="31">
        <v>1.0659566787539125E-2</v>
      </c>
      <c r="BB325" s="31"/>
    </row>
    <row r="326" spans="49:54">
      <c r="AW326" s="147">
        <v>0.55598687792437984</v>
      </c>
      <c r="AX326" s="232"/>
      <c r="AY326" s="31">
        <v>2.5681542651418698E-3</v>
      </c>
      <c r="BA326" s="31">
        <v>4.2580175766417467E-3</v>
      </c>
      <c r="BB326" s="31">
        <v>4.7788692931145932E-3</v>
      </c>
    </row>
    <row r="327" spans="49:54">
      <c r="AW327" s="147">
        <v>0.66335408371448368</v>
      </c>
      <c r="AX327" s="232"/>
      <c r="AY327" s="31">
        <v>4.7636643757719829E-3</v>
      </c>
      <c r="BA327" s="31">
        <v>6.5967594860831041E-3</v>
      </c>
      <c r="BB327" s="31"/>
    </row>
    <row r="328" spans="49:54">
      <c r="AW328" s="147">
        <v>0.37568856430764158</v>
      </c>
      <c r="AX328" s="232"/>
      <c r="AY328" s="31">
        <v>1.1064517569059783E-2</v>
      </c>
      <c r="BA328" s="31">
        <v>1.3224778478080526E-2</v>
      </c>
      <c r="BB328" s="31"/>
    </row>
    <row r="329" spans="49:54">
      <c r="AW329" s="147">
        <v>0.61923687447143239</v>
      </c>
      <c r="AX329" s="232"/>
      <c r="AY329" s="31">
        <v>1.2703172757410265E-2</v>
      </c>
      <c r="BA329" s="31">
        <v>1.5794533414155661E-2</v>
      </c>
      <c r="BB329" s="31"/>
    </row>
    <row r="330" spans="49:54">
      <c r="AW330" s="147">
        <v>1.1085036594518141</v>
      </c>
      <c r="AX330" s="232"/>
      <c r="AY330" s="31">
        <v>2.020689849512159E-2</v>
      </c>
      <c r="BA330" s="31">
        <v>2.5740580468348061E-2</v>
      </c>
      <c r="BB330" s="31"/>
    </row>
    <row r="331" spans="49:54">
      <c r="AW331" s="147">
        <v>3.3632784906195465</v>
      </c>
      <c r="AX331" s="232"/>
      <c r="AY331" s="31">
        <v>8.8358024338107855E-2</v>
      </c>
      <c r="BA331" s="31">
        <v>0.10591189239116683</v>
      </c>
      <c r="BB331" s="31"/>
    </row>
    <row r="332" spans="49:54">
      <c r="AW332" s="147">
        <v>0.84169433091452139</v>
      </c>
      <c r="AX332" s="232"/>
      <c r="AY332" s="31">
        <v>9.0257406677331058E-3</v>
      </c>
      <c r="BA332" s="31">
        <v>1.1242132080987021E-2</v>
      </c>
      <c r="BB332" s="31"/>
    </row>
    <row r="333" spans="49:54">
      <c r="AW333" s="147">
        <v>1.1971598178020828</v>
      </c>
      <c r="AX333" s="232"/>
      <c r="AY333" s="31">
        <v>2.7243961194945092E-2</v>
      </c>
      <c r="BA333" s="31">
        <v>2.9013799485285239E-2</v>
      </c>
      <c r="BB333" s="31"/>
    </row>
    <row r="334" spans="49:54">
      <c r="AW334" s="147">
        <v>1.443482401915023</v>
      </c>
      <c r="AX334" s="232"/>
      <c r="AY334" s="31">
        <v>3.8031762329905468E-2</v>
      </c>
      <c r="BA334" s="31">
        <v>3.9157958405743834E-2</v>
      </c>
      <c r="BB334" s="31"/>
    </row>
    <row r="335" spans="49:54">
      <c r="AW335" s="147">
        <v>0.7868264974130541</v>
      </c>
      <c r="AX335" s="232"/>
      <c r="AY335" s="31">
        <v>1.449256695981983E-2</v>
      </c>
      <c r="BA335" s="31">
        <v>1.6605742687345024E-2</v>
      </c>
      <c r="BB335" s="31"/>
    </row>
    <row r="336" spans="49:54">
      <c r="AW336" s="147">
        <v>4.3150046850434407</v>
      </c>
      <c r="AX336" s="232"/>
      <c r="AY336" s="31">
        <v>8.1185748854865236E-2</v>
      </c>
      <c r="BA336" s="31">
        <v>8.480961517013548E-2</v>
      </c>
      <c r="BB336" s="31"/>
    </row>
    <row r="337" spans="49:54">
      <c r="AW337" s="147">
        <v>2.6507352565660587</v>
      </c>
      <c r="AX337" s="232"/>
      <c r="AY337" s="31">
        <v>4.8587511702931643E-2</v>
      </c>
      <c r="BA337" s="31">
        <v>5.2201707986336762E-2</v>
      </c>
      <c r="BB337" s="31"/>
    </row>
    <row r="338" spans="49:54">
      <c r="AW338" s="147">
        <v>1.5839729416471853</v>
      </c>
      <c r="AX338" s="232"/>
      <c r="AY338" s="31">
        <v>6.2022989557126235E-2</v>
      </c>
      <c r="BA338" s="31">
        <v>6.8856042810307369E-2</v>
      </c>
      <c r="BB338" s="31"/>
    </row>
    <row r="339" spans="49:54">
      <c r="AW339" s="147">
        <v>1.4955631153332614</v>
      </c>
      <c r="AX339" s="232"/>
      <c r="AY339" s="31">
        <v>3.3714423542408785E-2</v>
      </c>
      <c r="BA339" s="31">
        <v>3.9111811355324967E-2</v>
      </c>
      <c r="BB339" s="31"/>
    </row>
    <row r="340" spans="49:54">
      <c r="AW340" s="147">
        <v>2.0451060609593927</v>
      </c>
      <c r="AX340" s="232"/>
      <c r="AY340" s="31">
        <v>5.8685502909210388E-2</v>
      </c>
      <c r="BA340" s="31">
        <v>6.6729197258760892E-2</v>
      </c>
      <c r="BB340" s="31"/>
    </row>
    <row r="341" spans="49:54">
      <c r="AW341" s="147">
        <v>0.74601617514686558</v>
      </c>
      <c r="AX341" s="232">
        <v>0.68102499999999999</v>
      </c>
      <c r="AY341" s="31">
        <v>1.1984974400228231E-2</v>
      </c>
      <c r="AZ341">
        <v>1.4979999999999999E-2</v>
      </c>
      <c r="BA341" s="31">
        <v>1.3517528289917525E-2</v>
      </c>
      <c r="BB341" s="31">
        <v>1.2077672868065534E-2</v>
      </c>
    </row>
    <row r="342" spans="49:54">
      <c r="AW342" s="147">
        <v>0.84990553919334366</v>
      </c>
      <c r="AX342" s="232">
        <v>0.84151200000000004</v>
      </c>
      <c r="AY342" s="31">
        <v>1.3565933302540007E-2</v>
      </c>
      <c r="AZ342">
        <v>4.0440000000000042E-3</v>
      </c>
      <c r="BA342" s="31">
        <v>1.7814816912226313E-2</v>
      </c>
      <c r="BB342" s="31">
        <v>8.5644838604940886E-3</v>
      </c>
    </row>
    <row r="343" spans="49:54">
      <c r="AW343" s="147">
        <v>1.8383078732387457</v>
      </c>
      <c r="AX343" s="232"/>
      <c r="AY343" s="31">
        <v>2.8983558916195026E-2</v>
      </c>
      <c r="BA343" s="31">
        <v>4.1179249709250867E-2</v>
      </c>
      <c r="BB343" s="31"/>
    </row>
    <row r="344" spans="49:54">
      <c r="AW344" s="147">
        <v>1.092566287819702</v>
      </c>
      <c r="AX344" s="232">
        <v>0.86495999999999995</v>
      </c>
      <c r="AY344" s="31">
        <v>2.0612859119220193E-2</v>
      </c>
      <c r="AZ344">
        <v>8.4099999999999991E-3</v>
      </c>
      <c r="BA344" s="31">
        <v>2.4293072340304107E-2</v>
      </c>
      <c r="BB344" s="31">
        <v>1.7700328930135144E-2</v>
      </c>
    </row>
    <row r="345" spans="49:54">
      <c r="AW345" s="147">
        <v>1.0557949280827528</v>
      </c>
      <c r="AX345" s="232"/>
      <c r="AY345" s="31">
        <v>2.1304793616060181E-2</v>
      </c>
      <c r="BA345" s="31">
        <v>2.4538872505549224E-2</v>
      </c>
      <c r="BB345" s="31"/>
    </row>
    <row r="346" spans="49:54">
      <c r="AW346" s="147">
        <v>1.0942135072201529</v>
      </c>
      <c r="AX346" s="232">
        <v>0.90965000000000007</v>
      </c>
      <c r="AY346" s="31">
        <v>1.4682199640863206E-2</v>
      </c>
      <c r="AZ346">
        <v>8.0000000000000002E-3</v>
      </c>
      <c r="BA346" s="31">
        <v>1.8321413250032514E-2</v>
      </c>
      <c r="BB346" s="31">
        <v>2.1123249542282441E-2</v>
      </c>
    </row>
    <row r="347" spans="49:54">
      <c r="AW347" s="147">
        <v>1.2119221469701689</v>
      </c>
      <c r="AX347" s="232">
        <v>1.7630440000000001</v>
      </c>
      <c r="AY347" s="31">
        <v>1.4723838462060601E-2</v>
      </c>
      <c r="AZ347">
        <v>9.7800000000000005E-3</v>
      </c>
      <c r="BA347" s="31">
        <v>1.8817811759408259E-2</v>
      </c>
      <c r="BB347" s="31">
        <v>2.1359241248097412E-2</v>
      </c>
    </row>
    <row r="348" spans="49:54">
      <c r="AW348" s="147">
        <v>5.3745229117052968</v>
      </c>
      <c r="AX348" s="232"/>
      <c r="AY348" s="31">
        <v>0.14982735173005624</v>
      </c>
      <c r="BA348" s="31">
        <v>0.21870611991040459</v>
      </c>
      <c r="BB348" s="31"/>
    </row>
    <row r="349" spans="49:54">
      <c r="AW349" s="147">
        <v>5.271276967564658</v>
      </c>
      <c r="AX349" s="232"/>
      <c r="AY349" s="31">
        <v>0.15160531351352555</v>
      </c>
      <c r="BA349" s="31">
        <v>0.22181524600420494</v>
      </c>
      <c r="BB349" s="31"/>
    </row>
    <row r="350" spans="49:54">
      <c r="AW350" s="147">
        <v>0.48903204418058754</v>
      </c>
      <c r="AX350" s="232">
        <v>0.51800000000000002</v>
      </c>
      <c r="AY350" s="31">
        <v>1.1915875787777886E-2</v>
      </c>
      <c r="AZ350">
        <v>7.0000000000000001E-3</v>
      </c>
      <c r="BA350" s="31">
        <v>9.3249400572319924E-2</v>
      </c>
      <c r="BB350" s="31">
        <v>5.0263627562283537E-2</v>
      </c>
    </row>
    <row r="351" spans="49:54">
      <c r="AW351" s="147">
        <v>0.63247198059532139</v>
      </c>
      <c r="AX351" s="232">
        <v>0.68807099999999999</v>
      </c>
      <c r="AY351" s="31">
        <v>1.839129951386264E-2</v>
      </c>
      <c r="AZ351">
        <v>5.1000000000000012E-3</v>
      </c>
      <c r="BA351" s="31">
        <v>7.1554541151386014E-2</v>
      </c>
      <c r="BB351" s="31">
        <v>7.9841942779185063E-2</v>
      </c>
    </row>
    <row r="352" spans="49:54">
      <c r="AW352" s="147">
        <v>0.72889629566667558</v>
      </c>
      <c r="AX352" s="232"/>
      <c r="AY352" s="31">
        <v>1.8360769024821415E-2</v>
      </c>
      <c r="BA352" s="31">
        <v>5.5622371053104185E-2</v>
      </c>
      <c r="BB352" s="31"/>
    </row>
    <row r="353" spans="49:54">
      <c r="AW353" s="147">
        <v>0.86200844592196635</v>
      </c>
      <c r="AX353" s="232"/>
      <c r="AY353" s="31">
        <v>2.0010827970802086E-2</v>
      </c>
      <c r="BA353" s="31">
        <v>4.8613676370611487E-2</v>
      </c>
      <c r="BB353" s="31"/>
    </row>
    <row r="354" spans="49:54">
      <c r="AW354" s="147">
        <v>0.9122166756053387</v>
      </c>
      <c r="AX354" s="232"/>
      <c r="AY354" s="31">
        <v>2.0939878809713187E-2</v>
      </c>
      <c r="BA354" s="31">
        <v>4.8482605533693546E-2</v>
      </c>
      <c r="BB354" s="31"/>
    </row>
    <row r="355" spans="49:54">
      <c r="AW355" s="147">
        <v>0.59962257617935577</v>
      </c>
      <c r="AX355" s="232">
        <v>0.70024999999999993</v>
      </c>
      <c r="AY355" s="31">
        <v>1.5231036912041621E-2</v>
      </c>
      <c r="AZ355">
        <v>8.5840000000000014E-3</v>
      </c>
      <c r="BA355" s="31">
        <v>1.939047126203311E-2</v>
      </c>
      <c r="BB355" s="31">
        <v>1.5103598297446142E-2</v>
      </c>
    </row>
    <row r="356" spans="49:54">
      <c r="AW356" s="147">
        <v>0.95549933039718327</v>
      </c>
      <c r="AX356" s="232">
        <v>1.07731</v>
      </c>
      <c r="AY356" s="31">
        <v>2.4607270496428444E-2</v>
      </c>
      <c r="AZ356">
        <v>2.758E-2</v>
      </c>
      <c r="BA356" s="31">
        <v>3.0160265855122922E-2</v>
      </c>
      <c r="BB356" s="31">
        <v>2.9915894475171744E-2</v>
      </c>
    </row>
    <row r="357" spans="49:54">
      <c r="AW357" s="147">
        <v>1.2971946742463634</v>
      </c>
      <c r="AX357" s="232">
        <v>1.3411299999999999</v>
      </c>
      <c r="AY357" s="31">
        <v>2.7798042245782705E-2</v>
      </c>
      <c r="AZ357">
        <v>2.1000000000000001E-2</v>
      </c>
      <c r="BA357" s="31">
        <v>3.5343143531638324E-2</v>
      </c>
      <c r="BB357" s="31">
        <v>4.8266741165473664E-2</v>
      </c>
    </row>
    <row r="358" spans="49:54">
      <c r="AW358" s="147">
        <v>1.6957489897856117</v>
      </c>
      <c r="AX358" s="232">
        <v>1.4299299999999999</v>
      </c>
      <c r="AY358" s="31">
        <v>5.5722785361250256E-2</v>
      </c>
      <c r="AZ358">
        <v>2.8119999999999999E-2</v>
      </c>
      <c r="BA358" s="31">
        <v>6.8409816149292091E-2</v>
      </c>
      <c r="BB358" s="31">
        <v>4.3765148680652705E-2</v>
      </c>
    </row>
    <row r="359" spans="49:54">
      <c r="AW359" s="147">
        <v>1.9710891873659087</v>
      </c>
      <c r="AX359" s="232"/>
      <c r="AY359" s="31">
        <v>5.747391219301131E-2</v>
      </c>
      <c r="BA359" s="31">
        <v>7.5166525714761234E-2</v>
      </c>
      <c r="BB359" s="31"/>
    </row>
    <row r="360" spans="49:54">
      <c r="AW360" s="147">
        <v>2.0121042734159964</v>
      </c>
      <c r="AX360" s="232"/>
      <c r="AY360" s="31">
        <v>5.8537246764854174E-2</v>
      </c>
      <c r="BA360" s="31">
        <v>8.1175198644627619E-2</v>
      </c>
      <c r="BB360" s="31"/>
    </row>
    <row r="361" spans="49:54">
      <c r="AW361" s="147">
        <v>0.94305747870680812</v>
      </c>
      <c r="AX361" s="232"/>
      <c r="AY361" s="31">
        <v>2.2615173115887316E-2</v>
      </c>
      <c r="BA361" s="31">
        <v>2.7072436924768295E-2</v>
      </c>
      <c r="BB361" s="31"/>
    </row>
    <row r="362" spans="49:54">
      <c r="AW362" s="147">
        <v>2.7863790243593041</v>
      </c>
      <c r="AX362" s="232"/>
      <c r="AY362" s="31">
        <v>5.9363506294547494E-2</v>
      </c>
      <c r="BA362" s="31">
        <v>8.6126110821331273E-2</v>
      </c>
      <c r="BB362" s="31"/>
    </row>
    <row r="363" spans="49:54">
      <c r="AW363" s="147">
        <v>2.7828033420004066</v>
      </c>
      <c r="AX363" s="232"/>
      <c r="AY363" s="31">
        <v>5.9183055226834771E-2</v>
      </c>
      <c r="BA363" s="31">
        <v>8.5510615009135052E-2</v>
      </c>
      <c r="BB363" s="31"/>
    </row>
    <row r="364" spans="49:54">
      <c r="AW364" s="147">
        <v>2.7484765526400841</v>
      </c>
      <c r="AX364" s="232"/>
      <c r="AY364" s="31">
        <v>5.7648871207042408E-2</v>
      </c>
      <c r="BA364" s="31">
        <v>8.3038279165513346E-2</v>
      </c>
      <c r="BB364" s="31"/>
    </row>
    <row r="365" spans="49:54">
      <c r="AW365" s="147">
        <v>2.5908679002709909</v>
      </c>
      <c r="AX365" s="232"/>
      <c r="AY365" s="31">
        <v>5.3146823112873304E-2</v>
      </c>
      <c r="BA365" s="31">
        <v>7.6319203502204655E-2</v>
      </c>
      <c r="BB365" s="31"/>
    </row>
    <row r="366" spans="49:54">
      <c r="AW366" s="147">
        <v>2.5657426389027989</v>
      </c>
      <c r="AX366" s="232"/>
      <c r="AY366" s="31">
        <v>5.2236198207467388E-2</v>
      </c>
      <c r="BA366" s="31">
        <v>7.5146484436603225E-2</v>
      </c>
      <c r="BB366" s="31"/>
    </row>
    <row r="367" spans="49:54">
      <c r="AW367" s="147">
        <v>2.5517900800580042</v>
      </c>
      <c r="AX367" s="232">
        <v>3.0876600000000001</v>
      </c>
      <c r="AY367" s="31">
        <v>5.2200895408952758E-2</v>
      </c>
      <c r="AZ367">
        <v>4.6969999999999998E-2</v>
      </c>
      <c r="BA367" s="31">
        <v>7.5202996012023751E-2</v>
      </c>
      <c r="BB367" s="31">
        <v>5.9035255601477529E-2</v>
      </c>
    </row>
    <row r="368" spans="49:54">
      <c r="AW368" s="147">
        <v>2.626477586791359</v>
      </c>
      <c r="AX368" s="232">
        <v>3.2045000000000003</v>
      </c>
      <c r="AY368" s="31">
        <v>5.4118375146465399E-2</v>
      </c>
      <c r="AZ368">
        <v>4.5999999999999999E-2</v>
      </c>
      <c r="BA368" s="31">
        <v>7.7370679089504846E-2</v>
      </c>
      <c r="BB368" s="31">
        <v>5.7113253834064591E-2</v>
      </c>
    </row>
    <row r="369" spans="49:54">
      <c r="AW369" s="147">
        <v>2.7596202975142066</v>
      </c>
      <c r="AX369" s="232">
        <v>3.2966000000000006</v>
      </c>
      <c r="AY369" s="31">
        <v>5.899351782481118E-2</v>
      </c>
      <c r="AZ369">
        <v>4.2500000000000024E-2</v>
      </c>
      <c r="BA369" s="31">
        <v>8.4717007509724065E-2</v>
      </c>
      <c r="BB369" s="31">
        <v>5.5660593050219961E-2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indexed="22"/>
  </sheetPr>
  <dimension ref="A1:CI3011"/>
  <sheetViews>
    <sheetView workbookViewId="0">
      <selection sqref="A1:CH340"/>
    </sheetView>
  </sheetViews>
  <sheetFormatPr baseColWidth="10" defaultRowHeight="13"/>
  <cols>
    <col min="1" max="1" width="5" bestFit="1" customWidth="1"/>
    <col min="2" max="2" width="15.33203125" customWidth="1"/>
    <col min="3" max="4" width="13.6640625" bestFit="1" customWidth="1"/>
    <col min="5" max="5" width="11" bestFit="1" customWidth="1"/>
    <col min="6" max="82" width="8.83203125" customWidth="1"/>
    <col min="84" max="86" width="8.83203125" customWidth="1"/>
    <col min="87" max="87" width="9.5" bestFit="1" customWidth="1"/>
    <col min="88" max="251" width="8.83203125" customWidth="1"/>
  </cols>
  <sheetData>
    <row r="1" spans="1:87" ht="15.75" customHeight="1">
      <c r="A1" t="s">
        <v>677</v>
      </c>
    </row>
    <row r="2" spans="1:87" ht="15.75" customHeight="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  <c r="BJ2">
        <v>61</v>
      </c>
      <c r="BK2">
        <v>62</v>
      </c>
      <c r="BL2">
        <v>63</v>
      </c>
      <c r="BM2">
        <v>64</v>
      </c>
      <c r="BN2">
        <v>65</v>
      </c>
      <c r="BO2">
        <v>66</v>
      </c>
      <c r="BP2">
        <v>67</v>
      </c>
      <c r="BQ2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>
        <v>77</v>
      </c>
      <c r="CA2">
        <v>78</v>
      </c>
      <c r="CB2">
        <v>79</v>
      </c>
      <c r="CC2">
        <v>80</v>
      </c>
      <c r="CD2">
        <v>81</v>
      </c>
      <c r="CE2">
        <v>82</v>
      </c>
      <c r="CF2">
        <v>83</v>
      </c>
      <c r="CG2">
        <v>84</v>
      </c>
      <c r="CH2">
        <v>85</v>
      </c>
      <c r="CI2" t="s">
        <v>180</v>
      </c>
    </row>
    <row r="3" spans="1:87" ht="15.75" customHeight="1"/>
    <row r="4" spans="1:87" ht="15.75" customHeight="1">
      <c r="A4">
        <v>1</v>
      </c>
      <c r="CI4" s="31">
        <f>SUM(B4:CH4)</f>
        <v>0</v>
      </c>
    </row>
    <row r="5" spans="1:87" ht="15.75" customHeight="1">
      <c r="A5">
        <v>2</v>
      </c>
      <c r="CI5" s="31">
        <f t="shared" ref="CI5:CI68" si="0">SUM(B5:CH5)</f>
        <v>0</v>
      </c>
    </row>
    <row r="6" spans="1:87" ht="15.75" customHeight="1">
      <c r="A6">
        <v>3</v>
      </c>
      <c r="C6">
        <v>23.531674492917571</v>
      </c>
      <c r="CI6" s="31">
        <f t="shared" si="0"/>
        <v>23.531674492917571</v>
      </c>
    </row>
    <row r="7" spans="1:87" ht="15.75" customHeight="1">
      <c r="A7">
        <v>4</v>
      </c>
      <c r="CI7" s="31">
        <f t="shared" si="0"/>
        <v>0</v>
      </c>
    </row>
    <row r="8" spans="1:87" ht="15.75" customHeight="1">
      <c r="A8">
        <v>5</v>
      </c>
      <c r="E8">
        <v>72.603400429120683</v>
      </c>
      <c r="CI8" s="31">
        <f t="shared" si="0"/>
        <v>72.603400429120683</v>
      </c>
    </row>
    <row r="9" spans="1:87" ht="15.75" customHeight="1">
      <c r="A9">
        <v>6</v>
      </c>
      <c r="CI9" s="31">
        <f t="shared" si="0"/>
        <v>0</v>
      </c>
    </row>
    <row r="10" spans="1:87" ht="15.75" customHeight="1">
      <c r="A10">
        <v>7</v>
      </c>
      <c r="G10">
        <v>35.90342015942845</v>
      </c>
      <c r="CI10" s="31">
        <f t="shared" si="0"/>
        <v>35.90342015942845</v>
      </c>
    </row>
    <row r="11" spans="1:87" ht="15.75" customHeight="1">
      <c r="A11">
        <v>8</v>
      </c>
      <c r="CI11" s="31">
        <f t="shared" si="0"/>
        <v>0</v>
      </c>
    </row>
    <row r="12" spans="1:87" ht="15.75" customHeight="1">
      <c r="A12">
        <v>9</v>
      </c>
      <c r="CI12" s="31">
        <f t="shared" si="0"/>
        <v>0</v>
      </c>
    </row>
    <row r="13" spans="1:87" ht="15.75" customHeight="1">
      <c r="A13">
        <v>10</v>
      </c>
      <c r="J13">
        <v>208.04342533324808</v>
      </c>
      <c r="CI13" s="31">
        <f t="shared" si="0"/>
        <v>208.04342533324808</v>
      </c>
    </row>
    <row r="14" spans="1:87" ht="15.75" customHeight="1">
      <c r="A14">
        <v>11</v>
      </c>
      <c r="CI14" s="31">
        <f t="shared" si="0"/>
        <v>0</v>
      </c>
    </row>
    <row r="15" spans="1:87" ht="15.75" customHeight="1">
      <c r="A15">
        <v>12</v>
      </c>
      <c r="L15">
        <v>115.38468303114655</v>
      </c>
      <c r="CI15" s="31">
        <f t="shared" si="0"/>
        <v>115.38468303114655</v>
      </c>
    </row>
    <row r="16" spans="1:87" ht="15.75" customHeight="1">
      <c r="A16">
        <v>13</v>
      </c>
      <c r="L16">
        <v>114.5367384813693</v>
      </c>
      <c r="M16">
        <v>288.20606276733753</v>
      </c>
      <c r="CI16" s="31">
        <f t="shared" si="0"/>
        <v>402.74280124870683</v>
      </c>
    </row>
    <row r="17" spans="1:87" ht="15.75" customHeight="1">
      <c r="A17">
        <v>14</v>
      </c>
      <c r="C17">
        <v>22.311720285216264</v>
      </c>
      <c r="D17">
        <v>27.320648552624768</v>
      </c>
      <c r="E17">
        <v>68.839237686624145</v>
      </c>
      <c r="F17">
        <v>262.44611049738467</v>
      </c>
      <c r="G17">
        <v>34.042359646607629</v>
      </c>
      <c r="H17">
        <v>347.66713271293497</v>
      </c>
      <c r="I17">
        <v>150.68483698008058</v>
      </c>
      <c r="J17">
        <v>197.2569178020934</v>
      </c>
      <c r="K17">
        <v>201.26790622162792</v>
      </c>
      <c r="L17">
        <v>108.59830812605182</v>
      </c>
      <c r="M17">
        <v>273.26355148419225</v>
      </c>
      <c r="N17">
        <v>96.402678295702771</v>
      </c>
      <c r="CI17" s="31">
        <f t="shared" si="0"/>
        <v>1790.1014082911413</v>
      </c>
    </row>
    <row r="18" spans="1:87" ht="15.75" customHeight="1">
      <c r="A18">
        <v>15</v>
      </c>
      <c r="CE18">
        <v>211.08582456403221</v>
      </c>
      <c r="CI18" s="31">
        <f t="shared" si="0"/>
        <v>211.08582456403221</v>
      </c>
    </row>
    <row r="19" spans="1:87" ht="15.75" customHeight="1">
      <c r="A19">
        <v>16</v>
      </c>
      <c r="CI19" s="31">
        <f t="shared" si="0"/>
        <v>0</v>
      </c>
    </row>
    <row r="20" spans="1:87" ht="15.75" customHeight="1">
      <c r="A20">
        <v>17</v>
      </c>
      <c r="CH20">
        <v>21.708180379830335</v>
      </c>
      <c r="CI20" s="31">
        <f t="shared" si="0"/>
        <v>21.708180379830335</v>
      </c>
    </row>
    <row r="21" spans="1:87" ht="15.75" customHeight="1">
      <c r="A21">
        <v>18</v>
      </c>
      <c r="R21">
        <v>73.999966666045808</v>
      </c>
      <c r="T21">
        <v>112.66417385102947</v>
      </c>
      <c r="CF21">
        <v>95.244772485461368</v>
      </c>
      <c r="CG21">
        <v>22.34597249021299</v>
      </c>
      <c r="CH21">
        <v>21.529134957688761</v>
      </c>
      <c r="CI21" s="31">
        <f t="shared" si="0"/>
        <v>325.78402045043845</v>
      </c>
    </row>
    <row r="22" spans="1:87" ht="15.75" customHeight="1">
      <c r="A22">
        <v>19</v>
      </c>
      <c r="CF22">
        <v>96.038905918390057</v>
      </c>
      <c r="CI22" s="31">
        <f t="shared" si="0"/>
        <v>96.038905918390057</v>
      </c>
    </row>
    <row r="23" spans="1:87" ht="15.75" customHeight="1">
      <c r="A23">
        <v>20</v>
      </c>
      <c r="CI23" s="31">
        <f t="shared" si="0"/>
        <v>0</v>
      </c>
    </row>
    <row r="24" spans="1:87" ht="15.75" customHeight="1">
      <c r="A24">
        <v>21</v>
      </c>
      <c r="U24">
        <v>426.78846740011738</v>
      </c>
      <c r="CI24" s="31">
        <f t="shared" si="0"/>
        <v>426.78846740011738</v>
      </c>
    </row>
    <row r="25" spans="1:87">
      <c r="A25">
        <v>22</v>
      </c>
      <c r="CI25" s="31">
        <f t="shared" si="0"/>
        <v>0</v>
      </c>
    </row>
    <row r="26" spans="1:87">
      <c r="A26">
        <v>23</v>
      </c>
      <c r="W26">
        <v>242.55677805039008</v>
      </c>
      <c r="CI26" s="31">
        <f t="shared" si="0"/>
        <v>242.55677805039008</v>
      </c>
    </row>
    <row r="27" spans="1:87">
      <c r="A27">
        <v>24</v>
      </c>
      <c r="CI27" s="31">
        <f t="shared" si="0"/>
        <v>0</v>
      </c>
    </row>
    <row r="28" spans="1:87">
      <c r="A28">
        <v>25</v>
      </c>
      <c r="CI28" s="31">
        <f t="shared" si="0"/>
        <v>0</v>
      </c>
    </row>
    <row r="29" spans="1:87">
      <c r="A29">
        <v>26</v>
      </c>
      <c r="CI29" s="31">
        <f t="shared" si="0"/>
        <v>0</v>
      </c>
    </row>
    <row r="30" spans="1:87">
      <c r="A30">
        <v>27</v>
      </c>
      <c r="CI30" s="31">
        <f t="shared" si="0"/>
        <v>0</v>
      </c>
    </row>
    <row r="31" spans="1:87">
      <c r="A31">
        <v>28</v>
      </c>
      <c r="CI31" s="31">
        <f t="shared" si="0"/>
        <v>0</v>
      </c>
    </row>
    <row r="32" spans="1:87">
      <c r="A32">
        <v>29</v>
      </c>
      <c r="CI32" s="31">
        <f t="shared" si="0"/>
        <v>0</v>
      </c>
    </row>
    <row r="33" spans="1:87">
      <c r="A33">
        <v>30</v>
      </c>
      <c r="CI33" s="31">
        <f t="shared" si="0"/>
        <v>0</v>
      </c>
    </row>
    <row r="34" spans="1:87">
      <c r="A34">
        <v>31</v>
      </c>
      <c r="CI34" s="31">
        <f t="shared" si="0"/>
        <v>0</v>
      </c>
    </row>
    <row r="35" spans="1:87">
      <c r="A35">
        <v>32</v>
      </c>
      <c r="AE35">
        <v>110.48092103974336</v>
      </c>
      <c r="AF35">
        <v>317.91298912003737</v>
      </c>
      <c r="CI35" s="31">
        <f t="shared" si="0"/>
        <v>428.39391015978072</v>
      </c>
    </row>
    <row r="36" spans="1:87">
      <c r="A36">
        <v>33</v>
      </c>
      <c r="AD36">
        <v>75.079974117822388</v>
      </c>
      <c r="CI36" s="31">
        <f t="shared" si="0"/>
        <v>75.079974117822388</v>
      </c>
    </row>
    <row r="37" spans="1:87">
      <c r="A37">
        <v>34</v>
      </c>
      <c r="AD37">
        <v>74.854172702781881</v>
      </c>
      <c r="AE37">
        <v>110.14726377718274</v>
      </c>
      <c r="AF37">
        <v>316.95288195548881</v>
      </c>
      <c r="AG37">
        <v>149.95825344942017</v>
      </c>
      <c r="AH37">
        <v>315.34124085672818</v>
      </c>
      <c r="CI37" s="31">
        <f t="shared" si="0"/>
        <v>967.25381274160179</v>
      </c>
    </row>
    <row r="38" spans="1:87">
      <c r="A38">
        <v>35</v>
      </c>
      <c r="CI38" s="31">
        <f t="shared" si="0"/>
        <v>0</v>
      </c>
    </row>
    <row r="39" spans="1:87">
      <c r="A39">
        <v>36</v>
      </c>
      <c r="AJ39">
        <v>227.31685826868014</v>
      </c>
      <c r="CI39" s="31">
        <f t="shared" si="0"/>
        <v>227.31685826868014</v>
      </c>
    </row>
    <row r="40" spans="1:87">
      <c r="A40">
        <v>37</v>
      </c>
      <c r="CI40" s="31">
        <f t="shared" si="0"/>
        <v>0</v>
      </c>
    </row>
    <row r="41" spans="1:87">
      <c r="A41">
        <v>38</v>
      </c>
      <c r="AL41">
        <v>235.71580796231353</v>
      </c>
      <c r="CI41" s="31">
        <f t="shared" si="0"/>
        <v>235.71580796231353</v>
      </c>
    </row>
    <row r="42" spans="1:87">
      <c r="A42">
        <v>39</v>
      </c>
      <c r="CI42" s="31">
        <f t="shared" si="0"/>
        <v>0</v>
      </c>
    </row>
    <row r="43" spans="1:87">
      <c r="A43">
        <v>40</v>
      </c>
      <c r="CI43" s="31">
        <f t="shared" si="0"/>
        <v>0</v>
      </c>
    </row>
    <row r="44" spans="1:87">
      <c r="A44">
        <v>41</v>
      </c>
      <c r="CI44" s="31">
        <f t="shared" si="0"/>
        <v>0</v>
      </c>
    </row>
    <row r="45" spans="1:87">
      <c r="A45">
        <v>42</v>
      </c>
      <c r="AP45">
        <v>95.07173305762953</v>
      </c>
      <c r="CI45" s="31">
        <f t="shared" si="0"/>
        <v>95.07173305762953</v>
      </c>
    </row>
    <row r="46" spans="1:87">
      <c r="A46">
        <v>43</v>
      </c>
      <c r="AP46">
        <v>94.065358379320642</v>
      </c>
      <c r="AQ46">
        <v>107.87525249478163</v>
      </c>
      <c r="CI46" s="31">
        <f t="shared" si="0"/>
        <v>201.94061087410228</v>
      </c>
    </row>
    <row r="47" spans="1:87">
      <c r="A47">
        <v>44</v>
      </c>
      <c r="CI47" s="31">
        <f t="shared" si="0"/>
        <v>0</v>
      </c>
    </row>
    <row r="48" spans="1:87">
      <c r="A48">
        <v>45</v>
      </c>
      <c r="CI48" s="31">
        <f t="shared" si="0"/>
        <v>0</v>
      </c>
    </row>
    <row r="49" spans="1:87">
      <c r="A49">
        <v>46</v>
      </c>
      <c r="CI49" s="31">
        <f t="shared" si="0"/>
        <v>0</v>
      </c>
    </row>
    <row r="50" spans="1:87">
      <c r="A50">
        <v>47</v>
      </c>
      <c r="CI50" s="31">
        <f t="shared" si="0"/>
        <v>0</v>
      </c>
    </row>
    <row r="51" spans="1:87">
      <c r="A51">
        <v>48</v>
      </c>
      <c r="AT51">
        <v>339.49159500467624</v>
      </c>
      <c r="AU51">
        <v>130.83471598063815</v>
      </c>
      <c r="AV51">
        <v>27.819932304805327</v>
      </c>
      <c r="CI51" s="31">
        <f t="shared" si="0"/>
        <v>498.14624329011974</v>
      </c>
    </row>
    <row r="52" spans="1:87">
      <c r="A52">
        <v>49</v>
      </c>
      <c r="CI52" s="31">
        <f t="shared" si="0"/>
        <v>0</v>
      </c>
    </row>
    <row r="53" spans="1:87">
      <c r="A53">
        <v>50</v>
      </c>
      <c r="AX53">
        <v>56.008130078378649</v>
      </c>
      <c r="CI53" s="31">
        <f t="shared" si="0"/>
        <v>56.008130078378649</v>
      </c>
    </row>
    <row r="54" spans="1:87">
      <c r="A54">
        <v>51</v>
      </c>
      <c r="CI54" s="31">
        <f t="shared" si="0"/>
        <v>0</v>
      </c>
    </row>
    <row r="55" spans="1:87">
      <c r="A55">
        <v>52</v>
      </c>
      <c r="AX55">
        <v>55.805372220243321</v>
      </c>
      <c r="AY55">
        <v>163.73100773074086</v>
      </c>
      <c r="AZ55">
        <v>187.67748742413173</v>
      </c>
      <c r="CI55" s="31">
        <f t="shared" si="0"/>
        <v>407.21386737511591</v>
      </c>
    </row>
    <row r="56" spans="1:87">
      <c r="A56">
        <v>53</v>
      </c>
      <c r="CI56" s="31">
        <f t="shared" si="0"/>
        <v>0</v>
      </c>
    </row>
    <row r="57" spans="1:87">
      <c r="A57">
        <v>54</v>
      </c>
      <c r="CI57" s="31">
        <f t="shared" si="0"/>
        <v>0</v>
      </c>
    </row>
    <row r="58" spans="1:87">
      <c r="A58">
        <v>55</v>
      </c>
      <c r="BB58">
        <v>65.62080915091957</v>
      </c>
      <c r="BC58">
        <v>42.332107510683834</v>
      </c>
      <c r="CI58" s="31">
        <f t="shared" si="0"/>
        <v>107.95291666160341</v>
      </c>
    </row>
    <row r="59" spans="1:87">
      <c r="A59">
        <v>56</v>
      </c>
      <c r="CI59" s="31">
        <f t="shared" si="0"/>
        <v>0</v>
      </c>
    </row>
    <row r="60" spans="1:87">
      <c r="A60">
        <v>57</v>
      </c>
      <c r="CI60" s="31">
        <f t="shared" si="0"/>
        <v>0</v>
      </c>
    </row>
    <row r="61" spans="1:87">
      <c r="A61">
        <v>58</v>
      </c>
      <c r="AB61">
        <v>97.768689814180718</v>
      </c>
      <c r="AC61">
        <v>206.90661172113462</v>
      </c>
      <c r="CA61">
        <v>370.5440692884751</v>
      </c>
      <c r="CI61" s="31">
        <f t="shared" si="0"/>
        <v>675.21937082379043</v>
      </c>
    </row>
    <row r="62" spans="1:87">
      <c r="A62">
        <v>59</v>
      </c>
      <c r="AB62">
        <v>97.527332127141563</v>
      </c>
      <c r="AC62">
        <v>206.38271797169659</v>
      </c>
      <c r="AD62">
        <v>74.665212094193379</v>
      </c>
      <c r="AE62">
        <v>109.86804462622163</v>
      </c>
      <c r="AF62">
        <v>316.14942182619455</v>
      </c>
      <c r="AG62">
        <v>149.57811494418721</v>
      </c>
      <c r="AH62">
        <v>314.54201430054076</v>
      </c>
      <c r="AI62">
        <v>529.4379665909637</v>
      </c>
      <c r="AJ62">
        <v>226.74214535421234</v>
      </c>
      <c r="AK62">
        <v>283.26049380227448</v>
      </c>
      <c r="AL62">
        <v>235.11838036805239</v>
      </c>
      <c r="AM62">
        <v>462.67059728570194</v>
      </c>
      <c r="BG62">
        <v>812.680695314888</v>
      </c>
      <c r="CA62">
        <v>369.60534139581819</v>
      </c>
      <c r="CI62" s="31">
        <f t="shared" si="0"/>
        <v>4188.2284780020873</v>
      </c>
    </row>
    <row r="63" spans="1:87">
      <c r="A63">
        <v>60</v>
      </c>
      <c r="AS63">
        <v>143.49910617141472</v>
      </c>
      <c r="AT63">
        <v>338.80270079104747</v>
      </c>
      <c r="AU63">
        <v>130.56836978461681</v>
      </c>
      <c r="AV63">
        <v>27.763298000313448</v>
      </c>
      <c r="AW63">
        <v>611.37626503549779</v>
      </c>
      <c r="BN63">
        <v>71.594532802501163</v>
      </c>
      <c r="BO63">
        <v>62.963134660996772</v>
      </c>
      <c r="BP63">
        <v>51.035360597426198</v>
      </c>
      <c r="BQ63">
        <v>349.91542693900323</v>
      </c>
      <c r="BR63">
        <v>94.921225478313218</v>
      </c>
      <c r="BS63">
        <v>85.102683336024313</v>
      </c>
      <c r="BT63">
        <v>58.139748508507452</v>
      </c>
      <c r="BU63">
        <v>199.57976443976298</v>
      </c>
      <c r="BV63">
        <v>246.54697835940087</v>
      </c>
      <c r="BW63">
        <v>102.5185605881267</v>
      </c>
      <c r="BX63">
        <v>109.20164695811452</v>
      </c>
      <c r="BY63">
        <v>337.27184456803889</v>
      </c>
      <c r="BZ63">
        <v>303.63211599573771</v>
      </c>
      <c r="CB63">
        <v>690.86116141478055</v>
      </c>
      <c r="CC63">
        <v>567.60880015745101</v>
      </c>
      <c r="CD63">
        <v>572.01073693695309</v>
      </c>
      <c r="CI63" s="31">
        <f t="shared" si="0"/>
        <v>5154.9134615240291</v>
      </c>
    </row>
    <row r="64" spans="1:87">
      <c r="A64">
        <v>61</v>
      </c>
      <c r="C64">
        <v>22.19429170471172</v>
      </c>
      <c r="D64">
        <v>27.176872568024464</v>
      </c>
      <c r="E64">
        <v>68.4769123756829</v>
      </c>
      <c r="F64">
        <v>261.06615218065218</v>
      </c>
      <c r="G64">
        <v>33.863220386400975</v>
      </c>
      <c r="H64">
        <v>345.83719540158319</v>
      </c>
      <c r="I64">
        <v>149.89171349430339</v>
      </c>
      <c r="J64">
        <v>196.21864582435111</v>
      </c>
      <c r="K64">
        <v>200.20852219911959</v>
      </c>
      <c r="L64">
        <v>108.02669532071219</v>
      </c>
      <c r="M64">
        <v>271.82523693264926</v>
      </c>
      <c r="N64">
        <v>95.895257818038431</v>
      </c>
      <c r="O64">
        <v>318.76256215490122</v>
      </c>
      <c r="CI64" s="31">
        <f t="shared" si="0"/>
        <v>2099.443278361131</v>
      </c>
    </row>
    <row r="65" spans="1:87">
      <c r="A65">
        <v>62</v>
      </c>
      <c r="C65">
        <v>21.784674568135827</v>
      </c>
      <c r="D65">
        <v>26.675349796759452</v>
      </c>
      <c r="E65">
        <v>67.213040703735203</v>
      </c>
      <c r="F65">
        <v>256.25254912196431</v>
      </c>
      <c r="G65">
        <v>33.238342605379565</v>
      </c>
      <c r="H65">
        <v>339.45396502982283</v>
      </c>
      <c r="I65">
        <v>147.1251214960073</v>
      </c>
      <c r="J65">
        <v>192.59692109019809</v>
      </c>
      <c r="K65">
        <v>196.51315393383319</v>
      </c>
      <c r="L65">
        <v>106.03278208811317</v>
      </c>
      <c r="M65">
        <v>266.80807428308731</v>
      </c>
      <c r="N65">
        <v>94.125261772716271</v>
      </c>
      <c r="O65">
        <v>312.88172286992278</v>
      </c>
      <c r="P65">
        <v>73.026988931069525</v>
      </c>
      <c r="Q65">
        <v>159.11311753527579</v>
      </c>
      <c r="R65">
        <v>72.634376880027133</v>
      </c>
      <c r="S65">
        <v>119.88848079788127</v>
      </c>
      <c r="T65">
        <v>110.5855738533382</v>
      </c>
      <c r="U65">
        <v>418.9109777653253</v>
      </c>
      <c r="V65">
        <v>59.501479165936544</v>
      </c>
      <c r="W65">
        <v>238.07976273509763</v>
      </c>
      <c r="X65">
        <v>281.63826314918708</v>
      </c>
      <c r="Y65">
        <v>74.303312518142235</v>
      </c>
      <c r="Z65">
        <v>215.42341516905199</v>
      </c>
      <c r="BJ65">
        <v>109.17683660380308</v>
      </c>
      <c r="CE65">
        <v>207.18968743271702</v>
      </c>
      <c r="CF65">
        <v>93.486782836413639</v>
      </c>
      <c r="CG65">
        <v>21.934539068031757</v>
      </c>
      <c r="CH65">
        <v>21.132778393687335</v>
      </c>
      <c r="CI65" s="31">
        <f t="shared" si="0"/>
        <v>4336.7273321946604</v>
      </c>
    </row>
    <row r="66" spans="1:87">
      <c r="A66">
        <v>63</v>
      </c>
      <c r="C66">
        <v>21.739207265863353</v>
      </c>
      <c r="D66">
        <v>26.619681013885156</v>
      </c>
      <c r="E66">
        <v>67.072751564900756</v>
      </c>
      <c r="F66">
        <v>255.71824153142114</v>
      </c>
      <c r="G66">
        <v>33.16898147661783</v>
      </c>
      <c r="H66">
        <v>338.74542957348484</v>
      </c>
      <c r="I66">
        <v>146.81803113425474</v>
      </c>
      <c r="J66">
        <v>192.19491141205827</v>
      </c>
      <c r="K66">
        <v>196.1029698596746</v>
      </c>
      <c r="L66">
        <v>105.81145869229653</v>
      </c>
      <c r="M66">
        <v>266.25117167729132</v>
      </c>
      <c r="N66">
        <v>93.928793075418909</v>
      </c>
      <c r="O66">
        <v>312.22895257905776</v>
      </c>
      <c r="P66">
        <v>72.87474866507327</v>
      </c>
      <c r="Q66">
        <v>158.78102219721217</v>
      </c>
      <c r="R66">
        <v>72.482797080167842</v>
      </c>
      <c r="S66">
        <v>119.63826657055131</v>
      </c>
      <c r="T66">
        <v>110.35485026792229</v>
      </c>
      <c r="U66">
        <v>418.0365802599685</v>
      </c>
      <c r="V66">
        <v>59.377281072047296</v>
      </c>
      <c r="W66">
        <v>237.58281621982121</v>
      </c>
      <c r="X66">
        <v>281.0505872422076</v>
      </c>
      <c r="Y66">
        <v>74.148241961360867</v>
      </c>
      <c r="Z66">
        <v>214.97379753139904</v>
      </c>
      <c r="AA66">
        <v>50.329172759628833</v>
      </c>
      <c r="AB66">
        <v>97.329099792025531</v>
      </c>
      <c r="AC66">
        <v>205.95243260321382</v>
      </c>
      <c r="AD66">
        <v>74.510014622983903</v>
      </c>
      <c r="AE66">
        <v>109.63871584459821</v>
      </c>
      <c r="AF66">
        <v>315.48952248941976</v>
      </c>
      <c r="AG66">
        <v>149.26589889470367</v>
      </c>
      <c r="AH66">
        <v>313.88559208974095</v>
      </c>
      <c r="AI66">
        <v>528.33287949985822</v>
      </c>
      <c r="AJ66">
        <v>226.2701210965478</v>
      </c>
      <c r="AK66">
        <v>282.66954250106306</v>
      </c>
      <c r="AL66">
        <v>234.62770004820857</v>
      </c>
      <c r="AM66">
        <v>461.70486397165541</v>
      </c>
      <c r="AN66">
        <v>209.8702615704288</v>
      </c>
      <c r="AO66">
        <v>187.02309401978798</v>
      </c>
      <c r="AP66">
        <v>93.869016066318622</v>
      </c>
      <c r="AQ66">
        <v>107.65008986737973</v>
      </c>
      <c r="AR66">
        <v>75.076817003275892</v>
      </c>
      <c r="BG66">
        <v>810.98775378273297</v>
      </c>
      <c r="BH66">
        <v>2016.034973627522</v>
      </c>
      <c r="BJ66">
        <v>108.94895058831032</v>
      </c>
      <c r="BK66">
        <v>109.72062392800309</v>
      </c>
      <c r="CA66">
        <v>368.83434369326835</v>
      </c>
      <c r="CE66">
        <v>206.75721811240163</v>
      </c>
      <c r="CF66">
        <v>93.291646843243782</v>
      </c>
      <c r="CG66">
        <v>21.888870158943412</v>
      </c>
      <c r="CH66">
        <v>21.088783008499654</v>
      </c>
      <c r="CI66" s="31">
        <f t="shared" si="0"/>
        <v>11356.749568407722</v>
      </c>
    </row>
    <row r="67" spans="1:87">
      <c r="A67">
        <v>64</v>
      </c>
      <c r="C67">
        <v>21.714562643913506</v>
      </c>
      <c r="D67">
        <v>26.589506887869859</v>
      </c>
      <c r="E67">
        <v>66.996710704382465</v>
      </c>
      <c r="F67">
        <v>255.42863102198385</v>
      </c>
      <c r="G67">
        <v>33.131385694354265</v>
      </c>
      <c r="H67">
        <v>338.36138241020979</v>
      </c>
      <c r="I67">
        <v>146.65157907988655</v>
      </c>
      <c r="J67">
        <v>191.97701028217458</v>
      </c>
      <c r="K67">
        <v>195.88063796549474</v>
      </c>
      <c r="L67">
        <v>105.69149486893463</v>
      </c>
      <c r="M67">
        <v>265.94931400162636</v>
      </c>
      <c r="N67">
        <v>93.822301233416582</v>
      </c>
      <c r="O67">
        <v>311.87513178401576</v>
      </c>
      <c r="P67">
        <v>72.792229940330429</v>
      </c>
      <c r="Q67">
        <v>158.60101670647867</v>
      </c>
      <c r="R67">
        <v>72.400636347596134</v>
      </c>
      <c r="S67">
        <v>119.50264306242967</v>
      </c>
      <c r="T67">
        <v>110.22979126390632</v>
      </c>
      <c r="U67">
        <v>417.56263096286114</v>
      </c>
      <c r="V67">
        <v>59.309962033577641</v>
      </c>
      <c r="W67">
        <v>237.31345651765793</v>
      </c>
      <c r="X67">
        <v>280.73204952757146</v>
      </c>
      <c r="Y67">
        <v>74.064189135342573</v>
      </c>
      <c r="Z67">
        <v>214.73009148005832</v>
      </c>
      <c r="AA67">
        <v>50.272112020976273</v>
      </c>
      <c r="AB67">
        <v>97.221652006188279</v>
      </c>
      <c r="AC67">
        <v>205.71920521326973</v>
      </c>
      <c r="AD67">
        <v>74.425893005593693</v>
      </c>
      <c r="AE67">
        <v>109.51441286547139</v>
      </c>
      <c r="AF67">
        <v>315.13183754074367</v>
      </c>
      <c r="AG67">
        <v>149.09666856605813</v>
      </c>
      <c r="AH67">
        <v>313.52979184613514</v>
      </c>
      <c r="AI67">
        <v>527.73388962755962</v>
      </c>
      <c r="AJ67">
        <v>226.01426999476948</v>
      </c>
      <c r="AK67">
        <v>282.34922942592505</v>
      </c>
      <c r="AL67">
        <v>234.36173680921291</v>
      </c>
      <c r="AM67">
        <v>461.18140796614136</v>
      </c>
      <c r="AN67">
        <v>209.63236914991484</v>
      </c>
      <c r="AO67">
        <v>186.81106992869866</v>
      </c>
      <c r="AP67">
        <v>93.762592728340579</v>
      </c>
      <c r="AQ67">
        <v>107.5280450670021</v>
      </c>
      <c r="AR67">
        <v>74.991708514797267</v>
      </c>
      <c r="AS67">
        <v>143.33641394849207</v>
      </c>
      <c r="AT67">
        <v>338.41982172905625</v>
      </c>
      <c r="AU67">
        <v>130.42033779410201</v>
      </c>
      <c r="AV67">
        <v>27.731821339671814</v>
      </c>
      <c r="AW67">
        <v>610.68312012200283</v>
      </c>
      <c r="AX67">
        <v>55.742102836204843</v>
      </c>
      <c r="AY67">
        <v>163.54537757373305</v>
      </c>
      <c r="AZ67">
        <v>187.46608502042065</v>
      </c>
      <c r="BA67">
        <v>77.526685398992512</v>
      </c>
      <c r="BB67">
        <v>65.546416717179028</v>
      </c>
      <c r="BC67">
        <v>42.284113450959957</v>
      </c>
      <c r="BD67">
        <v>217.17468804033047</v>
      </c>
      <c r="BG67">
        <v>810.07012942505446</v>
      </c>
      <c r="BH67">
        <v>2013.7493967013336</v>
      </c>
      <c r="BI67">
        <v>838.78184824554103</v>
      </c>
      <c r="BJ67">
        <v>108.82542963107781</v>
      </c>
      <c r="BK67">
        <v>109.59622862677719</v>
      </c>
      <c r="BL67">
        <v>2011.8253475566128</v>
      </c>
      <c r="BN67">
        <v>71.513362445406159</v>
      </c>
      <c r="BO67">
        <v>62.891750158239383</v>
      </c>
      <c r="BP67">
        <v>50.977519035720547</v>
      </c>
      <c r="BQ67">
        <v>349.52065064238491</v>
      </c>
      <c r="BR67">
        <v>94.813618570046231</v>
      </c>
      <c r="BS67">
        <v>85.006318299943175</v>
      </c>
      <c r="BT67">
        <v>58.074159867676613</v>
      </c>
      <c r="BU67">
        <v>199.35513945304993</v>
      </c>
      <c r="BV67">
        <v>246.26747293280698</v>
      </c>
      <c r="BW67">
        <v>102.40233009054444</v>
      </c>
      <c r="BX67">
        <v>109.0780895988002</v>
      </c>
      <c r="BY67">
        <v>336.88977086904163</v>
      </c>
      <c r="BZ67">
        <v>303.28821035241674</v>
      </c>
      <c r="CA67">
        <v>368.41644014601866</v>
      </c>
      <c r="CB67">
        <v>690.0779378655842</v>
      </c>
      <c r="CC67">
        <v>566.97561415206712</v>
      </c>
      <c r="CD67">
        <v>571.3652069586476</v>
      </c>
      <c r="CE67">
        <v>206.5228069560016</v>
      </c>
      <c r="CF67">
        <v>93.185877366276358</v>
      </c>
      <c r="CG67">
        <v>21.864116260139401</v>
      </c>
      <c r="CH67">
        <v>21.064936209123022</v>
      </c>
      <c r="CI67" s="31">
        <f t="shared" si="0"/>
        <v>20152.862930220337</v>
      </c>
    </row>
    <row r="68" spans="1:87">
      <c r="A68">
        <v>65</v>
      </c>
      <c r="CI68" s="31">
        <f t="shared" si="0"/>
        <v>0</v>
      </c>
    </row>
    <row r="69" spans="1:87">
      <c r="A69">
        <v>66</v>
      </c>
      <c r="CI69" s="31">
        <f t="shared" ref="CI69:CI88" si="1">SUM(B69:CH69)</f>
        <v>0</v>
      </c>
    </row>
    <row r="70" spans="1:87">
      <c r="A70">
        <v>67</v>
      </c>
      <c r="BO70">
        <v>63.26831404067439</v>
      </c>
      <c r="CI70" s="31">
        <f t="shared" si="1"/>
        <v>63.26831404067439</v>
      </c>
    </row>
    <row r="71" spans="1:87">
      <c r="A71">
        <v>68</v>
      </c>
      <c r="CI71" s="31">
        <f t="shared" si="1"/>
        <v>0</v>
      </c>
    </row>
    <row r="72" spans="1:87">
      <c r="A72">
        <v>69</v>
      </c>
      <c r="CI72" s="31">
        <f t="shared" si="1"/>
        <v>0</v>
      </c>
    </row>
    <row r="73" spans="1:87">
      <c r="A73">
        <v>70</v>
      </c>
      <c r="CI73" s="31">
        <f t="shared" si="1"/>
        <v>0</v>
      </c>
    </row>
    <row r="74" spans="1:87">
      <c r="A74">
        <v>71</v>
      </c>
      <c r="CI74" s="31">
        <f t="shared" si="1"/>
        <v>0</v>
      </c>
    </row>
    <row r="75" spans="1:87">
      <c r="A75">
        <v>72</v>
      </c>
      <c r="BT75">
        <v>58.328603275126866</v>
      </c>
      <c r="CI75" s="31">
        <f t="shared" si="1"/>
        <v>58.328603275126866</v>
      </c>
    </row>
    <row r="76" spans="1:87">
      <c r="A76">
        <v>73</v>
      </c>
      <c r="CI76" s="31">
        <f t="shared" si="1"/>
        <v>0</v>
      </c>
    </row>
    <row r="77" spans="1:87">
      <c r="A77">
        <v>74</v>
      </c>
      <c r="CI77" s="31">
        <f t="shared" si="1"/>
        <v>0</v>
      </c>
    </row>
    <row r="78" spans="1:87">
      <c r="A78">
        <v>75</v>
      </c>
      <c r="CI78" s="31">
        <f t="shared" si="1"/>
        <v>0</v>
      </c>
    </row>
    <row r="79" spans="1:87">
      <c r="A79">
        <v>76</v>
      </c>
      <c r="BX79">
        <v>109.77667975876503</v>
      </c>
      <c r="CI79" s="31">
        <f t="shared" si="1"/>
        <v>109.77667975876503</v>
      </c>
    </row>
    <row r="80" spans="1:87">
      <c r="A80">
        <v>77</v>
      </c>
      <c r="BW80">
        <v>102.85323261695515</v>
      </c>
      <c r="BX80">
        <v>109.55741582238477</v>
      </c>
      <c r="BY80">
        <v>338.37198078585811</v>
      </c>
      <c r="CI80" s="31">
        <f t="shared" si="1"/>
        <v>550.78262922519798</v>
      </c>
    </row>
    <row r="81" spans="1:87">
      <c r="A81">
        <v>78</v>
      </c>
      <c r="CI81" s="31">
        <f t="shared" si="1"/>
        <v>0</v>
      </c>
    </row>
    <row r="82" spans="1:87">
      <c r="A82">
        <v>79</v>
      </c>
      <c r="BN82">
        <v>71.941548166755439</v>
      </c>
      <c r="CI82" s="31">
        <f t="shared" si="1"/>
        <v>71.941548166755439</v>
      </c>
    </row>
    <row r="83" spans="1:87">
      <c r="A83">
        <v>80</v>
      </c>
      <c r="BN83">
        <v>71.828253285978306</v>
      </c>
      <c r="BO83">
        <v>63.168677929430395</v>
      </c>
      <c r="BP83">
        <v>51.201908562111058</v>
      </c>
      <c r="BQ83">
        <v>351.05213879063348</v>
      </c>
      <c r="BR83">
        <v>95.231066897345087</v>
      </c>
      <c r="BS83">
        <v>85.380155108100084</v>
      </c>
      <c r="CB83">
        <v>693.11636138112533</v>
      </c>
      <c r="CI83" s="31">
        <f t="shared" si="1"/>
        <v>1410.9785619547238</v>
      </c>
    </row>
    <row r="84" spans="1:87">
      <c r="A84">
        <v>81</v>
      </c>
      <c r="BN84">
        <v>71.740578368508665</v>
      </c>
      <c r="BO84">
        <v>63.091573052578127</v>
      </c>
      <c r="BP84">
        <v>51.139431885521823</v>
      </c>
      <c r="BQ84">
        <v>350.62572722286779</v>
      </c>
      <c r="BR84">
        <v>95.114836944205564</v>
      </c>
      <c r="BS84">
        <v>85.276067890946621</v>
      </c>
      <c r="BT84">
        <v>58.257758709726488</v>
      </c>
      <c r="BU84">
        <v>199.98392039642016</v>
      </c>
      <c r="BV84">
        <v>247.04987781296975</v>
      </c>
      <c r="BW84">
        <v>102.72768802595314</v>
      </c>
      <c r="BX84">
        <v>109.42395723394996</v>
      </c>
      <c r="BY84">
        <v>337.95928973427516</v>
      </c>
      <c r="BZ84">
        <v>304.25088738137055</v>
      </c>
      <c r="CB84">
        <v>692.27037446553629</v>
      </c>
      <c r="CC84">
        <v>568.74805852533132</v>
      </c>
      <c r="CI84" s="31">
        <f t="shared" si="1"/>
        <v>3337.6600276501613</v>
      </c>
    </row>
    <row r="85" spans="1:87">
      <c r="A85">
        <v>82</v>
      </c>
      <c r="CI85" s="31">
        <f t="shared" si="1"/>
        <v>0</v>
      </c>
    </row>
    <row r="86" spans="1:87">
      <c r="A86">
        <v>83</v>
      </c>
      <c r="CI86" s="31">
        <f t="shared" si="1"/>
        <v>0</v>
      </c>
    </row>
    <row r="87" spans="1:87">
      <c r="A87">
        <v>84</v>
      </c>
      <c r="CI87" s="31">
        <f t="shared" si="1"/>
        <v>0</v>
      </c>
    </row>
    <row r="88" spans="1:87">
      <c r="A88">
        <v>85</v>
      </c>
      <c r="CI88" s="31">
        <f t="shared" si="1"/>
        <v>0</v>
      </c>
    </row>
    <row r="89" spans="1:87">
      <c r="CI89" s="31"/>
    </row>
    <row r="90" spans="1:87">
      <c r="A90" t="s">
        <v>942</v>
      </c>
      <c r="CI90" s="31"/>
    </row>
    <row r="91" spans="1:87">
      <c r="B91">
        <v>1</v>
      </c>
      <c r="C91">
        <v>2</v>
      </c>
      <c r="D91">
        <v>3</v>
      </c>
      <c r="E91">
        <v>4</v>
      </c>
      <c r="F91">
        <v>5</v>
      </c>
      <c r="G91">
        <v>6</v>
      </c>
      <c r="H91">
        <v>7</v>
      </c>
      <c r="I91">
        <v>8</v>
      </c>
      <c r="J91">
        <v>9</v>
      </c>
      <c r="K91">
        <v>10</v>
      </c>
      <c r="L91">
        <v>11</v>
      </c>
      <c r="M91">
        <v>12</v>
      </c>
      <c r="N91">
        <v>13</v>
      </c>
      <c r="O91">
        <v>14</v>
      </c>
      <c r="P91">
        <v>15</v>
      </c>
      <c r="Q91">
        <v>16</v>
      </c>
      <c r="R91">
        <v>17</v>
      </c>
      <c r="S91">
        <v>18</v>
      </c>
      <c r="T91">
        <v>19</v>
      </c>
      <c r="U91">
        <v>20</v>
      </c>
      <c r="V91">
        <v>21</v>
      </c>
      <c r="W91">
        <v>22</v>
      </c>
      <c r="X91">
        <v>23</v>
      </c>
      <c r="Y91">
        <v>24</v>
      </c>
      <c r="Z91">
        <v>25</v>
      </c>
      <c r="AA91">
        <v>26</v>
      </c>
      <c r="AB91">
        <v>27</v>
      </c>
      <c r="AC91">
        <v>28</v>
      </c>
      <c r="AD91">
        <v>29</v>
      </c>
      <c r="AE91">
        <v>30</v>
      </c>
      <c r="AF91">
        <v>31</v>
      </c>
      <c r="AG91">
        <v>32</v>
      </c>
      <c r="AH91">
        <v>33</v>
      </c>
      <c r="AI91">
        <v>34</v>
      </c>
      <c r="AJ91">
        <v>35</v>
      </c>
      <c r="AK91">
        <v>36</v>
      </c>
      <c r="AL91">
        <v>37</v>
      </c>
      <c r="AM91">
        <v>38</v>
      </c>
      <c r="AN91">
        <v>39</v>
      </c>
      <c r="AO91">
        <v>40</v>
      </c>
      <c r="AP91">
        <v>41</v>
      </c>
      <c r="AQ91">
        <v>42</v>
      </c>
      <c r="AR91">
        <v>43</v>
      </c>
      <c r="AS91">
        <v>44</v>
      </c>
      <c r="AT91">
        <v>45</v>
      </c>
      <c r="AU91">
        <v>46</v>
      </c>
      <c r="AV91">
        <v>47</v>
      </c>
      <c r="AW91">
        <v>48</v>
      </c>
      <c r="AX91">
        <v>49</v>
      </c>
      <c r="AY91">
        <v>50</v>
      </c>
      <c r="AZ91">
        <v>51</v>
      </c>
      <c r="BA91">
        <v>52</v>
      </c>
      <c r="BB91">
        <v>53</v>
      </c>
      <c r="BC91">
        <v>54</v>
      </c>
      <c r="BD91">
        <v>55</v>
      </c>
      <c r="BE91">
        <v>56</v>
      </c>
      <c r="BF91">
        <v>57</v>
      </c>
      <c r="BG91">
        <v>58</v>
      </c>
      <c r="BH91">
        <v>59</v>
      </c>
      <c r="BI91">
        <v>60</v>
      </c>
      <c r="BJ91">
        <v>61</v>
      </c>
      <c r="BK91">
        <v>62</v>
      </c>
      <c r="BL91">
        <v>63</v>
      </c>
      <c r="BM91">
        <v>64</v>
      </c>
      <c r="BN91">
        <v>65</v>
      </c>
      <c r="BO91">
        <v>66</v>
      </c>
      <c r="BP91">
        <v>67</v>
      </c>
      <c r="BQ91">
        <v>68</v>
      </c>
      <c r="BR91">
        <v>69</v>
      </c>
      <c r="BS91">
        <v>70</v>
      </c>
      <c r="BT91">
        <v>71</v>
      </c>
      <c r="BU91">
        <v>72</v>
      </c>
      <c r="BV91">
        <v>73</v>
      </c>
      <c r="BW91">
        <v>74</v>
      </c>
      <c r="BX91">
        <v>75</v>
      </c>
      <c r="BY91">
        <v>76</v>
      </c>
      <c r="BZ91">
        <v>77</v>
      </c>
      <c r="CA91">
        <v>78</v>
      </c>
      <c r="CB91">
        <v>79</v>
      </c>
      <c r="CC91">
        <v>80</v>
      </c>
      <c r="CD91">
        <v>81</v>
      </c>
      <c r="CE91">
        <v>82</v>
      </c>
      <c r="CF91">
        <v>83</v>
      </c>
      <c r="CG91">
        <v>84</v>
      </c>
      <c r="CH91">
        <v>85</v>
      </c>
      <c r="CI91" s="31" t="s">
        <v>180</v>
      </c>
    </row>
    <row r="92" spans="1:87">
      <c r="CI92" s="31"/>
    </row>
    <row r="93" spans="1:87">
      <c r="A93">
        <v>1</v>
      </c>
      <c r="CI93" s="31">
        <f>SUM(B93:CH93)</f>
        <v>0</v>
      </c>
    </row>
    <row r="94" spans="1:87">
      <c r="A94">
        <v>2</v>
      </c>
      <c r="CI94" s="31">
        <f t="shared" ref="CI94:CI157" si="2">SUM(B94:CH94)</f>
        <v>0</v>
      </c>
    </row>
    <row r="95" spans="1:87">
      <c r="A95">
        <v>3</v>
      </c>
      <c r="C95">
        <v>0.10161794863983754</v>
      </c>
      <c r="CI95" s="31">
        <f t="shared" si="2"/>
        <v>0.10161794863983754</v>
      </c>
    </row>
    <row r="96" spans="1:87">
      <c r="A96">
        <v>4</v>
      </c>
      <c r="CI96" s="31">
        <f t="shared" si="2"/>
        <v>0</v>
      </c>
    </row>
    <row r="97" spans="1:87">
      <c r="A97">
        <v>5</v>
      </c>
      <c r="E97">
        <v>0</v>
      </c>
      <c r="CI97" s="31">
        <f t="shared" si="2"/>
        <v>0</v>
      </c>
    </row>
    <row r="98" spans="1:87">
      <c r="A98">
        <v>6</v>
      </c>
      <c r="CI98" s="31">
        <f t="shared" si="2"/>
        <v>0</v>
      </c>
    </row>
    <row r="99" spans="1:87">
      <c r="A99">
        <v>7</v>
      </c>
      <c r="G99">
        <v>0</v>
      </c>
      <c r="CI99" s="31">
        <f t="shared" si="2"/>
        <v>0</v>
      </c>
    </row>
    <row r="100" spans="1:87">
      <c r="A100">
        <v>8</v>
      </c>
      <c r="CI100" s="31">
        <f t="shared" si="2"/>
        <v>0</v>
      </c>
    </row>
    <row r="101" spans="1:87">
      <c r="A101">
        <v>9</v>
      </c>
      <c r="CI101" s="31">
        <f t="shared" si="2"/>
        <v>0</v>
      </c>
    </row>
    <row r="102" spans="1:87">
      <c r="A102">
        <v>10</v>
      </c>
      <c r="J102">
        <v>2.4609070232912083</v>
      </c>
      <c r="CI102" s="31">
        <f t="shared" si="2"/>
        <v>2.4609070232912083</v>
      </c>
    </row>
    <row r="103" spans="1:87">
      <c r="A103">
        <v>11</v>
      </c>
      <c r="CI103" s="31">
        <f t="shared" si="2"/>
        <v>0</v>
      </c>
    </row>
    <row r="104" spans="1:87">
      <c r="A104">
        <v>12</v>
      </c>
      <c r="L104">
        <v>0.58738402332116224</v>
      </c>
      <c r="CI104" s="31">
        <f t="shared" si="2"/>
        <v>0.58738402332116224</v>
      </c>
    </row>
    <row r="105" spans="1:87">
      <c r="A105">
        <v>13</v>
      </c>
      <c r="L105">
        <v>0.84794454977725942</v>
      </c>
      <c r="M105">
        <v>2.1336313208056281</v>
      </c>
      <c r="CI105" s="31">
        <f t="shared" si="2"/>
        <v>2.9815758705828874</v>
      </c>
    </row>
    <row r="106" spans="1:87">
      <c r="A106">
        <v>14</v>
      </c>
      <c r="C106">
        <v>1.2199542077013075</v>
      </c>
      <c r="D106">
        <v>1.4936748500740933</v>
      </c>
      <c r="E106">
        <v>3.7641627424965365</v>
      </c>
      <c r="F106">
        <v>14.33625398277775</v>
      </c>
      <c r="G106">
        <v>1.861060512820818</v>
      </c>
      <c r="H106">
        <v>19.011042398889149</v>
      </c>
      <c r="I106">
        <v>8.2396834701000081</v>
      </c>
      <c r="J106">
        <v>10.786507531154692</v>
      </c>
      <c r="K106">
        <v>11.005838529918906</v>
      </c>
      <c r="L106">
        <v>5.9384303553174771</v>
      </c>
      <c r="M106">
        <v>14.942511283145302</v>
      </c>
      <c r="N106">
        <v>5.2715424485307736</v>
      </c>
      <c r="CI106" s="31">
        <f t="shared" si="2"/>
        <v>97.870662312926811</v>
      </c>
    </row>
    <row r="107" spans="1:87">
      <c r="A107">
        <v>15</v>
      </c>
      <c r="CE107">
        <v>0</v>
      </c>
      <c r="CI107" s="31">
        <f t="shared" si="2"/>
        <v>0</v>
      </c>
    </row>
    <row r="108" spans="1:87">
      <c r="A108">
        <v>16</v>
      </c>
      <c r="CI108" s="31">
        <f t="shared" si="2"/>
        <v>0</v>
      </c>
    </row>
    <row r="109" spans="1:87">
      <c r="A109">
        <v>17</v>
      </c>
      <c r="CH109">
        <v>0</v>
      </c>
      <c r="CI109" s="31">
        <f t="shared" si="2"/>
        <v>0</v>
      </c>
    </row>
    <row r="110" spans="1:87">
      <c r="A110">
        <v>18</v>
      </c>
      <c r="R110">
        <v>0.61687536404482968</v>
      </c>
      <c r="T110">
        <v>0.93896215643037095</v>
      </c>
      <c r="CF110">
        <v>0.79413343292868599</v>
      </c>
      <c r="CG110">
        <v>0.1858560635754393</v>
      </c>
      <c r="CH110">
        <v>0.17904542214157496</v>
      </c>
      <c r="CI110" s="31">
        <f t="shared" si="2"/>
        <v>2.7148724391209007</v>
      </c>
    </row>
    <row r="111" spans="1:87">
      <c r="A111">
        <v>19</v>
      </c>
      <c r="CF111">
        <v>0</v>
      </c>
      <c r="CI111" s="31">
        <f t="shared" si="2"/>
        <v>0</v>
      </c>
    </row>
    <row r="112" spans="1:87">
      <c r="A112">
        <v>20</v>
      </c>
      <c r="CI112" s="31">
        <f t="shared" si="2"/>
        <v>0</v>
      </c>
    </row>
    <row r="113" spans="1:87">
      <c r="A113">
        <v>21</v>
      </c>
      <c r="U113">
        <v>12.926513179275322</v>
      </c>
      <c r="CI113" s="31">
        <f t="shared" si="2"/>
        <v>12.926513179275322</v>
      </c>
    </row>
    <row r="114" spans="1:87">
      <c r="A114">
        <v>22</v>
      </c>
      <c r="CI114" s="31">
        <f t="shared" si="2"/>
        <v>0</v>
      </c>
    </row>
    <row r="115" spans="1:87">
      <c r="A115">
        <v>23</v>
      </c>
      <c r="W115">
        <v>0</v>
      </c>
      <c r="CI115" s="31">
        <f t="shared" si="2"/>
        <v>0</v>
      </c>
    </row>
    <row r="116" spans="1:87">
      <c r="A116">
        <v>24</v>
      </c>
      <c r="CI116" s="31">
        <f t="shared" si="2"/>
        <v>0</v>
      </c>
    </row>
    <row r="117" spans="1:87">
      <c r="A117">
        <v>25</v>
      </c>
      <c r="CI117" s="31">
        <f t="shared" si="2"/>
        <v>0</v>
      </c>
    </row>
    <row r="118" spans="1:87">
      <c r="A118">
        <v>26</v>
      </c>
      <c r="CI118" s="31">
        <f t="shared" si="2"/>
        <v>0</v>
      </c>
    </row>
    <row r="119" spans="1:87">
      <c r="A119">
        <v>27</v>
      </c>
      <c r="CI119" s="31">
        <f t="shared" si="2"/>
        <v>0</v>
      </c>
    </row>
    <row r="120" spans="1:87">
      <c r="A120">
        <v>28</v>
      </c>
      <c r="CI120" s="31">
        <f t="shared" si="2"/>
        <v>0</v>
      </c>
    </row>
    <row r="121" spans="1:87">
      <c r="A121">
        <v>29</v>
      </c>
      <c r="CI121" s="31">
        <f t="shared" si="2"/>
        <v>0</v>
      </c>
    </row>
    <row r="122" spans="1:87">
      <c r="A122">
        <v>30</v>
      </c>
      <c r="CI122" s="31">
        <f t="shared" si="2"/>
        <v>0</v>
      </c>
    </row>
    <row r="123" spans="1:87">
      <c r="A123">
        <v>31</v>
      </c>
      <c r="CI123" s="31">
        <f t="shared" si="2"/>
        <v>0</v>
      </c>
    </row>
    <row r="124" spans="1:87">
      <c r="A124">
        <v>32</v>
      </c>
      <c r="AE124">
        <v>0.56354885615085604</v>
      </c>
      <c r="AF124">
        <v>1.6216260069126476</v>
      </c>
      <c r="CI124" s="31">
        <f t="shared" si="2"/>
        <v>2.1851748630635037</v>
      </c>
    </row>
    <row r="125" spans="1:87">
      <c r="A125">
        <v>33</v>
      </c>
      <c r="AD125">
        <v>24.653205254107181</v>
      </c>
      <c r="CI125" s="31">
        <f t="shared" si="2"/>
        <v>24.653205254107181</v>
      </c>
    </row>
    <row r="126" spans="1:87">
      <c r="A126">
        <v>34</v>
      </c>
      <c r="AD126">
        <v>0.22580141504050452</v>
      </c>
      <c r="AE126">
        <v>0.33365726256062384</v>
      </c>
      <c r="AF126">
        <v>0.96010716454857181</v>
      </c>
      <c r="AG126">
        <v>0.45425241289262569</v>
      </c>
      <c r="AH126">
        <v>0.95504819058914603</v>
      </c>
      <c r="CI126" s="31">
        <f t="shared" si="2"/>
        <v>2.9288664456314719</v>
      </c>
    </row>
    <row r="127" spans="1:87">
      <c r="A127">
        <v>35</v>
      </c>
      <c r="CI127" s="31">
        <f t="shared" si="2"/>
        <v>0</v>
      </c>
    </row>
    <row r="128" spans="1:87">
      <c r="A128">
        <v>36</v>
      </c>
      <c r="AJ128">
        <v>1.31037296760918</v>
      </c>
      <c r="CI128" s="31">
        <f t="shared" si="2"/>
        <v>1.31037296760918</v>
      </c>
    </row>
    <row r="129" spans="1:87">
      <c r="A129">
        <v>37</v>
      </c>
      <c r="CI129" s="31">
        <f t="shared" si="2"/>
        <v>0</v>
      </c>
    </row>
    <row r="130" spans="1:87">
      <c r="A130">
        <v>38</v>
      </c>
      <c r="AL130">
        <v>5.3901997014729748</v>
      </c>
      <c r="CI130" s="31">
        <f t="shared" si="2"/>
        <v>5.3901997014729748</v>
      </c>
    </row>
    <row r="131" spans="1:87">
      <c r="A131">
        <v>39</v>
      </c>
      <c r="CI131" s="31">
        <f t="shared" si="2"/>
        <v>0</v>
      </c>
    </row>
    <row r="132" spans="1:87">
      <c r="A132">
        <v>40</v>
      </c>
      <c r="CI132" s="31">
        <f t="shared" si="2"/>
        <v>0</v>
      </c>
    </row>
    <row r="133" spans="1:87">
      <c r="A133">
        <v>41</v>
      </c>
      <c r="CI133" s="31">
        <f t="shared" si="2"/>
        <v>0</v>
      </c>
    </row>
    <row r="134" spans="1:87">
      <c r="A134">
        <v>42</v>
      </c>
      <c r="AP134">
        <v>0</v>
      </c>
      <c r="CI134" s="31">
        <f t="shared" si="2"/>
        <v>0</v>
      </c>
    </row>
    <row r="135" spans="1:87">
      <c r="A135">
        <v>43</v>
      </c>
      <c r="AP135">
        <v>1.0063746783088923</v>
      </c>
      <c r="AQ135">
        <v>1.1540964515195311</v>
      </c>
      <c r="CI135" s="31">
        <f t="shared" si="2"/>
        <v>2.1604711298284234</v>
      </c>
    </row>
    <row r="136" spans="1:87">
      <c r="A136">
        <v>44</v>
      </c>
      <c r="CI136" s="31">
        <f t="shared" si="2"/>
        <v>0</v>
      </c>
    </row>
    <row r="137" spans="1:87">
      <c r="A137">
        <v>45</v>
      </c>
      <c r="CI137" s="31">
        <f t="shared" si="2"/>
        <v>0</v>
      </c>
    </row>
    <row r="138" spans="1:87">
      <c r="A138">
        <v>46</v>
      </c>
      <c r="CI138" s="31">
        <f t="shared" si="2"/>
        <v>0</v>
      </c>
    </row>
    <row r="139" spans="1:87">
      <c r="A139">
        <v>47</v>
      </c>
      <c r="CI139" s="31">
        <f t="shared" si="2"/>
        <v>0</v>
      </c>
    </row>
    <row r="140" spans="1:87">
      <c r="A140">
        <v>48</v>
      </c>
      <c r="AT140">
        <v>3.6904272291795355</v>
      </c>
      <c r="AU140">
        <v>1.4268246629739394</v>
      </c>
      <c r="AV140">
        <v>0.3033916895622405</v>
      </c>
      <c r="CI140" s="31">
        <f t="shared" si="2"/>
        <v>5.4206435817157157</v>
      </c>
    </row>
    <row r="141" spans="1:87">
      <c r="A141">
        <v>49</v>
      </c>
      <c r="CI141" s="31">
        <f t="shared" si="2"/>
        <v>0</v>
      </c>
    </row>
    <row r="142" spans="1:87">
      <c r="A142">
        <v>50</v>
      </c>
      <c r="AX142">
        <v>0.75446367201032605</v>
      </c>
      <c r="CI142" s="31">
        <f t="shared" si="2"/>
        <v>0.75446367201032605</v>
      </c>
    </row>
    <row r="143" spans="1:87">
      <c r="A143">
        <v>51</v>
      </c>
      <c r="CI143" s="31">
        <f t="shared" si="2"/>
        <v>0</v>
      </c>
    </row>
    <row r="144" spans="1:87">
      <c r="A144">
        <v>52</v>
      </c>
      <c r="AX144">
        <v>0.20275785813533123</v>
      </c>
      <c r="AY144">
        <v>0.59488445497335007</v>
      </c>
      <c r="AZ144">
        <v>0.6774761479430611</v>
      </c>
      <c r="CI144" s="31">
        <f t="shared" si="2"/>
        <v>1.4751184610517423</v>
      </c>
    </row>
    <row r="145" spans="1:87">
      <c r="A145">
        <v>53</v>
      </c>
      <c r="CI145" s="31">
        <f t="shared" si="2"/>
        <v>0</v>
      </c>
    </row>
    <row r="146" spans="1:87">
      <c r="A146">
        <v>54</v>
      </c>
      <c r="CI146" s="31">
        <f t="shared" si="2"/>
        <v>0</v>
      </c>
    </row>
    <row r="147" spans="1:87">
      <c r="A147">
        <v>55</v>
      </c>
      <c r="BB147">
        <v>0.58823407464085886</v>
      </c>
      <c r="BC147">
        <v>0.3794974823434305</v>
      </c>
      <c r="CI147" s="31">
        <f t="shared" si="2"/>
        <v>0.96773155698428936</v>
      </c>
    </row>
    <row r="148" spans="1:87">
      <c r="A148">
        <v>56</v>
      </c>
      <c r="CI148" s="31">
        <f t="shared" si="2"/>
        <v>0</v>
      </c>
    </row>
    <row r="149" spans="1:87">
      <c r="A149">
        <v>57</v>
      </c>
      <c r="CI149" s="31">
        <f t="shared" si="2"/>
        <v>0</v>
      </c>
    </row>
    <row r="150" spans="1:87">
      <c r="A150">
        <v>58</v>
      </c>
      <c r="AB150">
        <v>2.6548945635885284</v>
      </c>
      <c r="AC150">
        <v>5.7627444327280655</v>
      </c>
      <c r="CA150">
        <v>10.325851268617159</v>
      </c>
      <c r="CI150" s="31">
        <f t="shared" si="2"/>
        <v>18.743490264933754</v>
      </c>
    </row>
    <row r="151" spans="1:87">
      <c r="A151">
        <v>59</v>
      </c>
      <c r="AB151">
        <v>0.2413576870391575</v>
      </c>
      <c r="AC151">
        <v>0.52389374943802669</v>
      </c>
      <c r="AD151">
        <v>0.18896060858849628</v>
      </c>
      <c r="AE151">
        <v>0.27921915096111133</v>
      </c>
      <c r="AF151">
        <v>0.80346012929427346</v>
      </c>
      <c r="AG151">
        <v>0.38013850523295484</v>
      </c>
      <c r="AH151">
        <v>0.79922655618741334</v>
      </c>
      <c r="AI151">
        <v>1.3454982716615465</v>
      </c>
      <c r="AJ151">
        <v>0.57471291446779382</v>
      </c>
      <c r="AK151">
        <v>0.71951248079521579</v>
      </c>
      <c r="AL151">
        <v>0.59742759426113534</v>
      </c>
      <c r="AM151">
        <v>1.1758281454863997</v>
      </c>
      <c r="BG151">
        <v>2.0612401718129543</v>
      </c>
      <c r="CA151">
        <v>0.93872789265692569</v>
      </c>
      <c r="CI151" s="31">
        <f t="shared" si="2"/>
        <v>10.629203857883406</v>
      </c>
    </row>
    <row r="152" spans="1:87">
      <c r="A152">
        <v>60</v>
      </c>
      <c r="AS152">
        <v>0.29272358324046621</v>
      </c>
      <c r="AT152">
        <v>0.68889421362876324</v>
      </c>
      <c r="AU152">
        <v>0.2663461960213438</v>
      </c>
      <c r="AV152">
        <v>5.6634304491880727E-2</v>
      </c>
      <c r="AW152">
        <v>1.2471392863049675</v>
      </c>
      <c r="BN152">
        <v>0.14604556600750443</v>
      </c>
      <c r="BO152">
        <v>0.12843839158135759</v>
      </c>
      <c r="BP152">
        <v>0.10407128809562695</v>
      </c>
      <c r="BQ152">
        <v>0.71030028386457267</v>
      </c>
      <c r="BR152">
        <v>0.19361146589235126</v>
      </c>
      <c r="BS152">
        <v>0.17338455492230934</v>
      </c>
      <c r="BT152">
        <v>0.11801020121903806</v>
      </c>
      <c r="BU152">
        <v>0.40415595665717835</v>
      </c>
      <c r="BV152">
        <v>0.50289945356889865</v>
      </c>
      <c r="BW152">
        <v>0.20912743782643331</v>
      </c>
      <c r="BX152">
        <v>0.22231027583543747</v>
      </c>
      <c r="BY152">
        <v>0.68744516623626228</v>
      </c>
      <c r="BZ152">
        <v>0.61877138563281442</v>
      </c>
      <c r="CB152">
        <v>1.4092130507557838</v>
      </c>
      <c r="CC152">
        <v>1.1392583678803099</v>
      </c>
      <c r="CD152">
        <v>1.1614682308971707</v>
      </c>
      <c r="CI152" s="31">
        <f t="shared" si="2"/>
        <v>10.48024866056047</v>
      </c>
    </row>
    <row r="153" spans="1:87">
      <c r="A153">
        <v>61</v>
      </c>
      <c r="C153">
        <v>0.11742858050454352</v>
      </c>
      <c r="D153">
        <v>0.14377598460030266</v>
      </c>
      <c r="E153">
        <v>0.36232531094124615</v>
      </c>
      <c r="F153">
        <v>1.3799583167324776</v>
      </c>
      <c r="G153">
        <v>0.17913926020665361</v>
      </c>
      <c r="H153">
        <v>1.8299373113517987</v>
      </c>
      <c r="I153">
        <v>0.79312348577717706</v>
      </c>
      <c r="J153">
        <v>1.0382719777422891</v>
      </c>
      <c r="K153">
        <v>1.0593840225083424</v>
      </c>
      <c r="L153">
        <v>0.57161280533962444</v>
      </c>
      <c r="M153">
        <v>1.4383145515429805</v>
      </c>
      <c r="N153">
        <v>0.50742047766433629</v>
      </c>
      <c r="O153">
        <v>1.6859123990346707</v>
      </c>
      <c r="CI153" s="31">
        <f t="shared" si="2"/>
        <v>11.106604483946443</v>
      </c>
    </row>
    <row r="154" spans="1:87">
      <c r="A154">
        <v>62</v>
      </c>
      <c r="C154">
        <v>0.40961713657589155</v>
      </c>
      <c r="D154">
        <v>0.50152277126501388</v>
      </c>
      <c r="E154">
        <v>1.2638716719477026</v>
      </c>
      <c r="F154">
        <v>4.8136030586878631</v>
      </c>
      <c r="G154">
        <v>0.62487778102140856</v>
      </c>
      <c r="H154">
        <v>6.3832303717603667</v>
      </c>
      <c r="I154">
        <v>2.7665919982960792</v>
      </c>
      <c r="J154">
        <v>3.6217247341530188</v>
      </c>
      <c r="K154">
        <v>3.6953682652863806</v>
      </c>
      <c r="L154">
        <v>1.993913232599027</v>
      </c>
      <c r="M154">
        <v>5.017162649561941</v>
      </c>
      <c r="N154">
        <v>1.7699960453221568</v>
      </c>
      <c r="O154">
        <v>5.8808392849784461</v>
      </c>
      <c r="P154">
        <v>1.3715399575552432</v>
      </c>
      <c r="Q154">
        <v>2.9918630455050952</v>
      </c>
      <c r="R154">
        <v>1.3655897860186779</v>
      </c>
      <c r="S154">
        <v>2.2541921382368479</v>
      </c>
      <c r="T154">
        <v>2.0785999976912737</v>
      </c>
      <c r="U154">
        <v>7.8774896347920809</v>
      </c>
      <c r="V154">
        <v>1.1189066657666851</v>
      </c>
      <c r="W154">
        <v>4.4770153152924337</v>
      </c>
      <c r="X154">
        <v>5.2944008159754352</v>
      </c>
      <c r="Y154">
        <v>1.397038184833592</v>
      </c>
      <c r="Z154">
        <v>4.0506271558785061</v>
      </c>
      <c r="BJ154">
        <v>2.0530361923044258</v>
      </c>
      <c r="CE154">
        <v>3.8961371313151982</v>
      </c>
      <c r="CF154">
        <v>1.7579896490477325</v>
      </c>
      <c r="CG154">
        <v>0.41143342218123252</v>
      </c>
      <c r="CH154">
        <v>0.39635656400142555</v>
      </c>
      <c r="CI154" s="31">
        <f t="shared" si="2"/>
        <v>81.534534657851182</v>
      </c>
    </row>
    <row r="155" spans="1:87">
      <c r="A155">
        <v>63</v>
      </c>
      <c r="C155">
        <v>4.5467302272472539E-2</v>
      </c>
      <c r="D155">
        <v>5.5668782874296829E-2</v>
      </c>
      <c r="E155">
        <v>0.14028913883444105</v>
      </c>
      <c r="F155">
        <v>0.53430759054317545</v>
      </c>
      <c r="G155">
        <v>6.9361128761731783E-2</v>
      </c>
      <c r="H155">
        <v>0.70853545633797976</v>
      </c>
      <c r="I155">
        <v>0.30709036175254378</v>
      </c>
      <c r="J155">
        <v>0.40200967813981198</v>
      </c>
      <c r="K155">
        <v>0.41018407415859875</v>
      </c>
      <c r="L155">
        <v>0.22132339581663532</v>
      </c>
      <c r="M155">
        <v>0.55690260579595596</v>
      </c>
      <c r="N155">
        <v>0.19646869729736807</v>
      </c>
      <c r="O155">
        <v>0.65277029086503213</v>
      </c>
      <c r="P155">
        <v>0.15224026599625587</v>
      </c>
      <c r="Q155">
        <v>0.33209533806361446</v>
      </c>
      <c r="R155">
        <v>0.15157979985929787</v>
      </c>
      <c r="S155">
        <v>0.25021422732995652</v>
      </c>
      <c r="T155">
        <v>0.23072358541591412</v>
      </c>
      <c r="U155">
        <v>0.87439750535681382</v>
      </c>
      <c r="V155">
        <v>0.12419809388924989</v>
      </c>
      <c r="W155">
        <v>0.49694651527640865</v>
      </c>
      <c r="X155">
        <v>0.58767590697949412</v>
      </c>
      <c r="Y155">
        <v>0.15507055678137321</v>
      </c>
      <c r="Z155">
        <v>0.44961763765293938</v>
      </c>
      <c r="AA155">
        <v>0.10527237372462492</v>
      </c>
      <c r="AB155">
        <v>0.19823233511603455</v>
      </c>
      <c r="AC155">
        <v>0.43028536848277732</v>
      </c>
      <c r="AD155">
        <v>0.15519747120947294</v>
      </c>
      <c r="AE155">
        <v>0.22932878162342396</v>
      </c>
      <c r="AF155">
        <v>0.65989933677477963</v>
      </c>
      <c r="AG155">
        <v>0.31221604948352838</v>
      </c>
      <c r="AH155">
        <v>0.65642221079983121</v>
      </c>
      <c r="AI155">
        <v>1.1050870911055115</v>
      </c>
      <c r="AJ155">
        <v>0.47202425766455625</v>
      </c>
      <c r="AK155">
        <v>0.59095130121141071</v>
      </c>
      <c r="AL155">
        <v>0.49068031984382532</v>
      </c>
      <c r="AM155">
        <v>0.96573331404650753</v>
      </c>
      <c r="AN155">
        <v>0.43889196652521617</v>
      </c>
      <c r="AO155">
        <v>0.39116702452255042</v>
      </c>
      <c r="AP155">
        <v>0.19634231300201743</v>
      </c>
      <c r="AQ155">
        <v>0.22516262740189336</v>
      </c>
      <c r="AR155">
        <v>0.1570181672693482</v>
      </c>
      <c r="BG155">
        <v>1.6929415321549994</v>
      </c>
      <c r="BH155">
        <v>4.2167016066012293</v>
      </c>
      <c r="BJ155">
        <v>0.22788601549275458</v>
      </c>
      <c r="BK155">
        <v>0.22949910830946274</v>
      </c>
      <c r="CA155">
        <v>0.77099770254985189</v>
      </c>
      <c r="CE155">
        <v>0.4324693203153902</v>
      </c>
      <c r="CF155">
        <v>0.19513599316986094</v>
      </c>
      <c r="CG155">
        <v>4.566890908834334E-2</v>
      </c>
      <c r="CH155">
        <v>4.3995385187681341E-2</v>
      </c>
      <c r="CI155" s="31">
        <f t="shared" si="2"/>
        <v>23.740345818728247</v>
      </c>
    </row>
    <row r="156" spans="1:87">
      <c r="A156">
        <v>64</v>
      </c>
      <c r="C156">
        <v>2.4644621949846457E-2</v>
      </c>
      <c r="D156">
        <v>3.0174126015295816E-2</v>
      </c>
      <c r="E156">
        <v>7.6040860518296782E-2</v>
      </c>
      <c r="F156">
        <v>0.28961050943728761</v>
      </c>
      <c r="G156">
        <v>3.7595782263563457E-2</v>
      </c>
      <c r="H156">
        <v>0.38404716327503102</v>
      </c>
      <c r="I156">
        <v>0.16645205436820101</v>
      </c>
      <c r="J156">
        <v>0.2179011298836919</v>
      </c>
      <c r="K156">
        <v>0.22233189417984631</v>
      </c>
      <c r="L156">
        <v>0.11996382336190431</v>
      </c>
      <c r="M156">
        <v>0.30185767566498173</v>
      </c>
      <c r="N156">
        <v>0.10649184200233289</v>
      </c>
      <c r="O156">
        <v>0.35382079504197494</v>
      </c>
      <c r="P156">
        <v>8.2518724742842761E-2</v>
      </c>
      <c r="Q156">
        <v>0.18000549073348754</v>
      </c>
      <c r="R156">
        <v>8.2160732571711484E-2</v>
      </c>
      <c r="S156">
        <v>0.13562350812163951</v>
      </c>
      <c r="T156">
        <v>0.12505900401596662</v>
      </c>
      <c r="U156">
        <v>0.47394929710738837</v>
      </c>
      <c r="V156">
        <v>6.7319038469656936E-2</v>
      </c>
      <c r="W156">
        <v>0.26935970216327254</v>
      </c>
      <c r="X156">
        <v>0.31853771463611336</v>
      </c>
      <c r="Y156">
        <v>8.405282601829013E-2</v>
      </c>
      <c r="Z156">
        <v>0.24370605134073128</v>
      </c>
      <c r="AA156">
        <v>5.7060738652556217E-2</v>
      </c>
      <c r="AB156">
        <v>0.10744778583724569</v>
      </c>
      <c r="AC156">
        <v>0.23322738994410458</v>
      </c>
      <c r="AD156">
        <v>8.4121617390202949E-2</v>
      </c>
      <c r="AE156">
        <v>0.12430297912682461</v>
      </c>
      <c r="AF156">
        <v>0.35768494867607337</v>
      </c>
      <c r="AG156">
        <v>0.16923032864552845</v>
      </c>
      <c r="AH156">
        <v>0.3558002436057997</v>
      </c>
      <c r="AI156">
        <v>0.59898987229861522</v>
      </c>
      <c r="AJ156">
        <v>0.2558511017783176</v>
      </c>
      <c r="AK156">
        <v>0.32031307513800888</v>
      </c>
      <c r="AL156">
        <v>0.26596323899564439</v>
      </c>
      <c r="AM156">
        <v>0.52345600551405347</v>
      </c>
      <c r="AN156">
        <v>0.23789242051396559</v>
      </c>
      <c r="AO156">
        <v>0.2120240910893246</v>
      </c>
      <c r="AP156">
        <v>0.106423337978042</v>
      </c>
      <c r="AQ156">
        <v>0.12204480037764158</v>
      </c>
      <c r="AR156">
        <v>8.5108488478623942E-2</v>
      </c>
      <c r="AS156">
        <v>0.16269222292265823</v>
      </c>
      <c r="AT156">
        <v>0.3828790619912254</v>
      </c>
      <c r="AU156">
        <v>0.14803199051478472</v>
      </c>
      <c r="AV156">
        <v>3.1476660641632313E-2</v>
      </c>
      <c r="AW156">
        <v>0.6931449134949087</v>
      </c>
      <c r="AX156">
        <v>6.3269384038479246E-2</v>
      </c>
      <c r="AY156">
        <v>0.18563015700781738</v>
      </c>
      <c r="AZ156">
        <v>0.21140240371107968</v>
      </c>
      <c r="BA156">
        <v>8.7994009398792108E-2</v>
      </c>
      <c r="BB156">
        <v>7.4392433740536265E-2</v>
      </c>
      <c r="BC156">
        <v>4.7994059723878837E-2</v>
      </c>
      <c r="BD156">
        <v>0.24650100582201487</v>
      </c>
      <c r="BG156">
        <v>0.91762435767854333</v>
      </c>
      <c r="BH156">
        <v>2.2855769261884187</v>
      </c>
      <c r="BI156">
        <v>0.95204718751783546</v>
      </c>
      <c r="BJ156">
        <v>0.1235209572325123</v>
      </c>
      <c r="BK156">
        <v>0.12439530122590672</v>
      </c>
      <c r="BL156">
        <v>2.28344369917142</v>
      </c>
      <c r="BN156">
        <v>8.1170357095007209E-2</v>
      </c>
      <c r="BO156">
        <v>7.1384502757389168E-2</v>
      </c>
      <c r="BP156">
        <v>5.7841561705648387E-2</v>
      </c>
      <c r="BQ156">
        <v>0.39477629661834296</v>
      </c>
      <c r="BR156">
        <v>0.10760690826698863</v>
      </c>
      <c r="BS156">
        <v>9.6365036081133559E-2</v>
      </c>
      <c r="BT156">
        <v>6.5588640830840206E-2</v>
      </c>
      <c r="BU156">
        <v>0.22462498671306283</v>
      </c>
      <c r="BV156">
        <v>0.27950542659387534</v>
      </c>
      <c r="BW156">
        <v>0.11623049758226323</v>
      </c>
      <c r="BX156">
        <v>0.1235573593143169</v>
      </c>
      <c r="BY156">
        <v>0.38207369899724825</v>
      </c>
      <c r="BZ156">
        <v>0.34390564332098339</v>
      </c>
      <c r="CA156">
        <v>0.41790354724971435</v>
      </c>
      <c r="CB156">
        <v>0.78322354919637793</v>
      </c>
      <c r="CC156">
        <v>0.63318600538388237</v>
      </c>
      <c r="CD156">
        <v>0.64552997830543712</v>
      </c>
      <c r="CE156">
        <v>0.23441115640002658</v>
      </c>
      <c r="CF156">
        <v>0.10576947696742081</v>
      </c>
      <c r="CG156">
        <v>2.4753898804010206E-2</v>
      </c>
      <c r="CH156">
        <v>2.3846799376630777E-2</v>
      </c>
      <c r="CI156" s="31">
        <f t="shared" si="2"/>
        <v>22.845438891506976</v>
      </c>
    </row>
    <row r="157" spans="1:87">
      <c r="A157">
        <v>65</v>
      </c>
      <c r="CI157" s="31">
        <f t="shared" si="2"/>
        <v>0</v>
      </c>
    </row>
    <row r="158" spans="1:87">
      <c r="A158">
        <v>66</v>
      </c>
      <c r="CI158" s="31">
        <f t="shared" ref="CI158:CI178" si="3">SUM(B158:CH158)</f>
        <v>0</v>
      </c>
    </row>
    <row r="159" spans="1:87">
      <c r="A159">
        <v>67</v>
      </c>
      <c r="BO159">
        <v>0</v>
      </c>
      <c r="CI159" s="31">
        <f t="shared" si="3"/>
        <v>0</v>
      </c>
    </row>
    <row r="160" spans="1:87">
      <c r="A160">
        <v>68</v>
      </c>
      <c r="CI160" s="31">
        <f t="shared" si="3"/>
        <v>0</v>
      </c>
    </row>
    <row r="161" spans="1:87">
      <c r="A161">
        <v>69</v>
      </c>
      <c r="CI161" s="31">
        <f t="shared" si="3"/>
        <v>0</v>
      </c>
    </row>
    <row r="162" spans="1:87">
      <c r="A162">
        <v>70</v>
      </c>
      <c r="CI162" s="31">
        <f t="shared" si="3"/>
        <v>0</v>
      </c>
    </row>
    <row r="163" spans="1:87">
      <c r="A163">
        <v>71</v>
      </c>
      <c r="CI163" s="31">
        <f t="shared" si="3"/>
        <v>0</v>
      </c>
    </row>
    <row r="164" spans="1:87">
      <c r="A164">
        <v>72</v>
      </c>
      <c r="BT164">
        <v>0</v>
      </c>
      <c r="CI164" s="31">
        <f t="shared" si="3"/>
        <v>0</v>
      </c>
    </row>
    <row r="165" spans="1:87">
      <c r="A165">
        <v>73</v>
      </c>
      <c r="CI165" s="31">
        <f t="shared" si="3"/>
        <v>0</v>
      </c>
    </row>
    <row r="166" spans="1:87">
      <c r="A166">
        <v>74</v>
      </c>
      <c r="CI166" s="31">
        <f t="shared" si="3"/>
        <v>0</v>
      </c>
    </row>
    <row r="167" spans="1:87">
      <c r="A167">
        <v>75</v>
      </c>
      <c r="CI167" s="31">
        <f t="shared" si="3"/>
        <v>0</v>
      </c>
    </row>
    <row r="168" spans="1:87">
      <c r="A168">
        <v>76</v>
      </c>
      <c r="BX168">
        <v>0</v>
      </c>
      <c r="CI168" s="31">
        <f t="shared" si="3"/>
        <v>0</v>
      </c>
    </row>
    <row r="169" spans="1:87">
      <c r="A169">
        <v>77</v>
      </c>
      <c r="BW169">
        <v>0.20626174408997441</v>
      </c>
      <c r="BX169">
        <v>0.21926393638025413</v>
      </c>
      <c r="BY169">
        <v>0.67802503788047364</v>
      </c>
      <c r="CI169" s="31">
        <f t="shared" si="3"/>
        <v>1.1035507183507023</v>
      </c>
    </row>
    <row r="170" spans="1:87">
      <c r="A170">
        <v>78</v>
      </c>
      <c r="CI170" s="31">
        <f t="shared" si="3"/>
        <v>0</v>
      </c>
    </row>
    <row r="171" spans="1:87">
      <c r="A171">
        <v>79</v>
      </c>
      <c r="BN171">
        <v>0</v>
      </c>
      <c r="CI171" s="31">
        <f t="shared" si="3"/>
        <v>0</v>
      </c>
    </row>
    <row r="172" spans="1:87">
      <c r="A172">
        <v>80</v>
      </c>
      <c r="BN172">
        <v>0.11329488077712671</v>
      </c>
      <c r="BO172">
        <v>9.9636111243994269E-2</v>
      </c>
      <c r="BP172">
        <v>8.0733325217899471E-2</v>
      </c>
      <c r="BQ172">
        <v>0.55101560544646011</v>
      </c>
      <c r="BR172">
        <v>0.15019413834331366</v>
      </c>
      <c r="BS172">
        <v>0.13450310759526135</v>
      </c>
      <c r="CB172">
        <v>1.093197342031895</v>
      </c>
      <c r="CI172" s="31">
        <f t="shared" si="3"/>
        <v>2.2225745106559502</v>
      </c>
    </row>
    <row r="173" spans="1:87">
      <c r="A173">
        <v>81</v>
      </c>
      <c r="BN173">
        <v>8.7674917469635863E-2</v>
      </c>
      <c r="BO173">
        <v>7.710487685226726E-2</v>
      </c>
      <c r="BP173">
        <v>6.2476676589236113E-2</v>
      </c>
      <c r="BQ173">
        <v>0.42641156776567501</v>
      </c>
      <c r="BR173">
        <v>0.11622995313952138</v>
      </c>
      <c r="BS173">
        <v>0.1040872171534595</v>
      </c>
      <c r="BT173">
        <v>7.0844565400380824E-2</v>
      </c>
      <c r="BU173">
        <v>0.24262523754373397</v>
      </c>
      <c r="BV173">
        <v>0.30190350376616398</v>
      </c>
      <c r="BW173">
        <v>0.12554459100200827</v>
      </c>
      <c r="BX173">
        <v>0.13345858843480693</v>
      </c>
      <c r="BY173">
        <v>0.41269105158295177</v>
      </c>
      <c r="BZ173">
        <v>0.37146441108072809</v>
      </c>
      <c r="CB173">
        <v>0.84598691558905981</v>
      </c>
      <c r="CC173">
        <v>0.68392616161565456</v>
      </c>
      <c r="CI173" s="31">
        <f t="shared" si="3"/>
        <v>4.0624302349852837</v>
      </c>
    </row>
    <row r="174" spans="1:87">
      <c r="A174">
        <v>82</v>
      </c>
      <c r="CI174" s="31">
        <f t="shared" si="3"/>
        <v>0</v>
      </c>
    </row>
    <row r="175" spans="1:87">
      <c r="A175">
        <v>83</v>
      </c>
      <c r="CI175" s="31">
        <f t="shared" si="3"/>
        <v>0</v>
      </c>
    </row>
    <row r="176" spans="1:87">
      <c r="A176">
        <v>84</v>
      </c>
      <c r="CI176" s="31">
        <f t="shared" si="3"/>
        <v>0</v>
      </c>
    </row>
    <row r="177" spans="1:87">
      <c r="A177">
        <v>85</v>
      </c>
      <c r="CI177" s="31">
        <f t="shared" si="3"/>
        <v>0</v>
      </c>
    </row>
    <row r="178" spans="1:87">
      <c r="CI178" s="31">
        <f t="shared" si="3"/>
        <v>0</v>
      </c>
    </row>
    <row r="179" spans="1:87">
      <c r="A179" t="s">
        <v>680</v>
      </c>
      <c r="CI179" s="31"/>
    </row>
    <row r="180" spans="1:87">
      <c r="B180">
        <v>1</v>
      </c>
      <c r="C180">
        <v>2</v>
      </c>
      <c r="D180">
        <v>3</v>
      </c>
      <c r="E180">
        <v>4</v>
      </c>
      <c r="F180">
        <v>5</v>
      </c>
      <c r="G180">
        <v>6</v>
      </c>
      <c r="H180">
        <v>7</v>
      </c>
      <c r="I180">
        <v>8</v>
      </c>
      <c r="J180">
        <v>9</v>
      </c>
      <c r="K180">
        <v>10</v>
      </c>
      <c r="L180">
        <v>11</v>
      </c>
      <c r="M180">
        <v>12</v>
      </c>
      <c r="N180">
        <v>13</v>
      </c>
      <c r="O180">
        <v>14</v>
      </c>
      <c r="P180">
        <v>15</v>
      </c>
      <c r="Q180">
        <v>16</v>
      </c>
      <c r="R180">
        <v>17</v>
      </c>
      <c r="S180">
        <v>18</v>
      </c>
      <c r="T180">
        <v>19</v>
      </c>
      <c r="U180">
        <v>20</v>
      </c>
      <c r="V180">
        <v>21</v>
      </c>
      <c r="W180">
        <v>22</v>
      </c>
      <c r="X180">
        <v>23</v>
      </c>
      <c r="Y180">
        <v>24</v>
      </c>
      <c r="Z180">
        <v>25</v>
      </c>
      <c r="AA180">
        <v>26</v>
      </c>
      <c r="AB180">
        <v>27</v>
      </c>
      <c r="AC180">
        <v>28</v>
      </c>
      <c r="AD180">
        <v>29</v>
      </c>
      <c r="AE180">
        <v>30</v>
      </c>
      <c r="AF180">
        <v>31</v>
      </c>
      <c r="AG180">
        <v>32</v>
      </c>
      <c r="AH180">
        <v>33</v>
      </c>
      <c r="AI180">
        <v>34</v>
      </c>
      <c r="AJ180">
        <v>35</v>
      </c>
      <c r="AK180">
        <v>36</v>
      </c>
      <c r="AL180">
        <v>37</v>
      </c>
      <c r="AM180">
        <v>38</v>
      </c>
      <c r="AN180">
        <v>39</v>
      </c>
      <c r="AO180">
        <v>40</v>
      </c>
      <c r="AP180">
        <v>41</v>
      </c>
      <c r="AQ180">
        <v>42</v>
      </c>
      <c r="AR180">
        <v>43</v>
      </c>
      <c r="AS180">
        <v>44</v>
      </c>
      <c r="AT180">
        <v>45</v>
      </c>
      <c r="AU180">
        <v>46</v>
      </c>
      <c r="AV180">
        <v>47</v>
      </c>
      <c r="AW180">
        <v>48</v>
      </c>
      <c r="AX180">
        <v>49</v>
      </c>
      <c r="AY180">
        <v>50</v>
      </c>
      <c r="AZ180">
        <v>51</v>
      </c>
      <c r="BA180">
        <v>52</v>
      </c>
      <c r="BB180">
        <v>53</v>
      </c>
      <c r="BC180">
        <v>54</v>
      </c>
      <c r="BD180">
        <v>55</v>
      </c>
      <c r="BE180">
        <v>56</v>
      </c>
      <c r="BF180">
        <v>57</v>
      </c>
      <c r="BG180">
        <v>58</v>
      </c>
      <c r="BH180">
        <v>59</v>
      </c>
      <c r="BI180">
        <v>60</v>
      </c>
      <c r="BJ180">
        <v>61</v>
      </c>
      <c r="BK180">
        <v>62</v>
      </c>
      <c r="BL180">
        <v>63</v>
      </c>
      <c r="BM180">
        <v>64</v>
      </c>
      <c r="BN180">
        <v>65</v>
      </c>
      <c r="BO180">
        <v>66</v>
      </c>
      <c r="BP180">
        <v>67</v>
      </c>
      <c r="BQ180">
        <v>68</v>
      </c>
      <c r="BR180">
        <v>69</v>
      </c>
      <c r="BS180">
        <v>70</v>
      </c>
      <c r="BT180">
        <v>71</v>
      </c>
      <c r="BU180">
        <v>72</v>
      </c>
      <c r="BV180">
        <v>73</v>
      </c>
      <c r="BW180">
        <v>74</v>
      </c>
      <c r="BX180">
        <v>75</v>
      </c>
      <c r="BY180">
        <v>76</v>
      </c>
      <c r="BZ180">
        <v>77</v>
      </c>
      <c r="CA180">
        <v>78</v>
      </c>
      <c r="CB180">
        <v>79</v>
      </c>
      <c r="CC180">
        <v>80</v>
      </c>
      <c r="CD180">
        <v>81</v>
      </c>
      <c r="CE180">
        <v>82</v>
      </c>
      <c r="CF180">
        <v>83</v>
      </c>
      <c r="CG180">
        <v>84</v>
      </c>
      <c r="CH180">
        <v>85</v>
      </c>
      <c r="CI180" s="31" t="s">
        <v>180</v>
      </c>
    </row>
    <row r="181" spans="1:87">
      <c r="CI181" s="31"/>
    </row>
    <row r="182" spans="1:87">
      <c r="A182">
        <v>1</v>
      </c>
      <c r="CI182" s="31">
        <f>SUM(B182:CH182)</f>
        <v>0</v>
      </c>
    </row>
    <row r="183" spans="1:87">
      <c r="A183">
        <v>2</v>
      </c>
      <c r="CI183" s="31">
        <f t="shared" ref="CI183:CI246" si="4">SUM(B183:CH183)</f>
        <v>0</v>
      </c>
    </row>
    <row r="184" spans="1:87">
      <c r="A184">
        <v>3</v>
      </c>
      <c r="C184">
        <v>0</v>
      </c>
      <c r="CI184" s="31">
        <f t="shared" si="4"/>
        <v>0</v>
      </c>
    </row>
    <row r="185" spans="1:87">
      <c r="A185">
        <v>4</v>
      </c>
      <c r="CI185" s="31">
        <f t="shared" si="4"/>
        <v>0</v>
      </c>
    </row>
    <row r="186" spans="1:87">
      <c r="A186">
        <v>5</v>
      </c>
      <c r="E186">
        <v>0</v>
      </c>
      <c r="CI186" s="31">
        <f t="shared" si="4"/>
        <v>0</v>
      </c>
    </row>
    <row r="187" spans="1:87">
      <c r="A187">
        <v>6</v>
      </c>
      <c r="CI187" s="31">
        <f t="shared" si="4"/>
        <v>0</v>
      </c>
    </row>
    <row r="188" spans="1:87">
      <c r="A188">
        <v>7</v>
      </c>
      <c r="G188">
        <v>0</v>
      </c>
      <c r="CI188" s="31">
        <f t="shared" si="4"/>
        <v>0</v>
      </c>
    </row>
    <row r="189" spans="1:87">
      <c r="A189">
        <v>8</v>
      </c>
      <c r="CI189" s="31">
        <f t="shared" si="4"/>
        <v>0</v>
      </c>
    </row>
    <row r="190" spans="1:87">
      <c r="A190">
        <v>9</v>
      </c>
      <c r="CI190" s="31">
        <f t="shared" si="4"/>
        <v>0</v>
      </c>
    </row>
    <row r="191" spans="1:87">
      <c r="A191">
        <v>10</v>
      </c>
      <c r="J191">
        <v>0</v>
      </c>
      <c r="CI191" s="31">
        <f t="shared" si="4"/>
        <v>0</v>
      </c>
    </row>
    <row r="192" spans="1:87">
      <c r="A192">
        <v>11</v>
      </c>
      <c r="CI192" s="31">
        <f t="shared" si="4"/>
        <v>0</v>
      </c>
    </row>
    <row r="193" spans="1:87">
      <c r="A193">
        <v>12</v>
      </c>
      <c r="L193">
        <v>0</v>
      </c>
      <c r="CI193" s="31">
        <f t="shared" si="4"/>
        <v>0</v>
      </c>
    </row>
    <row r="194" spans="1:87">
      <c r="A194">
        <v>13</v>
      </c>
      <c r="L194">
        <v>0</v>
      </c>
      <c r="M194">
        <v>0</v>
      </c>
      <c r="CI194" s="31">
        <f t="shared" si="4"/>
        <v>0</v>
      </c>
    </row>
    <row r="195" spans="1:87">
      <c r="A195">
        <v>14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CI195" s="31">
        <f t="shared" si="4"/>
        <v>0</v>
      </c>
    </row>
    <row r="196" spans="1:87">
      <c r="A196">
        <v>15</v>
      </c>
      <c r="CE196">
        <v>0</v>
      </c>
      <c r="CI196" s="31">
        <f t="shared" si="4"/>
        <v>0</v>
      </c>
    </row>
    <row r="197" spans="1:87">
      <c r="A197">
        <v>16</v>
      </c>
      <c r="CI197" s="31">
        <f t="shared" si="4"/>
        <v>0</v>
      </c>
    </row>
    <row r="198" spans="1:87">
      <c r="A198">
        <v>17</v>
      </c>
      <c r="CH198">
        <v>0</v>
      </c>
      <c r="CI198" s="31">
        <f t="shared" si="4"/>
        <v>0</v>
      </c>
    </row>
    <row r="199" spans="1:87">
      <c r="A199">
        <v>18</v>
      </c>
      <c r="R199">
        <v>0</v>
      </c>
      <c r="T199">
        <v>0</v>
      </c>
      <c r="CF199">
        <v>0</v>
      </c>
      <c r="CG199">
        <v>0</v>
      </c>
      <c r="CH199">
        <v>0</v>
      </c>
      <c r="CI199" s="31">
        <f t="shared" si="4"/>
        <v>0</v>
      </c>
    </row>
    <row r="200" spans="1:87">
      <c r="A200">
        <v>19</v>
      </c>
      <c r="CF200">
        <v>0</v>
      </c>
      <c r="CI200" s="31">
        <f t="shared" si="4"/>
        <v>0</v>
      </c>
    </row>
    <row r="201" spans="1:87">
      <c r="A201">
        <v>20</v>
      </c>
      <c r="CI201" s="31">
        <f t="shared" si="4"/>
        <v>0</v>
      </c>
    </row>
    <row r="202" spans="1:87">
      <c r="A202">
        <v>21</v>
      </c>
      <c r="U202">
        <v>0</v>
      </c>
      <c r="CI202" s="31">
        <f t="shared" si="4"/>
        <v>0</v>
      </c>
    </row>
    <row r="203" spans="1:87">
      <c r="A203">
        <v>22</v>
      </c>
      <c r="CI203" s="31">
        <f t="shared" si="4"/>
        <v>0</v>
      </c>
    </row>
    <row r="204" spans="1:87">
      <c r="A204">
        <v>23</v>
      </c>
      <c r="W204">
        <v>0</v>
      </c>
      <c r="CI204" s="31">
        <f t="shared" si="4"/>
        <v>0</v>
      </c>
    </row>
    <row r="205" spans="1:87">
      <c r="A205">
        <v>24</v>
      </c>
      <c r="CI205" s="31">
        <f t="shared" si="4"/>
        <v>0</v>
      </c>
    </row>
    <row r="206" spans="1:87">
      <c r="A206">
        <v>25</v>
      </c>
      <c r="CI206" s="31">
        <f t="shared" si="4"/>
        <v>0</v>
      </c>
    </row>
    <row r="207" spans="1:87">
      <c r="A207">
        <v>26</v>
      </c>
      <c r="CI207" s="31">
        <f t="shared" si="4"/>
        <v>0</v>
      </c>
    </row>
    <row r="208" spans="1:87">
      <c r="A208">
        <v>27</v>
      </c>
      <c r="CI208" s="31">
        <f t="shared" si="4"/>
        <v>0</v>
      </c>
    </row>
    <row r="209" spans="1:87">
      <c r="A209">
        <v>28</v>
      </c>
      <c r="CI209" s="31">
        <f t="shared" si="4"/>
        <v>0</v>
      </c>
    </row>
    <row r="210" spans="1:87">
      <c r="A210">
        <v>29</v>
      </c>
      <c r="CI210" s="31">
        <f t="shared" si="4"/>
        <v>0</v>
      </c>
    </row>
    <row r="211" spans="1:87">
      <c r="A211">
        <v>30</v>
      </c>
      <c r="CI211" s="31">
        <f t="shared" si="4"/>
        <v>0</v>
      </c>
    </row>
    <row r="212" spans="1:87">
      <c r="A212">
        <v>31</v>
      </c>
      <c r="CI212" s="31">
        <f t="shared" si="4"/>
        <v>0</v>
      </c>
    </row>
    <row r="213" spans="1:87">
      <c r="A213">
        <v>32</v>
      </c>
      <c r="AE213">
        <v>0</v>
      </c>
      <c r="AF213">
        <v>0</v>
      </c>
      <c r="CI213" s="31">
        <f t="shared" si="4"/>
        <v>0</v>
      </c>
    </row>
    <row r="214" spans="1:87">
      <c r="A214">
        <v>33</v>
      </c>
      <c r="AD214">
        <v>42.043265801862447</v>
      </c>
      <c r="CI214" s="31">
        <f t="shared" si="4"/>
        <v>42.043265801862447</v>
      </c>
    </row>
    <row r="215" spans="1:87">
      <c r="A215">
        <v>34</v>
      </c>
      <c r="AD215">
        <v>0</v>
      </c>
      <c r="AE215">
        <v>0</v>
      </c>
      <c r="AF215">
        <v>0</v>
      </c>
      <c r="AG215">
        <v>0</v>
      </c>
      <c r="AH215">
        <v>0</v>
      </c>
      <c r="CI215" s="31">
        <f t="shared" si="4"/>
        <v>0</v>
      </c>
    </row>
    <row r="216" spans="1:87">
      <c r="A216">
        <v>35</v>
      </c>
      <c r="CI216" s="31">
        <f t="shared" si="4"/>
        <v>0</v>
      </c>
    </row>
    <row r="217" spans="1:87">
      <c r="A217">
        <v>36</v>
      </c>
      <c r="AJ217">
        <v>0</v>
      </c>
      <c r="CI217" s="31">
        <f t="shared" si="4"/>
        <v>0</v>
      </c>
    </row>
    <row r="218" spans="1:87">
      <c r="A218">
        <v>37</v>
      </c>
      <c r="CI218" s="31">
        <f t="shared" si="4"/>
        <v>0</v>
      </c>
    </row>
    <row r="219" spans="1:87">
      <c r="A219">
        <v>38</v>
      </c>
      <c r="AL219">
        <v>0</v>
      </c>
      <c r="CI219" s="31">
        <f t="shared" si="4"/>
        <v>0</v>
      </c>
    </row>
    <row r="220" spans="1:87">
      <c r="A220">
        <v>39</v>
      </c>
      <c r="CI220" s="31">
        <f t="shared" si="4"/>
        <v>0</v>
      </c>
    </row>
    <row r="221" spans="1:87">
      <c r="A221">
        <v>40</v>
      </c>
      <c r="CI221" s="31">
        <f t="shared" si="4"/>
        <v>0</v>
      </c>
    </row>
    <row r="222" spans="1:87">
      <c r="A222">
        <v>41</v>
      </c>
      <c r="CI222" s="31">
        <f t="shared" si="4"/>
        <v>0</v>
      </c>
    </row>
    <row r="223" spans="1:87">
      <c r="A223">
        <v>42</v>
      </c>
      <c r="AP223">
        <v>0</v>
      </c>
      <c r="CI223" s="31">
        <f t="shared" si="4"/>
        <v>0</v>
      </c>
    </row>
    <row r="224" spans="1:87">
      <c r="A224">
        <v>43</v>
      </c>
      <c r="AP224">
        <v>0</v>
      </c>
      <c r="AQ224">
        <v>0</v>
      </c>
      <c r="CI224" s="31">
        <f t="shared" si="4"/>
        <v>0</v>
      </c>
    </row>
    <row r="225" spans="1:87">
      <c r="A225">
        <v>44</v>
      </c>
      <c r="CI225" s="31">
        <f t="shared" si="4"/>
        <v>0</v>
      </c>
    </row>
    <row r="226" spans="1:87">
      <c r="A226">
        <v>45</v>
      </c>
      <c r="CI226" s="31">
        <f t="shared" si="4"/>
        <v>0</v>
      </c>
    </row>
    <row r="227" spans="1:87">
      <c r="A227">
        <v>46</v>
      </c>
      <c r="CI227" s="31">
        <f t="shared" si="4"/>
        <v>0</v>
      </c>
    </row>
    <row r="228" spans="1:87">
      <c r="A228">
        <v>47</v>
      </c>
      <c r="CI228" s="31">
        <f t="shared" si="4"/>
        <v>0</v>
      </c>
    </row>
    <row r="229" spans="1:87">
      <c r="A229">
        <v>48</v>
      </c>
      <c r="AT229">
        <v>0</v>
      </c>
      <c r="AU229">
        <v>0</v>
      </c>
      <c r="AV229">
        <v>0</v>
      </c>
      <c r="CI229" s="31">
        <f t="shared" si="4"/>
        <v>0</v>
      </c>
    </row>
    <row r="230" spans="1:87">
      <c r="A230">
        <v>49</v>
      </c>
      <c r="CI230" s="31">
        <f t="shared" si="4"/>
        <v>0</v>
      </c>
    </row>
    <row r="231" spans="1:87">
      <c r="A231">
        <v>50</v>
      </c>
      <c r="AX231">
        <v>0</v>
      </c>
      <c r="CI231" s="31">
        <f t="shared" si="4"/>
        <v>0</v>
      </c>
    </row>
    <row r="232" spans="1:87">
      <c r="A232">
        <v>51</v>
      </c>
      <c r="CI232" s="31">
        <f t="shared" si="4"/>
        <v>0</v>
      </c>
    </row>
    <row r="233" spans="1:87">
      <c r="A233">
        <v>52</v>
      </c>
      <c r="AX233">
        <v>0</v>
      </c>
      <c r="AY233">
        <v>0</v>
      </c>
      <c r="AZ233">
        <v>0</v>
      </c>
      <c r="CI233" s="31">
        <f t="shared" si="4"/>
        <v>0</v>
      </c>
    </row>
    <row r="234" spans="1:87">
      <c r="A234">
        <v>53</v>
      </c>
      <c r="CI234" s="31">
        <f t="shared" si="4"/>
        <v>0</v>
      </c>
    </row>
    <row r="235" spans="1:87">
      <c r="A235">
        <v>54</v>
      </c>
      <c r="CI235" s="31">
        <f t="shared" si="4"/>
        <v>0</v>
      </c>
    </row>
    <row r="236" spans="1:87">
      <c r="A236">
        <v>55</v>
      </c>
      <c r="BB236">
        <v>0</v>
      </c>
      <c r="BC236">
        <v>0</v>
      </c>
      <c r="CI236" s="31">
        <f t="shared" si="4"/>
        <v>0</v>
      </c>
    </row>
    <row r="237" spans="1:87">
      <c r="A237">
        <v>56</v>
      </c>
      <c r="CI237" s="31">
        <f t="shared" si="4"/>
        <v>0</v>
      </c>
    </row>
    <row r="238" spans="1:87">
      <c r="A238">
        <v>57</v>
      </c>
      <c r="CI238" s="31">
        <f t="shared" si="4"/>
        <v>0</v>
      </c>
    </row>
    <row r="239" spans="1:87">
      <c r="A239">
        <v>58</v>
      </c>
      <c r="AB239">
        <v>6.1974993644176246</v>
      </c>
      <c r="AC239">
        <v>13.452362835403605</v>
      </c>
      <c r="CA239">
        <v>24.104330752716105</v>
      </c>
      <c r="CI239" s="31">
        <f t="shared" si="4"/>
        <v>43.754192952537338</v>
      </c>
    </row>
    <row r="240" spans="1:87">
      <c r="A240">
        <v>59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BG240">
        <v>0</v>
      </c>
      <c r="CA240">
        <v>0</v>
      </c>
      <c r="CI240" s="31">
        <f t="shared" si="4"/>
        <v>0</v>
      </c>
    </row>
    <row r="241" spans="1:87">
      <c r="A241">
        <v>60</v>
      </c>
      <c r="AS241">
        <v>0</v>
      </c>
      <c r="AT241">
        <v>0</v>
      </c>
      <c r="AU241">
        <v>0</v>
      </c>
      <c r="AV241">
        <v>0</v>
      </c>
      <c r="AW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B241">
        <v>0</v>
      </c>
      <c r="CC241">
        <v>0</v>
      </c>
      <c r="CD241">
        <v>0</v>
      </c>
      <c r="CI241" s="31">
        <f t="shared" si="4"/>
        <v>0</v>
      </c>
    </row>
    <row r="242" spans="1:87">
      <c r="A242">
        <v>61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CI242" s="31">
        <f t="shared" si="4"/>
        <v>0</v>
      </c>
    </row>
    <row r="243" spans="1:87">
      <c r="A243">
        <v>62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BJ243">
        <v>0</v>
      </c>
      <c r="CE243">
        <v>0</v>
      </c>
      <c r="CF243">
        <v>0</v>
      </c>
      <c r="CG243">
        <v>0</v>
      </c>
      <c r="CH243">
        <v>0</v>
      </c>
      <c r="CI243" s="31">
        <f t="shared" si="4"/>
        <v>0</v>
      </c>
    </row>
    <row r="244" spans="1:87">
      <c r="A244">
        <v>63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BG244">
        <v>0</v>
      </c>
      <c r="BH244">
        <v>0</v>
      </c>
      <c r="BJ244">
        <v>0</v>
      </c>
      <c r="BK244">
        <v>0</v>
      </c>
      <c r="CA244">
        <v>0</v>
      </c>
      <c r="CE244">
        <v>0</v>
      </c>
      <c r="CF244">
        <v>0</v>
      </c>
      <c r="CG244">
        <v>0</v>
      </c>
      <c r="CH244">
        <v>0</v>
      </c>
      <c r="CI244" s="31">
        <f t="shared" si="4"/>
        <v>0</v>
      </c>
    </row>
    <row r="245" spans="1:87">
      <c r="A245">
        <v>64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 s="31">
        <f t="shared" si="4"/>
        <v>0</v>
      </c>
    </row>
    <row r="246" spans="1:87">
      <c r="A246">
        <v>65</v>
      </c>
      <c r="CI246" s="31">
        <f t="shared" si="4"/>
        <v>0</v>
      </c>
    </row>
    <row r="247" spans="1:87">
      <c r="A247">
        <v>66</v>
      </c>
      <c r="CI247" s="31">
        <f t="shared" ref="CI247:CI262" si="5">SUM(B247:CH247)</f>
        <v>0</v>
      </c>
    </row>
    <row r="248" spans="1:87">
      <c r="A248">
        <v>67</v>
      </c>
      <c r="BO248">
        <v>0</v>
      </c>
      <c r="CI248" s="31">
        <f t="shared" si="5"/>
        <v>0</v>
      </c>
    </row>
    <row r="249" spans="1:87">
      <c r="A249">
        <v>68</v>
      </c>
      <c r="CI249" s="31">
        <f t="shared" si="5"/>
        <v>0</v>
      </c>
    </row>
    <row r="250" spans="1:87">
      <c r="A250">
        <v>69</v>
      </c>
      <c r="CI250" s="31">
        <f t="shared" si="5"/>
        <v>0</v>
      </c>
    </row>
    <row r="251" spans="1:87">
      <c r="A251">
        <v>70</v>
      </c>
      <c r="CI251" s="31">
        <f t="shared" si="5"/>
        <v>0</v>
      </c>
    </row>
    <row r="252" spans="1:87">
      <c r="A252">
        <v>71</v>
      </c>
      <c r="CI252" s="31">
        <f t="shared" si="5"/>
        <v>0</v>
      </c>
    </row>
    <row r="253" spans="1:87">
      <c r="A253">
        <v>72</v>
      </c>
      <c r="BT253">
        <v>0</v>
      </c>
      <c r="CI253" s="31">
        <f t="shared" si="5"/>
        <v>0</v>
      </c>
    </row>
    <row r="254" spans="1:87">
      <c r="A254">
        <v>73</v>
      </c>
      <c r="CI254" s="31">
        <f t="shared" si="5"/>
        <v>0</v>
      </c>
    </row>
    <row r="255" spans="1:87">
      <c r="A255">
        <v>74</v>
      </c>
      <c r="CI255" s="31">
        <f t="shared" si="5"/>
        <v>0</v>
      </c>
    </row>
    <row r="256" spans="1:87">
      <c r="A256">
        <v>75</v>
      </c>
      <c r="CI256" s="31">
        <f t="shared" si="5"/>
        <v>0</v>
      </c>
    </row>
    <row r="257" spans="1:87">
      <c r="A257">
        <v>76</v>
      </c>
      <c r="BX257">
        <v>0</v>
      </c>
      <c r="CI257" s="31">
        <f t="shared" si="5"/>
        <v>0</v>
      </c>
    </row>
    <row r="258" spans="1:87">
      <c r="A258">
        <v>77</v>
      </c>
      <c r="BW258">
        <v>0</v>
      </c>
      <c r="BX258">
        <v>0</v>
      </c>
      <c r="BY258">
        <v>0</v>
      </c>
      <c r="CI258" s="31">
        <f t="shared" si="5"/>
        <v>0</v>
      </c>
    </row>
    <row r="259" spans="1:87">
      <c r="A259">
        <v>78</v>
      </c>
      <c r="CI259" s="31">
        <f t="shared" si="5"/>
        <v>0</v>
      </c>
    </row>
    <row r="260" spans="1:87">
      <c r="A260">
        <v>79</v>
      </c>
      <c r="BN260">
        <v>0</v>
      </c>
      <c r="CI260" s="31">
        <f t="shared" si="5"/>
        <v>0</v>
      </c>
    </row>
    <row r="261" spans="1:87">
      <c r="A261">
        <v>80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CB261">
        <v>0</v>
      </c>
      <c r="CI261" s="31">
        <f t="shared" si="5"/>
        <v>0</v>
      </c>
    </row>
    <row r="262" spans="1:87">
      <c r="A262">
        <v>81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B262">
        <v>0</v>
      </c>
      <c r="CC262">
        <v>0</v>
      </c>
      <c r="CI262" s="31">
        <f t="shared" si="5"/>
        <v>0</v>
      </c>
    </row>
    <row r="263" spans="1:87">
      <c r="A263">
        <v>82</v>
      </c>
      <c r="CI263" s="31">
        <f>SUM(B263:CH263)</f>
        <v>0</v>
      </c>
    </row>
    <row r="264" spans="1:87">
      <c r="A264">
        <v>83</v>
      </c>
      <c r="CI264" s="31">
        <f>SUM(B264:CH264)</f>
        <v>0</v>
      </c>
    </row>
    <row r="265" spans="1:87">
      <c r="A265">
        <v>84</v>
      </c>
      <c r="CI265" s="31">
        <f>SUM(B265:CH265)</f>
        <v>0</v>
      </c>
    </row>
    <row r="266" spans="1:87">
      <c r="A266">
        <v>85</v>
      </c>
      <c r="CI266" s="31">
        <f>SUM(B266:CH266)</f>
        <v>0</v>
      </c>
    </row>
    <row r="267" spans="1:87">
      <c r="CI267" s="31"/>
    </row>
    <row r="268" spans="1:87">
      <c r="CI268" s="31"/>
    </row>
    <row r="269" spans="1:87">
      <c r="CI269" s="31"/>
    </row>
    <row r="270" spans="1:87">
      <c r="CI270" s="31"/>
    </row>
    <row r="271" spans="1:87">
      <c r="CI271" s="31"/>
    </row>
    <row r="272" spans="1:87">
      <c r="CI272" s="31"/>
    </row>
    <row r="273" spans="87:87">
      <c r="CI273" s="31"/>
    </row>
    <row r="274" spans="87:87">
      <c r="CI274" s="31"/>
    </row>
    <row r="275" spans="87:87">
      <c r="CI275" s="31"/>
    </row>
    <row r="276" spans="87:87">
      <c r="CI276" s="31"/>
    </row>
    <row r="277" spans="87:87">
      <c r="CI277" s="31"/>
    </row>
    <row r="278" spans="87:87">
      <c r="CI278" s="31"/>
    </row>
    <row r="279" spans="87:87">
      <c r="CI279" s="31"/>
    </row>
    <row r="280" spans="87:87">
      <c r="CI280" s="31"/>
    </row>
    <row r="281" spans="87:87">
      <c r="CI281" s="31"/>
    </row>
    <row r="282" spans="87:87">
      <c r="CI282" s="31"/>
    </row>
    <row r="283" spans="87:87">
      <c r="CI283" s="31"/>
    </row>
    <row r="284" spans="87:87">
      <c r="CI284" s="31"/>
    </row>
    <row r="285" spans="87:87">
      <c r="CI285" s="31"/>
    </row>
    <row r="286" spans="87:87">
      <c r="CI286" s="31"/>
    </row>
    <row r="287" spans="87:87">
      <c r="CI287" s="31"/>
    </row>
    <row r="288" spans="87:87">
      <c r="CI288" s="31"/>
    </row>
    <row r="289" spans="87:87">
      <c r="CI289" s="31"/>
    </row>
    <row r="290" spans="87:87">
      <c r="CI290" s="31"/>
    </row>
    <row r="291" spans="87:87">
      <c r="CI291" s="31"/>
    </row>
    <row r="292" spans="87:87">
      <c r="CI292" s="31"/>
    </row>
    <row r="293" spans="87:87">
      <c r="CI293" s="31"/>
    </row>
    <row r="294" spans="87:87">
      <c r="CI294" s="31"/>
    </row>
    <row r="295" spans="87:87">
      <c r="CI295" s="31"/>
    </row>
    <row r="296" spans="87:87">
      <c r="CI296" s="31"/>
    </row>
    <row r="297" spans="87:87">
      <c r="CI297" s="31"/>
    </row>
    <row r="298" spans="87:87">
      <c r="CI298" s="31"/>
    </row>
    <row r="299" spans="87:87">
      <c r="CI299" s="31"/>
    </row>
    <row r="300" spans="87:87">
      <c r="CI300" s="31"/>
    </row>
    <row r="301" spans="87:87">
      <c r="CI301" s="31"/>
    </row>
    <row r="302" spans="87:87">
      <c r="CI302" s="31"/>
    </row>
    <row r="303" spans="87:87">
      <c r="CI303" s="31"/>
    </row>
    <row r="304" spans="87:87">
      <c r="CI304" s="31"/>
    </row>
    <row r="305" spans="87:87">
      <c r="CI305" s="31"/>
    </row>
    <row r="306" spans="87:87">
      <c r="CI306" s="31"/>
    </row>
    <row r="307" spans="87:87">
      <c r="CI307" s="31"/>
    </row>
    <row r="308" spans="87:87">
      <c r="CI308" s="31"/>
    </row>
    <row r="309" spans="87:87">
      <c r="CI309" s="31"/>
    </row>
    <row r="310" spans="87:87">
      <c r="CI310" s="31"/>
    </row>
    <row r="311" spans="87:87">
      <c r="CI311" s="31"/>
    </row>
    <row r="312" spans="87:87">
      <c r="CI312" s="31"/>
    </row>
    <row r="313" spans="87:87">
      <c r="CI313" s="31"/>
    </row>
    <row r="314" spans="87:87">
      <c r="CI314" s="31"/>
    </row>
    <row r="315" spans="87:87">
      <c r="CI315" s="31"/>
    </row>
    <row r="316" spans="87:87">
      <c r="CI316" s="31"/>
    </row>
    <row r="317" spans="87:87">
      <c r="CI317" s="31"/>
    </row>
    <row r="318" spans="87:87">
      <c r="CI318" s="31"/>
    </row>
    <row r="319" spans="87:87">
      <c r="CI319" s="31"/>
    </row>
    <row r="320" spans="87:87">
      <c r="CI320" s="31"/>
    </row>
    <row r="321" spans="87:87">
      <c r="CI321" s="31"/>
    </row>
    <row r="322" spans="87:87">
      <c r="CI322" s="31"/>
    </row>
    <row r="323" spans="87:87">
      <c r="CI323" s="31"/>
    </row>
    <row r="324" spans="87:87">
      <c r="CI324" s="31"/>
    </row>
    <row r="325" spans="87:87">
      <c r="CI325" s="31"/>
    </row>
    <row r="326" spans="87:87">
      <c r="CI326" s="31"/>
    </row>
    <row r="327" spans="87:87">
      <c r="CI327" s="31"/>
    </row>
    <row r="328" spans="87:87">
      <c r="CI328" s="31"/>
    </row>
    <row r="329" spans="87:87">
      <c r="CI329" s="31"/>
    </row>
    <row r="330" spans="87:87">
      <c r="CI330" s="31"/>
    </row>
    <row r="331" spans="87:87">
      <c r="CI331" s="31"/>
    </row>
    <row r="332" spans="87:87">
      <c r="CI332" s="31"/>
    </row>
    <row r="333" spans="87:87">
      <c r="CI333" s="31"/>
    </row>
    <row r="334" spans="87:87">
      <c r="CI334" s="31"/>
    </row>
    <row r="335" spans="87:87">
      <c r="CI335" s="31"/>
    </row>
    <row r="336" spans="87:87">
      <c r="CI336" s="31"/>
    </row>
    <row r="337" spans="87:87">
      <c r="CI337" s="31"/>
    </row>
    <row r="338" spans="87:87">
      <c r="CI338" s="31"/>
    </row>
    <row r="339" spans="87:87">
      <c r="CI339" s="31"/>
    </row>
    <row r="340" spans="87:87">
      <c r="CI340" s="31"/>
    </row>
    <row r="341" spans="87:87">
      <c r="CI341" s="31"/>
    </row>
    <row r="342" spans="87:87">
      <c r="CI342" s="31"/>
    </row>
    <row r="343" spans="87:87">
      <c r="CI343" s="31"/>
    </row>
    <row r="344" spans="87:87">
      <c r="CI344" s="31"/>
    </row>
    <row r="345" spans="87:87">
      <c r="CI345" s="31"/>
    </row>
    <row r="346" spans="87:87">
      <c r="CI346" s="31"/>
    </row>
    <row r="347" spans="87:87">
      <c r="CI347" s="31"/>
    </row>
    <row r="348" spans="87:87">
      <c r="CI348" s="31"/>
    </row>
    <row r="349" spans="87:87">
      <c r="CI349" s="31"/>
    </row>
    <row r="350" spans="87:87">
      <c r="CI350" s="31"/>
    </row>
    <row r="351" spans="87:87">
      <c r="CI351" s="31"/>
    </row>
    <row r="352" spans="87:87">
      <c r="CI352" s="31"/>
    </row>
    <row r="353" spans="87:87">
      <c r="CI353" s="31"/>
    </row>
    <row r="354" spans="87:87">
      <c r="CI354" s="31"/>
    </row>
    <row r="355" spans="87:87">
      <c r="CI355" s="31"/>
    </row>
    <row r="356" spans="87:87">
      <c r="CI356" s="31"/>
    </row>
    <row r="357" spans="87:87">
      <c r="CI357" s="31"/>
    </row>
    <row r="358" spans="87:87">
      <c r="CI358" s="31"/>
    </row>
    <row r="359" spans="87:87">
      <c r="CI359" s="31"/>
    </row>
    <row r="360" spans="87:87">
      <c r="CI360" s="31"/>
    </row>
    <row r="361" spans="87:87">
      <c r="CI361" s="31"/>
    </row>
    <row r="362" spans="87:87">
      <c r="CI362" s="31"/>
    </row>
    <row r="363" spans="87:87">
      <c r="CI363" s="31"/>
    </row>
    <row r="364" spans="87:87">
      <c r="CI364" s="31"/>
    </row>
    <row r="365" spans="87:87">
      <c r="CI365" s="31"/>
    </row>
    <row r="366" spans="87:87">
      <c r="CI366" s="31"/>
    </row>
    <row r="367" spans="87:87">
      <c r="CI367" s="31"/>
    </row>
    <row r="368" spans="87:87">
      <c r="CI368" s="31"/>
    </row>
    <row r="369" spans="87:87">
      <c r="CI369" s="31"/>
    </row>
    <row r="370" spans="87:87">
      <c r="CI370" s="31"/>
    </row>
    <row r="371" spans="87:87">
      <c r="CI371" s="31"/>
    </row>
    <row r="372" spans="87:87">
      <c r="CI372" s="31"/>
    </row>
    <row r="373" spans="87:87">
      <c r="CI373" s="31"/>
    </row>
    <row r="374" spans="87:87">
      <c r="CI374" s="31"/>
    </row>
    <row r="375" spans="87:87">
      <c r="CI375" s="31"/>
    </row>
    <row r="376" spans="87:87">
      <c r="CI376" s="31"/>
    </row>
    <row r="377" spans="87:87">
      <c r="CI377" s="31"/>
    </row>
    <row r="378" spans="87:87">
      <c r="CI378" s="31"/>
    </row>
    <row r="379" spans="87:87">
      <c r="CI379" s="31"/>
    </row>
    <row r="380" spans="87:87">
      <c r="CI380" s="31"/>
    </row>
    <row r="381" spans="87:87">
      <c r="CI381" s="31"/>
    </row>
    <row r="382" spans="87:87">
      <c r="CI382" s="31"/>
    </row>
    <row r="383" spans="87:87">
      <c r="CI383" s="31"/>
    </row>
    <row r="384" spans="87:87">
      <c r="CI384" s="31"/>
    </row>
    <row r="385" spans="87:87">
      <c r="CI385" s="31"/>
    </row>
    <row r="386" spans="87:87">
      <c r="CI386" s="31"/>
    </row>
    <row r="387" spans="87:87">
      <c r="CI387" s="31"/>
    </row>
    <row r="388" spans="87:87">
      <c r="CI388" s="31"/>
    </row>
    <row r="389" spans="87:87">
      <c r="CI389" s="31"/>
    </row>
    <row r="390" spans="87:87">
      <c r="CI390" s="31"/>
    </row>
    <row r="391" spans="87:87">
      <c r="CI391" s="31"/>
    </row>
    <row r="392" spans="87:87">
      <c r="CI392" s="31"/>
    </row>
    <row r="393" spans="87:87">
      <c r="CI393" s="31"/>
    </row>
    <row r="394" spans="87:87">
      <c r="CI394" s="31"/>
    </row>
    <row r="395" spans="87:87">
      <c r="CI395" s="31"/>
    </row>
    <row r="396" spans="87:87">
      <c r="CI396" s="31"/>
    </row>
    <row r="397" spans="87:87">
      <c r="CI397" s="31"/>
    </row>
    <row r="398" spans="87:87">
      <c r="CI398" s="31"/>
    </row>
    <row r="399" spans="87:87">
      <c r="CI399" s="31"/>
    </row>
    <row r="400" spans="87:87">
      <c r="CI400" s="31"/>
    </row>
    <row r="401" spans="87:87">
      <c r="CI401" s="31"/>
    </row>
    <row r="402" spans="87:87">
      <c r="CI402" s="31"/>
    </row>
    <row r="403" spans="87:87">
      <c r="CI403" s="31"/>
    </row>
    <row r="404" spans="87:87">
      <c r="CI404" s="31"/>
    </row>
    <row r="405" spans="87:87">
      <c r="CI405" s="31"/>
    </row>
    <row r="406" spans="87:87">
      <c r="CI406" s="31"/>
    </row>
    <row r="407" spans="87:87">
      <c r="CI407" s="31"/>
    </row>
    <row r="408" spans="87:87">
      <c r="CI408" s="31"/>
    </row>
    <row r="409" spans="87:87">
      <c r="CI409" s="31"/>
    </row>
    <row r="410" spans="87:87">
      <c r="CI410" s="31"/>
    </row>
    <row r="411" spans="87:87">
      <c r="CI411" s="31"/>
    </row>
    <row r="412" spans="87:87">
      <c r="CI412" s="31"/>
    </row>
    <row r="413" spans="87:87">
      <c r="CI413" s="31"/>
    </row>
    <row r="414" spans="87:87">
      <c r="CI414" s="31"/>
    </row>
    <row r="415" spans="87:87">
      <c r="CI415" s="31"/>
    </row>
    <row r="416" spans="87:87">
      <c r="CI416" s="31"/>
    </row>
    <row r="417" spans="87:87">
      <c r="CI417" s="31"/>
    </row>
    <row r="418" spans="87:87">
      <c r="CI418" s="31"/>
    </row>
    <row r="419" spans="87:87">
      <c r="CI419" s="31"/>
    </row>
    <row r="420" spans="87:87">
      <c r="CI420" s="31"/>
    </row>
    <row r="421" spans="87:87">
      <c r="CI421" s="31"/>
    </row>
    <row r="422" spans="87:87">
      <c r="CI422" s="31"/>
    </row>
    <row r="423" spans="87:87">
      <c r="CI423" s="31"/>
    </row>
    <row r="424" spans="87:87">
      <c r="CI424" s="31"/>
    </row>
    <row r="425" spans="87:87">
      <c r="CI425" s="31"/>
    </row>
    <row r="426" spans="87:87">
      <c r="CI426" s="31"/>
    </row>
    <row r="427" spans="87:87">
      <c r="CI427" s="31"/>
    </row>
    <row r="428" spans="87:87">
      <c r="CI428" s="31"/>
    </row>
    <row r="429" spans="87:87">
      <c r="CI429" s="31"/>
    </row>
    <row r="430" spans="87:87">
      <c r="CI430" s="31"/>
    </row>
    <row r="431" spans="87:87">
      <c r="CI431" s="31"/>
    </row>
    <row r="432" spans="87:87">
      <c r="CI432" s="31"/>
    </row>
    <row r="433" spans="87:87">
      <c r="CI433" s="31"/>
    </row>
    <row r="434" spans="87:87">
      <c r="CI434" s="31"/>
    </row>
    <row r="435" spans="87:87">
      <c r="CI435" s="31"/>
    </row>
    <row r="436" spans="87:87">
      <c r="CI436" s="31"/>
    </row>
    <row r="437" spans="87:87">
      <c r="CI437" s="31"/>
    </row>
    <row r="438" spans="87:87">
      <c r="CI438" s="31"/>
    </row>
    <row r="439" spans="87:87">
      <c r="CI439" s="31"/>
    </row>
    <row r="440" spans="87:87">
      <c r="CI440" s="31"/>
    </row>
    <row r="441" spans="87:87">
      <c r="CI441" s="31"/>
    </row>
    <row r="442" spans="87:87">
      <c r="CI442" s="31"/>
    </row>
    <row r="443" spans="87:87">
      <c r="CI443" s="31"/>
    </row>
    <row r="444" spans="87:87">
      <c r="CI444" s="31"/>
    </row>
    <row r="445" spans="87:87">
      <c r="CI445" s="31"/>
    </row>
    <row r="446" spans="87:87">
      <c r="CI446" s="31"/>
    </row>
    <row r="447" spans="87:87">
      <c r="CI447" s="31"/>
    </row>
    <row r="448" spans="87:87">
      <c r="CI448" s="31"/>
    </row>
    <row r="449" spans="87:87">
      <c r="CI449" s="31"/>
    </row>
    <row r="450" spans="87:87">
      <c r="CI450" s="31"/>
    </row>
    <row r="451" spans="87:87">
      <c r="CI451" s="31"/>
    </row>
    <row r="452" spans="87:87">
      <c r="CI452" s="31"/>
    </row>
    <row r="453" spans="87:87">
      <c r="CI453" s="31"/>
    </row>
    <row r="454" spans="87:87">
      <c r="CI454" s="31"/>
    </row>
    <row r="455" spans="87:87">
      <c r="CI455" s="31"/>
    </row>
    <row r="456" spans="87:87">
      <c r="CI456" s="31"/>
    </row>
    <row r="457" spans="87:87">
      <c r="CI457" s="31"/>
    </row>
    <row r="458" spans="87:87">
      <c r="CI458" s="31"/>
    </row>
    <row r="459" spans="87:87">
      <c r="CI459" s="31"/>
    </row>
    <row r="460" spans="87:87">
      <c r="CI460" s="31"/>
    </row>
    <row r="461" spans="87:87">
      <c r="CI461" s="31"/>
    </row>
    <row r="462" spans="87:87">
      <c r="CI462" s="31"/>
    </row>
    <row r="463" spans="87:87">
      <c r="CI463" s="31"/>
    </row>
    <row r="464" spans="87:87">
      <c r="CI464" s="31"/>
    </row>
    <row r="465" spans="87:87">
      <c r="CI465" s="31"/>
    </row>
    <row r="466" spans="87:87">
      <c r="CI466" s="31"/>
    </row>
    <row r="467" spans="87:87">
      <c r="CI467" s="31"/>
    </row>
    <row r="468" spans="87:87">
      <c r="CI468" s="31"/>
    </row>
    <row r="469" spans="87:87">
      <c r="CI469" s="31"/>
    </row>
    <row r="470" spans="87:87">
      <c r="CI470" s="31"/>
    </row>
    <row r="471" spans="87:87">
      <c r="CI471" s="31"/>
    </row>
    <row r="472" spans="87:87">
      <c r="CI472" s="31"/>
    </row>
    <row r="473" spans="87:87">
      <c r="CI473" s="31"/>
    </row>
    <row r="474" spans="87:87">
      <c r="CI474" s="31"/>
    </row>
    <row r="475" spans="87:87">
      <c r="CI475" s="31"/>
    </row>
    <row r="476" spans="87:87">
      <c r="CI476" s="31"/>
    </row>
    <row r="477" spans="87:87">
      <c r="CI477" s="31"/>
    </row>
    <row r="478" spans="87:87">
      <c r="CI478" s="31"/>
    </row>
    <row r="479" spans="87:87">
      <c r="CI479" s="31"/>
    </row>
    <row r="480" spans="87:87">
      <c r="CI480" s="31"/>
    </row>
    <row r="481" spans="87:87">
      <c r="CI481" s="31"/>
    </row>
    <row r="482" spans="87:87">
      <c r="CI482" s="31"/>
    </row>
    <row r="483" spans="87:87">
      <c r="CI483" s="31"/>
    </row>
    <row r="484" spans="87:87">
      <c r="CI484" s="31"/>
    </row>
    <row r="485" spans="87:87">
      <c r="CI485" s="31"/>
    </row>
    <row r="486" spans="87:87">
      <c r="CI486" s="31"/>
    </row>
    <row r="487" spans="87:87">
      <c r="CI487" s="31"/>
    </row>
    <row r="488" spans="87:87">
      <c r="CI488" s="31"/>
    </row>
    <row r="489" spans="87:87">
      <c r="CI489" s="31"/>
    </row>
    <row r="490" spans="87:87">
      <c r="CI490" s="31"/>
    </row>
    <row r="491" spans="87:87">
      <c r="CI491" s="31"/>
    </row>
    <row r="492" spans="87:87">
      <c r="CI492" s="31"/>
    </row>
    <row r="493" spans="87:87">
      <c r="CI493" s="31"/>
    </row>
    <row r="494" spans="87:87">
      <c r="CI494" s="31"/>
    </row>
    <row r="495" spans="87:87">
      <c r="CI495" s="31"/>
    </row>
    <row r="496" spans="87:87">
      <c r="CI496" s="31"/>
    </row>
    <row r="497" spans="87:87">
      <c r="CI497" s="31"/>
    </row>
    <row r="498" spans="87:87">
      <c r="CI498" s="31"/>
    </row>
    <row r="499" spans="87:87">
      <c r="CI499" s="31"/>
    </row>
    <row r="500" spans="87:87">
      <c r="CI500" s="31"/>
    </row>
    <row r="501" spans="87:87">
      <c r="CI501" s="31"/>
    </row>
    <row r="502" spans="87:87">
      <c r="CI502" s="31"/>
    </row>
    <row r="503" spans="87:87">
      <c r="CI503" s="31"/>
    </row>
    <row r="504" spans="87:87">
      <c r="CI504" s="31"/>
    </row>
    <row r="505" spans="87:87">
      <c r="CI505" s="31"/>
    </row>
    <row r="506" spans="87:87">
      <c r="CI506" s="31"/>
    </row>
    <row r="507" spans="87:87">
      <c r="CI507" s="31"/>
    </row>
    <row r="508" spans="87:87">
      <c r="CI508" s="31"/>
    </row>
    <row r="509" spans="87:87">
      <c r="CI509" s="31"/>
    </row>
    <row r="510" spans="87:87">
      <c r="CI510" s="31"/>
    </row>
    <row r="511" spans="87:87">
      <c r="CI511" s="31"/>
    </row>
    <row r="512" spans="87:87">
      <c r="CI512" s="31"/>
    </row>
    <row r="513" spans="87:87">
      <c r="CI513" s="31"/>
    </row>
    <row r="514" spans="87:87">
      <c r="CI514" s="31"/>
    </row>
    <row r="515" spans="87:87">
      <c r="CI515" s="31"/>
    </row>
    <row r="516" spans="87:87">
      <c r="CI516" s="31"/>
    </row>
    <row r="517" spans="87:87">
      <c r="CI517" s="31"/>
    </row>
    <row r="518" spans="87:87">
      <c r="CI518" s="31"/>
    </row>
    <row r="519" spans="87:87">
      <c r="CI519" s="31"/>
    </row>
    <row r="520" spans="87:87">
      <c r="CI520" s="31"/>
    </row>
    <row r="521" spans="87:87">
      <c r="CI521" s="31"/>
    </row>
    <row r="522" spans="87:87">
      <c r="CI522" s="31"/>
    </row>
    <row r="523" spans="87:87">
      <c r="CI523" s="31"/>
    </row>
    <row r="524" spans="87:87">
      <c r="CI524" s="31"/>
    </row>
    <row r="525" spans="87:87">
      <c r="CI525" s="31"/>
    </row>
    <row r="526" spans="87:87">
      <c r="CI526" s="31"/>
    </row>
    <row r="527" spans="87:87">
      <c r="CI527" s="31"/>
    </row>
    <row r="528" spans="87:87">
      <c r="CI528" s="31"/>
    </row>
    <row r="529" spans="87:87">
      <c r="CI529" s="31"/>
    </row>
    <row r="530" spans="87:87">
      <c r="CI530" s="31"/>
    </row>
    <row r="531" spans="87:87">
      <c r="CI531" s="31"/>
    </row>
    <row r="532" spans="87:87">
      <c r="CI532" s="31"/>
    </row>
    <row r="533" spans="87:87">
      <c r="CI533" s="31"/>
    </row>
    <row r="534" spans="87:87">
      <c r="CI534" s="31"/>
    </row>
    <row r="535" spans="87:87">
      <c r="CI535" s="31"/>
    </row>
    <row r="536" spans="87:87">
      <c r="CI536" s="31"/>
    </row>
    <row r="537" spans="87:87">
      <c r="CI537" s="31"/>
    </row>
    <row r="538" spans="87:87">
      <c r="CI538" s="31"/>
    </row>
    <row r="539" spans="87:87">
      <c r="CI539" s="31"/>
    </row>
    <row r="540" spans="87:87">
      <c r="CI540" s="31"/>
    </row>
    <row r="541" spans="87:87">
      <c r="CI541" s="31"/>
    </row>
    <row r="542" spans="87:87">
      <c r="CI542" s="31"/>
    </row>
    <row r="543" spans="87:87">
      <c r="CI543" s="31"/>
    </row>
    <row r="544" spans="87:87">
      <c r="CI544" s="31"/>
    </row>
    <row r="545" spans="87:87">
      <c r="CI545" s="31"/>
    </row>
    <row r="546" spans="87:87">
      <c r="CI546" s="31"/>
    </row>
    <row r="547" spans="87:87">
      <c r="CI547" s="31"/>
    </row>
    <row r="548" spans="87:87">
      <c r="CI548" s="31"/>
    </row>
    <row r="549" spans="87:87">
      <c r="CI549" s="31"/>
    </row>
    <row r="550" spans="87:87">
      <c r="CI550" s="31"/>
    </row>
    <row r="551" spans="87:87">
      <c r="CI551" s="31"/>
    </row>
    <row r="552" spans="87:87">
      <c r="CI552" s="31"/>
    </row>
    <row r="553" spans="87:87">
      <c r="CI553" s="31"/>
    </row>
    <row r="554" spans="87:87">
      <c r="CI554" s="31"/>
    </row>
    <row r="555" spans="87:87">
      <c r="CI555" s="31"/>
    </row>
    <row r="556" spans="87:87">
      <c r="CI556" s="31"/>
    </row>
    <row r="557" spans="87:87">
      <c r="CI557" s="31"/>
    </row>
    <row r="558" spans="87:87">
      <c r="CI558" s="31"/>
    </row>
    <row r="559" spans="87:87">
      <c r="CI559" s="31"/>
    </row>
    <row r="560" spans="87:87">
      <c r="CI560" s="31"/>
    </row>
    <row r="561" spans="87:87">
      <c r="CI561" s="31"/>
    </row>
    <row r="562" spans="87:87">
      <c r="CI562" s="31"/>
    </row>
    <row r="563" spans="87:87">
      <c r="CI563" s="31"/>
    </row>
    <row r="564" spans="87:87">
      <c r="CI564" s="31"/>
    </row>
    <row r="565" spans="87:87">
      <c r="CI565" s="31"/>
    </row>
    <row r="566" spans="87:87">
      <c r="CI566" s="31"/>
    </row>
    <row r="567" spans="87:87">
      <c r="CI567" s="31"/>
    </row>
    <row r="568" spans="87:87">
      <c r="CI568" s="31"/>
    </row>
    <row r="569" spans="87:87">
      <c r="CI569" s="31"/>
    </row>
    <row r="570" spans="87:87">
      <c r="CI570" s="31"/>
    </row>
    <row r="571" spans="87:87">
      <c r="CI571" s="31"/>
    </row>
    <row r="572" spans="87:87">
      <c r="CI572" s="31"/>
    </row>
    <row r="573" spans="87:87">
      <c r="CI573" s="31"/>
    </row>
    <row r="574" spans="87:87">
      <c r="CI574" s="31"/>
    </row>
    <row r="575" spans="87:87">
      <c r="CI575" s="31"/>
    </row>
    <row r="576" spans="87:87">
      <c r="CI576" s="31"/>
    </row>
    <row r="577" spans="87:87">
      <c r="CI577" s="31"/>
    </row>
    <row r="578" spans="87:87">
      <c r="CI578" s="31"/>
    </row>
    <row r="579" spans="87:87">
      <c r="CI579" s="31"/>
    </row>
    <row r="580" spans="87:87">
      <c r="CI580" s="31"/>
    </row>
    <row r="581" spans="87:87">
      <c r="CI581" s="31"/>
    </row>
    <row r="582" spans="87:87">
      <c r="CI582" s="31"/>
    </row>
    <row r="583" spans="87:87">
      <c r="CI583" s="31"/>
    </row>
    <row r="584" spans="87:87">
      <c r="CI584" s="31"/>
    </row>
    <row r="585" spans="87:87">
      <c r="CI585" s="31"/>
    </row>
    <row r="586" spans="87:87">
      <c r="CI586" s="31"/>
    </row>
    <row r="587" spans="87:87">
      <c r="CI587" s="31"/>
    </row>
    <row r="588" spans="87:87">
      <c r="CI588" s="31"/>
    </row>
    <row r="589" spans="87:87">
      <c r="CI589" s="31"/>
    </row>
    <row r="590" spans="87:87">
      <c r="CI590" s="31"/>
    </row>
    <row r="591" spans="87:87">
      <c r="CI591" s="31"/>
    </row>
    <row r="592" spans="87:87">
      <c r="CI592" s="31"/>
    </row>
    <row r="593" spans="87:87">
      <c r="CI593" s="31"/>
    </row>
    <row r="594" spans="87:87">
      <c r="CI594" s="31"/>
    </row>
    <row r="595" spans="87:87">
      <c r="CI595" s="31"/>
    </row>
    <row r="596" spans="87:87">
      <c r="CI596" s="31"/>
    </row>
    <row r="597" spans="87:87">
      <c r="CI597" s="31"/>
    </row>
    <row r="598" spans="87:87">
      <c r="CI598" s="31"/>
    </row>
    <row r="599" spans="87:87">
      <c r="CI599" s="31"/>
    </row>
    <row r="600" spans="87:87">
      <c r="CI600" s="31"/>
    </row>
    <row r="601" spans="87:87">
      <c r="CI601" s="31"/>
    </row>
    <row r="602" spans="87:87">
      <c r="CI602" s="31"/>
    </row>
    <row r="603" spans="87:87">
      <c r="CI603" s="31"/>
    </row>
    <row r="604" spans="87:87">
      <c r="CI604" s="31"/>
    </row>
    <row r="605" spans="87:87">
      <c r="CI605" s="31"/>
    </row>
    <row r="606" spans="87:87">
      <c r="CI606" s="31"/>
    </row>
    <row r="607" spans="87:87">
      <c r="CI607" s="31"/>
    </row>
    <row r="608" spans="87:87">
      <c r="CI608" s="31"/>
    </row>
    <row r="609" spans="87:87">
      <c r="CI609" s="31"/>
    </row>
    <row r="610" spans="87:87">
      <c r="CI610" s="31"/>
    </row>
    <row r="611" spans="87:87">
      <c r="CI611" s="31"/>
    </row>
    <row r="612" spans="87:87">
      <c r="CI612" s="31"/>
    </row>
    <row r="613" spans="87:87">
      <c r="CI613" s="31"/>
    </row>
    <row r="614" spans="87:87">
      <c r="CI614" s="31"/>
    </row>
    <row r="615" spans="87:87">
      <c r="CI615" s="31"/>
    </row>
    <row r="616" spans="87:87">
      <c r="CI616" s="31"/>
    </row>
    <row r="617" spans="87:87">
      <c r="CI617" s="31"/>
    </row>
    <row r="618" spans="87:87">
      <c r="CI618" s="31"/>
    </row>
    <row r="619" spans="87:87">
      <c r="CI619" s="31"/>
    </row>
    <row r="620" spans="87:87">
      <c r="CI620" s="31"/>
    </row>
    <row r="621" spans="87:87">
      <c r="CI621" s="31"/>
    </row>
    <row r="622" spans="87:87">
      <c r="CI622" s="31"/>
    </row>
    <row r="623" spans="87:87">
      <c r="CI623" s="31"/>
    </row>
    <row r="624" spans="87:87">
      <c r="CI624" s="31"/>
    </row>
    <row r="625" spans="87:87">
      <c r="CI625" s="31"/>
    </row>
    <row r="626" spans="87:87">
      <c r="CI626" s="31"/>
    </row>
    <row r="627" spans="87:87">
      <c r="CI627" s="31"/>
    </row>
    <row r="628" spans="87:87">
      <c r="CI628" s="31"/>
    </row>
    <row r="629" spans="87:87">
      <c r="CI629" s="31"/>
    </row>
    <row r="630" spans="87:87">
      <c r="CI630" s="31"/>
    </row>
    <row r="631" spans="87:87">
      <c r="CI631" s="31"/>
    </row>
    <row r="632" spans="87:87">
      <c r="CI632" s="31"/>
    </row>
    <row r="633" spans="87:87">
      <c r="CI633" s="31"/>
    </row>
    <row r="634" spans="87:87">
      <c r="CI634" s="31"/>
    </row>
    <row r="635" spans="87:87">
      <c r="CI635" s="31"/>
    </row>
    <row r="636" spans="87:87">
      <c r="CI636" s="31"/>
    </row>
    <row r="637" spans="87:87">
      <c r="CI637" s="31"/>
    </row>
    <row r="638" spans="87:87">
      <c r="CI638" s="31"/>
    </row>
    <row r="639" spans="87:87">
      <c r="CI639" s="31"/>
    </row>
    <row r="640" spans="87:87">
      <c r="CI640" s="31"/>
    </row>
    <row r="641" spans="87:87">
      <c r="CI641" s="31"/>
    </row>
    <row r="642" spans="87:87">
      <c r="CI642" s="31"/>
    </row>
    <row r="643" spans="87:87">
      <c r="CI643" s="31"/>
    </row>
    <row r="644" spans="87:87">
      <c r="CI644" s="31"/>
    </row>
    <row r="645" spans="87:87">
      <c r="CI645" s="31"/>
    </row>
    <row r="646" spans="87:87">
      <c r="CI646" s="31"/>
    </row>
    <row r="647" spans="87:87">
      <c r="CI647" s="31"/>
    </row>
    <row r="648" spans="87:87">
      <c r="CI648" s="31"/>
    </row>
    <row r="649" spans="87:87">
      <c r="CI649" s="31"/>
    </row>
    <row r="650" spans="87:87">
      <c r="CI650" s="31"/>
    </row>
    <row r="651" spans="87:87">
      <c r="CI651" s="31"/>
    </row>
    <row r="652" spans="87:87">
      <c r="CI652" s="31"/>
    </row>
    <row r="653" spans="87:87">
      <c r="CI653" s="31"/>
    </row>
    <row r="654" spans="87:87">
      <c r="CI654" s="31"/>
    </row>
    <row r="655" spans="87:87">
      <c r="CI655" s="31"/>
    </row>
    <row r="656" spans="87:87">
      <c r="CI656" s="31"/>
    </row>
    <row r="657" spans="87:87">
      <c r="CI657" s="31"/>
    </row>
    <row r="658" spans="87:87">
      <c r="CI658" s="31"/>
    </row>
    <row r="659" spans="87:87">
      <c r="CI659" s="31"/>
    </row>
    <row r="660" spans="87:87">
      <c r="CI660" s="31"/>
    </row>
    <row r="661" spans="87:87">
      <c r="CI661" s="31"/>
    </row>
    <row r="662" spans="87:87">
      <c r="CI662" s="31"/>
    </row>
    <row r="663" spans="87:87">
      <c r="CI663" s="31"/>
    </row>
    <row r="664" spans="87:87">
      <c r="CI664" s="31"/>
    </row>
    <row r="665" spans="87:87">
      <c r="CI665" s="31"/>
    </row>
    <row r="666" spans="87:87">
      <c r="CI666" s="31"/>
    </row>
    <row r="667" spans="87:87">
      <c r="CI667" s="31"/>
    </row>
    <row r="668" spans="87:87">
      <c r="CI668" s="31"/>
    </row>
    <row r="669" spans="87:87">
      <c r="CI669" s="31"/>
    </row>
    <row r="670" spans="87:87">
      <c r="CI670" s="31"/>
    </row>
    <row r="671" spans="87:87">
      <c r="CI671" s="31"/>
    </row>
    <row r="672" spans="87:87">
      <c r="CI672" s="31"/>
    </row>
    <row r="673" spans="87:87">
      <c r="CI673" s="31"/>
    </row>
    <row r="674" spans="87:87">
      <c r="CI674" s="31"/>
    </row>
    <row r="675" spans="87:87">
      <c r="CI675" s="31"/>
    </row>
    <row r="676" spans="87:87">
      <c r="CI676" s="31"/>
    </row>
    <row r="677" spans="87:87">
      <c r="CI677" s="31"/>
    </row>
    <row r="678" spans="87:87">
      <c r="CI678" s="31"/>
    </row>
    <row r="679" spans="87:87">
      <c r="CI679" s="31"/>
    </row>
    <row r="680" spans="87:87">
      <c r="CI680" s="31"/>
    </row>
    <row r="681" spans="87:87">
      <c r="CI681" s="31"/>
    </row>
    <row r="682" spans="87:87">
      <c r="CI682" s="31"/>
    </row>
    <row r="683" spans="87:87">
      <c r="CI683" s="31"/>
    </row>
    <row r="684" spans="87:87">
      <c r="CI684" s="31"/>
    </row>
    <row r="685" spans="87:87">
      <c r="CI685" s="31"/>
    </row>
    <row r="686" spans="87:87">
      <c r="CI686" s="31"/>
    </row>
    <row r="687" spans="87:87">
      <c r="CI687" s="31"/>
    </row>
    <row r="688" spans="87:87">
      <c r="CI688" s="31"/>
    </row>
    <row r="689" spans="87:87">
      <c r="CI689" s="31"/>
    </row>
    <row r="690" spans="87:87">
      <c r="CI690" s="31"/>
    </row>
    <row r="691" spans="87:87">
      <c r="CI691" s="31"/>
    </row>
    <row r="692" spans="87:87">
      <c r="CI692" s="31"/>
    </row>
    <row r="693" spans="87:87">
      <c r="CI693" s="31"/>
    </row>
    <row r="694" spans="87:87">
      <c r="CI694" s="31"/>
    </row>
    <row r="695" spans="87:87">
      <c r="CI695" s="31"/>
    </row>
    <row r="696" spans="87:87">
      <c r="CI696" s="31"/>
    </row>
    <row r="697" spans="87:87">
      <c r="CI697" s="31"/>
    </row>
    <row r="698" spans="87:87">
      <c r="CI698" s="31"/>
    </row>
    <row r="699" spans="87:87">
      <c r="CI699" s="31"/>
    </row>
    <row r="700" spans="87:87">
      <c r="CI700" s="31"/>
    </row>
    <row r="701" spans="87:87">
      <c r="CI701" s="31"/>
    </row>
    <row r="702" spans="87:87">
      <c r="CI702" s="31"/>
    </row>
    <row r="703" spans="87:87">
      <c r="CI703" s="31"/>
    </row>
    <row r="704" spans="87:87">
      <c r="CI704" s="31"/>
    </row>
    <row r="705" spans="87:87">
      <c r="CI705" s="31"/>
    </row>
    <row r="706" spans="87:87">
      <c r="CI706" s="31"/>
    </row>
    <row r="707" spans="87:87">
      <c r="CI707" s="31"/>
    </row>
    <row r="708" spans="87:87">
      <c r="CI708" s="31"/>
    </row>
    <row r="709" spans="87:87">
      <c r="CI709" s="31"/>
    </row>
    <row r="710" spans="87:87">
      <c r="CI710" s="31"/>
    </row>
    <row r="711" spans="87:87">
      <c r="CI711" s="31"/>
    </row>
    <row r="712" spans="87:87">
      <c r="CI712" s="31"/>
    </row>
    <row r="713" spans="87:87">
      <c r="CI713" s="31"/>
    </row>
    <row r="714" spans="87:87">
      <c r="CI714" s="31"/>
    </row>
    <row r="715" spans="87:87">
      <c r="CI715" s="31"/>
    </row>
    <row r="716" spans="87:87">
      <c r="CI716" s="31"/>
    </row>
    <row r="717" spans="87:87">
      <c r="CI717" s="31"/>
    </row>
    <row r="718" spans="87:87">
      <c r="CI718" s="31"/>
    </row>
    <row r="719" spans="87:87">
      <c r="CI719" s="31"/>
    </row>
    <row r="720" spans="87:87">
      <c r="CI720" s="31"/>
    </row>
    <row r="721" spans="87:87">
      <c r="CI721" s="31"/>
    </row>
    <row r="722" spans="87:87">
      <c r="CI722" s="31"/>
    </row>
    <row r="723" spans="87:87">
      <c r="CI723" s="31"/>
    </row>
    <row r="724" spans="87:87">
      <c r="CI724" s="31"/>
    </row>
    <row r="725" spans="87:87">
      <c r="CI725" s="31"/>
    </row>
    <row r="726" spans="87:87">
      <c r="CI726" s="31"/>
    </row>
    <row r="727" spans="87:87">
      <c r="CI727" s="31"/>
    </row>
    <row r="728" spans="87:87">
      <c r="CI728" s="31"/>
    </row>
    <row r="729" spans="87:87">
      <c r="CI729" s="31"/>
    </row>
    <row r="730" spans="87:87">
      <c r="CI730" s="31"/>
    </row>
    <row r="731" spans="87:87">
      <c r="CI731" s="31"/>
    </row>
    <row r="732" spans="87:87">
      <c r="CI732" s="31"/>
    </row>
    <row r="733" spans="87:87">
      <c r="CI733" s="31"/>
    </row>
    <row r="734" spans="87:87">
      <c r="CI734" s="31"/>
    </row>
    <row r="735" spans="87:87">
      <c r="CI735" s="31"/>
    </row>
    <row r="736" spans="87:87">
      <c r="CI736" s="31"/>
    </row>
    <row r="737" spans="87:87">
      <c r="CI737" s="31"/>
    </row>
    <row r="738" spans="87:87">
      <c r="CI738" s="31"/>
    </row>
    <row r="739" spans="87:87">
      <c r="CI739" s="31"/>
    </row>
    <row r="740" spans="87:87">
      <c r="CI740" s="31"/>
    </row>
    <row r="741" spans="87:87">
      <c r="CI741" s="31"/>
    </row>
    <row r="742" spans="87:87">
      <c r="CI742" s="31"/>
    </row>
    <row r="743" spans="87:87">
      <c r="CI743" s="31"/>
    </row>
    <row r="744" spans="87:87">
      <c r="CI744" s="31"/>
    </row>
    <row r="745" spans="87:87">
      <c r="CI745" s="31"/>
    </row>
    <row r="746" spans="87:87">
      <c r="CI746" s="31"/>
    </row>
    <row r="747" spans="87:87">
      <c r="CI747" s="31"/>
    </row>
    <row r="748" spans="87:87">
      <c r="CI748" s="31"/>
    </row>
    <row r="749" spans="87:87">
      <c r="CI749" s="31"/>
    </row>
    <row r="750" spans="87:87">
      <c r="CI750" s="31"/>
    </row>
    <row r="751" spans="87:87">
      <c r="CI751" s="31"/>
    </row>
    <row r="752" spans="87:87">
      <c r="CI752" s="31"/>
    </row>
    <row r="753" spans="87:87">
      <c r="CI753" s="31"/>
    </row>
    <row r="754" spans="87:87">
      <c r="CI754" s="31"/>
    </row>
    <row r="755" spans="87:87">
      <c r="CI755" s="31"/>
    </row>
    <row r="756" spans="87:87">
      <c r="CI756" s="31"/>
    </row>
    <row r="757" spans="87:87">
      <c r="CI757" s="31"/>
    </row>
    <row r="758" spans="87:87">
      <c r="CI758" s="31"/>
    </row>
    <row r="759" spans="87:87">
      <c r="CI759" s="31"/>
    </row>
    <row r="760" spans="87:87">
      <c r="CI760" s="31"/>
    </row>
    <row r="761" spans="87:87">
      <c r="CI761" s="31"/>
    </row>
    <row r="762" spans="87:87">
      <c r="CI762" s="31"/>
    </row>
    <row r="763" spans="87:87">
      <c r="CI763" s="31"/>
    </row>
    <row r="764" spans="87:87">
      <c r="CI764" s="31"/>
    </row>
    <row r="765" spans="87:87">
      <c r="CI765" s="31"/>
    </row>
    <row r="766" spans="87:87">
      <c r="CI766" s="31"/>
    </row>
    <row r="767" spans="87:87">
      <c r="CI767" s="31"/>
    </row>
    <row r="768" spans="87:87">
      <c r="CI768" s="31"/>
    </row>
    <row r="769" spans="87:87">
      <c r="CI769" s="31"/>
    </row>
    <row r="770" spans="87:87">
      <c r="CI770" s="31"/>
    </row>
    <row r="771" spans="87:87">
      <c r="CI771" s="31"/>
    </row>
    <row r="772" spans="87:87">
      <c r="CI772" s="31"/>
    </row>
    <row r="773" spans="87:87">
      <c r="CI773" s="31"/>
    </row>
    <row r="774" spans="87:87">
      <c r="CI774" s="31"/>
    </row>
    <row r="775" spans="87:87">
      <c r="CI775" s="31"/>
    </row>
    <row r="776" spans="87:87">
      <c r="CI776" s="31"/>
    </row>
    <row r="777" spans="87:87">
      <c r="CI777" s="31"/>
    </row>
    <row r="778" spans="87:87">
      <c r="CI778" s="31"/>
    </row>
    <row r="779" spans="87:87">
      <c r="CI779" s="31"/>
    </row>
    <row r="780" spans="87:87">
      <c r="CI780" s="31"/>
    </row>
    <row r="781" spans="87:87">
      <c r="CI781" s="31"/>
    </row>
    <row r="782" spans="87:87">
      <c r="CI782" s="31"/>
    </row>
    <row r="783" spans="87:87">
      <c r="CI783" s="31"/>
    </row>
    <row r="784" spans="87:87">
      <c r="CI784" s="31"/>
    </row>
    <row r="785" spans="87:87">
      <c r="CI785" s="31"/>
    </row>
    <row r="786" spans="87:87">
      <c r="CI786" s="31"/>
    </row>
    <row r="787" spans="87:87">
      <c r="CI787" s="31"/>
    </row>
    <row r="788" spans="87:87">
      <c r="CI788" s="31"/>
    </row>
    <row r="789" spans="87:87">
      <c r="CI789" s="31"/>
    </row>
    <row r="790" spans="87:87">
      <c r="CI790" s="31"/>
    </row>
    <row r="791" spans="87:87">
      <c r="CI791" s="31"/>
    </row>
    <row r="792" spans="87:87">
      <c r="CI792" s="31"/>
    </row>
    <row r="793" spans="87:87">
      <c r="CI793" s="31"/>
    </row>
    <row r="794" spans="87:87">
      <c r="CI794" s="31"/>
    </row>
    <row r="795" spans="87:87">
      <c r="CI795" s="31"/>
    </row>
    <row r="796" spans="87:87">
      <c r="CI796" s="31"/>
    </row>
    <row r="797" spans="87:87">
      <c r="CI797" s="31"/>
    </row>
    <row r="798" spans="87:87">
      <c r="CI798" s="31"/>
    </row>
    <row r="799" spans="87:87">
      <c r="CI799" s="31"/>
    </row>
    <row r="800" spans="87:87">
      <c r="CI800" s="31"/>
    </row>
    <row r="801" spans="87:87">
      <c r="CI801" s="31"/>
    </row>
    <row r="802" spans="87:87">
      <c r="CI802" s="31"/>
    </row>
    <row r="803" spans="87:87">
      <c r="CI803" s="31"/>
    </row>
    <row r="804" spans="87:87">
      <c r="CI804" s="31"/>
    </row>
    <row r="805" spans="87:87">
      <c r="CI805" s="31"/>
    </row>
    <row r="806" spans="87:87">
      <c r="CI806" s="31"/>
    </row>
    <row r="807" spans="87:87">
      <c r="CI807" s="31"/>
    </row>
    <row r="808" spans="87:87">
      <c r="CI808" s="31"/>
    </row>
    <row r="809" spans="87:87">
      <c r="CI809" s="31"/>
    </row>
    <row r="810" spans="87:87">
      <c r="CI810" s="31"/>
    </row>
    <row r="811" spans="87:87">
      <c r="CI811" s="31"/>
    </row>
    <row r="812" spans="87:87">
      <c r="CI812" s="31"/>
    </row>
    <row r="813" spans="87:87">
      <c r="CI813" s="31"/>
    </row>
    <row r="814" spans="87:87">
      <c r="CI814" s="31"/>
    </row>
    <row r="815" spans="87:87">
      <c r="CI815" s="31"/>
    </row>
    <row r="816" spans="87:87">
      <c r="CI816" s="31"/>
    </row>
    <row r="817" spans="87:87">
      <c r="CI817" s="31"/>
    </row>
    <row r="818" spans="87:87">
      <c r="CI818" s="31"/>
    </row>
    <row r="819" spans="87:87">
      <c r="CI819" s="31"/>
    </row>
    <row r="820" spans="87:87">
      <c r="CI820" s="31"/>
    </row>
    <row r="821" spans="87:87">
      <c r="CI821" s="31"/>
    </row>
    <row r="822" spans="87:87">
      <c r="CI822" s="31"/>
    </row>
    <row r="823" spans="87:87">
      <c r="CI823" s="31"/>
    </row>
    <row r="824" spans="87:87">
      <c r="CI824" s="31"/>
    </row>
    <row r="825" spans="87:87">
      <c r="CI825" s="31"/>
    </row>
    <row r="826" spans="87:87">
      <c r="CI826" s="31"/>
    </row>
    <row r="827" spans="87:87">
      <c r="CI827" s="31"/>
    </row>
    <row r="828" spans="87:87">
      <c r="CI828" s="31"/>
    </row>
    <row r="829" spans="87:87">
      <c r="CI829" s="31"/>
    </row>
    <row r="830" spans="87:87">
      <c r="CI830" s="31"/>
    </row>
    <row r="831" spans="87:87">
      <c r="CI831" s="31"/>
    </row>
    <row r="832" spans="87:87">
      <c r="CI832" s="31"/>
    </row>
    <row r="833" spans="87:87">
      <c r="CI833" s="31"/>
    </row>
    <row r="834" spans="87:87">
      <c r="CI834" s="31"/>
    </row>
    <row r="835" spans="87:87">
      <c r="CI835" s="31"/>
    </row>
    <row r="836" spans="87:87">
      <c r="CI836" s="31"/>
    </row>
    <row r="837" spans="87:87">
      <c r="CI837" s="31"/>
    </row>
    <row r="838" spans="87:87">
      <c r="CI838" s="31"/>
    </row>
    <row r="839" spans="87:87">
      <c r="CI839" s="31"/>
    </row>
    <row r="840" spans="87:87">
      <c r="CI840" s="31"/>
    </row>
    <row r="841" spans="87:87">
      <c r="CI841" s="31"/>
    </row>
    <row r="842" spans="87:87">
      <c r="CI842" s="31"/>
    </row>
    <row r="843" spans="87:87">
      <c r="CI843" s="31"/>
    </row>
    <row r="844" spans="87:87">
      <c r="CI844" s="31"/>
    </row>
    <row r="845" spans="87:87">
      <c r="CI845" s="31"/>
    </row>
    <row r="846" spans="87:87">
      <c r="CI846" s="31"/>
    </row>
    <row r="847" spans="87:87">
      <c r="CI847" s="31"/>
    </row>
    <row r="848" spans="87:87">
      <c r="CI848" s="31"/>
    </row>
    <row r="849" spans="87:87">
      <c r="CI849" s="31"/>
    </row>
    <row r="850" spans="87:87">
      <c r="CI850" s="31"/>
    </row>
    <row r="851" spans="87:87">
      <c r="CI851" s="31"/>
    </row>
    <row r="852" spans="87:87">
      <c r="CI852" s="31"/>
    </row>
    <row r="853" spans="87:87">
      <c r="CI853" s="31"/>
    </row>
    <row r="854" spans="87:87">
      <c r="CI854" s="31"/>
    </row>
    <row r="855" spans="87:87">
      <c r="CI855" s="31"/>
    </row>
    <row r="856" spans="87:87">
      <c r="CI856" s="31"/>
    </row>
    <row r="857" spans="87:87">
      <c r="CI857" s="31"/>
    </row>
    <row r="858" spans="87:87">
      <c r="CI858" s="31"/>
    </row>
    <row r="859" spans="87:87">
      <c r="CI859" s="31"/>
    </row>
    <row r="860" spans="87:87">
      <c r="CI860" s="31"/>
    </row>
    <row r="861" spans="87:87">
      <c r="CI861" s="31"/>
    </row>
    <row r="862" spans="87:87">
      <c r="CI862" s="31"/>
    </row>
    <row r="863" spans="87:87">
      <c r="CI863" s="31"/>
    </row>
    <row r="864" spans="87:87">
      <c r="CI864" s="31"/>
    </row>
    <row r="865" spans="87:87">
      <c r="CI865" s="31"/>
    </row>
    <row r="866" spans="87:87">
      <c r="CI866" s="31"/>
    </row>
    <row r="867" spans="87:87">
      <c r="CI867" s="31"/>
    </row>
    <row r="868" spans="87:87">
      <c r="CI868" s="31"/>
    </row>
    <row r="869" spans="87:87">
      <c r="CI869" s="31"/>
    </row>
    <row r="870" spans="87:87">
      <c r="CI870" s="31"/>
    </row>
    <row r="871" spans="87:87">
      <c r="CI871" s="31"/>
    </row>
    <row r="872" spans="87:87">
      <c r="CI872" s="31"/>
    </row>
    <row r="873" spans="87:87">
      <c r="CI873" s="31"/>
    </row>
    <row r="874" spans="87:87">
      <c r="CI874" s="31"/>
    </row>
    <row r="875" spans="87:87">
      <c r="CI875" s="31"/>
    </row>
    <row r="876" spans="87:87">
      <c r="CI876" s="31"/>
    </row>
    <row r="877" spans="87:87">
      <c r="CI877" s="31"/>
    </row>
    <row r="878" spans="87:87">
      <c r="CI878" s="31"/>
    </row>
    <row r="879" spans="87:87">
      <c r="CI879" s="31"/>
    </row>
    <row r="880" spans="87:87">
      <c r="CI880" s="31"/>
    </row>
    <row r="881" spans="87:87">
      <c r="CI881" s="31"/>
    </row>
    <row r="882" spans="87:87">
      <c r="CI882" s="31"/>
    </row>
    <row r="883" spans="87:87">
      <c r="CI883" s="31"/>
    </row>
    <row r="884" spans="87:87">
      <c r="CI884" s="31"/>
    </row>
    <row r="885" spans="87:87">
      <c r="CI885" s="31"/>
    </row>
    <row r="886" spans="87:87">
      <c r="CI886" s="31"/>
    </row>
    <row r="887" spans="87:87">
      <c r="CI887" s="31"/>
    </row>
    <row r="888" spans="87:87">
      <c r="CI888" s="31"/>
    </row>
    <row r="889" spans="87:87">
      <c r="CI889" s="31"/>
    </row>
    <row r="890" spans="87:87">
      <c r="CI890" s="31"/>
    </row>
    <row r="891" spans="87:87">
      <c r="CI891" s="31"/>
    </row>
    <row r="892" spans="87:87">
      <c r="CI892" s="31"/>
    </row>
    <row r="893" spans="87:87">
      <c r="CI893" s="31"/>
    </row>
    <row r="894" spans="87:87">
      <c r="CI894" s="31"/>
    </row>
    <row r="895" spans="87:87">
      <c r="CI895" s="31"/>
    </row>
    <row r="896" spans="87:87">
      <c r="CI896" s="31"/>
    </row>
    <row r="897" spans="87:87">
      <c r="CI897" s="31"/>
    </row>
    <row r="898" spans="87:87">
      <c r="CI898" s="31"/>
    </row>
    <row r="899" spans="87:87">
      <c r="CI899" s="31"/>
    </row>
    <row r="900" spans="87:87">
      <c r="CI900" s="31"/>
    </row>
    <row r="901" spans="87:87">
      <c r="CI901" s="31"/>
    </row>
    <row r="902" spans="87:87">
      <c r="CI902" s="31"/>
    </row>
    <row r="903" spans="87:87">
      <c r="CI903" s="31"/>
    </row>
    <row r="904" spans="87:87">
      <c r="CI904" s="31"/>
    </row>
    <row r="905" spans="87:87">
      <c r="CI905" s="31"/>
    </row>
    <row r="906" spans="87:87">
      <c r="CI906" s="31"/>
    </row>
    <row r="907" spans="87:87">
      <c r="CI907" s="31"/>
    </row>
    <row r="908" spans="87:87">
      <c r="CI908" s="31"/>
    </row>
    <row r="909" spans="87:87">
      <c r="CI909" s="31"/>
    </row>
    <row r="910" spans="87:87">
      <c r="CI910" s="31"/>
    </row>
    <row r="911" spans="87:87">
      <c r="CI911" s="31"/>
    </row>
    <row r="912" spans="87:87">
      <c r="CI912" s="31"/>
    </row>
    <row r="913" spans="87:87">
      <c r="CI913" s="31"/>
    </row>
    <row r="914" spans="87:87">
      <c r="CI914" s="31"/>
    </row>
    <row r="915" spans="87:87">
      <c r="CI915" s="31"/>
    </row>
    <row r="916" spans="87:87">
      <c r="CI916" s="31"/>
    </row>
    <row r="917" spans="87:87">
      <c r="CI917" s="31"/>
    </row>
    <row r="918" spans="87:87">
      <c r="CI918" s="31"/>
    </row>
    <row r="919" spans="87:87">
      <c r="CI919" s="31"/>
    </row>
    <row r="920" spans="87:87">
      <c r="CI920" s="31"/>
    </row>
    <row r="921" spans="87:87">
      <c r="CI921" s="31"/>
    </row>
    <row r="922" spans="87:87">
      <c r="CI922" s="31"/>
    </row>
    <row r="923" spans="87:87">
      <c r="CI923" s="31"/>
    </row>
    <row r="924" spans="87:87">
      <c r="CI924" s="31"/>
    </row>
    <row r="925" spans="87:87">
      <c r="CI925" s="31"/>
    </row>
    <row r="926" spans="87:87">
      <c r="CI926" s="31"/>
    </row>
    <row r="927" spans="87:87">
      <c r="CI927" s="31"/>
    </row>
    <row r="928" spans="87:87">
      <c r="CI928" s="31"/>
    </row>
    <row r="929" spans="87:87">
      <c r="CI929" s="31"/>
    </row>
    <row r="930" spans="87:87">
      <c r="CI930" s="31"/>
    </row>
    <row r="931" spans="87:87">
      <c r="CI931" s="31"/>
    </row>
    <row r="932" spans="87:87">
      <c r="CI932" s="31"/>
    </row>
    <row r="933" spans="87:87">
      <c r="CI933" s="31"/>
    </row>
    <row r="934" spans="87:87">
      <c r="CI934" s="31"/>
    </row>
    <row r="935" spans="87:87">
      <c r="CI935" s="31"/>
    </row>
    <row r="936" spans="87:87">
      <c r="CI936" s="31"/>
    </row>
    <row r="937" spans="87:87">
      <c r="CI937" s="31"/>
    </row>
    <row r="938" spans="87:87">
      <c r="CI938" s="31"/>
    </row>
    <row r="939" spans="87:87">
      <c r="CI939" s="31"/>
    </row>
    <row r="940" spans="87:87">
      <c r="CI940" s="31"/>
    </row>
    <row r="941" spans="87:87">
      <c r="CI941" s="31"/>
    </row>
    <row r="942" spans="87:87">
      <c r="CI942" s="31"/>
    </row>
    <row r="943" spans="87:87">
      <c r="CI943" s="31"/>
    </row>
    <row r="944" spans="87:87">
      <c r="CI944" s="31"/>
    </row>
    <row r="945" spans="87:87">
      <c r="CI945" s="31"/>
    </row>
    <row r="946" spans="87:87">
      <c r="CI946" s="31"/>
    </row>
    <row r="947" spans="87:87">
      <c r="CI947" s="31"/>
    </row>
    <row r="948" spans="87:87">
      <c r="CI948" s="31"/>
    </row>
    <row r="949" spans="87:87">
      <c r="CI949" s="31"/>
    </row>
    <row r="950" spans="87:87">
      <c r="CI950" s="31"/>
    </row>
    <row r="951" spans="87:87">
      <c r="CI951" s="31"/>
    </row>
    <row r="952" spans="87:87">
      <c r="CI952" s="31"/>
    </row>
    <row r="953" spans="87:87">
      <c r="CI953" s="31"/>
    </row>
    <row r="954" spans="87:87">
      <c r="CI954" s="31"/>
    </row>
    <row r="955" spans="87:87">
      <c r="CI955" s="31"/>
    </row>
    <row r="956" spans="87:87">
      <c r="CI956" s="31"/>
    </row>
    <row r="957" spans="87:87">
      <c r="CI957" s="31"/>
    </row>
    <row r="958" spans="87:87">
      <c r="CI958" s="31"/>
    </row>
    <row r="959" spans="87:87">
      <c r="CI959" s="31"/>
    </row>
    <row r="960" spans="87:87">
      <c r="CI960" s="31"/>
    </row>
    <row r="961" spans="87:87">
      <c r="CI961" s="31"/>
    </row>
    <row r="962" spans="87:87">
      <c r="CI962" s="31"/>
    </row>
    <row r="963" spans="87:87">
      <c r="CI963" s="31"/>
    </row>
    <row r="964" spans="87:87">
      <c r="CI964" s="31"/>
    </row>
    <row r="965" spans="87:87">
      <c r="CI965" s="31"/>
    </row>
    <row r="966" spans="87:87">
      <c r="CI966" s="31"/>
    </row>
    <row r="967" spans="87:87">
      <c r="CI967" s="31"/>
    </row>
    <row r="968" spans="87:87">
      <c r="CI968" s="31"/>
    </row>
    <row r="969" spans="87:87">
      <c r="CI969" s="31"/>
    </row>
    <row r="970" spans="87:87">
      <c r="CI970" s="31"/>
    </row>
    <row r="971" spans="87:87">
      <c r="CI971" s="31"/>
    </row>
    <row r="972" spans="87:87">
      <c r="CI972" s="31"/>
    </row>
    <row r="973" spans="87:87">
      <c r="CI973" s="31"/>
    </row>
    <row r="974" spans="87:87">
      <c r="CI974" s="31"/>
    </row>
    <row r="975" spans="87:87">
      <c r="CI975" s="31"/>
    </row>
    <row r="976" spans="87:87">
      <c r="CI976" s="31"/>
    </row>
    <row r="977" spans="87:87">
      <c r="CI977" s="31"/>
    </row>
    <row r="978" spans="87:87">
      <c r="CI978" s="31"/>
    </row>
    <row r="979" spans="87:87">
      <c r="CI979" s="31"/>
    </row>
    <row r="980" spans="87:87">
      <c r="CI980" s="31"/>
    </row>
    <row r="981" spans="87:87">
      <c r="CI981" s="31"/>
    </row>
    <row r="982" spans="87:87">
      <c r="CI982" s="31"/>
    </row>
    <row r="983" spans="87:87">
      <c r="CI983" s="31"/>
    </row>
    <row r="984" spans="87:87">
      <c r="CI984" s="31"/>
    </row>
    <row r="985" spans="87:87">
      <c r="CI985" s="31"/>
    </row>
    <row r="986" spans="87:87">
      <c r="CI986" s="31"/>
    </row>
    <row r="987" spans="87:87">
      <c r="CI987" s="31"/>
    </row>
    <row r="988" spans="87:87">
      <c r="CI988" s="31"/>
    </row>
    <row r="989" spans="87:87">
      <c r="CI989" s="31"/>
    </row>
    <row r="990" spans="87:87">
      <c r="CI990" s="31"/>
    </row>
    <row r="991" spans="87:87">
      <c r="CI991" s="31"/>
    </row>
    <row r="992" spans="87:87">
      <c r="CI992" s="31"/>
    </row>
    <row r="993" spans="87:87">
      <c r="CI993" s="31"/>
    </row>
    <row r="994" spans="87:87">
      <c r="CI994" s="31"/>
    </row>
    <row r="995" spans="87:87">
      <c r="CI995" s="31"/>
    </row>
    <row r="996" spans="87:87">
      <c r="CI996" s="31"/>
    </row>
    <row r="997" spans="87:87">
      <c r="CI997" s="31"/>
    </row>
    <row r="998" spans="87:87">
      <c r="CI998" s="31"/>
    </row>
    <row r="999" spans="87:87">
      <c r="CI999" s="31"/>
    </row>
    <row r="1000" spans="87:87">
      <c r="CI1000" s="31"/>
    </row>
    <row r="1001" spans="87:87">
      <c r="CI1001" s="31"/>
    </row>
    <row r="1002" spans="87:87">
      <c r="CI1002" s="31"/>
    </row>
    <row r="1003" spans="87:87">
      <c r="CI1003" s="31"/>
    </row>
    <row r="1004" spans="87:87">
      <c r="CI1004" s="31"/>
    </row>
    <row r="1005" spans="87:87">
      <c r="CI1005" s="31"/>
    </row>
    <row r="1006" spans="87:87">
      <c r="CI1006" s="31"/>
    </row>
    <row r="1007" spans="87:87">
      <c r="CI1007" s="31"/>
    </row>
    <row r="1008" spans="87:87">
      <c r="CI1008" s="31"/>
    </row>
    <row r="1009" spans="87:87">
      <c r="CI1009" s="31"/>
    </row>
    <row r="1010" spans="87:87">
      <c r="CI1010" s="31"/>
    </row>
    <row r="1011" spans="87:87">
      <c r="CI1011" s="31"/>
    </row>
    <row r="1012" spans="87:87">
      <c r="CI1012" s="31"/>
    </row>
    <row r="1013" spans="87:87">
      <c r="CI1013" s="31"/>
    </row>
    <row r="1014" spans="87:87">
      <c r="CI1014" s="31"/>
    </row>
    <row r="1015" spans="87:87">
      <c r="CI1015" s="31"/>
    </row>
    <row r="1016" spans="87:87">
      <c r="CI1016" s="31"/>
    </row>
    <row r="1017" spans="87:87">
      <c r="CI1017" s="31"/>
    </row>
    <row r="1018" spans="87:87">
      <c r="CI1018" s="31"/>
    </row>
    <row r="1019" spans="87:87">
      <c r="CI1019" s="31"/>
    </row>
    <row r="1020" spans="87:87">
      <c r="CI1020" s="31"/>
    </row>
    <row r="1021" spans="87:87">
      <c r="CI1021" s="31"/>
    </row>
    <row r="1022" spans="87:87">
      <c r="CI1022" s="31"/>
    </row>
    <row r="1023" spans="87:87">
      <c r="CI1023" s="31"/>
    </row>
    <row r="1024" spans="87:87">
      <c r="CI1024" s="31"/>
    </row>
    <row r="1025" spans="87:87">
      <c r="CI1025" s="31"/>
    </row>
    <row r="1026" spans="87:87">
      <c r="CI1026" s="31"/>
    </row>
    <row r="1027" spans="87:87">
      <c r="CI1027" s="31"/>
    </row>
    <row r="1028" spans="87:87">
      <c r="CI1028" s="31"/>
    </row>
    <row r="1029" spans="87:87">
      <c r="CI1029" s="31"/>
    </row>
    <row r="1030" spans="87:87">
      <c r="CI1030" s="31"/>
    </row>
    <row r="1031" spans="87:87">
      <c r="CI1031" s="31"/>
    </row>
    <row r="1032" spans="87:87">
      <c r="CI1032" s="31"/>
    </row>
    <row r="1033" spans="87:87">
      <c r="CI1033" s="31"/>
    </row>
    <row r="1034" spans="87:87">
      <c r="CI1034" s="31"/>
    </row>
    <row r="1035" spans="87:87">
      <c r="CI1035" s="31"/>
    </row>
    <row r="1036" spans="87:87">
      <c r="CI1036" s="31"/>
    </row>
    <row r="1037" spans="87:87">
      <c r="CI1037" s="31"/>
    </row>
    <row r="1038" spans="87:87">
      <c r="CI1038" s="31"/>
    </row>
    <row r="1039" spans="87:87">
      <c r="CI1039" s="31"/>
    </row>
    <row r="1040" spans="87:87">
      <c r="CI1040" s="31"/>
    </row>
    <row r="1041" spans="87:87">
      <c r="CI1041" s="31"/>
    </row>
    <row r="1042" spans="87:87">
      <c r="CI1042" s="31"/>
    </row>
    <row r="1043" spans="87:87">
      <c r="CI1043" s="31"/>
    </row>
    <row r="1044" spans="87:87">
      <c r="CI1044" s="31"/>
    </row>
    <row r="1045" spans="87:87">
      <c r="CI1045" s="31"/>
    </row>
    <row r="1046" spans="87:87">
      <c r="CI1046" s="31"/>
    </row>
    <row r="1047" spans="87:87">
      <c r="CI1047" s="31"/>
    </row>
    <row r="1048" spans="87:87">
      <c r="CI1048" s="31"/>
    </row>
    <row r="1049" spans="87:87">
      <c r="CI1049" s="31"/>
    </row>
    <row r="1050" spans="87:87">
      <c r="CI1050" s="31"/>
    </row>
    <row r="1051" spans="87:87">
      <c r="CI1051" s="31"/>
    </row>
    <row r="1052" spans="87:87">
      <c r="CI1052" s="31"/>
    </row>
    <row r="1053" spans="87:87">
      <c r="CI1053" s="31"/>
    </row>
    <row r="1054" spans="87:87">
      <c r="CI1054" s="31"/>
    </row>
    <row r="1055" spans="87:87">
      <c r="CI1055" s="31"/>
    </row>
    <row r="1056" spans="87:87">
      <c r="CI1056" s="31"/>
    </row>
    <row r="1057" spans="87:87">
      <c r="CI1057" s="31"/>
    </row>
    <row r="1058" spans="87:87">
      <c r="CI1058" s="31"/>
    </row>
    <row r="1059" spans="87:87">
      <c r="CI1059" s="31"/>
    </row>
    <row r="1060" spans="87:87">
      <c r="CI1060" s="31"/>
    </row>
    <row r="1061" spans="87:87">
      <c r="CI1061" s="31"/>
    </row>
    <row r="1062" spans="87:87">
      <c r="CI1062" s="31"/>
    </row>
    <row r="1063" spans="87:87">
      <c r="CI1063" s="31"/>
    </row>
    <row r="1064" spans="87:87">
      <c r="CI1064" s="31"/>
    </row>
    <row r="1065" spans="87:87">
      <c r="CI1065" s="31"/>
    </row>
    <row r="1066" spans="87:87">
      <c r="CI1066" s="31"/>
    </row>
    <row r="1067" spans="87:87">
      <c r="CI1067" s="31"/>
    </row>
    <row r="1068" spans="87:87">
      <c r="CI1068" s="31"/>
    </row>
    <row r="1069" spans="87:87">
      <c r="CI1069" s="31"/>
    </row>
    <row r="1070" spans="87:87">
      <c r="CI1070" s="31"/>
    </row>
    <row r="1071" spans="87:87">
      <c r="CI1071" s="31"/>
    </row>
    <row r="1072" spans="87:87">
      <c r="CI1072" s="31"/>
    </row>
    <row r="1073" spans="87:87">
      <c r="CI1073" s="31"/>
    </row>
    <row r="1074" spans="87:87">
      <c r="CI1074" s="31"/>
    </row>
    <row r="1075" spans="87:87">
      <c r="CI1075" s="31"/>
    </row>
    <row r="1076" spans="87:87">
      <c r="CI1076" s="31"/>
    </row>
    <row r="1077" spans="87:87">
      <c r="CI1077" s="31"/>
    </row>
    <row r="1078" spans="87:87">
      <c r="CI1078" s="31"/>
    </row>
    <row r="1079" spans="87:87">
      <c r="CI1079" s="31"/>
    </row>
    <row r="1080" spans="87:87">
      <c r="CI1080" s="31"/>
    </row>
    <row r="1081" spans="87:87">
      <c r="CI1081" s="31"/>
    </row>
    <row r="1082" spans="87:87">
      <c r="CI1082" s="31"/>
    </row>
    <row r="1083" spans="87:87">
      <c r="CI1083" s="31"/>
    </row>
    <row r="1084" spans="87:87">
      <c r="CI1084" s="31"/>
    </row>
    <row r="1085" spans="87:87">
      <c r="CI1085" s="31"/>
    </row>
    <row r="1086" spans="87:87">
      <c r="CI1086" s="31"/>
    </row>
    <row r="1087" spans="87:87">
      <c r="CI1087" s="31"/>
    </row>
    <row r="1088" spans="87:87">
      <c r="CI1088" s="31"/>
    </row>
    <row r="1089" spans="87:87">
      <c r="CI1089" s="31"/>
    </row>
    <row r="1090" spans="87:87">
      <c r="CI1090" s="31"/>
    </row>
    <row r="1091" spans="87:87">
      <c r="CI1091" s="31"/>
    </row>
    <row r="1092" spans="87:87">
      <c r="CI1092" s="31"/>
    </row>
    <row r="1093" spans="87:87">
      <c r="CI1093" s="31"/>
    </row>
    <row r="1094" spans="87:87">
      <c r="CI1094" s="31"/>
    </row>
    <row r="1095" spans="87:87">
      <c r="CI1095" s="31"/>
    </row>
    <row r="1096" spans="87:87">
      <c r="CI1096" s="31"/>
    </row>
    <row r="1097" spans="87:87">
      <c r="CI1097" s="31"/>
    </row>
    <row r="1098" spans="87:87">
      <c r="CI1098" s="31"/>
    </row>
    <row r="1099" spans="87:87">
      <c r="CI1099" s="31"/>
    </row>
    <row r="1100" spans="87:87">
      <c r="CI1100" s="31"/>
    </row>
    <row r="1101" spans="87:87">
      <c r="CI1101" s="31"/>
    </row>
    <row r="1102" spans="87:87">
      <c r="CI1102" s="31"/>
    </row>
    <row r="1103" spans="87:87">
      <c r="CI1103" s="31"/>
    </row>
    <row r="1104" spans="87:87">
      <c r="CI1104" s="31"/>
    </row>
    <row r="1105" spans="87:87">
      <c r="CI1105" s="31"/>
    </row>
    <row r="1106" spans="87:87">
      <c r="CI1106" s="31"/>
    </row>
    <row r="1107" spans="87:87">
      <c r="CI1107" s="31"/>
    </row>
    <row r="1108" spans="87:87">
      <c r="CI1108" s="31"/>
    </row>
    <row r="1109" spans="87:87">
      <c r="CI1109" s="31"/>
    </row>
    <row r="1110" spans="87:87">
      <c r="CI1110" s="31"/>
    </row>
    <row r="1111" spans="87:87">
      <c r="CI1111" s="31"/>
    </row>
    <row r="1112" spans="87:87">
      <c r="CI1112" s="31"/>
    </row>
    <row r="1113" spans="87:87">
      <c r="CI1113" s="31"/>
    </row>
    <row r="1114" spans="87:87">
      <c r="CI1114" s="31"/>
    </row>
    <row r="1115" spans="87:87">
      <c r="CI1115" s="31"/>
    </row>
    <row r="1116" spans="87:87">
      <c r="CI1116" s="31"/>
    </row>
    <row r="1117" spans="87:87">
      <c r="CI1117" s="31"/>
    </row>
    <row r="1118" spans="87:87">
      <c r="CI1118" s="31"/>
    </row>
    <row r="1119" spans="87:87">
      <c r="CI1119" s="31"/>
    </row>
    <row r="1120" spans="87:87">
      <c r="CI1120" s="31"/>
    </row>
    <row r="1121" spans="87:87">
      <c r="CI1121" s="31"/>
    </row>
    <row r="1122" spans="87:87">
      <c r="CI1122" s="31"/>
    </row>
    <row r="1123" spans="87:87">
      <c r="CI1123" s="31"/>
    </row>
    <row r="1124" spans="87:87">
      <c r="CI1124" s="31"/>
    </row>
    <row r="1125" spans="87:87">
      <c r="CI1125" s="31"/>
    </row>
    <row r="1126" spans="87:87">
      <c r="CI1126" s="31"/>
    </row>
    <row r="1127" spans="87:87">
      <c r="CI1127" s="31"/>
    </row>
    <row r="1128" spans="87:87">
      <c r="CI1128" s="31"/>
    </row>
    <row r="1129" spans="87:87">
      <c r="CI1129" s="31"/>
    </row>
    <row r="1130" spans="87:87">
      <c r="CI1130" s="31"/>
    </row>
    <row r="1131" spans="87:87">
      <c r="CI1131" s="31"/>
    </row>
    <row r="1132" spans="87:87">
      <c r="CI1132" s="31"/>
    </row>
    <row r="1133" spans="87:87">
      <c r="CI1133" s="31"/>
    </row>
    <row r="1134" spans="87:87">
      <c r="CI1134" s="31"/>
    </row>
    <row r="1135" spans="87:87">
      <c r="CI1135" s="31"/>
    </row>
    <row r="1136" spans="87:87">
      <c r="CI1136" s="31"/>
    </row>
    <row r="1137" spans="87:87">
      <c r="CI1137" s="31"/>
    </row>
    <row r="1138" spans="87:87">
      <c r="CI1138" s="31"/>
    </row>
    <row r="1139" spans="87:87">
      <c r="CI1139" s="31"/>
    </row>
    <row r="1140" spans="87:87">
      <c r="CI1140" s="31"/>
    </row>
    <row r="1141" spans="87:87">
      <c r="CI1141" s="31"/>
    </row>
    <row r="1142" spans="87:87">
      <c r="CI1142" s="31"/>
    </row>
    <row r="1143" spans="87:87">
      <c r="CI1143" s="31"/>
    </row>
    <row r="1144" spans="87:87">
      <c r="CI1144" s="31"/>
    </row>
    <row r="1145" spans="87:87">
      <c r="CI1145" s="31"/>
    </row>
    <row r="1146" spans="87:87">
      <c r="CI1146" s="31"/>
    </row>
    <row r="1147" spans="87:87">
      <c r="CI1147" s="31"/>
    </row>
    <row r="1148" spans="87:87">
      <c r="CI1148" s="31"/>
    </row>
    <row r="1149" spans="87:87">
      <c r="CI1149" s="31"/>
    </row>
    <row r="1150" spans="87:87">
      <c r="CI1150" s="31"/>
    </row>
    <row r="1151" spans="87:87">
      <c r="CI1151" s="31"/>
    </row>
    <row r="1152" spans="87:87">
      <c r="CI1152" s="31"/>
    </row>
    <row r="1153" spans="87:87">
      <c r="CI1153" s="31"/>
    </row>
    <row r="1154" spans="87:87">
      <c r="CI1154" s="31"/>
    </row>
    <row r="1155" spans="87:87">
      <c r="CI1155" s="31"/>
    </row>
    <row r="1156" spans="87:87">
      <c r="CI1156" s="31"/>
    </row>
    <row r="1157" spans="87:87">
      <c r="CI1157" s="31"/>
    </row>
    <row r="1158" spans="87:87">
      <c r="CI1158" s="31"/>
    </row>
    <row r="1159" spans="87:87">
      <c r="CI1159" s="31"/>
    </row>
    <row r="1160" spans="87:87">
      <c r="CI1160" s="31"/>
    </row>
    <row r="1161" spans="87:87">
      <c r="CI1161" s="31"/>
    </row>
    <row r="1162" spans="87:87">
      <c r="CI1162" s="31"/>
    </row>
    <row r="1163" spans="87:87">
      <c r="CI1163" s="31"/>
    </row>
    <row r="1164" spans="87:87">
      <c r="CI1164" s="31"/>
    </row>
    <row r="1165" spans="87:87">
      <c r="CI1165" s="31"/>
    </row>
    <row r="1166" spans="87:87">
      <c r="CI1166" s="31"/>
    </row>
    <row r="1167" spans="87:87">
      <c r="CI1167" s="31"/>
    </row>
    <row r="1168" spans="87:87">
      <c r="CI1168" s="31"/>
    </row>
    <row r="1169" spans="87:87">
      <c r="CI1169" s="31"/>
    </row>
    <row r="1170" spans="87:87">
      <c r="CI1170" s="31"/>
    </row>
    <row r="1171" spans="87:87">
      <c r="CI1171" s="31"/>
    </row>
    <row r="1172" spans="87:87">
      <c r="CI1172" s="31"/>
    </row>
    <row r="1173" spans="87:87">
      <c r="CI1173" s="31"/>
    </row>
    <row r="1174" spans="87:87">
      <c r="CI1174" s="31"/>
    </row>
    <row r="1175" spans="87:87">
      <c r="CI1175" s="31"/>
    </row>
    <row r="1176" spans="87:87">
      <c r="CI1176" s="31"/>
    </row>
    <row r="1177" spans="87:87">
      <c r="CI1177" s="31"/>
    </row>
    <row r="1178" spans="87:87">
      <c r="CI1178" s="31"/>
    </row>
    <row r="1179" spans="87:87">
      <c r="CI1179" s="31"/>
    </row>
    <row r="1180" spans="87:87">
      <c r="CI1180" s="31"/>
    </row>
    <row r="1181" spans="87:87">
      <c r="CI1181" s="31"/>
    </row>
    <row r="1182" spans="87:87">
      <c r="CI1182" s="31"/>
    </row>
    <row r="1183" spans="87:87">
      <c r="CI1183" s="31"/>
    </row>
    <row r="1184" spans="87:87">
      <c r="CI1184" s="31"/>
    </row>
    <row r="1185" spans="87:87">
      <c r="CI1185" s="31"/>
    </row>
    <row r="1186" spans="87:87">
      <c r="CI1186" s="31"/>
    </row>
    <row r="1187" spans="87:87">
      <c r="CI1187" s="31"/>
    </row>
    <row r="1188" spans="87:87">
      <c r="CI1188" s="31"/>
    </row>
    <row r="1189" spans="87:87">
      <c r="CI1189" s="31"/>
    </row>
    <row r="1190" spans="87:87">
      <c r="CI1190" s="31"/>
    </row>
    <row r="1191" spans="87:87">
      <c r="CI1191" s="31"/>
    </row>
    <row r="1192" spans="87:87">
      <c r="CI1192" s="31"/>
    </row>
    <row r="1193" spans="87:87">
      <c r="CI1193" s="31"/>
    </row>
    <row r="1194" spans="87:87">
      <c r="CI1194" s="31"/>
    </row>
    <row r="1195" spans="87:87">
      <c r="CI1195" s="31"/>
    </row>
    <row r="1196" spans="87:87">
      <c r="CI1196" s="31"/>
    </row>
    <row r="1197" spans="87:87">
      <c r="CI1197" s="31"/>
    </row>
    <row r="1198" spans="87:87">
      <c r="CI1198" s="31"/>
    </row>
    <row r="1199" spans="87:87">
      <c r="CI1199" s="31"/>
    </row>
    <row r="1200" spans="87:87">
      <c r="CI1200" s="31"/>
    </row>
    <row r="1201" spans="87:87">
      <c r="CI1201" s="31"/>
    </row>
    <row r="1202" spans="87:87">
      <c r="CI1202" s="31"/>
    </row>
    <row r="1203" spans="87:87">
      <c r="CI1203" s="31"/>
    </row>
    <row r="1204" spans="87:87">
      <c r="CI1204" s="31"/>
    </row>
    <row r="1205" spans="87:87">
      <c r="CI1205" s="31"/>
    </row>
    <row r="1206" spans="87:87">
      <c r="CI1206" s="31"/>
    </row>
    <row r="1207" spans="87:87">
      <c r="CI1207" s="31"/>
    </row>
    <row r="1208" spans="87:87">
      <c r="CI1208" s="31"/>
    </row>
    <row r="1209" spans="87:87">
      <c r="CI1209" s="31"/>
    </row>
    <row r="1210" spans="87:87">
      <c r="CI1210" s="31"/>
    </row>
    <row r="1211" spans="87:87">
      <c r="CI1211" s="31"/>
    </row>
    <row r="1212" spans="87:87">
      <c r="CI1212" s="31"/>
    </row>
    <row r="1213" spans="87:87">
      <c r="CI1213" s="31"/>
    </row>
    <row r="1214" spans="87:87">
      <c r="CI1214" s="31"/>
    </row>
    <row r="1215" spans="87:87">
      <c r="CI1215" s="31"/>
    </row>
    <row r="1216" spans="87:87">
      <c r="CI1216" s="31"/>
    </row>
    <row r="1217" spans="87:87">
      <c r="CI1217" s="31"/>
    </row>
    <row r="1218" spans="87:87">
      <c r="CI1218" s="31"/>
    </row>
    <row r="1219" spans="87:87">
      <c r="CI1219" s="31"/>
    </row>
    <row r="1220" spans="87:87">
      <c r="CI1220" s="31"/>
    </row>
    <row r="1221" spans="87:87">
      <c r="CI1221" s="31"/>
    </row>
    <row r="1222" spans="87:87">
      <c r="CI1222" s="31"/>
    </row>
    <row r="1223" spans="87:87">
      <c r="CI1223" s="31"/>
    </row>
    <row r="1224" spans="87:87">
      <c r="CI1224" s="31"/>
    </row>
    <row r="1225" spans="87:87">
      <c r="CI1225" s="31"/>
    </row>
    <row r="1226" spans="87:87">
      <c r="CI1226" s="31"/>
    </row>
    <row r="1227" spans="87:87">
      <c r="CI1227" s="31"/>
    </row>
    <row r="1228" spans="87:87">
      <c r="CI1228" s="31"/>
    </row>
    <row r="1229" spans="87:87">
      <c r="CI1229" s="31"/>
    </row>
    <row r="1230" spans="87:87">
      <c r="CI1230" s="31"/>
    </row>
    <row r="1231" spans="87:87">
      <c r="CI1231" s="31"/>
    </row>
    <row r="1232" spans="87:87">
      <c r="CI1232" s="31"/>
    </row>
    <row r="1233" spans="87:87">
      <c r="CI1233" s="31"/>
    </row>
    <row r="1234" spans="87:87">
      <c r="CI1234" s="31"/>
    </row>
    <row r="1235" spans="87:87">
      <c r="CI1235" s="31"/>
    </row>
    <row r="1236" spans="87:87">
      <c r="CI1236" s="31"/>
    </row>
    <row r="1237" spans="87:87">
      <c r="CI1237" s="31"/>
    </row>
    <row r="1238" spans="87:87">
      <c r="CI1238" s="31"/>
    </row>
    <row r="1239" spans="87:87">
      <c r="CI1239" s="31"/>
    </row>
    <row r="1240" spans="87:87">
      <c r="CI1240" s="31"/>
    </row>
    <row r="1241" spans="87:87">
      <c r="CI1241" s="31"/>
    </row>
    <row r="1242" spans="87:87">
      <c r="CI1242" s="31"/>
    </row>
    <row r="1243" spans="87:87">
      <c r="CI1243" s="31"/>
    </row>
    <row r="1244" spans="87:87">
      <c r="CI1244" s="31"/>
    </row>
    <row r="1245" spans="87:87">
      <c r="CI1245" s="31"/>
    </row>
    <row r="1246" spans="87:87">
      <c r="CI1246" s="31"/>
    </row>
    <row r="1247" spans="87:87">
      <c r="CI1247" s="31"/>
    </row>
    <row r="1248" spans="87:87">
      <c r="CI1248" s="31"/>
    </row>
    <row r="1249" spans="87:87">
      <c r="CI1249" s="31"/>
    </row>
    <row r="1250" spans="87:87">
      <c r="CI1250" s="31"/>
    </row>
    <row r="1251" spans="87:87">
      <c r="CI1251" s="31"/>
    </row>
    <row r="1252" spans="87:87">
      <c r="CI1252" s="31"/>
    </row>
    <row r="1253" spans="87:87">
      <c r="CI1253" s="31"/>
    </row>
    <row r="1254" spans="87:87">
      <c r="CI1254" s="31"/>
    </row>
    <row r="1255" spans="87:87">
      <c r="CI1255" s="31"/>
    </row>
    <row r="1256" spans="87:87">
      <c r="CI1256" s="31"/>
    </row>
    <row r="1257" spans="87:87">
      <c r="CI1257" s="31"/>
    </row>
    <row r="1258" spans="87:87">
      <c r="CI1258" s="31"/>
    </row>
    <row r="1259" spans="87:87">
      <c r="CI1259" s="31"/>
    </row>
    <row r="1260" spans="87:87">
      <c r="CI1260" s="31"/>
    </row>
    <row r="1261" spans="87:87">
      <c r="CI1261" s="31"/>
    </row>
    <row r="1262" spans="87:87">
      <c r="CI1262" s="31"/>
    </row>
    <row r="1263" spans="87:87">
      <c r="CI1263" s="31"/>
    </row>
    <row r="1264" spans="87:87">
      <c r="CI1264" s="31"/>
    </row>
    <row r="1265" spans="87:87">
      <c r="CI1265" s="31"/>
    </row>
    <row r="1266" spans="87:87">
      <c r="CI1266" s="31"/>
    </row>
    <row r="1267" spans="87:87">
      <c r="CI1267" s="31"/>
    </row>
    <row r="1268" spans="87:87">
      <c r="CI1268" s="31"/>
    </row>
    <row r="1269" spans="87:87">
      <c r="CI1269" s="31"/>
    </row>
    <row r="1270" spans="87:87">
      <c r="CI1270" s="31"/>
    </row>
    <row r="1271" spans="87:87">
      <c r="CI1271" s="31"/>
    </row>
    <row r="1272" spans="87:87">
      <c r="CI1272" s="31"/>
    </row>
    <row r="1273" spans="87:87">
      <c r="CI1273" s="31"/>
    </row>
    <row r="1274" spans="87:87">
      <c r="CI1274" s="31"/>
    </row>
    <row r="1275" spans="87:87">
      <c r="CI1275" s="31"/>
    </row>
    <row r="1276" spans="87:87">
      <c r="CI1276" s="31"/>
    </row>
    <row r="1277" spans="87:87">
      <c r="CI1277" s="31"/>
    </row>
    <row r="1278" spans="87:87">
      <c r="CI1278" s="31"/>
    </row>
    <row r="1279" spans="87:87">
      <c r="CI1279" s="31"/>
    </row>
    <row r="1280" spans="87:87">
      <c r="CI1280" s="31"/>
    </row>
    <row r="1281" spans="87:87">
      <c r="CI1281" s="31"/>
    </row>
    <row r="1282" spans="87:87">
      <c r="CI1282" s="31"/>
    </row>
    <row r="1283" spans="87:87">
      <c r="CI1283" s="31"/>
    </row>
    <row r="1284" spans="87:87">
      <c r="CI1284" s="31"/>
    </row>
    <row r="1285" spans="87:87">
      <c r="CI1285" s="31"/>
    </row>
    <row r="1286" spans="87:87">
      <c r="CI1286" s="31"/>
    </row>
    <row r="1287" spans="87:87">
      <c r="CI1287" s="31"/>
    </row>
    <row r="1288" spans="87:87">
      <c r="CI1288" s="31"/>
    </row>
    <row r="1289" spans="87:87">
      <c r="CI1289" s="31"/>
    </row>
    <row r="1290" spans="87:87">
      <c r="CI1290" s="31"/>
    </row>
    <row r="1291" spans="87:87">
      <c r="CI1291" s="31"/>
    </row>
    <row r="1292" spans="87:87">
      <c r="CI1292" s="31"/>
    </row>
    <row r="1293" spans="87:87">
      <c r="CI1293" s="31"/>
    </row>
    <row r="1294" spans="87:87">
      <c r="CI1294" s="31"/>
    </row>
    <row r="1295" spans="87:87">
      <c r="CI1295" s="31"/>
    </row>
    <row r="1296" spans="87:87">
      <c r="CI1296" s="31"/>
    </row>
    <row r="1297" spans="87:87">
      <c r="CI1297" s="31"/>
    </row>
    <row r="1298" spans="87:87">
      <c r="CI1298" s="31"/>
    </row>
    <row r="1299" spans="87:87">
      <c r="CI1299" s="31"/>
    </row>
    <row r="1300" spans="87:87">
      <c r="CI1300" s="31"/>
    </row>
    <row r="1301" spans="87:87">
      <c r="CI1301" s="31"/>
    </row>
    <row r="1302" spans="87:87">
      <c r="CI1302" s="31"/>
    </row>
    <row r="1303" spans="87:87">
      <c r="CI1303" s="31"/>
    </row>
    <row r="1304" spans="87:87">
      <c r="CI1304" s="31"/>
    </row>
    <row r="1305" spans="87:87">
      <c r="CI1305" s="31"/>
    </row>
    <row r="1306" spans="87:87">
      <c r="CI1306" s="31"/>
    </row>
    <row r="1307" spans="87:87">
      <c r="CI1307" s="31"/>
    </row>
    <row r="1308" spans="87:87">
      <c r="CI1308" s="31"/>
    </row>
    <row r="1309" spans="87:87">
      <c r="CI1309" s="31"/>
    </row>
    <row r="1310" spans="87:87">
      <c r="CI1310" s="31"/>
    </row>
    <row r="1311" spans="87:87">
      <c r="CI1311" s="31"/>
    </row>
    <row r="1312" spans="87:87">
      <c r="CI1312" s="31"/>
    </row>
    <row r="1313" spans="87:87">
      <c r="CI1313" s="31"/>
    </row>
    <row r="1314" spans="87:87">
      <c r="CI1314" s="31"/>
    </row>
    <row r="1315" spans="87:87">
      <c r="CI1315" s="31"/>
    </row>
    <row r="1316" spans="87:87">
      <c r="CI1316" s="31"/>
    </row>
    <row r="1317" spans="87:87">
      <c r="CI1317" s="31"/>
    </row>
    <row r="1318" spans="87:87">
      <c r="CI1318" s="31"/>
    </row>
    <row r="1319" spans="87:87">
      <c r="CI1319" s="31"/>
    </row>
    <row r="1320" spans="87:87">
      <c r="CI1320" s="31"/>
    </row>
    <row r="1321" spans="87:87">
      <c r="CI1321" s="31"/>
    </row>
    <row r="1322" spans="87:87">
      <c r="CI1322" s="31"/>
    </row>
    <row r="1323" spans="87:87">
      <c r="CI1323" s="31"/>
    </row>
    <row r="1324" spans="87:87">
      <c r="CI1324" s="31"/>
    </row>
    <row r="1325" spans="87:87">
      <c r="CI1325" s="31"/>
    </row>
    <row r="1326" spans="87:87">
      <c r="CI1326" s="31"/>
    </row>
    <row r="1327" spans="87:87">
      <c r="CI1327" s="31"/>
    </row>
    <row r="1328" spans="87:87">
      <c r="CI1328" s="31"/>
    </row>
    <row r="1329" spans="87:87">
      <c r="CI1329" s="31"/>
    </row>
    <row r="1330" spans="87:87">
      <c r="CI1330" s="31"/>
    </row>
    <row r="1331" spans="87:87">
      <c r="CI1331" s="31"/>
    </row>
    <row r="1332" spans="87:87">
      <c r="CI1332" s="31"/>
    </row>
    <row r="1333" spans="87:87">
      <c r="CI1333" s="31"/>
    </row>
    <row r="1334" spans="87:87">
      <c r="CI1334" s="31"/>
    </row>
    <row r="1335" spans="87:87">
      <c r="CI1335" s="31"/>
    </row>
    <row r="1336" spans="87:87">
      <c r="CI1336" s="31"/>
    </row>
    <row r="1337" spans="87:87">
      <c r="CI1337" s="31"/>
    </row>
    <row r="1338" spans="87:87">
      <c r="CI1338" s="31"/>
    </row>
    <row r="1339" spans="87:87">
      <c r="CI1339" s="31"/>
    </row>
    <row r="1340" spans="87:87">
      <c r="CI1340" s="31"/>
    </row>
    <row r="1341" spans="87:87">
      <c r="CI1341" s="31"/>
    </row>
    <row r="1342" spans="87:87">
      <c r="CI1342" s="31"/>
    </row>
    <row r="1343" spans="87:87">
      <c r="CI1343" s="31"/>
    </row>
    <row r="1344" spans="87:87">
      <c r="CI1344" s="31"/>
    </row>
    <row r="1345" spans="87:87">
      <c r="CI1345" s="31"/>
    </row>
    <row r="1346" spans="87:87">
      <c r="CI1346" s="31"/>
    </row>
    <row r="1347" spans="87:87">
      <c r="CI1347" s="31"/>
    </row>
    <row r="1348" spans="87:87">
      <c r="CI1348" s="31"/>
    </row>
    <row r="1349" spans="87:87">
      <c r="CI1349" s="31"/>
    </row>
    <row r="1350" spans="87:87">
      <c r="CI1350" s="31"/>
    </row>
    <row r="1351" spans="87:87">
      <c r="CI1351" s="31"/>
    </row>
    <row r="1352" spans="87:87">
      <c r="CI1352" s="31"/>
    </row>
    <row r="1353" spans="87:87">
      <c r="CI1353" s="31"/>
    </row>
    <row r="1354" spans="87:87">
      <c r="CI1354" s="31"/>
    </row>
    <row r="1355" spans="87:87">
      <c r="CI1355" s="31"/>
    </row>
    <row r="1356" spans="87:87">
      <c r="CI1356" s="31"/>
    </row>
    <row r="1357" spans="87:87">
      <c r="CI1357" s="31"/>
    </row>
    <row r="1358" spans="87:87">
      <c r="CI1358" s="31"/>
    </row>
    <row r="1359" spans="87:87">
      <c r="CI1359" s="31"/>
    </row>
    <row r="1360" spans="87:87">
      <c r="CI1360" s="31"/>
    </row>
    <row r="1361" spans="87:87">
      <c r="CI1361" s="31"/>
    </row>
    <row r="1362" spans="87:87">
      <c r="CI1362" s="31"/>
    </row>
    <row r="1363" spans="87:87">
      <c r="CI1363" s="31"/>
    </row>
    <row r="1364" spans="87:87">
      <c r="CI1364" s="31"/>
    </row>
    <row r="1365" spans="87:87">
      <c r="CI1365" s="31"/>
    </row>
    <row r="1366" spans="87:87">
      <c r="CI1366" s="31"/>
    </row>
    <row r="1367" spans="87:87">
      <c r="CI1367" s="31"/>
    </row>
    <row r="1368" spans="87:87">
      <c r="CI1368" s="31"/>
    </row>
    <row r="1369" spans="87:87">
      <c r="CI1369" s="31"/>
    </row>
    <row r="1370" spans="87:87">
      <c r="CI1370" s="31"/>
    </row>
    <row r="1371" spans="87:87">
      <c r="CI1371" s="31"/>
    </row>
    <row r="1372" spans="87:87">
      <c r="CI1372" s="31"/>
    </row>
    <row r="1373" spans="87:87">
      <c r="CI1373" s="31"/>
    </row>
    <row r="1374" spans="87:87">
      <c r="CI1374" s="31"/>
    </row>
    <row r="1375" spans="87:87">
      <c r="CI1375" s="31"/>
    </row>
    <row r="1376" spans="87:87">
      <c r="CI1376" s="31"/>
    </row>
    <row r="1377" spans="87:87">
      <c r="CI1377" s="31"/>
    </row>
    <row r="1378" spans="87:87">
      <c r="CI1378" s="31"/>
    </row>
    <row r="1379" spans="87:87">
      <c r="CI1379" s="31"/>
    </row>
    <row r="1380" spans="87:87">
      <c r="CI1380" s="31"/>
    </row>
    <row r="1381" spans="87:87">
      <c r="CI1381" s="31"/>
    </row>
    <row r="1382" spans="87:87">
      <c r="CI1382" s="31"/>
    </row>
    <row r="1383" spans="87:87">
      <c r="CI1383" s="31"/>
    </row>
    <row r="1384" spans="87:87">
      <c r="CI1384" s="31"/>
    </row>
    <row r="1385" spans="87:87">
      <c r="CI1385" s="31"/>
    </row>
    <row r="1386" spans="87:87">
      <c r="CI1386" s="31"/>
    </row>
    <row r="1387" spans="87:87">
      <c r="CI1387" s="31"/>
    </row>
    <row r="1388" spans="87:87">
      <c r="CI1388" s="31"/>
    </row>
    <row r="1389" spans="87:87">
      <c r="CI1389" s="31"/>
    </row>
    <row r="1390" spans="87:87">
      <c r="CI1390" s="31"/>
    </row>
    <row r="1391" spans="87:87">
      <c r="CI1391" s="31"/>
    </row>
    <row r="1392" spans="87:87">
      <c r="CI1392" s="31"/>
    </row>
    <row r="1393" spans="87:87">
      <c r="CI1393" s="31"/>
    </row>
    <row r="1394" spans="87:87">
      <c r="CI1394" s="31"/>
    </row>
    <row r="1395" spans="87:87">
      <c r="CI1395" s="31"/>
    </row>
    <row r="1396" spans="87:87">
      <c r="CI1396" s="31"/>
    </row>
    <row r="1397" spans="87:87">
      <c r="CI1397" s="31"/>
    </row>
    <row r="1398" spans="87:87">
      <c r="CI1398" s="31"/>
    </row>
    <row r="1399" spans="87:87">
      <c r="CI1399" s="31"/>
    </row>
    <row r="1400" spans="87:87">
      <c r="CI1400" s="31"/>
    </row>
    <row r="1401" spans="87:87">
      <c r="CI1401" s="31"/>
    </row>
    <row r="1402" spans="87:87">
      <c r="CI1402" s="31"/>
    </row>
    <row r="1403" spans="87:87">
      <c r="CI1403" s="31"/>
    </row>
    <row r="1404" spans="87:87">
      <c r="CI1404" s="31"/>
    </row>
    <row r="1405" spans="87:87">
      <c r="CI1405" s="31"/>
    </row>
    <row r="1406" spans="87:87">
      <c r="CI1406" s="31"/>
    </row>
    <row r="1407" spans="87:87">
      <c r="CI1407" s="31"/>
    </row>
    <row r="1408" spans="87:87">
      <c r="CI1408" s="31"/>
    </row>
    <row r="1409" spans="87:87">
      <c r="CI1409" s="31"/>
    </row>
    <row r="1410" spans="87:87">
      <c r="CI1410" s="31"/>
    </row>
    <row r="1411" spans="87:87">
      <c r="CI1411" s="31"/>
    </row>
    <row r="1412" spans="87:87">
      <c r="CI1412" s="31"/>
    </row>
    <row r="1413" spans="87:87">
      <c r="CI1413" s="31"/>
    </row>
    <row r="1414" spans="87:87">
      <c r="CI1414" s="31"/>
    </row>
    <row r="1415" spans="87:87">
      <c r="CI1415" s="31"/>
    </row>
    <row r="1416" spans="87:87">
      <c r="CI1416" s="31"/>
    </row>
    <row r="1417" spans="87:87">
      <c r="CI1417" s="31"/>
    </row>
    <row r="1418" spans="87:87">
      <c r="CI1418" s="31"/>
    </row>
    <row r="1419" spans="87:87">
      <c r="CI1419" s="31"/>
    </row>
    <row r="1420" spans="87:87">
      <c r="CI1420" s="31"/>
    </row>
    <row r="1421" spans="87:87">
      <c r="CI1421" s="31"/>
    </row>
    <row r="1422" spans="87:87">
      <c r="CI1422" s="31"/>
    </row>
    <row r="1423" spans="87:87">
      <c r="CI1423" s="31"/>
    </row>
    <row r="1424" spans="87:87">
      <c r="CI1424" s="31"/>
    </row>
    <row r="1425" spans="87:87">
      <c r="CI1425" s="31"/>
    </row>
    <row r="1426" spans="87:87">
      <c r="CI1426" s="31"/>
    </row>
    <row r="1427" spans="87:87">
      <c r="CI1427" s="31"/>
    </row>
    <row r="1428" spans="87:87">
      <c r="CI1428" s="31"/>
    </row>
    <row r="1429" spans="87:87">
      <c r="CI1429" s="31"/>
    </row>
    <row r="1430" spans="87:87">
      <c r="CI1430" s="31"/>
    </row>
    <row r="1431" spans="87:87">
      <c r="CI1431" s="31"/>
    </row>
    <row r="1432" spans="87:87">
      <c r="CI1432" s="31"/>
    </row>
    <row r="1433" spans="87:87">
      <c r="CI1433" s="31"/>
    </row>
    <row r="1434" spans="87:87">
      <c r="CI1434" s="31"/>
    </row>
    <row r="1435" spans="87:87">
      <c r="CI1435" s="31"/>
    </row>
    <row r="1436" spans="87:87">
      <c r="CI1436" s="31"/>
    </row>
    <row r="1437" spans="87:87">
      <c r="CI1437" s="31"/>
    </row>
    <row r="1438" spans="87:87">
      <c r="CI1438" s="31"/>
    </row>
    <row r="1439" spans="87:87">
      <c r="CI1439" s="31"/>
    </row>
    <row r="1440" spans="87:87">
      <c r="CI1440" s="31"/>
    </row>
    <row r="1441" spans="87:87">
      <c r="CI1441" s="31"/>
    </row>
    <row r="1442" spans="87:87">
      <c r="CI1442" s="31"/>
    </row>
    <row r="1443" spans="87:87">
      <c r="CI1443" s="31"/>
    </row>
    <row r="1444" spans="87:87">
      <c r="CI1444" s="31"/>
    </row>
    <row r="1445" spans="87:87">
      <c r="CI1445" s="31"/>
    </row>
    <row r="1446" spans="87:87">
      <c r="CI1446" s="31"/>
    </row>
    <row r="1447" spans="87:87">
      <c r="CI1447" s="31"/>
    </row>
    <row r="1448" spans="87:87">
      <c r="CI1448" s="31"/>
    </row>
    <row r="1449" spans="87:87">
      <c r="CI1449" s="31"/>
    </row>
    <row r="1450" spans="87:87">
      <c r="CI1450" s="31"/>
    </row>
    <row r="1451" spans="87:87">
      <c r="CI1451" s="31"/>
    </row>
    <row r="1452" spans="87:87">
      <c r="CI1452" s="31"/>
    </row>
    <row r="1453" spans="87:87">
      <c r="CI1453" s="31"/>
    </row>
    <row r="1454" spans="87:87">
      <c r="CI1454" s="31"/>
    </row>
    <row r="1455" spans="87:87">
      <c r="CI1455" s="31"/>
    </row>
    <row r="1456" spans="87:87">
      <c r="CI1456" s="31"/>
    </row>
    <row r="1457" spans="87:87">
      <c r="CI1457" s="31"/>
    </row>
    <row r="1458" spans="87:87">
      <c r="CI1458" s="31"/>
    </row>
    <row r="1459" spans="87:87">
      <c r="CI1459" s="31"/>
    </row>
    <row r="1460" spans="87:87">
      <c r="CI1460" s="31"/>
    </row>
    <row r="1461" spans="87:87">
      <c r="CI1461" s="31"/>
    </row>
    <row r="1462" spans="87:87">
      <c r="CI1462" s="31"/>
    </row>
    <row r="1463" spans="87:87">
      <c r="CI1463" s="31"/>
    </row>
    <row r="1464" spans="87:87">
      <c r="CI1464" s="31"/>
    </row>
    <row r="1465" spans="87:87">
      <c r="CI1465" s="31"/>
    </row>
    <row r="1466" spans="87:87">
      <c r="CI1466" s="31"/>
    </row>
    <row r="1467" spans="87:87">
      <c r="CI1467" s="31"/>
    </row>
    <row r="1468" spans="87:87">
      <c r="CI1468" s="31"/>
    </row>
    <row r="1469" spans="87:87">
      <c r="CI1469" s="31"/>
    </row>
    <row r="1470" spans="87:87">
      <c r="CI1470" s="31"/>
    </row>
    <row r="1471" spans="87:87">
      <c r="CI1471" s="31"/>
    </row>
    <row r="1472" spans="87:87">
      <c r="CI1472" s="31"/>
    </row>
    <row r="1473" spans="87:87">
      <c r="CI1473" s="31"/>
    </row>
    <row r="1474" spans="87:87">
      <c r="CI1474" s="31"/>
    </row>
    <row r="1475" spans="87:87">
      <c r="CI1475" s="31"/>
    </row>
    <row r="1476" spans="87:87">
      <c r="CI1476" s="31"/>
    </row>
    <row r="1477" spans="87:87">
      <c r="CI1477" s="31"/>
    </row>
    <row r="1478" spans="87:87">
      <c r="CI1478" s="31"/>
    </row>
    <row r="1479" spans="87:87">
      <c r="CI1479" s="31"/>
    </row>
    <row r="1480" spans="87:87">
      <c r="CI1480" s="31"/>
    </row>
    <row r="1481" spans="87:87">
      <c r="CI1481" s="31"/>
    </row>
    <row r="1482" spans="87:87">
      <c r="CI1482" s="31"/>
    </row>
    <row r="1483" spans="87:87">
      <c r="CI1483" s="31"/>
    </row>
    <row r="1484" spans="87:87">
      <c r="CI1484" s="31"/>
    </row>
    <row r="1485" spans="87:87">
      <c r="CI1485" s="31"/>
    </row>
    <row r="1486" spans="87:87">
      <c r="CI1486" s="31"/>
    </row>
    <row r="1487" spans="87:87">
      <c r="CI1487" s="31"/>
    </row>
    <row r="1488" spans="87:87">
      <c r="CI1488" s="31"/>
    </row>
    <row r="1489" spans="87:87">
      <c r="CI1489" s="31"/>
    </row>
    <row r="1490" spans="87:87">
      <c r="CI1490" s="31"/>
    </row>
    <row r="1491" spans="87:87">
      <c r="CI1491" s="31"/>
    </row>
    <row r="1492" spans="87:87">
      <c r="CI1492" s="31"/>
    </row>
    <row r="1493" spans="87:87">
      <c r="CI1493" s="31"/>
    </row>
    <row r="1494" spans="87:87">
      <c r="CI1494" s="31"/>
    </row>
    <row r="1495" spans="87:87">
      <c r="CI1495" s="31"/>
    </row>
    <row r="1496" spans="87:87">
      <c r="CI1496" s="31"/>
    </row>
    <row r="1497" spans="87:87">
      <c r="CI1497" s="31"/>
    </row>
    <row r="1498" spans="87:87">
      <c r="CI1498" s="31"/>
    </row>
    <row r="1499" spans="87:87">
      <c r="CI1499" s="31"/>
    </row>
    <row r="1500" spans="87:87">
      <c r="CI1500" s="31"/>
    </row>
    <row r="1501" spans="87:87">
      <c r="CI1501" s="31"/>
    </row>
    <row r="1502" spans="87:87">
      <c r="CI1502" s="31"/>
    </row>
    <row r="1503" spans="87:87">
      <c r="CI1503" s="31"/>
    </row>
    <row r="1504" spans="87:87">
      <c r="CI1504" s="31"/>
    </row>
    <row r="1505" spans="87:87">
      <c r="CI1505" s="31"/>
    </row>
    <row r="1506" spans="87:87">
      <c r="CI1506" s="31"/>
    </row>
    <row r="1507" spans="87:87">
      <c r="CI1507" s="31"/>
    </row>
    <row r="1508" spans="87:87">
      <c r="CI1508" s="31"/>
    </row>
    <row r="1509" spans="87:87">
      <c r="CI1509" s="31"/>
    </row>
    <row r="1510" spans="87:87">
      <c r="CI1510" s="31"/>
    </row>
    <row r="1511" spans="87:87">
      <c r="CI1511" s="31"/>
    </row>
    <row r="1512" spans="87:87">
      <c r="CI1512" s="31"/>
    </row>
    <row r="1513" spans="87:87">
      <c r="CI1513" s="31"/>
    </row>
    <row r="1514" spans="87:87">
      <c r="CI1514" s="31"/>
    </row>
    <row r="1515" spans="87:87">
      <c r="CI1515" s="31"/>
    </row>
    <row r="1516" spans="87:87">
      <c r="CI1516" s="31"/>
    </row>
    <row r="1517" spans="87:87">
      <c r="CI1517" s="31"/>
    </row>
    <row r="1518" spans="87:87">
      <c r="CI1518" s="31"/>
    </row>
    <row r="1519" spans="87:87">
      <c r="CI1519" s="31"/>
    </row>
    <row r="1520" spans="87:87">
      <c r="CI1520" s="31"/>
    </row>
    <row r="1521" spans="87:87">
      <c r="CI1521" s="31"/>
    </row>
    <row r="1522" spans="87:87">
      <c r="CI1522" s="31"/>
    </row>
    <row r="1523" spans="87:87">
      <c r="CI1523" s="31"/>
    </row>
    <row r="1524" spans="87:87">
      <c r="CI1524" s="31"/>
    </row>
    <row r="1525" spans="87:87">
      <c r="CI1525" s="31"/>
    </row>
    <row r="1526" spans="87:87">
      <c r="CI1526" s="31"/>
    </row>
    <row r="1527" spans="87:87">
      <c r="CI1527" s="31"/>
    </row>
    <row r="1528" spans="87:87">
      <c r="CI1528" s="31"/>
    </row>
    <row r="1529" spans="87:87">
      <c r="CI1529" s="31"/>
    </row>
    <row r="1530" spans="87:87">
      <c r="CI1530" s="31"/>
    </row>
    <row r="1531" spans="87:87">
      <c r="CI1531" s="31"/>
    </row>
    <row r="1532" spans="87:87">
      <c r="CI1532" s="31"/>
    </row>
    <row r="1533" spans="87:87">
      <c r="CI1533" s="31"/>
    </row>
    <row r="1534" spans="87:87">
      <c r="CI1534" s="31"/>
    </row>
    <row r="1535" spans="87:87">
      <c r="CI1535" s="31"/>
    </row>
    <row r="1536" spans="87:87">
      <c r="CI1536" s="31"/>
    </row>
    <row r="1537" spans="87:87">
      <c r="CI1537" s="31"/>
    </row>
    <row r="1538" spans="87:87">
      <c r="CI1538" s="31"/>
    </row>
    <row r="1539" spans="87:87">
      <c r="CI1539" s="31"/>
    </row>
    <row r="1540" spans="87:87">
      <c r="CI1540" s="31"/>
    </row>
    <row r="1541" spans="87:87">
      <c r="CI1541" s="31"/>
    </row>
    <row r="1542" spans="87:87">
      <c r="CI1542" s="31"/>
    </row>
    <row r="1543" spans="87:87">
      <c r="CI1543" s="31"/>
    </row>
    <row r="1544" spans="87:87">
      <c r="CI1544" s="31"/>
    </row>
    <row r="1545" spans="87:87">
      <c r="CI1545" s="31"/>
    </row>
    <row r="1546" spans="87:87">
      <c r="CI1546" s="31"/>
    </row>
    <row r="1547" spans="87:87">
      <c r="CI1547" s="31"/>
    </row>
    <row r="1548" spans="87:87">
      <c r="CI1548" s="31"/>
    </row>
    <row r="1549" spans="87:87">
      <c r="CI1549" s="31"/>
    </row>
    <row r="1550" spans="87:87">
      <c r="CI1550" s="31"/>
    </row>
    <row r="1551" spans="87:87">
      <c r="CI1551" s="31"/>
    </row>
    <row r="1552" spans="87:87">
      <c r="CI1552" s="31"/>
    </row>
    <row r="1553" spans="87:87">
      <c r="CI1553" s="31"/>
    </row>
    <row r="1554" spans="87:87">
      <c r="CI1554" s="31"/>
    </row>
    <row r="1555" spans="87:87">
      <c r="CI1555" s="31"/>
    </row>
    <row r="1556" spans="87:87">
      <c r="CI1556" s="31"/>
    </row>
    <row r="1557" spans="87:87">
      <c r="CI1557" s="31"/>
    </row>
    <row r="1558" spans="87:87">
      <c r="CI1558" s="31"/>
    </row>
    <row r="1559" spans="87:87">
      <c r="CI1559" s="31"/>
    </row>
    <row r="1560" spans="87:87">
      <c r="CI1560" s="31"/>
    </row>
    <row r="1561" spans="87:87">
      <c r="CI1561" s="31"/>
    </row>
    <row r="1562" spans="87:87">
      <c r="CI1562" s="31"/>
    </row>
    <row r="1563" spans="87:87">
      <c r="CI1563" s="31"/>
    </row>
    <row r="1564" spans="87:87">
      <c r="CI1564" s="31"/>
    </row>
    <row r="1565" spans="87:87">
      <c r="CI1565" s="31"/>
    </row>
    <row r="1566" spans="87:87">
      <c r="CI1566" s="31"/>
    </row>
    <row r="1567" spans="87:87">
      <c r="CI1567" s="31"/>
    </row>
    <row r="1568" spans="87:87">
      <c r="CI1568" s="31"/>
    </row>
    <row r="1569" spans="87:87">
      <c r="CI1569" s="31"/>
    </row>
    <row r="1570" spans="87:87">
      <c r="CI1570" s="31"/>
    </row>
    <row r="1571" spans="87:87">
      <c r="CI1571" s="31"/>
    </row>
    <row r="1572" spans="87:87">
      <c r="CI1572" s="31"/>
    </row>
    <row r="1573" spans="87:87">
      <c r="CI1573" s="31"/>
    </row>
    <row r="1574" spans="87:87">
      <c r="CI1574" s="31"/>
    </row>
    <row r="1575" spans="87:87">
      <c r="CI1575" s="31"/>
    </row>
    <row r="1576" spans="87:87">
      <c r="CI1576" s="31"/>
    </row>
    <row r="1577" spans="87:87">
      <c r="CI1577" s="31"/>
    </row>
    <row r="1578" spans="87:87">
      <c r="CI1578" s="31"/>
    </row>
    <row r="1579" spans="87:87">
      <c r="CI1579" s="31"/>
    </row>
    <row r="1580" spans="87:87">
      <c r="CI1580" s="31"/>
    </row>
    <row r="1581" spans="87:87">
      <c r="CI1581" s="31"/>
    </row>
    <row r="1582" spans="87:87">
      <c r="CI1582" s="31"/>
    </row>
    <row r="1583" spans="87:87">
      <c r="CI1583" s="31"/>
    </row>
    <row r="1584" spans="87:87">
      <c r="CI1584" s="31"/>
    </row>
    <row r="1585" spans="87:87">
      <c r="CI1585" s="31"/>
    </row>
    <row r="1586" spans="87:87">
      <c r="CI1586" s="31"/>
    </row>
    <row r="1587" spans="87:87">
      <c r="CI1587" s="31"/>
    </row>
    <row r="1588" spans="87:87">
      <c r="CI1588" s="31"/>
    </row>
    <row r="1589" spans="87:87">
      <c r="CI1589" s="31"/>
    </row>
    <row r="1590" spans="87:87">
      <c r="CI1590" s="31"/>
    </row>
    <row r="1591" spans="87:87">
      <c r="CI1591" s="31"/>
    </row>
    <row r="1592" spans="87:87">
      <c r="CI1592" s="31"/>
    </row>
    <row r="1593" spans="87:87">
      <c r="CI1593" s="31"/>
    </row>
    <row r="1594" spans="87:87">
      <c r="CI1594" s="31"/>
    </row>
    <row r="1595" spans="87:87">
      <c r="CI1595" s="31"/>
    </row>
    <row r="1596" spans="87:87">
      <c r="CI1596" s="31"/>
    </row>
    <row r="1597" spans="87:87">
      <c r="CI1597" s="31"/>
    </row>
    <row r="1598" spans="87:87">
      <c r="CI1598" s="31"/>
    </row>
    <row r="1599" spans="87:87">
      <c r="CI1599" s="31"/>
    </row>
    <row r="1600" spans="87:87">
      <c r="CI1600" s="31"/>
    </row>
    <row r="1601" spans="87:87">
      <c r="CI1601" s="31"/>
    </row>
    <row r="1602" spans="87:87">
      <c r="CI1602" s="31"/>
    </row>
    <row r="1603" spans="87:87">
      <c r="CI1603" s="31"/>
    </row>
    <row r="1604" spans="87:87">
      <c r="CI1604" s="31"/>
    </row>
    <row r="1605" spans="87:87">
      <c r="CI1605" s="31"/>
    </row>
    <row r="1606" spans="87:87">
      <c r="CI1606" s="31"/>
    </row>
    <row r="1607" spans="87:87">
      <c r="CI1607" s="31"/>
    </row>
    <row r="1608" spans="87:87">
      <c r="CI1608" s="31"/>
    </row>
    <row r="1609" spans="87:87">
      <c r="CI1609" s="31"/>
    </row>
    <row r="1610" spans="87:87">
      <c r="CI1610" s="31"/>
    </row>
    <row r="1611" spans="87:87">
      <c r="CI1611" s="31"/>
    </row>
    <row r="1612" spans="87:87">
      <c r="CI1612" s="31"/>
    </row>
    <row r="1613" spans="87:87">
      <c r="CI1613" s="31"/>
    </row>
    <row r="1614" spans="87:87">
      <c r="CI1614" s="31"/>
    </row>
    <row r="1615" spans="87:87">
      <c r="CI1615" s="31"/>
    </row>
    <row r="1616" spans="87:87">
      <c r="CI1616" s="31"/>
    </row>
    <row r="1617" spans="87:87">
      <c r="CI1617" s="31"/>
    </row>
    <row r="1618" spans="87:87">
      <c r="CI1618" s="31"/>
    </row>
    <row r="1619" spans="87:87">
      <c r="CI1619" s="31"/>
    </row>
    <row r="1620" spans="87:87">
      <c r="CI1620" s="31"/>
    </row>
    <row r="1621" spans="87:87">
      <c r="CI1621" s="31"/>
    </row>
    <row r="1622" spans="87:87">
      <c r="CI1622" s="31"/>
    </row>
    <row r="1623" spans="87:87">
      <c r="CI1623" s="31"/>
    </row>
    <row r="1624" spans="87:87">
      <c r="CI1624" s="31"/>
    </row>
    <row r="1625" spans="87:87">
      <c r="CI1625" s="31"/>
    </row>
    <row r="1626" spans="87:87">
      <c r="CI1626" s="31"/>
    </row>
    <row r="1627" spans="87:87">
      <c r="CI1627" s="31"/>
    </row>
    <row r="1628" spans="87:87">
      <c r="CI1628" s="31"/>
    </row>
    <row r="1629" spans="87:87">
      <c r="CI1629" s="31"/>
    </row>
    <row r="1630" spans="87:87">
      <c r="CI1630" s="31"/>
    </row>
    <row r="1631" spans="87:87">
      <c r="CI1631" s="31"/>
    </row>
    <row r="1632" spans="87:87">
      <c r="CI1632" s="31"/>
    </row>
    <row r="1633" spans="87:87">
      <c r="CI1633" s="31"/>
    </row>
    <row r="1634" spans="87:87">
      <c r="CI1634" s="31"/>
    </row>
    <row r="1635" spans="87:87">
      <c r="CI1635" s="31"/>
    </row>
    <row r="1636" spans="87:87">
      <c r="CI1636" s="31"/>
    </row>
    <row r="1637" spans="87:87">
      <c r="CI1637" s="31"/>
    </row>
    <row r="1638" spans="87:87">
      <c r="CI1638" s="31"/>
    </row>
    <row r="1639" spans="87:87">
      <c r="CI1639" s="31"/>
    </row>
    <row r="1640" spans="87:87">
      <c r="CI1640" s="31"/>
    </row>
    <row r="1641" spans="87:87">
      <c r="CI1641" s="31"/>
    </row>
    <row r="1642" spans="87:87">
      <c r="CI1642" s="31"/>
    </row>
    <row r="1643" spans="87:87">
      <c r="CI1643" s="31"/>
    </row>
    <row r="1644" spans="87:87">
      <c r="CI1644" s="31"/>
    </row>
    <row r="1645" spans="87:87">
      <c r="CI1645" s="31"/>
    </row>
    <row r="1646" spans="87:87">
      <c r="CI1646" s="31"/>
    </row>
    <row r="1647" spans="87:87">
      <c r="CI1647" s="31"/>
    </row>
    <row r="1648" spans="87:87">
      <c r="CI1648" s="31"/>
    </row>
    <row r="1649" spans="87:87">
      <c r="CI1649" s="31"/>
    </row>
    <row r="1650" spans="87:87">
      <c r="CI1650" s="31"/>
    </row>
    <row r="1651" spans="87:87">
      <c r="CI1651" s="31"/>
    </row>
    <row r="1652" spans="87:87">
      <c r="CI1652" s="31"/>
    </row>
    <row r="1653" spans="87:87">
      <c r="CI1653" s="31"/>
    </row>
    <row r="1654" spans="87:87">
      <c r="CI1654" s="31"/>
    </row>
    <row r="1655" spans="87:87">
      <c r="CI1655" s="31"/>
    </row>
    <row r="1656" spans="87:87">
      <c r="CI1656" s="31"/>
    </row>
    <row r="1657" spans="87:87">
      <c r="CI1657" s="31"/>
    </row>
    <row r="1658" spans="87:87">
      <c r="CI1658" s="31"/>
    </row>
    <row r="1659" spans="87:87">
      <c r="CI1659" s="31"/>
    </row>
    <row r="1660" spans="87:87">
      <c r="CI1660" s="31"/>
    </row>
    <row r="1661" spans="87:87">
      <c r="CI1661" s="31"/>
    </row>
    <row r="1662" spans="87:87">
      <c r="CI1662" s="31"/>
    </row>
    <row r="1663" spans="87:87">
      <c r="CI1663" s="31"/>
    </row>
    <row r="1664" spans="87:87">
      <c r="CI1664" s="31"/>
    </row>
    <row r="1665" spans="87:87">
      <c r="CI1665" s="31"/>
    </row>
    <row r="1666" spans="87:87">
      <c r="CI1666" s="31"/>
    </row>
    <row r="1667" spans="87:87">
      <c r="CI1667" s="31"/>
    </row>
    <row r="1668" spans="87:87">
      <c r="CI1668" s="31"/>
    </row>
    <row r="1669" spans="87:87">
      <c r="CI1669" s="31"/>
    </row>
    <row r="1670" spans="87:87">
      <c r="CI1670" s="31"/>
    </row>
    <row r="1671" spans="87:87">
      <c r="CI1671" s="31"/>
    </row>
    <row r="1672" spans="87:87">
      <c r="CI1672" s="31"/>
    </row>
    <row r="1673" spans="87:87">
      <c r="CI1673" s="31"/>
    </row>
    <row r="1674" spans="87:87">
      <c r="CI1674" s="31"/>
    </row>
    <row r="1675" spans="87:87">
      <c r="CI1675" s="31"/>
    </row>
    <row r="1676" spans="87:87">
      <c r="CI1676" s="31"/>
    </row>
    <row r="1677" spans="87:87">
      <c r="CI1677" s="31"/>
    </row>
    <row r="1678" spans="87:87">
      <c r="CI1678" s="31"/>
    </row>
    <row r="1679" spans="87:87">
      <c r="CI1679" s="31"/>
    </row>
    <row r="1680" spans="87:87">
      <c r="CI1680" s="31"/>
    </row>
    <row r="1681" spans="87:87">
      <c r="CI1681" s="31"/>
    </row>
    <row r="1682" spans="87:87">
      <c r="CI1682" s="31"/>
    </row>
    <row r="1683" spans="87:87">
      <c r="CI1683" s="31"/>
    </row>
    <row r="1684" spans="87:87">
      <c r="CI1684" s="31"/>
    </row>
    <row r="1685" spans="87:87">
      <c r="CI1685" s="31"/>
    </row>
    <row r="1686" spans="87:87">
      <c r="CI1686" s="31"/>
    </row>
    <row r="1687" spans="87:87">
      <c r="CI1687" s="31"/>
    </row>
    <row r="1688" spans="87:87">
      <c r="CI1688" s="31"/>
    </row>
    <row r="1689" spans="87:87">
      <c r="CI1689" s="31"/>
    </row>
    <row r="1690" spans="87:87">
      <c r="CI1690" s="31"/>
    </row>
    <row r="1691" spans="87:87">
      <c r="CI1691" s="31"/>
    </row>
    <row r="1692" spans="87:87">
      <c r="CI1692" s="31"/>
    </row>
    <row r="1693" spans="87:87">
      <c r="CI1693" s="31"/>
    </row>
    <row r="1694" spans="87:87">
      <c r="CI1694" s="31"/>
    </row>
    <row r="1695" spans="87:87">
      <c r="CI1695" s="31"/>
    </row>
    <row r="1696" spans="87:87">
      <c r="CI1696" s="31"/>
    </row>
    <row r="1697" spans="87:87">
      <c r="CI1697" s="31"/>
    </row>
    <row r="1698" spans="87:87">
      <c r="CI1698" s="31"/>
    </row>
    <row r="1699" spans="87:87">
      <c r="CI1699" s="31"/>
    </row>
    <row r="1700" spans="87:87">
      <c r="CI1700" s="31"/>
    </row>
    <row r="1701" spans="87:87">
      <c r="CI1701" s="31"/>
    </row>
    <row r="1702" spans="87:87">
      <c r="CI1702" s="31"/>
    </row>
    <row r="1703" spans="87:87">
      <c r="CI1703" s="31"/>
    </row>
    <row r="1704" spans="87:87">
      <c r="CI1704" s="31"/>
    </row>
    <row r="1705" spans="87:87">
      <c r="CI1705" s="31"/>
    </row>
    <row r="1706" spans="87:87">
      <c r="CI1706" s="31"/>
    </row>
    <row r="1707" spans="87:87">
      <c r="CI1707" s="31"/>
    </row>
    <row r="1708" spans="87:87">
      <c r="CI1708" s="31"/>
    </row>
    <row r="1709" spans="87:87">
      <c r="CI1709" s="31"/>
    </row>
    <row r="1710" spans="87:87">
      <c r="CI1710" s="31"/>
    </row>
    <row r="1711" spans="87:87">
      <c r="CI1711" s="31"/>
    </row>
    <row r="1712" spans="87:87">
      <c r="CI1712" s="31"/>
    </row>
    <row r="1713" spans="87:87">
      <c r="CI1713" s="31"/>
    </row>
    <row r="1714" spans="87:87">
      <c r="CI1714" s="31"/>
    </row>
    <row r="1715" spans="87:87">
      <c r="CI1715" s="31"/>
    </row>
    <row r="1716" spans="87:87">
      <c r="CI1716" s="31"/>
    </row>
    <row r="1717" spans="87:87">
      <c r="CI1717" s="31"/>
    </row>
    <row r="1718" spans="87:87">
      <c r="CI1718" s="31"/>
    </row>
    <row r="1719" spans="87:87">
      <c r="CI1719" s="31"/>
    </row>
    <row r="1720" spans="87:87">
      <c r="CI1720" s="31"/>
    </row>
    <row r="1721" spans="87:87">
      <c r="CI1721" s="31"/>
    </row>
    <row r="1722" spans="87:87">
      <c r="CI1722" s="31"/>
    </row>
    <row r="1723" spans="87:87">
      <c r="CI1723" s="31"/>
    </row>
    <row r="1724" spans="87:87">
      <c r="CI1724" s="31"/>
    </row>
    <row r="1725" spans="87:87">
      <c r="CI1725" s="31"/>
    </row>
    <row r="1726" spans="87:87">
      <c r="CI1726" s="31"/>
    </row>
    <row r="1727" spans="87:87">
      <c r="CI1727" s="31"/>
    </row>
    <row r="1728" spans="87:87">
      <c r="CI1728" s="31"/>
    </row>
    <row r="1729" spans="87:87">
      <c r="CI1729" s="31"/>
    </row>
    <row r="1730" spans="87:87">
      <c r="CI1730" s="31"/>
    </row>
    <row r="1731" spans="87:87">
      <c r="CI1731" s="31"/>
    </row>
    <row r="1732" spans="87:87">
      <c r="CI1732" s="31"/>
    </row>
    <row r="1733" spans="87:87">
      <c r="CI1733" s="31"/>
    </row>
    <row r="1734" spans="87:87">
      <c r="CI1734" s="31"/>
    </row>
    <row r="1735" spans="87:87">
      <c r="CI1735" s="31"/>
    </row>
    <row r="1736" spans="87:87">
      <c r="CI1736" s="31"/>
    </row>
    <row r="1737" spans="87:87">
      <c r="CI1737" s="31"/>
    </row>
    <row r="1738" spans="87:87">
      <c r="CI1738" s="31"/>
    </row>
    <row r="1739" spans="87:87">
      <c r="CI1739" s="31"/>
    </row>
    <row r="1740" spans="87:87">
      <c r="CI1740" s="31"/>
    </row>
    <row r="1741" spans="87:87">
      <c r="CI1741" s="31"/>
    </row>
    <row r="1742" spans="87:87">
      <c r="CI1742" s="31"/>
    </row>
    <row r="1743" spans="87:87">
      <c r="CI1743" s="31"/>
    </row>
    <row r="1744" spans="87:87">
      <c r="CI1744" s="31"/>
    </row>
    <row r="1745" spans="87:87">
      <c r="CI1745" s="31"/>
    </row>
    <row r="1746" spans="87:87">
      <c r="CI1746" s="31"/>
    </row>
    <row r="1747" spans="87:87">
      <c r="CI1747" s="31"/>
    </row>
    <row r="1748" spans="87:87">
      <c r="CI1748" s="31"/>
    </row>
    <row r="1749" spans="87:87">
      <c r="CI1749" s="31"/>
    </row>
    <row r="1750" spans="87:87">
      <c r="CI1750" s="31"/>
    </row>
    <row r="1751" spans="87:87">
      <c r="CI1751" s="31"/>
    </row>
    <row r="1752" spans="87:87">
      <c r="CI1752" s="31"/>
    </row>
    <row r="1753" spans="87:87">
      <c r="CI1753" s="31"/>
    </row>
    <row r="1754" spans="87:87">
      <c r="CI1754" s="31"/>
    </row>
    <row r="1755" spans="87:87">
      <c r="CI1755" s="31"/>
    </row>
    <row r="1756" spans="87:87">
      <c r="CI1756" s="31"/>
    </row>
    <row r="1757" spans="87:87">
      <c r="CI1757" s="31"/>
    </row>
    <row r="1758" spans="87:87">
      <c r="CI1758" s="31"/>
    </row>
    <row r="1759" spans="87:87">
      <c r="CI1759" s="31"/>
    </row>
    <row r="1760" spans="87:87">
      <c r="CI1760" s="31"/>
    </row>
    <row r="1761" spans="87:87">
      <c r="CI1761" s="31"/>
    </row>
    <row r="1762" spans="87:87">
      <c r="CI1762" s="31"/>
    </row>
    <row r="1763" spans="87:87">
      <c r="CI1763" s="31"/>
    </row>
    <row r="1764" spans="87:87">
      <c r="CI1764" s="31"/>
    </row>
    <row r="1765" spans="87:87">
      <c r="CI1765" s="31"/>
    </row>
    <row r="1766" spans="87:87">
      <c r="CI1766" s="31"/>
    </row>
    <row r="1767" spans="87:87">
      <c r="CI1767" s="31"/>
    </row>
    <row r="1768" spans="87:87">
      <c r="CI1768" s="31"/>
    </row>
    <row r="1769" spans="87:87">
      <c r="CI1769" s="31"/>
    </row>
    <row r="1770" spans="87:87">
      <c r="CI1770" s="31"/>
    </row>
    <row r="1771" spans="87:87">
      <c r="CI1771" s="31"/>
    </row>
    <row r="1772" spans="87:87">
      <c r="CI1772" s="31"/>
    </row>
    <row r="1773" spans="87:87">
      <c r="CI1773" s="31"/>
    </row>
    <row r="1774" spans="87:87">
      <c r="CI1774" s="31"/>
    </row>
    <row r="1775" spans="87:87">
      <c r="CI1775" s="31"/>
    </row>
    <row r="1776" spans="87:87">
      <c r="CI1776" s="31"/>
    </row>
    <row r="1777" spans="87:87">
      <c r="CI1777" s="31"/>
    </row>
    <row r="1778" spans="87:87">
      <c r="CI1778" s="31"/>
    </row>
    <row r="1779" spans="87:87">
      <c r="CI1779" s="31"/>
    </row>
    <row r="1780" spans="87:87">
      <c r="CI1780" s="31"/>
    </row>
    <row r="1781" spans="87:87">
      <c r="CI1781" s="31"/>
    </row>
    <row r="1782" spans="87:87">
      <c r="CI1782" s="31"/>
    </row>
    <row r="1783" spans="87:87">
      <c r="CI1783" s="31"/>
    </row>
    <row r="1784" spans="87:87">
      <c r="CI1784" s="31"/>
    </row>
    <row r="1785" spans="87:87">
      <c r="CI1785" s="31"/>
    </row>
    <row r="1786" spans="87:87">
      <c r="CI1786" s="31"/>
    </row>
    <row r="1787" spans="87:87">
      <c r="CI1787" s="31"/>
    </row>
    <row r="1788" spans="87:87">
      <c r="CI1788" s="31"/>
    </row>
    <row r="1789" spans="87:87">
      <c r="CI1789" s="31"/>
    </row>
    <row r="1790" spans="87:87">
      <c r="CI1790" s="31"/>
    </row>
    <row r="1791" spans="87:87">
      <c r="CI1791" s="31"/>
    </row>
    <row r="1792" spans="87:87">
      <c r="CI1792" s="31"/>
    </row>
    <row r="1793" spans="87:87">
      <c r="CI1793" s="31"/>
    </row>
    <row r="1794" spans="87:87">
      <c r="CI1794" s="31"/>
    </row>
    <row r="1795" spans="87:87">
      <c r="CI1795" s="31"/>
    </row>
    <row r="1796" spans="87:87">
      <c r="CI1796" s="31"/>
    </row>
    <row r="1797" spans="87:87">
      <c r="CI1797" s="31"/>
    </row>
    <row r="1798" spans="87:87">
      <c r="CI1798" s="31"/>
    </row>
    <row r="1799" spans="87:87">
      <c r="CI1799" s="31"/>
    </row>
    <row r="1800" spans="87:87">
      <c r="CI1800" s="31"/>
    </row>
    <row r="1801" spans="87:87">
      <c r="CI1801" s="31"/>
    </row>
    <row r="1802" spans="87:87">
      <c r="CI1802" s="31"/>
    </row>
    <row r="1803" spans="87:87">
      <c r="CI1803" s="31"/>
    </row>
    <row r="1804" spans="87:87">
      <c r="CI1804" s="31"/>
    </row>
    <row r="1805" spans="87:87">
      <c r="CI1805" s="31"/>
    </row>
    <row r="1806" spans="87:87">
      <c r="CI1806" s="31"/>
    </row>
    <row r="1807" spans="87:87">
      <c r="CI1807" s="31"/>
    </row>
    <row r="1808" spans="87:87">
      <c r="CI1808" s="31"/>
    </row>
    <row r="1809" spans="87:87">
      <c r="CI1809" s="31"/>
    </row>
    <row r="1810" spans="87:87">
      <c r="CI1810" s="31"/>
    </row>
    <row r="1811" spans="87:87">
      <c r="CI1811" s="31"/>
    </row>
    <row r="1812" spans="87:87">
      <c r="CI1812" s="31"/>
    </row>
    <row r="1813" spans="87:87">
      <c r="CI1813" s="31"/>
    </row>
    <row r="1814" spans="87:87">
      <c r="CI1814" s="31"/>
    </row>
    <row r="1815" spans="87:87">
      <c r="CI1815" s="31"/>
    </row>
    <row r="1816" spans="87:87">
      <c r="CI1816" s="31"/>
    </row>
    <row r="1817" spans="87:87">
      <c r="CI1817" s="31"/>
    </row>
    <row r="1818" spans="87:87">
      <c r="CI1818" s="31"/>
    </row>
    <row r="1819" spans="87:87">
      <c r="CI1819" s="31"/>
    </row>
    <row r="1820" spans="87:87">
      <c r="CI1820" s="31"/>
    </row>
    <row r="1821" spans="87:87">
      <c r="CI1821" s="31"/>
    </row>
    <row r="1822" spans="87:87">
      <c r="CI1822" s="31"/>
    </row>
    <row r="1823" spans="87:87">
      <c r="CI1823" s="31"/>
    </row>
    <row r="1824" spans="87:87">
      <c r="CI1824" s="31"/>
    </row>
    <row r="1825" spans="87:87">
      <c r="CI1825" s="31"/>
    </row>
    <row r="1826" spans="87:87">
      <c r="CI1826" s="31"/>
    </row>
    <row r="1827" spans="87:87">
      <c r="CI1827" s="31"/>
    </row>
    <row r="1828" spans="87:87">
      <c r="CI1828" s="31"/>
    </row>
    <row r="1829" spans="87:87">
      <c r="CI1829" s="31"/>
    </row>
    <row r="1830" spans="87:87">
      <c r="CI1830" s="31"/>
    </row>
    <row r="1831" spans="87:87">
      <c r="CI1831" s="31"/>
    </row>
    <row r="1832" spans="87:87">
      <c r="CI1832" s="31"/>
    </row>
    <row r="1833" spans="87:87">
      <c r="CI1833" s="31"/>
    </row>
    <row r="1834" spans="87:87">
      <c r="CI1834" s="31"/>
    </row>
    <row r="1835" spans="87:87">
      <c r="CI1835" s="31"/>
    </row>
    <row r="1836" spans="87:87">
      <c r="CI1836" s="31"/>
    </row>
    <row r="1837" spans="87:87">
      <c r="CI1837" s="31"/>
    </row>
    <row r="1838" spans="87:87">
      <c r="CI1838" s="31"/>
    </row>
    <row r="1839" spans="87:87">
      <c r="CI1839" s="31"/>
    </row>
    <row r="1840" spans="87:87">
      <c r="CI1840" s="31"/>
    </row>
    <row r="1841" spans="87:87">
      <c r="CI1841" s="31"/>
    </row>
    <row r="1842" spans="87:87">
      <c r="CI1842" s="31"/>
    </row>
    <row r="1843" spans="87:87">
      <c r="CI1843" s="31"/>
    </row>
    <row r="1844" spans="87:87">
      <c r="CI1844" s="31"/>
    </row>
    <row r="1845" spans="87:87">
      <c r="CI1845" s="31"/>
    </row>
    <row r="1846" spans="87:87">
      <c r="CI1846" s="31"/>
    </row>
    <row r="1847" spans="87:87">
      <c r="CI1847" s="31"/>
    </row>
    <row r="1848" spans="87:87">
      <c r="CI1848" s="31"/>
    </row>
    <row r="1849" spans="87:87">
      <c r="CI1849" s="31"/>
    </row>
    <row r="1850" spans="87:87">
      <c r="CI1850" s="31"/>
    </row>
    <row r="1851" spans="87:87">
      <c r="CI1851" s="31"/>
    </row>
    <row r="1852" spans="87:87">
      <c r="CI1852" s="31"/>
    </row>
    <row r="1853" spans="87:87">
      <c r="CI1853" s="31"/>
    </row>
    <row r="1854" spans="87:87">
      <c r="CI1854" s="31"/>
    </row>
    <row r="1855" spans="87:87">
      <c r="CI1855" s="31"/>
    </row>
    <row r="1856" spans="87:87">
      <c r="CI1856" s="31"/>
    </row>
    <row r="1857" spans="87:87">
      <c r="CI1857" s="31"/>
    </row>
    <row r="1858" spans="87:87">
      <c r="CI1858" s="31"/>
    </row>
    <row r="1859" spans="87:87">
      <c r="CI1859" s="31"/>
    </row>
    <row r="1860" spans="87:87">
      <c r="CI1860" s="31"/>
    </row>
    <row r="1861" spans="87:87">
      <c r="CI1861" s="31"/>
    </row>
    <row r="1862" spans="87:87">
      <c r="CI1862" s="31"/>
    </row>
    <row r="1863" spans="87:87">
      <c r="CI1863" s="31"/>
    </row>
    <row r="1864" spans="87:87">
      <c r="CI1864" s="31"/>
    </row>
    <row r="1865" spans="87:87">
      <c r="CI1865" s="31"/>
    </row>
    <row r="1866" spans="87:87">
      <c r="CI1866" s="31"/>
    </row>
    <row r="1867" spans="87:87">
      <c r="CI1867" s="31"/>
    </row>
    <row r="1868" spans="87:87">
      <c r="CI1868" s="31"/>
    </row>
    <row r="1869" spans="87:87">
      <c r="CI1869" s="31"/>
    </row>
    <row r="1870" spans="87:87">
      <c r="CI1870" s="31"/>
    </row>
    <row r="1871" spans="87:87">
      <c r="CI1871" s="31"/>
    </row>
    <row r="1872" spans="87:87">
      <c r="CI1872" s="31"/>
    </row>
    <row r="1873" spans="87:87">
      <c r="CI1873" s="31"/>
    </row>
    <row r="1874" spans="87:87">
      <c r="CI1874" s="31"/>
    </row>
    <row r="1875" spans="87:87">
      <c r="CI1875" s="31"/>
    </row>
    <row r="1876" spans="87:87">
      <c r="CI1876" s="31"/>
    </row>
    <row r="1877" spans="87:87">
      <c r="CI1877" s="31"/>
    </row>
    <row r="1878" spans="87:87">
      <c r="CI1878" s="31"/>
    </row>
    <row r="1879" spans="87:87">
      <c r="CI1879" s="31"/>
    </row>
    <row r="1880" spans="87:87">
      <c r="CI1880" s="31"/>
    </row>
    <row r="1881" spans="87:87">
      <c r="CI1881" s="31"/>
    </row>
    <row r="1882" spans="87:87">
      <c r="CI1882" s="31"/>
    </row>
    <row r="1883" spans="87:87">
      <c r="CI1883" s="31"/>
    </row>
    <row r="1884" spans="87:87">
      <c r="CI1884" s="31"/>
    </row>
    <row r="1885" spans="87:87">
      <c r="CI1885" s="31"/>
    </row>
    <row r="1886" spans="87:87">
      <c r="CI1886" s="31"/>
    </row>
    <row r="1887" spans="87:87">
      <c r="CI1887" s="31"/>
    </row>
    <row r="1888" spans="87:87">
      <c r="CI1888" s="31"/>
    </row>
    <row r="1889" spans="87:87">
      <c r="CI1889" s="31"/>
    </row>
    <row r="1890" spans="87:87">
      <c r="CI1890" s="31"/>
    </row>
    <row r="1891" spans="87:87">
      <c r="CI1891" s="31"/>
    </row>
    <row r="1892" spans="87:87">
      <c r="CI1892" s="31"/>
    </row>
    <row r="1893" spans="87:87">
      <c r="CI1893" s="31"/>
    </row>
    <row r="1894" spans="87:87">
      <c r="CI1894" s="31"/>
    </row>
    <row r="1895" spans="87:87">
      <c r="CI1895" s="31"/>
    </row>
    <row r="1896" spans="87:87">
      <c r="CI1896" s="31"/>
    </row>
    <row r="1897" spans="87:87">
      <c r="CI1897" s="31"/>
    </row>
    <row r="1898" spans="87:87">
      <c r="CI1898" s="31"/>
    </row>
    <row r="1899" spans="87:87">
      <c r="CI1899" s="31"/>
    </row>
    <row r="1900" spans="87:87">
      <c r="CI1900" s="31"/>
    </row>
    <row r="1901" spans="87:87">
      <c r="CI1901" s="31"/>
    </row>
    <row r="1902" spans="87:87">
      <c r="CI1902" s="31"/>
    </row>
    <row r="1903" spans="87:87">
      <c r="CI1903" s="31"/>
    </row>
    <row r="1904" spans="87:87">
      <c r="CI1904" s="31"/>
    </row>
    <row r="1905" spans="87:87">
      <c r="CI1905" s="31"/>
    </row>
    <row r="1906" spans="87:87">
      <c r="CI1906" s="31"/>
    </row>
    <row r="1907" spans="87:87">
      <c r="CI1907" s="31"/>
    </row>
    <row r="1908" spans="87:87">
      <c r="CI1908" s="31"/>
    </row>
    <row r="1909" spans="87:87">
      <c r="CI1909" s="31"/>
    </row>
    <row r="1910" spans="87:87">
      <c r="CI1910" s="31"/>
    </row>
    <row r="1911" spans="87:87">
      <c r="CI1911" s="31"/>
    </row>
    <row r="1912" spans="87:87">
      <c r="CI1912" s="31"/>
    </row>
    <row r="1913" spans="87:87">
      <c r="CI1913" s="31"/>
    </row>
    <row r="1914" spans="87:87">
      <c r="CI1914" s="31"/>
    </row>
    <row r="1915" spans="87:87">
      <c r="CI1915" s="31"/>
    </row>
    <row r="1916" spans="87:87">
      <c r="CI1916" s="31"/>
    </row>
    <row r="1917" spans="87:87">
      <c r="CI1917" s="31"/>
    </row>
    <row r="1918" spans="87:87">
      <c r="CI1918" s="31"/>
    </row>
    <row r="1919" spans="87:87">
      <c r="CI1919" s="31"/>
    </row>
    <row r="1920" spans="87:87">
      <c r="CI1920" s="31"/>
    </row>
    <row r="1921" spans="87:87">
      <c r="CI1921" s="31"/>
    </row>
    <row r="1922" spans="87:87">
      <c r="CI1922" s="31"/>
    </row>
    <row r="1923" spans="87:87">
      <c r="CI1923" s="31"/>
    </row>
    <row r="1924" spans="87:87">
      <c r="CI1924" s="31"/>
    </row>
    <row r="1925" spans="87:87">
      <c r="CI1925" s="31"/>
    </row>
    <row r="1926" spans="87:87">
      <c r="CI1926" s="31"/>
    </row>
    <row r="1927" spans="87:87">
      <c r="CI1927" s="31"/>
    </row>
    <row r="1928" spans="87:87">
      <c r="CI1928" s="31"/>
    </row>
    <row r="1929" spans="87:87">
      <c r="CI1929" s="31"/>
    </row>
    <row r="1930" spans="87:87">
      <c r="CI1930" s="31"/>
    </row>
    <row r="1931" spans="87:87">
      <c r="CI1931" s="31"/>
    </row>
    <row r="1932" spans="87:87">
      <c r="CI1932" s="31"/>
    </row>
    <row r="1933" spans="87:87">
      <c r="CI1933" s="31"/>
    </row>
    <row r="1934" spans="87:87">
      <c r="CI1934" s="31"/>
    </row>
    <row r="1935" spans="87:87">
      <c r="CI1935" s="31"/>
    </row>
    <row r="1936" spans="87:87">
      <c r="CI1936" s="31"/>
    </row>
    <row r="1937" spans="87:87">
      <c r="CI1937" s="31"/>
    </row>
    <row r="1938" spans="87:87">
      <c r="CI1938" s="31"/>
    </row>
    <row r="1939" spans="87:87">
      <c r="CI1939" s="31"/>
    </row>
    <row r="1940" spans="87:87">
      <c r="CI1940" s="31"/>
    </row>
    <row r="1941" spans="87:87">
      <c r="CI1941" s="31"/>
    </row>
    <row r="1942" spans="87:87">
      <c r="CI1942" s="31"/>
    </row>
    <row r="1943" spans="87:87">
      <c r="CI1943" s="31"/>
    </row>
    <row r="1944" spans="87:87">
      <c r="CI1944" s="31"/>
    </row>
    <row r="1945" spans="87:87">
      <c r="CI1945" s="31"/>
    </row>
    <row r="1946" spans="87:87">
      <c r="CI1946" s="31"/>
    </row>
    <row r="1947" spans="87:87">
      <c r="CI1947" s="31"/>
    </row>
    <row r="1948" spans="87:87">
      <c r="CI1948" s="31"/>
    </row>
    <row r="1949" spans="87:87">
      <c r="CI1949" s="31"/>
    </row>
    <row r="1950" spans="87:87">
      <c r="CI1950" s="31"/>
    </row>
    <row r="1951" spans="87:87">
      <c r="CI1951" s="31"/>
    </row>
    <row r="1952" spans="87:87">
      <c r="CI1952" s="31"/>
    </row>
    <row r="1953" spans="87:87">
      <c r="CI1953" s="31"/>
    </row>
    <row r="1954" spans="87:87">
      <c r="CI1954" s="31"/>
    </row>
    <row r="1955" spans="87:87">
      <c r="CI1955" s="31"/>
    </row>
    <row r="1956" spans="87:87">
      <c r="CI1956" s="31"/>
    </row>
    <row r="1957" spans="87:87">
      <c r="CI1957" s="31"/>
    </row>
    <row r="1958" spans="87:87">
      <c r="CI1958" s="31"/>
    </row>
    <row r="1959" spans="87:87">
      <c r="CI1959" s="31"/>
    </row>
    <row r="1960" spans="87:87">
      <c r="CI1960" s="31"/>
    </row>
    <row r="1961" spans="87:87">
      <c r="CI1961" s="31"/>
    </row>
    <row r="1962" spans="87:87">
      <c r="CI1962" s="31"/>
    </row>
    <row r="1963" spans="87:87">
      <c r="CI1963" s="31"/>
    </row>
    <row r="1964" spans="87:87">
      <c r="CI1964" s="31"/>
    </row>
    <row r="1965" spans="87:87">
      <c r="CI1965" s="31"/>
    </row>
    <row r="1966" spans="87:87">
      <c r="CI1966" s="31"/>
    </row>
    <row r="1967" spans="87:87">
      <c r="CI1967" s="31"/>
    </row>
    <row r="1968" spans="87:87">
      <c r="CI1968" s="31"/>
    </row>
    <row r="1969" spans="87:87">
      <c r="CI1969" s="31"/>
    </row>
    <row r="1970" spans="87:87">
      <c r="CI1970" s="31"/>
    </row>
    <row r="1971" spans="87:87">
      <c r="CI1971" s="31"/>
    </row>
    <row r="1972" spans="87:87">
      <c r="CI1972" s="31"/>
    </row>
    <row r="1973" spans="87:87">
      <c r="CI1973" s="31"/>
    </row>
    <row r="1974" spans="87:87">
      <c r="CI1974" s="31"/>
    </row>
    <row r="1975" spans="87:87">
      <c r="CI1975" s="31"/>
    </row>
    <row r="1976" spans="87:87">
      <c r="CI1976" s="31"/>
    </row>
    <row r="1977" spans="87:87">
      <c r="CI1977" s="31"/>
    </row>
    <row r="1978" spans="87:87">
      <c r="CI1978" s="31"/>
    </row>
    <row r="1979" spans="87:87">
      <c r="CI1979" s="31"/>
    </row>
    <row r="1980" spans="87:87">
      <c r="CI1980" s="31"/>
    </row>
    <row r="1981" spans="87:87">
      <c r="CI1981" s="31"/>
    </row>
    <row r="1982" spans="87:87">
      <c r="CI1982" s="31"/>
    </row>
    <row r="1983" spans="87:87">
      <c r="CI1983" s="31"/>
    </row>
    <row r="1984" spans="87:87">
      <c r="CI1984" s="31"/>
    </row>
    <row r="1985" spans="87:87">
      <c r="CI1985" s="31"/>
    </row>
    <row r="1986" spans="87:87">
      <c r="CI1986" s="31"/>
    </row>
    <row r="1987" spans="87:87">
      <c r="CI1987" s="31"/>
    </row>
    <row r="1988" spans="87:87">
      <c r="CI1988" s="31"/>
    </row>
    <row r="1989" spans="87:87">
      <c r="CI1989" s="31"/>
    </row>
    <row r="1990" spans="87:87">
      <c r="CI1990" s="31"/>
    </row>
    <row r="1991" spans="87:87">
      <c r="CI1991" s="31"/>
    </row>
    <row r="1992" spans="87:87">
      <c r="CI1992" s="31"/>
    </row>
    <row r="1993" spans="87:87">
      <c r="CI1993" s="31"/>
    </row>
    <row r="1994" spans="87:87">
      <c r="CI1994" s="31"/>
    </row>
    <row r="1995" spans="87:87">
      <c r="CI1995" s="31"/>
    </row>
    <row r="1996" spans="87:87">
      <c r="CI1996" s="31"/>
    </row>
    <row r="1997" spans="87:87">
      <c r="CI1997" s="31"/>
    </row>
    <row r="1998" spans="87:87">
      <c r="CI1998" s="31"/>
    </row>
    <row r="1999" spans="87:87">
      <c r="CI1999" s="31"/>
    </row>
    <row r="2000" spans="87:87">
      <c r="CI2000" s="31"/>
    </row>
    <row r="2001" spans="87:87">
      <c r="CI2001" s="31"/>
    </row>
    <row r="2002" spans="87:87">
      <c r="CI2002" s="31"/>
    </row>
    <row r="2003" spans="87:87">
      <c r="CI2003" s="31"/>
    </row>
    <row r="2004" spans="87:87">
      <c r="CI2004" s="31"/>
    </row>
    <row r="2005" spans="87:87">
      <c r="CI2005" s="31"/>
    </row>
    <row r="2006" spans="87:87">
      <c r="CI2006" s="31"/>
    </row>
    <row r="2007" spans="87:87">
      <c r="CI2007" s="31"/>
    </row>
    <row r="2008" spans="87:87">
      <c r="CI2008" s="31"/>
    </row>
    <row r="2009" spans="87:87">
      <c r="CI2009" s="31"/>
    </row>
    <row r="2010" spans="87:87">
      <c r="CI2010" s="31"/>
    </row>
    <row r="2011" spans="87:87">
      <c r="CI2011" s="31"/>
    </row>
    <row r="2012" spans="87:87">
      <c r="CI2012" s="31"/>
    </row>
    <row r="2013" spans="87:87">
      <c r="CI2013" s="31"/>
    </row>
    <row r="2014" spans="87:87">
      <c r="CI2014" s="31"/>
    </row>
    <row r="2015" spans="87:87">
      <c r="CI2015" s="31"/>
    </row>
    <row r="2016" spans="87:87">
      <c r="CI2016" s="31"/>
    </row>
    <row r="2017" spans="87:87">
      <c r="CI2017" s="31"/>
    </row>
    <row r="2018" spans="87:87">
      <c r="CI2018" s="31"/>
    </row>
    <row r="2019" spans="87:87">
      <c r="CI2019" s="31"/>
    </row>
    <row r="2020" spans="87:87">
      <c r="CI2020" s="31"/>
    </row>
    <row r="2021" spans="87:87">
      <c r="CI2021" s="31"/>
    </row>
    <row r="2022" spans="87:87">
      <c r="CI2022" s="31"/>
    </row>
    <row r="2023" spans="87:87">
      <c r="CI2023" s="31"/>
    </row>
    <row r="2024" spans="87:87">
      <c r="CI2024" s="31"/>
    </row>
    <row r="2025" spans="87:87">
      <c r="CI2025" s="31"/>
    </row>
    <row r="2026" spans="87:87">
      <c r="CI2026" s="31"/>
    </row>
    <row r="2027" spans="87:87">
      <c r="CI2027" s="31"/>
    </row>
    <row r="2028" spans="87:87">
      <c r="CI2028" s="31"/>
    </row>
    <row r="2029" spans="87:87">
      <c r="CI2029" s="31"/>
    </row>
    <row r="2030" spans="87:87">
      <c r="CI2030" s="31"/>
    </row>
    <row r="2031" spans="87:87">
      <c r="CI2031" s="31"/>
    </row>
    <row r="2032" spans="87:87">
      <c r="CI2032" s="31"/>
    </row>
    <row r="2033" spans="87:87">
      <c r="CI2033" s="31"/>
    </row>
    <row r="2034" spans="87:87">
      <c r="CI2034" s="31"/>
    </row>
    <row r="2035" spans="87:87">
      <c r="CI2035" s="31"/>
    </row>
    <row r="2036" spans="87:87">
      <c r="CI2036" s="31"/>
    </row>
    <row r="2037" spans="87:87">
      <c r="CI2037" s="31"/>
    </row>
    <row r="2038" spans="87:87">
      <c r="CI2038" s="31"/>
    </row>
    <row r="2039" spans="87:87">
      <c r="CI2039" s="31"/>
    </row>
    <row r="2040" spans="87:87">
      <c r="CI2040" s="31"/>
    </row>
    <row r="2041" spans="87:87">
      <c r="CI2041" s="31"/>
    </row>
    <row r="2042" spans="87:87">
      <c r="CI2042" s="31"/>
    </row>
    <row r="2043" spans="87:87">
      <c r="CI2043" s="31"/>
    </row>
    <row r="2044" spans="87:87">
      <c r="CI2044" s="31"/>
    </row>
    <row r="2045" spans="87:87">
      <c r="CI2045" s="31"/>
    </row>
    <row r="2046" spans="87:87">
      <c r="CI2046" s="31"/>
    </row>
    <row r="2047" spans="87:87">
      <c r="CI2047" s="31"/>
    </row>
    <row r="2048" spans="87:87">
      <c r="CI2048" s="31"/>
    </row>
    <row r="2049" spans="87:87">
      <c r="CI2049" s="31"/>
    </row>
    <row r="2050" spans="87:87">
      <c r="CI2050" s="31"/>
    </row>
    <row r="2051" spans="87:87">
      <c r="CI2051" s="31"/>
    </row>
    <row r="2052" spans="87:87">
      <c r="CI2052" s="31"/>
    </row>
    <row r="2053" spans="87:87">
      <c r="CI2053" s="31"/>
    </row>
    <row r="2054" spans="87:87">
      <c r="CI2054" s="31"/>
    </row>
    <row r="2055" spans="87:87">
      <c r="CI2055" s="31"/>
    </row>
    <row r="2056" spans="87:87">
      <c r="CI2056" s="31"/>
    </row>
    <row r="2057" spans="87:87">
      <c r="CI2057" s="31"/>
    </row>
    <row r="2058" spans="87:87">
      <c r="CI2058" s="31"/>
    </row>
    <row r="2059" spans="87:87">
      <c r="CI2059" s="31"/>
    </row>
    <row r="2060" spans="87:87">
      <c r="CI2060" s="31"/>
    </row>
    <row r="2061" spans="87:87">
      <c r="CI2061" s="31"/>
    </row>
    <row r="2062" spans="87:87">
      <c r="CI2062" s="31"/>
    </row>
    <row r="2063" spans="87:87">
      <c r="CI2063" s="31"/>
    </row>
    <row r="2064" spans="87:87">
      <c r="CI2064" s="31"/>
    </row>
    <row r="2065" spans="87:87">
      <c r="CI2065" s="31"/>
    </row>
    <row r="2066" spans="87:87">
      <c r="CI2066" s="31"/>
    </row>
    <row r="2067" spans="87:87">
      <c r="CI2067" s="31"/>
    </row>
    <row r="2068" spans="87:87">
      <c r="CI2068" s="31"/>
    </row>
    <row r="2069" spans="87:87">
      <c r="CI2069" s="31"/>
    </row>
    <row r="2070" spans="87:87">
      <c r="CI2070" s="31"/>
    </row>
    <row r="2071" spans="87:87">
      <c r="CI2071" s="31"/>
    </row>
    <row r="2072" spans="87:87">
      <c r="CI2072" s="31"/>
    </row>
    <row r="2073" spans="87:87">
      <c r="CI2073" s="31"/>
    </row>
    <row r="2074" spans="87:87">
      <c r="CI2074" s="31"/>
    </row>
    <row r="2075" spans="87:87">
      <c r="CI2075" s="31"/>
    </row>
    <row r="2076" spans="87:87">
      <c r="CI2076" s="31"/>
    </row>
    <row r="2077" spans="87:87">
      <c r="CI2077" s="31"/>
    </row>
    <row r="2078" spans="87:87">
      <c r="CI2078" s="31"/>
    </row>
    <row r="2079" spans="87:87">
      <c r="CI2079" s="31"/>
    </row>
    <row r="2080" spans="87:87">
      <c r="CI2080" s="31"/>
    </row>
    <row r="2081" spans="87:87">
      <c r="CI2081" s="31"/>
    </row>
    <row r="2082" spans="87:87">
      <c r="CI2082" s="31"/>
    </row>
    <row r="2083" spans="87:87">
      <c r="CI2083" s="31"/>
    </row>
    <row r="2084" spans="87:87">
      <c r="CI2084" s="31"/>
    </row>
    <row r="2085" spans="87:87">
      <c r="CI2085" s="31"/>
    </row>
    <row r="2086" spans="87:87">
      <c r="CI2086" s="31"/>
    </row>
    <row r="2087" spans="87:87">
      <c r="CI2087" s="31"/>
    </row>
    <row r="2088" spans="87:87">
      <c r="CI2088" s="31"/>
    </row>
    <row r="2089" spans="87:87">
      <c r="CI2089" s="31"/>
    </row>
    <row r="2090" spans="87:87">
      <c r="CI2090" s="31"/>
    </row>
    <row r="2091" spans="87:87">
      <c r="CI2091" s="31"/>
    </row>
    <row r="2092" spans="87:87">
      <c r="CI2092" s="31"/>
    </row>
    <row r="2093" spans="87:87">
      <c r="CI2093" s="31"/>
    </row>
    <row r="2094" spans="87:87">
      <c r="CI2094" s="31"/>
    </row>
    <row r="2095" spans="87:87">
      <c r="CI2095" s="31"/>
    </row>
    <row r="2096" spans="87:87">
      <c r="CI2096" s="31"/>
    </row>
    <row r="2097" spans="87:87">
      <c r="CI2097" s="31"/>
    </row>
    <row r="2098" spans="87:87">
      <c r="CI2098" s="31"/>
    </row>
    <row r="2099" spans="87:87">
      <c r="CI2099" s="31"/>
    </row>
    <row r="2100" spans="87:87">
      <c r="CI2100" s="31"/>
    </row>
    <row r="2101" spans="87:87">
      <c r="CI2101" s="31"/>
    </row>
    <row r="2102" spans="87:87">
      <c r="CI2102" s="31"/>
    </row>
    <row r="2103" spans="87:87">
      <c r="CI2103" s="31"/>
    </row>
    <row r="2104" spans="87:87">
      <c r="CI2104" s="31"/>
    </row>
    <row r="2105" spans="87:87">
      <c r="CI2105" s="31"/>
    </row>
    <row r="2106" spans="87:87">
      <c r="CI2106" s="31"/>
    </row>
    <row r="2107" spans="87:87">
      <c r="CI2107" s="31"/>
    </row>
    <row r="2108" spans="87:87">
      <c r="CI2108" s="31"/>
    </row>
    <row r="2109" spans="87:87">
      <c r="CI2109" s="31"/>
    </row>
    <row r="2110" spans="87:87">
      <c r="CI2110" s="31"/>
    </row>
    <row r="2111" spans="87:87">
      <c r="CI2111" s="31"/>
    </row>
    <row r="2112" spans="87:87">
      <c r="CI2112" s="31"/>
    </row>
    <row r="2113" spans="87:87">
      <c r="CI2113" s="31"/>
    </row>
    <row r="2114" spans="87:87">
      <c r="CI2114" s="31"/>
    </row>
    <row r="2115" spans="87:87">
      <c r="CI2115" s="31"/>
    </row>
    <row r="2116" spans="87:87">
      <c r="CI2116" s="31"/>
    </row>
    <row r="2117" spans="87:87">
      <c r="CI2117" s="31"/>
    </row>
    <row r="2118" spans="87:87">
      <c r="CI2118" s="31"/>
    </row>
    <row r="2119" spans="87:87">
      <c r="CI2119" s="31"/>
    </row>
    <row r="2120" spans="87:87">
      <c r="CI2120" s="31"/>
    </row>
    <row r="2121" spans="87:87">
      <c r="CI2121" s="31"/>
    </row>
    <row r="2122" spans="87:87">
      <c r="CI2122" s="31"/>
    </row>
    <row r="2123" spans="87:87">
      <c r="CI2123" s="31"/>
    </row>
    <row r="2124" spans="87:87">
      <c r="CI2124" s="31"/>
    </row>
    <row r="2125" spans="87:87">
      <c r="CI2125" s="31"/>
    </row>
    <row r="2126" spans="87:87">
      <c r="CI2126" s="31"/>
    </row>
    <row r="2127" spans="87:87">
      <c r="CI2127" s="31"/>
    </row>
    <row r="2128" spans="87:87">
      <c r="CI2128" s="31"/>
    </row>
    <row r="2129" spans="87:87">
      <c r="CI2129" s="31"/>
    </row>
    <row r="2130" spans="87:87">
      <c r="CI2130" s="31"/>
    </row>
    <row r="2131" spans="87:87">
      <c r="CI2131" s="31"/>
    </row>
    <row r="2132" spans="87:87">
      <c r="CI2132" s="31"/>
    </row>
    <row r="2133" spans="87:87">
      <c r="CI2133" s="31"/>
    </row>
    <row r="2134" spans="87:87">
      <c r="CI2134" s="31"/>
    </row>
    <row r="2135" spans="87:87">
      <c r="CI2135" s="31"/>
    </row>
    <row r="2136" spans="87:87">
      <c r="CI2136" s="31"/>
    </row>
    <row r="2137" spans="87:87">
      <c r="CI2137" s="31"/>
    </row>
    <row r="2138" spans="87:87">
      <c r="CI2138" s="31"/>
    </row>
    <row r="2139" spans="87:87">
      <c r="CI2139" s="31"/>
    </row>
    <row r="2140" spans="87:87">
      <c r="CI2140" s="31"/>
    </row>
    <row r="2141" spans="87:87">
      <c r="CI2141" s="31"/>
    </row>
    <row r="2142" spans="87:87">
      <c r="CI2142" s="31"/>
    </row>
    <row r="2143" spans="87:87">
      <c r="CI2143" s="31"/>
    </row>
    <row r="2144" spans="87:87">
      <c r="CI2144" s="31"/>
    </row>
    <row r="2145" spans="87:87">
      <c r="CI2145" s="31"/>
    </row>
    <row r="2146" spans="87:87">
      <c r="CI2146" s="31"/>
    </row>
    <row r="2147" spans="87:87">
      <c r="CI2147" s="31"/>
    </row>
    <row r="2148" spans="87:87">
      <c r="CI2148" s="31"/>
    </row>
    <row r="2149" spans="87:87">
      <c r="CI2149" s="31"/>
    </row>
    <row r="2150" spans="87:87">
      <c r="CI2150" s="31"/>
    </row>
    <row r="2151" spans="87:87">
      <c r="CI2151" s="31"/>
    </row>
    <row r="2152" spans="87:87">
      <c r="CI2152" s="31"/>
    </row>
    <row r="2153" spans="87:87">
      <c r="CI2153" s="31"/>
    </row>
    <row r="2154" spans="87:87">
      <c r="CI2154" s="31"/>
    </row>
    <row r="2155" spans="87:87">
      <c r="CI2155" s="31"/>
    </row>
    <row r="2156" spans="87:87">
      <c r="CI2156" s="31"/>
    </row>
    <row r="2157" spans="87:87">
      <c r="CI2157" s="31"/>
    </row>
    <row r="2158" spans="87:87">
      <c r="CI2158" s="31"/>
    </row>
    <row r="2159" spans="87:87">
      <c r="CI2159" s="31"/>
    </row>
    <row r="2160" spans="87:87">
      <c r="CI2160" s="31"/>
    </row>
    <row r="2161" spans="87:87">
      <c r="CI2161" s="31"/>
    </row>
    <row r="2162" spans="87:87">
      <c r="CI2162" s="31"/>
    </row>
    <row r="2163" spans="87:87">
      <c r="CI2163" s="31"/>
    </row>
    <row r="2164" spans="87:87">
      <c r="CI2164" s="31"/>
    </row>
    <row r="2165" spans="87:87">
      <c r="CI2165" s="31"/>
    </row>
    <row r="2166" spans="87:87">
      <c r="CI2166" s="31"/>
    </row>
    <row r="2167" spans="87:87">
      <c r="CI2167" s="31"/>
    </row>
    <row r="2168" spans="87:87">
      <c r="CI2168" s="31"/>
    </row>
    <row r="2169" spans="87:87">
      <c r="CI2169" s="31"/>
    </row>
    <row r="2170" spans="87:87">
      <c r="CI2170" s="31"/>
    </row>
    <row r="2171" spans="87:87">
      <c r="CI2171" s="31"/>
    </row>
    <row r="2172" spans="87:87">
      <c r="CI2172" s="31"/>
    </row>
    <row r="2173" spans="87:87">
      <c r="CI2173" s="31"/>
    </row>
    <row r="2174" spans="87:87">
      <c r="CI2174" s="31"/>
    </row>
    <row r="2175" spans="87:87">
      <c r="CI2175" s="31"/>
    </row>
    <row r="2176" spans="87:87">
      <c r="CI2176" s="31"/>
    </row>
    <row r="2177" spans="87:87">
      <c r="CI2177" s="31"/>
    </row>
    <row r="2178" spans="87:87">
      <c r="CI2178" s="31"/>
    </row>
    <row r="2179" spans="87:87">
      <c r="CI2179" s="31"/>
    </row>
    <row r="2180" spans="87:87">
      <c r="CI2180" s="31"/>
    </row>
    <row r="2181" spans="87:87">
      <c r="CI2181" s="31"/>
    </row>
    <row r="2182" spans="87:87">
      <c r="CI2182" s="31"/>
    </row>
    <row r="2183" spans="87:87">
      <c r="CI2183" s="31"/>
    </row>
    <row r="2184" spans="87:87">
      <c r="CI2184" s="31"/>
    </row>
    <row r="2185" spans="87:87">
      <c r="CI2185" s="31"/>
    </row>
    <row r="2186" spans="87:87">
      <c r="CI2186" s="31"/>
    </row>
    <row r="2187" spans="87:87">
      <c r="CI2187" s="31"/>
    </row>
    <row r="2188" spans="87:87">
      <c r="CI2188" s="31"/>
    </row>
    <row r="2189" spans="87:87">
      <c r="CI2189" s="31"/>
    </row>
    <row r="2190" spans="87:87">
      <c r="CI2190" s="31"/>
    </row>
    <row r="2191" spans="87:87">
      <c r="CI2191" s="31"/>
    </row>
    <row r="2192" spans="87:87">
      <c r="CI2192" s="31"/>
    </row>
    <row r="2193" spans="87:87">
      <c r="CI2193" s="31"/>
    </row>
    <row r="2194" spans="87:87">
      <c r="CI2194" s="31"/>
    </row>
    <row r="2195" spans="87:87">
      <c r="CI2195" s="31"/>
    </row>
    <row r="2196" spans="87:87">
      <c r="CI2196" s="31"/>
    </row>
    <row r="2197" spans="87:87">
      <c r="CI2197" s="31"/>
    </row>
    <row r="2198" spans="87:87">
      <c r="CI2198" s="31"/>
    </row>
    <row r="2199" spans="87:87">
      <c r="CI2199" s="31"/>
    </row>
    <row r="2200" spans="87:87">
      <c r="CI2200" s="31"/>
    </row>
    <row r="2201" spans="87:87">
      <c r="CI2201" s="31"/>
    </row>
    <row r="2202" spans="87:87">
      <c r="CI2202" s="31"/>
    </row>
    <row r="2203" spans="87:87">
      <c r="CI2203" s="31"/>
    </row>
    <row r="2204" spans="87:87">
      <c r="CI2204" s="31"/>
    </row>
    <row r="2205" spans="87:87">
      <c r="CI2205" s="31"/>
    </row>
    <row r="2206" spans="87:87">
      <c r="CI2206" s="31"/>
    </row>
    <row r="2207" spans="87:87">
      <c r="CI2207" s="31"/>
    </row>
    <row r="2208" spans="87:87">
      <c r="CI2208" s="31"/>
    </row>
    <row r="2209" spans="87:87">
      <c r="CI2209" s="31"/>
    </row>
    <row r="2210" spans="87:87">
      <c r="CI2210" s="31"/>
    </row>
    <row r="2211" spans="87:87">
      <c r="CI2211" s="31"/>
    </row>
    <row r="2212" spans="87:87">
      <c r="CI2212" s="31"/>
    </row>
    <row r="2213" spans="87:87">
      <c r="CI2213" s="31"/>
    </row>
    <row r="2214" spans="87:87">
      <c r="CI2214" s="31"/>
    </row>
    <row r="2215" spans="87:87">
      <c r="CI2215" s="31"/>
    </row>
    <row r="2216" spans="87:87">
      <c r="CI2216" s="31"/>
    </row>
    <row r="2217" spans="87:87">
      <c r="CI2217" s="31"/>
    </row>
    <row r="2218" spans="87:87">
      <c r="CI2218" s="31"/>
    </row>
    <row r="2219" spans="87:87">
      <c r="CI2219" s="31"/>
    </row>
    <row r="2220" spans="87:87">
      <c r="CI2220" s="31"/>
    </row>
    <row r="2221" spans="87:87">
      <c r="CI2221" s="31"/>
    </row>
    <row r="2222" spans="87:87">
      <c r="CI2222" s="31"/>
    </row>
    <row r="2223" spans="87:87">
      <c r="CI2223" s="31"/>
    </row>
    <row r="2224" spans="87:87">
      <c r="CI2224" s="31"/>
    </row>
    <row r="2225" spans="87:87">
      <c r="CI2225" s="31"/>
    </row>
    <row r="2226" spans="87:87">
      <c r="CI2226" s="31"/>
    </row>
    <row r="2227" spans="87:87">
      <c r="CI2227" s="31"/>
    </row>
    <row r="2228" spans="87:87">
      <c r="CI2228" s="31"/>
    </row>
    <row r="2229" spans="87:87">
      <c r="CI2229" s="31"/>
    </row>
    <row r="2230" spans="87:87">
      <c r="CI2230" s="31"/>
    </row>
    <row r="2231" spans="87:87">
      <c r="CI2231" s="31"/>
    </row>
    <row r="2232" spans="87:87">
      <c r="CI2232" s="31"/>
    </row>
    <row r="2233" spans="87:87">
      <c r="CI2233" s="31"/>
    </row>
    <row r="2234" spans="87:87">
      <c r="CI2234" s="31"/>
    </row>
    <row r="2235" spans="87:87">
      <c r="CI2235" s="31"/>
    </row>
    <row r="2236" spans="87:87">
      <c r="CI2236" s="31"/>
    </row>
    <row r="2237" spans="87:87">
      <c r="CI2237" s="31"/>
    </row>
    <row r="2238" spans="87:87">
      <c r="CI2238" s="31"/>
    </row>
    <row r="2239" spans="87:87">
      <c r="CI2239" s="31"/>
    </row>
    <row r="2240" spans="87:87">
      <c r="CI2240" s="31"/>
    </row>
    <row r="2241" spans="87:87">
      <c r="CI2241" s="31"/>
    </row>
    <row r="2242" spans="87:87">
      <c r="CI2242" s="31"/>
    </row>
    <row r="2243" spans="87:87">
      <c r="CI2243" s="31"/>
    </row>
    <row r="2244" spans="87:87">
      <c r="CI2244" s="31"/>
    </row>
    <row r="2245" spans="87:87">
      <c r="CI2245" s="31"/>
    </row>
    <row r="2246" spans="87:87">
      <c r="CI2246" s="31"/>
    </row>
    <row r="2247" spans="87:87">
      <c r="CI2247" s="31"/>
    </row>
    <row r="2248" spans="87:87">
      <c r="CI2248" s="31"/>
    </row>
    <row r="2249" spans="87:87">
      <c r="CI2249" s="31"/>
    </row>
    <row r="2250" spans="87:87">
      <c r="CI2250" s="31"/>
    </row>
    <row r="2251" spans="87:87">
      <c r="CI2251" s="31"/>
    </row>
    <row r="2252" spans="87:87">
      <c r="CI2252" s="31"/>
    </row>
    <row r="2253" spans="87:87">
      <c r="CI2253" s="31"/>
    </row>
    <row r="2254" spans="87:87">
      <c r="CI2254" s="31"/>
    </row>
    <row r="2255" spans="87:87">
      <c r="CI2255" s="31"/>
    </row>
    <row r="2256" spans="87:87">
      <c r="CI2256" s="31"/>
    </row>
    <row r="2257" spans="87:87">
      <c r="CI2257" s="31"/>
    </row>
    <row r="2258" spans="87:87">
      <c r="CI2258" s="31"/>
    </row>
    <row r="2259" spans="87:87">
      <c r="CI2259" s="31"/>
    </row>
    <row r="2260" spans="87:87">
      <c r="CI2260" s="31"/>
    </row>
    <row r="2261" spans="87:87">
      <c r="CI2261" s="31"/>
    </row>
    <row r="2262" spans="87:87">
      <c r="CI2262" s="31"/>
    </row>
    <row r="2263" spans="87:87">
      <c r="CI2263" s="31"/>
    </row>
    <row r="2264" spans="87:87">
      <c r="CI2264" s="31"/>
    </row>
    <row r="2265" spans="87:87">
      <c r="CI2265" s="31"/>
    </row>
    <row r="2266" spans="87:87">
      <c r="CI2266" s="31"/>
    </row>
    <row r="2267" spans="87:87">
      <c r="CI2267" s="31"/>
    </row>
    <row r="2268" spans="87:87">
      <c r="CI2268" s="31"/>
    </row>
    <row r="2269" spans="87:87">
      <c r="CI2269" s="31"/>
    </row>
    <row r="2270" spans="87:87">
      <c r="CI2270" s="31"/>
    </row>
    <row r="2271" spans="87:87">
      <c r="CI2271" s="31"/>
    </row>
    <row r="2272" spans="87:87">
      <c r="CI2272" s="31"/>
    </row>
    <row r="2273" spans="87:87">
      <c r="CI2273" s="31"/>
    </row>
    <row r="2274" spans="87:87">
      <c r="CI2274" s="31"/>
    </row>
    <row r="2275" spans="87:87">
      <c r="CI2275" s="31"/>
    </row>
    <row r="2276" spans="87:87">
      <c r="CI2276" s="31"/>
    </row>
    <row r="2277" spans="87:87">
      <c r="CI2277" s="31"/>
    </row>
    <row r="2278" spans="87:87">
      <c r="CI2278" s="31"/>
    </row>
    <row r="2279" spans="87:87">
      <c r="CI2279" s="31"/>
    </row>
    <row r="2280" spans="87:87">
      <c r="CI2280" s="31"/>
    </row>
    <row r="2281" spans="87:87">
      <c r="CI2281" s="31"/>
    </row>
    <row r="2282" spans="87:87">
      <c r="CI2282" s="31"/>
    </row>
    <row r="2283" spans="87:87">
      <c r="CI2283" s="31"/>
    </row>
    <row r="2284" spans="87:87">
      <c r="CI2284" s="31"/>
    </row>
    <row r="2285" spans="87:87">
      <c r="CI2285" s="31"/>
    </row>
    <row r="2286" spans="87:87">
      <c r="CI2286" s="31"/>
    </row>
    <row r="2287" spans="87:87">
      <c r="CI2287" s="31"/>
    </row>
    <row r="2288" spans="87:87">
      <c r="CI2288" s="31"/>
    </row>
    <row r="2289" spans="87:87">
      <c r="CI2289" s="31"/>
    </row>
    <row r="2290" spans="87:87">
      <c r="CI2290" s="31"/>
    </row>
    <row r="2291" spans="87:87">
      <c r="CI2291" s="31"/>
    </row>
    <row r="2292" spans="87:87">
      <c r="CI2292" s="31"/>
    </row>
    <row r="2293" spans="87:87">
      <c r="CI2293" s="31"/>
    </row>
    <row r="2294" spans="87:87">
      <c r="CI2294" s="31"/>
    </row>
    <row r="2295" spans="87:87">
      <c r="CI2295" s="31"/>
    </row>
    <row r="2296" spans="87:87">
      <c r="CI2296" s="31"/>
    </row>
    <row r="2297" spans="87:87">
      <c r="CI2297" s="31"/>
    </row>
    <row r="2298" spans="87:87">
      <c r="CI2298" s="31"/>
    </row>
    <row r="2299" spans="87:87">
      <c r="CI2299" s="31"/>
    </row>
    <row r="2300" spans="87:87">
      <c r="CI2300" s="31"/>
    </row>
    <row r="2301" spans="87:87">
      <c r="CI2301" s="31"/>
    </row>
    <row r="2302" spans="87:87">
      <c r="CI2302" s="31"/>
    </row>
    <row r="2303" spans="87:87">
      <c r="CI2303" s="31"/>
    </row>
    <row r="2304" spans="87:87">
      <c r="CI2304" s="31"/>
    </row>
    <row r="2305" spans="87:87">
      <c r="CI2305" s="31"/>
    </row>
    <row r="2306" spans="87:87">
      <c r="CI2306" s="31"/>
    </row>
    <row r="2307" spans="87:87">
      <c r="CI2307" s="31"/>
    </row>
    <row r="2308" spans="87:87">
      <c r="CI2308" s="31"/>
    </row>
    <row r="2309" spans="87:87">
      <c r="CI2309" s="31"/>
    </row>
    <row r="2310" spans="87:87">
      <c r="CI2310" s="31"/>
    </row>
    <row r="2311" spans="87:87">
      <c r="CI2311" s="31"/>
    </row>
    <row r="2312" spans="87:87">
      <c r="CI2312" s="31"/>
    </row>
    <row r="2313" spans="87:87">
      <c r="CI2313" s="31"/>
    </row>
    <row r="2314" spans="87:87">
      <c r="CI2314" s="31"/>
    </row>
    <row r="2315" spans="87:87">
      <c r="CI2315" s="31"/>
    </row>
    <row r="2316" spans="87:87">
      <c r="CI2316" s="31"/>
    </row>
    <row r="2317" spans="87:87">
      <c r="CI2317" s="31"/>
    </row>
    <row r="2318" spans="87:87">
      <c r="CI2318" s="31"/>
    </row>
    <row r="2319" spans="87:87">
      <c r="CI2319" s="31"/>
    </row>
    <row r="2320" spans="87:87">
      <c r="CI2320" s="31"/>
    </row>
    <row r="2321" spans="87:87">
      <c r="CI2321" s="31"/>
    </row>
    <row r="2322" spans="87:87">
      <c r="CI2322" s="31"/>
    </row>
    <row r="2323" spans="87:87">
      <c r="CI2323" s="31"/>
    </row>
    <row r="2324" spans="87:87">
      <c r="CI2324" s="31"/>
    </row>
    <row r="2325" spans="87:87">
      <c r="CI2325" s="31"/>
    </row>
    <row r="2326" spans="87:87">
      <c r="CI2326" s="31"/>
    </row>
    <row r="2327" spans="87:87">
      <c r="CI2327" s="31"/>
    </row>
    <row r="2328" spans="87:87">
      <c r="CI2328" s="31"/>
    </row>
    <row r="2329" spans="87:87">
      <c r="CI2329" s="31"/>
    </row>
    <row r="2330" spans="87:87">
      <c r="CI2330" s="31"/>
    </row>
    <row r="2331" spans="87:87">
      <c r="CI2331" s="31"/>
    </row>
    <row r="2332" spans="87:87">
      <c r="CI2332" s="31"/>
    </row>
    <row r="2333" spans="87:87">
      <c r="CI2333" s="31"/>
    </row>
    <row r="2334" spans="87:87">
      <c r="CI2334" s="31"/>
    </row>
    <row r="2335" spans="87:87">
      <c r="CI2335" s="31"/>
    </row>
    <row r="2336" spans="87:87">
      <c r="CI2336" s="31"/>
    </row>
    <row r="2337" spans="87:87">
      <c r="CI2337" s="31"/>
    </row>
    <row r="2338" spans="87:87">
      <c r="CI2338" s="31"/>
    </row>
    <row r="2339" spans="87:87">
      <c r="CI2339" s="31"/>
    </row>
    <row r="2340" spans="87:87">
      <c r="CI2340" s="31"/>
    </row>
    <row r="2341" spans="87:87">
      <c r="CI2341" s="31"/>
    </row>
    <row r="2342" spans="87:87">
      <c r="CI2342" s="31"/>
    </row>
    <row r="2343" spans="87:87">
      <c r="CI2343" s="31"/>
    </row>
    <row r="2344" spans="87:87">
      <c r="CI2344" s="31"/>
    </row>
    <row r="2345" spans="87:87">
      <c r="CI2345" s="31"/>
    </row>
    <row r="2346" spans="87:87">
      <c r="CI2346" s="31"/>
    </row>
    <row r="2347" spans="87:87">
      <c r="CI2347" s="31"/>
    </row>
    <row r="2348" spans="87:87">
      <c r="CI2348" s="31"/>
    </row>
    <row r="2349" spans="87:87">
      <c r="CI2349" s="31"/>
    </row>
    <row r="2350" spans="87:87">
      <c r="CI2350" s="31"/>
    </row>
    <row r="2351" spans="87:87">
      <c r="CI2351" s="31"/>
    </row>
    <row r="2352" spans="87:87">
      <c r="CI2352" s="31"/>
    </row>
    <row r="2353" spans="87:87">
      <c r="CI2353" s="31"/>
    </row>
    <row r="2354" spans="87:87">
      <c r="CI2354" s="31"/>
    </row>
    <row r="2355" spans="87:87">
      <c r="CI2355" s="31"/>
    </row>
    <row r="2356" spans="87:87">
      <c r="CI2356" s="31"/>
    </row>
    <row r="2357" spans="87:87">
      <c r="CI2357" s="31"/>
    </row>
    <row r="2358" spans="87:87">
      <c r="CI2358" s="31"/>
    </row>
    <row r="2359" spans="87:87">
      <c r="CI2359" s="31"/>
    </row>
    <row r="2360" spans="87:87">
      <c r="CI2360" s="31"/>
    </row>
    <row r="2361" spans="87:87">
      <c r="CI2361" s="31"/>
    </row>
    <row r="2362" spans="87:87">
      <c r="CI2362" s="31"/>
    </row>
    <row r="2363" spans="87:87">
      <c r="CI2363" s="31"/>
    </row>
    <row r="2364" spans="87:87">
      <c r="CI2364" s="31"/>
    </row>
    <row r="2365" spans="87:87">
      <c r="CI2365" s="31"/>
    </row>
    <row r="2366" spans="87:87">
      <c r="CI2366" s="31"/>
    </row>
    <row r="2367" spans="87:87">
      <c r="CI2367" s="31"/>
    </row>
    <row r="2368" spans="87:87">
      <c r="CI2368" s="31"/>
    </row>
    <row r="2369" spans="87:87">
      <c r="CI2369" s="31"/>
    </row>
    <row r="2370" spans="87:87">
      <c r="CI2370" s="31"/>
    </row>
    <row r="2371" spans="87:87">
      <c r="CI2371" s="31"/>
    </row>
    <row r="2372" spans="87:87">
      <c r="CI2372" s="31"/>
    </row>
    <row r="2373" spans="87:87">
      <c r="CI2373" s="31"/>
    </row>
    <row r="2374" spans="87:87">
      <c r="CI2374" s="31"/>
    </row>
    <row r="2375" spans="87:87">
      <c r="CI2375" s="31"/>
    </row>
    <row r="2376" spans="87:87">
      <c r="CI2376" s="31"/>
    </row>
    <row r="2377" spans="87:87">
      <c r="CI2377" s="31"/>
    </row>
    <row r="2378" spans="87:87">
      <c r="CI2378" s="31"/>
    </row>
    <row r="2379" spans="87:87">
      <c r="CI2379" s="31"/>
    </row>
    <row r="2380" spans="87:87">
      <c r="CI2380" s="31"/>
    </row>
    <row r="2381" spans="87:87">
      <c r="CI2381" s="31"/>
    </row>
    <row r="2382" spans="87:87">
      <c r="CI2382" s="31"/>
    </row>
    <row r="2383" spans="87:87">
      <c r="CI2383" s="31"/>
    </row>
    <row r="2384" spans="87:87">
      <c r="CI2384" s="31"/>
    </row>
    <row r="2385" spans="87:87">
      <c r="CI2385" s="31"/>
    </row>
    <row r="2386" spans="87:87">
      <c r="CI2386" s="31"/>
    </row>
    <row r="2387" spans="87:87">
      <c r="CI2387" s="31"/>
    </row>
    <row r="2388" spans="87:87">
      <c r="CI2388" s="31"/>
    </row>
    <row r="2389" spans="87:87">
      <c r="CI2389" s="31"/>
    </row>
    <row r="2390" spans="87:87">
      <c r="CI2390" s="31"/>
    </row>
    <row r="2391" spans="87:87">
      <c r="CI2391" s="31"/>
    </row>
    <row r="2392" spans="87:87">
      <c r="CI2392" s="31"/>
    </row>
    <row r="2393" spans="87:87">
      <c r="CI2393" s="31"/>
    </row>
    <row r="2394" spans="87:87">
      <c r="CI2394" s="31"/>
    </row>
    <row r="2395" spans="87:87">
      <c r="CI2395" s="31"/>
    </row>
    <row r="2396" spans="87:87">
      <c r="CI2396" s="31"/>
    </row>
    <row r="2397" spans="87:87">
      <c r="CI2397" s="31"/>
    </row>
    <row r="2398" spans="87:87">
      <c r="CI2398" s="31"/>
    </row>
    <row r="2399" spans="87:87">
      <c r="CI2399" s="31"/>
    </row>
    <row r="2400" spans="87:87">
      <c r="CI2400" s="31"/>
    </row>
    <row r="2401" spans="87:87">
      <c r="CI2401" s="31"/>
    </row>
    <row r="2402" spans="87:87">
      <c r="CI2402" s="31"/>
    </row>
    <row r="2403" spans="87:87">
      <c r="CI2403" s="31"/>
    </row>
    <row r="2404" spans="87:87">
      <c r="CI2404" s="31"/>
    </row>
    <row r="2405" spans="87:87">
      <c r="CI2405" s="31"/>
    </row>
    <row r="2406" spans="87:87">
      <c r="CI2406" s="31"/>
    </row>
    <row r="2407" spans="87:87">
      <c r="CI2407" s="31"/>
    </row>
    <row r="2408" spans="87:87">
      <c r="CI2408" s="31"/>
    </row>
    <row r="2409" spans="87:87">
      <c r="CI2409" s="31"/>
    </row>
    <row r="2410" spans="87:87">
      <c r="CI2410" s="31"/>
    </row>
    <row r="2411" spans="87:87">
      <c r="CI2411" s="31"/>
    </row>
    <row r="2412" spans="87:87">
      <c r="CI2412" s="31"/>
    </row>
    <row r="2413" spans="87:87">
      <c r="CI2413" s="31"/>
    </row>
    <row r="2414" spans="87:87">
      <c r="CI2414" s="31"/>
    </row>
    <row r="2415" spans="87:87">
      <c r="CI2415" s="31"/>
    </row>
    <row r="2416" spans="87:87">
      <c r="CI2416" s="31"/>
    </row>
    <row r="2417" spans="87:87">
      <c r="CI2417" s="31"/>
    </row>
    <row r="2418" spans="87:87">
      <c r="CI2418" s="31"/>
    </row>
    <row r="2419" spans="87:87">
      <c r="CI2419" s="31"/>
    </row>
    <row r="2420" spans="87:87">
      <c r="CI2420" s="31"/>
    </row>
    <row r="2421" spans="87:87">
      <c r="CI2421" s="31"/>
    </row>
    <row r="2422" spans="87:87">
      <c r="CI2422" s="31"/>
    </row>
    <row r="2423" spans="87:87">
      <c r="CI2423" s="31"/>
    </row>
    <row r="2424" spans="87:87">
      <c r="CI2424" s="31"/>
    </row>
    <row r="2425" spans="87:87">
      <c r="CI2425" s="31"/>
    </row>
    <row r="2426" spans="87:87">
      <c r="CI2426" s="31"/>
    </row>
    <row r="2427" spans="87:87">
      <c r="CI2427" s="31"/>
    </row>
    <row r="2428" spans="87:87">
      <c r="CI2428" s="31"/>
    </row>
    <row r="2429" spans="87:87">
      <c r="CI2429" s="31"/>
    </row>
    <row r="2430" spans="87:87">
      <c r="CI2430" s="31"/>
    </row>
    <row r="2431" spans="87:87">
      <c r="CI2431" s="31"/>
    </row>
    <row r="2432" spans="87:87">
      <c r="CI2432" s="31"/>
    </row>
    <row r="2433" spans="87:87">
      <c r="CI2433" s="31"/>
    </row>
    <row r="2434" spans="87:87">
      <c r="CI2434" s="31"/>
    </row>
    <row r="2435" spans="87:87">
      <c r="CI2435" s="31"/>
    </row>
    <row r="2436" spans="87:87">
      <c r="CI2436" s="31"/>
    </row>
    <row r="2437" spans="87:87">
      <c r="CI2437" s="31"/>
    </row>
    <row r="2438" spans="87:87">
      <c r="CI2438" s="31"/>
    </row>
    <row r="2439" spans="87:87">
      <c r="CI2439" s="31"/>
    </row>
    <row r="2440" spans="87:87">
      <c r="CI2440" s="31"/>
    </row>
    <row r="2441" spans="87:87">
      <c r="CI2441" s="31"/>
    </row>
    <row r="2442" spans="87:87">
      <c r="CI2442" s="31"/>
    </row>
    <row r="2443" spans="87:87">
      <c r="CI2443" s="31"/>
    </row>
    <row r="2444" spans="87:87">
      <c r="CI2444" s="31"/>
    </row>
    <row r="2445" spans="87:87">
      <c r="CI2445" s="31"/>
    </row>
    <row r="2446" spans="87:87">
      <c r="CI2446" s="31"/>
    </row>
    <row r="2447" spans="87:87">
      <c r="CI2447" s="31"/>
    </row>
    <row r="2448" spans="87:87">
      <c r="CI2448" s="31"/>
    </row>
    <row r="2449" spans="87:87">
      <c r="CI2449" s="31"/>
    </row>
    <row r="2450" spans="87:87">
      <c r="CI2450" s="31"/>
    </row>
    <row r="2451" spans="87:87">
      <c r="CI2451" s="31"/>
    </row>
    <row r="2452" spans="87:87">
      <c r="CI2452" s="31"/>
    </row>
    <row r="2453" spans="87:87">
      <c r="CI2453" s="31"/>
    </row>
    <row r="2454" spans="87:87">
      <c r="CI2454" s="31"/>
    </row>
    <row r="2455" spans="87:87">
      <c r="CI2455" s="31"/>
    </row>
    <row r="2456" spans="87:87">
      <c r="CI2456" s="31"/>
    </row>
    <row r="2457" spans="87:87">
      <c r="CI2457" s="31"/>
    </row>
    <row r="2458" spans="87:87">
      <c r="CI2458" s="31"/>
    </row>
    <row r="2459" spans="87:87">
      <c r="CI2459" s="31"/>
    </row>
    <row r="2460" spans="87:87">
      <c r="CI2460" s="31"/>
    </row>
    <row r="2461" spans="87:87">
      <c r="CI2461" s="31"/>
    </row>
    <row r="2462" spans="87:87">
      <c r="CI2462" s="31"/>
    </row>
    <row r="2463" spans="87:87">
      <c r="CI2463" s="31"/>
    </row>
    <row r="2464" spans="87:87">
      <c r="CI2464" s="31"/>
    </row>
    <row r="2465" spans="87:87">
      <c r="CI2465" s="31"/>
    </row>
    <row r="2466" spans="87:87">
      <c r="CI2466" s="31"/>
    </row>
    <row r="2467" spans="87:87">
      <c r="CI2467" s="31"/>
    </row>
    <row r="2468" spans="87:87">
      <c r="CI2468" s="31"/>
    </row>
    <row r="2469" spans="87:87">
      <c r="CI2469" s="31"/>
    </row>
    <row r="2470" spans="87:87">
      <c r="CI2470" s="31"/>
    </row>
    <row r="2471" spans="87:87">
      <c r="CI2471" s="31"/>
    </row>
    <row r="2472" spans="87:87">
      <c r="CI2472" s="31"/>
    </row>
    <row r="2473" spans="87:87">
      <c r="CI2473" s="31"/>
    </row>
    <row r="2474" spans="87:87">
      <c r="CI2474" s="31"/>
    </row>
    <row r="2475" spans="87:87">
      <c r="CI2475" s="31"/>
    </row>
    <row r="2476" spans="87:87">
      <c r="CI2476" s="31"/>
    </row>
    <row r="2477" spans="87:87">
      <c r="CI2477" s="31"/>
    </row>
    <row r="2478" spans="87:87">
      <c r="CI2478" s="31"/>
    </row>
    <row r="2479" spans="87:87">
      <c r="CI2479" s="31"/>
    </row>
    <row r="2480" spans="87:87">
      <c r="CI2480" s="31"/>
    </row>
    <row r="2481" spans="87:87">
      <c r="CI2481" s="31"/>
    </row>
    <row r="2482" spans="87:87">
      <c r="CI2482" s="31"/>
    </row>
    <row r="2483" spans="87:87">
      <c r="CI2483" s="31"/>
    </row>
    <row r="2484" spans="87:87">
      <c r="CI2484" s="31"/>
    </row>
    <row r="2485" spans="87:87">
      <c r="CI2485" s="31"/>
    </row>
    <row r="2486" spans="87:87">
      <c r="CI2486" s="31"/>
    </row>
    <row r="2487" spans="87:87">
      <c r="CI2487" s="31"/>
    </row>
    <row r="2488" spans="87:87">
      <c r="CI2488" s="31"/>
    </row>
    <row r="2489" spans="87:87">
      <c r="CI2489" s="31"/>
    </row>
    <row r="2490" spans="87:87">
      <c r="CI2490" s="31"/>
    </row>
    <row r="2491" spans="87:87">
      <c r="CI2491" s="31"/>
    </row>
    <row r="2492" spans="87:87">
      <c r="CI2492" s="31"/>
    </row>
    <row r="2493" spans="87:87">
      <c r="CI2493" s="31"/>
    </row>
    <row r="2494" spans="87:87">
      <c r="CI2494" s="31"/>
    </row>
    <row r="2495" spans="87:87">
      <c r="CI2495" s="31"/>
    </row>
    <row r="2496" spans="87:87">
      <c r="CI2496" s="31"/>
    </row>
    <row r="2497" spans="87:87">
      <c r="CI2497" s="31"/>
    </row>
    <row r="2498" spans="87:87">
      <c r="CI2498" s="31"/>
    </row>
    <row r="2499" spans="87:87">
      <c r="CI2499" s="31"/>
    </row>
    <row r="2500" spans="87:87">
      <c r="CI2500" s="31"/>
    </row>
    <row r="2501" spans="87:87">
      <c r="CI2501" s="31"/>
    </row>
    <row r="2502" spans="87:87">
      <c r="CI2502" s="31"/>
    </row>
    <row r="2503" spans="87:87">
      <c r="CI2503" s="31"/>
    </row>
    <row r="2504" spans="87:87">
      <c r="CI2504" s="31"/>
    </row>
    <row r="2505" spans="87:87">
      <c r="CI2505" s="31"/>
    </row>
    <row r="2506" spans="87:87">
      <c r="CI2506" s="31"/>
    </row>
    <row r="2507" spans="87:87">
      <c r="CI2507" s="31"/>
    </row>
    <row r="2508" spans="87:87">
      <c r="CI2508" s="31"/>
    </row>
    <row r="2509" spans="87:87">
      <c r="CI2509" s="31"/>
    </row>
    <row r="2510" spans="87:87">
      <c r="CI2510" s="31"/>
    </row>
    <row r="2511" spans="87:87">
      <c r="CI2511" s="31"/>
    </row>
    <row r="2512" spans="87:87">
      <c r="CI2512" s="31"/>
    </row>
    <row r="2513" spans="87:87">
      <c r="CI2513" s="31"/>
    </row>
    <row r="2514" spans="87:87">
      <c r="CI2514" s="31"/>
    </row>
    <row r="2515" spans="87:87">
      <c r="CI2515" s="31"/>
    </row>
    <row r="2516" spans="87:87">
      <c r="CI2516" s="31"/>
    </row>
    <row r="2517" spans="87:87">
      <c r="CI2517" s="31"/>
    </row>
    <row r="2518" spans="87:87">
      <c r="CI2518" s="31"/>
    </row>
    <row r="2519" spans="87:87">
      <c r="CI2519" s="31"/>
    </row>
    <row r="2520" spans="87:87">
      <c r="CI2520" s="31"/>
    </row>
    <row r="2521" spans="87:87">
      <c r="CI2521" s="31"/>
    </row>
    <row r="2522" spans="87:87">
      <c r="CI2522" s="31"/>
    </row>
    <row r="2523" spans="87:87">
      <c r="CI2523" s="31"/>
    </row>
    <row r="2524" spans="87:87">
      <c r="CI2524" s="31"/>
    </row>
    <row r="2525" spans="87:87">
      <c r="CI2525" s="31"/>
    </row>
    <row r="2526" spans="87:87">
      <c r="CI2526" s="31"/>
    </row>
    <row r="2527" spans="87:87">
      <c r="CI2527" s="31"/>
    </row>
    <row r="2528" spans="87:87">
      <c r="CI2528" s="31"/>
    </row>
    <row r="2529" spans="87:87">
      <c r="CI2529" s="31"/>
    </row>
    <row r="2530" spans="87:87">
      <c r="CI2530" s="31"/>
    </row>
    <row r="2531" spans="87:87">
      <c r="CI2531" s="31"/>
    </row>
    <row r="2532" spans="87:87">
      <c r="CI2532" s="31"/>
    </row>
    <row r="2533" spans="87:87">
      <c r="CI2533" s="31"/>
    </row>
    <row r="2534" spans="87:87">
      <c r="CI2534" s="31"/>
    </row>
    <row r="2535" spans="87:87">
      <c r="CI2535" s="31"/>
    </row>
    <row r="2536" spans="87:87">
      <c r="CI2536" s="31"/>
    </row>
    <row r="2537" spans="87:87">
      <c r="CI2537" s="31"/>
    </row>
    <row r="2538" spans="87:87">
      <c r="CI2538" s="31"/>
    </row>
    <row r="2539" spans="87:87">
      <c r="CI2539" s="31"/>
    </row>
    <row r="2540" spans="87:87">
      <c r="CI2540" s="31"/>
    </row>
    <row r="2541" spans="87:87">
      <c r="CI2541" s="31"/>
    </row>
    <row r="2542" spans="87:87">
      <c r="CI2542" s="31"/>
    </row>
    <row r="2543" spans="87:87">
      <c r="CI2543" s="31"/>
    </row>
    <row r="2544" spans="87:87">
      <c r="CI2544" s="31"/>
    </row>
    <row r="2545" spans="87:87">
      <c r="CI2545" s="31"/>
    </row>
    <row r="2546" spans="87:87">
      <c r="CI2546" s="31"/>
    </row>
    <row r="2547" spans="87:87">
      <c r="CI2547" s="31"/>
    </row>
    <row r="2548" spans="87:87">
      <c r="CI2548" s="31"/>
    </row>
    <row r="2549" spans="87:87">
      <c r="CI2549" s="31"/>
    </row>
    <row r="2550" spans="87:87">
      <c r="CI2550" s="31"/>
    </row>
    <row r="2551" spans="87:87">
      <c r="CI2551" s="31"/>
    </row>
    <row r="2552" spans="87:87">
      <c r="CI2552" s="31"/>
    </row>
    <row r="2553" spans="87:87">
      <c r="CI2553" s="31"/>
    </row>
    <row r="2554" spans="87:87">
      <c r="CI2554" s="31"/>
    </row>
    <row r="2555" spans="87:87">
      <c r="CI2555" s="31"/>
    </row>
    <row r="2556" spans="87:87">
      <c r="CI2556" s="31"/>
    </row>
    <row r="2557" spans="87:87">
      <c r="CI2557" s="31"/>
    </row>
    <row r="2558" spans="87:87">
      <c r="CI2558" s="31"/>
    </row>
    <row r="2559" spans="87:87">
      <c r="CI2559" s="31"/>
    </row>
    <row r="2560" spans="87:87">
      <c r="CI2560" s="31"/>
    </row>
    <row r="2561" spans="87:87">
      <c r="CI2561" s="31"/>
    </row>
    <row r="2562" spans="87:87">
      <c r="CI2562" s="31"/>
    </row>
    <row r="2563" spans="87:87">
      <c r="CI2563" s="31"/>
    </row>
    <row r="2564" spans="87:87">
      <c r="CI2564" s="31"/>
    </row>
    <row r="2565" spans="87:87">
      <c r="CI2565" s="31"/>
    </row>
    <row r="2566" spans="87:87">
      <c r="CI2566" s="31"/>
    </row>
    <row r="2567" spans="87:87">
      <c r="CI2567" s="31"/>
    </row>
    <row r="2568" spans="87:87">
      <c r="CI2568" s="31"/>
    </row>
    <row r="2569" spans="87:87">
      <c r="CI2569" s="31"/>
    </row>
    <row r="2570" spans="87:87">
      <c r="CI2570" s="31"/>
    </row>
    <row r="2571" spans="87:87">
      <c r="CI2571" s="31"/>
    </row>
    <row r="2572" spans="87:87">
      <c r="CI2572" s="31"/>
    </row>
    <row r="2573" spans="87:87">
      <c r="CI2573" s="31"/>
    </row>
    <row r="2574" spans="87:87">
      <c r="CI2574" s="31"/>
    </row>
    <row r="2575" spans="87:87">
      <c r="CI2575" s="31"/>
    </row>
    <row r="2576" spans="87:87">
      <c r="CI2576" s="31"/>
    </row>
    <row r="2577" spans="87:87">
      <c r="CI2577" s="31"/>
    </row>
    <row r="2578" spans="87:87">
      <c r="CI2578" s="31"/>
    </row>
    <row r="2579" spans="87:87">
      <c r="CI2579" s="31"/>
    </row>
    <row r="2580" spans="87:87">
      <c r="CI2580" s="31"/>
    </row>
    <row r="2581" spans="87:87">
      <c r="CI2581" s="31"/>
    </row>
    <row r="2582" spans="87:87">
      <c r="CI2582" s="31"/>
    </row>
    <row r="2583" spans="87:87">
      <c r="CI2583" s="31"/>
    </row>
    <row r="2584" spans="87:87">
      <c r="CI2584" s="31"/>
    </row>
    <row r="2585" spans="87:87">
      <c r="CI2585" s="31"/>
    </row>
    <row r="2586" spans="87:87">
      <c r="CI2586" s="31"/>
    </row>
    <row r="2587" spans="87:87">
      <c r="CI2587" s="31"/>
    </row>
    <row r="2588" spans="87:87">
      <c r="CI2588" s="31"/>
    </row>
    <row r="2589" spans="87:87">
      <c r="CI2589" s="31"/>
    </row>
    <row r="2590" spans="87:87">
      <c r="CI2590" s="31"/>
    </row>
    <row r="2591" spans="87:87">
      <c r="CI2591" s="31"/>
    </row>
    <row r="2592" spans="87:87">
      <c r="CI2592" s="31"/>
    </row>
    <row r="2593" spans="87:87">
      <c r="CI2593" s="31"/>
    </row>
    <row r="2594" spans="87:87">
      <c r="CI2594" s="31"/>
    </row>
    <row r="2595" spans="87:87">
      <c r="CI2595" s="31"/>
    </row>
    <row r="2596" spans="87:87">
      <c r="CI2596" s="31"/>
    </row>
    <row r="2597" spans="87:87">
      <c r="CI2597" s="31"/>
    </row>
    <row r="2598" spans="87:87">
      <c r="CI2598" s="31"/>
    </row>
    <row r="2599" spans="87:87">
      <c r="CI2599" s="31"/>
    </row>
    <row r="2600" spans="87:87">
      <c r="CI2600" s="31"/>
    </row>
    <row r="2601" spans="87:87">
      <c r="CI2601" s="31"/>
    </row>
    <row r="2602" spans="87:87">
      <c r="CI2602" s="31"/>
    </row>
    <row r="2603" spans="87:87">
      <c r="CI2603" s="31"/>
    </row>
    <row r="2604" spans="87:87">
      <c r="CI2604" s="31"/>
    </row>
    <row r="2605" spans="87:87">
      <c r="CI2605" s="31"/>
    </row>
    <row r="2606" spans="87:87">
      <c r="CI2606" s="31"/>
    </row>
    <row r="2607" spans="87:87">
      <c r="CI2607" s="31"/>
    </row>
    <row r="2608" spans="87:87">
      <c r="CI2608" s="31"/>
    </row>
    <row r="2609" spans="87:87">
      <c r="CI2609" s="31"/>
    </row>
    <row r="2610" spans="87:87">
      <c r="CI2610" s="31"/>
    </row>
    <row r="2611" spans="87:87">
      <c r="CI2611" s="31"/>
    </row>
    <row r="2612" spans="87:87">
      <c r="CI2612" s="31"/>
    </row>
    <row r="2613" spans="87:87">
      <c r="CI2613" s="31"/>
    </row>
    <row r="2614" spans="87:87">
      <c r="CI2614" s="31"/>
    </row>
    <row r="2615" spans="87:87">
      <c r="CI2615" s="31"/>
    </row>
    <row r="2616" spans="87:87">
      <c r="CI2616" s="31"/>
    </row>
    <row r="2617" spans="87:87">
      <c r="CI2617" s="31"/>
    </row>
    <row r="2618" spans="87:87">
      <c r="CI2618" s="31"/>
    </row>
    <row r="2619" spans="87:87">
      <c r="CI2619" s="31"/>
    </row>
    <row r="2620" spans="87:87">
      <c r="CI2620" s="31"/>
    </row>
    <row r="2621" spans="87:87">
      <c r="CI2621" s="31"/>
    </row>
    <row r="2622" spans="87:87">
      <c r="CI2622" s="31"/>
    </row>
    <row r="2623" spans="87:87">
      <c r="CI2623" s="31"/>
    </row>
    <row r="2624" spans="87:87">
      <c r="CI2624" s="31"/>
    </row>
    <row r="2625" spans="87:87">
      <c r="CI2625" s="31"/>
    </row>
    <row r="2626" spans="87:87">
      <c r="CI2626" s="31"/>
    </row>
    <row r="2627" spans="87:87">
      <c r="CI2627" s="31"/>
    </row>
    <row r="2628" spans="87:87">
      <c r="CI2628" s="31"/>
    </row>
    <row r="2629" spans="87:87">
      <c r="CI2629" s="31"/>
    </row>
    <row r="2630" spans="87:87">
      <c r="CI2630" s="31"/>
    </row>
    <row r="2631" spans="87:87">
      <c r="CI2631" s="31"/>
    </row>
    <row r="2632" spans="87:87">
      <c r="CI2632" s="31"/>
    </row>
    <row r="2633" spans="87:87">
      <c r="CI2633" s="31"/>
    </row>
    <row r="2634" spans="87:87">
      <c r="CI2634" s="31"/>
    </row>
    <row r="2635" spans="87:87">
      <c r="CI2635" s="31"/>
    </row>
    <row r="2636" spans="87:87">
      <c r="CI2636" s="31"/>
    </row>
    <row r="2637" spans="87:87">
      <c r="CI2637" s="31"/>
    </row>
    <row r="2638" spans="87:87">
      <c r="CI2638" s="31"/>
    </row>
    <row r="2639" spans="87:87">
      <c r="CI2639" s="31"/>
    </row>
    <row r="2640" spans="87:87">
      <c r="CI2640" s="31"/>
    </row>
    <row r="2641" spans="87:87">
      <c r="CI2641" s="31"/>
    </row>
    <row r="2642" spans="87:87">
      <c r="CI2642" s="31"/>
    </row>
    <row r="2643" spans="87:87">
      <c r="CI2643" s="31"/>
    </row>
    <row r="2644" spans="87:87">
      <c r="CI2644" s="31"/>
    </row>
    <row r="2645" spans="87:87">
      <c r="CI2645" s="31"/>
    </row>
    <row r="2646" spans="87:87">
      <c r="CI2646" s="31"/>
    </row>
    <row r="2647" spans="87:87">
      <c r="CI2647" s="31"/>
    </row>
    <row r="2648" spans="87:87">
      <c r="CI2648" s="31"/>
    </row>
    <row r="2649" spans="87:87">
      <c r="CI2649" s="31"/>
    </row>
    <row r="2650" spans="87:87">
      <c r="CI2650" s="31"/>
    </row>
    <row r="2651" spans="87:87">
      <c r="CI2651" s="31"/>
    </row>
    <row r="2652" spans="87:87">
      <c r="CI2652" s="31"/>
    </row>
    <row r="2653" spans="87:87">
      <c r="CI2653" s="31"/>
    </row>
    <row r="2654" spans="87:87">
      <c r="CI2654" s="31"/>
    </row>
    <row r="2655" spans="87:87">
      <c r="CI2655" s="31"/>
    </row>
    <row r="2656" spans="87:87">
      <c r="CI2656" s="31"/>
    </row>
    <row r="2657" spans="87:87">
      <c r="CI2657" s="31"/>
    </row>
    <row r="2658" spans="87:87">
      <c r="CI2658" s="31"/>
    </row>
    <row r="2659" spans="87:87">
      <c r="CI2659" s="31"/>
    </row>
    <row r="2660" spans="87:87">
      <c r="CI2660" s="31"/>
    </row>
    <row r="2661" spans="87:87">
      <c r="CI2661" s="31"/>
    </row>
    <row r="2662" spans="87:87">
      <c r="CI2662" s="31"/>
    </row>
    <row r="2663" spans="87:87">
      <c r="CI2663" s="31"/>
    </row>
    <row r="2664" spans="87:87">
      <c r="CI2664" s="31"/>
    </row>
    <row r="2665" spans="87:87">
      <c r="CI2665" s="31"/>
    </row>
    <row r="2666" spans="87:87">
      <c r="CI2666" s="31"/>
    </row>
    <row r="2667" spans="87:87">
      <c r="CI2667" s="31"/>
    </row>
    <row r="2668" spans="87:87">
      <c r="CI2668" s="31"/>
    </row>
    <row r="2669" spans="87:87">
      <c r="CI2669" s="31"/>
    </row>
    <row r="2670" spans="87:87">
      <c r="CI2670" s="31"/>
    </row>
    <row r="2671" spans="87:87">
      <c r="CI2671" s="31"/>
    </row>
    <row r="2672" spans="87:87">
      <c r="CI2672" s="31"/>
    </row>
    <row r="2673" spans="87:87">
      <c r="CI2673" s="31"/>
    </row>
    <row r="2674" spans="87:87">
      <c r="CI2674" s="31"/>
    </row>
    <row r="2675" spans="87:87">
      <c r="CI2675" s="31"/>
    </row>
    <row r="2676" spans="87:87">
      <c r="CI2676" s="31"/>
    </row>
    <row r="2677" spans="87:87">
      <c r="CI2677" s="31"/>
    </row>
    <row r="2678" spans="87:87">
      <c r="CI2678" s="31"/>
    </row>
    <row r="2679" spans="87:87">
      <c r="CI2679" s="31"/>
    </row>
    <row r="2680" spans="87:87">
      <c r="CI2680" s="31"/>
    </row>
    <row r="2681" spans="87:87">
      <c r="CI2681" s="31"/>
    </row>
    <row r="2682" spans="87:87">
      <c r="CI2682" s="31"/>
    </row>
    <row r="2683" spans="87:87">
      <c r="CI2683" s="31"/>
    </row>
    <row r="2684" spans="87:87">
      <c r="CI2684" s="31"/>
    </row>
    <row r="2685" spans="87:87">
      <c r="CI2685" s="31"/>
    </row>
    <row r="2686" spans="87:87">
      <c r="CI2686" s="31"/>
    </row>
    <row r="2687" spans="87:87">
      <c r="CI2687" s="31"/>
    </row>
    <row r="2688" spans="87:87">
      <c r="CI2688" s="31"/>
    </row>
    <row r="2689" spans="87:87">
      <c r="CI2689" s="31"/>
    </row>
    <row r="2690" spans="87:87">
      <c r="CI2690" s="31"/>
    </row>
    <row r="2691" spans="87:87">
      <c r="CI2691" s="31"/>
    </row>
    <row r="2692" spans="87:87">
      <c r="CI2692" s="31"/>
    </row>
    <row r="2693" spans="87:87">
      <c r="CI2693" s="31"/>
    </row>
    <row r="2694" spans="87:87">
      <c r="CI2694" s="31"/>
    </row>
    <row r="2695" spans="87:87">
      <c r="CI2695" s="31"/>
    </row>
    <row r="2696" spans="87:87">
      <c r="CI2696" s="31"/>
    </row>
    <row r="2697" spans="87:87">
      <c r="CI2697" s="31"/>
    </row>
    <row r="2698" spans="87:87">
      <c r="CI2698" s="31"/>
    </row>
    <row r="2699" spans="87:87">
      <c r="CI2699" s="31"/>
    </row>
    <row r="2700" spans="87:87">
      <c r="CI2700" s="31"/>
    </row>
    <row r="2701" spans="87:87">
      <c r="CI2701" s="31"/>
    </row>
    <row r="2702" spans="87:87">
      <c r="CI2702" s="31"/>
    </row>
    <row r="2703" spans="87:87">
      <c r="CI2703" s="31"/>
    </row>
    <row r="2704" spans="87:87">
      <c r="CI2704" s="31"/>
    </row>
    <row r="2705" spans="87:87">
      <c r="CI2705" s="31"/>
    </row>
    <row r="2706" spans="87:87">
      <c r="CI2706" s="31"/>
    </row>
    <row r="2707" spans="87:87">
      <c r="CI2707" s="31"/>
    </row>
    <row r="2708" spans="87:87">
      <c r="CI2708" s="31"/>
    </row>
    <row r="2709" spans="87:87">
      <c r="CI2709" s="31"/>
    </row>
    <row r="2710" spans="87:87">
      <c r="CI2710" s="31"/>
    </row>
    <row r="2711" spans="87:87">
      <c r="CI2711" s="31"/>
    </row>
    <row r="2712" spans="87:87">
      <c r="CI2712" s="31"/>
    </row>
    <row r="2713" spans="87:87">
      <c r="CI2713" s="31"/>
    </row>
    <row r="2714" spans="87:87">
      <c r="CI2714" s="31"/>
    </row>
    <row r="2715" spans="87:87">
      <c r="CI2715" s="31"/>
    </row>
    <row r="2716" spans="87:87">
      <c r="CI2716" s="31"/>
    </row>
    <row r="2717" spans="87:87">
      <c r="CI2717" s="31"/>
    </row>
    <row r="2718" spans="87:87">
      <c r="CI2718" s="31"/>
    </row>
    <row r="2719" spans="87:87">
      <c r="CI2719" s="31"/>
    </row>
    <row r="2720" spans="87:87">
      <c r="CI2720" s="31"/>
    </row>
    <row r="2721" spans="87:87">
      <c r="CI2721" s="31"/>
    </row>
    <row r="2722" spans="87:87">
      <c r="CI2722" s="31"/>
    </row>
    <row r="2723" spans="87:87">
      <c r="CI2723" s="31"/>
    </row>
    <row r="2724" spans="87:87">
      <c r="CI2724" s="31"/>
    </row>
    <row r="2725" spans="87:87">
      <c r="CI2725" s="31"/>
    </row>
    <row r="2726" spans="87:87">
      <c r="CI2726" s="31"/>
    </row>
    <row r="2727" spans="87:87">
      <c r="CI2727" s="31"/>
    </row>
    <row r="2728" spans="87:87">
      <c r="CI2728" s="31"/>
    </row>
    <row r="2729" spans="87:87">
      <c r="CI2729" s="31"/>
    </row>
    <row r="2730" spans="87:87">
      <c r="CI2730" s="31"/>
    </row>
    <row r="2731" spans="87:87">
      <c r="CI2731" s="31"/>
    </row>
    <row r="2732" spans="87:87">
      <c r="CI2732" s="31"/>
    </row>
    <row r="2733" spans="87:87">
      <c r="CI2733" s="31"/>
    </row>
    <row r="2734" spans="87:87">
      <c r="CI2734" s="31"/>
    </row>
    <row r="2735" spans="87:87">
      <c r="CI2735" s="31"/>
    </row>
    <row r="2736" spans="87:87">
      <c r="CI2736" s="31"/>
    </row>
    <row r="2737" spans="87:87">
      <c r="CI2737" s="31"/>
    </row>
    <row r="2738" spans="87:87">
      <c r="CI2738" s="31"/>
    </row>
    <row r="2739" spans="87:87">
      <c r="CI2739" s="31"/>
    </row>
    <row r="2740" spans="87:87">
      <c r="CI2740" s="31"/>
    </row>
    <row r="2741" spans="87:87">
      <c r="CI2741" s="31"/>
    </row>
    <row r="2742" spans="87:87">
      <c r="CI2742" s="31"/>
    </row>
    <row r="2743" spans="87:87">
      <c r="CI2743" s="31"/>
    </row>
    <row r="2744" spans="87:87">
      <c r="CI2744" s="31"/>
    </row>
    <row r="2745" spans="87:87">
      <c r="CI2745" s="31"/>
    </row>
    <row r="2746" spans="87:87">
      <c r="CI2746" s="31"/>
    </row>
    <row r="2747" spans="87:87">
      <c r="CI2747" s="31"/>
    </row>
    <row r="2748" spans="87:87">
      <c r="CI2748" s="31"/>
    </row>
    <row r="2749" spans="87:87">
      <c r="CI2749" s="31"/>
    </row>
    <row r="2750" spans="87:87">
      <c r="CI2750" s="31"/>
    </row>
    <row r="2751" spans="87:87">
      <c r="CI2751" s="31"/>
    </row>
    <row r="2752" spans="87:87">
      <c r="CI2752" s="31"/>
    </row>
    <row r="2753" spans="87:87">
      <c r="CI2753" s="31"/>
    </row>
    <row r="2754" spans="87:87">
      <c r="CI2754" s="31"/>
    </row>
    <row r="2755" spans="87:87">
      <c r="CI2755" s="31"/>
    </row>
    <row r="2756" spans="87:87">
      <c r="CI2756" s="31"/>
    </row>
    <row r="2757" spans="87:87">
      <c r="CI2757" s="31"/>
    </row>
    <row r="2758" spans="87:87">
      <c r="CI2758" s="31"/>
    </row>
    <row r="2759" spans="87:87">
      <c r="CI2759" s="31"/>
    </row>
    <row r="2760" spans="87:87">
      <c r="CI2760" s="31"/>
    </row>
    <row r="2761" spans="87:87">
      <c r="CI2761" s="31"/>
    </row>
    <row r="2762" spans="87:87">
      <c r="CI2762" s="31"/>
    </row>
    <row r="2763" spans="87:87">
      <c r="CI2763" s="31"/>
    </row>
    <row r="2764" spans="87:87">
      <c r="CI2764" s="31"/>
    </row>
    <row r="2765" spans="87:87">
      <c r="CI2765" s="31"/>
    </row>
    <row r="2766" spans="87:87">
      <c r="CI2766" s="31"/>
    </row>
    <row r="2767" spans="87:87">
      <c r="CI2767" s="31"/>
    </row>
    <row r="2768" spans="87:87">
      <c r="CI2768" s="31"/>
    </row>
    <row r="2769" spans="87:87">
      <c r="CI2769" s="31"/>
    </row>
    <row r="2770" spans="87:87">
      <c r="CI2770" s="31"/>
    </row>
    <row r="2771" spans="87:87">
      <c r="CI2771" s="31"/>
    </row>
    <row r="2772" spans="87:87">
      <c r="CI2772" s="31"/>
    </row>
    <row r="2773" spans="87:87">
      <c r="CI2773" s="31"/>
    </row>
    <row r="2774" spans="87:87">
      <c r="CI2774" s="31"/>
    </row>
    <row r="2775" spans="87:87">
      <c r="CI2775" s="31"/>
    </row>
    <row r="2776" spans="87:87">
      <c r="CI2776" s="31"/>
    </row>
    <row r="2777" spans="87:87">
      <c r="CI2777" s="31"/>
    </row>
    <row r="2778" spans="87:87">
      <c r="CI2778" s="31"/>
    </row>
    <row r="2779" spans="87:87">
      <c r="CI2779" s="31"/>
    </row>
    <row r="2780" spans="87:87">
      <c r="CI2780" s="31"/>
    </row>
    <row r="2781" spans="87:87">
      <c r="CI2781" s="31"/>
    </row>
    <row r="2782" spans="87:87">
      <c r="CI2782" s="31"/>
    </row>
    <row r="2783" spans="87:87">
      <c r="CI2783" s="31"/>
    </row>
    <row r="2784" spans="87:87">
      <c r="CI2784" s="31"/>
    </row>
    <row r="2785" spans="87:87">
      <c r="CI2785" s="31"/>
    </row>
    <row r="2786" spans="87:87">
      <c r="CI2786" s="31"/>
    </row>
    <row r="2787" spans="87:87">
      <c r="CI2787" s="31"/>
    </row>
    <row r="2788" spans="87:87">
      <c r="CI2788" s="31"/>
    </row>
    <row r="2789" spans="87:87">
      <c r="CI2789" s="31"/>
    </row>
    <row r="2790" spans="87:87">
      <c r="CI2790" s="31"/>
    </row>
    <row r="2791" spans="87:87">
      <c r="CI2791" s="31"/>
    </row>
    <row r="2792" spans="87:87">
      <c r="CI2792" s="31"/>
    </row>
    <row r="2793" spans="87:87">
      <c r="CI2793" s="31"/>
    </row>
    <row r="2794" spans="87:87">
      <c r="CI2794" s="31"/>
    </row>
    <row r="2795" spans="87:87">
      <c r="CI2795" s="31"/>
    </row>
    <row r="2796" spans="87:87">
      <c r="CI2796" s="31"/>
    </row>
    <row r="2797" spans="87:87">
      <c r="CI2797" s="31"/>
    </row>
    <row r="2798" spans="87:87">
      <c r="CI2798" s="31"/>
    </row>
    <row r="2799" spans="87:87">
      <c r="CI2799" s="31"/>
    </row>
    <row r="2800" spans="87:87">
      <c r="CI2800" s="31"/>
    </row>
    <row r="2801" spans="87:87">
      <c r="CI2801" s="31"/>
    </row>
    <row r="2802" spans="87:87">
      <c r="CI2802" s="31"/>
    </row>
    <row r="2803" spans="87:87">
      <c r="CI2803" s="31"/>
    </row>
    <row r="2804" spans="87:87">
      <c r="CI2804" s="31"/>
    </row>
    <row r="2805" spans="87:87">
      <c r="CI2805" s="31"/>
    </row>
    <row r="2806" spans="87:87">
      <c r="CI2806" s="31"/>
    </row>
    <row r="2807" spans="87:87">
      <c r="CI2807" s="31"/>
    </row>
    <row r="2808" spans="87:87">
      <c r="CI2808" s="31"/>
    </row>
    <row r="2809" spans="87:87">
      <c r="CI2809" s="31"/>
    </row>
    <row r="2810" spans="87:87">
      <c r="CI2810" s="31"/>
    </row>
    <row r="2811" spans="87:87">
      <c r="CI2811" s="31"/>
    </row>
    <row r="2812" spans="87:87">
      <c r="CI2812" s="31"/>
    </row>
    <row r="2813" spans="87:87">
      <c r="CI2813" s="31"/>
    </row>
    <row r="2814" spans="87:87">
      <c r="CI2814" s="31"/>
    </row>
    <row r="2815" spans="87:87">
      <c r="CI2815" s="31"/>
    </row>
    <row r="2816" spans="87:87">
      <c r="CI2816" s="31"/>
    </row>
    <row r="2817" spans="87:87">
      <c r="CI2817" s="31"/>
    </row>
    <row r="2818" spans="87:87">
      <c r="CI2818" s="31"/>
    </row>
    <row r="2819" spans="87:87">
      <c r="CI2819" s="31"/>
    </row>
    <row r="2820" spans="87:87">
      <c r="CI2820" s="31"/>
    </row>
    <row r="2821" spans="87:87">
      <c r="CI2821" s="31"/>
    </row>
    <row r="2822" spans="87:87">
      <c r="CI2822" s="31"/>
    </row>
    <row r="2823" spans="87:87">
      <c r="CI2823" s="31"/>
    </row>
    <row r="2824" spans="87:87">
      <c r="CI2824" s="31"/>
    </row>
    <row r="2825" spans="87:87">
      <c r="CI2825" s="31"/>
    </row>
    <row r="2826" spans="87:87">
      <c r="CI2826" s="31"/>
    </row>
    <row r="2827" spans="87:87">
      <c r="CI2827" s="31"/>
    </row>
    <row r="2828" spans="87:87">
      <c r="CI2828" s="31"/>
    </row>
    <row r="2829" spans="87:87">
      <c r="CI2829" s="31"/>
    </row>
    <row r="2830" spans="87:87">
      <c r="CI2830" s="31"/>
    </row>
    <row r="2831" spans="87:87">
      <c r="CI2831" s="31"/>
    </row>
    <row r="2832" spans="87:87">
      <c r="CI2832" s="31"/>
    </row>
    <row r="2833" spans="87:87">
      <c r="CI2833" s="31"/>
    </row>
    <row r="2834" spans="87:87">
      <c r="CI2834" s="31"/>
    </row>
    <row r="2835" spans="87:87">
      <c r="CI2835" s="31"/>
    </row>
    <row r="2836" spans="87:87">
      <c r="CI2836" s="31"/>
    </row>
    <row r="2837" spans="87:87">
      <c r="CI2837" s="31"/>
    </row>
    <row r="2838" spans="87:87">
      <c r="CI2838" s="31"/>
    </row>
    <row r="2839" spans="87:87">
      <c r="CI2839" s="31"/>
    </row>
    <row r="2840" spans="87:87">
      <c r="CI2840" s="31"/>
    </row>
    <row r="2841" spans="87:87">
      <c r="CI2841" s="31"/>
    </row>
    <row r="2842" spans="87:87">
      <c r="CI2842" s="31"/>
    </row>
    <row r="2843" spans="87:87">
      <c r="CI2843" s="31"/>
    </row>
    <row r="2844" spans="87:87">
      <c r="CI2844" s="31"/>
    </row>
    <row r="2845" spans="87:87">
      <c r="CI2845" s="31"/>
    </row>
    <row r="2846" spans="87:87">
      <c r="CI2846" s="31"/>
    </row>
    <row r="2847" spans="87:87">
      <c r="CI2847" s="31"/>
    </row>
    <row r="2848" spans="87:87">
      <c r="CI2848" s="31"/>
    </row>
    <row r="2849" spans="87:87">
      <c r="CI2849" s="31"/>
    </row>
    <row r="2850" spans="87:87">
      <c r="CI2850" s="31"/>
    </row>
    <row r="2851" spans="87:87">
      <c r="CI2851" s="31"/>
    </row>
    <row r="2852" spans="87:87">
      <c r="CI2852" s="31"/>
    </row>
    <row r="2853" spans="87:87">
      <c r="CI2853" s="31"/>
    </row>
    <row r="2854" spans="87:87">
      <c r="CI2854" s="31"/>
    </row>
    <row r="2855" spans="87:87">
      <c r="CI2855" s="31"/>
    </row>
    <row r="2856" spans="87:87">
      <c r="CI2856" s="31"/>
    </row>
    <row r="2857" spans="87:87">
      <c r="CI2857" s="31"/>
    </row>
    <row r="2858" spans="87:87">
      <c r="CI2858" s="31"/>
    </row>
    <row r="2859" spans="87:87">
      <c r="CI2859" s="31"/>
    </row>
    <row r="2860" spans="87:87">
      <c r="CI2860" s="31"/>
    </row>
    <row r="2861" spans="87:87">
      <c r="CI2861" s="31"/>
    </row>
    <row r="2862" spans="87:87">
      <c r="CI2862" s="31"/>
    </row>
    <row r="2863" spans="87:87">
      <c r="CI2863" s="31"/>
    </row>
    <row r="2864" spans="87:87">
      <c r="CI2864" s="31"/>
    </row>
    <row r="2865" spans="87:87">
      <c r="CI2865" s="31"/>
    </row>
    <row r="2866" spans="87:87">
      <c r="CI2866" s="31"/>
    </row>
    <row r="2867" spans="87:87">
      <c r="CI2867" s="31"/>
    </row>
    <row r="2868" spans="87:87">
      <c r="CI2868" s="31"/>
    </row>
    <row r="2869" spans="87:87">
      <c r="CI2869" s="31"/>
    </row>
    <row r="2870" spans="87:87">
      <c r="CI2870" s="31"/>
    </row>
    <row r="2871" spans="87:87">
      <c r="CI2871" s="31"/>
    </row>
    <row r="2872" spans="87:87">
      <c r="CI2872" s="31"/>
    </row>
    <row r="2873" spans="87:87">
      <c r="CI2873" s="31"/>
    </row>
    <row r="2874" spans="87:87">
      <c r="CI2874" s="31"/>
    </row>
    <row r="2875" spans="87:87">
      <c r="CI2875" s="31"/>
    </row>
    <row r="2876" spans="87:87">
      <c r="CI2876" s="31"/>
    </row>
    <row r="2877" spans="87:87">
      <c r="CI2877" s="31"/>
    </row>
    <row r="2878" spans="87:87">
      <c r="CI2878" s="31"/>
    </row>
    <row r="2879" spans="87:87">
      <c r="CI2879" s="31"/>
    </row>
    <row r="2880" spans="87:87">
      <c r="CI2880" s="31"/>
    </row>
    <row r="2881" spans="87:87">
      <c r="CI2881" s="31"/>
    </row>
    <row r="2882" spans="87:87">
      <c r="CI2882" s="31"/>
    </row>
    <row r="2883" spans="87:87">
      <c r="CI2883" s="31"/>
    </row>
    <row r="2884" spans="87:87">
      <c r="CI2884" s="31"/>
    </row>
    <row r="2885" spans="87:87">
      <c r="CI2885" s="31"/>
    </row>
    <row r="2886" spans="87:87">
      <c r="CI2886" s="31"/>
    </row>
    <row r="2887" spans="87:87">
      <c r="CI2887" s="31"/>
    </row>
    <row r="2888" spans="87:87">
      <c r="CI2888" s="31"/>
    </row>
    <row r="2889" spans="87:87">
      <c r="CI2889" s="31"/>
    </row>
    <row r="2890" spans="87:87">
      <c r="CI2890" s="31"/>
    </row>
    <row r="2891" spans="87:87">
      <c r="CI2891" s="31"/>
    </row>
    <row r="2892" spans="87:87">
      <c r="CI2892" s="31"/>
    </row>
    <row r="2893" spans="87:87">
      <c r="CI2893" s="31"/>
    </row>
    <row r="2894" spans="87:87">
      <c r="CI2894" s="31"/>
    </row>
    <row r="2895" spans="87:87">
      <c r="CI2895" s="31"/>
    </row>
    <row r="2896" spans="87:87">
      <c r="CI2896" s="31"/>
    </row>
    <row r="2897" spans="87:87">
      <c r="CI2897" s="31"/>
    </row>
    <row r="2898" spans="87:87">
      <c r="CI2898" s="31"/>
    </row>
    <row r="2899" spans="87:87">
      <c r="CI2899" s="31"/>
    </row>
    <row r="2900" spans="87:87">
      <c r="CI2900" s="31"/>
    </row>
    <row r="2901" spans="87:87">
      <c r="CI2901" s="31"/>
    </row>
    <row r="2902" spans="87:87">
      <c r="CI2902" s="31"/>
    </row>
    <row r="2903" spans="87:87">
      <c r="CI2903" s="31"/>
    </row>
    <row r="2904" spans="87:87">
      <c r="CI2904" s="31"/>
    </row>
    <row r="2905" spans="87:87">
      <c r="CI2905" s="31"/>
    </row>
    <row r="2906" spans="87:87">
      <c r="CI2906" s="31"/>
    </row>
    <row r="2907" spans="87:87">
      <c r="CI2907" s="31"/>
    </row>
    <row r="2908" spans="87:87">
      <c r="CI2908" s="31"/>
    </row>
    <row r="2909" spans="87:87">
      <c r="CI2909" s="31"/>
    </row>
    <row r="2910" spans="87:87">
      <c r="CI2910" s="31"/>
    </row>
    <row r="2911" spans="87:87">
      <c r="CI2911" s="31"/>
    </row>
    <row r="2912" spans="87:87">
      <c r="CI2912" s="31"/>
    </row>
    <row r="2913" spans="87:87">
      <c r="CI2913" s="31"/>
    </row>
    <row r="2914" spans="87:87">
      <c r="CI2914" s="31"/>
    </row>
    <row r="2915" spans="87:87">
      <c r="CI2915" s="31"/>
    </row>
    <row r="2916" spans="87:87">
      <c r="CI2916" s="31"/>
    </row>
    <row r="2917" spans="87:87">
      <c r="CI2917" s="31"/>
    </row>
    <row r="2918" spans="87:87">
      <c r="CI2918" s="31"/>
    </row>
    <row r="2919" spans="87:87">
      <c r="CI2919" s="31"/>
    </row>
    <row r="2920" spans="87:87">
      <c r="CI2920" s="31"/>
    </row>
    <row r="2921" spans="87:87">
      <c r="CI2921" s="31"/>
    </row>
    <row r="2922" spans="87:87">
      <c r="CI2922" s="31"/>
    </row>
    <row r="2923" spans="87:87">
      <c r="CI2923" s="31"/>
    </row>
    <row r="2924" spans="87:87">
      <c r="CI2924" s="31"/>
    </row>
    <row r="2925" spans="87:87">
      <c r="CI2925" s="31"/>
    </row>
    <row r="2926" spans="87:87">
      <c r="CI2926" s="31"/>
    </row>
    <row r="2927" spans="87:87">
      <c r="CI2927" s="31"/>
    </row>
    <row r="2928" spans="87:87">
      <c r="CI2928" s="31"/>
    </row>
    <row r="2929" spans="87:87">
      <c r="CI2929" s="31"/>
    </row>
    <row r="2930" spans="87:87">
      <c r="CI2930" s="31"/>
    </row>
    <row r="2931" spans="87:87">
      <c r="CI2931" s="31"/>
    </row>
    <row r="2932" spans="87:87">
      <c r="CI2932" s="31"/>
    </row>
    <row r="2933" spans="87:87">
      <c r="CI2933" s="31"/>
    </row>
    <row r="2934" spans="87:87">
      <c r="CI2934" s="31"/>
    </row>
    <row r="2935" spans="87:87">
      <c r="CI2935" s="31"/>
    </row>
    <row r="2936" spans="87:87">
      <c r="CI2936" s="31"/>
    </row>
    <row r="2937" spans="87:87">
      <c r="CI2937" s="31"/>
    </row>
    <row r="2938" spans="87:87">
      <c r="CI2938" s="31"/>
    </row>
    <row r="2939" spans="87:87">
      <c r="CI2939" s="31"/>
    </row>
    <row r="2940" spans="87:87">
      <c r="CI2940" s="31"/>
    </row>
    <row r="2941" spans="87:87">
      <c r="CI2941" s="31"/>
    </row>
    <row r="2942" spans="87:87">
      <c r="CI2942" s="31"/>
    </row>
    <row r="2943" spans="87:87">
      <c r="CI2943" s="31"/>
    </row>
    <row r="2944" spans="87:87">
      <c r="CI2944" s="31"/>
    </row>
    <row r="2945" spans="87:87">
      <c r="CI2945" s="31"/>
    </row>
    <row r="2946" spans="87:87">
      <c r="CI2946" s="31"/>
    </row>
    <row r="2947" spans="87:87">
      <c r="CI2947" s="31"/>
    </row>
    <row r="2948" spans="87:87">
      <c r="CI2948" s="31"/>
    </row>
    <row r="2949" spans="87:87">
      <c r="CI2949" s="31"/>
    </row>
    <row r="2950" spans="87:87">
      <c r="CI2950" s="31"/>
    </row>
    <row r="2951" spans="87:87">
      <c r="CI2951" s="31"/>
    </row>
    <row r="2952" spans="87:87">
      <c r="CI2952" s="31"/>
    </row>
    <row r="2953" spans="87:87">
      <c r="CI2953" s="31"/>
    </row>
    <row r="2954" spans="87:87">
      <c r="CI2954" s="31"/>
    </row>
    <row r="2955" spans="87:87">
      <c r="CI2955" s="31"/>
    </row>
    <row r="2956" spans="87:87">
      <c r="CI2956" s="31"/>
    </row>
    <row r="2957" spans="87:87">
      <c r="CI2957" s="31"/>
    </row>
    <row r="2958" spans="87:87">
      <c r="CI2958" s="31"/>
    </row>
    <row r="2959" spans="87:87">
      <c r="CI2959" s="31"/>
    </row>
    <row r="2960" spans="87:87">
      <c r="CI2960" s="31"/>
    </row>
    <row r="2961" spans="87:87">
      <c r="CI2961" s="31"/>
    </row>
    <row r="2962" spans="87:87">
      <c r="CI2962" s="31"/>
    </row>
    <row r="2963" spans="87:87">
      <c r="CI2963" s="31"/>
    </row>
    <row r="2964" spans="87:87">
      <c r="CI2964" s="31"/>
    </row>
    <row r="2965" spans="87:87">
      <c r="CI2965" s="31"/>
    </row>
    <row r="2966" spans="87:87">
      <c r="CI2966" s="31"/>
    </row>
    <row r="2967" spans="87:87">
      <c r="CI2967" s="31"/>
    </row>
    <row r="2968" spans="87:87">
      <c r="CI2968" s="31"/>
    </row>
    <row r="2969" spans="87:87">
      <c r="CI2969" s="31"/>
    </row>
    <row r="2970" spans="87:87">
      <c r="CI2970" s="31"/>
    </row>
    <row r="2971" spans="87:87">
      <c r="CI2971" s="31"/>
    </row>
    <row r="2972" spans="87:87">
      <c r="CI2972" s="31"/>
    </row>
    <row r="2973" spans="87:87">
      <c r="CI2973" s="31"/>
    </row>
    <row r="2974" spans="87:87">
      <c r="CI2974" s="31"/>
    </row>
    <row r="2975" spans="87:87">
      <c r="CI2975" s="31"/>
    </row>
    <row r="2976" spans="87:87">
      <c r="CI2976" s="31"/>
    </row>
    <row r="2977" spans="87:87">
      <c r="CI2977" s="31"/>
    </row>
    <row r="2978" spans="87:87">
      <c r="CI2978" s="31"/>
    </row>
    <row r="2979" spans="87:87">
      <c r="CI2979" s="31"/>
    </row>
    <row r="2980" spans="87:87">
      <c r="CI2980" s="31"/>
    </row>
    <row r="2981" spans="87:87">
      <c r="CI2981" s="31"/>
    </row>
    <row r="2982" spans="87:87">
      <c r="CI2982" s="31"/>
    </row>
    <row r="2983" spans="87:87">
      <c r="CI2983" s="31"/>
    </row>
    <row r="2984" spans="87:87">
      <c r="CI2984" s="31"/>
    </row>
    <row r="2985" spans="87:87">
      <c r="CI2985" s="31"/>
    </row>
    <row r="2986" spans="87:87">
      <c r="CI2986" s="31"/>
    </row>
    <row r="2987" spans="87:87">
      <c r="CI2987" s="31"/>
    </row>
    <row r="2988" spans="87:87">
      <c r="CI2988" s="31"/>
    </row>
    <row r="2989" spans="87:87">
      <c r="CI2989" s="31"/>
    </row>
    <row r="2990" spans="87:87">
      <c r="CI2990" s="31"/>
    </row>
    <row r="2991" spans="87:87">
      <c r="CI2991" s="31"/>
    </row>
    <row r="2992" spans="87:87">
      <c r="CI2992" s="31"/>
    </row>
    <row r="2993" spans="87:87">
      <c r="CI2993" s="31"/>
    </row>
    <row r="2994" spans="87:87">
      <c r="CI2994" s="31"/>
    </row>
    <row r="2995" spans="87:87">
      <c r="CI2995" s="31"/>
    </row>
    <row r="2996" spans="87:87">
      <c r="CI2996" s="31"/>
    </row>
    <row r="2997" spans="87:87">
      <c r="CI2997" s="31"/>
    </row>
    <row r="2998" spans="87:87">
      <c r="CI2998" s="31"/>
    </row>
    <row r="2999" spans="87:87">
      <c r="CI2999" s="31"/>
    </row>
    <row r="3000" spans="87:87">
      <c r="CI3000" s="31"/>
    </row>
    <row r="3001" spans="87:87">
      <c r="CI3001" s="31"/>
    </row>
    <row r="3002" spans="87:87">
      <c r="CI3002" s="31"/>
    </row>
    <row r="3003" spans="87:87">
      <c r="CI3003" s="31"/>
    </row>
    <row r="3004" spans="87:87">
      <c r="CI3004" s="31"/>
    </row>
    <row r="3005" spans="87:87">
      <c r="CI3005" s="31"/>
    </row>
    <row r="3006" spans="87:87">
      <c r="CI3006" s="31"/>
    </row>
    <row r="3007" spans="87:87">
      <c r="CI3007" s="31"/>
    </row>
    <row r="3008" spans="87:87">
      <c r="CI3008" s="31"/>
    </row>
    <row r="3009" spans="87:87">
      <c r="CI3009" s="31"/>
    </row>
    <row r="3010" spans="87:87">
      <c r="CI3010" s="31"/>
    </row>
    <row r="3011" spans="87:87">
      <c r="CI3011" s="31"/>
    </row>
  </sheetData>
  <phoneticPr fontId="2" type="noConversion"/>
  <pageMargins left="0.78740157499999996" right="0.78740157499999996" top="0.984251969" bottom="0.984251969" header="0.5" footer="0.5"/>
  <pageSetup paperSize="9" orientation="portrait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indexed="22"/>
  </sheetPr>
  <dimension ref="A1:CI3011"/>
  <sheetViews>
    <sheetView workbookViewId="0">
      <selection sqref="A1:CH340"/>
    </sheetView>
  </sheetViews>
  <sheetFormatPr baseColWidth="10" defaultRowHeight="13"/>
  <cols>
    <col min="1" max="1" width="5" bestFit="1" customWidth="1"/>
    <col min="2" max="2" width="13.6640625" bestFit="1" customWidth="1"/>
    <col min="3" max="3" width="15.33203125" customWidth="1"/>
    <col min="4" max="5" width="13.6640625" bestFit="1" customWidth="1"/>
    <col min="6" max="6" width="11" bestFit="1" customWidth="1"/>
    <col min="7" max="82" width="8.83203125" customWidth="1"/>
    <col min="84" max="86" width="8.83203125" customWidth="1"/>
    <col min="87" max="87" width="9.5" bestFit="1" customWidth="1"/>
    <col min="88" max="251" width="8.83203125" customWidth="1"/>
  </cols>
  <sheetData>
    <row r="1" spans="1:87" ht="15.75" customHeight="1">
      <c r="A1" t="s">
        <v>678</v>
      </c>
    </row>
    <row r="2" spans="1:87" ht="15.75" customHeight="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  <c r="BJ2">
        <v>61</v>
      </c>
      <c r="BK2">
        <v>62</v>
      </c>
      <c r="BL2">
        <v>63</v>
      </c>
      <c r="BM2">
        <v>64</v>
      </c>
      <c r="BN2">
        <v>65</v>
      </c>
      <c r="BO2">
        <v>66</v>
      </c>
      <c r="BP2">
        <v>67</v>
      </c>
      <c r="BQ2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>
        <v>77</v>
      </c>
      <c r="CA2">
        <v>78</v>
      </c>
      <c r="CB2">
        <v>79</v>
      </c>
      <c r="CC2">
        <v>80</v>
      </c>
      <c r="CD2">
        <v>81</v>
      </c>
      <c r="CE2">
        <v>82</v>
      </c>
      <c r="CF2">
        <v>83</v>
      </c>
      <c r="CG2">
        <v>84</v>
      </c>
      <c r="CH2">
        <v>85</v>
      </c>
      <c r="CI2" t="s">
        <v>180</v>
      </c>
    </row>
    <row r="3" spans="1:87" ht="15.75" customHeight="1"/>
    <row r="4" spans="1:87" ht="15.75" customHeight="1">
      <c r="A4">
        <v>1</v>
      </c>
      <c r="CI4" s="31">
        <f>SUM(B4:CH4)</f>
        <v>0</v>
      </c>
    </row>
    <row r="5" spans="1:87" ht="15.75" customHeight="1">
      <c r="A5">
        <v>2</v>
      </c>
      <c r="CI5" s="31">
        <f t="shared" ref="CI5:CI68" si="0">SUM(B5:CH5)</f>
        <v>0</v>
      </c>
    </row>
    <row r="6" spans="1:87" ht="15.75" customHeight="1">
      <c r="A6">
        <v>3</v>
      </c>
      <c r="C6">
        <v>19.873996076314985</v>
      </c>
      <c r="CI6" s="31">
        <f t="shared" si="0"/>
        <v>19.873996076314985</v>
      </c>
    </row>
    <row r="7" spans="1:87" ht="15.75" customHeight="1">
      <c r="A7">
        <v>4</v>
      </c>
      <c r="CI7" s="31">
        <f t="shared" si="0"/>
        <v>0</v>
      </c>
    </row>
    <row r="8" spans="1:87" ht="15.75" customHeight="1">
      <c r="A8">
        <v>5</v>
      </c>
      <c r="E8">
        <v>65.472591741368674</v>
      </c>
      <c r="CI8" s="31">
        <f t="shared" si="0"/>
        <v>65.472591741368674</v>
      </c>
    </row>
    <row r="9" spans="1:87" ht="15.75" customHeight="1">
      <c r="A9">
        <v>6</v>
      </c>
      <c r="CI9" s="31">
        <f t="shared" si="0"/>
        <v>0</v>
      </c>
    </row>
    <row r="10" spans="1:87" ht="15.75" customHeight="1">
      <c r="A10">
        <v>7</v>
      </c>
      <c r="G10">
        <v>33.195366498306676</v>
      </c>
      <c r="CI10" s="31">
        <f t="shared" si="0"/>
        <v>33.195366498306676</v>
      </c>
    </row>
    <row r="11" spans="1:87" ht="15.75" customHeight="1">
      <c r="A11">
        <v>8</v>
      </c>
      <c r="CI11" s="31">
        <f t="shared" si="0"/>
        <v>0</v>
      </c>
    </row>
    <row r="12" spans="1:87" ht="15.75" customHeight="1">
      <c r="A12">
        <v>9</v>
      </c>
      <c r="CI12" s="31">
        <f t="shared" si="0"/>
        <v>0</v>
      </c>
    </row>
    <row r="13" spans="1:87" ht="15.75" customHeight="1">
      <c r="A13">
        <v>10</v>
      </c>
      <c r="J13">
        <v>191.0747310667349</v>
      </c>
      <c r="CI13" s="31">
        <f t="shared" si="0"/>
        <v>191.0747310667349</v>
      </c>
    </row>
    <row r="14" spans="1:87" ht="15.75" customHeight="1">
      <c r="A14">
        <v>11</v>
      </c>
      <c r="CI14" s="31">
        <f t="shared" si="0"/>
        <v>0</v>
      </c>
    </row>
    <row r="15" spans="1:87" ht="15.75" customHeight="1">
      <c r="A15">
        <v>12</v>
      </c>
      <c r="L15">
        <v>103.48433949551195</v>
      </c>
      <c r="CI15" s="31">
        <f t="shared" si="0"/>
        <v>103.48433949551195</v>
      </c>
    </row>
    <row r="16" spans="1:87" ht="15.75" customHeight="1">
      <c r="A16">
        <v>13</v>
      </c>
      <c r="L16">
        <v>102.115902001355</v>
      </c>
      <c r="M16">
        <v>262.99468272874157</v>
      </c>
      <c r="CI16" s="31">
        <f t="shared" si="0"/>
        <v>365.11058473009655</v>
      </c>
    </row>
    <row r="17" spans="1:87" ht="15.75" customHeight="1">
      <c r="A17">
        <v>14</v>
      </c>
      <c r="C17">
        <v>18.084000098611092</v>
      </c>
      <c r="D17">
        <v>24.88591189100848</v>
      </c>
      <c r="E17">
        <v>59.575656096575628</v>
      </c>
      <c r="F17">
        <v>197.75958868848966</v>
      </c>
      <c r="G17">
        <v>30.205551451438001</v>
      </c>
      <c r="H17">
        <v>303.38825687889931</v>
      </c>
      <c r="I17">
        <v>135.41371487164247</v>
      </c>
      <c r="J17">
        <v>173.86515737370607</v>
      </c>
      <c r="K17">
        <v>175.90775408327542</v>
      </c>
      <c r="L17">
        <v>92.918604530824226</v>
      </c>
      <c r="M17">
        <v>239.30747747649787</v>
      </c>
      <c r="N17">
        <v>82.633578124960678</v>
      </c>
      <c r="CI17" s="31">
        <f t="shared" si="0"/>
        <v>1533.9452515659289</v>
      </c>
    </row>
    <row r="18" spans="1:87" ht="15.75" customHeight="1">
      <c r="A18">
        <v>15</v>
      </c>
      <c r="CE18">
        <v>206.4380988918891</v>
      </c>
      <c r="CI18" s="31">
        <f t="shared" si="0"/>
        <v>206.4380988918891</v>
      </c>
    </row>
    <row r="19" spans="1:87" ht="15.75" customHeight="1">
      <c r="A19">
        <v>16</v>
      </c>
      <c r="CI19" s="31">
        <f t="shared" si="0"/>
        <v>0</v>
      </c>
    </row>
    <row r="20" spans="1:87" ht="15.75" customHeight="1">
      <c r="A20">
        <v>17</v>
      </c>
      <c r="CH20">
        <v>21.50759768211055</v>
      </c>
      <c r="CI20" s="31">
        <f t="shared" si="0"/>
        <v>21.50759768211055</v>
      </c>
    </row>
    <row r="21" spans="1:87" ht="15.75" customHeight="1">
      <c r="A21">
        <v>18</v>
      </c>
      <c r="R21">
        <v>69.409654141684214</v>
      </c>
      <c r="T21">
        <v>105.9908427142831</v>
      </c>
      <c r="CF21">
        <v>92.435072094652284</v>
      </c>
      <c r="CG21">
        <v>21.989042014814967</v>
      </c>
      <c r="CH21">
        <v>21.187820433680059</v>
      </c>
      <c r="CI21" s="31">
        <f t="shared" si="0"/>
        <v>311.01243139911469</v>
      </c>
    </row>
    <row r="22" spans="1:87" ht="15.75" customHeight="1">
      <c r="A22">
        <v>19</v>
      </c>
      <c r="CF22">
        <v>93.830148719235893</v>
      </c>
      <c r="CI22" s="31">
        <f t="shared" si="0"/>
        <v>93.830148719235893</v>
      </c>
    </row>
    <row r="23" spans="1:87" ht="15.75" customHeight="1">
      <c r="A23">
        <v>20</v>
      </c>
      <c r="CI23" s="31">
        <f t="shared" si="0"/>
        <v>0</v>
      </c>
    </row>
    <row r="24" spans="1:87" ht="15.75" customHeight="1">
      <c r="A24">
        <v>21</v>
      </c>
      <c r="U24">
        <v>384.90700214070591</v>
      </c>
      <c r="CI24" s="31">
        <f t="shared" si="0"/>
        <v>384.90700214070591</v>
      </c>
    </row>
    <row r="25" spans="1:87">
      <c r="A25">
        <v>22</v>
      </c>
      <c r="CI25" s="31">
        <f t="shared" si="0"/>
        <v>0</v>
      </c>
    </row>
    <row r="26" spans="1:87">
      <c r="A26">
        <v>23</v>
      </c>
      <c r="W26">
        <v>216.9941159712636</v>
      </c>
      <c r="CI26" s="31">
        <f t="shared" si="0"/>
        <v>216.9941159712636</v>
      </c>
    </row>
    <row r="27" spans="1:87">
      <c r="A27">
        <v>24</v>
      </c>
      <c r="CI27" s="31">
        <f t="shared" si="0"/>
        <v>0</v>
      </c>
    </row>
    <row r="28" spans="1:87">
      <c r="A28">
        <v>25</v>
      </c>
      <c r="CI28" s="31">
        <f t="shared" si="0"/>
        <v>0</v>
      </c>
    </row>
    <row r="29" spans="1:87">
      <c r="A29">
        <v>26</v>
      </c>
      <c r="CI29" s="31">
        <f t="shared" si="0"/>
        <v>0</v>
      </c>
    </row>
    <row r="30" spans="1:87">
      <c r="A30">
        <v>27</v>
      </c>
      <c r="CI30" s="31">
        <f t="shared" si="0"/>
        <v>0</v>
      </c>
    </row>
    <row r="31" spans="1:87">
      <c r="A31">
        <v>28</v>
      </c>
      <c r="CI31" s="31">
        <f t="shared" si="0"/>
        <v>0</v>
      </c>
    </row>
    <row r="32" spans="1:87">
      <c r="A32">
        <v>29</v>
      </c>
      <c r="CI32" s="31">
        <f t="shared" si="0"/>
        <v>0</v>
      </c>
    </row>
    <row r="33" spans="1:87">
      <c r="A33">
        <v>30</v>
      </c>
      <c r="CI33" s="31">
        <f t="shared" si="0"/>
        <v>0</v>
      </c>
    </row>
    <row r="34" spans="1:87">
      <c r="A34">
        <v>31</v>
      </c>
      <c r="CI34" s="31">
        <f t="shared" si="0"/>
        <v>0</v>
      </c>
    </row>
    <row r="35" spans="1:87">
      <c r="A35">
        <v>32</v>
      </c>
      <c r="AE35">
        <v>102.97894657910236</v>
      </c>
      <c r="AF35">
        <v>298.86325281899815</v>
      </c>
      <c r="CI35" s="31">
        <f t="shared" si="0"/>
        <v>401.84219939810049</v>
      </c>
    </row>
    <row r="36" spans="1:87">
      <c r="A36">
        <v>33</v>
      </c>
      <c r="AD36">
        <v>43.421792680429306</v>
      </c>
      <c r="CI36" s="31">
        <f t="shared" si="0"/>
        <v>43.421792680429306</v>
      </c>
    </row>
    <row r="37" spans="1:87">
      <c r="A37">
        <v>34</v>
      </c>
      <c r="AD37">
        <v>43.184999747448828</v>
      </c>
      <c r="AE37">
        <v>102.41736942416614</v>
      </c>
      <c r="AF37">
        <v>297.23345584778758</v>
      </c>
      <c r="AG37">
        <v>140.12964214205275</v>
      </c>
      <c r="AH37">
        <v>235.55006806328967</v>
      </c>
      <c r="CI37" s="31">
        <f t="shared" si="0"/>
        <v>818.51553522474501</v>
      </c>
    </row>
    <row r="38" spans="1:87">
      <c r="A38">
        <v>35</v>
      </c>
      <c r="CI38" s="31">
        <f t="shared" si="0"/>
        <v>0</v>
      </c>
    </row>
    <row r="39" spans="1:87">
      <c r="A39">
        <v>36</v>
      </c>
      <c r="AJ39">
        <v>209.623564936375</v>
      </c>
      <c r="CI39" s="31">
        <f t="shared" si="0"/>
        <v>209.623564936375</v>
      </c>
    </row>
    <row r="40" spans="1:87">
      <c r="A40">
        <v>37</v>
      </c>
      <c r="CI40" s="31">
        <f t="shared" si="0"/>
        <v>0</v>
      </c>
    </row>
    <row r="41" spans="1:87">
      <c r="A41">
        <v>38</v>
      </c>
      <c r="AL41">
        <v>211.57496743559668</v>
      </c>
      <c r="CI41" s="31">
        <f t="shared" si="0"/>
        <v>211.57496743559668</v>
      </c>
    </row>
    <row r="42" spans="1:87">
      <c r="A42">
        <v>39</v>
      </c>
      <c r="CI42" s="31">
        <f t="shared" si="0"/>
        <v>0</v>
      </c>
    </row>
    <row r="43" spans="1:87">
      <c r="A43">
        <v>40</v>
      </c>
      <c r="CI43" s="31">
        <f t="shared" si="0"/>
        <v>0</v>
      </c>
    </row>
    <row r="44" spans="1:87">
      <c r="A44">
        <v>41</v>
      </c>
      <c r="CI44" s="31">
        <f t="shared" si="0"/>
        <v>0</v>
      </c>
    </row>
    <row r="45" spans="1:87">
      <c r="A45">
        <v>42</v>
      </c>
      <c r="AP45">
        <v>88.836978621113062</v>
      </c>
      <c r="CI45" s="31">
        <f t="shared" si="0"/>
        <v>88.836978621113062</v>
      </c>
    </row>
    <row r="46" spans="1:87">
      <c r="A46">
        <v>43</v>
      </c>
      <c r="AP46">
        <v>87.149238749059634</v>
      </c>
      <c r="AQ46">
        <v>100.30214907760329</v>
      </c>
      <c r="CI46" s="31">
        <f t="shared" si="0"/>
        <v>187.45138782666294</v>
      </c>
    </row>
    <row r="47" spans="1:87">
      <c r="A47">
        <v>44</v>
      </c>
      <c r="CI47" s="31">
        <f t="shared" si="0"/>
        <v>0</v>
      </c>
    </row>
    <row r="48" spans="1:87">
      <c r="A48">
        <v>45</v>
      </c>
      <c r="CI48" s="31">
        <f t="shared" si="0"/>
        <v>0</v>
      </c>
    </row>
    <row r="49" spans="1:87">
      <c r="A49">
        <v>46</v>
      </c>
      <c r="CI49" s="31">
        <f t="shared" si="0"/>
        <v>0</v>
      </c>
    </row>
    <row r="50" spans="1:87">
      <c r="A50">
        <v>47</v>
      </c>
      <c r="CI50" s="31">
        <f t="shared" si="0"/>
        <v>0</v>
      </c>
    </row>
    <row r="51" spans="1:87">
      <c r="A51">
        <v>48</v>
      </c>
      <c r="AT51">
        <v>327.2712593633575</v>
      </c>
      <c r="AU51">
        <v>124.58536118974963</v>
      </c>
      <c r="AV51">
        <v>27.173266443085133</v>
      </c>
      <c r="CI51" s="31">
        <f t="shared" si="0"/>
        <v>479.02988699619226</v>
      </c>
    </row>
    <row r="52" spans="1:87">
      <c r="A52">
        <v>49</v>
      </c>
      <c r="CI52" s="31">
        <f t="shared" si="0"/>
        <v>0</v>
      </c>
    </row>
    <row r="53" spans="1:87">
      <c r="A53">
        <v>50</v>
      </c>
      <c r="AX53">
        <v>50.856445493711824</v>
      </c>
      <c r="CI53" s="31">
        <f t="shared" si="0"/>
        <v>50.856445493711824</v>
      </c>
    </row>
    <row r="54" spans="1:87">
      <c r="A54">
        <v>51</v>
      </c>
      <c r="CI54" s="31">
        <f t="shared" si="0"/>
        <v>0</v>
      </c>
    </row>
    <row r="55" spans="1:87">
      <c r="A55">
        <v>52</v>
      </c>
      <c r="AX55">
        <v>50.524161253046984</v>
      </c>
      <c r="AY55">
        <v>151.99077790190319</v>
      </c>
      <c r="AZ55">
        <v>172.32315776939751</v>
      </c>
      <c r="CI55" s="31">
        <f t="shared" si="0"/>
        <v>374.83809692434772</v>
      </c>
    </row>
    <row r="56" spans="1:87">
      <c r="A56">
        <v>53</v>
      </c>
      <c r="CI56" s="31">
        <f t="shared" si="0"/>
        <v>0</v>
      </c>
    </row>
    <row r="57" spans="1:87">
      <c r="A57">
        <v>54</v>
      </c>
      <c r="CI57" s="31">
        <f t="shared" si="0"/>
        <v>0</v>
      </c>
    </row>
    <row r="58" spans="1:87">
      <c r="A58">
        <v>55</v>
      </c>
      <c r="BB58">
        <v>60.989336921684625</v>
      </c>
      <c r="BC58">
        <v>40.287339838944682</v>
      </c>
      <c r="CI58" s="31">
        <f t="shared" si="0"/>
        <v>101.2766767606293</v>
      </c>
    </row>
    <row r="59" spans="1:87">
      <c r="A59">
        <v>56</v>
      </c>
      <c r="CI59" s="31">
        <f t="shared" si="0"/>
        <v>0</v>
      </c>
    </row>
    <row r="60" spans="1:87">
      <c r="A60">
        <v>57</v>
      </c>
      <c r="CI60" s="31">
        <f t="shared" si="0"/>
        <v>0</v>
      </c>
    </row>
    <row r="61" spans="1:87">
      <c r="A61">
        <v>58</v>
      </c>
      <c r="AB61">
        <v>83.735979814251039</v>
      </c>
      <c r="AC61">
        <v>158.70319751970931</v>
      </c>
      <c r="CA61">
        <v>319.59670548248044</v>
      </c>
      <c r="CI61" s="31">
        <f t="shared" si="0"/>
        <v>562.03588281644079</v>
      </c>
    </row>
    <row r="62" spans="1:87">
      <c r="A62">
        <v>59</v>
      </c>
      <c r="AB62">
        <v>83.352536145195998</v>
      </c>
      <c r="AC62">
        <v>157.97646408346463</v>
      </c>
      <c r="AD62">
        <v>42.987247063500597</v>
      </c>
      <c r="AE62">
        <v>101.94837996474759</v>
      </c>
      <c r="AF62">
        <v>295.87236486719587</v>
      </c>
      <c r="AG62">
        <v>139.48796070182226</v>
      </c>
      <c r="AH62">
        <v>234.47143755649071</v>
      </c>
      <c r="AI62">
        <v>493.05594966823884</v>
      </c>
      <c r="AJ62">
        <v>208.66365703253362</v>
      </c>
      <c r="AK62">
        <v>255.74863613675879</v>
      </c>
      <c r="AL62">
        <v>210.60612367245366</v>
      </c>
      <c r="AM62">
        <v>410.51428674476142</v>
      </c>
      <c r="BG62">
        <v>739.19593359516341</v>
      </c>
      <c r="CA62">
        <v>318.1332087438031</v>
      </c>
      <c r="CI62" s="31">
        <f t="shared" si="0"/>
        <v>3692.0141859761297</v>
      </c>
    </row>
    <row r="63" spans="1:87">
      <c r="A63">
        <v>60</v>
      </c>
      <c r="AS63">
        <v>136.87795474658733</v>
      </c>
      <c r="AT63">
        <v>326.06726442014877</v>
      </c>
      <c r="AU63">
        <v>124.12702535799316</v>
      </c>
      <c r="AV63">
        <v>27.073298986573427</v>
      </c>
      <c r="AW63">
        <v>582.43279780363696</v>
      </c>
      <c r="BN63">
        <v>67.964680818892319</v>
      </c>
      <c r="BO63">
        <v>60.639146232046286</v>
      </c>
      <c r="BP63">
        <v>48.054721268847295</v>
      </c>
      <c r="BQ63">
        <v>339.20305555159405</v>
      </c>
      <c r="BR63">
        <v>88.350454827537561</v>
      </c>
      <c r="BS63">
        <v>82.152122504799166</v>
      </c>
      <c r="BT63">
        <v>55.83427142553407</v>
      </c>
      <c r="BU63">
        <v>192.55481314968418</v>
      </c>
      <c r="BV63">
        <v>237.68956154520657</v>
      </c>
      <c r="BW63">
        <v>100.40969121822883</v>
      </c>
      <c r="BX63">
        <v>105.01275795845494</v>
      </c>
      <c r="BY63">
        <v>324.99444170954507</v>
      </c>
      <c r="BZ63">
        <v>291.78446799144007</v>
      </c>
      <c r="CB63">
        <v>670.5302293821079</v>
      </c>
      <c r="CC63">
        <v>533.72424298796545</v>
      </c>
      <c r="CD63">
        <v>526.34196819414683</v>
      </c>
      <c r="CI63" s="31">
        <f t="shared" si="0"/>
        <v>4921.818968080971</v>
      </c>
    </row>
    <row r="64" spans="1:87">
      <c r="A64">
        <v>61</v>
      </c>
      <c r="C64">
        <v>17.912432852517586</v>
      </c>
      <c r="D64">
        <v>24.649813276410821</v>
      </c>
      <c r="E64">
        <v>59.010447558919829</v>
      </c>
      <c r="F64">
        <v>195.8833960411298</v>
      </c>
      <c r="G64">
        <v>29.918984140500143</v>
      </c>
      <c r="H64">
        <v>300.50993972307162</v>
      </c>
      <c r="I64">
        <v>134.12901248184303</v>
      </c>
      <c r="J64">
        <v>172.2156569269265</v>
      </c>
      <c r="K64">
        <v>174.23887503162803</v>
      </c>
      <c r="L64">
        <v>92.037063444600193</v>
      </c>
      <c r="M64">
        <v>237.03711004361006</v>
      </c>
      <c r="N64">
        <v>81.849613550948035</v>
      </c>
      <c r="O64">
        <v>255.89774622712815</v>
      </c>
      <c r="CI64" s="31">
        <f t="shared" si="0"/>
        <v>1775.2900912992338</v>
      </c>
    </row>
    <row r="65" spans="1:87">
      <c r="A65">
        <v>62</v>
      </c>
      <c r="C65">
        <v>17.322784948536381</v>
      </c>
      <c r="D65">
        <v>23.838381861614426</v>
      </c>
      <c r="E65">
        <v>57.067920432504415</v>
      </c>
      <c r="F65">
        <v>189.43523599210891</v>
      </c>
      <c r="G65">
        <v>28.934100264984966</v>
      </c>
      <c r="H65">
        <v>290.61764549692339</v>
      </c>
      <c r="I65">
        <v>129.71370543091544</v>
      </c>
      <c r="J65">
        <v>166.54660002238455</v>
      </c>
      <c r="K65">
        <v>168.50321710618866</v>
      </c>
      <c r="L65">
        <v>89.007354303718955</v>
      </c>
      <c r="M65">
        <v>229.23423724270333</v>
      </c>
      <c r="N65">
        <v>79.155258547953281</v>
      </c>
      <c r="O65">
        <v>247.47401222412066</v>
      </c>
      <c r="P65">
        <v>66.808726961429471</v>
      </c>
      <c r="Q65">
        <v>149.40237151158374</v>
      </c>
      <c r="R65">
        <v>67.124802194565689</v>
      </c>
      <c r="S65">
        <v>108.30784345430614</v>
      </c>
      <c r="T65">
        <v>102.50179805115714</v>
      </c>
      <c r="U65">
        <v>372.2364950739867</v>
      </c>
      <c r="V65">
        <v>51.013690999108221</v>
      </c>
      <c r="W65">
        <v>209.85102565448804</v>
      </c>
      <c r="X65">
        <v>236.6949315602308</v>
      </c>
      <c r="Y65">
        <v>59.291688489484123</v>
      </c>
      <c r="Z65">
        <v>199.00240553847425</v>
      </c>
      <c r="BJ65">
        <v>88.097767506236806</v>
      </c>
      <c r="CE65">
        <v>199.64249534011589</v>
      </c>
      <c r="CF65">
        <v>89.392261161948468</v>
      </c>
      <c r="CG65">
        <v>21.265198824928675</v>
      </c>
      <c r="CH65">
        <v>20.49035214383278</v>
      </c>
      <c r="CI65" s="31">
        <f t="shared" si="0"/>
        <v>3757.9743083405351</v>
      </c>
    </row>
    <row r="66" spans="1:87">
      <c r="A66">
        <v>63</v>
      </c>
      <c r="C66">
        <v>17.257444808206927</v>
      </c>
      <c r="D66">
        <v>23.748465418000283</v>
      </c>
      <c r="E66">
        <v>56.852664863584764</v>
      </c>
      <c r="F66">
        <v>188.72070164097309</v>
      </c>
      <c r="G66">
        <v>28.824963184703869</v>
      </c>
      <c r="H66">
        <v>289.52145930080087</v>
      </c>
      <c r="I66">
        <v>129.22443585095533</v>
      </c>
      <c r="J66">
        <v>165.91839975036214</v>
      </c>
      <c r="K66">
        <v>167.86763663316472</v>
      </c>
      <c r="L66">
        <v>88.671625779821895</v>
      </c>
      <c r="M66">
        <v>228.36958428567294</v>
      </c>
      <c r="N66">
        <v>78.856691330458929</v>
      </c>
      <c r="O66">
        <v>246.54056031470449</v>
      </c>
      <c r="P66">
        <v>66.556729860047639</v>
      </c>
      <c r="Q66">
        <v>148.83883787948466</v>
      </c>
      <c r="R66">
        <v>66.871612883031204</v>
      </c>
      <c r="S66">
        <v>107.89931505017775</v>
      </c>
      <c r="T66">
        <v>102.11516957954699</v>
      </c>
      <c r="U66">
        <v>370.83244919475101</v>
      </c>
      <c r="V66">
        <v>50.821271492746639</v>
      </c>
      <c r="W66">
        <v>209.05948460001673</v>
      </c>
      <c r="X66">
        <v>235.80213746913273</v>
      </c>
      <c r="Y66">
        <v>59.068045047752172</v>
      </c>
      <c r="Z66">
        <v>198.25178459949635</v>
      </c>
      <c r="AA66">
        <v>46.70826958940566</v>
      </c>
      <c r="AB66">
        <v>83.038137136911644</v>
      </c>
      <c r="AC66">
        <v>157.38058966935452</v>
      </c>
      <c r="AD66">
        <v>42.825102652896263</v>
      </c>
      <c r="AE66">
        <v>101.56383894128935</v>
      </c>
      <c r="AF66">
        <v>294.75635829565073</v>
      </c>
      <c r="AG66">
        <v>138.96182342345719</v>
      </c>
      <c r="AH66">
        <v>233.58703030449834</v>
      </c>
      <c r="AI66">
        <v>491.19618260207108</v>
      </c>
      <c r="AJ66">
        <v>207.87659463623487</v>
      </c>
      <c r="AK66">
        <v>254.78397301683395</v>
      </c>
      <c r="AL66">
        <v>209.81173444948041</v>
      </c>
      <c r="AM66">
        <v>408.96586013882961</v>
      </c>
      <c r="AN66">
        <v>198.32396520159438</v>
      </c>
      <c r="AO66">
        <v>164.6463879351877</v>
      </c>
      <c r="AP66">
        <v>86.820518886382487</v>
      </c>
      <c r="AQ66">
        <v>99.923817503578277</v>
      </c>
      <c r="AR66">
        <v>68.115607308614983</v>
      </c>
      <c r="BG66">
        <v>736.40774646615614</v>
      </c>
      <c r="BH66">
        <v>1873.2028173626272</v>
      </c>
      <c r="BJ66">
        <v>87.765469869992387</v>
      </c>
      <c r="BK66">
        <v>76.912629014817739</v>
      </c>
      <c r="CA66">
        <v>316.93323607401965</v>
      </c>
      <c r="CE66">
        <v>198.88946003430337</v>
      </c>
      <c r="CF66">
        <v>89.055080800589636</v>
      </c>
      <c r="CG66">
        <v>21.184988219100426</v>
      </c>
      <c r="CH66">
        <v>20.413064196862621</v>
      </c>
      <c r="CI66" s="31">
        <f t="shared" si="0"/>
        <v>10036.541754548332</v>
      </c>
    </row>
    <row r="67" spans="1:87">
      <c r="A67">
        <v>64</v>
      </c>
      <c r="C67">
        <v>17.222061019903283</v>
      </c>
      <c r="D67">
        <v>23.699772770726838</v>
      </c>
      <c r="E67">
        <v>56.736097047179257</v>
      </c>
      <c r="F67">
        <v>188.3337582997315</v>
      </c>
      <c r="G67">
        <v>28.765861944252389</v>
      </c>
      <c r="H67">
        <v>288.92783920587289</v>
      </c>
      <c r="I67">
        <v>128.95948063118644</v>
      </c>
      <c r="J67">
        <v>165.57820909075448</v>
      </c>
      <c r="K67">
        <v>167.52344935725719</v>
      </c>
      <c r="L67">
        <v>88.489817982085739</v>
      </c>
      <c r="M67">
        <v>227.90134688928197</v>
      </c>
      <c r="N67">
        <v>78.695007575802734</v>
      </c>
      <c r="O67">
        <v>246.03506607199429</v>
      </c>
      <c r="P67">
        <v>66.420265321657169</v>
      </c>
      <c r="Q67">
        <v>148.5336662860409</v>
      </c>
      <c r="R67">
        <v>66.734502724483789</v>
      </c>
      <c r="S67">
        <v>107.67808377496438</v>
      </c>
      <c r="T67">
        <v>101.90579782242132</v>
      </c>
      <c r="U67">
        <v>370.0721131760497</v>
      </c>
      <c r="V67">
        <v>50.717070138965326</v>
      </c>
      <c r="W67">
        <v>208.63083965123275</v>
      </c>
      <c r="X67">
        <v>235.31866074320473</v>
      </c>
      <c r="Y67">
        <v>58.946934928339481</v>
      </c>
      <c r="Z67">
        <v>197.8452992098544</v>
      </c>
      <c r="AA67">
        <v>46.612501325821519</v>
      </c>
      <c r="AB67">
        <v>82.867879958155712</v>
      </c>
      <c r="AC67">
        <v>157.057904501889</v>
      </c>
      <c r="AD67">
        <v>42.737296237566959</v>
      </c>
      <c r="AE67">
        <v>101.35559760450147</v>
      </c>
      <c r="AF67">
        <v>294.15200482971198</v>
      </c>
      <c r="AG67">
        <v>138.6769031587859</v>
      </c>
      <c r="AH67">
        <v>233.10809532179215</v>
      </c>
      <c r="AI67">
        <v>490.18905889784315</v>
      </c>
      <c r="AJ67">
        <v>207.45037502495191</v>
      </c>
      <c r="AK67">
        <v>254.26157689941439</v>
      </c>
      <c r="AL67">
        <v>209.38154712581297</v>
      </c>
      <c r="AM67">
        <v>408.12733731118084</v>
      </c>
      <c r="AN67">
        <v>197.91733181651205</v>
      </c>
      <c r="AO67">
        <v>164.30880534399853</v>
      </c>
      <c r="AP67">
        <v>86.642506504200185</v>
      </c>
      <c r="AQ67">
        <v>99.718938783447172</v>
      </c>
      <c r="AR67">
        <v>67.975946527081661</v>
      </c>
      <c r="AS67">
        <v>136.59730714040836</v>
      </c>
      <c r="AT67">
        <v>325.39871266261946</v>
      </c>
      <c r="AU67">
        <v>123.87252160979402</v>
      </c>
      <c r="AV67">
        <v>27.017789269424185</v>
      </c>
      <c r="AW67">
        <v>581.23860717764217</v>
      </c>
      <c r="AX67">
        <v>50.420569079010484</v>
      </c>
      <c r="AY67">
        <v>151.67914373072915</v>
      </c>
      <c r="AZ67">
        <v>171.96983511925475</v>
      </c>
      <c r="BA67">
        <v>70.847613498848858</v>
      </c>
      <c r="BB67">
        <v>60.864287482998876</v>
      </c>
      <c r="BC67">
        <v>40.204736723592383</v>
      </c>
      <c r="BD67">
        <v>197.30565071736734</v>
      </c>
      <c r="BG67">
        <v>734.89785342603864</v>
      </c>
      <c r="BH67">
        <v>1869.3620974486437</v>
      </c>
      <c r="BI67">
        <v>766.37026523188104</v>
      </c>
      <c r="BJ67">
        <v>87.585520008308748</v>
      </c>
      <c r="BK67">
        <v>76.754931266791743</v>
      </c>
      <c r="BL67">
        <v>1988.7185132546961</v>
      </c>
      <c r="BN67">
        <v>67.825329489367746</v>
      </c>
      <c r="BO67">
        <v>60.514814806563869</v>
      </c>
      <c r="BP67">
        <v>47.956192309127893</v>
      </c>
      <c r="BQ67">
        <v>338.50757083511508</v>
      </c>
      <c r="BR67">
        <v>88.169305542409219</v>
      </c>
      <c r="BS67">
        <v>81.983681965442926</v>
      </c>
      <c r="BT67">
        <v>55.719791671308236</v>
      </c>
      <c r="BU67">
        <v>192.16000854094531</v>
      </c>
      <c r="BV67">
        <v>237.20221494081804</v>
      </c>
      <c r="BW67">
        <v>100.20381628731144</v>
      </c>
      <c r="BX67">
        <v>104.79744513328995</v>
      </c>
      <c r="BY67">
        <v>324.32808961321138</v>
      </c>
      <c r="BZ67">
        <v>291.18620793843434</v>
      </c>
      <c r="CA67">
        <v>316.28341226428046</v>
      </c>
      <c r="CB67">
        <v>669.15540825700316</v>
      </c>
      <c r="CC67">
        <v>532.62992190878526</v>
      </c>
      <c r="CD67">
        <v>525.26278335624727</v>
      </c>
      <c r="CE67">
        <v>198.48166718733836</v>
      </c>
      <c r="CF67">
        <v>88.87248678615515</v>
      </c>
      <c r="CG67">
        <v>21.141551595272812</v>
      </c>
      <c r="CH67">
        <v>20.371210286843045</v>
      </c>
      <c r="CI67" s="31">
        <f t="shared" si="0"/>
        <v>18426.071474399232</v>
      </c>
    </row>
    <row r="68" spans="1:87">
      <c r="A68">
        <v>65</v>
      </c>
      <c r="CI68" s="31">
        <f t="shared" si="0"/>
        <v>0</v>
      </c>
    </row>
    <row r="69" spans="1:87">
      <c r="A69">
        <v>66</v>
      </c>
      <c r="CI69" s="31">
        <f t="shared" ref="CI69:CI87" si="1">SUM(B69:CH69)</f>
        <v>0</v>
      </c>
    </row>
    <row r="70" spans="1:87">
      <c r="A70">
        <v>67</v>
      </c>
      <c r="BO70">
        <v>61.17184998813498</v>
      </c>
      <c r="CI70" s="31">
        <f t="shared" si="1"/>
        <v>61.17184998813498</v>
      </c>
    </row>
    <row r="71" spans="1:87">
      <c r="A71">
        <v>68</v>
      </c>
      <c r="CI71" s="31">
        <f t="shared" si="1"/>
        <v>0</v>
      </c>
    </row>
    <row r="72" spans="1:87">
      <c r="A72">
        <v>69</v>
      </c>
      <c r="CI72" s="31">
        <f t="shared" si="1"/>
        <v>0</v>
      </c>
    </row>
    <row r="73" spans="1:87">
      <c r="A73">
        <v>70</v>
      </c>
      <c r="CI73" s="31">
        <f t="shared" si="1"/>
        <v>0</v>
      </c>
    </row>
    <row r="74" spans="1:87">
      <c r="A74">
        <v>71</v>
      </c>
      <c r="CI74" s="31">
        <f t="shared" si="1"/>
        <v>0</v>
      </c>
    </row>
    <row r="75" spans="1:87">
      <c r="A75">
        <v>72</v>
      </c>
      <c r="BT75">
        <v>56.16440927323579</v>
      </c>
      <c r="CI75" s="31">
        <f t="shared" si="1"/>
        <v>56.16440927323579</v>
      </c>
    </row>
    <row r="76" spans="1:87">
      <c r="A76">
        <v>73</v>
      </c>
      <c r="CI76" s="31">
        <f t="shared" si="1"/>
        <v>0</v>
      </c>
    </row>
    <row r="77" spans="1:87">
      <c r="A77">
        <v>74</v>
      </c>
      <c r="CI77" s="31">
        <f t="shared" si="1"/>
        <v>0</v>
      </c>
    </row>
    <row r="78" spans="1:87">
      <c r="A78">
        <v>75</v>
      </c>
      <c r="CI78" s="31">
        <f t="shared" si="1"/>
        <v>0</v>
      </c>
    </row>
    <row r="79" spans="1:87">
      <c r="A79">
        <v>76</v>
      </c>
      <c r="BX79">
        <v>106.01713217176707</v>
      </c>
      <c r="CI79" s="31">
        <f t="shared" si="1"/>
        <v>106.01713217176707</v>
      </c>
    </row>
    <row r="80" spans="1:87">
      <c r="A80">
        <v>77</v>
      </c>
      <c r="BW80">
        <v>101.00339538057992</v>
      </c>
      <c r="BX80">
        <v>105.63367921359954</v>
      </c>
      <c r="BY80">
        <v>326.91607447669077</v>
      </c>
      <c r="CI80" s="31">
        <f t="shared" si="1"/>
        <v>533.55314907087018</v>
      </c>
    </row>
    <row r="81" spans="1:87">
      <c r="A81">
        <v>78</v>
      </c>
      <c r="CI81" s="31">
        <f t="shared" si="1"/>
        <v>0</v>
      </c>
    </row>
    <row r="82" spans="1:87">
      <c r="A82">
        <v>79</v>
      </c>
      <c r="BN82">
        <v>68.561738050124561</v>
      </c>
      <c r="CI82" s="31">
        <f t="shared" si="1"/>
        <v>68.561738050124561</v>
      </c>
    </row>
    <row r="83" spans="1:87">
      <c r="A83">
        <v>80</v>
      </c>
      <c r="BN83">
        <v>68.366543561477016</v>
      </c>
      <c r="BO83">
        <v>60.997694426773201</v>
      </c>
      <c r="BP83">
        <v>48.338860057561718</v>
      </c>
      <c r="BQ83">
        <v>341.20870125690254</v>
      </c>
      <c r="BR83">
        <v>88.8728549279693</v>
      </c>
      <c r="BS83">
        <v>82.63787299845491</v>
      </c>
      <c r="CB83">
        <v>674.4949521427942</v>
      </c>
      <c r="CI83" s="31">
        <f t="shared" si="1"/>
        <v>1364.917479371933</v>
      </c>
    </row>
    <row r="84" spans="1:87">
      <c r="A84">
        <v>81</v>
      </c>
      <c r="BN84">
        <v>68.215638645548921</v>
      </c>
      <c r="BO84">
        <v>60.863054711647003</v>
      </c>
      <c r="BP84">
        <v>48.232162084649175</v>
      </c>
      <c r="BQ84">
        <v>340.45555406392197</v>
      </c>
      <c r="BR84">
        <v>88.676686597634799</v>
      </c>
      <c r="BS84">
        <v>82.455467093056242</v>
      </c>
      <c r="BT84">
        <v>56.040438029144624</v>
      </c>
      <c r="BU84">
        <v>193.26581681862041</v>
      </c>
      <c r="BV84">
        <v>238.56722410560755</v>
      </c>
      <c r="BW84">
        <v>100.78045140689997</v>
      </c>
      <c r="BX84">
        <v>105.40051485204935</v>
      </c>
      <c r="BY84">
        <v>326.19447528263339</v>
      </c>
      <c r="BZ84">
        <v>292.86187459523785</v>
      </c>
      <c r="CB84">
        <v>673.0061449171443</v>
      </c>
      <c r="CC84">
        <v>535.69500595544139</v>
      </c>
      <c r="CI84" s="31">
        <f t="shared" si="1"/>
        <v>3210.7105091592371</v>
      </c>
    </row>
    <row r="85" spans="1:87">
      <c r="A85">
        <v>82</v>
      </c>
      <c r="CI85" s="31">
        <f t="shared" si="1"/>
        <v>0</v>
      </c>
    </row>
    <row r="86" spans="1:87">
      <c r="A86">
        <v>83</v>
      </c>
      <c r="CI86" s="31">
        <f t="shared" si="1"/>
        <v>0</v>
      </c>
    </row>
    <row r="87" spans="1:87">
      <c r="A87">
        <v>84</v>
      </c>
      <c r="CI87" s="31">
        <f t="shared" si="1"/>
        <v>0</v>
      </c>
    </row>
    <row r="88" spans="1:87">
      <c r="A88">
        <v>85</v>
      </c>
      <c r="CI88" s="31">
        <f>SUM(B88:CH88)</f>
        <v>0</v>
      </c>
    </row>
    <row r="89" spans="1:87">
      <c r="CI89" s="31"/>
    </row>
    <row r="90" spans="1:87">
      <c r="CI90" s="31"/>
    </row>
    <row r="91" spans="1:87">
      <c r="CI91" s="31"/>
    </row>
    <row r="92" spans="1:87">
      <c r="CI92" s="31"/>
    </row>
    <row r="93" spans="1:87">
      <c r="CI93" s="31"/>
    </row>
    <row r="94" spans="1:87">
      <c r="CI94" s="31"/>
    </row>
    <row r="95" spans="1:87">
      <c r="CI95" s="31"/>
    </row>
    <row r="96" spans="1:87">
      <c r="CI96" s="31"/>
    </row>
    <row r="97" spans="87:87">
      <c r="CI97" s="31"/>
    </row>
    <row r="98" spans="87:87">
      <c r="CI98" s="31"/>
    </row>
    <row r="99" spans="87:87">
      <c r="CI99" s="31"/>
    </row>
    <row r="100" spans="87:87">
      <c r="CI100" s="31"/>
    </row>
    <row r="101" spans="87:87">
      <c r="CI101" s="31"/>
    </row>
    <row r="102" spans="87:87">
      <c r="CI102" s="31"/>
    </row>
    <row r="103" spans="87:87">
      <c r="CI103" s="31"/>
    </row>
    <row r="104" spans="87:87">
      <c r="CI104" s="31"/>
    </row>
    <row r="105" spans="87:87">
      <c r="CI105" s="31"/>
    </row>
    <row r="106" spans="87:87">
      <c r="CI106" s="31"/>
    </row>
    <row r="107" spans="87:87">
      <c r="CI107" s="31"/>
    </row>
    <row r="108" spans="87:87">
      <c r="CI108" s="31"/>
    </row>
    <row r="109" spans="87:87">
      <c r="CI109" s="31"/>
    </row>
    <row r="110" spans="87:87">
      <c r="CI110" s="31"/>
    </row>
    <row r="111" spans="87:87">
      <c r="CI111" s="31"/>
    </row>
    <row r="112" spans="87:87">
      <c r="CI112" s="31"/>
    </row>
    <row r="113" spans="87:87">
      <c r="CI113" s="31"/>
    </row>
    <row r="114" spans="87:87">
      <c r="CI114" s="31"/>
    </row>
    <row r="115" spans="87:87">
      <c r="CI115" s="31"/>
    </row>
    <row r="116" spans="87:87">
      <c r="CI116" s="31"/>
    </row>
    <row r="117" spans="87:87">
      <c r="CI117" s="31"/>
    </row>
    <row r="118" spans="87:87">
      <c r="CI118" s="31"/>
    </row>
    <row r="119" spans="87:87">
      <c r="CI119" s="31"/>
    </row>
    <row r="120" spans="87:87">
      <c r="CI120" s="31"/>
    </row>
    <row r="121" spans="87:87">
      <c r="CI121" s="31"/>
    </row>
    <row r="122" spans="87:87">
      <c r="CI122" s="31"/>
    </row>
    <row r="123" spans="87:87">
      <c r="CI123" s="31"/>
    </row>
    <row r="124" spans="87:87">
      <c r="CI124" s="31"/>
    </row>
    <row r="125" spans="87:87">
      <c r="CI125" s="31"/>
    </row>
    <row r="126" spans="87:87">
      <c r="CI126" s="31"/>
    </row>
    <row r="127" spans="87:87">
      <c r="CI127" s="31"/>
    </row>
    <row r="128" spans="87:87">
      <c r="CI128" s="31"/>
    </row>
    <row r="129" spans="87:87">
      <c r="CI129" s="31"/>
    </row>
    <row r="130" spans="87:87">
      <c r="CI130" s="31"/>
    </row>
    <row r="131" spans="87:87">
      <c r="CI131" s="31"/>
    </row>
    <row r="132" spans="87:87">
      <c r="CI132" s="31"/>
    </row>
    <row r="133" spans="87:87">
      <c r="CI133" s="31"/>
    </row>
    <row r="134" spans="87:87">
      <c r="CI134" s="31"/>
    </row>
    <row r="135" spans="87:87">
      <c r="CI135" s="31"/>
    </row>
    <row r="136" spans="87:87">
      <c r="CI136" s="31"/>
    </row>
    <row r="137" spans="87:87">
      <c r="CI137" s="31"/>
    </row>
    <row r="138" spans="87:87">
      <c r="CI138" s="31"/>
    </row>
    <row r="139" spans="87:87">
      <c r="CI139" s="31"/>
    </row>
    <row r="140" spans="87:87">
      <c r="CI140" s="31"/>
    </row>
    <row r="141" spans="87:87">
      <c r="CI141" s="31"/>
    </row>
    <row r="142" spans="87:87">
      <c r="CI142" s="31"/>
    </row>
    <row r="143" spans="87:87">
      <c r="CI143" s="31"/>
    </row>
    <row r="144" spans="87:87">
      <c r="CI144" s="31"/>
    </row>
    <row r="145" spans="87:87">
      <c r="CI145" s="31"/>
    </row>
    <row r="146" spans="87:87">
      <c r="CI146" s="31"/>
    </row>
    <row r="147" spans="87:87">
      <c r="CI147" s="31"/>
    </row>
    <row r="148" spans="87:87">
      <c r="CI148" s="31"/>
    </row>
    <row r="149" spans="87:87">
      <c r="CI149" s="31"/>
    </row>
    <row r="150" spans="87:87">
      <c r="CI150" s="31"/>
    </row>
    <row r="151" spans="87:87">
      <c r="CI151" s="31"/>
    </row>
    <row r="152" spans="87:87">
      <c r="CI152" s="31"/>
    </row>
    <row r="153" spans="87:87">
      <c r="CI153" s="31"/>
    </row>
    <row r="154" spans="87:87">
      <c r="CI154" s="31"/>
    </row>
    <row r="155" spans="87:87">
      <c r="CI155" s="31"/>
    </row>
    <row r="156" spans="87:87">
      <c r="CI156" s="31"/>
    </row>
    <row r="157" spans="87:87">
      <c r="CI157" s="31"/>
    </row>
    <row r="158" spans="87:87">
      <c r="CI158" s="31"/>
    </row>
    <row r="159" spans="87:87">
      <c r="CI159" s="31"/>
    </row>
    <row r="160" spans="87:87">
      <c r="CI160" s="31"/>
    </row>
    <row r="161" spans="87:87">
      <c r="CI161" s="31"/>
    </row>
    <row r="162" spans="87:87">
      <c r="CI162" s="31"/>
    </row>
    <row r="163" spans="87:87">
      <c r="CI163" s="31"/>
    </row>
    <row r="164" spans="87:87">
      <c r="CI164" s="31"/>
    </row>
    <row r="165" spans="87:87">
      <c r="CI165" s="31"/>
    </row>
    <row r="166" spans="87:87">
      <c r="CI166" s="31"/>
    </row>
    <row r="167" spans="87:87">
      <c r="CI167" s="31"/>
    </row>
    <row r="168" spans="87:87">
      <c r="CI168" s="31"/>
    </row>
    <row r="169" spans="87:87">
      <c r="CI169" s="31"/>
    </row>
    <row r="170" spans="87:87">
      <c r="CI170" s="31"/>
    </row>
    <row r="171" spans="87:87">
      <c r="CI171" s="31"/>
    </row>
    <row r="172" spans="87:87">
      <c r="CI172" s="31"/>
    </row>
    <row r="173" spans="87:87">
      <c r="CI173" s="31"/>
    </row>
    <row r="174" spans="87:87">
      <c r="CI174" s="31"/>
    </row>
    <row r="175" spans="87:87">
      <c r="CI175" s="31"/>
    </row>
    <row r="176" spans="87:87">
      <c r="CI176" s="31"/>
    </row>
    <row r="177" spans="87:87">
      <c r="CI177" s="31"/>
    </row>
    <row r="178" spans="87:87">
      <c r="CI178" s="31"/>
    </row>
    <row r="179" spans="87:87">
      <c r="CI179" s="31"/>
    </row>
    <row r="180" spans="87:87">
      <c r="CI180" s="31"/>
    </row>
    <row r="181" spans="87:87">
      <c r="CI181" s="31"/>
    </row>
    <row r="182" spans="87:87">
      <c r="CI182" s="31"/>
    </row>
    <row r="183" spans="87:87">
      <c r="CI183" s="31"/>
    </row>
    <row r="184" spans="87:87">
      <c r="CI184" s="31"/>
    </row>
    <row r="185" spans="87:87">
      <c r="CI185" s="31"/>
    </row>
    <row r="186" spans="87:87">
      <c r="CI186" s="31"/>
    </row>
    <row r="187" spans="87:87">
      <c r="CI187" s="31"/>
    </row>
    <row r="188" spans="87:87">
      <c r="CI188" s="31"/>
    </row>
    <row r="189" spans="87:87">
      <c r="CI189" s="31"/>
    </row>
    <row r="190" spans="87:87">
      <c r="CI190" s="31"/>
    </row>
    <row r="191" spans="87:87">
      <c r="CI191" s="31"/>
    </row>
    <row r="192" spans="87:87">
      <c r="CI192" s="31"/>
    </row>
    <row r="193" spans="87:87">
      <c r="CI193" s="31"/>
    </row>
    <row r="194" spans="87:87">
      <c r="CI194" s="31"/>
    </row>
    <row r="195" spans="87:87">
      <c r="CI195" s="31"/>
    </row>
    <row r="196" spans="87:87">
      <c r="CI196" s="31"/>
    </row>
    <row r="197" spans="87:87">
      <c r="CI197" s="31"/>
    </row>
    <row r="198" spans="87:87">
      <c r="CI198" s="31"/>
    </row>
    <row r="199" spans="87:87">
      <c r="CI199" s="31"/>
    </row>
    <row r="200" spans="87:87">
      <c r="CI200" s="31"/>
    </row>
    <row r="201" spans="87:87">
      <c r="CI201" s="31"/>
    </row>
    <row r="202" spans="87:87">
      <c r="CI202" s="31"/>
    </row>
    <row r="203" spans="87:87">
      <c r="CI203" s="31"/>
    </row>
    <row r="204" spans="87:87">
      <c r="CI204" s="31"/>
    </row>
    <row r="205" spans="87:87">
      <c r="CI205" s="31"/>
    </row>
    <row r="206" spans="87:87">
      <c r="CI206" s="31"/>
    </row>
    <row r="207" spans="87:87">
      <c r="CI207" s="31"/>
    </row>
    <row r="208" spans="87:87">
      <c r="CI208" s="31"/>
    </row>
    <row r="209" spans="87:87">
      <c r="CI209" s="31"/>
    </row>
    <row r="210" spans="87:87">
      <c r="CI210" s="31"/>
    </row>
    <row r="211" spans="87:87">
      <c r="CI211" s="31"/>
    </row>
    <row r="212" spans="87:87">
      <c r="CI212" s="31"/>
    </row>
    <row r="213" spans="87:87">
      <c r="CI213" s="31"/>
    </row>
    <row r="214" spans="87:87">
      <c r="CI214" s="31"/>
    </row>
    <row r="215" spans="87:87">
      <c r="CI215" s="31"/>
    </row>
    <row r="216" spans="87:87">
      <c r="CI216" s="31"/>
    </row>
    <row r="217" spans="87:87">
      <c r="CI217" s="31"/>
    </row>
    <row r="218" spans="87:87">
      <c r="CI218" s="31"/>
    </row>
    <row r="219" spans="87:87">
      <c r="CI219" s="31"/>
    </row>
    <row r="220" spans="87:87">
      <c r="CI220" s="31"/>
    </row>
    <row r="221" spans="87:87">
      <c r="CI221" s="31"/>
    </row>
    <row r="222" spans="87:87">
      <c r="CI222" s="31"/>
    </row>
    <row r="223" spans="87:87">
      <c r="CI223" s="31"/>
    </row>
    <row r="224" spans="87:87">
      <c r="CI224" s="31"/>
    </row>
    <row r="225" spans="87:87">
      <c r="CI225" s="31"/>
    </row>
    <row r="226" spans="87:87">
      <c r="CI226" s="31"/>
    </row>
    <row r="227" spans="87:87">
      <c r="CI227" s="31"/>
    </row>
    <row r="228" spans="87:87">
      <c r="CI228" s="31"/>
    </row>
    <row r="229" spans="87:87">
      <c r="CI229" s="31"/>
    </row>
    <row r="230" spans="87:87">
      <c r="CI230" s="31"/>
    </row>
    <row r="231" spans="87:87">
      <c r="CI231" s="31"/>
    </row>
    <row r="232" spans="87:87">
      <c r="CI232" s="31"/>
    </row>
    <row r="233" spans="87:87">
      <c r="CI233" s="31"/>
    </row>
    <row r="234" spans="87:87">
      <c r="CI234" s="31"/>
    </row>
    <row r="235" spans="87:87">
      <c r="CI235" s="31"/>
    </row>
    <row r="236" spans="87:87">
      <c r="CI236" s="31"/>
    </row>
    <row r="237" spans="87:87">
      <c r="CI237" s="31"/>
    </row>
    <row r="238" spans="87:87">
      <c r="CI238" s="31"/>
    </row>
    <row r="239" spans="87:87">
      <c r="CI239" s="31"/>
    </row>
    <row r="240" spans="87:87">
      <c r="CI240" s="31"/>
    </row>
    <row r="241" spans="87:87">
      <c r="CI241" s="31"/>
    </row>
    <row r="242" spans="87:87">
      <c r="CI242" s="31"/>
    </row>
    <row r="243" spans="87:87">
      <c r="CI243" s="31"/>
    </row>
    <row r="244" spans="87:87">
      <c r="CI244" s="31"/>
    </row>
    <row r="245" spans="87:87">
      <c r="CI245" s="31"/>
    </row>
    <row r="246" spans="87:87">
      <c r="CI246" s="31"/>
    </row>
    <row r="247" spans="87:87">
      <c r="CI247" s="31"/>
    </row>
    <row r="248" spans="87:87">
      <c r="CI248" s="31"/>
    </row>
    <row r="249" spans="87:87">
      <c r="CI249" s="31"/>
    </row>
    <row r="250" spans="87:87">
      <c r="CI250" s="31"/>
    </row>
    <row r="251" spans="87:87">
      <c r="CI251" s="31"/>
    </row>
    <row r="252" spans="87:87">
      <c r="CI252" s="31"/>
    </row>
    <row r="253" spans="87:87">
      <c r="CI253" s="31"/>
    </row>
    <row r="254" spans="87:87">
      <c r="CI254" s="31"/>
    </row>
    <row r="255" spans="87:87">
      <c r="CI255" s="31"/>
    </row>
    <row r="256" spans="87:87">
      <c r="CI256" s="31"/>
    </row>
    <row r="257" spans="87:87">
      <c r="CI257" s="31"/>
    </row>
    <row r="258" spans="87:87">
      <c r="CI258" s="31"/>
    </row>
    <row r="259" spans="87:87">
      <c r="CI259" s="31"/>
    </row>
    <row r="260" spans="87:87">
      <c r="CI260" s="31"/>
    </row>
    <row r="261" spans="87:87">
      <c r="CI261" s="31"/>
    </row>
    <row r="262" spans="87:87">
      <c r="CI262" s="31"/>
    </row>
    <row r="263" spans="87:87">
      <c r="CI263" s="31"/>
    </row>
    <row r="264" spans="87:87">
      <c r="CI264" s="31"/>
    </row>
    <row r="265" spans="87:87">
      <c r="CI265" s="31"/>
    </row>
    <row r="266" spans="87:87">
      <c r="CI266" s="31"/>
    </row>
    <row r="267" spans="87:87">
      <c r="CI267" s="31"/>
    </row>
    <row r="268" spans="87:87">
      <c r="CI268" s="31"/>
    </row>
    <row r="269" spans="87:87">
      <c r="CI269" s="31"/>
    </row>
    <row r="270" spans="87:87">
      <c r="CI270" s="31"/>
    </row>
    <row r="271" spans="87:87">
      <c r="CI271" s="31"/>
    </row>
    <row r="272" spans="87:87">
      <c r="CI272" s="31"/>
    </row>
    <row r="273" spans="87:87">
      <c r="CI273" s="31"/>
    </row>
    <row r="274" spans="87:87">
      <c r="CI274" s="31"/>
    </row>
    <row r="275" spans="87:87">
      <c r="CI275" s="31"/>
    </row>
    <row r="276" spans="87:87">
      <c r="CI276" s="31"/>
    </row>
    <row r="277" spans="87:87">
      <c r="CI277" s="31"/>
    </row>
    <row r="278" spans="87:87">
      <c r="CI278" s="31"/>
    </row>
    <row r="279" spans="87:87">
      <c r="CI279" s="31"/>
    </row>
    <row r="280" spans="87:87">
      <c r="CI280" s="31"/>
    </row>
    <row r="281" spans="87:87">
      <c r="CI281" s="31"/>
    </row>
    <row r="282" spans="87:87">
      <c r="CI282" s="31"/>
    </row>
    <row r="283" spans="87:87">
      <c r="CI283" s="31"/>
    </row>
    <row r="284" spans="87:87">
      <c r="CI284" s="31"/>
    </row>
    <row r="285" spans="87:87">
      <c r="CI285" s="31"/>
    </row>
    <row r="286" spans="87:87">
      <c r="CI286" s="31"/>
    </row>
    <row r="287" spans="87:87">
      <c r="CI287" s="31"/>
    </row>
    <row r="288" spans="87:87">
      <c r="CI288" s="31"/>
    </row>
    <row r="289" spans="87:87">
      <c r="CI289" s="31"/>
    </row>
    <row r="290" spans="87:87">
      <c r="CI290" s="31"/>
    </row>
    <row r="291" spans="87:87">
      <c r="CI291" s="31"/>
    </row>
    <row r="292" spans="87:87">
      <c r="CI292" s="31"/>
    </row>
    <row r="293" spans="87:87">
      <c r="CI293" s="31"/>
    </row>
    <row r="294" spans="87:87">
      <c r="CI294" s="31"/>
    </row>
    <row r="295" spans="87:87">
      <c r="CI295" s="31"/>
    </row>
    <row r="296" spans="87:87">
      <c r="CI296" s="31"/>
    </row>
    <row r="297" spans="87:87">
      <c r="CI297" s="31"/>
    </row>
    <row r="298" spans="87:87">
      <c r="CI298" s="31"/>
    </row>
    <row r="299" spans="87:87">
      <c r="CI299" s="31"/>
    </row>
    <row r="300" spans="87:87">
      <c r="CI300" s="31"/>
    </row>
    <row r="301" spans="87:87">
      <c r="CI301" s="31"/>
    </row>
    <row r="302" spans="87:87">
      <c r="CI302" s="31"/>
    </row>
    <row r="303" spans="87:87">
      <c r="CI303" s="31"/>
    </row>
    <row r="304" spans="87:87">
      <c r="CI304" s="31"/>
    </row>
    <row r="305" spans="87:87">
      <c r="CI305" s="31"/>
    </row>
    <row r="306" spans="87:87">
      <c r="CI306" s="31"/>
    </row>
    <row r="307" spans="87:87">
      <c r="CI307" s="31"/>
    </row>
    <row r="308" spans="87:87">
      <c r="CI308" s="31"/>
    </row>
    <row r="309" spans="87:87">
      <c r="CI309" s="31"/>
    </row>
    <row r="310" spans="87:87">
      <c r="CI310" s="31"/>
    </row>
    <row r="311" spans="87:87">
      <c r="CI311" s="31"/>
    </row>
    <row r="312" spans="87:87">
      <c r="CI312" s="31"/>
    </row>
    <row r="313" spans="87:87">
      <c r="CI313" s="31"/>
    </row>
    <row r="314" spans="87:87">
      <c r="CI314" s="31"/>
    </row>
    <row r="315" spans="87:87">
      <c r="CI315" s="31"/>
    </row>
    <row r="316" spans="87:87">
      <c r="CI316" s="31"/>
    </row>
    <row r="317" spans="87:87">
      <c r="CI317" s="31"/>
    </row>
    <row r="318" spans="87:87">
      <c r="CI318" s="31"/>
    </row>
    <row r="319" spans="87:87">
      <c r="CI319" s="31"/>
    </row>
    <row r="320" spans="87:87">
      <c r="CI320" s="31"/>
    </row>
    <row r="321" spans="87:87">
      <c r="CI321" s="31"/>
    </row>
    <row r="322" spans="87:87">
      <c r="CI322" s="31"/>
    </row>
    <row r="323" spans="87:87">
      <c r="CI323" s="31"/>
    </row>
    <row r="324" spans="87:87">
      <c r="CI324" s="31"/>
    </row>
    <row r="325" spans="87:87">
      <c r="CI325" s="31"/>
    </row>
    <row r="326" spans="87:87">
      <c r="CI326" s="31"/>
    </row>
    <row r="327" spans="87:87">
      <c r="CI327" s="31"/>
    </row>
    <row r="328" spans="87:87">
      <c r="CI328" s="31"/>
    </row>
    <row r="329" spans="87:87">
      <c r="CI329" s="31"/>
    </row>
    <row r="330" spans="87:87">
      <c r="CI330" s="31"/>
    </row>
    <row r="331" spans="87:87">
      <c r="CI331" s="31"/>
    </row>
    <row r="332" spans="87:87">
      <c r="CI332" s="31"/>
    </row>
    <row r="333" spans="87:87">
      <c r="CI333" s="31"/>
    </row>
    <row r="334" spans="87:87">
      <c r="CI334" s="31"/>
    </row>
    <row r="335" spans="87:87">
      <c r="CI335" s="31"/>
    </row>
    <row r="336" spans="87:87">
      <c r="CI336" s="31"/>
    </row>
    <row r="337" spans="87:87">
      <c r="CI337" s="31"/>
    </row>
    <row r="338" spans="87:87">
      <c r="CI338" s="31"/>
    </row>
    <row r="339" spans="87:87">
      <c r="CI339" s="31"/>
    </row>
    <row r="340" spans="87:87">
      <c r="CI340" s="31"/>
    </row>
    <row r="341" spans="87:87">
      <c r="CI341" s="31"/>
    </row>
    <row r="342" spans="87:87">
      <c r="CI342" s="31"/>
    </row>
    <row r="343" spans="87:87">
      <c r="CI343" s="31"/>
    </row>
    <row r="344" spans="87:87">
      <c r="CI344" s="31"/>
    </row>
    <row r="345" spans="87:87">
      <c r="CI345" s="31"/>
    </row>
    <row r="346" spans="87:87">
      <c r="CI346" s="31"/>
    </row>
    <row r="347" spans="87:87">
      <c r="CI347" s="31"/>
    </row>
    <row r="348" spans="87:87">
      <c r="CI348" s="31"/>
    </row>
    <row r="349" spans="87:87">
      <c r="CI349" s="31"/>
    </row>
    <row r="350" spans="87:87">
      <c r="CI350" s="31"/>
    </row>
    <row r="351" spans="87:87">
      <c r="CI351" s="31"/>
    </row>
    <row r="352" spans="87:87">
      <c r="CI352" s="31"/>
    </row>
    <row r="353" spans="87:87">
      <c r="CI353" s="31"/>
    </row>
    <row r="354" spans="87:87">
      <c r="CI354" s="31"/>
    </row>
    <row r="355" spans="87:87">
      <c r="CI355" s="31"/>
    </row>
    <row r="356" spans="87:87">
      <c r="CI356" s="31"/>
    </row>
    <row r="357" spans="87:87">
      <c r="CI357" s="31"/>
    </row>
    <row r="358" spans="87:87">
      <c r="CI358" s="31"/>
    </row>
    <row r="359" spans="87:87">
      <c r="CI359" s="31"/>
    </row>
    <row r="360" spans="87:87">
      <c r="CI360" s="31"/>
    </row>
    <row r="361" spans="87:87">
      <c r="CI361" s="31"/>
    </row>
    <row r="362" spans="87:87">
      <c r="CI362" s="31"/>
    </row>
    <row r="363" spans="87:87">
      <c r="CI363" s="31"/>
    </row>
    <row r="364" spans="87:87">
      <c r="CI364" s="31"/>
    </row>
    <row r="365" spans="87:87">
      <c r="CI365" s="31"/>
    </row>
    <row r="366" spans="87:87">
      <c r="CI366" s="31"/>
    </row>
    <row r="367" spans="87:87">
      <c r="CI367" s="31"/>
    </row>
    <row r="368" spans="87:87">
      <c r="CI368" s="31"/>
    </row>
    <row r="369" spans="87:87">
      <c r="CI369" s="31"/>
    </row>
    <row r="370" spans="87:87">
      <c r="CI370" s="31"/>
    </row>
    <row r="371" spans="87:87">
      <c r="CI371" s="31"/>
    </row>
    <row r="372" spans="87:87">
      <c r="CI372" s="31"/>
    </row>
    <row r="373" spans="87:87">
      <c r="CI373" s="31"/>
    </row>
    <row r="374" spans="87:87">
      <c r="CI374" s="31"/>
    </row>
    <row r="375" spans="87:87">
      <c r="CI375" s="31"/>
    </row>
    <row r="376" spans="87:87">
      <c r="CI376" s="31"/>
    </row>
    <row r="377" spans="87:87">
      <c r="CI377" s="31"/>
    </row>
    <row r="378" spans="87:87">
      <c r="CI378" s="31"/>
    </row>
    <row r="379" spans="87:87">
      <c r="CI379" s="31"/>
    </row>
    <row r="380" spans="87:87">
      <c r="CI380" s="31"/>
    </row>
    <row r="381" spans="87:87">
      <c r="CI381" s="31"/>
    </row>
    <row r="382" spans="87:87">
      <c r="CI382" s="31"/>
    </row>
    <row r="383" spans="87:87">
      <c r="CI383" s="31"/>
    </row>
    <row r="384" spans="87:87">
      <c r="CI384" s="31"/>
    </row>
    <row r="385" spans="87:87">
      <c r="CI385" s="31"/>
    </row>
    <row r="386" spans="87:87">
      <c r="CI386" s="31"/>
    </row>
    <row r="387" spans="87:87">
      <c r="CI387" s="31"/>
    </row>
    <row r="388" spans="87:87">
      <c r="CI388" s="31"/>
    </row>
    <row r="389" spans="87:87">
      <c r="CI389" s="31"/>
    </row>
    <row r="390" spans="87:87">
      <c r="CI390" s="31"/>
    </row>
    <row r="391" spans="87:87">
      <c r="CI391" s="31"/>
    </row>
    <row r="392" spans="87:87">
      <c r="CI392" s="31"/>
    </row>
    <row r="393" spans="87:87">
      <c r="CI393" s="31"/>
    </row>
    <row r="394" spans="87:87">
      <c r="CI394" s="31"/>
    </row>
    <row r="395" spans="87:87">
      <c r="CI395" s="31"/>
    </row>
    <row r="396" spans="87:87">
      <c r="CI396" s="31"/>
    </row>
    <row r="397" spans="87:87">
      <c r="CI397" s="31"/>
    </row>
    <row r="398" spans="87:87">
      <c r="CI398" s="31"/>
    </row>
    <row r="399" spans="87:87">
      <c r="CI399" s="31"/>
    </row>
    <row r="400" spans="87:87">
      <c r="CI400" s="31"/>
    </row>
    <row r="401" spans="87:87">
      <c r="CI401" s="31"/>
    </row>
    <row r="402" spans="87:87">
      <c r="CI402" s="31"/>
    </row>
    <row r="403" spans="87:87">
      <c r="CI403" s="31"/>
    </row>
    <row r="404" spans="87:87">
      <c r="CI404" s="31"/>
    </row>
    <row r="405" spans="87:87">
      <c r="CI405" s="31"/>
    </row>
    <row r="406" spans="87:87">
      <c r="CI406" s="31"/>
    </row>
    <row r="407" spans="87:87">
      <c r="CI407" s="31"/>
    </row>
    <row r="408" spans="87:87">
      <c r="CI408" s="31"/>
    </row>
    <row r="409" spans="87:87">
      <c r="CI409" s="31"/>
    </row>
    <row r="410" spans="87:87">
      <c r="CI410" s="31"/>
    </row>
    <row r="411" spans="87:87">
      <c r="CI411" s="31"/>
    </row>
    <row r="412" spans="87:87">
      <c r="CI412" s="31"/>
    </row>
    <row r="413" spans="87:87">
      <c r="CI413" s="31"/>
    </row>
    <row r="414" spans="87:87">
      <c r="CI414" s="31"/>
    </row>
    <row r="415" spans="87:87">
      <c r="CI415" s="31"/>
    </row>
    <row r="416" spans="87:87">
      <c r="CI416" s="31"/>
    </row>
    <row r="417" spans="87:87">
      <c r="CI417" s="31"/>
    </row>
    <row r="418" spans="87:87">
      <c r="CI418" s="31"/>
    </row>
    <row r="419" spans="87:87">
      <c r="CI419" s="31"/>
    </row>
    <row r="420" spans="87:87">
      <c r="CI420" s="31"/>
    </row>
    <row r="421" spans="87:87">
      <c r="CI421" s="31"/>
    </row>
    <row r="422" spans="87:87">
      <c r="CI422" s="31"/>
    </row>
    <row r="423" spans="87:87">
      <c r="CI423" s="31"/>
    </row>
    <row r="424" spans="87:87">
      <c r="CI424" s="31"/>
    </row>
    <row r="425" spans="87:87">
      <c r="CI425" s="31"/>
    </row>
    <row r="426" spans="87:87">
      <c r="CI426" s="31"/>
    </row>
    <row r="427" spans="87:87">
      <c r="CI427" s="31"/>
    </row>
    <row r="428" spans="87:87">
      <c r="CI428" s="31"/>
    </row>
    <row r="429" spans="87:87">
      <c r="CI429" s="31"/>
    </row>
    <row r="430" spans="87:87">
      <c r="CI430" s="31"/>
    </row>
    <row r="431" spans="87:87">
      <c r="CI431" s="31"/>
    </row>
    <row r="432" spans="87:87">
      <c r="CI432" s="31"/>
    </row>
    <row r="433" spans="87:87">
      <c r="CI433" s="31"/>
    </row>
    <row r="434" spans="87:87">
      <c r="CI434" s="31"/>
    </row>
    <row r="435" spans="87:87">
      <c r="CI435" s="31"/>
    </row>
    <row r="436" spans="87:87">
      <c r="CI436" s="31"/>
    </row>
    <row r="437" spans="87:87">
      <c r="CI437" s="31"/>
    </row>
    <row r="438" spans="87:87">
      <c r="CI438" s="31"/>
    </row>
    <row r="439" spans="87:87">
      <c r="CI439" s="31"/>
    </row>
    <row r="440" spans="87:87">
      <c r="CI440" s="31"/>
    </row>
    <row r="441" spans="87:87">
      <c r="CI441" s="31"/>
    </row>
    <row r="442" spans="87:87">
      <c r="CI442" s="31"/>
    </row>
    <row r="443" spans="87:87">
      <c r="CI443" s="31"/>
    </row>
    <row r="444" spans="87:87">
      <c r="CI444" s="31"/>
    </row>
    <row r="445" spans="87:87">
      <c r="CI445" s="31"/>
    </row>
    <row r="446" spans="87:87">
      <c r="CI446" s="31"/>
    </row>
    <row r="447" spans="87:87">
      <c r="CI447" s="31"/>
    </row>
    <row r="448" spans="87:87">
      <c r="CI448" s="31"/>
    </row>
    <row r="449" spans="87:87">
      <c r="CI449" s="31"/>
    </row>
    <row r="450" spans="87:87">
      <c r="CI450" s="31"/>
    </row>
    <row r="451" spans="87:87">
      <c r="CI451" s="31"/>
    </row>
    <row r="452" spans="87:87">
      <c r="CI452" s="31"/>
    </row>
    <row r="453" spans="87:87">
      <c r="CI453" s="31"/>
    </row>
    <row r="454" spans="87:87">
      <c r="CI454" s="31"/>
    </row>
    <row r="455" spans="87:87">
      <c r="CI455" s="31"/>
    </row>
    <row r="456" spans="87:87">
      <c r="CI456" s="31"/>
    </row>
    <row r="457" spans="87:87">
      <c r="CI457" s="31"/>
    </row>
    <row r="458" spans="87:87">
      <c r="CI458" s="31"/>
    </row>
    <row r="459" spans="87:87">
      <c r="CI459" s="31"/>
    </row>
    <row r="460" spans="87:87">
      <c r="CI460" s="31"/>
    </row>
    <row r="461" spans="87:87">
      <c r="CI461" s="31"/>
    </row>
    <row r="462" spans="87:87">
      <c r="CI462" s="31"/>
    </row>
    <row r="463" spans="87:87">
      <c r="CI463" s="31"/>
    </row>
    <row r="464" spans="87:87">
      <c r="CI464" s="31"/>
    </row>
    <row r="465" spans="87:87">
      <c r="CI465" s="31"/>
    </row>
    <row r="466" spans="87:87">
      <c r="CI466" s="31"/>
    </row>
    <row r="467" spans="87:87">
      <c r="CI467" s="31"/>
    </row>
    <row r="468" spans="87:87">
      <c r="CI468" s="31"/>
    </row>
    <row r="469" spans="87:87">
      <c r="CI469" s="31"/>
    </row>
    <row r="470" spans="87:87">
      <c r="CI470" s="31"/>
    </row>
    <row r="471" spans="87:87">
      <c r="CI471" s="31"/>
    </row>
    <row r="472" spans="87:87">
      <c r="CI472" s="31"/>
    </row>
    <row r="473" spans="87:87">
      <c r="CI473" s="31"/>
    </row>
    <row r="474" spans="87:87">
      <c r="CI474" s="31"/>
    </row>
    <row r="475" spans="87:87">
      <c r="CI475" s="31"/>
    </row>
    <row r="476" spans="87:87">
      <c r="CI476" s="31"/>
    </row>
    <row r="477" spans="87:87">
      <c r="CI477" s="31"/>
    </row>
    <row r="478" spans="87:87">
      <c r="CI478" s="31"/>
    </row>
    <row r="479" spans="87:87">
      <c r="CI479" s="31"/>
    </row>
    <row r="480" spans="87:87">
      <c r="CI480" s="31"/>
    </row>
    <row r="481" spans="87:87">
      <c r="CI481" s="31"/>
    </row>
    <row r="482" spans="87:87">
      <c r="CI482" s="31"/>
    </row>
    <row r="483" spans="87:87">
      <c r="CI483" s="31"/>
    </row>
    <row r="484" spans="87:87">
      <c r="CI484" s="31"/>
    </row>
    <row r="485" spans="87:87">
      <c r="CI485" s="31"/>
    </row>
    <row r="486" spans="87:87">
      <c r="CI486" s="31"/>
    </row>
    <row r="487" spans="87:87">
      <c r="CI487" s="31"/>
    </row>
    <row r="488" spans="87:87">
      <c r="CI488" s="31"/>
    </row>
    <row r="489" spans="87:87">
      <c r="CI489" s="31"/>
    </row>
    <row r="490" spans="87:87">
      <c r="CI490" s="31"/>
    </row>
    <row r="491" spans="87:87">
      <c r="CI491" s="31"/>
    </row>
    <row r="492" spans="87:87">
      <c r="CI492" s="31"/>
    </row>
    <row r="493" spans="87:87">
      <c r="CI493" s="31"/>
    </row>
    <row r="494" spans="87:87">
      <c r="CI494" s="31"/>
    </row>
    <row r="495" spans="87:87">
      <c r="CI495" s="31"/>
    </row>
    <row r="496" spans="87:87">
      <c r="CI496" s="31"/>
    </row>
    <row r="497" spans="87:87">
      <c r="CI497" s="31"/>
    </row>
    <row r="498" spans="87:87">
      <c r="CI498" s="31"/>
    </row>
    <row r="499" spans="87:87">
      <c r="CI499" s="31"/>
    </row>
    <row r="500" spans="87:87">
      <c r="CI500" s="31"/>
    </row>
    <row r="501" spans="87:87">
      <c r="CI501" s="31"/>
    </row>
    <row r="502" spans="87:87">
      <c r="CI502" s="31"/>
    </row>
    <row r="503" spans="87:87">
      <c r="CI503" s="31"/>
    </row>
    <row r="504" spans="87:87">
      <c r="CI504" s="31"/>
    </row>
    <row r="505" spans="87:87">
      <c r="CI505" s="31"/>
    </row>
    <row r="506" spans="87:87">
      <c r="CI506" s="31"/>
    </row>
    <row r="507" spans="87:87">
      <c r="CI507" s="31"/>
    </row>
    <row r="508" spans="87:87">
      <c r="CI508" s="31"/>
    </row>
    <row r="509" spans="87:87">
      <c r="CI509" s="31"/>
    </row>
    <row r="510" spans="87:87">
      <c r="CI510" s="31"/>
    </row>
    <row r="511" spans="87:87">
      <c r="CI511" s="31"/>
    </row>
    <row r="512" spans="87:87">
      <c r="CI512" s="31"/>
    </row>
    <row r="513" spans="87:87">
      <c r="CI513" s="31"/>
    </row>
    <row r="514" spans="87:87">
      <c r="CI514" s="31"/>
    </row>
    <row r="515" spans="87:87">
      <c r="CI515" s="31"/>
    </row>
    <row r="516" spans="87:87">
      <c r="CI516" s="31"/>
    </row>
    <row r="517" spans="87:87">
      <c r="CI517" s="31"/>
    </row>
    <row r="518" spans="87:87">
      <c r="CI518" s="31"/>
    </row>
    <row r="519" spans="87:87">
      <c r="CI519" s="31"/>
    </row>
    <row r="520" spans="87:87">
      <c r="CI520" s="31"/>
    </row>
    <row r="521" spans="87:87">
      <c r="CI521" s="31"/>
    </row>
    <row r="522" spans="87:87">
      <c r="CI522" s="31"/>
    </row>
    <row r="523" spans="87:87">
      <c r="CI523" s="31"/>
    </row>
    <row r="524" spans="87:87">
      <c r="CI524" s="31"/>
    </row>
    <row r="525" spans="87:87">
      <c r="CI525" s="31"/>
    </row>
    <row r="526" spans="87:87">
      <c r="CI526" s="31"/>
    </row>
    <row r="527" spans="87:87">
      <c r="CI527" s="31"/>
    </row>
    <row r="528" spans="87:87">
      <c r="CI528" s="31"/>
    </row>
    <row r="529" spans="87:87">
      <c r="CI529" s="31"/>
    </row>
    <row r="530" spans="87:87">
      <c r="CI530" s="31"/>
    </row>
    <row r="531" spans="87:87">
      <c r="CI531" s="31"/>
    </row>
    <row r="532" spans="87:87">
      <c r="CI532" s="31"/>
    </row>
    <row r="533" spans="87:87">
      <c r="CI533" s="31"/>
    </row>
    <row r="534" spans="87:87">
      <c r="CI534" s="31"/>
    </row>
    <row r="535" spans="87:87">
      <c r="CI535" s="31"/>
    </row>
    <row r="536" spans="87:87">
      <c r="CI536" s="31"/>
    </row>
    <row r="537" spans="87:87">
      <c r="CI537" s="31"/>
    </row>
    <row r="538" spans="87:87">
      <c r="CI538" s="31"/>
    </row>
    <row r="539" spans="87:87">
      <c r="CI539" s="31"/>
    </row>
    <row r="540" spans="87:87">
      <c r="CI540" s="31"/>
    </row>
    <row r="541" spans="87:87">
      <c r="CI541" s="31"/>
    </row>
    <row r="542" spans="87:87">
      <c r="CI542" s="31"/>
    </row>
    <row r="543" spans="87:87">
      <c r="CI543" s="31"/>
    </row>
    <row r="544" spans="87:87">
      <c r="CI544" s="31"/>
    </row>
    <row r="545" spans="87:87">
      <c r="CI545" s="31"/>
    </row>
    <row r="546" spans="87:87">
      <c r="CI546" s="31"/>
    </row>
    <row r="547" spans="87:87">
      <c r="CI547" s="31"/>
    </row>
    <row r="548" spans="87:87">
      <c r="CI548" s="31"/>
    </row>
    <row r="549" spans="87:87">
      <c r="CI549" s="31"/>
    </row>
    <row r="550" spans="87:87">
      <c r="CI550" s="31"/>
    </row>
    <row r="551" spans="87:87">
      <c r="CI551" s="31"/>
    </row>
    <row r="552" spans="87:87">
      <c r="CI552" s="31"/>
    </row>
    <row r="553" spans="87:87">
      <c r="CI553" s="31"/>
    </row>
    <row r="554" spans="87:87">
      <c r="CI554" s="31"/>
    </row>
    <row r="555" spans="87:87">
      <c r="CI555" s="31"/>
    </row>
    <row r="556" spans="87:87">
      <c r="CI556" s="31"/>
    </row>
    <row r="557" spans="87:87">
      <c r="CI557" s="31"/>
    </row>
    <row r="558" spans="87:87">
      <c r="CI558" s="31"/>
    </row>
    <row r="559" spans="87:87">
      <c r="CI559" s="31"/>
    </row>
    <row r="560" spans="87:87">
      <c r="CI560" s="31"/>
    </row>
    <row r="561" spans="87:87">
      <c r="CI561" s="31"/>
    </row>
    <row r="562" spans="87:87">
      <c r="CI562" s="31"/>
    </row>
    <row r="563" spans="87:87">
      <c r="CI563" s="31"/>
    </row>
    <row r="564" spans="87:87">
      <c r="CI564" s="31"/>
    </row>
    <row r="565" spans="87:87">
      <c r="CI565" s="31"/>
    </row>
    <row r="566" spans="87:87">
      <c r="CI566" s="31"/>
    </row>
    <row r="567" spans="87:87">
      <c r="CI567" s="31"/>
    </row>
    <row r="568" spans="87:87">
      <c r="CI568" s="31"/>
    </row>
    <row r="569" spans="87:87">
      <c r="CI569" s="31"/>
    </row>
    <row r="570" spans="87:87">
      <c r="CI570" s="31"/>
    </row>
    <row r="571" spans="87:87">
      <c r="CI571" s="31"/>
    </row>
    <row r="572" spans="87:87">
      <c r="CI572" s="31"/>
    </row>
    <row r="573" spans="87:87">
      <c r="CI573" s="31"/>
    </row>
    <row r="574" spans="87:87">
      <c r="CI574" s="31"/>
    </row>
    <row r="575" spans="87:87">
      <c r="CI575" s="31"/>
    </row>
    <row r="576" spans="87:87">
      <c r="CI576" s="31"/>
    </row>
    <row r="577" spans="87:87">
      <c r="CI577" s="31"/>
    </row>
    <row r="578" spans="87:87">
      <c r="CI578" s="31"/>
    </row>
    <row r="579" spans="87:87">
      <c r="CI579" s="31"/>
    </row>
    <row r="580" spans="87:87">
      <c r="CI580" s="31"/>
    </row>
    <row r="581" spans="87:87">
      <c r="CI581" s="31"/>
    </row>
    <row r="582" spans="87:87">
      <c r="CI582" s="31"/>
    </row>
    <row r="583" spans="87:87">
      <c r="CI583" s="31"/>
    </row>
    <row r="584" spans="87:87">
      <c r="CI584" s="31"/>
    </row>
    <row r="585" spans="87:87">
      <c r="CI585" s="31"/>
    </row>
    <row r="586" spans="87:87">
      <c r="CI586" s="31"/>
    </row>
    <row r="587" spans="87:87">
      <c r="CI587" s="31"/>
    </row>
    <row r="588" spans="87:87">
      <c r="CI588" s="31"/>
    </row>
    <row r="589" spans="87:87">
      <c r="CI589" s="31"/>
    </row>
    <row r="590" spans="87:87">
      <c r="CI590" s="31"/>
    </row>
    <row r="591" spans="87:87">
      <c r="CI591" s="31"/>
    </row>
    <row r="592" spans="87:87">
      <c r="CI592" s="31"/>
    </row>
    <row r="593" spans="87:87">
      <c r="CI593" s="31"/>
    </row>
    <row r="594" spans="87:87">
      <c r="CI594" s="31"/>
    </row>
    <row r="595" spans="87:87">
      <c r="CI595" s="31"/>
    </row>
    <row r="596" spans="87:87">
      <c r="CI596" s="31"/>
    </row>
    <row r="597" spans="87:87">
      <c r="CI597" s="31"/>
    </row>
    <row r="598" spans="87:87">
      <c r="CI598" s="31"/>
    </row>
    <row r="599" spans="87:87">
      <c r="CI599" s="31"/>
    </row>
    <row r="600" spans="87:87">
      <c r="CI600" s="31"/>
    </row>
    <row r="601" spans="87:87">
      <c r="CI601" s="31"/>
    </row>
    <row r="602" spans="87:87">
      <c r="CI602" s="31"/>
    </row>
    <row r="603" spans="87:87">
      <c r="CI603" s="31"/>
    </row>
    <row r="604" spans="87:87">
      <c r="CI604" s="31"/>
    </row>
    <row r="605" spans="87:87">
      <c r="CI605" s="31"/>
    </row>
    <row r="606" spans="87:87">
      <c r="CI606" s="31"/>
    </row>
    <row r="607" spans="87:87">
      <c r="CI607" s="31"/>
    </row>
    <row r="608" spans="87:87">
      <c r="CI608" s="31"/>
    </row>
    <row r="609" spans="87:87">
      <c r="CI609" s="31"/>
    </row>
    <row r="610" spans="87:87">
      <c r="CI610" s="31"/>
    </row>
    <row r="611" spans="87:87">
      <c r="CI611" s="31"/>
    </row>
    <row r="612" spans="87:87">
      <c r="CI612" s="31"/>
    </row>
    <row r="613" spans="87:87">
      <c r="CI613" s="31"/>
    </row>
    <row r="614" spans="87:87">
      <c r="CI614" s="31"/>
    </row>
    <row r="615" spans="87:87">
      <c r="CI615" s="31"/>
    </row>
    <row r="616" spans="87:87">
      <c r="CI616" s="31"/>
    </row>
    <row r="617" spans="87:87">
      <c r="CI617" s="31"/>
    </row>
    <row r="618" spans="87:87">
      <c r="CI618" s="31"/>
    </row>
    <row r="619" spans="87:87">
      <c r="CI619" s="31"/>
    </row>
    <row r="620" spans="87:87">
      <c r="CI620" s="31"/>
    </row>
    <row r="621" spans="87:87">
      <c r="CI621" s="31"/>
    </row>
    <row r="622" spans="87:87">
      <c r="CI622" s="31"/>
    </row>
    <row r="623" spans="87:87">
      <c r="CI623" s="31"/>
    </row>
    <row r="624" spans="87:87">
      <c r="CI624" s="31"/>
    </row>
    <row r="625" spans="87:87">
      <c r="CI625" s="31"/>
    </row>
    <row r="626" spans="87:87">
      <c r="CI626" s="31"/>
    </row>
    <row r="627" spans="87:87">
      <c r="CI627" s="31"/>
    </row>
    <row r="628" spans="87:87">
      <c r="CI628" s="31"/>
    </row>
    <row r="629" spans="87:87">
      <c r="CI629" s="31"/>
    </row>
    <row r="630" spans="87:87">
      <c r="CI630" s="31"/>
    </row>
    <row r="631" spans="87:87">
      <c r="CI631" s="31"/>
    </row>
    <row r="632" spans="87:87">
      <c r="CI632" s="31"/>
    </row>
    <row r="633" spans="87:87">
      <c r="CI633" s="31"/>
    </row>
    <row r="634" spans="87:87">
      <c r="CI634" s="31"/>
    </row>
    <row r="635" spans="87:87">
      <c r="CI635" s="31"/>
    </row>
    <row r="636" spans="87:87">
      <c r="CI636" s="31"/>
    </row>
    <row r="637" spans="87:87">
      <c r="CI637" s="31"/>
    </row>
    <row r="638" spans="87:87">
      <c r="CI638" s="31"/>
    </row>
    <row r="639" spans="87:87">
      <c r="CI639" s="31"/>
    </row>
    <row r="640" spans="87:87">
      <c r="CI640" s="31"/>
    </row>
    <row r="641" spans="87:87">
      <c r="CI641" s="31"/>
    </row>
    <row r="642" spans="87:87">
      <c r="CI642" s="31"/>
    </row>
    <row r="643" spans="87:87">
      <c r="CI643" s="31"/>
    </row>
    <row r="644" spans="87:87">
      <c r="CI644" s="31"/>
    </row>
    <row r="645" spans="87:87">
      <c r="CI645" s="31"/>
    </row>
    <row r="646" spans="87:87">
      <c r="CI646" s="31"/>
    </row>
    <row r="647" spans="87:87">
      <c r="CI647" s="31"/>
    </row>
    <row r="648" spans="87:87">
      <c r="CI648" s="31"/>
    </row>
    <row r="649" spans="87:87">
      <c r="CI649" s="31"/>
    </row>
    <row r="650" spans="87:87">
      <c r="CI650" s="31"/>
    </row>
    <row r="651" spans="87:87">
      <c r="CI651" s="31"/>
    </row>
    <row r="652" spans="87:87">
      <c r="CI652" s="31"/>
    </row>
    <row r="653" spans="87:87">
      <c r="CI653" s="31"/>
    </row>
    <row r="654" spans="87:87">
      <c r="CI654" s="31"/>
    </row>
    <row r="655" spans="87:87">
      <c r="CI655" s="31"/>
    </row>
    <row r="656" spans="87:87">
      <c r="CI656" s="31"/>
    </row>
    <row r="657" spans="87:87">
      <c r="CI657" s="31"/>
    </row>
    <row r="658" spans="87:87">
      <c r="CI658" s="31"/>
    </row>
    <row r="659" spans="87:87">
      <c r="CI659" s="31"/>
    </row>
    <row r="660" spans="87:87">
      <c r="CI660" s="31"/>
    </row>
    <row r="661" spans="87:87">
      <c r="CI661" s="31"/>
    </row>
    <row r="662" spans="87:87">
      <c r="CI662" s="31"/>
    </row>
    <row r="663" spans="87:87">
      <c r="CI663" s="31"/>
    </row>
    <row r="664" spans="87:87">
      <c r="CI664" s="31"/>
    </row>
    <row r="665" spans="87:87">
      <c r="CI665" s="31"/>
    </row>
    <row r="666" spans="87:87">
      <c r="CI666" s="31"/>
    </row>
    <row r="667" spans="87:87">
      <c r="CI667" s="31"/>
    </row>
    <row r="668" spans="87:87">
      <c r="CI668" s="31"/>
    </row>
    <row r="669" spans="87:87">
      <c r="CI669" s="31"/>
    </row>
    <row r="670" spans="87:87">
      <c r="CI670" s="31"/>
    </row>
    <row r="671" spans="87:87">
      <c r="CI671" s="31"/>
    </row>
    <row r="672" spans="87:87">
      <c r="CI672" s="31"/>
    </row>
    <row r="673" spans="87:87">
      <c r="CI673" s="31"/>
    </row>
    <row r="674" spans="87:87">
      <c r="CI674" s="31"/>
    </row>
    <row r="675" spans="87:87">
      <c r="CI675" s="31"/>
    </row>
    <row r="676" spans="87:87">
      <c r="CI676" s="31"/>
    </row>
    <row r="677" spans="87:87">
      <c r="CI677" s="31"/>
    </row>
    <row r="678" spans="87:87">
      <c r="CI678" s="31"/>
    </row>
    <row r="679" spans="87:87">
      <c r="CI679" s="31"/>
    </row>
    <row r="680" spans="87:87">
      <c r="CI680" s="31"/>
    </row>
    <row r="681" spans="87:87">
      <c r="CI681" s="31"/>
    </row>
    <row r="682" spans="87:87">
      <c r="CI682" s="31"/>
    </row>
    <row r="683" spans="87:87">
      <c r="CI683" s="31"/>
    </row>
    <row r="684" spans="87:87">
      <c r="CI684" s="31"/>
    </row>
    <row r="685" spans="87:87">
      <c r="CI685" s="31"/>
    </row>
    <row r="686" spans="87:87">
      <c r="CI686" s="31"/>
    </row>
    <row r="687" spans="87:87">
      <c r="CI687" s="31"/>
    </row>
    <row r="688" spans="87:87">
      <c r="CI688" s="31"/>
    </row>
    <row r="689" spans="87:87">
      <c r="CI689" s="31"/>
    </row>
    <row r="690" spans="87:87">
      <c r="CI690" s="31"/>
    </row>
    <row r="691" spans="87:87">
      <c r="CI691" s="31"/>
    </row>
    <row r="692" spans="87:87">
      <c r="CI692" s="31"/>
    </row>
    <row r="693" spans="87:87">
      <c r="CI693" s="31"/>
    </row>
    <row r="694" spans="87:87">
      <c r="CI694" s="31"/>
    </row>
    <row r="695" spans="87:87">
      <c r="CI695" s="31"/>
    </row>
    <row r="696" spans="87:87">
      <c r="CI696" s="31"/>
    </row>
    <row r="697" spans="87:87">
      <c r="CI697" s="31"/>
    </row>
    <row r="698" spans="87:87">
      <c r="CI698" s="31"/>
    </row>
    <row r="699" spans="87:87">
      <c r="CI699" s="31"/>
    </row>
    <row r="700" spans="87:87">
      <c r="CI700" s="31"/>
    </row>
    <row r="701" spans="87:87">
      <c r="CI701" s="31"/>
    </row>
    <row r="702" spans="87:87">
      <c r="CI702" s="31"/>
    </row>
    <row r="703" spans="87:87">
      <c r="CI703" s="31"/>
    </row>
    <row r="704" spans="87:87">
      <c r="CI704" s="31"/>
    </row>
    <row r="705" spans="87:87">
      <c r="CI705" s="31"/>
    </row>
    <row r="706" spans="87:87">
      <c r="CI706" s="31"/>
    </row>
    <row r="707" spans="87:87">
      <c r="CI707" s="31"/>
    </row>
    <row r="708" spans="87:87">
      <c r="CI708" s="31"/>
    </row>
    <row r="709" spans="87:87">
      <c r="CI709" s="31"/>
    </row>
    <row r="710" spans="87:87">
      <c r="CI710" s="31"/>
    </row>
    <row r="711" spans="87:87">
      <c r="CI711" s="31"/>
    </row>
    <row r="712" spans="87:87">
      <c r="CI712" s="31"/>
    </row>
    <row r="713" spans="87:87">
      <c r="CI713" s="31"/>
    </row>
    <row r="714" spans="87:87">
      <c r="CI714" s="31"/>
    </row>
    <row r="715" spans="87:87">
      <c r="CI715" s="31"/>
    </row>
    <row r="716" spans="87:87">
      <c r="CI716" s="31"/>
    </row>
    <row r="717" spans="87:87">
      <c r="CI717" s="31"/>
    </row>
    <row r="718" spans="87:87">
      <c r="CI718" s="31"/>
    </row>
    <row r="719" spans="87:87">
      <c r="CI719" s="31"/>
    </row>
    <row r="720" spans="87:87">
      <c r="CI720" s="31"/>
    </row>
    <row r="721" spans="87:87">
      <c r="CI721" s="31"/>
    </row>
    <row r="722" spans="87:87">
      <c r="CI722" s="31"/>
    </row>
    <row r="723" spans="87:87">
      <c r="CI723" s="31"/>
    </row>
    <row r="724" spans="87:87">
      <c r="CI724" s="31"/>
    </row>
    <row r="725" spans="87:87">
      <c r="CI725" s="31"/>
    </row>
    <row r="726" spans="87:87">
      <c r="CI726" s="31"/>
    </row>
    <row r="727" spans="87:87">
      <c r="CI727" s="31"/>
    </row>
    <row r="728" spans="87:87">
      <c r="CI728" s="31"/>
    </row>
    <row r="729" spans="87:87">
      <c r="CI729" s="31"/>
    </row>
    <row r="730" spans="87:87">
      <c r="CI730" s="31"/>
    </row>
    <row r="731" spans="87:87">
      <c r="CI731" s="31"/>
    </row>
    <row r="732" spans="87:87">
      <c r="CI732" s="31"/>
    </row>
    <row r="733" spans="87:87">
      <c r="CI733" s="31"/>
    </row>
    <row r="734" spans="87:87">
      <c r="CI734" s="31"/>
    </row>
    <row r="735" spans="87:87">
      <c r="CI735" s="31"/>
    </row>
    <row r="736" spans="87:87">
      <c r="CI736" s="31"/>
    </row>
    <row r="737" spans="87:87">
      <c r="CI737" s="31"/>
    </row>
    <row r="738" spans="87:87">
      <c r="CI738" s="31"/>
    </row>
    <row r="739" spans="87:87">
      <c r="CI739" s="31"/>
    </row>
    <row r="740" spans="87:87">
      <c r="CI740" s="31"/>
    </row>
    <row r="741" spans="87:87">
      <c r="CI741" s="31"/>
    </row>
    <row r="742" spans="87:87">
      <c r="CI742" s="31"/>
    </row>
    <row r="743" spans="87:87">
      <c r="CI743" s="31"/>
    </row>
    <row r="744" spans="87:87">
      <c r="CI744" s="31"/>
    </row>
    <row r="745" spans="87:87">
      <c r="CI745" s="31"/>
    </row>
    <row r="746" spans="87:87">
      <c r="CI746" s="31"/>
    </row>
    <row r="747" spans="87:87">
      <c r="CI747" s="31"/>
    </row>
    <row r="748" spans="87:87">
      <c r="CI748" s="31"/>
    </row>
    <row r="749" spans="87:87">
      <c r="CI749" s="31"/>
    </row>
    <row r="750" spans="87:87">
      <c r="CI750" s="31"/>
    </row>
    <row r="751" spans="87:87">
      <c r="CI751" s="31"/>
    </row>
    <row r="752" spans="87:87">
      <c r="CI752" s="31"/>
    </row>
    <row r="753" spans="87:87">
      <c r="CI753" s="31"/>
    </row>
    <row r="754" spans="87:87">
      <c r="CI754" s="31"/>
    </row>
    <row r="755" spans="87:87">
      <c r="CI755" s="31"/>
    </row>
    <row r="756" spans="87:87">
      <c r="CI756" s="31"/>
    </row>
    <row r="757" spans="87:87">
      <c r="CI757" s="31"/>
    </row>
    <row r="758" spans="87:87">
      <c r="CI758" s="31"/>
    </row>
    <row r="759" spans="87:87">
      <c r="CI759" s="31"/>
    </row>
    <row r="760" spans="87:87">
      <c r="CI760" s="31"/>
    </row>
    <row r="761" spans="87:87">
      <c r="CI761" s="31"/>
    </row>
    <row r="762" spans="87:87">
      <c r="CI762" s="31"/>
    </row>
    <row r="763" spans="87:87">
      <c r="CI763" s="31"/>
    </row>
    <row r="764" spans="87:87">
      <c r="CI764" s="31"/>
    </row>
    <row r="765" spans="87:87">
      <c r="CI765" s="31"/>
    </row>
    <row r="766" spans="87:87">
      <c r="CI766" s="31"/>
    </row>
    <row r="767" spans="87:87">
      <c r="CI767" s="31"/>
    </row>
    <row r="768" spans="87:87">
      <c r="CI768" s="31"/>
    </row>
    <row r="769" spans="87:87">
      <c r="CI769" s="31"/>
    </row>
    <row r="770" spans="87:87">
      <c r="CI770" s="31"/>
    </row>
    <row r="771" spans="87:87">
      <c r="CI771" s="31"/>
    </row>
    <row r="772" spans="87:87">
      <c r="CI772" s="31"/>
    </row>
    <row r="773" spans="87:87">
      <c r="CI773" s="31"/>
    </row>
    <row r="774" spans="87:87">
      <c r="CI774" s="31"/>
    </row>
    <row r="775" spans="87:87">
      <c r="CI775" s="31"/>
    </row>
    <row r="776" spans="87:87">
      <c r="CI776" s="31"/>
    </row>
    <row r="777" spans="87:87">
      <c r="CI777" s="31"/>
    </row>
    <row r="778" spans="87:87">
      <c r="CI778" s="31"/>
    </row>
    <row r="779" spans="87:87">
      <c r="CI779" s="31"/>
    </row>
    <row r="780" spans="87:87">
      <c r="CI780" s="31"/>
    </row>
    <row r="781" spans="87:87">
      <c r="CI781" s="31"/>
    </row>
    <row r="782" spans="87:87">
      <c r="CI782" s="31"/>
    </row>
    <row r="783" spans="87:87">
      <c r="CI783" s="31"/>
    </row>
    <row r="784" spans="87:87">
      <c r="CI784" s="31"/>
    </row>
    <row r="785" spans="87:87">
      <c r="CI785" s="31"/>
    </row>
    <row r="786" spans="87:87">
      <c r="CI786" s="31"/>
    </row>
    <row r="787" spans="87:87">
      <c r="CI787" s="31"/>
    </row>
    <row r="788" spans="87:87">
      <c r="CI788" s="31"/>
    </row>
    <row r="789" spans="87:87">
      <c r="CI789" s="31"/>
    </row>
    <row r="790" spans="87:87">
      <c r="CI790" s="31"/>
    </row>
    <row r="791" spans="87:87">
      <c r="CI791" s="31"/>
    </row>
    <row r="792" spans="87:87">
      <c r="CI792" s="31"/>
    </row>
    <row r="793" spans="87:87">
      <c r="CI793" s="31"/>
    </row>
    <row r="794" spans="87:87">
      <c r="CI794" s="31"/>
    </row>
    <row r="795" spans="87:87">
      <c r="CI795" s="31"/>
    </row>
    <row r="796" spans="87:87">
      <c r="CI796" s="31"/>
    </row>
    <row r="797" spans="87:87">
      <c r="CI797" s="31"/>
    </row>
    <row r="798" spans="87:87">
      <c r="CI798" s="31"/>
    </row>
    <row r="799" spans="87:87">
      <c r="CI799" s="31"/>
    </row>
    <row r="800" spans="87:87">
      <c r="CI800" s="31"/>
    </row>
    <row r="801" spans="87:87">
      <c r="CI801" s="31"/>
    </row>
    <row r="802" spans="87:87">
      <c r="CI802" s="31"/>
    </row>
    <row r="803" spans="87:87">
      <c r="CI803" s="31"/>
    </row>
    <row r="804" spans="87:87">
      <c r="CI804" s="31"/>
    </row>
    <row r="805" spans="87:87">
      <c r="CI805" s="31"/>
    </row>
    <row r="806" spans="87:87">
      <c r="CI806" s="31"/>
    </row>
    <row r="807" spans="87:87">
      <c r="CI807" s="31"/>
    </row>
    <row r="808" spans="87:87">
      <c r="CI808" s="31"/>
    </row>
    <row r="809" spans="87:87">
      <c r="CI809" s="31"/>
    </row>
    <row r="810" spans="87:87">
      <c r="CI810" s="31"/>
    </row>
    <row r="811" spans="87:87">
      <c r="CI811" s="31"/>
    </row>
    <row r="812" spans="87:87">
      <c r="CI812" s="31"/>
    </row>
    <row r="813" spans="87:87">
      <c r="CI813" s="31"/>
    </row>
    <row r="814" spans="87:87">
      <c r="CI814" s="31"/>
    </row>
    <row r="815" spans="87:87">
      <c r="CI815" s="31"/>
    </row>
    <row r="816" spans="87:87">
      <c r="CI816" s="31"/>
    </row>
    <row r="817" spans="87:87">
      <c r="CI817" s="31"/>
    </row>
    <row r="818" spans="87:87">
      <c r="CI818" s="31"/>
    </row>
    <row r="819" spans="87:87">
      <c r="CI819" s="31"/>
    </row>
    <row r="820" spans="87:87">
      <c r="CI820" s="31"/>
    </row>
    <row r="821" spans="87:87">
      <c r="CI821" s="31"/>
    </row>
    <row r="822" spans="87:87">
      <c r="CI822" s="31"/>
    </row>
    <row r="823" spans="87:87">
      <c r="CI823" s="31"/>
    </row>
    <row r="824" spans="87:87">
      <c r="CI824" s="31"/>
    </row>
    <row r="825" spans="87:87">
      <c r="CI825" s="31"/>
    </row>
    <row r="826" spans="87:87">
      <c r="CI826" s="31"/>
    </row>
    <row r="827" spans="87:87">
      <c r="CI827" s="31"/>
    </row>
    <row r="828" spans="87:87">
      <c r="CI828" s="31"/>
    </row>
    <row r="829" spans="87:87">
      <c r="CI829" s="31"/>
    </row>
    <row r="830" spans="87:87">
      <c r="CI830" s="31"/>
    </row>
    <row r="831" spans="87:87">
      <c r="CI831" s="31"/>
    </row>
    <row r="832" spans="87:87">
      <c r="CI832" s="31"/>
    </row>
    <row r="833" spans="87:87">
      <c r="CI833" s="31"/>
    </row>
    <row r="834" spans="87:87">
      <c r="CI834" s="31"/>
    </row>
    <row r="835" spans="87:87">
      <c r="CI835" s="31"/>
    </row>
    <row r="836" spans="87:87">
      <c r="CI836" s="31"/>
    </row>
    <row r="837" spans="87:87">
      <c r="CI837" s="31"/>
    </row>
    <row r="838" spans="87:87">
      <c r="CI838" s="31"/>
    </row>
    <row r="839" spans="87:87">
      <c r="CI839" s="31"/>
    </row>
    <row r="840" spans="87:87">
      <c r="CI840" s="31"/>
    </row>
    <row r="841" spans="87:87">
      <c r="CI841" s="31"/>
    </row>
    <row r="842" spans="87:87">
      <c r="CI842" s="31"/>
    </row>
    <row r="843" spans="87:87">
      <c r="CI843" s="31"/>
    </row>
    <row r="844" spans="87:87">
      <c r="CI844" s="31"/>
    </row>
    <row r="845" spans="87:87">
      <c r="CI845" s="31"/>
    </row>
    <row r="846" spans="87:87">
      <c r="CI846" s="31"/>
    </row>
    <row r="847" spans="87:87">
      <c r="CI847" s="31"/>
    </row>
    <row r="848" spans="87:87">
      <c r="CI848" s="31"/>
    </row>
    <row r="849" spans="87:87">
      <c r="CI849" s="31"/>
    </row>
    <row r="850" spans="87:87">
      <c r="CI850" s="31"/>
    </row>
    <row r="851" spans="87:87">
      <c r="CI851" s="31"/>
    </row>
    <row r="852" spans="87:87">
      <c r="CI852" s="31"/>
    </row>
    <row r="853" spans="87:87">
      <c r="CI853" s="31"/>
    </row>
    <row r="854" spans="87:87">
      <c r="CI854" s="31"/>
    </row>
    <row r="855" spans="87:87">
      <c r="CI855" s="31"/>
    </row>
    <row r="856" spans="87:87">
      <c r="CI856" s="31"/>
    </row>
    <row r="857" spans="87:87">
      <c r="CI857" s="31"/>
    </row>
    <row r="858" spans="87:87">
      <c r="CI858" s="31"/>
    </row>
    <row r="859" spans="87:87">
      <c r="CI859" s="31"/>
    </row>
    <row r="860" spans="87:87">
      <c r="CI860" s="31"/>
    </row>
    <row r="861" spans="87:87">
      <c r="CI861" s="31"/>
    </row>
    <row r="862" spans="87:87">
      <c r="CI862" s="31"/>
    </row>
    <row r="863" spans="87:87">
      <c r="CI863" s="31"/>
    </row>
    <row r="864" spans="87:87">
      <c r="CI864" s="31"/>
    </row>
    <row r="865" spans="87:87">
      <c r="CI865" s="31"/>
    </row>
    <row r="866" spans="87:87">
      <c r="CI866" s="31"/>
    </row>
    <row r="867" spans="87:87">
      <c r="CI867" s="31"/>
    </row>
    <row r="868" spans="87:87">
      <c r="CI868" s="31"/>
    </row>
    <row r="869" spans="87:87">
      <c r="CI869" s="31"/>
    </row>
    <row r="870" spans="87:87">
      <c r="CI870" s="31"/>
    </row>
    <row r="871" spans="87:87">
      <c r="CI871" s="31"/>
    </row>
    <row r="872" spans="87:87">
      <c r="CI872" s="31"/>
    </row>
    <row r="873" spans="87:87">
      <c r="CI873" s="31"/>
    </row>
    <row r="874" spans="87:87">
      <c r="CI874" s="31"/>
    </row>
    <row r="875" spans="87:87">
      <c r="CI875" s="31"/>
    </row>
    <row r="876" spans="87:87">
      <c r="CI876" s="31"/>
    </row>
    <row r="877" spans="87:87">
      <c r="CI877" s="31"/>
    </row>
    <row r="878" spans="87:87">
      <c r="CI878" s="31"/>
    </row>
    <row r="879" spans="87:87">
      <c r="CI879" s="31"/>
    </row>
    <row r="880" spans="87:87">
      <c r="CI880" s="31"/>
    </row>
    <row r="881" spans="87:87">
      <c r="CI881" s="31"/>
    </row>
    <row r="882" spans="87:87">
      <c r="CI882" s="31"/>
    </row>
    <row r="883" spans="87:87">
      <c r="CI883" s="31"/>
    </row>
    <row r="884" spans="87:87">
      <c r="CI884" s="31"/>
    </row>
    <row r="885" spans="87:87">
      <c r="CI885" s="31"/>
    </row>
    <row r="886" spans="87:87">
      <c r="CI886" s="31"/>
    </row>
    <row r="887" spans="87:87">
      <c r="CI887" s="31"/>
    </row>
    <row r="888" spans="87:87">
      <c r="CI888" s="31"/>
    </row>
    <row r="889" spans="87:87">
      <c r="CI889" s="31"/>
    </row>
    <row r="890" spans="87:87">
      <c r="CI890" s="31"/>
    </row>
    <row r="891" spans="87:87">
      <c r="CI891" s="31"/>
    </row>
    <row r="892" spans="87:87">
      <c r="CI892" s="31"/>
    </row>
    <row r="893" spans="87:87">
      <c r="CI893" s="31"/>
    </row>
    <row r="894" spans="87:87">
      <c r="CI894" s="31"/>
    </row>
    <row r="895" spans="87:87">
      <c r="CI895" s="31"/>
    </row>
    <row r="896" spans="87:87">
      <c r="CI896" s="31"/>
    </row>
    <row r="897" spans="87:87">
      <c r="CI897" s="31"/>
    </row>
    <row r="898" spans="87:87">
      <c r="CI898" s="31"/>
    </row>
    <row r="899" spans="87:87">
      <c r="CI899" s="31"/>
    </row>
    <row r="900" spans="87:87">
      <c r="CI900" s="31"/>
    </row>
    <row r="901" spans="87:87">
      <c r="CI901" s="31"/>
    </row>
    <row r="902" spans="87:87">
      <c r="CI902" s="31"/>
    </row>
    <row r="903" spans="87:87">
      <c r="CI903" s="31"/>
    </row>
    <row r="904" spans="87:87">
      <c r="CI904" s="31"/>
    </row>
    <row r="905" spans="87:87">
      <c r="CI905" s="31"/>
    </row>
    <row r="906" spans="87:87">
      <c r="CI906" s="31"/>
    </row>
    <row r="907" spans="87:87">
      <c r="CI907" s="31"/>
    </row>
    <row r="908" spans="87:87">
      <c r="CI908" s="31"/>
    </row>
    <row r="909" spans="87:87">
      <c r="CI909" s="31"/>
    </row>
    <row r="910" spans="87:87">
      <c r="CI910" s="31"/>
    </row>
    <row r="911" spans="87:87">
      <c r="CI911" s="31"/>
    </row>
    <row r="912" spans="87:87">
      <c r="CI912" s="31"/>
    </row>
    <row r="913" spans="87:87">
      <c r="CI913" s="31"/>
    </row>
    <row r="914" spans="87:87">
      <c r="CI914" s="31"/>
    </row>
    <row r="915" spans="87:87">
      <c r="CI915" s="31"/>
    </row>
    <row r="916" spans="87:87">
      <c r="CI916" s="31"/>
    </row>
    <row r="917" spans="87:87">
      <c r="CI917" s="31"/>
    </row>
    <row r="918" spans="87:87">
      <c r="CI918" s="31"/>
    </row>
    <row r="919" spans="87:87">
      <c r="CI919" s="31"/>
    </row>
    <row r="920" spans="87:87">
      <c r="CI920" s="31"/>
    </row>
    <row r="921" spans="87:87">
      <c r="CI921" s="31"/>
    </row>
    <row r="922" spans="87:87">
      <c r="CI922" s="31"/>
    </row>
    <row r="923" spans="87:87">
      <c r="CI923" s="31"/>
    </row>
    <row r="924" spans="87:87">
      <c r="CI924" s="31"/>
    </row>
    <row r="925" spans="87:87">
      <c r="CI925" s="31"/>
    </row>
    <row r="926" spans="87:87">
      <c r="CI926" s="31"/>
    </row>
    <row r="927" spans="87:87">
      <c r="CI927" s="31"/>
    </row>
    <row r="928" spans="87:87">
      <c r="CI928" s="31"/>
    </row>
    <row r="929" spans="87:87">
      <c r="CI929" s="31"/>
    </row>
    <row r="930" spans="87:87">
      <c r="CI930" s="31"/>
    </row>
    <row r="931" spans="87:87">
      <c r="CI931" s="31"/>
    </row>
    <row r="932" spans="87:87">
      <c r="CI932" s="31"/>
    </row>
    <row r="933" spans="87:87">
      <c r="CI933" s="31"/>
    </row>
    <row r="934" spans="87:87">
      <c r="CI934" s="31"/>
    </row>
    <row r="935" spans="87:87">
      <c r="CI935" s="31"/>
    </row>
    <row r="936" spans="87:87">
      <c r="CI936" s="31"/>
    </row>
    <row r="937" spans="87:87">
      <c r="CI937" s="31"/>
    </row>
    <row r="938" spans="87:87">
      <c r="CI938" s="31"/>
    </row>
    <row r="939" spans="87:87">
      <c r="CI939" s="31"/>
    </row>
    <row r="940" spans="87:87">
      <c r="CI940" s="31"/>
    </row>
    <row r="941" spans="87:87">
      <c r="CI941" s="31"/>
    </row>
    <row r="942" spans="87:87">
      <c r="CI942" s="31"/>
    </row>
    <row r="943" spans="87:87">
      <c r="CI943" s="31"/>
    </row>
    <row r="944" spans="87:87">
      <c r="CI944" s="31"/>
    </row>
    <row r="945" spans="87:87">
      <c r="CI945" s="31"/>
    </row>
    <row r="946" spans="87:87">
      <c r="CI946" s="31"/>
    </row>
    <row r="947" spans="87:87">
      <c r="CI947" s="31"/>
    </row>
    <row r="948" spans="87:87">
      <c r="CI948" s="31"/>
    </row>
    <row r="949" spans="87:87">
      <c r="CI949" s="31"/>
    </row>
    <row r="950" spans="87:87">
      <c r="CI950" s="31"/>
    </row>
    <row r="951" spans="87:87">
      <c r="CI951" s="31"/>
    </row>
    <row r="952" spans="87:87">
      <c r="CI952" s="31"/>
    </row>
    <row r="953" spans="87:87">
      <c r="CI953" s="31"/>
    </row>
    <row r="954" spans="87:87">
      <c r="CI954" s="31"/>
    </row>
    <row r="955" spans="87:87">
      <c r="CI955" s="31"/>
    </row>
    <row r="956" spans="87:87">
      <c r="CI956" s="31"/>
    </row>
    <row r="957" spans="87:87">
      <c r="CI957" s="31"/>
    </row>
    <row r="958" spans="87:87">
      <c r="CI958" s="31"/>
    </row>
    <row r="959" spans="87:87">
      <c r="CI959" s="31"/>
    </row>
    <row r="960" spans="87:87">
      <c r="CI960" s="31"/>
    </row>
    <row r="961" spans="87:87">
      <c r="CI961" s="31"/>
    </row>
    <row r="962" spans="87:87">
      <c r="CI962" s="31"/>
    </row>
    <row r="963" spans="87:87">
      <c r="CI963" s="31"/>
    </row>
    <row r="964" spans="87:87">
      <c r="CI964" s="31"/>
    </row>
    <row r="965" spans="87:87">
      <c r="CI965" s="31"/>
    </row>
    <row r="966" spans="87:87">
      <c r="CI966" s="31"/>
    </row>
    <row r="967" spans="87:87">
      <c r="CI967" s="31"/>
    </row>
    <row r="968" spans="87:87">
      <c r="CI968" s="31"/>
    </row>
    <row r="969" spans="87:87">
      <c r="CI969" s="31"/>
    </row>
    <row r="970" spans="87:87">
      <c r="CI970" s="31"/>
    </row>
    <row r="971" spans="87:87">
      <c r="CI971" s="31"/>
    </row>
    <row r="972" spans="87:87">
      <c r="CI972" s="31"/>
    </row>
    <row r="973" spans="87:87">
      <c r="CI973" s="31"/>
    </row>
    <row r="974" spans="87:87">
      <c r="CI974" s="31"/>
    </row>
    <row r="975" spans="87:87">
      <c r="CI975" s="31"/>
    </row>
    <row r="976" spans="87:87">
      <c r="CI976" s="31"/>
    </row>
    <row r="977" spans="87:87">
      <c r="CI977" s="31"/>
    </row>
    <row r="978" spans="87:87">
      <c r="CI978" s="31"/>
    </row>
    <row r="979" spans="87:87">
      <c r="CI979" s="31"/>
    </row>
    <row r="980" spans="87:87">
      <c r="CI980" s="31"/>
    </row>
    <row r="981" spans="87:87">
      <c r="CI981" s="31"/>
    </row>
    <row r="982" spans="87:87">
      <c r="CI982" s="31"/>
    </row>
    <row r="983" spans="87:87">
      <c r="CI983" s="31"/>
    </row>
    <row r="984" spans="87:87">
      <c r="CI984" s="31"/>
    </row>
    <row r="985" spans="87:87">
      <c r="CI985" s="31"/>
    </row>
    <row r="986" spans="87:87">
      <c r="CI986" s="31"/>
    </row>
    <row r="987" spans="87:87">
      <c r="CI987" s="31"/>
    </row>
    <row r="988" spans="87:87">
      <c r="CI988" s="31"/>
    </row>
    <row r="989" spans="87:87">
      <c r="CI989" s="31"/>
    </row>
    <row r="990" spans="87:87">
      <c r="CI990" s="31"/>
    </row>
    <row r="991" spans="87:87">
      <c r="CI991" s="31"/>
    </row>
    <row r="992" spans="87:87">
      <c r="CI992" s="31"/>
    </row>
    <row r="993" spans="87:87">
      <c r="CI993" s="31"/>
    </row>
    <row r="994" spans="87:87">
      <c r="CI994" s="31"/>
    </row>
    <row r="995" spans="87:87">
      <c r="CI995" s="31"/>
    </row>
    <row r="996" spans="87:87">
      <c r="CI996" s="31"/>
    </row>
    <row r="997" spans="87:87">
      <c r="CI997" s="31"/>
    </row>
    <row r="998" spans="87:87">
      <c r="CI998" s="31"/>
    </row>
    <row r="999" spans="87:87">
      <c r="CI999" s="31"/>
    </row>
    <row r="1000" spans="87:87">
      <c r="CI1000" s="31"/>
    </row>
    <row r="1001" spans="87:87">
      <c r="CI1001" s="31"/>
    </row>
    <row r="1002" spans="87:87">
      <c r="CI1002" s="31"/>
    </row>
    <row r="1003" spans="87:87">
      <c r="CI1003" s="31"/>
    </row>
    <row r="1004" spans="87:87">
      <c r="CI1004" s="31"/>
    </row>
    <row r="1005" spans="87:87">
      <c r="CI1005" s="31"/>
    </row>
    <row r="1006" spans="87:87">
      <c r="CI1006" s="31"/>
    </row>
    <row r="1007" spans="87:87">
      <c r="CI1007" s="31"/>
    </row>
    <row r="1008" spans="87:87">
      <c r="CI1008" s="31"/>
    </row>
    <row r="1009" spans="87:87">
      <c r="CI1009" s="31"/>
    </row>
    <row r="1010" spans="87:87">
      <c r="CI1010" s="31"/>
    </row>
    <row r="1011" spans="87:87">
      <c r="CI1011" s="31"/>
    </row>
    <row r="1012" spans="87:87">
      <c r="CI1012" s="31"/>
    </row>
    <row r="1013" spans="87:87">
      <c r="CI1013" s="31"/>
    </row>
    <row r="1014" spans="87:87">
      <c r="CI1014" s="31"/>
    </row>
    <row r="1015" spans="87:87">
      <c r="CI1015" s="31"/>
    </row>
    <row r="1016" spans="87:87">
      <c r="CI1016" s="31"/>
    </row>
    <row r="1017" spans="87:87">
      <c r="CI1017" s="31"/>
    </row>
    <row r="1018" spans="87:87">
      <c r="CI1018" s="31"/>
    </row>
    <row r="1019" spans="87:87">
      <c r="CI1019" s="31"/>
    </row>
    <row r="1020" spans="87:87">
      <c r="CI1020" s="31"/>
    </row>
    <row r="1021" spans="87:87">
      <c r="CI1021" s="31"/>
    </row>
    <row r="1022" spans="87:87">
      <c r="CI1022" s="31"/>
    </row>
    <row r="1023" spans="87:87">
      <c r="CI1023" s="31"/>
    </row>
    <row r="1024" spans="87:87">
      <c r="CI1024" s="31"/>
    </row>
    <row r="1025" spans="87:87">
      <c r="CI1025" s="31"/>
    </row>
    <row r="1026" spans="87:87">
      <c r="CI1026" s="31"/>
    </row>
    <row r="1027" spans="87:87">
      <c r="CI1027" s="31"/>
    </row>
    <row r="1028" spans="87:87">
      <c r="CI1028" s="31"/>
    </row>
    <row r="1029" spans="87:87">
      <c r="CI1029" s="31"/>
    </row>
    <row r="1030" spans="87:87">
      <c r="CI1030" s="31"/>
    </row>
    <row r="1031" spans="87:87">
      <c r="CI1031" s="31"/>
    </row>
    <row r="1032" spans="87:87">
      <c r="CI1032" s="31"/>
    </row>
    <row r="1033" spans="87:87">
      <c r="CI1033" s="31"/>
    </row>
    <row r="1034" spans="87:87">
      <c r="CI1034" s="31"/>
    </row>
    <row r="1035" spans="87:87">
      <c r="CI1035" s="31"/>
    </row>
    <row r="1036" spans="87:87">
      <c r="CI1036" s="31"/>
    </row>
    <row r="1037" spans="87:87">
      <c r="CI1037" s="31"/>
    </row>
    <row r="1038" spans="87:87">
      <c r="CI1038" s="31"/>
    </row>
    <row r="1039" spans="87:87">
      <c r="CI1039" s="31"/>
    </row>
    <row r="1040" spans="87:87">
      <c r="CI1040" s="31"/>
    </row>
    <row r="1041" spans="87:87">
      <c r="CI1041" s="31"/>
    </row>
    <row r="1042" spans="87:87">
      <c r="CI1042" s="31"/>
    </row>
    <row r="1043" spans="87:87">
      <c r="CI1043" s="31"/>
    </row>
    <row r="1044" spans="87:87">
      <c r="CI1044" s="31"/>
    </row>
    <row r="1045" spans="87:87">
      <c r="CI1045" s="31"/>
    </row>
    <row r="1046" spans="87:87">
      <c r="CI1046" s="31"/>
    </row>
    <row r="1047" spans="87:87">
      <c r="CI1047" s="31"/>
    </row>
    <row r="1048" spans="87:87">
      <c r="CI1048" s="31"/>
    </row>
    <row r="1049" spans="87:87">
      <c r="CI1049" s="31"/>
    </row>
    <row r="1050" spans="87:87">
      <c r="CI1050" s="31"/>
    </row>
    <row r="1051" spans="87:87">
      <c r="CI1051" s="31"/>
    </row>
    <row r="1052" spans="87:87">
      <c r="CI1052" s="31"/>
    </row>
    <row r="1053" spans="87:87">
      <c r="CI1053" s="31"/>
    </row>
    <row r="1054" spans="87:87">
      <c r="CI1054" s="31"/>
    </row>
    <row r="1055" spans="87:87">
      <c r="CI1055" s="31"/>
    </row>
    <row r="1056" spans="87:87">
      <c r="CI1056" s="31"/>
    </row>
    <row r="1057" spans="87:87">
      <c r="CI1057" s="31"/>
    </row>
    <row r="1058" spans="87:87">
      <c r="CI1058" s="31"/>
    </row>
    <row r="1059" spans="87:87">
      <c r="CI1059" s="31"/>
    </row>
    <row r="1060" spans="87:87">
      <c r="CI1060" s="31"/>
    </row>
    <row r="1061" spans="87:87">
      <c r="CI1061" s="31"/>
    </row>
    <row r="1062" spans="87:87">
      <c r="CI1062" s="31"/>
    </row>
    <row r="1063" spans="87:87">
      <c r="CI1063" s="31"/>
    </row>
    <row r="1064" spans="87:87">
      <c r="CI1064" s="31"/>
    </row>
    <row r="1065" spans="87:87">
      <c r="CI1065" s="31"/>
    </row>
    <row r="1066" spans="87:87">
      <c r="CI1066" s="31"/>
    </row>
    <row r="1067" spans="87:87">
      <c r="CI1067" s="31"/>
    </row>
    <row r="1068" spans="87:87">
      <c r="CI1068" s="31"/>
    </row>
    <row r="1069" spans="87:87">
      <c r="CI1069" s="31"/>
    </row>
    <row r="1070" spans="87:87">
      <c r="CI1070" s="31"/>
    </row>
    <row r="1071" spans="87:87">
      <c r="CI1071" s="31"/>
    </row>
    <row r="1072" spans="87:87">
      <c r="CI1072" s="31"/>
    </row>
    <row r="1073" spans="87:87">
      <c r="CI1073" s="31"/>
    </row>
    <row r="1074" spans="87:87">
      <c r="CI1074" s="31"/>
    </row>
    <row r="1075" spans="87:87">
      <c r="CI1075" s="31"/>
    </row>
    <row r="1076" spans="87:87">
      <c r="CI1076" s="31"/>
    </row>
    <row r="1077" spans="87:87">
      <c r="CI1077" s="31"/>
    </row>
    <row r="1078" spans="87:87">
      <c r="CI1078" s="31"/>
    </row>
    <row r="1079" spans="87:87">
      <c r="CI1079" s="31"/>
    </row>
    <row r="1080" spans="87:87">
      <c r="CI1080" s="31"/>
    </row>
    <row r="1081" spans="87:87">
      <c r="CI1081" s="31"/>
    </row>
    <row r="1082" spans="87:87">
      <c r="CI1082" s="31"/>
    </row>
    <row r="1083" spans="87:87">
      <c r="CI1083" s="31"/>
    </row>
    <row r="1084" spans="87:87">
      <c r="CI1084" s="31"/>
    </row>
    <row r="1085" spans="87:87">
      <c r="CI1085" s="31"/>
    </row>
    <row r="1086" spans="87:87">
      <c r="CI1086" s="31"/>
    </row>
    <row r="1087" spans="87:87">
      <c r="CI1087" s="31"/>
    </row>
    <row r="1088" spans="87:87">
      <c r="CI1088" s="31"/>
    </row>
    <row r="1089" spans="87:87">
      <c r="CI1089" s="31"/>
    </row>
    <row r="1090" spans="87:87">
      <c r="CI1090" s="31"/>
    </row>
    <row r="1091" spans="87:87">
      <c r="CI1091" s="31"/>
    </row>
    <row r="1092" spans="87:87">
      <c r="CI1092" s="31"/>
    </row>
    <row r="1093" spans="87:87">
      <c r="CI1093" s="31"/>
    </row>
    <row r="1094" spans="87:87">
      <c r="CI1094" s="31"/>
    </row>
    <row r="1095" spans="87:87">
      <c r="CI1095" s="31"/>
    </row>
    <row r="1096" spans="87:87">
      <c r="CI1096" s="31"/>
    </row>
    <row r="1097" spans="87:87">
      <c r="CI1097" s="31"/>
    </row>
    <row r="1098" spans="87:87">
      <c r="CI1098" s="31"/>
    </row>
    <row r="1099" spans="87:87">
      <c r="CI1099" s="31"/>
    </row>
    <row r="1100" spans="87:87">
      <c r="CI1100" s="31"/>
    </row>
    <row r="1101" spans="87:87">
      <c r="CI1101" s="31"/>
    </row>
    <row r="1102" spans="87:87">
      <c r="CI1102" s="31"/>
    </row>
    <row r="1103" spans="87:87">
      <c r="CI1103" s="31"/>
    </row>
    <row r="1104" spans="87:87">
      <c r="CI1104" s="31"/>
    </row>
    <row r="1105" spans="87:87">
      <c r="CI1105" s="31"/>
    </row>
    <row r="1106" spans="87:87">
      <c r="CI1106" s="31"/>
    </row>
    <row r="1107" spans="87:87">
      <c r="CI1107" s="31"/>
    </row>
    <row r="1108" spans="87:87">
      <c r="CI1108" s="31"/>
    </row>
    <row r="1109" spans="87:87">
      <c r="CI1109" s="31"/>
    </row>
    <row r="1110" spans="87:87">
      <c r="CI1110" s="31"/>
    </row>
    <row r="1111" spans="87:87">
      <c r="CI1111" s="31"/>
    </row>
    <row r="1112" spans="87:87">
      <c r="CI1112" s="31"/>
    </row>
    <row r="1113" spans="87:87">
      <c r="CI1113" s="31"/>
    </row>
    <row r="1114" spans="87:87">
      <c r="CI1114" s="31"/>
    </row>
    <row r="1115" spans="87:87">
      <c r="CI1115" s="31"/>
    </row>
    <row r="1116" spans="87:87">
      <c r="CI1116" s="31"/>
    </row>
    <row r="1117" spans="87:87">
      <c r="CI1117" s="31"/>
    </row>
    <row r="1118" spans="87:87">
      <c r="CI1118" s="31"/>
    </row>
    <row r="1119" spans="87:87">
      <c r="CI1119" s="31"/>
    </row>
    <row r="1120" spans="87:87">
      <c r="CI1120" s="31"/>
    </row>
    <row r="1121" spans="87:87">
      <c r="CI1121" s="31"/>
    </row>
    <row r="1122" spans="87:87">
      <c r="CI1122" s="31"/>
    </row>
    <row r="1123" spans="87:87">
      <c r="CI1123" s="31"/>
    </row>
    <row r="1124" spans="87:87">
      <c r="CI1124" s="31"/>
    </row>
    <row r="1125" spans="87:87">
      <c r="CI1125" s="31"/>
    </row>
    <row r="1126" spans="87:87">
      <c r="CI1126" s="31"/>
    </row>
    <row r="1127" spans="87:87">
      <c r="CI1127" s="31"/>
    </row>
    <row r="1128" spans="87:87">
      <c r="CI1128" s="31"/>
    </row>
    <row r="1129" spans="87:87">
      <c r="CI1129" s="31"/>
    </row>
    <row r="1130" spans="87:87">
      <c r="CI1130" s="31"/>
    </row>
    <row r="1131" spans="87:87">
      <c r="CI1131" s="31"/>
    </row>
    <row r="1132" spans="87:87">
      <c r="CI1132" s="31"/>
    </row>
    <row r="1133" spans="87:87">
      <c r="CI1133" s="31"/>
    </row>
    <row r="1134" spans="87:87">
      <c r="CI1134" s="31"/>
    </row>
    <row r="1135" spans="87:87">
      <c r="CI1135" s="31"/>
    </row>
    <row r="1136" spans="87:87">
      <c r="CI1136" s="31"/>
    </row>
    <row r="1137" spans="87:87">
      <c r="CI1137" s="31"/>
    </row>
    <row r="1138" spans="87:87">
      <c r="CI1138" s="31"/>
    </row>
    <row r="1139" spans="87:87">
      <c r="CI1139" s="31"/>
    </row>
    <row r="1140" spans="87:87">
      <c r="CI1140" s="31"/>
    </row>
    <row r="1141" spans="87:87">
      <c r="CI1141" s="31"/>
    </row>
    <row r="1142" spans="87:87">
      <c r="CI1142" s="31"/>
    </row>
    <row r="1143" spans="87:87">
      <c r="CI1143" s="31"/>
    </row>
    <row r="1144" spans="87:87">
      <c r="CI1144" s="31"/>
    </row>
    <row r="1145" spans="87:87">
      <c r="CI1145" s="31"/>
    </row>
    <row r="1146" spans="87:87">
      <c r="CI1146" s="31"/>
    </row>
    <row r="1147" spans="87:87">
      <c r="CI1147" s="31"/>
    </row>
    <row r="1148" spans="87:87">
      <c r="CI1148" s="31"/>
    </row>
    <row r="1149" spans="87:87">
      <c r="CI1149" s="31"/>
    </row>
    <row r="1150" spans="87:87">
      <c r="CI1150" s="31"/>
    </row>
    <row r="1151" spans="87:87">
      <c r="CI1151" s="31"/>
    </row>
    <row r="1152" spans="87:87">
      <c r="CI1152" s="31"/>
    </row>
    <row r="1153" spans="87:87">
      <c r="CI1153" s="31"/>
    </row>
    <row r="1154" spans="87:87">
      <c r="CI1154" s="31"/>
    </row>
    <row r="1155" spans="87:87">
      <c r="CI1155" s="31"/>
    </row>
    <row r="1156" spans="87:87">
      <c r="CI1156" s="31"/>
    </row>
    <row r="1157" spans="87:87">
      <c r="CI1157" s="31"/>
    </row>
    <row r="1158" spans="87:87">
      <c r="CI1158" s="31"/>
    </row>
    <row r="1159" spans="87:87">
      <c r="CI1159" s="31"/>
    </row>
    <row r="1160" spans="87:87">
      <c r="CI1160" s="31"/>
    </row>
    <row r="1161" spans="87:87">
      <c r="CI1161" s="31"/>
    </row>
    <row r="1162" spans="87:87">
      <c r="CI1162" s="31"/>
    </row>
    <row r="1163" spans="87:87">
      <c r="CI1163" s="31"/>
    </row>
    <row r="1164" spans="87:87">
      <c r="CI1164" s="31"/>
    </row>
    <row r="1165" spans="87:87">
      <c r="CI1165" s="31"/>
    </row>
    <row r="1166" spans="87:87">
      <c r="CI1166" s="31"/>
    </row>
    <row r="1167" spans="87:87">
      <c r="CI1167" s="31"/>
    </row>
    <row r="1168" spans="87:87">
      <c r="CI1168" s="31"/>
    </row>
    <row r="1169" spans="87:87">
      <c r="CI1169" s="31"/>
    </row>
    <row r="1170" spans="87:87">
      <c r="CI1170" s="31"/>
    </row>
    <row r="1171" spans="87:87">
      <c r="CI1171" s="31"/>
    </row>
    <row r="1172" spans="87:87">
      <c r="CI1172" s="31"/>
    </row>
    <row r="1173" spans="87:87">
      <c r="CI1173" s="31"/>
    </row>
    <row r="1174" spans="87:87">
      <c r="CI1174" s="31"/>
    </row>
    <row r="1175" spans="87:87">
      <c r="CI1175" s="31"/>
    </row>
    <row r="1176" spans="87:87">
      <c r="CI1176" s="31"/>
    </row>
    <row r="1177" spans="87:87">
      <c r="CI1177" s="31"/>
    </row>
    <row r="1178" spans="87:87">
      <c r="CI1178" s="31"/>
    </row>
    <row r="1179" spans="87:87">
      <c r="CI1179" s="31"/>
    </row>
    <row r="1180" spans="87:87">
      <c r="CI1180" s="31"/>
    </row>
    <row r="1181" spans="87:87">
      <c r="CI1181" s="31"/>
    </row>
    <row r="1182" spans="87:87">
      <c r="CI1182" s="31"/>
    </row>
    <row r="1183" spans="87:87">
      <c r="CI1183" s="31"/>
    </row>
    <row r="1184" spans="87:87">
      <c r="CI1184" s="31"/>
    </row>
    <row r="1185" spans="87:87">
      <c r="CI1185" s="31"/>
    </row>
    <row r="1186" spans="87:87">
      <c r="CI1186" s="31"/>
    </row>
    <row r="1187" spans="87:87">
      <c r="CI1187" s="31"/>
    </row>
    <row r="1188" spans="87:87">
      <c r="CI1188" s="31"/>
    </row>
    <row r="1189" spans="87:87">
      <c r="CI1189" s="31"/>
    </row>
    <row r="1190" spans="87:87">
      <c r="CI1190" s="31"/>
    </row>
    <row r="1191" spans="87:87">
      <c r="CI1191" s="31"/>
    </row>
    <row r="1192" spans="87:87">
      <c r="CI1192" s="31"/>
    </row>
    <row r="1193" spans="87:87">
      <c r="CI1193" s="31"/>
    </row>
    <row r="1194" spans="87:87">
      <c r="CI1194" s="31"/>
    </row>
    <row r="1195" spans="87:87">
      <c r="CI1195" s="31"/>
    </row>
    <row r="1196" spans="87:87">
      <c r="CI1196" s="31"/>
    </row>
    <row r="1197" spans="87:87">
      <c r="CI1197" s="31"/>
    </row>
    <row r="1198" spans="87:87">
      <c r="CI1198" s="31"/>
    </row>
    <row r="1199" spans="87:87">
      <c r="CI1199" s="31"/>
    </row>
    <row r="1200" spans="87:87">
      <c r="CI1200" s="31"/>
    </row>
    <row r="1201" spans="87:87">
      <c r="CI1201" s="31"/>
    </row>
    <row r="1202" spans="87:87">
      <c r="CI1202" s="31"/>
    </row>
    <row r="1203" spans="87:87">
      <c r="CI1203" s="31"/>
    </row>
    <row r="1204" spans="87:87">
      <c r="CI1204" s="31"/>
    </row>
    <row r="1205" spans="87:87">
      <c r="CI1205" s="31"/>
    </row>
    <row r="1206" spans="87:87">
      <c r="CI1206" s="31"/>
    </row>
    <row r="1207" spans="87:87">
      <c r="CI1207" s="31"/>
    </row>
    <row r="1208" spans="87:87">
      <c r="CI1208" s="31"/>
    </row>
    <row r="1209" spans="87:87">
      <c r="CI1209" s="31"/>
    </row>
    <row r="1210" spans="87:87">
      <c r="CI1210" s="31"/>
    </row>
    <row r="1211" spans="87:87">
      <c r="CI1211" s="31"/>
    </row>
    <row r="1212" spans="87:87">
      <c r="CI1212" s="31"/>
    </row>
    <row r="1213" spans="87:87">
      <c r="CI1213" s="31"/>
    </row>
    <row r="1214" spans="87:87">
      <c r="CI1214" s="31"/>
    </row>
    <row r="1215" spans="87:87">
      <c r="CI1215" s="31"/>
    </row>
    <row r="1216" spans="87:87">
      <c r="CI1216" s="31"/>
    </row>
    <row r="1217" spans="87:87">
      <c r="CI1217" s="31"/>
    </row>
    <row r="1218" spans="87:87">
      <c r="CI1218" s="31"/>
    </row>
    <row r="1219" spans="87:87">
      <c r="CI1219" s="31"/>
    </row>
    <row r="1220" spans="87:87">
      <c r="CI1220" s="31"/>
    </row>
    <row r="1221" spans="87:87">
      <c r="CI1221" s="31"/>
    </row>
    <row r="1222" spans="87:87">
      <c r="CI1222" s="31"/>
    </row>
    <row r="1223" spans="87:87">
      <c r="CI1223" s="31"/>
    </row>
    <row r="1224" spans="87:87">
      <c r="CI1224" s="31"/>
    </row>
    <row r="1225" spans="87:87">
      <c r="CI1225" s="31"/>
    </row>
    <row r="1226" spans="87:87">
      <c r="CI1226" s="31"/>
    </row>
    <row r="1227" spans="87:87">
      <c r="CI1227" s="31"/>
    </row>
    <row r="1228" spans="87:87">
      <c r="CI1228" s="31"/>
    </row>
    <row r="1229" spans="87:87">
      <c r="CI1229" s="31"/>
    </row>
    <row r="1230" spans="87:87">
      <c r="CI1230" s="31"/>
    </row>
    <row r="1231" spans="87:87">
      <c r="CI1231" s="31"/>
    </row>
    <row r="1232" spans="87:87">
      <c r="CI1232" s="31"/>
    </row>
    <row r="1233" spans="87:87">
      <c r="CI1233" s="31"/>
    </row>
    <row r="1234" spans="87:87">
      <c r="CI1234" s="31"/>
    </row>
    <row r="1235" spans="87:87">
      <c r="CI1235" s="31"/>
    </row>
    <row r="1236" spans="87:87">
      <c r="CI1236" s="31"/>
    </row>
    <row r="1237" spans="87:87">
      <c r="CI1237" s="31"/>
    </row>
    <row r="1238" spans="87:87">
      <c r="CI1238" s="31"/>
    </row>
    <row r="1239" spans="87:87">
      <c r="CI1239" s="31"/>
    </row>
    <row r="1240" spans="87:87">
      <c r="CI1240" s="31"/>
    </row>
    <row r="1241" spans="87:87">
      <c r="CI1241" s="31"/>
    </row>
    <row r="1242" spans="87:87">
      <c r="CI1242" s="31"/>
    </row>
    <row r="1243" spans="87:87">
      <c r="CI1243" s="31"/>
    </row>
    <row r="1244" spans="87:87">
      <c r="CI1244" s="31"/>
    </row>
    <row r="1245" spans="87:87">
      <c r="CI1245" s="31"/>
    </row>
    <row r="1246" spans="87:87">
      <c r="CI1246" s="31"/>
    </row>
    <row r="1247" spans="87:87">
      <c r="CI1247" s="31"/>
    </row>
    <row r="1248" spans="87:87">
      <c r="CI1248" s="31"/>
    </row>
    <row r="1249" spans="87:87">
      <c r="CI1249" s="31"/>
    </row>
    <row r="1250" spans="87:87">
      <c r="CI1250" s="31"/>
    </row>
    <row r="1251" spans="87:87">
      <c r="CI1251" s="31"/>
    </row>
    <row r="1252" spans="87:87">
      <c r="CI1252" s="31"/>
    </row>
    <row r="1253" spans="87:87">
      <c r="CI1253" s="31"/>
    </row>
    <row r="1254" spans="87:87">
      <c r="CI1254" s="31"/>
    </row>
    <row r="1255" spans="87:87">
      <c r="CI1255" s="31"/>
    </row>
    <row r="1256" spans="87:87">
      <c r="CI1256" s="31"/>
    </row>
    <row r="1257" spans="87:87">
      <c r="CI1257" s="31"/>
    </row>
    <row r="1258" spans="87:87">
      <c r="CI1258" s="31"/>
    </row>
    <row r="1259" spans="87:87">
      <c r="CI1259" s="31"/>
    </row>
    <row r="1260" spans="87:87">
      <c r="CI1260" s="31"/>
    </row>
    <row r="1261" spans="87:87">
      <c r="CI1261" s="31"/>
    </row>
    <row r="1262" spans="87:87">
      <c r="CI1262" s="31"/>
    </row>
    <row r="1263" spans="87:87">
      <c r="CI1263" s="31"/>
    </row>
    <row r="1264" spans="87:87">
      <c r="CI1264" s="31"/>
    </row>
    <row r="1265" spans="87:87">
      <c r="CI1265" s="31"/>
    </row>
    <row r="1266" spans="87:87">
      <c r="CI1266" s="31"/>
    </row>
    <row r="1267" spans="87:87">
      <c r="CI1267" s="31"/>
    </row>
    <row r="1268" spans="87:87">
      <c r="CI1268" s="31"/>
    </row>
    <row r="1269" spans="87:87">
      <c r="CI1269" s="31"/>
    </row>
    <row r="1270" spans="87:87">
      <c r="CI1270" s="31"/>
    </row>
    <row r="1271" spans="87:87">
      <c r="CI1271" s="31"/>
    </row>
    <row r="1272" spans="87:87">
      <c r="CI1272" s="31"/>
    </row>
    <row r="1273" spans="87:87">
      <c r="CI1273" s="31"/>
    </row>
    <row r="1274" spans="87:87">
      <c r="CI1274" s="31"/>
    </row>
    <row r="1275" spans="87:87">
      <c r="CI1275" s="31"/>
    </row>
    <row r="1276" spans="87:87">
      <c r="CI1276" s="31"/>
    </row>
    <row r="1277" spans="87:87">
      <c r="CI1277" s="31"/>
    </row>
    <row r="1278" spans="87:87">
      <c r="CI1278" s="31"/>
    </row>
    <row r="1279" spans="87:87">
      <c r="CI1279" s="31"/>
    </row>
    <row r="1280" spans="87:87">
      <c r="CI1280" s="31"/>
    </row>
    <row r="1281" spans="87:87">
      <c r="CI1281" s="31"/>
    </row>
    <row r="1282" spans="87:87">
      <c r="CI1282" s="31"/>
    </row>
    <row r="1283" spans="87:87">
      <c r="CI1283" s="31"/>
    </row>
    <row r="1284" spans="87:87">
      <c r="CI1284" s="31"/>
    </row>
    <row r="1285" spans="87:87">
      <c r="CI1285" s="31"/>
    </row>
    <row r="1286" spans="87:87">
      <c r="CI1286" s="31"/>
    </row>
    <row r="1287" spans="87:87">
      <c r="CI1287" s="31"/>
    </row>
    <row r="1288" spans="87:87">
      <c r="CI1288" s="31"/>
    </row>
    <row r="1289" spans="87:87">
      <c r="CI1289" s="31"/>
    </row>
    <row r="1290" spans="87:87">
      <c r="CI1290" s="31"/>
    </row>
    <row r="1291" spans="87:87">
      <c r="CI1291" s="31"/>
    </row>
    <row r="1292" spans="87:87">
      <c r="CI1292" s="31"/>
    </row>
    <row r="1293" spans="87:87">
      <c r="CI1293" s="31"/>
    </row>
    <row r="1294" spans="87:87">
      <c r="CI1294" s="31"/>
    </row>
    <row r="1295" spans="87:87">
      <c r="CI1295" s="31"/>
    </row>
    <row r="1296" spans="87:87">
      <c r="CI1296" s="31"/>
    </row>
    <row r="1297" spans="87:87">
      <c r="CI1297" s="31"/>
    </row>
    <row r="1298" spans="87:87">
      <c r="CI1298" s="31"/>
    </row>
    <row r="1299" spans="87:87">
      <c r="CI1299" s="31"/>
    </row>
    <row r="1300" spans="87:87">
      <c r="CI1300" s="31"/>
    </row>
    <row r="1301" spans="87:87">
      <c r="CI1301" s="31"/>
    </row>
    <row r="1302" spans="87:87">
      <c r="CI1302" s="31"/>
    </row>
    <row r="1303" spans="87:87">
      <c r="CI1303" s="31"/>
    </row>
    <row r="1304" spans="87:87">
      <c r="CI1304" s="31"/>
    </row>
    <row r="1305" spans="87:87">
      <c r="CI1305" s="31"/>
    </row>
    <row r="1306" spans="87:87">
      <c r="CI1306" s="31"/>
    </row>
    <row r="1307" spans="87:87">
      <c r="CI1307" s="31"/>
    </row>
    <row r="1308" spans="87:87">
      <c r="CI1308" s="31"/>
    </row>
    <row r="1309" spans="87:87">
      <c r="CI1309" s="31"/>
    </row>
    <row r="1310" spans="87:87">
      <c r="CI1310" s="31"/>
    </row>
    <row r="1311" spans="87:87">
      <c r="CI1311" s="31"/>
    </row>
    <row r="1312" spans="87:87">
      <c r="CI1312" s="31"/>
    </row>
    <row r="1313" spans="87:87">
      <c r="CI1313" s="31"/>
    </row>
    <row r="1314" spans="87:87">
      <c r="CI1314" s="31"/>
    </row>
    <row r="1315" spans="87:87">
      <c r="CI1315" s="31"/>
    </row>
    <row r="1316" spans="87:87">
      <c r="CI1316" s="31"/>
    </row>
    <row r="1317" spans="87:87">
      <c r="CI1317" s="31"/>
    </row>
    <row r="1318" spans="87:87">
      <c r="CI1318" s="31"/>
    </row>
    <row r="1319" spans="87:87">
      <c r="CI1319" s="31"/>
    </row>
    <row r="1320" spans="87:87">
      <c r="CI1320" s="31"/>
    </row>
    <row r="1321" spans="87:87">
      <c r="CI1321" s="31"/>
    </row>
    <row r="1322" spans="87:87">
      <c r="CI1322" s="31"/>
    </row>
    <row r="1323" spans="87:87">
      <c r="CI1323" s="31"/>
    </row>
    <row r="1324" spans="87:87">
      <c r="CI1324" s="31"/>
    </row>
    <row r="1325" spans="87:87">
      <c r="CI1325" s="31"/>
    </row>
    <row r="1326" spans="87:87">
      <c r="CI1326" s="31"/>
    </row>
    <row r="1327" spans="87:87">
      <c r="CI1327" s="31"/>
    </row>
    <row r="1328" spans="87:87">
      <c r="CI1328" s="31"/>
    </row>
    <row r="1329" spans="87:87">
      <c r="CI1329" s="31"/>
    </row>
    <row r="1330" spans="87:87">
      <c r="CI1330" s="31"/>
    </row>
    <row r="1331" spans="87:87">
      <c r="CI1331" s="31"/>
    </row>
    <row r="1332" spans="87:87">
      <c r="CI1332" s="31"/>
    </row>
    <row r="1333" spans="87:87">
      <c r="CI1333" s="31"/>
    </row>
    <row r="1334" spans="87:87">
      <c r="CI1334" s="31"/>
    </row>
    <row r="1335" spans="87:87">
      <c r="CI1335" s="31"/>
    </row>
    <row r="1336" spans="87:87">
      <c r="CI1336" s="31"/>
    </row>
    <row r="1337" spans="87:87">
      <c r="CI1337" s="31"/>
    </row>
    <row r="1338" spans="87:87">
      <c r="CI1338" s="31"/>
    </row>
    <row r="1339" spans="87:87">
      <c r="CI1339" s="31"/>
    </row>
    <row r="1340" spans="87:87">
      <c r="CI1340" s="31"/>
    </row>
    <row r="1341" spans="87:87">
      <c r="CI1341" s="31"/>
    </row>
    <row r="1342" spans="87:87">
      <c r="CI1342" s="31"/>
    </row>
    <row r="1343" spans="87:87">
      <c r="CI1343" s="31"/>
    </row>
    <row r="1344" spans="87:87">
      <c r="CI1344" s="31"/>
    </row>
    <row r="1345" spans="87:87">
      <c r="CI1345" s="31"/>
    </row>
    <row r="1346" spans="87:87">
      <c r="CI1346" s="31"/>
    </row>
    <row r="1347" spans="87:87">
      <c r="CI1347" s="31"/>
    </row>
    <row r="1348" spans="87:87">
      <c r="CI1348" s="31"/>
    </row>
    <row r="1349" spans="87:87">
      <c r="CI1349" s="31"/>
    </row>
    <row r="1350" spans="87:87">
      <c r="CI1350" s="31"/>
    </row>
    <row r="1351" spans="87:87">
      <c r="CI1351" s="31"/>
    </row>
    <row r="1352" spans="87:87">
      <c r="CI1352" s="31"/>
    </row>
    <row r="1353" spans="87:87">
      <c r="CI1353" s="31"/>
    </row>
    <row r="1354" spans="87:87">
      <c r="CI1354" s="31"/>
    </row>
    <row r="1355" spans="87:87">
      <c r="CI1355" s="31"/>
    </row>
    <row r="1356" spans="87:87">
      <c r="CI1356" s="31"/>
    </row>
    <row r="1357" spans="87:87">
      <c r="CI1357" s="31"/>
    </row>
    <row r="1358" spans="87:87">
      <c r="CI1358" s="31"/>
    </row>
    <row r="1359" spans="87:87">
      <c r="CI1359" s="31"/>
    </row>
    <row r="1360" spans="87:87">
      <c r="CI1360" s="31"/>
    </row>
    <row r="1361" spans="87:87">
      <c r="CI1361" s="31"/>
    </row>
    <row r="1362" spans="87:87">
      <c r="CI1362" s="31"/>
    </row>
    <row r="1363" spans="87:87">
      <c r="CI1363" s="31"/>
    </row>
    <row r="1364" spans="87:87">
      <c r="CI1364" s="31"/>
    </row>
    <row r="1365" spans="87:87">
      <c r="CI1365" s="31"/>
    </row>
    <row r="1366" spans="87:87">
      <c r="CI1366" s="31"/>
    </row>
    <row r="1367" spans="87:87">
      <c r="CI1367" s="31"/>
    </row>
    <row r="1368" spans="87:87">
      <c r="CI1368" s="31"/>
    </row>
    <row r="1369" spans="87:87">
      <c r="CI1369" s="31"/>
    </row>
    <row r="1370" spans="87:87">
      <c r="CI1370" s="31"/>
    </row>
    <row r="1371" spans="87:87">
      <c r="CI1371" s="31"/>
    </row>
    <row r="1372" spans="87:87">
      <c r="CI1372" s="31"/>
    </row>
    <row r="1373" spans="87:87">
      <c r="CI1373" s="31"/>
    </row>
    <row r="1374" spans="87:87">
      <c r="CI1374" s="31"/>
    </row>
    <row r="1375" spans="87:87">
      <c r="CI1375" s="31"/>
    </row>
    <row r="1376" spans="87:87">
      <c r="CI1376" s="31"/>
    </row>
    <row r="1377" spans="87:87">
      <c r="CI1377" s="31"/>
    </row>
    <row r="1378" spans="87:87">
      <c r="CI1378" s="31"/>
    </row>
    <row r="1379" spans="87:87">
      <c r="CI1379" s="31"/>
    </row>
    <row r="1380" spans="87:87">
      <c r="CI1380" s="31"/>
    </row>
    <row r="1381" spans="87:87">
      <c r="CI1381" s="31"/>
    </row>
    <row r="1382" spans="87:87">
      <c r="CI1382" s="31"/>
    </row>
    <row r="1383" spans="87:87">
      <c r="CI1383" s="31"/>
    </row>
    <row r="1384" spans="87:87">
      <c r="CI1384" s="31"/>
    </row>
    <row r="1385" spans="87:87">
      <c r="CI1385" s="31"/>
    </row>
    <row r="1386" spans="87:87">
      <c r="CI1386" s="31"/>
    </row>
    <row r="1387" spans="87:87">
      <c r="CI1387" s="31"/>
    </row>
    <row r="1388" spans="87:87">
      <c r="CI1388" s="31"/>
    </row>
    <row r="1389" spans="87:87">
      <c r="CI1389" s="31"/>
    </row>
    <row r="1390" spans="87:87">
      <c r="CI1390" s="31"/>
    </row>
    <row r="1391" spans="87:87">
      <c r="CI1391" s="31"/>
    </row>
    <row r="1392" spans="87:87">
      <c r="CI1392" s="31"/>
    </row>
    <row r="1393" spans="87:87">
      <c r="CI1393" s="31"/>
    </row>
    <row r="1394" spans="87:87">
      <c r="CI1394" s="31"/>
    </row>
    <row r="1395" spans="87:87">
      <c r="CI1395" s="31"/>
    </row>
    <row r="1396" spans="87:87">
      <c r="CI1396" s="31"/>
    </row>
    <row r="1397" spans="87:87">
      <c r="CI1397" s="31"/>
    </row>
    <row r="1398" spans="87:87">
      <c r="CI1398" s="31"/>
    </row>
    <row r="1399" spans="87:87">
      <c r="CI1399" s="31"/>
    </row>
    <row r="1400" spans="87:87">
      <c r="CI1400" s="31"/>
    </row>
    <row r="1401" spans="87:87">
      <c r="CI1401" s="31"/>
    </row>
    <row r="1402" spans="87:87">
      <c r="CI1402" s="31"/>
    </row>
    <row r="1403" spans="87:87">
      <c r="CI1403" s="31"/>
    </row>
    <row r="1404" spans="87:87">
      <c r="CI1404" s="31"/>
    </row>
    <row r="1405" spans="87:87">
      <c r="CI1405" s="31"/>
    </row>
    <row r="1406" spans="87:87">
      <c r="CI1406" s="31"/>
    </row>
    <row r="1407" spans="87:87">
      <c r="CI1407" s="31"/>
    </row>
    <row r="1408" spans="87:87">
      <c r="CI1408" s="31"/>
    </row>
    <row r="1409" spans="87:87">
      <c r="CI1409" s="31"/>
    </row>
    <row r="1410" spans="87:87">
      <c r="CI1410" s="31"/>
    </row>
    <row r="1411" spans="87:87">
      <c r="CI1411" s="31"/>
    </row>
    <row r="1412" spans="87:87">
      <c r="CI1412" s="31"/>
    </row>
    <row r="1413" spans="87:87">
      <c r="CI1413" s="31"/>
    </row>
    <row r="1414" spans="87:87">
      <c r="CI1414" s="31"/>
    </row>
    <row r="1415" spans="87:87">
      <c r="CI1415" s="31"/>
    </row>
    <row r="1416" spans="87:87">
      <c r="CI1416" s="31"/>
    </row>
    <row r="1417" spans="87:87">
      <c r="CI1417" s="31"/>
    </row>
    <row r="1418" spans="87:87">
      <c r="CI1418" s="31"/>
    </row>
    <row r="1419" spans="87:87">
      <c r="CI1419" s="31"/>
    </row>
    <row r="1420" spans="87:87">
      <c r="CI1420" s="31"/>
    </row>
    <row r="1421" spans="87:87">
      <c r="CI1421" s="31"/>
    </row>
    <row r="1422" spans="87:87">
      <c r="CI1422" s="31"/>
    </row>
    <row r="1423" spans="87:87">
      <c r="CI1423" s="31"/>
    </row>
    <row r="1424" spans="87:87">
      <c r="CI1424" s="31"/>
    </row>
    <row r="1425" spans="87:87">
      <c r="CI1425" s="31"/>
    </row>
    <row r="1426" spans="87:87">
      <c r="CI1426" s="31"/>
    </row>
    <row r="1427" spans="87:87">
      <c r="CI1427" s="31"/>
    </row>
    <row r="1428" spans="87:87">
      <c r="CI1428" s="31"/>
    </row>
    <row r="1429" spans="87:87">
      <c r="CI1429" s="31"/>
    </row>
    <row r="1430" spans="87:87">
      <c r="CI1430" s="31"/>
    </row>
    <row r="1431" spans="87:87">
      <c r="CI1431" s="31"/>
    </row>
    <row r="1432" spans="87:87">
      <c r="CI1432" s="31"/>
    </row>
    <row r="1433" spans="87:87">
      <c r="CI1433" s="31"/>
    </row>
    <row r="1434" spans="87:87">
      <c r="CI1434" s="31"/>
    </row>
    <row r="1435" spans="87:87">
      <c r="CI1435" s="31"/>
    </row>
    <row r="1436" spans="87:87">
      <c r="CI1436" s="31"/>
    </row>
    <row r="1437" spans="87:87">
      <c r="CI1437" s="31"/>
    </row>
    <row r="1438" spans="87:87">
      <c r="CI1438" s="31"/>
    </row>
    <row r="1439" spans="87:87">
      <c r="CI1439" s="31"/>
    </row>
    <row r="1440" spans="87:87">
      <c r="CI1440" s="31"/>
    </row>
    <row r="1441" spans="87:87">
      <c r="CI1441" s="31"/>
    </row>
    <row r="1442" spans="87:87">
      <c r="CI1442" s="31"/>
    </row>
    <row r="1443" spans="87:87">
      <c r="CI1443" s="31"/>
    </row>
    <row r="1444" spans="87:87">
      <c r="CI1444" s="31"/>
    </row>
    <row r="1445" spans="87:87">
      <c r="CI1445" s="31"/>
    </row>
    <row r="1446" spans="87:87">
      <c r="CI1446" s="31"/>
    </row>
    <row r="1447" spans="87:87">
      <c r="CI1447" s="31"/>
    </row>
    <row r="1448" spans="87:87">
      <c r="CI1448" s="31"/>
    </row>
    <row r="1449" spans="87:87">
      <c r="CI1449" s="31"/>
    </row>
    <row r="1450" spans="87:87">
      <c r="CI1450" s="31"/>
    </row>
    <row r="1451" spans="87:87">
      <c r="CI1451" s="31"/>
    </row>
    <row r="1452" spans="87:87">
      <c r="CI1452" s="31"/>
    </row>
    <row r="1453" spans="87:87">
      <c r="CI1453" s="31"/>
    </row>
    <row r="1454" spans="87:87">
      <c r="CI1454" s="31"/>
    </row>
    <row r="1455" spans="87:87">
      <c r="CI1455" s="31"/>
    </row>
    <row r="1456" spans="87:87">
      <c r="CI1456" s="31"/>
    </row>
    <row r="1457" spans="87:87">
      <c r="CI1457" s="31"/>
    </row>
    <row r="1458" spans="87:87">
      <c r="CI1458" s="31"/>
    </row>
    <row r="1459" spans="87:87">
      <c r="CI1459" s="31"/>
    </row>
    <row r="1460" spans="87:87">
      <c r="CI1460" s="31"/>
    </row>
    <row r="1461" spans="87:87">
      <c r="CI1461" s="31"/>
    </row>
    <row r="1462" spans="87:87">
      <c r="CI1462" s="31"/>
    </row>
    <row r="1463" spans="87:87">
      <c r="CI1463" s="31"/>
    </row>
    <row r="1464" spans="87:87">
      <c r="CI1464" s="31"/>
    </row>
    <row r="1465" spans="87:87">
      <c r="CI1465" s="31"/>
    </row>
    <row r="1466" spans="87:87">
      <c r="CI1466" s="31"/>
    </row>
    <row r="1467" spans="87:87">
      <c r="CI1467" s="31"/>
    </row>
    <row r="1468" spans="87:87">
      <c r="CI1468" s="31"/>
    </row>
    <row r="1469" spans="87:87">
      <c r="CI1469" s="31"/>
    </row>
    <row r="1470" spans="87:87">
      <c r="CI1470" s="31"/>
    </row>
    <row r="1471" spans="87:87">
      <c r="CI1471" s="31"/>
    </row>
    <row r="1472" spans="87:87">
      <c r="CI1472" s="31"/>
    </row>
    <row r="1473" spans="87:87">
      <c r="CI1473" s="31"/>
    </row>
    <row r="1474" spans="87:87">
      <c r="CI1474" s="31"/>
    </row>
    <row r="1475" spans="87:87">
      <c r="CI1475" s="31"/>
    </row>
    <row r="1476" spans="87:87">
      <c r="CI1476" s="31"/>
    </row>
    <row r="1477" spans="87:87">
      <c r="CI1477" s="31"/>
    </row>
    <row r="1478" spans="87:87">
      <c r="CI1478" s="31"/>
    </row>
    <row r="1479" spans="87:87">
      <c r="CI1479" s="31"/>
    </row>
    <row r="1480" spans="87:87">
      <c r="CI1480" s="31"/>
    </row>
    <row r="1481" spans="87:87">
      <c r="CI1481" s="31"/>
    </row>
    <row r="1482" spans="87:87">
      <c r="CI1482" s="31"/>
    </row>
    <row r="1483" spans="87:87">
      <c r="CI1483" s="31"/>
    </row>
    <row r="1484" spans="87:87">
      <c r="CI1484" s="31"/>
    </row>
    <row r="1485" spans="87:87">
      <c r="CI1485" s="31"/>
    </row>
    <row r="1486" spans="87:87">
      <c r="CI1486" s="31"/>
    </row>
    <row r="1487" spans="87:87">
      <c r="CI1487" s="31"/>
    </row>
    <row r="1488" spans="87:87">
      <c r="CI1488" s="31"/>
    </row>
    <row r="1489" spans="87:87">
      <c r="CI1489" s="31"/>
    </row>
    <row r="1490" spans="87:87">
      <c r="CI1490" s="31"/>
    </row>
    <row r="1491" spans="87:87">
      <c r="CI1491" s="31"/>
    </row>
    <row r="1492" spans="87:87">
      <c r="CI1492" s="31"/>
    </row>
    <row r="1493" spans="87:87">
      <c r="CI1493" s="31"/>
    </row>
    <row r="1494" spans="87:87">
      <c r="CI1494" s="31"/>
    </row>
    <row r="1495" spans="87:87">
      <c r="CI1495" s="31"/>
    </row>
    <row r="1496" spans="87:87">
      <c r="CI1496" s="31"/>
    </row>
    <row r="1497" spans="87:87">
      <c r="CI1497" s="31"/>
    </row>
    <row r="1498" spans="87:87">
      <c r="CI1498" s="31"/>
    </row>
    <row r="1499" spans="87:87">
      <c r="CI1499" s="31"/>
    </row>
    <row r="1500" spans="87:87">
      <c r="CI1500" s="31"/>
    </row>
    <row r="1501" spans="87:87">
      <c r="CI1501" s="31"/>
    </row>
    <row r="1502" spans="87:87">
      <c r="CI1502" s="31"/>
    </row>
    <row r="1503" spans="87:87">
      <c r="CI1503" s="31"/>
    </row>
    <row r="1504" spans="87:87">
      <c r="CI1504" s="31"/>
    </row>
    <row r="1505" spans="87:87">
      <c r="CI1505" s="31"/>
    </row>
    <row r="1506" spans="87:87">
      <c r="CI1506" s="31"/>
    </row>
    <row r="1507" spans="87:87">
      <c r="CI1507" s="31"/>
    </row>
    <row r="1508" spans="87:87">
      <c r="CI1508" s="31"/>
    </row>
    <row r="1509" spans="87:87">
      <c r="CI1509" s="31"/>
    </row>
    <row r="1510" spans="87:87">
      <c r="CI1510" s="31"/>
    </row>
    <row r="1511" spans="87:87">
      <c r="CI1511" s="31"/>
    </row>
    <row r="1512" spans="87:87">
      <c r="CI1512" s="31"/>
    </row>
    <row r="1513" spans="87:87">
      <c r="CI1513" s="31"/>
    </row>
    <row r="1514" spans="87:87">
      <c r="CI1514" s="31"/>
    </row>
    <row r="1515" spans="87:87">
      <c r="CI1515" s="31"/>
    </row>
    <row r="1516" spans="87:87">
      <c r="CI1516" s="31"/>
    </row>
    <row r="1517" spans="87:87">
      <c r="CI1517" s="31"/>
    </row>
    <row r="1518" spans="87:87">
      <c r="CI1518" s="31"/>
    </row>
    <row r="1519" spans="87:87">
      <c r="CI1519" s="31"/>
    </row>
    <row r="1520" spans="87:87">
      <c r="CI1520" s="31"/>
    </row>
    <row r="1521" spans="87:87">
      <c r="CI1521" s="31"/>
    </row>
    <row r="1522" spans="87:87">
      <c r="CI1522" s="31"/>
    </row>
    <row r="1523" spans="87:87">
      <c r="CI1523" s="31"/>
    </row>
    <row r="1524" spans="87:87">
      <c r="CI1524" s="31"/>
    </row>
    <row r="1525" spans="87:87">
      <c r="CI1525" s="31"/>
    </row>
    <row r="1526" spans="87:87">
      <c r="CI1526" s="31"/>
    </row>
    <row r="1527" spans="87:87">
      <c r="CI1527" s="31"/>
    </row>
    <row r="1528" spans="87:87">
      <c r="CI1528" s="31"/>
    </row>
    <row r="1529" spans="87:87">
      <c r="CI1529" s="31"/>
    </row>
    <row r="1530" spans="87:87">
      <c r="CI1530" s="31"/>
    </row>
    <row r="1531" spans="87:87">
      <c r="CI1531" s="31"/>
    </row>
    <row r="1532" spans="87:87">
      <c r="CI1532" s="31"/>
    </row>
    <row r="1533" spans="87:87">
      <c r="CI1533" s="31"/>
    </row>
    <row r="1534" spans="87:87">
      <c r="CI1534" s="31"/>
    </row>
    <row r="1535" spans="87:87">
      <c r="CI1535" s="31"/>
    </row>
    <row r="1536" spans="87:87">
      <c r="CI1536" s="31"/>
    </row>
    <row r="1537" spans="87:87">
      <c r="CI1537" s="31"/>
    </row>
    <row r="1538" spans="87:87">
      <c r="CI1538" s="31"/>
    </row>
    <row r="1539" spans="87:87">
      <c r="CI1539" s="31"/>
    </row>
    <row r="1540" spans="87:87">
      <c r="CI1540" s="31"/>
    </row>
    <row r="1541" spans="87:87">
      <c r="CI1541" s="31"/>
    </row>
    <row r="1542" spans="87:87">
      <c r="CI1542" s="31"/>
    </row>
    <row r="1543" spans="87:87">
      <c r="CI1543" s="31"/>
    </row>
    <row r="1544" spans="87:87">
      <c r="CI1544" s="31"/>
    </row>
    <row r="1545" spans="87:87">
      <c r="CI1545" s="31"/>
    </row>
    <row r="1546" spans="87:87">
      <c r="CI1546" s="31"/>
    </row>
    <row r="1547" spans="87:87">
      <c r="CI1547" s="31"/>
    </row>
    <row r="1548" spans="87:87">
      <c r="CI1548" s="31"/>
    </row>
    <row r="1549" spans="87:87">
      <c r="CI1549" s="31"/>
    </row>
    <row r="1550" spans="87:87">
      <c r="CI1550" s="31"/>
    </row>
    <row r="1551" spans="87:87">
      <c r="CI1551" s="31"/>
    </row>
    <row r="1552" spans="87:87">
      <c r="CI1552" s="31"/>
    </row>
    <row r="1553" spans="87:87">
      <c r="CI1553" s="31"/>
    </row>
    <row r="1554" spans="87:87">
      <c r="CI1554" s="31"/>
    </row>
    <row r="1555" spans="87:87">
      <c r="CI1555" s="31"/>
    </row>
    <row r="1556" spans="87:87">
      <c r="CI1556" s="31"/>
    </row>
    <row r="1557" spans="87:87">
      <c r="CI1557" s="31"/>
    </row>
    <row r="1558" spans="87:87">
      <c r="CI1558" s="31"/>
    </row>
    <row r="1559" spans="87:87">
      <c r="CI1559" s="31"/>
    </row>
    <row r="1560" spans="87:87">
      <c r="CI1560" s="31"/>
    </row>
    <row r="1561" spans="87:87">
      <c r="CI1561" s="31"/>
    </row>
    <row r="1562" spans="87:87">
      <c r="CI1562" s="31"/>
    </row>
    <row r="1563" spans="87:87">
      <c r="CI1563" s="31"/>
    </row>
    <row r="1564" spans="87:87">
      <c r="CI1564" s="31"/>
    </row>
    <row r="1565" spans="87:87">
      <c r="CI1565" s="31"/>
    </row>
    <row r="1566" spans="87:87">
      <c r="CI1566" s="31"/>
    </row>
    <row r="1567" spans="87:87">
      <c r="CI1567" s="31"/>
    </row>
    <row r="1568" spans="87:87">
      <c r="CI1568" s="31"/>
    </row>
    <row r="1569" spans="87:87">
      <c r="CI1569" s="31"/>
    </row>
    <row r="1570" spans="87:87">
      <c r="CI1570" s="31"/>
    </row>
    <row r="1571" spans="87:87">
      <c r="CI1571" s="31"/>
    </row>
    <row r="1572" spans="87:87">
      <c r="CI1572" s="31"/>
    </row>
    <row r="1573" spans="87:87">
      <c r="CI1573" s="31"/>
    </row>
    <row r="1574" spans="87:87">
      <c r="CI1574" s="31"/>
    </row>
    <row r="1575" spans="87:87">
      <c r="CI1575" s="31"/>
    </row>
    <row r="1576" spans="87:87">
      <c r="CI1576" s="31"/>
    </row>
    <row r="1577" spans="87:87">
      <c r="CI1577" s="31"/>
    </row>
    <row r="1578" spans="87:87">
      <c r="CI1578" s="31"/>
    </row>
    <row r="1579" spans="87:87">
      <c r="CI1579" s="31"/>
    </row>
    <row r="1580" spans="87:87">
      <c r="CI1580" s="31"/>
    </row>
    <row r="1581" spans="87:87">
      <c r="CI1581" s="31"/>
    </row>
    <row r="1582" spans="87:87">
      <c r="CI1582" s="31"/>
    </row>
    <row r="1583" spans="87:87">
      <c r="CI1583" s="31"/>
    </row>
    <row r="1584" spans="87:87">
      <c r="CI1584" s="31"/>
    </row>
    <row r="1585" spans="87:87">
      <c r="CI1585" s="31"/>
    </row>
    <row r="1586" spans="87:87">
      <c r="CI1586" s="31"/>
    </row>
    <row r="1587" spans="87:87">
      <c r="CI1587" s="31"/>
    </row>
    <row r="1588" spans="87:87">
      <c r="CI1588" s="31"/>
    </row>
    <row r="1589" spans="87:87">
      <c r="CI1589" s="31"/>
    </row>
    <row r="1590" spans="87:87">
      <c r="CI1590" s="31"/>
    </row>
    <row r="1591" spans="87:87">
      <c r="CI1591" s="31"/>
    </row>
    <row r="1592" spans="87:87">
      <c r="CI1592" s="31"/>
    </row>
    <row r="1593" spans="87:87">
      <c r="CI1593" s="31"/>
    </row>
    <row r="1594" spans="87:87">
      <c r="CI1594" s="31"/>
    </row>
    <row r="1595" spans="87:87">
      <c r="CI1595" s="31"/>
    </row>
    <row r="1596" spans="87:87">
      <c r="CI1596" s="31"/>
    </row>
    <row r="1597" spans="87:87">
      <c r="CI1597" s="31"/>
    </row>
    <row r="1598" spans="87:87">
      <c r="CI1598" s="31"/>
    </row>
    <row r="1599" spans="87:87">
      <c r="CI1599" s="31"/>
    </row>
    <row r="1600" spans="87:87">
      <c r="CI1600" s="31"/>
    </row>
    <row r="1601" spans="87:87">
      <c r="CI1601" s="31"/>
    </row>
    <row r="1602" spans="87:87">
      <c r="CI1602" s="31"/>
    </row>
    <row r="1603" spans="87:87">
      <c r="CI1603" s="31"/>
    </row>
    <row r="1604" spans="87:87">
      <c r="CI1604" s="31"/>
    </row>
    <row r="1605" spans="87:87">
      <c r="CI1605" s="31"/>
    </row>
    <row r="1606" spans="87:87">
      <c r="CI1606" s="31"/>
    </row>
    <row r="1607" spans="87:87">
      <c r="CI1607" s="31"/>
    </row>
    <row r="1608" spans="87:87">
      <c r="CI1608" s="31"/>
    </row>
    <row r="1609" spans="87:87">
      <c r="CI1609" s="31"/>
    </row>
    <row r="1610" spans="87:87">
      <c r="CI1610" s="31"/>
    </row>
    <row r="1611" spans="87:87">
      <c r="CI1611" s="31"/>
    </row>
    <row r="1612" spans="87:87">
      <c r="CI1612" s="31"/>
    </row>
    <row r="1613" spans="87:87">
      <c r="CI1613" s="31"/>
    </row>
    <row r="1614" spans="87:87">
      <c r="CI1614" s="31"/>
    </row>
    <row r="1615" spans="87:87">
      <c r="CI1615" s="31"/>
    </row>
    <row r="1616" spans="87:87">
      <c r="CI1616" s="31"/>
    </row>
    <row r="1617" spans="87:87">
      <c r="CI1617" s="31"/>
    </row>
    <row r="1618" spans="87:87">
      <c r="CI1618" s="31"/>
    </row>
    <row r="1619" spans="87:87">
      <c r="CI1619" s="31"/>
    </row>
    <row r="1620" spans="87:87">
      <c r="CI1620" s="31"/>
    </row>
    <row r="1621" spans="87:87">
      <c r="CI1621" s="31"/>
    </row>
    <row r="1622" spans="87:87">
      <c r="CI1622" s="31"/>
    </row>
    <row r="1623" spans="87:87">
      <c r="CI1623" s="31"/>
    </row>
    <row r="1624" spans="87:87">
      <c r="CI1624" s="31"/>
    </row>
    <row r="1625" spans="87:87">
      <c r="CI1625" s="31"/>
    </row>
    <row r="1626" spans="87:87">
      <c r="CI1626" s="31"/>
    </row>
    <row r="1627" spans="87:87">
      <c r="CI1627" s="31"/>
    </row>
    <row r="1628" spans="87:87">
      <c r="CI1628" s="31"/>
    </row>
    <row r="1629" spans="87:87">
      <c r="CI1629" s="31"/>
    </row>
    <row r="1630" spans="87:87">
      <c r="CI1630" s="31"/>
    </row>
    <row r="1631" spans="87:87">
      <c r="CI1631" s="31"/>
    </row>
    <row r="1632" spans="87:87">
      <c r="CI1632" s="31"/>
    </row>
    <row r="1633" spans="87:87">
      <c r="CI1633" s="31"/>
    </row>
    <row r="1634" spans="87:87">
      <c r="CI1634" s="31"/>
    </row>
    <row r="1635" spans="87:87">
      <c r="CI1635" s="31"/>
    </row>
    <row r="1636" spans="87:87">
      <c r="CI1636" s="31"/>
    </row>
    <row r="1637" spans="87:87">
      <c r="CI1637" s="31"/>
    </row>
    <row r="1638" spans="87:87">
      <c r="CI1638" s="31"/>
    </row>
    <row r="1639" spans="87:87">
      <c r="CI1639" s="31"/>
    </row>
    <row r="1640" spans="87:87">
      <c r="CI1640" s="31"/>
    </row>
    <row r="1641" spans="87:87">
      <c r="CI1641" s="31"/>
    </row>
    <row r="1642" spans="87:87">
      <c r="CI1642" s="31"/>
    </row>
    <row r="1643" spans="87:87">
      <c r="CI1643" s="31"/>
    </row>
    <row r="1644" spans="87:87">
      <c r="CI1644" s="31"/>
    </row>
    <row r="1645" spans="87:87">
      <c r="CI1645" s="31"/>
    </row>
    <row r="1646" spans="87:87">
      <c r="CI1646" s="31"/>
    </row>
    <row r="1647" spans="87:87">
      <c r="CI1647" s="31"/>
    </row>
    <row r="1648" spans="87:87">
      <c r="CI1648" s="31"/>
    </row>
    <row r="1649" spans="87:87">
      <c r="CI1649" s="31"/>
    </row>
    <row r="1650" spans="87:87">
      <c r="CI1650" s="31"/>
    </row>
    <row r="1651" spans="87:87">
      <c r="CI1651" s="31"/>
    </row>
    <row r="1652" spans="87:87">
      <c r="CI1652" s="31"/>
    </row>
    <row r="1653" spans="87:87">
      <c r="CI1653" s="31"/>
    </row>
    <row r="1654" spans="87:87">
      <c r="CI1654" s="31"/>
    </row>
    <row r="1655" spans="87:87">
      <c r="CI1655" s="31"/>
    </row>
    <row r="1656" spans="87:87">
      <c r="CI1656" s="31"/>
    </row>
    <row r="1657" spans="87:87">
      <c r="CI1657" s="31"/>
    </row>
    <row r="1658" spans="87:87">
      <c r="CI1658" s="31"/>
    </row>
    <row r="1659" spans="87:87">
      <c r="CI1659" s="31"/>
    </row>
    <row r="1660" spans="87:87">
      <c r="CI1660" s="31"/>
    </row>
    <row r="1661" spans="87:87">
      <c r="CI1661" s="31"/>
    </row>
    <row r="1662" spans="87:87">
      <c r="CI1662" s="31"/>
    </row>
    <row r="1663" spans="87:87">
      <c r="CI1663" s="31"/>
    </row>
    <row r="1664" spans="87:87">
      <c r="CI1664" s="31"/>
    </row>
    <row r="1665" spans="87:87">
      <c r="CI1665" s="31"/>
    </row>
    <row r="1666" spans="87:87">
      <c r="CI1666" s="31"/>
    </row>
    <row r="1667" spans="87:87">
      <c r="CI1667" s="31"/>
    </row>
    <row r="1668" spans="87:87">
      <c r="CI1668" s="31"/>
    </row>
    <row r="1669" spans="87:87">
      <c r="CI1669" s="31"/>
    </row>
    <row r="1670" spans="87:87">
      <c r="CI1670" s="31"/>
    </row>
    <row r="1671" spans="87:87">
      <c r="CI1671" s="31"/>
    </row>
    <row r="1672" spans="87:87">
      <c r="CI1672" s="31"/>
    </row>
    <row r="1673" spans="87:87">
      <c r="CI1673" s="31"/>
    </row>
    <row r="1674" spans="87:87">
      <c r="CI1674" s="31"/>
    </row>
    <row r="1675" spans="87:87">
      <c r="CI1675" s="31"/>
    </row>
    <row r="1676" spans="87:87">
      <c r="CI1676" s="31"/>
    </row>
    <row r="1677" spans="87:87">
      <c r="CI1677" s="31"/>
    </row>
    <row r="1678" spans="87:87">
      <c r="CI1678" s="31"/>
    </row>
    <row r="1679" spans="87:87">
      <c r="CI1679" s="31"/>
    </row>
    <row r="1680" spans="87:87">
      <c r="CI1680" s="31"/>
    </row>
    <row r="1681" spans="87:87">
      <c r="CI1681" s="31"/>
    </row>
    <row r="1682" spans="87:87">
      <c r="CI1682" s="31"/>
    </row>
    <row r="1683" spans="87:87">
      <c r="CI1683" s="31"/>
    </row>
    <row r="1684" spans="87:87">
      <c r="CI1684" s="31"/>
    </row>
    <row r="1685" spans="87:87">
      <c r="CI1685" s="31"/>
    </row>
    <row r="1686" spans="87:87">
      <c r="CI1686" s="31"/>
    </row>
    <row r="1687" spans="87:87">
      <c r="CI1687" s="31"/>
    </row>
    <row r="1688" spans="87:87">
      <c r="CI1688" s="31"/>
    </row>
    <row r="1689" spans="87:87">
      <c r="CI1689" s="31"/>
    </row>
    <row r="1690" spans="87:87">
      <c r="CI1690" s="31"/>
    </row>
    <row r="1691" spans="87:87">
      <c r="CI1691" s="31"/>
    </row>
    <row r="1692" spans="87:87">
      <c r="CI1692" s="31"/>
    </row>
    <row r="1693" spans="87:87">
      <c r="CI1693" s="31"/>
    </row>
    <row r="1694" spans="87:87">
      <c r="CI1694" s="31"/>
    </row>
    <row r="1695" spans="87:87">
      <c r="CI1695" s="31"/>
    </row>
    <row r="1696" spans="87:87">
      <c r="CI1696" s="31"/>
    </row>
    <row r="1697" spans="87:87">
      <c r="CI1697" s="31"/>
    </row>
    <row r="1698" spans="87:87">
      <c r="CI1698" s="31"/>
    </row>
    <row r="1699" spans="87:87">
      <c r="CI1699" s="31"/>
    </row>
    <row r="1700" spans="87:87">
      <c r="CI1700" s="31"/>
    </row>
    <row r="1701" spans="87:87">
      <c r="CI1701" s="31"/>
    </row>
    <row r="1702" spans="87:87">
      <c r="CI1702" s="31"/>
    </row>
    <row r="1703" spans="87:87">
      <c r="CI1703" s="31"/>
    </row>
    <row r="1704" spans="87:87">
      <c r="CI1704" s="31"/>
    </row>
    <row r="1705" spans="87:87">
      <c r="CI1705" s="31"/>
    </row>
    <row r="1706" spans="87:87">
      <c r="CI1706" s="31"/>
    </row>
    <row r="1707" spans="87:87">
      <c r="CI1707" s="31"/>
    </row>
    <row r="1708" spans="87:87">
      <c r="CI1708" s="31"/>
    </row>
    <row r="1709" spans="87:87">
      <c r="CI1709" s="31"/>
    </row>
    <row r="1710" spans="87:87">
      <c r="CI1710" s="31"/>
    </row>
    <row r="1711" spans="87:87">
      <c r="CI1711" s="31"/>
    </row>
    <row r="1712" spans="87:87">
      <c r="CI1712" s="31"/>
    </row>
    <row r="1713" spans="87:87">
      <c r="CI1713" s="31"/>
    </row>
    <row r="1714" spans="87:87">
      <c r="CI1714" s="31"/>
    </row>
    <row r="1715" spans="87:87">
      <c r="CI1715" s="31"/>
    </row>
    <row r="1716" spans="87:87">
      <c r="CI1716" s="31"/>
    </row>
    <row r="1717" spans="87:87">
      <c r="CI1717" s="31"/>
    </row>
    <row r="1718" spans="87:87">
      <c r="CI1718" s="31"/>
    </row>
    <row r="1719" spans="87:87">
      <c r="CI1719" s="31"/>
    </row>
    <row r="1720" spans="87:87">
      <c r="CI1720" s="31"/>
    </row>
    <row r="1721" spans="87:87">
      <c r="CI1721" s="31"/>
    </row>
    <row r="1722" spans="87:87">
      <c r="CI1722" s="31"/>
    </row>
    <row r="1723" spans="87:87">
      <c r="CI1723" s="31"/>
    </row>
    <row r="1724" spans="87:87">
      <c r="CI1724" s="31"/>
    </row>
    <row r="1725" spans="87:87">
      <c r="CI1725" s="31"/>
    </row>
    <row r="1726" spans="87:87">
      <c r="CI1726" s="31"/>
    </row>
    <row r="1727" spans="87:87">
      <c r="CI1727" s="31"/>
    </row>
    <row r="1728" spans="87:87">
      <c r="CI1728" s="31"/>
    </row>
    <row r="1729" spans="87:87">
      <c r="CI1729" s="31"/>
    </row>
    <row r="1730" spans="87:87">
      <c r="CI1730" s="31"/>
    </row>
    <row r="1731" spans="87:87">
      <c r="CI1731" s="31"/>
    </row>
    <row r="1732" spans="87:87">
      <c r="CI1732" s="31"/>
    </row>
    <row r="1733" spans="87:87">
      <c r="CI1733" s="31"/>
    </row>
    <row r="1734" spans="87:87">
      <c r="CI1734" s="31"/>
    </row>
    <row r="1735" spans="87:87">
      <c r="CI1735" s="31"/>
    </row>
    <row r="1736" spans="87:87">
      <c r="CI1736" s="31"/>
    </row>
    <row r="1737" spans="87:87">
      <c r="CI1737" s="31"/>
    </row>
    <row r="1738" spans="87:87">
      <c r="CI1738" s="31"/>
    </row>
    <row r="1739" spans="87:87">
      <c r="CI1739" s="31"/>
    </row>
    <row r="1740" spans="87:87">
      <c r="CI1740" s="31"/>
    </row>
    <row r="1741" spans="87:87">
      <c r="CI1741" s="31"/>
    </row>
    <row r="1742" spans="87:87">
      <c r="CI1742" s="31"/>
    </row>
    <row r="1743" spans="87:87">
      <c r="CI1743" s="31"/>
    </row>
    <row r="1744" spans="87:87">
      <c r="CI1744" s="31"/>
    </row>
    <row r="1745" spans="87:87">
      <c r="CI1745" s="31"/>
    </row>
    <row r="1746" spans="87:87">
      <c r="CI1746" s="31"/>
    </row>
    <row r="1747" spans="87:87">
      <c r="CI1747" s="31"/>
    </row>
    <row r="1748" spans="87:87">
      <c r="CI1748" s="31"/>
    </row>
    <row r="1749" spans="87:87">
      <c r="CI1749" s="31"/>
    </row>
    <row r="1750" spans="87:87">
      <c r="CI1750" s="31"/>
    </row>
    <row r="1751" spans="87:87">
      <c r="CI1751" s="31"/>
    </row>
    <row r="1752" spans="87:87">
      <c r="CI1752" s="31"/>
    </row>
    <row r="1753" spans="87:87">
      <c r="CI1753" s="31"/>
    </row>
    <row r="1754" spans="87:87">
      <c r="CI1754" s="31"/>
    </row>
    <row r="1755" spans="87:87">
      <c r="CI1755" s="31"/>
    </row>
    <row r="1756" spans="87:87">
      <c r="CI1756" s="31"/>
    </row>
    <row r="1757" spans="87:87">
      <c r="CI1757" s="31"/>
    </row>
    <row r="1758" spans="87:87">
      <c r="CI1758" s="31"/>
    </row>
    <row r="1759" spans="87:87">
      <c r="CI1759" s="31"/>
    </row>
    <row r="1760" spans="87:87">
      <c r="CI1760" s="31"/>
    </row>
    <row r="1761" spans="87:87">
      <c r="CI1761" s="31"/>
    </row>
    <row r="1762" spans="87:87">
      <c r="CI1762" s="31"/>
    </row>
    <row r="1763" spans="87:87">
      <c r="CI1763" s="31"/>
    </row>
    <row r="1764" spans="87:87">
      <c r="CI1764" s="31"/>
    </row>
    <row r="1765" spans="87:87">
      <c r="CI1765" s="31"/>
    </row>
    <row r="1766" spans="87:87">
      <c r="CI1766" s="31"/>
    </row>
    <row r="1767" spans="87:87">
      <c r="CI1767" s="31"/>
    </row>
    <row r="1768" spans="87:87">
      <c r="CI1768" s="31"/>
    </row>
    <row r="1769" spans="87:87">
      <c r="CI1769" s="31"/>
    </row>
    <row r="1770" spans="87:87">
      <c r="CI1770" s="31"/>
    </row>
    <row r="1771" spans="87:87">
      <c r="CI1771" s="31"/>
    </row>
    <row r="1772" spans="87:87">
      <c r="CI1772" s="31"/>
    </row>
    <row r="1773" spans="87:87">
      <c r="CI1773" s="31"/>
    </row>
    <row r="1774" spans="87:87">
      <c r="CI1774" s="31"/>
    </row>
    <row r="1775" spans="87:87">
      <c r="CI1775" s="31"/>
    </row>
    <row r="1776" spans="87:87">
      <c r="CI1776" s="31"/>
    </row>
    <row r="1777" spans="87:87">
      <c r="CI1777" s="31"/>
    </row>
    <row r="1778" spans="87:87">
      <c r="CI1778" s="31"/>
    </row>
    <row r="1779" spans="87:87">
      <c r="CI1779" s="31"/>
    </row>
    <row r="1780" spans="87:87">
      <c r="CI1780" s="31"/>
    </row>
    <row r="1781" spans="87:87">
      <c r="CI1781" s="31"/>
    </row>
    <row r="1782" spans="87:87">
      <c r="CI1782" s="31"/>
    </row>
    <row r="1783" spans="87:87">
      <c r="CI1783" s="31"/>
    </row>
    <row r="1784" spans="87:87">
      <c r="CI1784" s="31"/>
    </row>
    <row r="1785" spans="87:87">
      <c r="CI1785" s="31"/>
    </row>
    <row r="1786" spans="87:87">
      <c r="CI1786" s="31"/>
    </row>
    <row r="1787" spans="87:87">
      <c r="CI1787" s="31"/>
    </row>
    <row r="1788" spans="87:87">
      <c r="CI1788" s="31"/>
    </row>
    <row r="1789" spans="87:87">
      <c r="CI1789" s="31"/>
    </row>
    <row r="1790" spans="87:87">
      <c r="CI1790" s="31"/>
    </row>
    <row r="1791" spans="87:87">
      <c r="CI1791" s="31"/>
    </row>
    <row r="1792" spans="87:87">
      <c r="CI1792" s="31"/>
    </row>
    <row r="1793" spans="87:87">
      <c r="CI1793" s="31"/>
    </row>
    <row r="1794" spans="87:87">
      <c r="CI1794" s="31"/>
    </row>
    <row r="1795" spans="87:87">
      <c r="CI1795" s="31"/>
    </row>
    <row r="1796" spans="87:87">
      <c r="CI1796" s="31"/>
    </row>
    <row r="1797" spans="87:87">
      <c r="CI1797" s="31"/>
    </row>
    <row r="1798" spans="87:87">
      <c r="CI1798" s="31"/>
    </row>
    <row r="1799" spans="87:87">
      <c r="CI1799" s="31"/>
    </row>
    <row r="1800" spans="87:87">
      <c r="CI1800" s="31"/>
    </row>
    <row r="1801" spans="87:87">
      <c r="CI1801" s="31"/>
    </row>
    <row r="1802" spans="87:87">
      <c r="CI1802" s="31"/>
    </row>
    <row r="1803" spans="87:87">
      <c r="CI1803" s="31"/>
    </row>
    <row r="1804" spans="87:87">
      <c r="CI1804" s="31"/>
    </row>
    <row r="1805" spans="87:87">
      <c r="CI1805" s="31"/>
    </row>
    <row r="1806" spans="87:87">
      <c r="CI1806" s="31"/>
    </row>
    <row r="1807" spans="87:87">
      <c r="CI1807" s="31"/>
    </row>
    <row r="1808" spans="87:87">
      <c r="CI1808" s="31"/>
    </row>
    <row r="1809" spans="87:87">
      <c r="CI1809" s="31"/>
    </row>
    <row r="1810" spans="87:87">
      <c r="CI1810" s="31"/>
    </row>
    <row r="1811" spans="87:87">
      <c r="CI1811" s="31"/>
    </row>
    <row r="1812" spans="87:87">
      <c r="CI1812" s="31"/>
    </row>
    <row r="1813" spans="87:87">
      <c r="CI1813" s="31"/>
    </row>
    <row r="1814" spans="87:87">
      <c r="CI1814" s="31"/>
    </row>
    <row r="1815" spans="87:87">
      <c r="CI1815" s="31"/>
    </row>
    <row r="1816" spans="87:87">
      <c r="CI1816" s="31"/>
    </row>
    <row r="1817" spans="87:87">
      <c r="CI1817" s="31"/>
    </row>
    <row r="1818" spans="87:87">
      <c r="CI1818" s="31"/>
    </row>
    <row r="1819" spans="87:87">
      <c r="CI1819" s="31"/>
    </row>
    <row r="1820" spans="87:87">
      <c r="CI1820" s="31"/>
    </row>
    <row r="1821" spans="87:87">
      <c r="CI1821" s="31"/>
    </row>
    <row r="1822" spans="87:87">
      <c r="CI1822" s="31"/>
    </row>
    <row r="1823" spans="87:87">
      <c r="CI1823" s="31"/>
    </row>
    <row r="1824" spans="87:87">
      <c r="CI1824" s="31"/>
    </row>
    <row r="1825" spans="87:87">
      <c r="CI1825" s="31"/>
    </row>
    <row r="1826" spans="87:87">
      <c r="CI1826" s="31"/>
    </row>
    <row r="1827" spans="87:87">
      <c r="CI1827" s="31"/>
    </row>
    <row r="1828" spans="87:87">
      <c r="CI1828" s="31"/>
    </row>
    <row r="1829" spans="87:87">
      <c r="CI1829" s="31"/>
    </row>
    <row r="1830" spans="87:87">
      <c r="CI1830" s="31"/>
    </row>
    <row r="1831" spans="87:87">
      <c r="CI1831" s="31"/>
    </row>
    <row r="1832" spans="87:87">
      <c r="CI1832" s="31"/>
    </row>
    <row r="1833" spans="87:87">
      <c r="CI1833" s="31"/>
    </row>
    <row r="1834" spans="87:87">
      <c r="CI1834" s="31"/>
    </row>
    <row r="1835" spans="87:87">
      <c r="CI1835" s="31"/>
    </row>
    <row r="1836" spans="87:87">
      <c r="CI1836" s="31"/>
    </row>
    <row r="1837" spans="87:87">
      <c r="CI1837" s="31"/>
    </row>
    <row r="1838" spans="87:87">
      <c r="CI1838" s="31"/>
    </row>
    <row r="1839" spans="87:87">
      <c r="CI1839" s="31"/>
    </row>
    <row r="1840" spans="87:87">
      <c r="CI1840" s="31"/>
    </row>
    <row r="1841" spans="87:87">
      <c r="CI1841" s="31"/>
    </row>
    <row r="1842" spans="87:87">
      <c r="CI1842" s="31"/>
    </row>
    <row r="1843" spans="87:87">
      <c r="CI1843" s="31"/>
    </row>
    <row r="1844" spans="87:87">
      <c r="CI1844" s="31"/>
    </row>
    <row r="1845" spans="87:87">
      <c r="CI1845" s="31"/>
    </row>
    <row r="1846" spans="87:87">
      <c r="CI1846" s="31"/>
    </row>
    <row r="1847" spans="87:87">
      <c r="CI1847" s="31"/>
    </row>
    <row r="1848" spans="87:87">
      <c r="CI1848" s="31"/>
    </row>
    <row r="1849" spans="87:87">
      <c r="CI1849" s="31"/>
    </row>
    <row r="1850" spans="87:87">
      <c r="CI1850" s="31"/>
    </row>
    <row r="1851" spans="87:87">
      <c r="CI1851" s="31"/>
    </row>
    <row r="1852" spans="87:87">
      <c r="CI1852" s="31"/>
    </row>
    <row r="1853" spans="87:87">
      <c r="CI1853" s="31"/>
    </row>
    <row r="1854" spans="87:87">
      <c r="CI1854" s="31"/>
    </row>
    <row r="1855" spans="87:87">
      <c r="CI1855" s="31"/>
    </row>
    <row r="1856" spans="87:87">
      <c r="CI1856" s="31"/>
    </row>
    <row r="1857" spans="87:87">
      <c r="CI1857" s="31"/>
    </row>
    <row r="1858" spans="87:87">
      <c r="CI1858" s="31"/>
    </row>
    <row r="1859" spans="87:87">
      <c r="CI1859" s="31"/>
    </row>
    <row r="1860" spans="87:87">
      <c r="CI1860" s="31"/>
    </row>
    <row r="1861" spans="87:87">
      <c r="CI1861" s="31"/>
    </row>
    <row r="1862" spans="87:87">
      <c r="CI1862" s="31"/>
    </row>
    <row r="1863" spans="87:87">
      <c r="CI1863" s="31"/>
    </row>
    <row r="1864" spans="87:87">
      <c r="CI1864" s="31"/>
    </row>
    <row r="1865" spans="87:87">
      <c r="CI1865" s="31"/>
    </row>
    <row r="1866" spans="87:87">
      <c r="CI1866" s="31"/>
    </row>
    <row r="1867" spans="87:87">
      <c r="CI1867" s="31"/>
    </row>
    <row r="1868" spans="87:87">
      <c r="CI1868" s="31"/>
    </row>
    <row r="1869" spans="87:87">
      <c r="CI1869" s="31"/>
    </row>
    <row r="1870" spans="87:87">
      <c r="CI1870" s="31"/>
    </row>
    <row r="1871" spans="87:87">
      <c r="CI1871" s="31"/>
    </row>
    <row r="1872" spans="87:87">
      <c r="CI1872" s="31"/>
    </row>
    <row r="1873" spans="87:87">
      <c r="CI1873" s="31"/>
    </row>
    <row r="1874" spans="87:87">
      <c r="CI1874" s="31"/>
    </row>
    <row r="1875" spans="87:87">
      <c r="CI1875" s="31"/>
    </row>
    <row r="1876" spans="87:87">
      <c r="CI1876" s="31"/>
    </row>
    <row r="1877" spans="87:87">
      <c r="CI1877" s="31"/>
    </row>
    <row r="1878" spans="87:87">
      <c r="CI1878" s="31"/>
    </row>
    <row r="1879" spans="87:87">
      <c r="CI1879" s="31"/>
    </row>
    <row r="1880" spans="87:87">
      <c r="CI1880" s="31"/>
    </row>
    <row r="1881" spans="87:87">
      <c r="CI1881" s="31"/>
    </row>
    <row r="1882" spans="87:87">
      <c r="CI1882" s="31"/>
    </row>
    <row r="1883" spans="87:87">
      <c r="CI1883" s="31"/>
    </row>
    <row r="1884" spans="87:87">
      <c r="CI1884" s="31"/>
    </row>
    <row r="1885" spans="87:87">
      <c r="CI1885" s="31"/>
    </row>
    <row r="1886" spans="87:87">
      <c r="CI1886" s="31"/>
    </row>
    <row r="1887" spans="87:87">
      <c r="CI1887" s="31"/>
    </row>
    <row r="1888" spans="87:87">
      <c r="CI1888" s="31"/>
    </row>
    <row r="1889" spans="87:87">
      <c r="CI1889" s="31"/>
    </row>
    <row r="1890" spans="87:87">
      <c r="CI1890" s="31"/>
    </row>
    <row r="1891" spans="87:87">
      <c r="CI1891" s="31"/>
    </row>
    <row r="1892" spans="87:87">
      <c r="CI1892" s="31"/>
    </row>
    <row r="1893" spans="87:87">
      <c r="CI1893" s="31"/>
    </row>
    <row r="1894" spans="87:87">
      <c r="CI1894" s="31"/>
    </row>
    <row r="1895" spans="87:87">
      <c r="CI1895" s="31"/>
    </row>
    <row r="1896" spans="87:87">
      <c r="CI1896" s="31"/>
    </row>
    <row r="1897" spans="87:87">
      <c r="CI1897" s="31"/>
    </row>
    <row r="1898" spans="87:87">
      <c r="CI1898" s="31"/>
    </row>
    <row r="1899" spans="87:87">
      <c r="CI1899" s="31"/>
    </row>
    <row r="1900" spans="87:87">
      <c r="CI1900" s="31"/>
    </row>
    <row r="1901" spans="87:87">
      <c r="CI1901" s="31"/>
    </row>
    <row r="1902" spans="87:87">
      <c r="CI1902" s="31"/>
    </row>
    <row r="1903" spans="87:87">
      <c r="CI1903" s="31"/>
    </row>
    <row r="1904" spans="87:87">
      <c r="CI1904" s="31"/>
    </row>
    <row r="1905" spans="87:87">
      <c r="CI1905" s="31"/>
    </row>
    <row r="1906" spans="87:87">
      <c r="CI1906" s="31"/>
    </row>
    <row r="1907" spans="87:87">
      <c r="CI1907" s="31"/>
    </row>
    <row r="1908" spans="87:87">
      <c r="CI1908" s="31"/>
    </row>
    <row r="1909" spans="87:87">
      <c r="CI1909" s="31"/>
    </row>
    <row r="1910" spans="87:87">
      <c r="CI1910" s="31"/>
    </row>
    <row r="1911" spans="87:87">
      <c r="CI1911" s="31"/>
    </row>
    <row r="1912" spans="87:87">
      <c r="CI1912" s="31"/>
    </row>
    <row r="1913" spans="87:87">
      <c r="CI1913" s="31"/>
    </row>
    <row r="1914" spans="87:87">
      <c r="CI1914" s="31"/>
    </row>
    <row r="1915" spans="87:87">
      <c r="CI1915" s="31"/>
    </row>
    <row r="1916" spans="87:87">
      <c r="CI1916" s="31"/>
    </row>
    <row r="1917" spans="87:87">
      <c r="CI1917" s="31"/>
    </row>
    <row r="1918" spans="87:87">
      <c r="CI1918" s="31"/>
    </row>
    <row r="1919" spans="87:87">
      <c r="CI1919" s="31"/>
    </row>
    <row r="1920" spans="87:87">
      <c r="CI1920" s="31"/>
    </row>
    <row r="1921" spans="87:87">
      <c r="CI1921" s="31"/>
    </row>
    <row r="1922" spans="87:87">
      <c r="CI1922" s="31"/>
    </row>
    <row r="1923" spans="87:87">
      <c r="CI1923" s="31"/>
    </row>
    <row r="1924" spans="87:87">
      <c r="CI1924" s="31"/>
    </row>
    <row r="1925" spans="87:87">
      <c r="CI1925" s="31"/>
    </row>
    <row r="1926" spans="87:87">
      <c r="CI1926" s="31"/>
    </row>
    <row r="1927" spans="87:87">
      <c r="CI1927" s="31"/>
    </row>
    <row r="1928" spans="87:87">
      <c r="CI1928" s="31"/>
    </row>
    <row r="1929" spans="87:87">
      <c r="CI1929" s="31"/>
    </row>
    <row r="1930" spans="87:87">
      <c r="CI1930" s="31"/>
    </row>
    <row r="1931" spans="87:87">
      <c r="CI1931" s="31"/>
    </row>
    <row r="1932" spans="87:87">
      <c r="CI1932" s="31"/>
    </row>
    <row r="1933" spans="87:87">
      <c r="CI1933" s="31"/>
    </row>
    <row r="1934" spans="87:87">
      <c r="CI1934" s="31"/>
    </row>
    <row r="1935" spans="87:87">
      <c r="CI1935" s="31"/>
    </row>
    <row r="1936" spans="87:87">
      <c r="CI1936" s="31"/>
    </row>
    <row r="1937" spans="87:87">
      <c r="CI1937" s="31"/>
    </row>
    <row r="1938" spans="87:87">
      <c r="CI1938" s="31"/>
    </row>
    <row r="1939" spans="87:87">
      <c r="CI1939" s="31"/>
    </row>
    <row r="1940" spans="87:87">
      <c r="CI1940" s="31"/>
    </row>
    <row r="1941" spans="87:87">
      <c r="CI1941" s="31"/>
    </row>
    <row r="1942" spans="87:87">
      <c r="CI1942" s="31"/>
    </row>
    <row r="1943" spans="87:87">
      <c r="CI1943" s="31"/>
    </row>
    <row r="1944" spans="87:87">
      <c r="CI1944" s="31"/>
    </row>
    <row r="1945" spans="87:87">
      <c r="CI1945" s="31"/>
    </row>
    <row r="1946" spans="87:87">
      <c r="CI1946" s="31"/>
    </row>
    <row r="1947" spans="87:87">
      <c r="CI1947" s="31"/>
    </row>
    <row r="1948" spans="87:87">
      <c r="CI1948" s="31"/>
    </row>
    <row r="1949" spans="87:87">
      <c r="CI1949" s="31"/>
    </row>
    <row r="1950" spans="87:87">
      <c r="CI1950" s="31"/>
    </row>
    <row r="1951" spans="87:87">
      <c r="CI1951" s="31"/>
    </row>
    <row r="1952" spans="87:87">
      <c r="CI1952" s="31"/>
    </row>
    <row r="1953" spans="87:87">
      <c r="CI1953" s="31"/>
    </row>
    <row r="1954" spans="87:87">
      <c r="CI1954" s="31"/>
    </row>
    <row r="1955" spans="87:87">
      <c r="CI1955" s="31"/>
    </row>
    <row r="1956" spans="87:87">
      <c r="CI1956" s="31"/>
    </row>
    <row r="1957" spans="87:87">
      <c r="CI1957" s="31"/>
    </row>
    <row r="1958" spans="87:87">
      <c r="CI1958" s="31"/>
    </row>
    <row r="1959" spans="87:87">
      <c r="CI1959" s="31"/>
    </row>
    <row r="1960" spans="87:87">
      <c r="CI1960" s="31"/>
    </row>
    <row r="1961" spans="87:87">
      <c r="CI1961" s="31"/>
    </row>
    <row r="1962" spans="87:87">
      <c r="CI1962" s="31"/>
    </row>
    <row r="1963" spans="87:87">
      <c r="CI1963" s="31"/>
    </row>
    <row r="1964" spans="87:87">
      <c r="CI1964" s="31"/>
    </row>
    <row r="1965" spans="87:87">
      <c r="CI1965" s="31"/>
    </row>
    <row r="1966" spans="87:87">
      <c r="CI1966" s="31"/>
    </row>
    <row r="1967" spans="87:87">
      <c r="CI1967" s="31"/>
    </row>
    <row r="1968" spans="87:87">
      <c r="CI1968" s="31"/>
    </row>
    <row r="1969" spans="87:87">
      <c r="CI1969" s="31"/>
    </row>
    <row r="1970" spans="87:87">
      <c r="CI1970" s="31"/>
    </row>
    <row r="1971" spans="87:87">
      <c r="CI1971" s="31"/>
    </row>
    <row r="1972" spans="87:87">
      <c r="CI1972" s="31"/>
    </row>
    <row r="1973" spans="87:87">
      <c r="CI1973" s="31"/>
    </row>
    <row r="1974" spans="87:87">
      <c r="CI1974" s="31"/>
    </row>
    <row r="1975" spans="87:87">
      <c r="CI1975" s="31"/>
    </row>
    <row r="1976" spans="87:87">
      <c r="CI1976" s="31"/>
    </row>
    <row r="1977" spans="87:87">
      <c r="CI1977" s="31"/>
    </row>
    <row r="1978" spans="87:87">
      <c r="CI1978" s="31"/>
    </row>
    <row r="1979" spans="87:87">
      <c r="CI1979" s="31"/>
    </row>
    <row r="1980" spans="87:87">
      <c r="CI1980" s="31"/>
    </row>
    <row r="1981" spans="87:87">
      <c r="CI1981" s="31"/>
    </row>
    <row r="1982" spans="87:87">
      <c r="CI1982" s="31"/>
    </row>
    <row r="1983" spans="87:87">
      <c r="CI1983" s="31"/>
    </row>
    <row r="1984" spans="87:87">
      <c r="CI1984" s="31"/>
    </row>
    <row r="1985" spans="87:87">
      <c r="CI1985" s="31"/>
    </row>
    <row r="1986" spans="87:87">
      <c r="CI1986" s="31"/>
    </row>
    <row r="1987" spans="87:87">
      <c r="CI1987" s="31"/>
    </row>
    <row r="1988" spans="87:87">
      <c r="CI1988" s="31"/>
    </row>
    <row r="1989" spans="87:87">
      <c r="CI1989" s="31"/>
    </row>
    <row r="1990" spans="87:87">
      <c r="CI1990" s="31"/>
    </row>
    <row r="1991" spans="87:87">
      <c r="CI1991" s="31"/>
    </row>
    <row r="1992" spans="87:87">
      <c r="CI1992" s="31"/>
    </row>
    <row r="1993" spans="87:87">
      <c r="CI1993" s="31"/>
    </row>
    <row r="1994" spans="87:87">
      <c r="CI1994" s="31"/>
    </row>
    <row r="1995" spans="87:87">
      <c r="CI1995" s="31"/>
    </row>
    <row r="1996" spans="87:87">
      <c r="CI1996" s="31"/>
    </row>
    <row r="1997" spans="87:87">
      <c r="CI1997" s="31"/>
    </row>
    <row r="1998" spans="87:87">
      <c r="CI1998" s="31"/>
    </row>
    <row r="1999" spans="87:87">
      <c r="CI1999" s="31"/>
    </row>
    <row r="2000" spans="87:87">
      <c r="CI2000" s="31"/>
    </row>
    <row r="2001" spans="87:87">
      <c r="CI2001" s="31"/>
    </row>
    <row r="2002" spans="87:87">
      <c r="CI2002" s="31"/>
    </row>
    <row r="2003" spans="87:87">
      <c r="CI2003" s="31"/>
    </row>
    <row r="2004" spans="87:87">
      <c r="CI2004" s="31"/>
    </row>
    <row r="2005" spans="87:87">
      <c r="CI2005" s="31"/>
    </row>
    <row r="2006" spans="87:87">
      <c r="CI2006" s="31"/>
    </row>
    <row r="2007" spans="87:87">
      <c r="CI2007" s="31"/>
    </row>
    <row r="2008" spans="87:87">
      <c r="CI2008" s="31"/>
    </row>
    <row r="2009" spans="87:87">
      <c r="CI2009" s="31"/>
    </row>
    <row r="2010" spans="87:87">
      <c r="CI2010" s="31"/>
    </row>
    <row r="2011" spans="87:87">
      <c r="CI2011" s="31"/>
    </row>
    <row r="2012" spans="87:87">
      <c r="CI2012" s="31"/>
    </row>
    <row r="2013" spans="87:87">
      <c r="CI2013" s="31"/>
    </row>
    <row r="2014" spans="87:87">
      <c r="CI2014" s="31"/>
    </row>
    <row r="2015" spans="87:87">
      <c r="CI2015" s="31"/>
    </row>
    <row r="2016" spans="87:87">
      <c r="CI2016" s="31"/>
    </row>
    <row r="2017" spans="87:87">
      <c r="CI2017" s="31"/>
    </row>
    <row r="2018" spans="87:87">
      <c r="CI2018" s="31"/>
    </row>
    <row r="2019" spans="87:87">
      <c r="CI2019" s="31"/>
    </row>
    <row r="2020" spans="87:87">
      <c r="CI2020" s="31"/>
    </row>
    <row r="2021" spans="87:87">
      <c r="CI2021" s="31"/>
    </row>
    <row r="2022" spans="87:87">
      <c r="CI2022" s="31"/>
    </row>
    <row r="2023" spans="87:87">
      <c r="CI2023" s="31"/>
    </row>
    <row r="2024" spans="87:87">
      <c r="CI2024" s="31"/>
    </row>
    <row r="2025" spans="87:87">
      <c r="CI2025" s="31"/>
    </row>
    <row r="2026" spans="87:87">
      <c r="CI2026" s="31"/>
    </row>
    <row r="2027" spans="87:87">
      <c r="CI2027" s="31"/>
    </row>
    <row r="2028" spans="87:87">
      <c r="CI2028" s="31"/>
    </row>
    <row r="2029" spans="87:87">
      <c r="CI2029" s="31"/>
    </row>
    <row r="2030" spans="87:87">
      <c r="CI2030" s="31"/>
    </row>
    <row r="2031" spans="87:87">
      <c r="CI2031" s="31"/>
    </row>
    <row r="2032" spans="87:87">
      <c r="CI2032" s="31"/>
    </row>
    <row r="2033" spans="87:87">
      <c r="CI2033" s="31"/>
    </row>
    <row r="2034" spans="87:87">
      <c r="CI2034" s="31"/>
    </row>
    <row r="2035" spans="87:87">
      <c r="CI2035" s="31"/>
    </row>
    <row r="2036" spans="87:87">
      <c r="CI2036" s="31"/>
    </row>
    <row r="2037" spans="87:87">
      <c r="CI2037" s="31"/>
    </row>
    <row r="2038" spans="87:87">
      <c r="CI2038" s="31"/>
    </row>
    <row r="2039" spans="87:87">
      <c r="CI2039" s="31"/>
    </row>
    <row r="2040" spans="87:87">
      <c r="CI2040" s="31"/>
    </row>
    <row r="2041" spans="87:87">
      <c r="CI2041" s="31"/>
    </row>
    <row r="2042" spans="87:87">
      <c r="CI2042" s="31"/>
    </row>
    <row r="2043" spans="87:87">
      <c r="CI2043" s="31"/>
    </row>
    <row r="2044" spans="87:87">
      <c r="CI2044" s="31"/>
    </row>
    <row r="2045" spans="87:87">
      <c r="CI2045" s="31"/>
    </row>
    <row r="2046" spans="87:87">
      <c r="CI2046" s="31"/>
    </row>
    <row r="2047" spans="87:87">
      <c r="CI2047" s="31"/>
    </row>
    <row r="2048" spans="87:87">
      <c r="CI2048" s="31"/>
    </row>
    <row r="2049" spans="87:87">
      <c r="CI2049" s="31"/>
    </row>
    <row r="2050" spans="87:87">
      <c r="CI2050" s="31"/>
    </row>
    <row r="2051" spans="87:87">
      <c r="CI2051" s="31"/>
    </row>
    <row r="2052" spans="87:87">
      <c r="CI2052" s="31"/>
    </row>
    <row r="2053" spans="87:87">
      <c r="CI2053" s="31"/>
    </row>
    <row r="2054" spans="87:87">
      <c r="CI2054" s="31"/>
    </row>
    <row r="2055" spans="87:87">
      <c r="CI2055" s="31"/>
    </row>
    <row r="2056" spans="87:87">
      <c r="CI2056" s="31"/>
    </row>
    <row r="2057" spans="87:87">
      <c r="CI2057" s="31"/>
    </row>
    <row r="2058" spans="87:87">
      <c r="CI2058" s="31"/>
    </row>
    <row r="2059" spans="87:87">
      <c r="CI2059" s="31"/>
    </row>
    <row r="2060" spans="87:87">
      <c r="CI2060" s="31"/>
    </row>
    <row r="2061" spans="87:87">
      <c r="CI2061" s="31"/>
    </row>
    <row r="2062" spans="87:87">
      <c r="CI2062" s="31"/>
    </row>
    <row r="2063" spans="87:87">
      <c r="CI2063" s="31"/>
    </row>
    <row r="2064" spans="87:87">
      <c r="CI2064" s="31"/>
    </row>
    <row r="2065" spans="87:87">
      <c r="CI2065" s="31"/>
    </row>
    <row r="2066" spans="87:87">
      <c r="CI2066" s="31"/>
    </row>
    <row r="2067" spans="87:87">
      <c r="CI2067" s="31"/>
    </row>
    <row r="2068" spans="87:87">
      <c r="CI2068" s="31"/>
    </row>
    <row r="2069" spans="87:87">
      <c r="CI2069" s="31"/>
    </row>
    <row r="2070" spans="87:87">
      <c r="CI2070" s="31"/>
    </row>
    <row r="2071" spans="87:87">
      <c r="CI2071" s="31"/>
    </row>
    <row r="2072" spans="87:87">
      <c r="CI2072" s="31"/>
    </row>
    <row r="2073" spans="87:87">
      <c r="CI2073" s="31"/>
    </row>
    <row r="2074" spans="87:87">
      <c r="CI2074" s="31"/>
    </row>
    <row r="2075" spans="87:87">
      <c r="CI2075" s="31"/>
    </row>
    <row r="2076" spans="87:87">
      <c r="CI2076" s="31"/>
    </row>
    <row r="2077" spans="87:87">
      <c r="CI2077" s="31"/>
    </row>
    <row r="2078" spans="87:87">
      <c r="CI2078" s="31"/>
    </row>
    <row r="2079" spans="87:87">
      <c r="CI2079" s="31"/>
    </row>
    <row r="2080" spans="87:87">
      <c r="CI2080" s="31"/>
    </row>
    <row r="2081" spans="87:87">
      <c r="CI2081" s="31"/>
    </row>
    <row r="2082" spans="87:87">
      <c r="CI2082" s="31"/>
    </row>
    <row r="2083" spans="87:87">
      <c r="CI2083" s="31"/>
    </row>
    <row r="2084" spans="87:87">
      <c r="CI2084" s="31"/>
    </row>
    <row r="2085" spans="87:87">
      <c r="CI2085" s="31"/>
    </row>
    <row r="2086" spans="87:87">
      <c r="CI2086" s="31"/>
    </row>
    <row r="2087" spans="87:87">
      <c r="CI2087" s="31"/>
    </row>
    <row r="2088" spans="87:87">
      <c r="CI2088" s="31"/>
    </row>
    <row r="2089" spans="87:87">
      <c r="CI2089" s="31"/>
    </row>
    <row r="2090" spans="87:87">
      <c r="CI2090" s="31"/>
    </row>
    <row r="2091" spans="87:87">
      <c r="CI2091" s="31"/>
    </row>
    <row r="2092" spans="87:87">
      <c r="CI2092" s="31"/>
    </row>
    <row r="2093" spans="87:87">
      <c r="CI2093" s="31"/>
    </row>
    <row r="2094" spans="87:87">
      <c r="CI2094" s="31"/>
    </row>
    <row r="2095" spans="87:87">
      <c r="CI2095" s="31"/>
    </row>
    <row r="2096" spans="87:87">
      <c r="CI2096" s="31"/>
    </row>
    <row r="2097" spans="87:87">
      <c r="CI2097" s="31"/>
    </row>
    <row r="2098" spans="87:87">
      <c r="CI2098" s="31"/>
    </row>
    <row r="2099" spans="87:87">
      <c r="CI2099" s="31"/>
    </row>
    <row r="2100" spans="87:87">
      <c r="CI2100" s="31"/>
    </row>
    <row r="2101" spans="87:87">
      <c r="CI2101" s="31"/>
    </row>
    <row r="2102" spans="87:87">
      <c r="CI2102" s="31"/>
    </row>
    <row r="2103" spans="87:87">
      <c r="CI2103" s="31"/>
    </row>
    <row r="2104" spans="87:87">
      <c r="CI2104" s="31"/>
    </row>
    <row r="2105" spans="87:87">
      <c r="CI2105" s="31"/>
    </row>
    <row r="2106" spans="87:87">
      <c r="CI2106" s="31"/>
    </row>
    <row r="2107" spans="87:87">
      <c r="CI2107" s="31"/>
    </row>
    <row r="2108" spans="87:87">
      <c r="CI2108" s="31"/>
    </row>
    <row r="2109" spans="87:87">
      <c r="CI2109" s="31"/>
    </row>
    <row r="2110" spans="87:87">
      <c r="CI2110" s="31"/>
    </row>
    <row r="2111" spans="87:87">
      <c r="CI2111" s="31"/>
    </row>
    <row r="2112" spans="87:87">
      <c r="CI2112" s="31"/>
    </row>
    <row r="2113" spans="87:87">
      <c r="CI2113" s="31"/>
    </row>
    <row r="2114" spans="87:87">
      <c r="CI2114" s="31"/>
    </row>
    <row r="2115" spans="87:87">
      <c r="CI2115" s="31"/>
    </row>
    <row r="2116" spans="87:87">
      <c r="CI2116" s="31"/>
    </row>
    <row r="2117" spans="87:87">
      <c r="CI2117" s="31"/>
    </row>
    <row r="2118" spans="87:87">
      <c r="CI2118" s="31"/>
    </row>
    <row r="2119" spans="87:87">
      <c r="CI2119" s="31"/>
    </row>
    <row r="2120" spans="87:87">
      <c r="CI2120" s="31"/>
    </row>
    <row r="2121" spans="87:87">
      <c r="CI2121" s="31"/>
    </row>
    <row r="2122" spans="87:87">
      <c r="CI2122" s="31"/>
    </row>
    <row r="2123" spans="87:87">
      <c r="CI2123" s="31"/>
    </row>
    <row r="2124" spans="87:87">
      <c r="CI2124" s="31"/>
    </row>
    <row r="2125" spans="87:87">
      <c r="CI2125" s="31"/>
    </row>
    <row r="2126" spans="87:87">
      <c r="CI2126" s="31"/>
    </row>
    <row r="2127" spans="87:87">
      <c r="CI2127" s="31"/>
    </row>
    <row r="2128" spans="87:87">
      <c r="CI2128" s="31"/>
    </row>
    <row r="2129" spans="87:87">
      <c r="CI2129" s="31"/>
    </row>
    <row r="2130" spans="87:87">
      <c r="CI2130" s="31"/>
    </row>
    <row r="2131" spans="87:87">
      <c r="CI2131" s="31"/>
    </row>
    <row r="2132" spans="87:87">
      <c r="CI2132" s="31"/>
    </row>
    <row r="2133" spans="87:87">
      <c r="CI2133" s="31"/>
    </row>
    <row r="2134" spans="87:87">
      <c r="CI2134" s="31"/>
    </row>
    <row r="2135" spans="87:87">
      <c r="CI2135" s="31"/>
    </row>
    <row r="2136" spans="87:87">
      <c r="CI2136" s="31"/>
    </row>
    <row r="2137" spans="87:87">
      <c r="CI2137" s="31"/>
    </row>
    <row r="2138" spans="87:87">
      <c r="CI2138" s="31"/>
    </row>
    <row r="2139" spans="87:87">
      <c r="CI2139" s="31"/>
    </row>
    <row r="2140" spans="87:87">
      <c r="CI2140" s="31"/>
    </row>
    <row r="2141" spans="87:87">
      <c r="CI2141" s="31"/>
    </row>
    <row r="2142" spans="87:87">
      <c r="CI2142" s="31"/>
    </row>
    <row r="2143" spans="87:87">
      <c r="CI2143" s="31"/>
    </row>
    <row r="2144" spans="87:87">
      <c r="CI2144" s="31"/>
    </row>
    <row r="2145" spans="87:87">
      <c r="CI2145" s="31"/>
    </row>
    <row r="2146" spans="87:87">
      <c r="CI2146" s="31"/>
    </row>
    <row r="2147" spans="87:87">
      <c r="CI2147" s="31"/>
    </row>
    <row r="2148" spans="87:87">
      <c r="CI2148" s="31"/>
    </row>
    <row r="2149" spans="87:87">
      <c r="CI2149" s="31"/>
    </row>
    <row r="2150" spans="87:87">
      <c r="CI2150" s="31"/>
    </row>
    <row r="2151" spans="87:87">
      <c r="CI2151" s="31"/>
    </row>
    <row r="2152" spans="87:87">
      <c r="CI2152" s="31"/>
    </row>
    <row r="2153" spans="87:87">
      <c r="CI2153" s="31"/>
    </row>
    <row r="2154" spans="87:87">
      <c r="CI2154" s="31"/>
    </row>
    <row r="2155" spans="87:87">
      <c r="CI2155" s="31"/>
    </row>
    <row r="2156" spans="87:87">
      <c r="CI2156" s="31"/>
    </row>
    <row r="2157" spans="87:87">
      <c r="CI2157" s="31"/>
    </row>
    <row r="2158" spans="87:87">
      <c r="CI2158" s="31"/>
    </row>
    <row r="2159" spans="87:87">
      <c r="CI2159" s="31"/>
    </row>
    <row r="2160" spans="87:87">
      <c r="CI2160" s="31"/>
    </row>
    <row r="2161" spans="87:87">
      <c r="CI2161" s="31"/>
    </row>
    <row r="2162" spans="87:87">
      <c r="CI2162" s="31"/>
    </row>
    <row r="2163" spans="87:87">
      <c r="CI2163" s="31"/>
    </row>
    <row r="2164" spans="87:87">
      <c r="CI2164" s="31"/>
    </row>
    <row r="2165" spans="87:87">
      <c r="CI2165" s="31"/>
    </row>
    <row r="2166" spans="87:87">
      <c r="CI2166" s="31"/>
    </row>
    <row r="2167" spans="87:87">
      <c r="CI2167" s="31"/>
    </row>
    <row r="2168" spans="87:87">
      <c r="CI2168" s="31"/>
    </row>
    <row r="2169" spans="87:87">
      <c r="CI2169" s="31"/>
    </row>
    <row r="2170" spans="87:87">
      <c r="CI2170" s="31"/>
    </row>
    <row r="2171" spans="87:87">
      <c r="CI2171" s="31"/>
    </row>
    <row r="2172" spans="87:87">
      <c r="CI2172" s="31"/>
    </row>
    <row r="2173" spans="87:87">
      <c r="CI2173" s="31"/>
    </row>
    <row r="2174" spans="87:87">
      <c r="CI2174" s="31"/>
    </row>
    <row r="2175" spans="87:87">
      <c r="CI2175" s="31"/>
    </row>
    <row r="2176" spans="87:87">
      <c r="CI2176" s="31"/>
    </row>
    <row r="2177" spans="87:87">
      <c r="CI2177" s="31"/>
    </row>
    <row r="2178" spans="87:87">
      <c r="CI2178" s="31"/>
    </row>
    <row r="2179" spans="87:87">
      <c r="CI2179" s="31"/>
    </row>
    <row r="2180" spans="87:87">
      <c r="CI2180" s="31"/>
    </row>
    <row r="2181" spans="87:87">
      <c r="CI2181" s="31"/>
    </row>
    <row r="2182" spans="87:87">
      <c r="CI2182" s="31"/>
    </row>
    <row r="2183" spans="87:87">
      <c r="CI2183" s="31"/>
    </row>
    <row r="2184" spans="87:87">
      <c r="CI2184" s="31"/>
    </row>
    <row r="2185" spans="87:87">
      <c r="CI2185" s="31"/>
    </row>
    <row r="2186" spans="87:87">
      <c r="CI2186" s="31"/>
    </row>
    <row r="2187" spans="87:87">
      <c r="CI2187" s="31"/>
    </row>
    <row r="2188" spans="87:87">
      <c r="CI2188" s="31"/>
    </row>
    <row r="2189" spans="87:87">
      <c r="CI2189" s="31"/>
    </row>
    <row r="2190" spans="87:87">
      <c r="CI2190" s="31"/>
    </row>
    <row r="2191" spans="87:87">
      <c r="CI2191" s="31"/>
    </row>
    <row r="2192" spans="87:87">
      <c r="CI2192" s="31"/>
    </row>
    <row r="2193" spans="87:87">
      <c r="CI2193" s="31"/>
    </row>
    <row r="2194" spans="87:87">
      <c r="CI2194" s="31"/>
    </row>
    <row r="2195" spans="87:87">
      <c r="CI2195" s="31"/>
    </row>
    <row r="2196" spans="87:87">
      <c r="CI2196" s="31"/>
    </row>
    <row r="2197" spans="87:87">
      <c r="CI2197" s="31"/>
    </row>
    <row r="2198" spans="87:87">
      <c r="CI2198" s="31"/>
    </row>
    <row r="2199" spans="87:87">
      <c r="CI2199" s="31"/>
    </row>
    <row r="2200" spans="87:87">
      <c r="CI2200" s="31"/>
    </row>
    <row r="2201" spans="87:87">
      <c r="CI2201" s="31"/>
    </row>
    <row r="2202" spans="87:87">
      <c r="CI2202" s="31"/>
    </row>
    <row r="2203" spans="87:87">
      <c r="CI2203" s="31"/>
    </row>
    <row r="2204" spans="87:87">
      <c r="CI2204" s="31"/>
    </row>
    <row r="2205" spans="87:87">
      <c r="CI2205" s="31"/>
    </row>
    <row r="2206" spans="87:87">
      <c r="CI2206" s="31"/>
    </row>
    <row r="2207" spans="87:87">
      <c r="CI2207" s="31"/>
    </row>
    <row r="2208" spans="87:87">
      <c r="CI2208" s="31"/>
    </row>
    <row r="2209" spans="87:87">
      <c r="CI2209" s="31"/>
    </row>
    <row r="2210" spans="87:87">
      <c r="CI2210" s="31"/>
    </row>
    <row r="2211" spans="87:87">
      <c r="CI2211" s="31"/>
    </row>
    <row r="2212" spans="87:87">
      <c r="CI2212" s="31"/>
    </row>
    <row r="2213" spans="87:87">
      <c r="CI2213" s="31"/>
    </row>
    <row r="2214" spans="87:87">
      <c r="CI2214" s="31"/>
    </row>
    <row r="2215" spans="87:87">
      <c r="CI2215" s="31"/>
    </row>
    <row r="2216" spans="87:87">
      <c r="CI2216" s="31"/>
    </row>
    <row r="2217" spans="87:87">
      <c r="CI2217" s="31"/>
    </row>
    <row r="2218" spans="87:87">
      <c r="CI2218" s="31"/>
    </row>
    <row r="2219" spans="87:87">
      <c r="CI2219" s="31"/>
    </row>
    <row r="2220" spans="87:87">
      <c r="CI2220" s="31"/>
    </row>
    <row r="2221" spans="87:87">
      <c r="CI2221" s="31"/>
    </row>
    <row r="2222" spans="87:87">
      <c r="CI2222" s="31"/>
    </row>
    <row r="2223" spans="87:87">
      <c r="CI2223" s="31"/>
    </row>
    <row r="2224" spans="87:87">
      <c r="CI2224" s="31"/>
    </row>
    <row r="2225" spans="87:87">
      <c r="CI2225" s="31"/>
    </row>
    <row r="2226" spans="87:87">
      <c r="CI2226" s="31"/>
    </row>
    <row r="2227" spans="87:87">
      <c r="CI2227" s="31"/>
    </row>
    <row r="2228" spans="87:87">
      <c r="CI2228" s="31"/>
    </row>
    <row r="2229" spans="87:87">
      <c r="CI2229" s="31"/>
    </row>
    <row r="2230" spans="87:87">
      <c r="CI2230" s="31"/>
    </row>
    <row r="2231" spans="87:87">
      <c r="CI2231" s="31"/>
    </row>
    <row r="2232" spans="87:87">
      <c r="CI2232" s="31"/>
    </row>
    <row r="2233" spans="87:87">
      <c r="CI2233" s="31"/>
    </row>
    <row r="2234" spans="87:87">
      <c r="CI2234" s="31"/>
    </row>
    <row r="2235" spans="87:87">
      <c r="CI2235" s="31"/>
    </row>
    <row r="2236" spans="87:87">
      <c r="CI2236" s="31"/>
    </row>
    <row r="2237" spans="87:87">
      <c r="CI2237" s="31"/>
    </row>
    <row r="2238" spans="87:87">
      <c r="CI2238" s="31"/>
    </row>
    <row r="2239" spans="87:87">
      <c r="CI2239" s="31"/>
    </row>
    <row r="2240" spans="87:87">
      <c r="CI2240" s="31"/>
    </row>
    <row r="2241" spans="87:87">
      <c r="CI2241" s="31"/>
    </row>
    <row r="2242" spans="87:87">
      <c r="CI2242" s="31"/>
    </row>
    <row r="2243" spans="87:87">
      <c r="CI2243" s="31"/>
    </row>
    <row r="2244" spans="87:87">
      <c r="CI2244" s="31"/>
    </row>
    <row r="2245" spans="87:87">
      <c r="CI2245" s="31"/>
    </row>
    <row r="2246" spans="87:87">
      <c r="CI2246" s="31"/>
    </row>
    <row r="2247" spans="87:87">
      <c r="CI2247" s="31"/>
    </row>
    <row r="2248" spans="87:87">
      <c r="CI2248" s="31"/>
    </row>
    <row r="2249" spans="87:87">
      <c r="CI2249" s="31"/>
    </row>
    <row r="2250" spans="87:87">
      <c r="CI2250" s="31"/>
    </row>
    <row r="2251" spans="87:87">
      <c r="CI2251" s="31"/>
    </row>
    <row r="2252" spans="87:87">
      <c r="CI2252" s="31"/>
    </row>
    <row r="2253" spans="87:87">
      <c r="CI2253" s="31"/>
    </row>
    <row r="2254" spans="87:87">
      <c r="CI2254" s="31"/>
    </row>
    <row r="2255" spans="87:87">
      <c r="CI2255" s="31"/>
    </row>
    <row r="2256" spans="87:87">
      <c r="CI2256" s="31"/>
    </row>
    <row r="2257" spans="87:87">
      <c r="CI2257" s="31"/>
    </row>
    <row r="2258" spans="87:87">
      <c r="CI2258" s="31"/>
    </row>
    <row r="2259" spans="87:87">
      <c r="CI2259" s="31"/>
    </row>
    <row r="2260" spans="87:87">
      <c r="CI2260" s="31"/>
    </row>
    <row r="2261" spans="87:87">
      <c r="CI2261" s="31"/>
    </row>
    <row r="2262" spans="87:87">
      <c r="CI2262" s="31"/>
    </row>
    <row r="2263" spans="87:87">
      <c r="CI2263" s="31"/>
    </row>
    <row r="2264" spans="87:87">
      <c r="CI2264" s="31"/>
    </row>
    <row r="2265" spans="87:87">
      <c r="CI2265" s="31"/>
    </row>
    <row r="2266" spans="87:87">
      <c r="CI2266" s="31"/>
    </row>
    <row r="2267" spans="87:87">
      <c r="CI2267" s="31"/>
    </row>
    <row r="2268" spans="87:87">
      <c r="CI2268" s="31"/>
    </row>
    <row r="2269" spans="87:87">
      <c r="CI2269" s="31"/>
    </row>
    <row r="2270" spans="87:87">
      <c r="CI2270" s="31"/>
    </row>
    <row r="2271" spans="87:87">
      <c r="CI2271" s="31"/>
    </row>
    <row r="2272" spans="87:87">
      <c r="CI2272" s="31"/>
    </row>
    <row r="2273" spans="87:87">
      <c r="CI2273" s="31"/>
    </row>
    <row r="2274" spans="87:87">
      <c r="CI2274" s="31"/>
    </row>
    <row r="2275" spans="87:87">
      <c r="CI2275" s="31"/>
    </row>
    <row r="2276" spans="87:87">
      <c r="CI2276" s="31"/>
    </row>
    <row r="2277" spans="87:87">
      <c r="CI2277" s="31"/>
    </row>
    <row r="2278" spans="87:87">
      <c r="CI2278" s="31"/>
    </row>
    <row r="2279" spans="87:87">
      <c r="CI2279" s="31"/>
    </row>
    <row r="2280" spans="87:87">
      <c r="CI2280" s="31"/>
    </row>
    <row r="2281" spans="87:87">
      <c r="CI2281" s="31"/>
    </row>
    <row r="2282" spans="87:87">
      <c r="CI2282" s="31"/>
    </row>
    <row r="2283" spans="87:87">
      <c r="CI2283" s="31"/>
    </row>
    <row r="2284" spans="87:87">
      <c r="CI2284" s="31"/>
    </row>
    <row r="2285" spans="87:87">
      <c r="CI2285" s="31"/>
    </row>
    <row r="2286" spans="87:87">
      <c r="CI2286" s="31"/>
    </row>
    <row r="2287" spans="87:87">
      <c r="CI2287" s="31"/>
    </row>
    <row r="2288" spans="87:87">
      <c r="CI2288" s="31"/>
    </row>
    <row r="2289" spans="87:87">
      <c r="CI2289" s="31"/>
    </row>
    <row r="2290" spans="87:87">
      <c r="CI2290" s="31"/>
    </row>
    <row r="2291" spans="87:87">
      <c r="CI2291" s="31"/>
    </row>
    <row r="2292" spans="87:87">
      <c r="CI2292" s="31"/>
    </row>
    <row r="2293" spans="87:87">
      <c r="CI2293" s="31"/>
    </row>
    <row r="2294" spans="87:87">
      <c r="CI2294" s="31"/>
    </row>
    <row r="2295" spans="87:87">
      <c r="CI2295" s="31"/>
    </row>
    <row r="2296" spans="87:87">
      <c r="CI2296" s="31"/>
    </row>
    <row r="2297" spans="87:87">
      <c r="CI2297" s="31"/>
    </row>
    <row r="2298" spans="87:87">
      <c r="CI2298" s="31"/>
    </row>
    <row r="2299" spans="87:87">
      <c r="CI2299" s="31"/>
    </row>
    <row r="2300" spans="87:87">
      <c r="CI2300" s="31"/>
    </row>
    <row r="2301" spans="87:87">
      <c r="CI2301" s="31"/>
    </row>
    <row r="2302" spans="87:87">
      <c r="CI2302" s="31"/>
    </row>
    <row r="2303" spans="87:87">
      <c r="CI2303" s="31"/>
    </row>
    <row r="2304" spans="87:87">
      <c r="CI2304" s="31"/>
    </row>
    <row r="2305" spans="87:87">
      <c r="CI2305" s="31"/>
    </row>
    <row r="2306" spans="87:87">
      <c r="CI2306" s="31"/>
    </row>
    <row r="2307" spans="87:87">
      <c r="CI2307" s="31"/>
    </row>
    <row r="2308" spans="87:87">
      <c r="CI2308" s="31"/>
    </row>
    <row r="2309" spans="87:87">
      <c r="CI2309" s="31"/>
    </row>
    <row r="2310" spans="87:87">
      <c r="CI2310" s="31"/>
    </row>
    <row r="2311" spans="87:87">
      <c r="CI2311" s="31"/>
    </row>
    <row r="2312" spans="87:87">
      <c r="CI2312" s="31"/>
    </row>
    <row r="2313" spans="87:87">
      <c r="CI2313" s="31"/>
    </row>
    <row r="2314" spans="87:87">
      <c r="CI2314" s="31"/>
    </row>
    <row r="2315" spans="87:87">
      <c r="CI2315" s="31"/>
    </row>
    <row r="2316" spans="87:87">
      <c r="CI2316" s="31"/>
    </row>
    <row r="2317" spans="87:87">
      <c r="CI2317" s="31"/>
    </row>
    <row r="2318" spans="87:87">
      <c r="CI2318" s="31"/>
    </row>
    <row r="2319" spans="87:87">
      <c r="CI2319" s="31"/>
    </row>
    <row r="2320" spans="87:87">
      <c r="CI2320" s="31"/>
    </row>
    <row r="2321" spans="87:87">
      <c r="CI2321" s="31"/>
    </row>
    <row r="2322" spans="87:87">
      <c r="CI2322" s="31"/>
    </row>
    <row r="2323" spans="87:87">
      <c r="CI2323" s="31"/>
    </row>
    <row r="2324" spans="87:87">
      <c r="CI2324" s="31"/>
    </row>
    <row r="2325" spans="87:87">
      <c r="CI2325" s="31"/>
    </row>
    <row r="2326" spans="87:87">
      <c r="CI2326" s="31"/>
    </row>
    <row r="2327" spans="87:87">
      <c r="CI2327" s="31"/>
    </row>
    <row r="2328" spans="87:87">
      <c r="CI2328" s="31"/>
    </row>
    <row r="2329" spans="87:87">
      <c r="CI2329" s="31"/>
    </row>
    <row r="2330" spans="87:87">
      <c r="CI2330" s="31"/>
    </row>
    <row r="2331" spans="87:87">
      <c r="CI2331" s="31"/>
    </row>
    <row r="2332" spans="87:87">
      <c r="CI2332" s="31"/>
    </row>
    <row r="2333" spans="87:87">
      <c r="CI2333" s="31"/>
    </row>
    <row r="2334" spans="87:87">
      <c r="CI2334" s="31"/>
    </row>
    <row r="2335" spans="87:87">
      <c r="CI2335" s="31"/>
    </row>
    <row r="2336" spans="87:87">
      <c r="CI2336" s="31"/>
    </row>
    <row r="2337" spans="87:87">
      <c r="CI2337" s="31"/>
    </row>
    <row r="2338" spans="87:87">
      <c r="CI2338" s="31"/>
    </row>
    <row r="2339" spans="87:87">
      <c r="CI2339" s="31"/>
    </row>
    <row r="2340" spans="87:87">
      <c r="CI2340" s="31"/>
    </row>
    <row r="2341" spans="87:87">
      <c r="CI2341" s="31"/>
    </row>
    <row r="2342" spans="87:87">
      <c r="CI2342" s="31"/>
    </row>
    <row r="2343" spans="87:87">
      <c r="CI2343" s="31"/>
    </row>
    <row r="2344" spans="87:87">
      <c r="CI2344" s="31"/>
    </row>
    <row r="2345" spans="87:87">
      <c r="CI2345" s="31"/>
    </row>
    <row r="2346" spans="87:87">
      <c r="CI2346" s="31"/>
    </row>
    <row r="2347" spans="87:87">
      <c r="CI2347" s="31"/>
    </row>
    <row r="2348" spans="87:87">
      <c r="CI2348" s="31"/>
    </row>
    <row r="2349" spans="87:87">
      <c r="CI2349" s="31"/>
    </row>
    <row r="2350" spans="87:87">
      <c r="CI2350" s="31"/>
    </row>
    <row r="2351" spans="87:87">
      <c r="CI2351" s="31"/>
    </row>
    <row r="2352" spans="87:87">
      <c r="CI2352" s="31"/>
    </row>
    <row r="2353" spans="87:87">
      <c r="CI2353" s="31"/>
    </row>
    <row r="2354" spans="87:87">
      <c r="CI2354" s="31"/>
    </row>
    <row r="2355" spans="87:87">
      <c r="CI2355" s="31"/>
    </row>
    <row r="2356" spans="87:87">
      <c r="CI2356" s="31"/>
    </row>
    <row r="2357" spans="87:87">
      <c r="CI2357" s="31"/>
    </row>
    <row r="2358" spans="87:87">
      <c r="CI2358" s="31"/>
    </row>
    <row r="2359" spans="87:87">
      <c r="CI2359" s="31"/>
    </row>
    <row r="2360" spans="87:87">
      <c r="CI2360" s="31"/>
    </row>
    <row r="2361" spans="87:87">
      <c r="CI2361" s="31"/>
    </row>
    <row r="2362" spans="87:87">
      <c r="CI2362" s="31"/>
    </row>
    <row r="2363" spans="87:87">
      <c r="CI2363" s="31"/>
    </row>
    <row r="2364" spans="87:87">
      <c r="CI2364" s="31"/>
    </row>
    <row r="2365" spans="87:87">
      <c r="CI2365" s="31"/>
    </row>
    <row r="2366" spans="87:87">
      <c r="CI2366" s="31"/>
    </row>
    <row r="2367" spans="87:87">
      <c r="CI2367" s="31"/>
    </row>
    <row r="2368" spans="87:87">
      <c r="CI2368" s="31"/>
    </row>
    <row r="2369" spans="87:87">
      <c r="CI2369" s="31"/>
    </row>
    <row r="2370" spans="87:87">
      <c r="CI2370" s="31"/>
    </row>
    <row r="2371" spans="87:87">
      <c r="CI2371" s="31"/>
    </row>
    <row r="2372" spans="87:87">
      <c r="CI2372" s="31"/>
    </row>
    <row r="2373" spans="87:87">
      <c r="CI2373" s="31"/>
    </row>
    <row r="2374" spans="87:87">
      <c r="CI2374" s="31"/>
    </row>
    <row r="2375" spans="87:87">
      <c r="CI2375" s="31"/>
    </row>
    <row r="2376" spans="87:87">
      <c r="CI2376" s="31"/>
    </row>
    <row r="2377" spans="87:87">
      <c r="CI2377" s="31"/>
    </row>
    <row r="2378" spans="87:87">
      <c r="CI2378" s="31"/>
    </row>
    <row r="2379" spans="87:87">
      <c r="CI2379" s="31"/>
    </row>
    <row r="2380" spans="87:87">
      <c r="CI2380" s="31"/>
    </row>
    <row r="2381" spans="87:87">
      <c r="CI2381" s="31"/>
    </row>
    <row r="2382" spans="87:87">
      <c r="CI2382" s="31"/>
    </row>
    <row r="2383" spans="87:87">
      <c r="CI2383" s="31"/>
    </row>
    <row r="2384" spans="87:87">
      <c r="CI2384" s="31"/>
    </row>
    <row r="2385" spans="87:87">
      <c r="CI2385" s="31"/>
    </row>
    <row r="2386" spans="87:87">
      <c r="CI2386" s="31"/>
    </row>
    <row r="2387" spans="87:87">
      <c r="CI2387" s="31"/>
    </row>
    <row r="2388" spans="87:87">
      <c r="CI2388" s="31"/>
    </row>
    <row r="2389" spans="87:87">
      <c r="CI2389" s="31"/>
    </row>
    <row r="2390" spans="87:87">
      <c r="CI2390" s="31"/>
    </row>
    <row r="2391" spans="87:87">
      <c r="CI2391" s="31"/>
    </row>
    <row r="2392" spans="87:87">
      <c r="CI2392" s="31"/>
    </row>
    <row r="2393" spans="87:87">
      <c r="CI2393" s="31"/>
    </row>
    <row r="2394" spans="87:87">
      <c r="CI2394" s="31"/>
    </row>
    <row r="2395" spans="87:87">
      <c r="CI2395" s="31"/>
    </row>
    <row r="2396" spans="87:87">
      <c r="CI2396" s="31"/>
    </row>
    <row r="2397" spans="87:87">
      <c r="CI2397" s="31"/>
    </row>
    <row r="2398" spans="87:87">
      <c r="CI2398" s="31"/>
    </row>
    <row r="2399" spans="87:87">
      <c r="CI2399" s="31"/>
    </row>
    <row r="2400" spans="87:87">
      <c r="CI2400" s="31"/>
    </row>
    <row r="2401" spans="87:87">
      <c r="CI2401" s="31"/>
    </row>
    <row r="2402" spans="87:87">
      <c r="CI2402" s="31"/>
    </row>
    <row r="2403" spans="87:87">
      <c r="CI2403" s="31"/>
    </row>
    <row r="2404" spans="87:87">
      <c r="CI2404" s="31"/>
    </row>
    <row r="2405" spans="87:87">
      <c r="CI2405" s="31"/>
    </row>
    <row r="2406" spans="87:87">
      <c r="CI2406" s="31"/>
    </row>
    <row r="2407" spans="87:87">
      <c r="CI2407" s="31"/>
    </row>
    <row r="2408" spans="87:87">
      <c r="CI2408" s="31"/>
    </row>
    <row r="2409" spans="87:87">
      <c r="CI2409" s="31"/>
    </row>
    <row r="2410" spans="87:87">
      <c r="CI2410" s="31"/>
    </row>
    <row r="2411" spans="87:87">
      <c r="CI2411" s="31"/>
    </row>
    <row r="2412" spans="87:87">
      <c r="CI2412" s="31"/>
    </row>
    <row r="2413" spans="87:87">
      <c r="CI2413" s="31"/>
    </row>
    <row r="2414" spans="87:87">
      <c r="CI2414" s="31"/>
    </row>
    <row r="2415" spans="87:87">
      <c r="CI2415" s="31"/>
    </row>
    <row r="2416" spans="87:87">
      <c r="CI2416" s="31"/>
    </row>
    <row r="2417" spans="87:87">
      <c r="CI2417" s="31"/>
    </row>
    <row r="2418" spans="87:87">
      <c r="CI2418" s="31"/>
    </row>
    <row r="2419" spans="87:87">
      <c r="CI2419" s="31"/>
    </row>
    <row r="2420" spans="87:87">
      <c r="CI2420" s="31"/>
    </row>
    <row r="2421" spans="87:87">
      <c r="CI2421" s="31"/>
    </row>
    <row r="2422" spans="87:87">
      <c r="CI2422" s="31"/>
    </row>
    <row r="2423" spans="87:87">
      <c r="CI2423" s="31"/>
    </row>
    <row r="2424" spans="87:87">
      <c r="CI2424" s="31"/>
    </row>
    <row r="2425" spans="87:87">
      <c r="CI2425" s="31"/>
    </row>
    <row r="2426" spans="87:87">
      <c r="CI2426" s="31"/>
    </row>
    <row r="2427" spans="87:87">
      <c r="CI2427" s="31"/>
    </row>
    <row r="2428" spans="87:87">
      <c r="CI2428" s="31"/>
    </row>
    <row r="2429" spans="87:87">
      <c r="CI2429" s="31"/>
    </row>
    <row r="2430" spans="87:87">
      <c r="CI2430" s="31"/>
    </row>
    <row r="2431" spans="87:87">
      <c r="CI2431" s="31"/>
    </row>
    <row r="2432" spans="87:87">
      <c r="CI2432" s="31"/>
    </row>
    <row r="2433" spans="87:87">
      <c r="CI2433" s="31"/>
    </row>
    <row r="2434" spans="87:87">
      <c r="CI2434" s="31"/>
    </row>
    <row r="2435" spans="87:87">
      <c r="CI2435" s="31"/>
    </row>
    <row r="2436" spans="87:87">
      <c r="CI2436" s="31"/>
    </row>
    <row r="2437" spans="87:87">
      <c r="CI2437" s="31"/>
    </row>
    <row r="2438" spans="87:87">
      <c r="CI2438" s="31"/>
    </row>
    <row r="2439" spans="87:87">
      <c r="CI2439" s="31"/>
    </row>
    <row r="2440" spans="87:87">
      <c r="CI2440" s="31"/>
    </row>
    <row r="2441" spans="87:87">
      <c r="CI2441" s="31"/>
    </row>
    <row r="2442" spans="87:87">
      <c r="CI2442" s="31"/>
    </row>
    <row r="2443" spans="87:87">
      <c r="CI2443" s="31"/>
    </row>
    <row r="2444" spans="87:87">
      <c r="CI2444" s="31"/>
    </row>
    <row r="2445" spans="87:87">
      <c r="CI2445" s="31"/>
    </row>
    <row r="2446" spans="87:87">
      <c r="CI2446" s="31"/>
    </row>
    <row r="2447" spans="87:87">
      <c r="CI2447" s="31"/>
    </row>
    <row r="2448" spans="87:87">
      <c r="CI2448" s="31"/>
    </row>
    <row r="2449" spans="87:87">
      <c r="CI2449" s="31"/>
    </row>
    <row r="2450" spans="87:87">
      <c r="CI2450" s="31"/>
    </row>
    <row r="2451" spans="87:87">
      <c r="CI2451" s="31"/>
    </row>
    <row r="2452" spans="87:87">
      <c r="CI2452" s="31"/>
    </row>
    <row r="2453" spans="87:87">
      <c r="CI2453" s="31"/>
    </row>
    <row r="2454" spans="87:87">
      <c r="CI2454" s="31"/>
    </row>
    <row r="2455" spans="87:87">
      <c r="CI2455" s="31"/>
    </row>
    <row r="2456" spans="87:87">
      <c r="CI2456" s="31"/>
    </row>
    <row r="2457" spans="87:87">
      <c r="CI2457" s="31"/>
    </row>
    <row r="2458" spans="87:87">
      <c r="CI2458" s="31"/>
    </row>
    <row r="2459" spans="87:87">
      <c r="CI2459" s="31"/>
    </row>
    <row r="2460" spans="87:87">
      <c r="CI2460" s="31"/>
    </row>
    <row r="2461" spans="87:87">
      <c r="CI2461" s="31"/>
    </row>
    <row r="2462" spans="87:87">
      <c r="CI2462" s="31"/>
    </row>
    <row r="2463" spans="87:87">
      <c r="CI2463" s="31"/>
    </row>
    <row r="2464" spans="87:87">
      <c r="CI2464" s="31"/>
    </row>
    <row r="2465" spans="87:87">
      <c r="CI2465" s="31"/>
    </row>
    <row r="2466" spans="87:87">
      <c r="CI2466" s="31"/>
    </row>
    <row r="2467" spans="87:87">
      <c r="CI2467" s="31"/>
    </row>
    <row r="2468" spans="87:87">
      <c r="CI2468" s="31"/>
    </row>
    <row r="2469" spans="87:87">
      <c r="CI2469" s="31"/>
    </row>
    <row r="2470" spans="87:87">
      <c r="CI2470" s="31"/>
    </row>
    <row r="2471" spans="87:87">
      <c r="CI2471" s="31"/>
    </row>
    <row r="2472" spans="87:87">
      <c r="CI2472" s="31"/>
    </row>
    <row r="2473" spans="87:87">
      <c r="CI2473" s="31"/>
    </row>
    <row r="2474" spans="87:87">
      <c r="CI2474" s="31"/>
    </row>
    <row r="2475" spans="87:87">
      <c r="CI2475" s="31"/>
    </row>
    <row r="2476" spans="87:87">
      <c r="CI2476" s="31"/>
    </row>
    <row r="2477" spans="87:87">
      <c r="CI2477" s="31"/>
    </row>
    <row r="2478" spans="87:87">
      <c r="CI2478" s="31"/>
    </row>
    <row r="2479" spans="87:87">
      <c r="CI2479" s="31"/>
    </row>
    <row r="2480" spans="87:87">
      <c r="CI2480" s="31"/>
    </row>
    <row r="2481" spans="87:87">
      <c r="CI2481" s="31"/>
    </row>
    <row r="2482" spans="87:87">
      <c r="CI2482" s="31"/>
    </row>
    <row r="2483" spans="87:87">
      <c r="CI2483" s="31"/>
    </row>
    <row r="2484" spans="87:87">
      <c r="CI2484" s="31"/>
    </row>
    <row r="2485" spans="87:87">
      <c r="CI2485" s="31"/>
    </row>
    <row r="2486" spans="87:87">
      <c r="CI2486" s="31"/>
    </row>
    <row r="2487" spans="87:87">
      <c r="CI2487" s="31"/>
    </row>
    <row r="2488" spans="87:87">
      <c r="CI2488" s="31"/>
    </row>
    <row r="2489" spans="87:87">
      <c r="CI2489" s="31"/>
    </row>
    <row r="2490" spans="87:87">
      <c r="CI2490" s="31"/>
    </row>
    <row r="2491" spans="87:87">
      <c r="CI2491" s="31"/>
    </row>
    <row r="2492" spans="87:87">
      <c r="CI2492" s="31"/>
    </row>
    <row r="2493" spans="87:87">
      <c r="CI2493" s="31"/>
    </row>
    <row r="2494" spans="87:87">
      <c r="CI2494" s="31"/>
    </row>
    <row r="2495" spans="87:87">
      <c r="CI2495" s="31"/>
    </row>
    <row r="2496" spans="87:87">
      <c r="CI2496" s="31"/>
    </row>
    <row r="2497" spans="87:87">
      <c r="CI2497" s="31"/>
    </row>
    <row r="2498" spans="87:87">
      <c r="CI2498" s="31"/>
    </row>
    <row r="2499" spans="87:87">
      <c r="CI2499" s="31"/>
    </row>
    <row r="2500" spans="87:87">
      <c r="CI2500" s="31"/>
    </row>
    <row r="2501" spans="87:87">
      <c r="CI2501" s="31"/>
    </row>
    <row r="2502" spans="87:87">
      <c r="CI2502" s="31"/>
    </row>
    <row r="2503" spans="87:87">
      <c r="CI2503" s="31"/>
    </row>
    <row r="2504" spans="87:87">
      <c r="CI2504" s="31"/>
    </row>
    <row r="2505" spans="87:87">
      <c r="CI2505" s="31"/>
    </row>
    <row r="2506" spans="87:87">
      <c r="CI2506" s="31"/>
    </row>
    <row r="2507" spans="87:87">
      <c r="CI2507" s="31"/>
    </row>
    <row r="2508" spans="87:87">
      <c r="CI2508" s="31"/>
    </row>
    <row r="2509" spans="87:87">
      <c r="CI2509" s="31"/>
    </row>
    <row r="2510" spans="87:87">
      <c r="CI2510" s="31"/>
    </row>
    <row r="2511" spans="87:87">
      <c r="CI2511" s="31"/>
    </row>
    <row r="2512" spans="87:87">
      <c r="CI2512" s="31"/>
    </row>
    <row r="2513" spans="87:87">
      <c r="CI2513" s="31"/>
    </row>
    <row r="2514" spans="87:87">
      <c r="CI2514" s="31"/>
    </row>
    <row r="2515" spans="87:87">
      <c r="CI2515" s="31"/>
    </row>
    <row r="2516" spans="87:87">
      <c r="CI2516" s="31"/>
    </row>
    <row r="2517" spans="87:87">
      <c r="CI2517" s="31"/>
    </row>
    <row r="2518" spans="87:87">
      <c r="CI2518" s="31"/>
    </row>
    <row r="2519" spans="87:87">
      <c r="CI2519" s="31"/>
    </row>
    <row r="2520" spans="87:87">
      <c r="CI2520" s="31"/>
    </row>
    <row r="2521" spans="87:87">
      <c r="CI2521" s="31"/>
    </row>
    <row r="2522" spans="87:87">
      <c r="CI2522" s="31"/>
    </row>
    <row r="2523" spans="87:87">
      <c r="CI2523" s="31"/>
    </row>
    <row r="2524" spans="87:87">
      <c r="CI2524" s="31"/>
    </row>
    <row r="2525" spans="87:87">
      <c r="CI2525" s="31"/>
    </row>
    <row r="2526" spans="87:87">
      <c r="CI2526" s="31"/>
    </row>
    <row r="2527" spans="87:87">
      <c r="CI2527" s="31"/>
    </row>
    <row r="2528" spans="87:87">
      <c r="CI2528" s="31"/>
    </row>
    <row r="2529" spans="87:87">
      <c r="CI2529" s="31"/>
    </row>
    <row r="2530" spans="87:87">
      <c r="CI2530" s="31"/>
    </row>
    <row r="2531" spans="87:87">
      <c r="CI2531" s="31"/>
    </row>
    <row r="2532" spans="87:87">
      <c r="CI2532" s="31"/>
    </row>
    <row r="2533" spans="87:87">
      <c r="CI2533" s="31"/>
    </row>
    <row r="2534" spans="87:87">
      <c r="CI2534" s="31"/>
    </row>
    <row r="2535" spans="87:87">
      <c r="CI2535" s="31"/>
    </row>
    <row r="2536" spans="87:87">
      <c r="CI2536" s="31"/>
    </row>
    <row r="2537" spans="87:87">
      <c r="CI2537" s="31"/>
    </row>
    <row r="2538" spans="87:87">
      <c r="CI2538" s="31"/>
    </row>
    <row r="2539" spans="87:87">
      <c r="CI2539" s="31"/>
    </row>
    <row r="2540" spans="87:87">
      <c r="CI2540" s="31"/>
    </row>
    <row r="2541" spans="87:87">
      <c r="CI2541" s="31"/>
    </row>
    <row r="2542" spans="87:87">
      <c r="CI2542" s="31"/>
    </row>
    <row r="2543" spans="87:87">
      <c r="CI2543" s="31"/>
    </row>
    <row r="2544" spans="87:87">
      <c r="CI2544" s="31"/>
    </row>
    <row r="2545" spans="87:87">
      <c r="CI2545" s="31"/>
    </row>
    <row r="2546" spans="87:87">
      <c r="CI2546" s="31"/>
    </row>
    <row r="2547" spans="87:87">
      <c r="CI2547" s="31"/>
    </row>
    <row r="2548" spans="87:87">
      <c r="CI2548" s="31"/>
    </row>
    <row r="2549" spans="87:87">
      <c r="CI2549" s="31"/>
    </row>
    <row r="2550" spans="87:87">
      <c r="CI2550" s="31"/>
    </row>
    <row r="2551" spans="87:87">
      <c r="CI2551" s="31"/>
    </row>
    <row r="2552" spans="87:87">
      <c r="CI2552" s="31"/>
    </row>
    <row r="2553" spans="87:87">
      <c r="CI2553" s="31"/>
    </row>
    <row r="2554" spans="87:87">
      <c r="CI2554" s="31"/>
    </row>
    <row r="2555" spans="87:87">
      <c r="CI2555" s="31"/>
    </row>
    <row r="2556" spans="87:87">
      <c r="CI2556" s="31"/>
    </row>
    <row r="2557" spans="87:87">
      <c r="CI2557" s="31"/>
    </row>
    <row r="2558" spans="87:87">
      <c r="CI2558" s="31"/>
    </row>
    <row r="2559" spans="87:87">
      <c r="CI2559" s="31"/>
    </row>
    <row r="2560" spans="87:87">
      <c r="CI2560" s="31"/>
    </row>
    <row r="2561" spans="87:87">
      <c r="CI2561" s="31"/>
    </row>
    <row r="2562" spans="87:87">
      <c r="CI2562" s="31"/>
    </row>
    <row r="2563" spans="87:87">
      <c r="CI2563" s="31"/>
    </row>
    <row r="2564" spans="87:87">
      <c r="CI2564" s="31"/>
    </row>
    <row r="2565" spans="87:87">
      <c r="CI2565" s="31"/>
    </row>
    <row r="2566" spans="87:87">
      <c r="CI2566" s="31"/>
    </row>
    <row r="2567" spans="87:87">
      <c r="CI2567" s="31"/>
    </row>
    <row r="2568" spans="87:87">
      <c r="CI2568" s="31"/>
    </row>
    <row r="2569" spans="87:87">
      <c r="CI2569" s="31"/>
    </row>
    <row r="2570" spans="87:87">
      <c r="CI2570" s="31"/>
    </row>
    <row r="2571" spans="87:87">
      <c r="CI2571" s="31"/>
    </row>
    <row r="2572" spans="87:87">
      <c r="CI2572" s="31"/>
    </row>
    <row r="2573" spans="87:87">
      <c r="CI2573" s="31"/>
    </row>
    <row r="2574" spans="87:87">
      <c r="CI2574" s="31"/>
    </row>
    <row r="2575" spans="87:87">
      <c r="CI2575" s="31"/>
    </row>
    <row r="2576" spans="87:87">
      <c r="CI2576" s="31"/>
    </row>
    <row r="2577" spans="87:87">
      <c r="CI2577" s="31"/>
    </row>
    <row r="2578" spans="87:87">
      <c r="CI2578" s="31"/>
    </row>
    <row r="2579" spans="87:87">
      <c r="CI2579" s="31"/>
    </row>
    <row r="2580" spans="87:87">
      <c r="CI2580" s="31"/>
    </row>
    <row r="2581" spans="87:87">
      <c r="CI2581" s="31"/>
    </row>
    <row r="2582" spans="87:87">
      <c r="CI2582" s="31"/>
    </row>
    <row r="2583" spans="87:87">
      <c r="CI2583" s="31"/>
    </row>
    <row r="2584" spans="87:87">
      <c r="CI2584" s="31"/>
    </row>
    <row r="2585" spans="87:87">
      <c r="CI2585" s="31"/>
    </row>
    <row r="2586" spans="87:87">
      <c r="CI2586" s="31"/>
    </row>
    <row r="2587" spans="87:87">
      <c r="CI2587" s="31"/>
    </row>
    <row r="2588" spans="87:87">
      <c r="CI2588" s="31"/>
    </row>
    <row r="2589" spans="87:87">
      <c r="CI2589" s="31"/>
    </row>
    <row r="2590" spans="87:87">
      <c r="CI2590" s="31"/>
    </row>
    <row r="2591" spans="87:87">
      <c r="CI2591" s="31"/>
    </row>
    <row r="2592" spans="87:87">
      <c r="CI2592" s="31"/>
    </row>
    <row r="2593" spans="87:87">
      <c r="CI2593" s="31"/>
    </row>
    <row r="2594" spans="87:87">
      <c r="CI2594" s="31"/>
    </row>
    <row r="2595" spans="87:87">
      <c r="CI2595" s="31"/>
    </row>
    <row r="2596" spans="87:87">
      <c r="CI2596" s="31"/>
    </row>
    <row r="2597" spans="87:87">
      <c r="CI2597" s="31"/>
    </row>
    <row r="2598" spans="87:87">
      <c r="CI2598" s="31"/>
    </row>
    <row r="2599" spans="87:87">
      <c r="CI2599" s="31"/>
    </row>
    <row r="2600" spans="87:87">
      <c r="CI2600" s="31"/>
    </row>
    <row r="2601" spans="87:87">
      <c r="CI2601" s="31"/>
    </row>
    <row r="2602" spans="87:87">
      <c r="CI2602" s="31"/>
    </row>
    <row r="2603" spans="87:87">
      <c r="CI2603" s="31"/>
    </row>
    <row r="2604" spans="87:87">
      <c r="CI2604" s="31"/>
    </row>
    <row r="2605" spans="87:87">
      <c r="CI2605" s="31"/>
    </row>
    <row r="2606" spans="87:87">
      <c r="CI2606" s="31"/>
    </row>
    <row r="2607" spans="87:87">
      <c r="CI2607" s="31"/>
    </row>
    <row r="2608" spans="87:87">
      <c r="CI2608" s="31"/>
    </row>
    <row r="2609" spans="87:87">
      <c r="CI2609" s="31"/>
    </row>
    <row r="2610" spans="87:87">
      <c r="CI2610" s="31"/>
    </row>
    <row r="2611" spans="87:87">
      <c r="CI2611" s="31"/>
    </row>
    <row r="2612" spans="87:87">
      <c r="CI2612" s="31"/>
    </row>
    <row r="2613" spans="87:87">
      <c r="CI2613" s="31"/>
    </row>
    <row r="2614" spans="87:87">
      <c r="CI2614" s="31"/>
    </row>
    <row r="2615" spans="87:87">
      <c r="CI2615" s="31"/>
    </row>
    <row r="2616" spans="87:87">
      <c r="CI2616" s="31"/>
    </row>
    <row r="2617" spans="87:87">
      <c r="CI2617" s="31"/>
    </row>
    <row r="2618" spans="87:87">
      <c r="CI2618" s="31"/>
    </row>
    <row r="2619" spans="87:87">
      <c r="CI2619" s="31"/>
    </row>
    <row r="2620" spans="87:87">
      <c r="CI2620" s="31"/>
    </row>
    <row r="2621" spans="87:87">
      <c r="CI2621" s="31"/>
    </row>
    <row r="2622" spans="87:87">
      <c r="CI2622" s="31"/>
    </row>
    <row r="2623" spans="87:87">
      <c r="CI2623" s="31"/>
    </row>
    <row r="2624" spans="87:87">
      <c r="CI2624" s="31"/>
    </row>
    <row r="2625" spans="87:87">
      <c r="CI2625" s="31"/>
    </row>
    <row r="2626" spans="87:87">
      <c r="CI2626" s="31"/>
    </row>
    <row r="2627" spans="87:87">
      <c r="CI2627" s="31"/>
    </row>
    <row r="2628" spans="87:87">
      <c r="CI2628" s="31"/>
    </row>
    <row r="2629" spans="87:87">
      <c r="CI2629" s="31"/>
    </row>
    <row r="2630" spans="87:87">
      <c r="CI2630" s="31"/>
    </row>
    <row r="2631" spans="87:87">
      <c r="CI2631" s="31"/>
    </row>
    <row r="2632" spans="87:87">
      <c r="CI2632" s="31"/>
    </row>
    <row r="2633" spans="87:87">
      <c r="CI2633" s="31"/>
    </row>
    <row r="2634" spans="87:87">
      <c r="CI2634" s="31"/>
    </row>
    <row r="2635" spans="87:87">
      <c r="CI2635" s="31"/>
    </row>
    <row r="2636" spans="87:87">
      <c r="CI2636" s="31"/>
    </row>
    <row r="2637" spans="87:87">
      <c r="CI2637" s="31"/>
    </row>
    <row r="2638" spans="87:87">
      <c r="CI2638" s="31"/>
    </row>
    <row r="2639" spans="87:87">
      <c r="CI2639" s="31"/>
    </row>
    <row r="2640" spans="87:87">
      <c r="CI2640" s="31"/>
    </row>
    <row r="2641" spans="87:87">
      <c r="CI2641" s="31"/>
    </row>
    <row r="2642" spans="87:87">
      <c r="CI2642" s="31"/>
    </row>
    <row r="2643" spans="87:87">
      <c r="CI2643" s="31"/>
    </row>
    <row r="2644" spans="87:87">
      <c r="CI2644" s="31"/>
    </row>
    <row r="2645" spans="87:87">
      <c r="CI2645" s="31"/>
    </row>
    <row r="2646" spans="87:87">
      <c r="CI2646" s="31"/>
    </row>
    <row r="2647" spans="87:87">
      <c r="CI2647" s="31"/>
    </row>
    <row r="2648" spans="87:87">
      <c r="CI2648" s="31"/>
    </row>
    <row r="2649" spans="87:87">
      <c r="CI2649" s="31"/>
    </row>
    <row r="2650" spans="87:87">
      <c r="CI2650" s="31"/>
    </row>
    <row r="2651" spans="87:87">
      <c r="CI2651" s="31"/>
    </row>
    <row r="2652" spans="87:87">
      <c r="CI2652" s="31"/>
    </row>
    <row r="2653" spans="87:87">
      <c r="CI2653" s="31"/>
    </row>
    <row r="2654" spans="87:87">
      <c r="CI2654" s="31"/>
    </row>
    <row r="2655" spans="87:87">
      <c r="CI2655" s="31"/>
    </row>
    <row r="2656" spans="87:87">
      <c r="CI2656" s="31"/>
    </row>
    <row r="2657" spans="87:87">
      <c r="CI2657" s="31"/>
    </row>
    <row r="2658" spans="87:87">
      <c r="CI2658" s="31"/>
    </row>
    <row r="2659" spans="87:87">
      <c r="CI2659" s="31"/>
    </row>
    <row r="2660" spans="87:87">
      <c r="CI2660" s="31"/>
    </row>
    <row r="2661" spans="87:87">
      <c r="CI2661" s="31"/>
    </row>
    <row r="2662" spans="87:87">
      <c r="CI2662" s="31"/>
    </row>
    <row r="2663" spans="87:87">
      <c r="CI2663" s="31"/>
    </row>
    <row r="2664" spans="87:87">
      <c r="CI2664" s="31"/>
    </row>
    <row r="2665" spans="87:87">
      <c r="CI2665" s="31"/>
    </row>
    <row r="2666" spans="87:87">
      <c r="CI2666" s="31"/>
    </row>
    <row r="2667" spans="87:87">
      <c r="CI2667" s="31"/>
    </row>
    <row r="2668" spans="87:87">
      <c r="CI2668" s="31"/>
    </row>
    <row r="2669" spans="87:87">
      <c r="CI2669" s="31"/>
    </row>
    <row r="2670" spans="87:87">
      <c r="CI2670" s="31"/>
    </row>
    <row r="2671" spans="87:87">
      <c r="CI2671" s="31"/>
    </row>
    <row r="2672" spans="87:87">
      <c r="CI2672" s="31"/>
    </row>
    <row r="2673" spans="87:87">
      <c r="CI2673" s="31"/>
    </row>
    <row r="2674" spans="87:87">
      <c r="CI2674" s="31"/>
    </row>
    <row r="2675" spans="87:87">
      <c r="CI2675" s="31"/>
    </row>
    <row r="2676" spans="87:87">
      <c r="CI2676" s="31"/>
    </row>
    <row r="2677" spans="87:87">
      <c r="CI2677" s="31"/>
    </row>
    <row r="2678" spans="87:87">
      <c r="CI2678" s="31"/>
    </row>
    <row r="2679" spans="87:87">
      <c r="CI2679" s="31"/>
    </row>
    <row r="2680" spans="87:87">
      <c r="CI2680" s="31"/>
    </row>
    <row r="2681" spans="87:87">
      <c r="CI2681" s="31"/>
    </row>
    <row r="2682" spans="87:87">
      <c r="CI2682" s="31"/>
    </row>
    <row r="2683" spans="87:87">
      <c r="CI2683" s="31"/>
    </row>
    <row r="2684" spans="87:87">
      <c r="CI2684" s="31"/>
    </row>
    <row r="2685" spans="87:87">
      <c r="CI2685" s="31"/>
    </row>
    <row r="2686" spans="87:87">
      <c r="CI2686" s="31"/>
    </row>
    <row r="2687" spans="87:87">
      <c r="CI2687" s="31"/>
    </row>
    <row r="2688" spans="87:87">
      <c r="CI2688" s="31"/>
    </row>
    <row r="2689" spans="87:87">
      <c r="CI2689" s="31"/>
    </row>
    <row r="2690" spans="87:87">
      <c r="CI2690" s="31"/>
    </row>
    <row r="2691" spans="87:87">
      <c r="CI2691" s="31"/>
    </row>
    <row r="2692" spans="87:87">
      <c r="CI2692" s="31"/>
    </row>
    <row r="2693" spans="87:87">
      <c r="CI2693" s="31"/>
    </row>
    <row r="2694" spans="87:87">
      <c r="CI2694" s="31"/>
    </row>
    <row r="2695" spans="87:87">
      <c r="CI2695" s="31"/>
    </row>
    <row r="2696" spans="87:87">
      <c r="CI2696" s="31"/>
    </row>
    <row r="2697" spans="87:87">
      <c r="CI2697" s="31"/>
    </row>
    <row r="2698" spans="87:87">
      <c r="CI2698" s="31"/>
    </row>
    <row r="2699" spans="87:87">
      <c r="CI2699" s="31"/>
    </row>
    <row r="2700" spans="87:87">
      <c r="CI2700" s="31"/>
    </row>
    <row r="2701" spans="87:87">
      <c r="CI2701" s="31"/>
    </row>
    <row r="2702" spans="87:87">
      <c r="CI2702" s="31"/>
    </row>
    <row r="2703" spans="87:87">
      <c r="CI2703" s="31"/>
    </row>
    <row r="2704" spans="87:87">
      <c r="CI2704" s="31"/>
    </row>
    <row r="2705" spans="87:87">
      <c r="CI2705" s="31"/>
    </row>
    <row r="2706" spans="87:87">
      <c r="CI2706" s="31"/>
    </row>
    <row r="2707" spans="87:87">
      <c r="CI2707" s="31"/>
    </row>
    <row r="2708" spans="87:87">
      <c r="CI2708" s="31"/>
    </row>
    <row r="2709" spans="87:87">
      <c r="CI2709" s="31"/>
    </row>
    <row r="2710" spans="87:87">
      <c r="CI2710" s="31"/>
    </row>
    <row r="2711" spans="87:87">
      <c r="CI2711" s="31"/>
    </row>
    <row r="2712" spans="87:87">
      <c r="CI2712" s="31"/>
    </row>
    <row r="2713" spans="87:87">
      <c r="CI2713" s="31"/>
    </row>
    <row r="2714" spans="87:87">
      <c r="CI2714" s="31"/>
    </row>
    <row r="2715" spans="87:87">
      <c r="CI2715" s="31"/>
    </row>
    <row r="2716" spans="87:87">
      <c r="CI2716" s="31"/>
    </row>
    <row r="2717" spans="87:87">
      <c r="CI2717" s="31"/>
    </row>
    <row r="2718" spans="87:87">
      <c r="CI2718" s="31"/>
    </row>
    <row r="2719" spans="87:87">
      <c r="CI2719" s="31"/>
    </row>
    <row r="2720" spans="87:87">
      <c r="CI2720" s="31"/>
    </row>
    <row r="2721" spans="87:87">
      <c r="CI2721" s="31"/>
    </row>
    <row r="2722" spans="87:87">
      <c r="CI2722" s="31"/>
    </row>
    <row r="2723" spans="87:87">
      <c r="CI2723" s="31"/>
    </row>
    <row r="2724" spans="87:87">
      <c r="CI2724" s="31"/>
    </row>
    <row r="2725" spans="87:87">
      <c r="CI2725" s="31"/>
    </row>
    <row r="2726" spans="87:87">
      <c r="CI2726" s="31"/>
    </row>
    <row r="2727" spans="87:87">
      <c r="CI2727" s="31"/>
    </row>
    <row r="2728" spans="87:87">
      <c r="CI2728" s="31"/>
    </row>
    <row r="2729" spans="87:87">
      <c r="CI2729" s="31"/>
    </row>
    <row r="2730" spans="87:87">
      <c r="CI2730" s="31"/>
    </row>
    <row r="2731" spans="87:87">
      <c r="CI2731" s="31"/>
    </row>
    <row r="2732" spans="87:87">
      <c r="CI2732" s="31"/>
    </row>
    <row r="2733" spans="87:87">
      <c r="CI2733" s="31"/>
    </row>
    <row r="2734" spans="87:87">
      <c r="CI2734" s="31"/>
    </row>
    <row r="2735" spans="87:87">
      <c r="CI2735" s="31"/>
    </row>
    <row r="2736" spans="87:87">
      <c r="CI2736" s="31"/>
    </row>
    <row r="2737" spans="87:87">
      <c r="CI2737" s="31"/>
    </row>
    <row r="2738" spans="87:87">
      <c r="CI2738" s="31"/>
    </row>
    <row r="2739" spans="87:87">
      <c r="CI2739" s="31"/>
    </row>
    <row r="2740" spans="87:87">
      <c r="CI2740" s="31"/>
    </row>
    <row r="2741" spans="87:87">
      <c r="CI2741" s="31"/>
    </row>
    <row r="2742" spans="87:87">
      <c r="CI2742" s="31"/>
    </row>
    <row r="2743" spans="87:87">
      <c r="CI2743" s="31"/>
    </row>
    <row r="2744" spans="87:87">
      <c r="CI2744" s="31"/>
    </row>
    <row r="2745" spans="87:87">
      <c r="CI2745" s="31"/>
    </row>
    <row r="2746" spans="87:87">
      <c r="CI2746" s="31"/>
    </row>
    <row r="2747" spans="87:87">
      <c r="CI2747" s="31"/>
    </row>
    <row r="2748" spans="87:87">
      <c r="CI2748" s="31"/>
    </row>
    <row r="2749" spans="87:87">
      <c r="CI2749" s="31"/>
    </row>
    <row r="2750" spans="87:87">
      <c r="CI2750" s="31"/>
    </row>
    <row r="2751" spans="87:87">
      <c r="CI2751" s="31"/>
    </row>
    <row r="2752" spans="87:87">
      <c r="CI2752" s="31"/>
    </row>
    <row r="2753" spans="87:87">
      <c r="CI2753" s="31"/>
    </row>
    <row r="2754" spans="87:87">
      <c r="CI2754" s="31"/>
    </row>
    <row r="2755" spans="87:87">
      <c r="CI2755" s="31"/>
    </row>
    <row r="2756" spans="87:87">
      <c r="CI2756" s="31"/>
    </row>
    <row r="2757" spans="87:87">
      <c r="CI2757" s="31"/>
    </row>
    <row r="2758" spans="87:87">
      <c r="CI2758" s="31"/>
    </row>
    <row r="2759" spans="87:87">
      <c r="CI2759" s="31"/>
    </row>
    <row r="2760" spans="87:87">
      <c r="CI2760" s="31"/>
    </row>
    <row r="2761" spans="87:87">
      <c r="CI2761" s="31"/>
    </row>
    <row r="2762" spans="87:87">
      <c r="CI2762" s="31"/>
    </row>
    <row r="2763" spans="87:87">
      <c r="CI2763" s="31"/>
    </row>
    <row r="2764" spans="87:87">
      <c r="CI2764" s="31"/>
    </row>
    <row r="2765" spans="87:87">
      <c r="CI2765" s="31"/>
    </row>
    <row r="2766" spans="87:87">
      <c r="CI2766" s="31"/>
    </row>
    <row r="2767" spans="87:87">
      <c r="CI2767" s="31"/>
    </row>
    <row r="2768" spans="87:87">
      <c r="CI2768" s="31"/>
    </row>
    <row r="2769" spans="87:87">
      <c r="CI2769" s="31"/>
    </row>
    <row r="2770" spans="87:87">
      <c r="CI2770" s="31"/>
    </row>
    <row r="2771" spans="87:87">
      <c r="CI2771" s="31"/>
    </row>
    <row r="2772" spans="87:87">
      <c r="CI2772" s="31"/>
    </row>
    <row r="2773" spans="87:87">
      <c r="CI2773" s="31"/>
    </row>
    <row r="2774" spans="87:87">
      <c r="CI2774" s="31"/>
    </row>
    <row r="2775" spans="87:87">
      <c r="CI2775" s="31"/>
    </row>
    <row r="2776" spans="87:87">
      <c r="CI2776" s="31"/>
    </row>
    <row r="2777" spans="87:87">
      <c r="CI2777" s="31"/>
    </row>
    <row r="2778" spans="87:87">
      <c r="CI2778" s="31"/>
    </row>
    <row r="2779" spans="87:87">
      <c r="CI2779" s="31"/>
    </row>
    <row r="2780" spans="87:87">
      <c r="CI2780" s="31"/>
    </row>
    <row r="2781" spans="87:87">
      <c r="CI2781" s="31"/>
    </row>
    <row r="2782" spans="87:87">
      <c r="CI2782" s="31"/>
    </row>
    <row r="2783" spans="87:87">
      <c r="CI2783" s="31"/>
    </row>
    <row r="2784" spans="87:87">
      <c r="CI2784" s="31"/>
    </row>
    <row r="2785" spans="87:87">
      <c r="CI2785" s="31"/>
    </row>
    <row r="2786" spans="87:87">
      <c r="CI2786" s="31"/>
    </row>
    <row r="2787" spans="87:87">
      <c r="CI2787" s="31"/>
    </row>
    <row r="2788" spans="87:87">
      <c r="CI2788" s="31"/>
    </row>
    <row r="2789" spans="87:87">
      <c r="CI2789" s="31"/>
    </row>
    <row r="2790" spans="87:87">
      <c r="CI2790" s="31"/>
    </row>
    <row r="2791" spans="87:87">
      <c r="CI2791" s="31"/>
    </row>
    <row r="2792" spans="87:87">
      <c r="CI2792" s="31"/>
    </row>
    <row r="2793" spans="87:87">
      <c r="CI2793" s="31"/>
    </row>
    <row r="2794" spans="87:87">
      <c r="CI2794" s="31"/>
    </row>
    <row r="2795" spans="87:87">
      <c r="CI2795" s="31"/>
    </row>
    <row r="2796" spans="87:87">
      <c r="CI2796" s="31"/>
    </row>
    <row r="2797" spans="87:87">
      <c r="CI2797" s="31"/>
    </row>
    <row r="2798" spans="87:87">
      <c r="CI2798" s="31"/>
    </row>
    <row r="2799" spans="87:87">
      <c r="CI2799" s="31"/>
    </row>
    <row r="2800" spans="87:87">
      <c r="CI2800" s="31"/>
    </row>
    <row r="2801" spans="87:87">
      <c r="CI2801" s="31"/>
    </row>
    <row r="2802" spans="87:87">
      <c r="CI2802" s="31"/>
    </row>
    <row r="2803" spans="87:87">
      <c r="CI2803" s="31"/>
    </row>
    <row r="2804" spans="87:87">
      <c r="CI2804" s="31"/>
    </row>
    <row r="2805" spans="87:87">
      <c r="CI2805" s="31"/>
    </row>
    <row r="2806" spans="87:87">
      <c r="CI2806" s="31"/>
    </row>
    <row r="2807" spans="87:87">
      <c r="CI2807" s="31"/>
    </row>
    <row r="2808" spans="87:87">
      <c r="CI2808" s="31"/>
    </row>
    <row r="2809" spans="87:87">
      <c r="CI2809" s="31"/>
    </row>
    <row r="2810" spans="87:87">
      <c r="CI2810" s="31"/>
    </row>
    <row r="2811" spans="87:87">
      <c r="CI2811" s="31"/>
    </row>
    <row r="2812" spans="87:87">
      <c r="CI2812" s="31"/>
    </row>
    <row r="2813" spans="87:87">
      <c r="CI2813" s="31"/>
    </row>
    <row r="2814" spans="87:87">
      <c r="CI2814" s="31"/>
    </row>
    <row r="2815" spans="87:87">
      <c r="CI2815" s="31"/>
    </row>
    <row r="2816" spans="87:87">
      <c r="CI2816" s="31"/>
    </row>
    <row r="2817" spans="87:87">
      <c r="CI2817" s="31"/>
    </row>
    <row r="2818" spans="87:87">
      <c r="CI2818" s="31"/>
    </row>
    <row r="2819" spans="87:87">
      <c r="CI2819" s="31"/>
    </row>
    <row r="2820" spans="87:87">
      <c r="CI2820" s="31"/>
    </row>
    <row r="2821" spans="87:87">
      <c r="CI2821" s="31"/>
    </row>
    <row r="2822" spans="87:87">
      <c r="CI2822" s="31"/>
    </row>
    <row r="2823" spans="87:87">
      <c r="CI2823" s="31"/>
    </row>
    <row r="2824" spans="87:87">
      <c r="CI2824" s="31"/>
    </row>
    <row r="2825" spans="87:87">
      <c r="CI2825" s="31"/>
    </row>
    <row r="2826" spans="87:87">
      <c r="CI2826" s="31"/>
    </row>
    <row r="2827" spans="87:87">
      <c r="CI2827" s="31"/>
    </row>
    <row r="2828" spans="87:87">
      <c r="CI2828" s="31"/>
    </row>
    <row r="2829" spans="87:87">
      <c r="CI2829" s="31"/>
    </row>
    <row r="2830" spans="87:87">
      <c r="CI2830" s="31"/>
    </row>
    <row r="2831" spans="87:87">
      <c r="CI2831" s="31"/>
    </row>
    <row r="2832" spans="87:87">
      <c r="CI2832" s="31"/>
    </row>
    <row r="2833" spans="87:87">
      <c r="CI2833" s="31"/>
    </row>
    <row r="2834" spans="87:87">
      <c r="CI2834" s="31"/>
    </row>
    <row r="2835" spans="87:87">
      <c r="CI2835" s="31"/>
    </row>
    <row r="2836" spans="87:87">
      <c r="CI2836" s="31"/>
    </row>
    <row r="2837" spans="87:87">
      <c r="CI2837" s="31"/>
    </row>
    <row r="2838" spans="87:87">
      <c r="CI2838" s="31"/>
    </row>
    <row r="2839" spans="87:87">
      <c r="CI2839" s="31"/>
    </row>
    <row r="2840" spans="87:87">
      <c r="CI2840" s="31"/>
    </row>
    <row r="2841" spans="87:87">
      <c r="CI2841" s="31"/>
    </row>
    <row r="2842" spans="87:87">
      <c r="CI2842" s="31"/>
    </row>
    <row r="2843" spans="87:87">
      <c r="CI2843" s="31"/>
    </row>
    <row r="2844" spans="87:87">
      <c r="CI2844" s="31"/>
    </row>
    <row r="2845" spans="87:87">
      <c r="CI2845" s="31"/>
    </row>
    <row r="2846" spans="87:87">
      <c r="CI2846" s="31"/>
    </row>
    <row r="2847" spans="87:87">
      <c r="CI2847" s="31"/>
    </row>
    <row r="2848" spans="87:87">
      <c r="CI2848" s="31"/>
    </row>
    <row r="2849" spans="87:87">
      <c r="CI2849" s="31"/>
    </row>
    <row r="2850" spans="87:87">
      <c r="CI2850" s="31"/>
    </row>
    <row r="2851" spans="87:87">
      <c r="CI2851" s="31"/>
    </row>
    <row r="2852" spans="87:87">
      <c r="CI2852" s="31"/>
    </row>
    <row r="2853" spans="87:87">
      <c r="CI2853" s="31"/>
    </row>
    <row r="2854" spans="87:87">
      <c r="CI2854" s="31"/>
    </row>
    <row r="2855" spans="87:87">
      <c r="CI2855" s="31"/>
    </row>
    <row r="2856" spans="87:87">
      <c r="CI2856" s="31"/>
    </row>
    <row r="2857" spans="87:87">
      <c r="CI2857" s="31"/>
    </row>
    <row r="2858" spans="87:87">
      <c r="CI2858" s="31"/>
    </row>
    <row r="2859" spans="87:87">
      <c r="CI2859" s="31"/>
    </row>
    <row r="2860" spans="87:87">
      <c r="CI2860" s="31"/>
    </row>
    <row r="2861" spans="87:87">
      <c r="CI2861" s="31"/>
    </row>
    <row r="2862" spans="87:87">
      <c r="CI2862" s="31"/>
    </row>
    <row r="2863" spans="87:87">
      <c r="CI2863" s="31"/>
    </row>
    <row r="2864" spans="87:87">
      <c r="CI2864" s="31"/>
    </row>
    <row r="2865" spans="87:87">
      <c r="CI2865" s="31"/>
    </row>
    <row r="2866" spans="87:87">
      <c r="CI2866" s="31"/>
    </row>
    <row r="2867" spans="87:87">
      <c r="CI2867" s="31"/>
    </row>
    <row r="2868" spans="87:87">
      <c r="CI2868" s="31"/>
    </row>
    <row r="2869" spans="87:87">
      <c r="CI2869" s="31"/>
    </row>
    <row r="2870" spans="87:87">
      <c r="CI2870" s="31"/>
    </row>
    <row r="2871" spans="87:87">
      <c r="CI2871" s="31"/>
    </row>
    <row r="2872" spans="87:87">
      <c r="CI2872" s="31"/>
    </row>
    <row r="2873" spans="87:87">
      <c r="CI2873" s="31"/>
    </row>
    <row r="2874" spans="87:87">
      <c r="CI2874" s="31"/>
    </row>
    <row r="2875" spans="87:87">
      <c r="CI2875" s="31"/>
    </row>
    <row r="2876" spans="87:87">
      <c r="CI2876" s="31"/>
    </row>
    <row r="2877" spans="87:87">
      <c r="CI2877" s="31"/>
    </row>
    <row r="2878" spans="87:87">
      <c r="CI2878" s="31"/>
    </row>
    <row r="2879" spans="87:87">
      <c r="CI2879" s="31"/>
    </row>
    <row r="2880" spans="87:87">
      <c r="CI2880" s="31"/>
    </row>
    <row r="2881" spans="87:87">
      <c r="CI2881" s="31"/>
    </row>
    <row r="2882" spans="87:87">
      <c r="CI2882" s="31"/>
    </row>
    <row r="2883" spans="87:87">
      <c r="CI2883" s="31"/>
    </row>
    <row r="2884" spans="87:87">
      <c r="CI2884" s="31"/>
    </row>
    <row r="2885" spans="87:87">
      <c r="CI2885" s="31"/>
    </row>
    <row r="2886" spans="87:87">
      <c r="CI2886" s="31"/>
    </row>
    <row r="2887" spans="87:87">
      <c r="CI2887" s="31"/>
    </row>
    <row r="2888" spans="87:87">
      <c r="CI2888" s="31"/>
    </row>
    <row r="2889" spans="87:87">
      <c r="CI2889" s="31"/>
    </row>
    <row r="2890" spans="87:87">
      <c r="CI2890" s="31"/>
    </row>
    <row r="2891" spans="87:87">
      <c r="CI2891" s="31"/>
    </row>
    <row r="2892" spans="87:87">
      <c r="CI2892" s="31"/>
    </row>
    <row r="2893" spans="87:87">
      <c r="CI2893" s="31"/>
    </row>
    <row r="2894" spans="87:87">
      <c r="CI2894" s="31"/>
    </row>
    <row r="2895" spans="87:87">
      <c r="CI2895" s="31"/>
    </row>
    <row r="2896" spans="87:87">
      <c r="CI2896" s="31"/>
    </row>
    <row r="2897" spans="87:87">
      <c r="CI2897" s="31"/>
    </row>
    <row r="2898" spans="87:87">
      <c r="CI2898" s="31"/>
    </row>
    <row r="2899" spans="87:87">
      <c r="CI2899" s="31"/>
    </row>
    <row r="2900" spans="87:87">
      <c r="CI2900" s="31"/>
    </row>
    <row r="2901" spans="87:87">
      <c r="CI2901" s="31"/>
    </row>
    <row r="2902" spans="87:87">
      <c r="CI2902" s="31"/>
    </row>
    <row r="2903" spans="87:87">
      <c r="CI2903" s="31"/>
    </row>
    <row r="2904" spans="87:87">
      <c r="CI2904" s="31"/>
    </row>
    <row r="2905" spans="87:87">
      <c r="CI2905" s="31"/>
    </row>
    <row r="2906" spans="87:87">
      <c r="CI2906" s="31"/>
    </row>
    <row r="2907" spans="87:87">
      <c r="CI2907" s="31"/>
    </row>
    <row r="2908" spans="87:87">
      <c r="CI2908" s="31"/>
    </row>
    <row r="2909" spans="87:87">
      <c r="CI2909" s="31"/>
    </row>
    <row r="2910" spans="87:87">
      <c r="CI2910" s="31"/>
    </row>
    <row r="2911" spans="87:87">
      <c r="CI2911" s="31"/>
    </row>
    <row r="2912" spans="87:87">
      <c r="CI2912" s="31"/>
    </row>
    <row r="2913" spans="87:87">
      <c r="CI2913" s="31"/>
    </row>
    <row r="2914" spans="87:87">
      <c r="CI2914" s="31"/>
    </row>
    <row r="2915" spans="87:87">
      <c r="CI2915" s="31"/>
    </row>
    <row r="2916" spans="87:87">
      <c r="CI2916" s="31"/>
    </row>
    <row r="2917" spans="87:87">
      <c r="CI2917" s="31"/>
    </row>
    <row r="2918" spans="87:87">
      <c r="CI2918" s="31"/>
    </row>
    <row r="2919" spans="87:87">
      <c r="CI2919" s="31"/>
    </row>
    <row r="2920" spans="87:87">
      <c r="CI2920" s="31"/>
    </row>
    <row r="2921" spans="87:87">
      <c r="CI2921" s="31"/>
    </row>
    <row r="2922" spans="87:87">
      <c r="CI2922" s="31"/>
    </row>
    <row r="2923" spans="87:87">
      <c r="CI2923" s="31"/>
    </row>
    <row r="2924" spans="87:87">
      <c r="CI2924" s="31"/>
    </row>
    <row r="2925" spans="87:87">
      <c r="CI2925" s="31"/>
    </row>
    <row r="2926" spans="87:87">
      <c r="CI2926" s="31"/>
    </row>
    <row r="2927" spans="87:87">
      <c r="CI2927" s="31"/>
    </row>
    <row r="2928" spans="87:87">
      <c r="CI2928" s="31"/>
    </row>
    <row r="2929" spans="87:87">
      <c r="CI2929" s="31"/>
    </row>
    <row r="2930" spans="87:87">
      <c r="CI2930" s="31"/>
    </row>
    <row r="2931" spans="87:87">
      <c r="CI2931" s="31"/>
    </row>
    <row r="2932" spans="87:87">
      <c r="CI2932" s="31"/>
    </row>
    <row r="2933" spans="87:87">
      <c r="CI2933" s="31"/>
    </row>
    <row r="2934" spans="87:87">
      <c r="CI2934" s="31"/>
    </row>
    <row r="2935" spans="87:87">
      <c r="CI2935" s="31"/>
    </row>
    <row r="2936" spans="87:87">
      <c r="CI2936" s="31"/>
    </row>
    <row r="2937" spans="87:87">
      <c r="CI2937" s="31"/>
    </row>
    <row r="2938" spans="87:87">
      <c r="CI2938" s="31"/>
    </row>
    <row r="2939" spans="87:87">
      <c r="CI2939" s="31"/>
    </row>
    <row r="2940" spans="87:87">
      <c r="CI2940" s="31"/>
    </row>
    <row r="2941" spans="87:87">
      <c r="CI2941" s="31"/>
    </row>
    <row r="2942" spans="87:87">
      <c r="CI2942" s="31"/>
    </row>
    <row r="2943" spans="87:87">
      <c r="CI2943" s="31"/>
    </row>
    <row r="2944" spans="87:87">
      <c r="CI2944" s="31"/>
    </row>
    <row r="2945" spans="87:87">
      <c r="CI2945" s="31"/>
    </row>
    <row r="2946" spans="87:87">
      <c r="CI2946" s="31"/>
    </row>
    <row r="2947" spans="87:87">
      <c r="CI2947" s="31"/>
    </row>
    <row r="2948" spans="87:87">
      <c r="CI2948" s="31"/>
    </row>
    <row r="2949" spans="87:87">
      <c r="CI2949" s="31"/>
    </row>
    <row r="2950" spans="87:87">
      <c r="CI2950" s="31"/>
    </row>
    <row r="2951" spans="87:87">
      <c r="CI2951" s="31"/>
    </row>
    <row r="2952" spans="87:87">
      <c r="CI2952" s="31"/>
    </row>
    <row r="2953" spans="87:87">
      <c r="CI2953" s="31"/>
    </row>
    <row r="2954" spans="87:87">
      <c r="CI2954" s="31"/>
    </row>
    <row r="2955" spans="87:87">
      <c r="CI2955" s="31"/>
    </row>
    <row r="2956" spans="87:87">
      <c r="CI2956" s="31"/>
    </row>
    <row r="2957" spans="87:87">
      <c r="CI2957" s="31"/>
    </row>
    <row r="2958" spans="87:87">
      <c r="CI2958" s="31"/>
    </row>
    <row r="2959" spans="87:87">
      <c r="CI2959" s="31"/>
    </row>
    <row r="2960" spans="87:87">
      <c r="CI2960" s="31"/>
    </row>
    <row r="2961" spans="87:87">
      <c r="CI2961" s="31"/>
    </row>
    <row r="2962" spans="87:87">
      <c r="CI2962" s="31"/>
    </row>
    <row r="2963" spans="87:87">
      <c r="CI2963" s="31"/>
    </row>
    <row r="2964" spans="87:87">
      <c r="CI2964" s="31"/>
    </row>
    <row r="2965" spans="87:87">
      <c r="CI2965" s="31"/>
    </row>
    <row r="2966" spans="87:87">
      <c r="CI2966" s="31"/>
    </row>
    <row r="2967" spans="87:87">
      <c r="CI2967" s="31"/>
    </row>
    <row r="2968" spans="87:87">
      <c r="CI2968" s="31"/>
    </row>
    <row r="2969" spans="87:87">
      <c r="CI2969" s="31"/>
    </row>
    <row r="2970" spans="87:87">
      <c r="CI2970" s="31"/>
    </row>
    <row r="2971" spans="87:87">
      <c r="CI2971" s="31"/>
    </row>
    <row r="2972" spans="87:87">
      <c r="CI2972" s="31"/>
    </row>
    <row r="2973" spans="87:87">
      <c r="CI2973" s="31"/>
    </row>
    <row r="2974" spans="87:87">
      <c r="CI2974" s="31"/>
    </row>
    <row r="2975" spans="87:87">
      <c r="CI2975" s="31"/>
    </row>
    <row r="2976" spans="87:87">
      <c r="CI2976" s="31"/>
    </row>
    <row r="2977" spans="87:87">
      <c r="CI2977" s="31"/>
    </row>
    <row r="2978" spans="87:87">
      <c r="CI2978" s="31"/>
    </row>
    <row r="2979" spans="87:87">
      <c r="CI2979" s="31"/>
    </row>
    <row r="2980" spans="87:87">
      <c r="CI2980" s="31"/>
    </row>
    <row r="2981" spans="87:87">
      <c r="CI2981" s="31"/>
    </row>
    <row r="2982" spans="87:87">
      <c r="CI2982" s="31"/>
    </row>
    <row r="2983" spans="87:87">
      <c r="CI2983" s="31"/>
    </row>
    <row r="2984" spans="87:87">
      <c r="CI2984" s="31"/>
    </row>
    <row r="2985" spans="87:87">
      <c r="CI2985" s="31"/>
    </row>
    <row r="2986" spans="87:87">
      <c r="CI2986" s="31"/>
    </row>
    <row r="2987" spans="87:87">
      <c r="CI2987" s="31"/>
    </row>
    <row r="2988" spans="87:87">
      <c r="CI2988" s="31"/>
    </row>
    <row r="2989" spans="87:87">
      <c r="CI2989" s="31"/>
    </row>
    <row r="2990" spans="87:87">
      <c r="CI2990" s="31"/>
    </row>
    <row r="2991" spans="87:87">
      <c r="CI2991" s="31"/>
    </row>
    <row r="2992" spans="87:87">
      <c r="CI2992" s="31"/>
    </row>
    <row r="2993" spans="87:87">
      <c r="CI2993" s="31"/>
    </row>
    <row r="2994" spans="87:87">
      <c r="CI2994" s="31"/>
    </row>
    <row r="2995" spans="87:87">
      <c r="CI2995" s="31"/>
    </row>
    <row r="2996" spans="87:87">
      <c r="CI2996" s="31"/>
    </row>
    <row r="2997" spans="87:87">
      <c r="CI2997" s="31"/>
    </row>
    <row r="2998" spans="87:87">
      <c r="CI2998" s="31"/>
    </row>
    <row r="2999" spans="87:87">
      <c r="CI2999" s="31"/>
    </row>
    <row r="3000" spans="87:87">
      <c r="CI3000" s="31"/>
    </row>
    <row r="3001" spans="87:87">
      <c r="CI3001" s="31"/>
    </row>
    <row r="3002" spans="87:87">
      <c r="CI3002" s="31"/>
    </row>
    <row r="3003" spans="87:87">
      <c r="CI3003" s="31"/>
    </row>
    <row r="3004" spans="87:87">
      <c r="CI3004" s="31"/>
    </row>
    <row r="3005" spans="87:87">
      <c r="CI3005" s="31"/>
    </row>
    <row r="3006" spans="87:87">
      <c r="CI3006" s="31"/>
    </row>
    <row r="3007" spans="87:87">
      <c r="CI3007" s="31"/>
    </row>
    <row r="3008" spans="87:87">
      <c r="CI3008" s="31"/>
    </row>
    <row r="3009" spans="87:87">
      <c r="CI3009" s="31"/>
    </row>
    <row r="3010" spans="87:87">
      <c r="CI3010" s="31"/>
    </row>
    <row r="3011" spans="87:87">
      <c r="CI3011" s="31"/>
    </row>
  </sheetData>
  <phoneticPr fontId="2" type="noConversion"/>
  <pageMargins left="0.78740157499999996" right="0.78740157499999996" top="0.984251969" bottom="0.984251969" header="0.5" footer="0.5"/>
  <pageSetup paperSize="9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indexed="22"/>
  </sheetPr>
  <dimension ref="A1:CI3011"/>
  <sheetViews>
    <sheetView topLeftCell="U4" workbookViewId="0">
      <selection activeCell="AO4" sqref="AO4:AR41"/>
    </sheetView>
  </sheetViews>
  <sheetFormatPr baseColWidth="10" defaultRowHeight="13"/>
  <cols>
    <col min="1" max="1" width="5" customWidth="1"/>
    <col min="2" max="2" width="15.33203125" customWidth="1"/>
    <col min="3" max="4" width="13.6640625" bestFit="1" customWidth="1"/>
    <col min="5" max="5" width="11" bestFit="1" customWidth="1"/>
    <col min="6" max="82" width="8.83203125" customWidth="1"/>
    <col min="85" max="86" width="8.83203125" customWidth="1"/>
    <col min="87" max="87" width="9.5" bestFit="1" customWidth="1"/>
    <col min="88" max="251" width="8.83203125" customWidth="1"/>
  </cols>
  <sheetData>
    <row r="1" spans="1:87" ht="15.75" customHeight="1">
      <c r="A1" t="s">
        <v>679</v>
      </c>
    </row>
    <row r="2" spans="1:87" ht="15.75" customHeight="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  <c r="BJ2">
        <v>61</v>
      </c>
      <c r="BK2">
        <v>62</v>
      </c>
      <c r="BL2">
        <v>63</v>
      </c>
      <c r="BM2">
        <v>64</v>
      </c>
      <c r="BN2">
        <v>65</v>
      </c>
      <c r="BO2">
        <v>66</v>
      </c>
      <c r="BP2">
        <v>67</v>
      </c>
      <c r="BQ2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>
        <v>77</v>
      </c>
      <c r="CA2">
        <v>78</v>
      </c>
      <c r="CB2">
        <v>79</v>
      </c>
      <c r="CC2">
        <v>80</v>
      </c>
      <c r="CD2">
        <v>81</v>
      </c>
      <c r="CE2">
        <v>82</v>
      </c>
      <c r="CF2">
        <v>83</v>
      </c>
      <c r="CG2">
        <v>84</v>
      </c>
      <c r="CH2">
        <v>85</v>
      </c>
      <c r="CI2" t="s">
        <v>180</v>
      </c>
    </row>
    <row r="3" spans="1:87" ht="15.75" customHeight="1"/>
    <row r="4" spans="1:87" ht="15.75" customHeight="1">
      <c r="A4">
        <v>1</v>
      </c>
      <c r="CI4" s="31">
        <f>SUM(B4:CH4)</f>
        <v>0</v>
      </c>
    </row>
    <row r="5" spans="1:87" ht="15.75" customHeight="1">
      <c r="A5">
        <v>2</v>
      </c>
      <c r="CI5" s="31">
        <f t="shared" ref="CI5:CI68" si="0">SUM(B5:CH5)</f>
        <v>0</v>
      </c>
    </row>
    <row r="6" spans="1:87" ht="15.75" customHeight="1">
      <c r="A6">
        <v>3</v>
      </c>
      <c r="C6">
        <v>1.5854744242679673</v>
      </c>
      <c r="CI6" s="31">
        <f t="shared" si="0"/>
        <v>1.5854744242679673</v>
      </c>
    </row>
    <row r="7" spans="1:87" ht="15.75" customHeight="1">
      <c r="A7">
        <v>4</v>
      </c>
      <c r="CI7" s="31">
        <f t="shared" si="0"/>
        <v>0</v>
      </c>
    </row>
    <row r="8" spans="1:87" ht="15.75" customHeight="1">
      <c r="A8">
        <v>5</v>
      </c>
      <c r="E8">
        <v>1.8962738299855435</v>
      </c>
      <c r="CI8" s="31">
        <f t="shared" si="0"/>
        <v>1.8962738299855435</v>
      </c>
    </row>
    <row r="9" spans="1:87" ht="15.75" customHeight="1">
      <c r="A9">
        <v>6</v>
      </c>
      <c r="CI9" s="31">
        <f t="shared" si="0"/>
        <v>0</v>
      </c>
    </row>
    <row r="10" spans="1:87" ht="15.75" customHeight="1">
      <c r="A10">
        <v>7</v>
      </c>
      <c r="G10">
        <v>0.68881424619528175</v>
      </c>
      <c r="CI10" s="31">
        <f t="shared" si="0"/>
        <v>0.68881424619528175</v>
      </c>
    </row>
    <row r="11" spans="1:87" ht="15.75" customHeight="1">
      <c r="A11">
        <v>8</v>
      </c>
      <c r="CI11" s="31">
        <f t="shared" si="0"/>
        <v>0</v>
      </c>
    </row>
    <row r="12" spans="1:87" ht="15.75" customHeight="1">
      <c r="A12">
        <v>9</v>
      </c>
      <c r="CI12" s="31">
        <f t="shared" si="0"/>
        <v>0</v>
      </c>
    </row>
    <row r="13" spans="1:87" ht="15.75" customHeight="1">
      <c r="A13">
        <v>10</v>
      </c>
      <c r="J13">
        <v>9.9693021275231448</v>
      </c>
      <c r="CI13" s="31">
        <f t="shared" si="0"/>
        <v>9.9693021275231448</v>
      </c>
    </row>
    <row r="14" spans="1:87" ht="15.75" customHeight="1">
      <c r="A14">
        <v>11</v>
      </c>
      <c r="CI14" s="31">
        <f t="shared" si="0"/>
        <v>0</v>
      </c>
    </row>
    <row r="15" spans="1:87" ht="15.75" customHeight="1">
      <c r="A15">
        <v>12</v>
      </c>
      <c r="L15">
        <v>5.2946988598321481</v>
      </c>
      <c r="CI15" s="31">
        <f t="shared" si="0"/>
        <v>5.2946988598321481</v>
      </c>
    </row>
    <row r="16" spans="1:87" ht="15.75" customHeight="1">
      <c r="A16">
        <v>13</v>
      </c>
      <c r="L16">
        <v>5.1956670900642354</v>
      </c>
      <c r="M16">
        <v>14.457217582591385</v>
      </c>
      <c r="CI16" s="31">
        <f t="shared" si="0"/>
        <v>19.65288467265562</v>
      </c>
    </row>
    <row r="17" spans="1:87" ht="15.75" customHeight="1">
      <c r="A17">
        <v>14</v>
      </c>
      <c r="C17">
        <v>1.3775670667963762</v>
      </c>
      <c r="D17">
        <v>0.41513311621637999</v>
      </c>
      <c r="E17">
        <v>1.647610543463683</v>
      </c>
      <c r="F17">
        <v>6.2007558373108393</v>
      </c>
      <c r="G17">
        <v>0.59848825447745979</v>
      </c>
      <c r="H17">
        <v>13.014480287874054</v>
      </c>
      <c r="I17">
        <v>7.1476788115419794</v>
      </c>
      <c r="J17">
        <v>8.6620017829425411</v>
      </c>
      <c r="K17">
        <v>10.248341777072179</v>
      </c>
      <c r="L17">
        <v>4.5143458410657749</v>
      </c>
      <c r="M17">
        <v>12.561405289450047</v>
      </c>
      <c r="N17">
        <v>5.6926543393123703</v>
      </c>
      <c r="CI17" s="31">
        <f t="shared" si="0"/>
        <v>72.080462947523685</v>
      </c>
    </row>
    <row r="18" spans="1:87" ht="15.75" customHeight="1">
      <c r="A18">
        <v>15</v>
      </c>
      <c r="CE18">
        <v>3.1614054120727788</v>
      </c>
      <c r="CI18" s="31">
        <f t="shared" si="0"/>
        <v>3.1614054120727788</v>
      </c>
    </row>
    <row r="19" spans="1:87" ht="15.75" customHeight="1">
      <c r="A19">
        <v>16</v>
      </c>
      <c r="CI19" s="31">
        <f t="shared" si="0"/>
        <v>0</v>
      </c>
    </row>
    <row r="20" spans="1:87" ht="15.75" customHeight="1">
      <c r="A20">
        <v>17</v>
      </c>
      <c r="CH20">
        <v>0.34005137518112227</v>
      </c>
      <c r="CI20" s="31">
        <f t="shared" si="0"/>
        <v>0.34005137518112227</v>
      </c>
    </row>
    <row r="21" spans="1:87" ht="15.75" customHeight="1">
      <c r="A21">
        <v>18</v>
      </c>
      <c r="R21">
        <v>1.6213129630162288</v>
      </c>
      <c r="T21">
        <v>2.7948093262201863</v>
      </c>
      <c r="CF21">
        <v>0.85636755050203994</v>
      </c>
      <c r="CG21">
        <v>0.33799589133328745</v>
      </c>
      <c r="CH21">
        <v>0.33224802769930806</v>
      </c>
      <c r="CI21" s="31">
        <f t="shared" si="0"/>
        <v>5.94273375877105</v>
      </c>
    </row>
    <row r="22" spans="1:87" ht="15.75" customHeight="1">
      <c r="A22">
        <v>19</v>
      </c>
      <c r="CF22">
        <v>0.87648063774891238</v>
      </c>
      <c r="CI22" s="31">
        <f t="shared" si="0"/>
        <v>0.87648063774891238</v>
      </c>
    </row>
    <row r="23" spans="1:87" ht="15.75" customHeight="1">
      <c r="A23">
        <v>20</v>
      </c>
      <c r="CI23" s="31">
        <f t="shared" si="0"/>
        <v>0</v>
      </c>
    </row>
    <row r="24" spans="1:87" ht="15.75" customHeight="1">
      <c r="A24">
        <v>21</v>
      </c>
      <c r="U24">
        <v>18.450874130070545</v>
      </c>
      <c r="CI24" s="31">
        <f t="shared" si="0"/>
        <v>18.450874130070545</v>
      </c>
    </row>
    <row r="25" spans="1:87">
      <c r="A25">
        <v>22</v>
      </c>
      <c r="CI25" s="31">
        <f t="shared" si="0"/>
        <v>0</v>
      </c>
    </row>
    <row r="26" spans="1:87">
      <c r="A26">
        <v>23</v>
      </c>
      <c r="W26">
        <v>13.314786101729696</v>
      </c>
      <c r="CI26" s="31">
        <f t="shared" si="0"/>
        <v>13.314786101729696</v>
      </c>
    </row>
    <row r="27" spans="1:87">
      <c r="A27">
        <v>24</v>
      </c>
      <c r="CI27" s="31">
        <f t="shared" si="0"/>
        <v>0</v>
      </c>
    </row>
    <row r="28" spans="1:87">
      <c r="A28">
        <v>25</v>
      </c>
      <c r="CI28" s="31">
        <f t="shared" si="0"/>
        <v>0</v>
      </c>
    </row>
    <row r="29" spans="1:87">
      <c r="A29">
        <v>26</v>
      </c>
      <c r="CI29" s="31">
        <f t="shared" si="0"/>
        <v>0</v>
      </c>
    </row>
    <row r="30" spans="1:87">
      <c r="A30">
        <v>27</v>
      </c>
      <c r="CI30" s="31">
        <f t="shared" si="0"/>
        <v>0</v>
      </c>
    </row>
    <row r="31" spans="1:87">
      <c r="A31">
        <v>28</v>
      </c>
      <c r="CI31" s="31">
        <f t="shared" si="0"/>
        <v>0</v>
      </c>
    </row>
    <row r="32" spans="1:87">
      <c r="A32">
        <v>29</v>
      </c>
      <c r="CI32" s="31">
        <f t="shared" si="0"/>
        <v>0</v>
      </c>
    </row>
    <row r="33" spans="1:87">
      <c r="A33">
        <v>30</v>
      </c>
      <c r="CI33" s="31">
        <f t="shared" si="0"/>
        <v>0</v>
      </c>
    </row>
    <row r="34" spans="1:87">
      <c r="A34">
        <v>31</v>
      </c>
      <c r="CI34" s="31">
        <f t="shared" si="0"/>
        <v>0</v>
      </c>
    </row>
    <row r="35" spans="1:87">
      <c r="A35">
        <v>32</v>
      </c>
      <c r="AE35">
        <v>1.9889254595168224</v>
      </c>
      <c r="AF35">
        <v>5.0851642405003403</v>
      </c>
      <c r="CI35" s="31">
        <f t="shared" si="0"/>
        <v>7.0740897000171632</v>
      </c>
    </row>
    <row r="36" spans="1:87">
      <c r="A36">
        <v>33</v>
      </c>
      <c r="AD36">
        <v>0.66870906629849769</v>
      </c>
      <c r="CI36" s="31">
        <f t="shared" si="0"/>
        <v>0.66870906629849769</v>
      </c>
    </row>
    <row r="37" spans="1:87">
      <c r="A37">
        <v>34</v>
      </c>
      <c r="AD37">
        <v>0.66356664347638983</v>
      </c>
      <c r="AE37">
        <v>1.9736304737151418</v>
      </c>
      <c r="AF37">
        <v>5.0460589464906986</v>
      </c>
      <c r="AG37">
        <v>5.4025976504836226</v>
      </c>
      <c r="AH37">
        <v>4.0886473198284881</v>
      </c>
      <c r="CI37" s="31">
        <f t="shared" si="0"/>
        <v>17.174501033994343</v>
      </c>
    </row>
    <row r="38" spans="1:87">
      <c r="A38">
        <v>35</v>
      </c>
      <c r="CI38" s="31">
        <f t="shared" si="0"/>
        <v>0</v>
      </c>
    </row>
    <row r="39" spans="1:87">
      <c r="A39">
        <v>36</v>
      </c>
      <c r="AJ39">
        <v>2.7003887403754203</v>
      </c>
      <c r="CI39" s="31">
        <f t="shared" si="0"/>
        <v>2.7003887403754203</v>
      </c>
    </row>
    <row r="40" spans="1:87">
      <c r="A40">
        <v>37</v>
      </c>
      <c r="CI40" s="31">
        <f t="shared" si="0"/>
        <v>0</v>
      </c>
    </row>
    <row r="41" spans="1:87">
      <c r="A41">
        <v>38</v>
      </c>
      <c r="AL41">
        <v>11.077200979180489</v>
      </c>
      <c r="CI41" s="31">
        <f t="shared" si="0"/>
        <v>11.077200979180489</v>
      </c>
    </row>
    <row r="42" spans="1:87">
      <c r="A42">
        <v>39</v>
      </c>
      <c r="CI42" s="31">
        <f t="shared" si="0"/>
        <v>0</v>
      </c>
    </row>
    <row r="43" spans="1:87">
      <c r="A43">
        <v>40</v>
      </c>
      <c r="CI43" s="31">
        <f t="shared" si="0"/>
        <v>0</v>
      </c>
    </row>
    <row r="44" spans="1:87">
      <c r="A44">
        <v>41</v>
      </c>
      <c r="CI44" s="31">
        <f t="shared" si="0"/>
        <v>0</v>
      </c>
    </row>
    <row r="45" spans="1:87">
      <c r="A45">
        <v>42</v>
      </c>
      <c r="AP45">
        <v>3.7791165673422165</v>
      </c>
      <c r="CI45" s="31">
        <f t="shared" si="0"/>
        <v>3.7791165673422165</v>
      </c>
    </row>
    <row r="46" spans="1:87">
      <c r="A46">
        <v>43</v>
      </c>
      <c r="AP46">
        <v>3.6728888962448343</v>
      </c>
      <c r="AQ46">
        <v>5.2391970634006073</v>
      </c>
      <c r="CI46" s="31">
        <f t="shared" si="0"/>
        <v>8.9120859596454416</v>
      </c>
    </row>
    <row r="47" spans="1:87">
      <c r="A47">
        <v>44</v>
      </c>
      <c r="CI47" s="31">
        <f t="shared" si="0"/>
        <v>0</v>
      </c>
    </row>
    <row r="48" spans="1:87">
      <c r="A48">
        <v>45</v>
      </c>
      <c r="CI48" s="31">
        <f t="shared" si="0"/>
        <v>0</v>
      </c>
    </row>
    <row r="49" spans="1:87">
      <c r="A49">
        <v>46</v>
      </c>
      <c r="CI49" s="31">
        <f t="shared" si="0"/>
        <v>0</v>
      </c>
    </row>
    <row r="50" spans="1:87">
      <c r="A50">
        <v>47</v>
      </c>
      <c r="CI50" s="31">
        <f t="shared" si="0"/>
        <v>0</v>
      </c>
    </row>
    <row r="51" spans="1:87">
      <c r="A51">
        <v>48</v>
      </c>
      <c r="AT51">
        <v>6.7116874824386308</v>
      </c>
      <c r="AU51">
        <v>1.7059012207508735</v>
      </c>
      <c r="AV51">
        <v>0.40917143728368616</v>
      </c>
      <c r="CI51" s="31">
        <f t="shared" si="0"/>
        <v>8.8267601404731906</v>
      </c>
    </row>
    <row r="52" spans="1:87">
      <c r="A52">
        <v>49</v>
      </c>
      <c r="CI52" s="31">
        <f t="shared" si="0"/>
        <v>0</v>
      </c>
    </row>
    <row r="53" spans="1:87">
      <c r="A53">
        <v>50</v>
      </c>
      <c r="AX53">
        <v>1.2087991579545692</v>
      </c>
      <c r="CI53" s="31">
        <f t="shared" si="0"/>
        <v>1.2087991579545692</v>
      </c>
    </row>
    <row r="54" spans="1:87">
      <c r="A54">
        <v>51</v>
      </c>
      <c r="CI54" s="31">
        <f t="shared" si="0"/>
        <v>0</v>
      </c>
    </row>
    <row r="55" spans="1:87">
      <c r="A55">
        <v>52</v>
      </c>
      <c r="AX55">
        <v>1.1963856908033936</v>
      </c>
      <c r="AY55">
        <v>7.7776948115309903</v>
      </c>
      <c r="AZ55">
        <v>5.0521195735761779</v>
      </c>
      <c r="CI55" s="31">
        <f t="shared" si="0"/>
        <v>14.026200075910563</v>
      </c>
    </row>
    <row r="56" spans="1:87">
      <c r="A56">
        <v>53</v>
      </c>
      <c r="CI56" s="31">
        <f t="shared" si="0"/>
        <v>0</v>
      </c>
    </row>
    <row r="57" spans="1:87">
      <c r="A57">
        <v>54</v>
      </c>
      <c r="CI57" s="31">
        <f t="shared" si="0"/>
        <v>0</v>
      </c>
    </row>
    <row r="58" spans="1:87">
      <c r="A58">
        <v>55</v>
      </c>
      <c r="BB58">
        <v>2.645411346419845</v>
      </c>
      <c r="BC58">
        <v>1.1537520381985897</v>
      </c>
      <c r="CI58" s="31">
        <f t="shared" si="0"/>
        <v>3.7991633846184349</v>
      </c>
    </row>
    <row r="59" spans="1:87">
      <c r="A59">
        <v>56</v>
      </c>
      <c r="CI59" s="31">
        <f t="shared" si="0"/>
        <v>0</v>
      </c>
    </row>
    <row r="60" spans="1:87">
      <c r="A60">
        <v>57</v>
      </c>
      <c r="CI60" s="31">
        <f t="shared" si="0"/>
        <v>0</v>
      </c>
    </row>
    <row r="61" spans="1:87">
      <c r="A61">
        <v>58</v>
      </c>
      <c r="AB61">
        <v>4.3773547772705079</v>
      </c>
      <c r="AC61">
        <v>3.369860454206691</v>
      </c>
      <c r="CA61">
        <v>8.2786809066866613</v>
      </c>
      <c r="CI61" s="31">
        <f t="shared" si="0"/>
        <v>16.025896138163858</v>
      </c>
    </row>
    <row r="62" spans="1:87">
      <c r="A62">
        <v>59</v>
      </c>
      <c r="AB62">
        <v>4.3485950913439932</v>
      </c>
      <c r="AC62">
        <v>3.3477201130165262</v>
      </c>
      <c r="AD62">
        <v>0.65920694013299475</v>
      </c>
      <c r="AE62">
        <v>1.9606635118289866</v>
      </c>
      <c r="AF62">
        <v>5.0129058031308533</v>
      </c>
      <c r="AG62">
        <v>5.3671020099607123</v>
      </c>
      <c r="AH62">
        <v>4.0617844725689665</v>
      </c>
      <c r="AI62">
        <v>20.702726698812263</v>
      </c>
      <c r="AJ62">
        <v>2.6826468994682227</v>
      </c>
      <c r="AK62">
        <v>10.971510195349589</v>
      </c>
      <c r="AL62">
        <v>11.004422591931567</v>
      </c>
      <c r="AM62">
        <v>21.022072761218844</v>
      </c>
      <c r="BG62">
        <v>29.2704408017423</v>
      </c>
      <c r="CA62">
        <v>8.2242890936221951</v>
      </c>
      <c r="CI62" s="31">
        <f t="shared" si="0"/>
        <v>128.63608698412801</v>
      </c>
    </row>
    <row r="63" spans="1:87">
      <c r="A63">
        <v>60</v>
      </c>
      <c r="AS63">
        <v>2.437967442368163</v>
      </c>
      <c r="AT63">
        <v>6.6729034838517896</v>
      </c>
      <c r="AU63">
        <v>1.6960435402930143</v>
      </c>
      <c r="AV63">
        <v>0.40680700889113824</v>
      </c>
      <c r="AW63">
        <v>11.639282190479681</v>
      </c>
      <c r="BN63">
        <v>5.2789801851606315</v>
      </c>
      <c r="BO63">
        <v>3.0755241722746041</v>
      </c>
      <c r="BP63">
        <v>2.0845202541555965</v>
      </c>
      <c r="BQ63">
        <v>9.2295904180936432</v>
      </c>
      <c r="BR63">
        <v>3.0458433535412364</v>
      </c>
      <c r="BS63">
        <v>4.0484725823815273</v>
      </c>
      <c r="BT63">
        <v>1.7883956176916356</v>
      </c>
      <c r="BU63">
        <v>9.1983545043755335</v>
      </c>
      <c r="BV63">
        <v>3.7894494844994564</v>
      </c>
      <c r="BW63">
        <v>0.8345564442798965</v>
      </c>
      <c r="BX63">
        <v>0.73048598052208291</v>
      </c>
      <c r="BY63">
        <v>2.450959046605619</v>
      </c>
      <c r="BZ63">
        <v>3.5604647175438715</v>
      </c>
      <c r="CB63">
        <v>15.871715362801048</v>
      </c>
      <c r="CC63">
        <v>20.93685708709252</v>
      </c>
      <c r="CD63">
        <v>6.8582647305263862</v>
      </c>
      <c r="CI63" s="31">
        <f t="shared" si="0"/>
        <v>115.63543760742908</v>
      </c>
    </row>
    <row r="64" spans="1:87">
      <c r="A64">
        <v>61</v>
      </c>
      <c r="C64">
        <v>1.3589668547895029</v>
      </c>
      <c r="D64">
        <v>0.409527898032226</v>
      </c>
      <c r="E64">
        <v>1.6253641453377075</v>
      </c>
      <c r="F64">
        <v>6.1170318750031027</v>
      </c>
      <c r="G64">
        <v>0.59040733509050569</v>
      </c>
      <c r="H64">
        <v>12.838755926898521</v>
      </c>
      <c r="I64">
        <v>7.0511692880086549</v>
      </c>
      <c r="J64">
        <v>8.5450455392502978</v>
      </c>
      <c r="K64">
        <v>10.109966423619701</v>
      </c>
      <c r="L64">
        <v>4.4533921555864584</v>
      </c>
      <c r="M64">
        <v>12.391798446255553</v>
      </c>
      <c r="N64">
        <v>5.6157908746250937</v>
      </c>
      <c r="O64">
        <v>14.726803582187861</v>
      </c>
      <c r="CI64" s="31">
        <f t="shared" si="0"/>
        <v>85.834020344685186</v>
      </c>
    </row>
    <row r="65" spans="1:87">
      <c r="A65">
        <v>62</v>
      </c>
      <c r="C65">
        <v>1.292058154454887</v>
      </c>
      <c r="D65">
        <v>0.38936480184519823</v>
      </c>
      <c r="E65">
        <v>1.5453393808250553</v>
      </c>
      <c r="F65">
        <v>5.815859958102104</v>
      </c>
      <c r="G65">
        <v>0.56133864418041823</v>
      </c>
      <c r="H65">
        <v>12.206640088344692</v>
      </c>
      <c r="I65">
        <v>6.7040051380978065</v>
      </c>
      <c r="J65">
        <v>8.1243304281228053</v>
      </c>
      <c r="K65">
        <v>9.6122024704762108</v>
      </c>
      <c r="L65">
        <v>4.23412950016517</v>
      </c>
      <c r="M65">
        <v>11.781688548486267</v>
      </c>
      <c r="N65">
        <v>5.3392975462941674</v>
      </c>
      <c r="O65">
        <v>14.001729762841487</v>
      </c>
      <c r="P65">
        <v>2.4853821805786387</v>
      </c>
      <c r="Q65">
        <v>5.5028718970151518</v>
      </c>
      <c r="R65">
        <v>1.5414876583675117</v>
      </c>
      <c r="S65">
        <v>6.0097841118307009</v>
      </c>
      <c r="T65">
        <v>2.6572069564188854</v>
      </c>
      <c r="U65">
        <v>17.542445787076243</v>
      </c>
      <c r="V65">
        <v>2.7956408229993621</v>
      </c>
      <c r="W65">
        <v>12.659232928993831</v>
      </c>
      <c r="X65">
        <v>18.387072762414565</v>
      </c>
      <c r="Y65">
        <v>1.9296486956538619</v>
      </c>
      <c r="Z65">
        <v>6.4943958112403015</v>
      </c>
      <c r="BJ65">
        <v>4.116899605176795</v>
      </c>
      <c r="CE65">
        <v>3.0057536928221467</v>
      </c>
      <c r="CF65">
        <v>0.81420431479773336</v>
      </c>
      <c r="CG65">
        <v>0.3213546717716424</v>
      </c>
      <c r="CH65">
        <v>0.31588980406511685</v>
      </c>
      <c r="CI65" s="31">
        <f t="shared" si="0"/>
        <v>168.18725612345878</v>
      </c>
    </row>
    <row r="66" spans="1:87">
      <c r="A66">
        <v>63</v>
      </c>
      <c r="C66">
        <v>1.2853726551082634</v>
      </c>
      <c r="D66">
        <v>0.38735011069576419</v>
      </c>
      <c r="E66">
        <v>1.537343327872488</v>
      </c>
      <c r="F66">
        <v>5.7857669411462611</v>
      </c>
      <c r="G66">
        <v>0.55843410840084562</v>
      </c>
      <c r="H66">
        <v>12.143479243723476</v>
      </c>
      <c r="I66">
        <v>6.6693165895862858</v>
      </c>
      <c r="J66">
        <v>8.0822926873433385</v>
      </c>
      <c r="K66">
        <v>9.5624660301198592</v>
      </c>
      <c r="L66">
        <v>4.2122208345921281</v>
      </c>
      <c r="M66">
        <v>11.720726531551154</v>
      </c>
      <c r="N66">
        <v>5.3116704072725192</v>
      </c>
      <c r="O66">
        <v>13.929280581774579</v>
      </c>
      <c r="P66">
        <v>2.4725220621024864</v>
      </c>
      <c r="Q66">
        <v>5.4743983748712743</v>
      </c>
      <c r="R66">
        <v>1.5335115353909168</v>
      </c>
      <c r="S66">
        <v>5.9786876727002625</v>
      </c>
      <c r="T66">
        <v>2.6434577646276867</v>
      </c>
      <c r="U66">
        <v>17.451675871307895</v>
      </c>
      <c r="V66">
        <v>2.7811753325482438</v>
      </c>
      <c r="W66">
        <v>12.593730232243116</v>
      </c>
      <c r="X66">
        <v>18.291932491432483</v>
      </c>
      <c r="Y66">
        <v>1.9196641101694338</v>
      </c>
      <c r="Z66">
        <v>6.4607918447291501</v>
      </c>
      <c r="AA66">
        <v>2.5353271270549258</v>
      </c>
      <c r="AB66">
        <v>4.3260941462110889</v>
      </c>
      <c r="AC66">
        <v>3.3303979974824203</v>
      </c>
      <c r="AD66">
        <v>0.6557960042147053</v>
      </c>
      <c r="AE66">
        <v>1.9505184463130991</v>
      </c>
      <c r="AF66">
        <v>4.9869675136227807</v>
      </c>
      <c r="AG66">
        <v>5.3393310022416411</v>
      </c>
      <c r="AH66">
        <v>4.0407675722507737</v>
      </c>
      <c r="AI66">
        <v>20.595604534580708</v>
      </c>
      <c r="AJ66">
        <v>2.6687660737238246</v>
      </c>
      <c r="AK66">
        <v>10.914740286046683</v>
      </c>
      <c r="AL66">
        <v>10.947482383942733</v>
      </c>
      <c r="AM66">
        <v>20.913298203955129</v>
      </c>
      <c r="AN66">
        <v>9.5052448086714261</v>
      </c>
      <c r="AO66">
        <v>8.6740556674380649</v>
      </c>
      <c r="AP66">
        <v>3.6538842591614316</v>
      </c>
      <c r="AQ66">
        <v>5.2120878745274677</v>
      </c>
      <c r="AR66">
        <v>4.0181033484653188</v>
      </c>
      <c r="BG66">
        <v>29.118986695608822</v>
      </c>
      <c r="BH66">
        <v>75.333812336066202</v>
      </c>
      <c r="BJ66">
        <v>4.0955975225068881</v>
      </c>
      <c r="BK66">
        <v>5.4308109049276325</v>
      </c>
      <c r="CA66">
        <v>8.1817341365002747</v>
      </c>
      <c r="CE66">
        <v>2.9902010148871878</v>
      </c>
      <c r="CF66">
        <v>0.80999137562326184</v>
      </c>
      <c r="CG66">
        <v>0.3196918855876334</v>
      </c>
      <c r="CH66">
        <v>0.31425529475808539</v>
      </c>
      <c r="CI66" s="31">
        <f t="shared" si="0"/>
        <v>409.65081575768011</v>
      </c>
    </row>
    <row r="67" spans="1:87">
      <c r="A67">
        <v>64</v>
      </c>
      <c r="C67">
        <v>1.2813840369282041</v>
      </c>
      <c r="D67">
        <v>0.38614813110842111</v>
      </c>
      <c r="E67">
        <v>1.5325728237527869</v>
      </c>
      <c r="F67">
        <v>5.7678132254550718</v>
      </c>
      <c r="G67">
        <v>0.55670124094930862</v>
      </c>
      <c r="H67">
        <v>12.105797018348447</v>
      </c>
      <c r="I67">
        <v>6.6486211459014699</v>
      </c>
      <c r="J67">
        <v>8.0572126613904107</v>
      </c>
      <c r="K67">
        <v>9.5327929032625569</v>
      </c>
      <c r="L67">
        <v>4.1991499632518137</v>
      </c>
      <c r="M67">
        <v>11.684356142978269</v>
      </c>
      <c r="N67">
        <v>5.2951878525295557</v>
      </c>
      <c r="O67">
        <v>13.886056866424159</v>
      </c>
      <c r="P67">
        <v>2.4648496206449004</v>
      </c>
      <c r="Q67">
        <v>5.4574108617200316</v>
      </c>
      <c r="R67">
        <v>1.5287529216417579</v>
      </c>
      <c r="S67">
        <v>5.9601353079448289</v>
      </c>
      <c r="T67">
        <v>2.6352548954781754</v>
      </c>
      <c r="U67">
        <v>17.397521870616991</v>
      </c>
      <c r="V67">
        <v>2.772545114339346</v>
      </c>
      <c r="W67">
        <v>12.554650840628971</v>
      </c>
      <c r="X67">
        <v>18.23517110461303</v>
      </c>
      <c r="Y67">
        <v>1.913707232886414</v>
      </c>
      <c r="Z67">
        <v>6.4407434706587559</v>
      </c>
      <c r="AA67">
        <v>2.5274597962608714</v>
      </c>
      <c r="AB67">
        <v>4.3126699165204609</v>
      </c>
      <c r="AC67">
        <v>3.3200634956966537</v>
      </c>
      <c r="AD67">
        <v>0.65376101470841252</v>
      </c>
      <c r="AE67">
        <v>1.9444658254606271</v>
      </c>
      <c r="AF67">
        <v>4.9714925389458644</v>
      </c>
      <c r="AG67">
        <v>5.3227626143735316</v>
      </c>
      <c r="AH67">
        <v>4.0282287346335099</v>
      </c>
      <c r="AI67">
        <v>20.53169466194613</v>
      </c>
      <c r="AJ67">
        <v>2.6604846707877368</v>
      </c>
      <c r="AK67">
        <v>10.880870939781584</v>
      </c>
      <c r="AL67">
        <v>10.913511436226566</v>
      </c>
      <c r="AM67">
        <v>20.848402501459987</v>
      </c>
      <c r="AN67">
        <v>9.4757492440201077</v>
      </c>
      <c r="AO67">
        <v>8.6471393517746691</v>
      </c>
      <c r="AP67">
        <v>3.642545952619741</v>
      </c>
      <c r="AQ67">
        <v>5.1959143326602213</v>
      </c>
      <c r="AR67">
        <v>4.0056348398181543</v>
      </c>
      <c r="AS67">
        <v>2.4304022267675531</v>
      </c>
      <c r="AT67">
        <v>6.6521969097359497</v>
      </c>
      <c r="AU67">
        <v>1.6907805762241115</v>
      </c>
      <c r="AV67">
        <v>0.40554465293157249</v>
      </c>
      <c r="AW67">
        <v>11.603164530466229</v>
      </c>
      <c r="AX67">
        <v>1.1926732065695516</v>
      </c>
      <c r="AY67">
        <v>7.7535599781027713</v>
      </c>
      <c r="AZ67">
        <v>5.036442426642239</v>
      </c>
      <c r="BA67">
        <v>3.7622908703409661</v>
      </c>
      <c r="BB67">
        <v>2.6372024151436646</v>
      </c>
      <c r="BC67">
        <v>1.1501718497321938</v>
      </c>
      <c r="BD67">
        <v>6.9115937324675718</v>
      </c>
      <c r="BG67">
        <v>29.028628059724173</v>
      </c>
      <c r="BH67">
        <v>75.100045255163508</v>
      </c>
      <c r="BI67">
        <v>24.683525861071153</v>
      </c>
      <c r="BJ67">
        <v>4.0828885429968942</v>
      </c>
      <c r="BK67">
        <v>5.4139586473183137</v>
      </c>
      <c r="BL67">
        <v>69.418607884198153</v>
      </c>
      <c r="BN67">
        <v>5.2625990708938657</v>
      </c>
      <c r="BO67">
        <v>3.065980565151802</v>
      </c>
      <c r="BP67">
        <v>2.0780518145560887</v>
      </c>
      <c r="BQ67">
        <v>9.20095023192677</v>
      </c>
      <c r="BR67">
        <v>3.0363918484658274</v>
      </c>
      <c r="BS67">
        <v>4.0359098354774412</v>
      </c>
      <c r="BT67">
        <v>1.782846077450901</v>
      </c>
      <c r="BU67">
        <v>9.1698112458450396</v>
      </c>
      <c r="BV67">
        <v>3.7776905077963012</v>
      </c>
      <c r="BW67">
        <v>0.83196674627075373</v>
      </c>
      <c r="BX67">
        <v>0.7282192218115956</v>
      </c>
      <c r="BY67">
        <v>2.4433535169772882</v>
      </c>
      <c r="BZ67">
        <v>3.5494162996042045</v>
      </c>
      <c r="CA67">
        <v>8.1563455354657304</v>
      </c>
      <c r="CB67">
        <v>15.822464110883399</v>
      </c>
      <c r="CC67">
        <v>20.871888279424951</v>
      </c>
      <c r="CD67">
        <v>6.8369829650561744</v>
      </c>
      <c r="CE67">
        <v>2.9809221726132278</v>
      </c>
      <c r="CF67">
        <v>0.80747790506383865</v>
      </c>
      <c r="CG67">
        <v>0.31869985509608317</v>
      </c>
      <c r="CH67">
        <v>0.31328013445973096</v>
      </c>
      <c r="CI67" s="31">
        <f t="shared" si="0"/>
        <v>646.20231468703605</v>
      </c>
    </row>
    <row r="68" spans="1:87">
      <c r="A68">
        <v>65</v>
      </c>
      <c r="CI68" s="31">
        <f t="shared" si="0"/>
        <v>0</v>
      </c>
    </row>
    <row r="69" spans="1:87">
      <c r="A69">
        <v>66</v>
      </c>
      <c r="CI69" s="31">
        <f t="shared" ref="CI69:CI88" si="1">SUM(B69:CH69)</f>
        <v>0</v>
      </c>
    </row>
    <row r="70" spans="1:87">
      <c r="A70">
        <v>67</v>
      </c>
      <c r="BO70">
        <v>3.1212437564971762</v>
      </c>
      <c r="CI70" s="31">
        <f t="shared" si="1"/>
        <v>3.1212437564971762</v>
      </c>
    </row>
    <row r="71" spans="1:87">
      <c r="A71">
        <v>68</v>
      </c>
      <c r="CI71" s="31">
        <f t="shared" si="1"/>
        <v>0</v>
      </c>
    </row>
    <row r="72" spans="1:87">
      <c r="A72">
        <v>69</v>
      </c>
      <c r="CI72" s="31">
        <f t="shared" si="1"/>
        <v>0</v>
      </c>
    </row>
    <row r="73" spans="1:87">
      <c r="A73">
        <v>70</v>
      </c>
      <c r="CI73" s="31">
        <f t="shared" si="1"/>
        <v>0</v>
      </c>
    </row>
    <row r="74" spans="1:87">
      <c r="A74">
        <v>71</v>
      </c>
      <c r="CI74" s="31">
        <f t="shared" si="1"/>
        <v>0</v>
      </c>
    </row>
    <row r="75" spans="1:87">
      <c r="A75">
        <v>72</v>
      </c>
      <c r="BT75">
        <v>1.8057023215019201</v>
      </c>
      <c r="CI75" s="31">
        <f t="shared" si="1"/>
        <v>1.8057023215019201</v>
      </c>
    </row>
    <row r="76" spans="1:87">
      <c r="A76">
        <v>73</v>
      </c>
      <c r="CI76" s="31">
        <f t="shared" si="1"/>
        <v>0</v>
      </c>
    </row>
    <row r="77" spans="1:87">
      <c r="A77">
        <v>74</v>
      </c>
      <c r="CI77" s="31">
        <f t="shared" si="1"/>
        <v>0</v>
      </c>
    </row>
    <row r="78" spans="1:87">
      <c r="A78">
        <v>75</v>
      </c>
      <c r="CI78" s="31">
        <f t="shared" si="1"/>
        <v>0</v>
      </c>
    </row>
    <row r="79" spans="1:87">
      <c r="A79">
        <v>76</v>
      </c>
      <c r="BX79">
        <v>0.74218909584838766</v>
      </c>
      <c r="CI79" s="31">
        <f t="shared" si="1"/>
        <v>0.74218909584838766</v>
      </c>
    </row>
    <row r="80" spans="1:87">
      <c r="A80">
        <v>77</v>
      </c>
      <c r="BW80">
        <v>0.8426326333799119</v>
      </c>
      <c r="BX80">
        <v>0.73755505650135578</v>
      </c>
      <c r="BY80">
        <v>2.4746775246935329</v>
      </c>
      <c r="CI80" s="31">
        <f t="shared" si="1"/>
        <v>4.0548652145748001</v>
      </c>
    </row>
    <row r="81" spans="1:87">
      <c r="A81">
        <v>78</v>
      </c>
      <c r="CI81" s="31">
        <f t="shared" si="1"/>
        <v>0</v>
      </c>
    </row>
    <row r="82" spans="1:87">
      <c r="A82">
        <v>79</v>
      </c>
      <c r="BN82">
        <v>5.3574555167351647</v>
      </c>
      <c r="CI82" s="31">
        <f t="shared" si="1"/>
        <v>5.3574555167351647</v>
      </c>
    </row>
    <row r="83" spans="1:87">
      <c r="A83">
        <v>80</v>
      </c>
      <c r="BN83">
        <v>5.3300660554127965</v>
      </c>
      <c r="BO83">
        <v>3.105286706573156</v>
      </c>
      <c r="BP83">
        <v>2.1046926222090225</v>
      </c>
      <c r="BQ83">
        <v>9.3189072258939003</v>
      </c>
      <c r="BR83">
        <v>3.0753186599280311</v>
      </c>
      <c r="BS83">
        <v>4.0876505557416793</v>
      </c>
      <c r="CB83">
        <v>16.025309497134529</v>
      </c>
      <c r="CI83" s="31">
        <f t="shared" si="1"/>
        <v>43.047231322893111</v>
      </c>
    </row>
    <row r="84" spans="1:87">
      <c r="A84">
        <v>81</v>
      </c>
      <c r="BN84">
        <v>5.3096624751917547</v>
      </c>
      <c r="BO84">
        <v>3.093399618164081</v>
      </c>
      <c r="BP84">
        <v>2.0966358243548444</v>
      </c>
      <c r="BQ84">
        <v>9.2832342962942977</v>
      </c>
      <c r="BR84">
        <v>3.0635462896926966</v>
      </c>
      <c r="BS84">
        <v>4.0720029624168337</v>
      </c>
      <c r="BT84">
        <v>1.7987900634193639</v>
      </c>
      <c r="BU84">
        <v>9.2518168343736047</v>
      </c>
      <c r="BV84">
        <v>3.8114743802299875</v>
      </c>
      <c r="BW84">
        <v>0.83940702184840466</v>
      </c>
      <c r="BX84">
        <v>0.73473168365638364</v>
      </c>
      <c r="BY84">
        <v>2.4652044185685127</v>
      </c>
      <c r="BZ84">
        <v>3.5811587166265633</v>
      </c>
      <c r="CB84">
        <v>15.963964349721252</v>
      </c>
      <c r="CC84">
        <v>21.058545500186423</v>
      </c>
      <c r="CI84" s="31">
        <f t="shared" si="1"/>
        <v>86.423574434745007</v>
      </c>
    </row>
    <row r="85" spans="1:87">
      <c r="A85">
        <v>82</v>
      </c>
      <c r="CI85" s="31">
        <f t="shared" si="1"/>
        <v>0</v>
      </c>
    </row>
    <row r="86" spans="1:87">
      <c r="A86">
        <v>83</v>
      </c>
      <c r="CI86" s="31">
        <f t="shared" si="1"/>
        <v>0</v>
      </c>
    </row>
    <row r="87" spans="1:87">
      <c r="A87">
        <v>84</v>
      </c>
      <c r="CI87" s="31">
        <f t="shared" si="1"/>
        <v>0</v>
      </c>
    </row>
    <row r="88" spans="1:87">
      <c r="A88">
        <v>85</v>
      </c>
      <c r="CI88" s="31">
        <f t="shared" si="1"/>
        <v>0</v>
      </c>
    </row>
    <row r="89" spans="1:87">
      <c r="CI89" s="31"/>
    </row>
    <row r="90" spans="1:87">
      <c r="A90" t="s">
        <v>213</v>
      </c>
      <c r="CI90" s="31"/>
    </row>
    <row r="91" spans="1:87">
      <c r="B91">
        <v>1</v>
      </c>
      <c r="C91">
        <v>2</v>
      </c>
      <c r="D91">
        <v>3</v>
      </c>
      <c r="E91">
        <v>4</v>
      </c>
      <c r="F91">
        <v>5</v>
      </c>
      <c r="G91">
        <v>6</v>
      </c>
      <c r="H91">
        <v>7</v>
      </c>
      <c r="I91">
        <v>8</v>
      </c>
      <c r="J91">
        <v>9</v>
      </c>
      <c r="K91">
        <v>10</v>
      </c>
      <c r="L91">
        <v>11</v>
      </c>
      <c r="M91">
        <v>12</v>
      </c>
      <c r="N91">
        <v>13</v>
      </c>
      <c r="O91">
        <v>14</v>
      </c>
      <c r="P91">
        <v>15</v>
      </c>
      <c r="Q91">
        <v>16</v>
      </c>
      <c r="R91">
        <v>17</v>
      </c>
      <c r="S91">
        <v>18</v>
      </c>
      <c r="T91">
        <v>19</v>
      </c>
      <c r="U91">
        <v>20</v>
      </c>
      <c r="V91">
        <v>21</v>
      </c>
      <c r="W91">
        <v>22</v>
      </c>
      <c r="X91">
        <v>23</v>
      </c>
      <c r="Y91">
        <v>24</v>
      </c>
      <c r="Z91">
        <v>25</v>
      </c>
      <c r="AA91">
        <v>26</v>
      </c>
      <c r="AB91">
        <v>27</v>
      </c>
      <c r="AC91">
        <v>28</v>
      </c>
      <c r="AD91">
        <v>29</v>
      </c>
      <c r="AE91">
        <v>30</v>
      </c>
      <c r="AF91">
        <v>31</v>
      </c>
      <c r="AG91">
        <v>32</v>
      </c>
      <c r="AH91">
        <v>33</v>
      </c>
      <c r="AI91">
        <v>34</v>
      </c>
      <c r="AJ91">
        <v>35</v>
      </c>
      <c r="AK91">
        <v>36</v>
      </c>
      <c r="AL91">
        <v>37</v>
      </c>
      <c r="AM91">
        <v>38</v>
      </c>
      <c r="AN91">
        <v>39</v>
      </c>
      <c r="AO91">
        <v>40</v>
      </c>
      <c r="AP91">
        <v>41</v>
      </c>
      <c r="AQ91">
        <v>42</v>
      </c>
      <c r="AR91">
        <v>43</v>
      </c>
      <c r="AS91">
        <v>44</v>
      </c>
      <c r="AT91">
        <v>45</v>
      </c>
      <c r="AU91">
        <v>46</v>
      </c>
      <c r="AV91">
        <v>47</v>
      </c>
      <c r="AW91">
        <v>48</v>
      </c>
      <c r="AX91">
        <v>49</v>
      </c>
      <c r="AY91">
        <v>50</v>
      </c>
      <c r="AZ91">
        <v>51</v>
      </c>
      <c r="BA91">
        <v>52</v>
      </c>
      <c r="BB91">
        <v>53</v>
      </c>
      <c r="BC91">
        <v>54</v>
      </c>
      <c r="BD91">
        <v>55</v>
      </c>
      <c r="BE91">
        <v>56</v>
      </c>
      <c r="BF91">
        <v>57</v>
      </c>
      <c r="BG91">
        <v>58</v>
      </c>
      <c r="BH91">
        <v>59</v>
      </c>
      <c r="BI91">
        <v>60</v>
      </c>
      <c r="BJ91">
        <v>61</v>
      </c>
      <c r="BK91">
        <v>62</v>
      </c>
      <c r="BL91">
        <v>63</v>
      </c>
      <c r="BM91">
        <v>64</v>
      </c>
      <c r="BN91">
        <v>65</v>
      </c>
      <c r="BO91">
        <v>66</v>
      </c>
      <c r="BP91">
        <v>67</v>
      </c>
      <c r="BQ91">
        <v>68</v>
      </c>
      <c r="BR91">
        <v>69</v>
      </c>
      <c r="BS91">
        <v>70</v>
      </c>
      <c r="BT91">
        <v>71</v>
      </c>
      <c r="BU91">
        <v>72</v>
      </c>
      <c r="BV91">
        <v>73</v>
      </c>
      <c r="BW91">
        <v>74</v>
      </c>
      <c r="BX91">
        <v>75</v>
      </c>
      <c r="BY91">
        <v>76</v>
      </c>
      <c r="BZ91">
        <v>77</v>
      </c>
      <c r="CA91">
        <v>78</v>
      </c>
      <c r="CB91">
        <v>79</v>
      </c>
      <c r="CC91">
        <v>80</v>
      </c>
      <c r="CD91">
        <v>81</v>
      </c>
      <c r="CE91">
        <v>82</v>
      </c>
      <c r="CF91">
        <v>83</v>
      </c>
      <c r="CG91">
        <v>84</v>
      </c>
      <c r="CH91">
        <v>85</v>
      </c>
      <c r="CI91" s="31" t="s">
        <v>180</v>
      </c>
    </row>
    <row r="92" spans="1:87">
      <c r="CI92" s="31"/>
    </row>
    <row r="93" spans="1:87">
      <c r="A93">
        <v>1</v>
      </c>
      <c r="CI93" s="31">
        <f>SUM(B93:CH93)</f>
        <v>0</v>
      </c>
    </row>
    <row r="94" spans="1:87">
      <c r="A94">
        <v>2</v>
      </c>
      <c r="CI94" s="31">
        <f t="shared" ref="CI94:CI157" si="2">SUM(B94:CH94)</f>
        <v>0</v>
      </c>
    </row>
    <row r="95" spans="1:87">
      <c r="A95">
        <v>3</v>
      </c>
      <c r="C95">
        <v>1.8514027566906933E-2</v>
      </c>
      <c r="CI95" s="31">
        <f t="shared" si="2"/>
        <v>1.8514027566906933E-2</v>
      </c>
    </row>
    <row r="96" spans="1:87">
      <c r="A96">
        <v>4</v>
      </c>
      <c r="CI96" s="31">
        <f t="shared" si="2"/>
        <v>0</v>
      </c>
    </row>
    <row r="97" spans="1:87">
      <c r="A97">
        <v>5</v>
      </c>
      <c r="E97">
        <v>0</v>
      </c>
      <c r="CI97" s="31">
        <f t="shared" si="2"/>
        <v>0</v>
      </c>
    </row>
    <row r="98" spans="1:87">
      <c r="A98">
        <v>6</v>
      </c>
      <c r="CI98" s="31">
        <f t="shared" si="2"/>
        <v>0</v>
      </c>
    </row>
    <row r="99" spans="1:87">
      <c r="A99">
        <v>7</v>
      </c>
      <c r="G99">
        <v>0</v>
      </c>
      <c r="CI99" s="31">
        <f t="shared" si="2"/>
        <v>0</v>
      </c>
    </row>
    <row r="100" spans="1:87">
      <c r="A100">
        <v>8</v>
      </c>
      <c r="CI100" s="31">
        <f t="shared" si="2"/>
        <v>0</v>
      </c>
    </row>
    <row r="101" spans="1:87">
      <c r="A101">
        <v>9</v>
      </c>
      <c r="CI101" s="31">
        <f t="shared" si="2"/>
        <v>0</v>
      </c>
    </row>
    <row r="102" spans="1:87">
      <c r="A102">
        <v>10</v>
      </c>
      <c r="J102">
        <v>0.31665285488388767</v>
      </c>
      <c r="CI102" s="31">
        <f t="shared" si="2"/>
        <v>0.31665285488388767</v>
      </c>
    </row>
    <row r="103" spans="1:87">
      <c r="A103">
        <v>11</v>
      </c>
      <c r="CI103" s="31">
        <f t="shared" si="2"/>
        <v>0</v>
      </c>
    </row>
    <row r="104" spans="1:87">
      <c r="A104">
        <v>12</v>
      </c>
      <c r="L104">
        <v>7.3436741433107633E-2</v>
      </c>
      <c r="CI104" s="31">
        <f t="shared" si="2"/>
        <v>7.3436741433107633E-2</v>
      </c>
    </row>
    <row r="105" spans="1:87">
      <c r="A105">
        <v>13</v>
      </c>
      <c r="L105">
        <v>9.9031769767912198E-2</v>
      </c>
      <c r="M105">
        <v>0.27556112012290251</v>
      </c>
      <c r="CI105" s="31">
        <f t="shared" si="2"/>
        <v>0.37459288989081474</v>
      </c>
    </row>
    <row r="106" spans="1:87">
      <c r="A106">
        <v>14</v>
      </c>
      <c r="C106">
        <v>0.20790735747159106</v>
      </c>
      <c r="D106">
        <v>6.2653377299598426E-2</v>
      </c>
      <c r="E106">
        <v>0.24866328652186057</v>
      </c>
      <c r="F106">
        <v>0.93584028795049512</v>
      </c>
      <c r="G106">
        <v>9.0325991717821977E-2</v>
      </c>
      <c r="H106">
        <v>1.9641919952474898</v>
      </c>
      <c r="I106">
        <v>1.0787532959969022</v>
      </c>
      <c r="J106">
        <v>1.3073003445806035</v>
      </c>
      <c r="K106">
        <v>1.5467164602677994</v>
      </c>
      <c r="L106">
        <v>0.68132124899846036</v>
      </c>
      <c r="M106">
        <v>1.8958122931413386</v>
      </c>
      <c r="N106">
        <v>0.85915578937149895</v>
      </c>
      <c r="CI106" s="31">
        <f t="shared" si="2"/>
        <v>10.878641728565459</v>
      </c>
    </row>
    <row r="107" spans="1:87">
      <c r="A107">
        <v>15</v>
      </c>
      <c r="CE107">
        <v>0</v>
      </c>
      <c r="CI107" s="31">
        <f t="shared" si="2"/>
        <v>0</v>
      </c>
    </row>
    <row r="108" spans="1:87">
      <c r="A108">
        <v>16</v>
      </c>
      <c r="CI108" s="31">
        <f t="shared" si="2"/>
        <v>0</v>
      </c>
    </row>
    <row r="109" spans="1:87">
      <c r="A109">
        <v>17</v>
      </c>
      <c r="CH109">
        <v>0</v>
      </c>
      <c r="CI109" s="31">
        <f t="shared" si="2"/>
        <v>0</v>
      </c>
    </row>
    <row r="110" spans="1:87">
      <c r="A110">
        <v>18</v>
      </c>
      <c r="R110">
        <v>3.8078987299919952E-2</v>
      </c>
      <c r="T110">
        <v>6.5640324395390068E-2</v>
      </c>
      <c r="CF110">
        <v>2.0113087246872472E-2</v>
      </c>
      <c r="CG110">
        <v>7.9383447533544118E-3</v>
      </c>
      <c r="CH110">
        <v>7.8033474818141975E-3</v>
      </c>
      <c r="CI110" s="31">
        <f t="shared" si="2"/>
        <v>0.13957409117735109</v>
      </c>
    </row>
    <row r="111" spans="1:87">
      <c r="A111">
        <v>19</v>
      </c>
      <c r="CF111">
        <v>0</v>
      </c>
      <c r="CI111" s="31">
        <f t="shared" si="2"/>
        <v>0</v>
      </c>
    </row>
    <row r="112" spans="1:87">
      <c r="A112">
        <v>20</v>
      </c>
      <c r="CI112" s="31">
        <f t="shared" si="2"/>
        <v>0</v>
      </c>
    </row>
    <row r="113" spans="1:87">
      <c r="A113">
        <v>21</v>
      </c>
      <c r="U113">
        <v>1.4473912578706976</v>
      </c>
      <c r="CI113" s="31">
        <f t="shared" si="2"/>
        <v>1.4473912578706976</v>
      </c>
    </row>
    <row r="114" spans="1:87">
      <c r="A114">
        <v>22</v>
      </c>
      <c r="CI114" s="31">
        <f t="shared" si="2"/>
        <v>0</v>
      </c>
    </row>
    <row r="115" spans="1:87">
      <c r="A115">
        <v>23</v>
      </c>
      <c r="W115">
        <v>0</v>
      </c>
      <c r="CI115" s="31">
        <f t="shared" si="2"/>
        <v>0</v>
      </c>
    </row>
    <row r="116" spans="1:87">
      <c r="A116">
        <v>24</v>
      </c>
      <c r="CI116" s="31">
        <f t="shared" si="2"/>
        <v>0</v>
      </c>
    </row>
    <row r="117" spans="1:87">
      <c r="A117">
        <v>25</v>
      </c>
      <c r="CI117" s="31">
        <f t="shared" si="2"/>
        <v>0</v>
      </c>
    </row>
    <row r="118" spans="1:87">
      <c r="A118">
        <v>26</v>
      </c>
      <c r="CI118" s="31">
        <f t="shared" si="2"/>
        <v>0</v>
      </c>
    </row>
    <row r="119" spans="1:87">
      <c r="A119">
        <v>27</v>
      </c>
      <c r="CI119" s="31">
        <f t="shared" si="2"/>
        <v>0</v>
      </c>
    </row>
    <row r="120" spans="1:87">
      <c r="A120">
        <v>28</v>
      </c>
      <c r="CI120" s="31">
        <f t="shared" si="2"/>
        <v>0</v>
      </c>
    </row>
    <row r="121" spans="1:87">
      <c r="A121">
        <v>29</v>
      </c>
      <c r="CI121" s="31">
        <f t="shared" si="2"/>
        <v>0</v>
      </c>
    </row>
    <row r="122" spans="1:87">
      <c r="A122">
        <v>30</v>
      </c>
      <c r="CI122" s="31">
        <f t="shared" si="2"/>
        <v>0</v>
      </c>
    </row>
    <row r="123" spans="1:87">
      <c r="A123">
        <v>31</v>
      </c>
      <c r="CI123" s="31">
        <f t="shared" si="2"/>
        <v>0</v>
      </c>
    </row>
    <row r="124" spans="1:87">
      <c r="A124">
        <v>32</v>
      </c>
      <c r="AE124">
        <v>2.8367807215298843E-2</v>
      </c>
      <c r="AF124">
        <v>7.2529092602439532E-2</v>
      </c>
      <c r="CI124" s="31">
        <f t="shared" si="2"/>
        <v>0.10089689981773838</v>
      </c>
    </row>
    <row r="125" spans="1:87">
      <c r="A125">
        <v>33</v>
      </c>
      <c r="AD125">
        <v>0.81420436376305205</v>
      </c>
      <c r="CI125" s="31">
        <f t="shared" si="2"/>
        <v>0.81420436376305205</v>
      </c>
    </row>
    <row r="126" spans="1:87">
      <c r="A126">
        <v>34</v>
      </c>
      <c r="AD126">
        <v>5.1424228221078417E-3</v>
      </c>
      <c r="AE126">
        <v>1.529498580168063E-2</v>
      </c>
      <c r="AF126">
        <v>3.9105294009641557E-2</v>
      </c>
      <c r="AG126">
        <v>4.186835147553903E-2</v>
      </c>
      <c r="AH126">
        <v>3.1685669398456101E-2</v>
      </c>
      <c r="CI126" s="31">
        <f t="shared" si="2"/>
        <v>0.13309672350742516</v>
      </c>
    </row>
    <row r="127" spans="1:87">
      <c r="A127">
        <v>35</v>
      </c>
      <c r="CI127" s="31">
        <f t="shared" si="2"/>
        <v>0</v>
      </c>
    </row>
    <row r="128" spans="1:87">
      <c r="A128">
        <v>36</v>
      </c>
      <c r="AJ128">
        <v>4.5482629580766522E-2</v>
      </c>
      <c r="CI128" s="31">
        <f t="shared" si="2"/>
        <v>4.5482629580766522E-2</v>
      </c>
    </row>
    <row r="129" spans="1:87">
      <c r="A129">
        <v>37</v>
      </c>
      <c r="CI129" s="31">
        <f t="shared" si="2"/>
        <v>0</v>
      </c>
    </row>
    <row r="130" spans="1:87">
      <c r="A130">
        <v>38</v>
      </c>
      <c r="AL130">
        <v>0.6604791910852279</v>
      </c>
      <c r="CI130" s="31">
        <f t="shared" si="2"/>
        <v>0.6604791910852279</v>
      </c>
    </row>
    <row r="131" spans="1:87">
      <c r="A131">
        <v>39</v>
      </c>
      <c r="CI131" s="31">
        <f t="shared" si="2"/>
        <v>0</v>
      </c>
    </row>
    <row r="132" spans="1:87">
      <c r="A132">
        <v>40</v>
      </c>
      <c r="CI132" s="31">
        <f t="shared" si="2"/>
        <v>0</v>
      </c>
    </row>
    <row r="133" spans="1:87">
      <c r="A133">
        <v>41</v>
      </c>
      <c r="CI133" s="31">
        <f t="shared" si="2"/>
        <v>0</v>
      </c>
    </row>
    <row r="134" spans="1:87">
      <c r="A134">
        <v>42</v>
      </c>
      <c r="AP134">
        <v>0</v>
      </c>
      <c r="CI134" s="31">
        <f t="shared" si="2"/>
        <v>0</v>
      </c>
    </row>
    <row r="135" spans="1:87">
      <c r="A135">
        <v>43</v>
      </c>
      <c r="AP135">
        <v>0.10622767109738214</v>
      </c>
      <c r="AQ135">
        <v>0.15152859729416404</v>
      </c>
      <c r="CI135" s="31">
        <f t="shared" si="2"/>
        <v>0.25775626839154619</v>
      </c>
    </row>
    <row r="136" spans="1:87">
      <c r="A136">
        <v>44</v>
      </c>
      <c r="CI136" s="31">
        <f t="shared" si="2"/>
        <v>0</v>
      </c>
    </row>
    <row r="137" spans="1:87">
      <c r="A137">
        <v>45</v>
      </c>
      <c r="CI137" s="31">
        <f t="shared" si="2"/>
        <v>0</v>
      </c>
    </row>
    <row r="138" spans="1:87">
      <c r="A138">
        <v>46</v>
      </c>
      <c r="CI138" s="31">
        <f t="shared" si="2"/>
        <v>0</v>
      </c>
    </row>
    <row r="139" spans="1:87">
      <c r="A139">
        <v>47</v>
      </c>
      <c r="CI139" s="31">
        <f t="shared" si="2"/>
        <v>0</v>
      </c>
    </row>
    <row r="140" spans="1:87">
      <c r="A140">
        <v>48</v>
      </c>
      <c r="AT140">
        <v>0.22785425175723656</v>
      </c>
      <c r="AU140">
        <v>5.7913430451430568E-2</v>
      </c>
      <c r="AV140">
        <v>1.3890910732457488E-2</v>
      </c>
      <c r="CI140" s="31">
        <f t="shared" si="2"/>
        <v>0.29965859294112457</v>
      </c>
    </row>
    <row r="141" spans="1:87">
      <c r="A141">
        <v>49</v>
      </c>
      <c r="CI141" s="31">
        <f t="shared" si="2"/>
        <v>0</v>
      </c>
    </row>
    <row r="142" spans="1:87">
      <c r="A142">
        <v>50</v>
      </c>
      <c r="AX142">
        <v>4.6709869902466519E-2</v>
      </c>
      <c r="CI142" s="31">
        <f t="shared" si="2"/>
        <v>4.6709869902466519E-2</v>
      </c>
    </row>
    <row r="143" spans="1:87">
      <c r="A143">
        <v>51</v>
      </c>
      <c r="CI143" s="31">
        <f t="shared" si="2"/>
        <v>0</v>
      </c>
    </row>
    <row r="144" spans="1:87">
      <c r="A144">
        <v>52</v>
      </c>
      <c r="AX144">
        <v>1.2413467151175436E-2</v>
      </c>
      <c r="AY144">
        <v>8.0699861087417224E-2</v>
      </c>
      <c r="AZ144">
        <v>5.2419818167738684E-2</v>
      </c>
      <c r="CI144" s="31">
        <f t="shared" si="2"/>
        <v>0.14553314640633133</v>
      </c>
    </row>
    <row r="145" spans="1:87">
      <c r="A145">
        <v>53</v>
      </c>
      <c r="CI145" s="31">
        <f t="shared" si="2"/>
        <v>0</v>
      </c>
    </row>
    <row r="146" spans="1:87">
      <c r="A146">
        <v>54</v>
      </c>
      <c r="CI146" s="31">
        <f t="shared" si="2"/>
        <v>0</v>
      </c>
    </row>
    <row r="147" spans="1:87">
      <c r="A147">
        <v>55</v>
      </c>
      <c r="BB147">
        <v>6.6765543565108693E-2</v>
      </c>
      <c r="BC147">
        <v>2.9118678300798197E-2</v>
      </c>
      <c r="CI147" s="31">
        <f t="shared" si="2"/>
        <v>9.5884221865906893E-2</v>
      </c>
    </row>
    <row r="148" spans="1:87">
      <c r="A148">
        <v>56</v>
      </c>
      <c r="CI148" s="31">
        <f t="shared" si="2"/>
        <v>0</v>
      </c>
    </row>
    <row r="149" spans="1:87">
      <c r="A149">
        <v>57</v>
      </c>
      <c r="CI149" s="31">
        <f t="shared" si="2"/>
        <v>0</v>
      </c>
    </row>
    <row r="150" spans="1:87">
      <c r="A150">
        <v>58</v>
      </c>
      <c r="AB150">
        <v>0.35252513346273873</v>
      </c>
      <c r="AC150">
        <v>0.27138775968960183</v>
      </c>
      <c r="CA150">
        <v>0.66671385803115846</v>
      </c>
      <c r="CI150" s="31">
        <f t="shared" si="2"/>
        <v>1.290626751183499</v>
      </c>
    </row>
    <row r="151" spans="1:87">
      <c r="A151">
        <v>59</v>
      </c>
      <c r="AB151">
        <v>2.8759685926514948E-2</v>
      </c>
      <c r="AC151">
        <v>2.2140341190164926E-2</v>
      </c>
      <c r="AD151">
        <v>4.359703343395087E-3</v>
      </c>
      <c r="AE151">
        <v>1.2966961886155275E-2</v>
      </c>
      <c r="AF151">
        <v>3.3153143359845427E-2</v>
      </c>
      <c r="AG151">
        <v>3.5495640522909967E-2</v>
      </c>
      <c r="AH151">
        <v>2.6862847259521504E-2</v>
      </c>
      <c r="AI151">
        <v>0.13691868412064517</v>
      </c>
      <c r="AJ151">
        <v>1.7741840907197524E-2</v>
      </c>
      <c r="AK151">
        <v>7.2560719204668403E-2</v>
      </c>
      <c r="AL151">
        <v>7.2778387248922674E-2</v>
      </c>
      <c r="AM151">
        <v>0.13903069783168581</v>
      </c>
      <c r="BG151">
        <v>0.19358175840845745</v>
      </c>
      <c r="CA151">
        <v>5.4391813064465937E-2</v>
      </c>
      <c r="CI151" s="31">
        <f t="shared" si="2"/>
        <v>0.85074222427455015</v>
      </c>
    </row>
    <row r="152" spans="1:87">
      <c r="A152">
        <v>60</v>
      </c>
      <c r="AS152">
        <v>1.4169862649503396E-2</v>
      </c>
      <c r="AT152">
        <v>3.8783998586841562E-2</v>
      </c>
      <c r="AU152">
        <v>9.8576804578591505E-3</v>
      </c>
      <c r="AV152">
        <v>2.3644283925479269E-3</v>
      </c>
      <c r="AW152">
        <v>6.764939806485E-2</v>
      </c>
      <c r="BN152">
        <v>3.0682290031123424E-2</v>
      </c>
      <c r="BO152">
        <v>1.7875445889477013E-2</v>
      </c>
      <c r="BP152">
        <v>1.2115570199248055E-2</v>
      </c>
      <c r="BQ152">
        <v>5.364387820065477E-2</v>
      </c>
      <c r="BR152">
        <v>1.7702936151460128E-2</v>
      </c>
      <c r="BS152">
        <v>2.3530380035306293E-2</v>
      </c>
      <c r="BT152">
        <v>1.0394445727728227E-2</v>
      </c>
      <c r="BU152">
        <v>5.3462329998071954E-2</v>
      </c>
      <c r="BV152">
        <v>2.2024895730531253E-2</v>
      </c>
      <c r="BW152">
        <v>4.8505775685080974E-3</v>
      </c>
      <c r="BX152">
        <v>4.2457031343007649E-3</v>
      </c>
      <c r="BY152">
        <v>1.4245371962893832E-2</v>
      </c>
      <c r="BZ152">
        <v>2.0693999082691934E-2</v>
      </c>
      <c r="CB152">
        <v>9.2248986920203987E-2</v>
      </c>
      <c r="CC152">
        <v>0.12168841309390284</v>
      </c>
      <c r="CD152">
        <v>3.9861348251268754E-2</v>
      </c>
      <c r="CI152" s="31">
        <f t="shared" si="2"/>
        <v>0.67209194012897333</v>
      </c>
    </row>
    <row r="153" spans="1:87">
      <c r="A153">
        <v>61</v>
      </c>
      <c r="C153">
        <v>1.8600212006873437E-2</v>
      </c>
      <c r="D153">
        <v>5.6052181841539711E-3</v>
      </c>
      <c r="E153">
        <v>2.2246398125975494E-2</v>
      </c>
      <c r="F153">
        <v>8.3723962307737002E-2</v>
      </c>
      <c r="G153">
        <v>8.0809193869541308E-3</v>
      </c>
      <c r="H153">
        <v>0.17572436097553304</v>
      </c>
      <c r="I153">
        <v>9.6509523533324718E-2</v>
      </c>
      <c r="J153">
        <v>0.11695624369224415</v>
      </c>
      <c r="K153">
        <v>0.13837535345247703</v>
      </c>
      <c r="L153">
        <v>6.0953685479316413E-2</v>
      </c>
      <c r="M153">
        <v>0.16960684319449415</v>
      </c>
      <c r="N153">
        <v>7.6863464687276339E-2</v>
      </c>
      <c r="O153">
        <v>0.20156611461631749</v>
      </c>
      <c r="CI153" s="31">
        <f t="shared" si="2"/>
        <v>1.1748122996426773</v>
      </c>
    </row>
    <row r="154" spans="1:87">
      <c r="A154">
        <v>62</v>
      </c>
      <c r="C154">
        <v>6.6908700334615837E-2</v>
      </c>
      <c r="D154">
        <v>2.0163096187027749E-2</v>
      </c>
      <c r="E154">
        <v>8.0024764512652252E-2</v>
      </c>
      <c r="F154">
        <v>0.30117191690099876</v>
      </c>
      <c r="G154">
        <v>2.9068690910087458E-2</v>
      </c>
      <c r="H154">
        <v>0.63211583855382902</v>
      </c>
      <c r="I154">
        <v>0.34716414991084876</v>
      </c>
      <c r="J154">
        <v>0.42071511112749199</v>
      </c>
      <c r="K154">
        <v>0.4977639531434902</v>
      </c>
      <c r="L154">
        <v>0.21926265542128867</v>
      </c>
      <c r="M154">
        <v>0.61010989776928537</v>
      </c>
      <c r="N154">
        <v>0.27649332833092655</v>
      </c>
      <c r="O154">
        <v>0.72507381934637438</v>
      </c>
      <c r="P154">
        <v>0.12870449442539889</v>
      </c>
      <c r="Q154">
        <v>0.28496395883396081</v>
      </c>
      <c r="R154">
        <v>7.9825304648717094E-2</v>
      </c>
      <c r="S154">
        <v>0.31121419947530354</v>
      </c>
      <c r="T154">
        <v>0.13760236980130097</v>
      </c>
      <c r="U154">
        <v>0.90842834299430164</v>
      </c>
      <c r="V154">
        <v>0.14477111066893095</v>
      </c>
      <c r="W154">
        <v>0.65555317273586644</v>
      </c>
      <c r="X154">
        <v>0.95216700366727047</v>
      </c>
      <c r="Y154">
        <v>9.992606438295927E-2</v>
      </c>
      <c r="Z154">
        <v>0.3363096170945869</v>
      </c>
      <c r="BJ154">
        <v>0.21319195350513162</v>
      </c>
      <c r="CE154">
        <v>0.15565171925063212</v>
      </c>
      <c r="CF154">
        <v>4.2163235704306579E-2</v>
      </c>
      <c r="CG154">
        <v>1.6641219561645038E-2</v>
      </c>
      <c r="CH154">
        <v>1.6358223634191215E-2</v>
      </c>
      <c r="CI154" s="31">
        <f t="shared" si="2"/>
        <v>8.7095079128334199</v>
      </c>
    </row>
    <row r="155" spans="1:87">
      <c r="A155">
        <v>63</v>
      </c>
      <c r="C155">
        <v>6.6854993466236804E-3</v>
      </c>
      <c r="D155">
        <v>2.0146911494340327E-3</v>
      </c>
      <c r="E155">
        <v>7.9960529525673722E-3</v>
      </c>
      <c r="F155">
        <v>3.0093016955843242E-2</v>
      </c>
      <c r="G155">
        <v>2.9045357795726375E-3</v>
      </c>
      <c r="H155">
        <v>6.3160844621214948E-2</v>
      </c>
      <c r="I155">
        <v>3.4688548511521033E-2</v>
      </c>
      <c r="J155">
        <v>4.2037740779466093E-2</v>
      </c>
      <c r="K155">
        <v>4.9736440356351615E-2</v>
      </c>
      <c r="L155">
        <v>2.1908665573042253E-2</v>
      </c>
      <c r="M155">
        <v>6.0962016935112197E-2</v>
      </c>
      <c r="N155">
        <v>2.7627139021647977E-2</v>
      </c>
      <c r="O155">
        <v>7.2449181066908785E-2</v>
      </c>
      <c r="P155">
        <v>1.2860118476152371E-2</v>
      </c>
      <c r="Q155">
        <v>2.8473522143877415E-2</v>
      </c>
      <c r="R155">
        <v>7.9761229765949303E-3</v>
      </c>
      <c r="S155">
        <v>3.109643913043883E-2</v>
      </c>
      <c r="T155">
        <v>1.3749191791198609E-2</v>
      </c>
      <c r="U155">
        <v>9.0769915768349779E-2</v>
      </c>
      <c r="V155">
        <v>1.4465490451118317E-2</v>
      </c>
      <c r="W155">
        <v>6.5502696750713671E-2</v>
      </c>
      <c r="X155">
        <v>9.5140270982080402E-2</v>
      </c>
      <c r="Y155">
        <v>9.9845854844280279E-3</v>
      </c>
      <c r="Z155">
        <v>3.3603966511151787E-2</v>
      </c>
      <c r="AA155">
        <v>1.3186781112886951E-2</v>
      </c>
      <c r="AB155">
        <v>2.2500945132904463E-2</v>
      </c>
      <c r="AC155">
        <v>1.73221155341057E-2</v>
      </c>
      <c r="AD155">
        <v>3.4109359182894344E-3</v>
      </c>
      <c r="AE155">
        <v>1.0145065515887548E-2</v>
      </c>
      <c r="AF155">
        <v>2.5938289508073014E-2</v>
      </c>
      <c r="AG155">
        <v>2.7771007719070758E-2</v>
      </c>
      <c r="AH155">
        <v>2.1016900318192429E-2</v>
      </c>
      <c r="AI155">
        <v>0.10712216423155635</v>
      </c>
      <c r="AJ155">
        <v>1.3880825744398063E-2</v>
      </c>
      <c r="AK155">
        <v>5.6769909302906527E-2</v>
      </c>
      <c r="AL155">
        <v>5.6940207988833293E-2</v>
      </c>
      <c r="AM155">
        <v>0.10877455726371579</v>
      </c>
      <c r="AN155">
        <v>4.9438820489392264E-2</v>
      </c>
      <c r="AO155">
        <v>4.5115627181558683E-2</v>
      </c>
      <c r="AP155">
        <v>1.900463708340271E-2</v>
      </c>
      <c r="AQ155">
        <v>2.7109188873139411E-2</v>
      </c>
      <c r="AR155">
        <v>2.0899018820786035E-2</v>
      </c>
      <c r="BG155">
        <v>0.15145410613347729</v>
      </c>
      <c r="BH155">
        <v>0.39182734372781641</v>
      </c>
      <c r="BJ155">
        <v>2.1302082669906443E-2</v>
      </c>
      <c r="BK155">
        <v>2.824681434775999E-2</v>
      </c>
      <c r="CA155">
        <v>4.2554957121920499E-2</v>
      </c>
      <c r="CE155">
        <v>1.5552677934958851E-2</v>
      </c>
      <c r="CF155">
        <v>4.2129391744715671E-3</v>
      </c>
      <c r="CG155">
        <v>1.6627861840090232E-3</v>
      </c>
      <c r="CH155">
        <v>1.6345093070314729E-3</v>
      </c>
      <c r="CI155" s="31">
        <f t="shared" si="2"/>
        <v>2.1306819078558612</v>
      </c>
    </row>
    <row r="156" spans="1:87">
      <c r="A156">
        <v>64</v>
      </c>
      <c r="C156">
        <v>3.9886181800593452E-3</v>
      </c>
      <c r="D156">
        <v>1.2019795873430919E-3</v>
      </c>
      <c r="E156">
        <v>4.7705041197011223E-3</v>
      </c>
      <c r="F156">
        <v>1.7953715691188869E-2</v>
      </c>
      <c r="G156">
        <v>1.7328674515370314E-3</v>
      </c>
      <c r="H156">
        <v>3.7682225375028813E-2</v>
      </c>
      <c r="I156">
        <v>2.069544368481582E-2</v>
      </c>
      <c r="J156">
        <v>2.5080025952927319E-2</v>
      </c>
      <c r="K156">
        <v>2.9673126857303084E-2</v>
      </c>
      <c r="L156">
        <v>1.3070871340314778E-2</v>
      </c>
      <c r="M156">
        <v>3.6370388572885319E-2</v>
      </c>
      <c r="N156">
        <v>1.648255474296358E-2</v>
      </c>
      <c r="O156">
        <v>4.3223715350420418E-2</v>
      </c>
      <c r="P156">
        <v>7.6724414575858185E-3</v>
      </c>
      <c r="Q156">
        <v>1.6987513151242334E-2</v>
      </c>
      <c r="R156">
        <v>4.7586137491587967E-3</v>
      </c>
      <c r="S156">
        <v>1.8552364755433839E-2</v>
      </c>
      <c r="T156">
        <v>8.2028691495113198E-3</v>
      </c>
      <c r="U156">
        <v>5.4154000690903752E-2</v>
      </c>
      <c r="V156">
        <v>8.6302182088977015E-3</v>
      </c>
      <c r="W156">
        <v>3.9079391614144011E-2</v>
      </c>
      <c r="X156">
        <v>5.6761386819451712E-2</v>
      </c>
      <c r="Y156">
        <v>5.9568772830197927E-3</v>
      </c>
      <c r="Z156">
        <v>2.0048374070393879E-2</v>
      </c>
      <c r="AA156">
        <v>7.8673307940545553E-3</v>
      </c>
      <c r="AB156">
        <v>1.3424229690628129E-2</v>
      </c>
      <c r="AC156">
        <v>1.0334501785766378E-2</v>
      </c>
      <c r="AD156">
        <v>2.0349895062928142E-3</v>
      </c>
      <c r="AE156">
        <v>6.0526208524719688E-3</v>
      </c>
      <c r="AF156">
        <v>1.54749746769164E-2</v>
      </c>
      <c r="AG156">
        <v>1.6568387868109536E-2</v>
      </c>
      <c r="AH156">
        <v>1.2538837617263767E-2</v>
      </c>
      <c r="AI156">
        <v>6.39098726345802E-2</v>
      </c>
      <c r="AJ156">
        <v>8.2814029360877232E-3</v>
      </c>
      <c r="AK156">
        <v>3.3869346265099382E-2</v>
      </c>
      <c r="AL156">
        <v>3.397094771616687E-2</v>
      </c>
      <c r="AM156">
        <v>6.4895702495142982E-2</v>
      </c>
      <c r="AN156">
        <v>2.9495564651317616E-2</v>
      </c>
      <c r="AO156">
        <v>2.6916315663395071E-2</v>
      </c>
      <c r="AP156">
        <v>1.1338306541690381E-2</v>
      </c>
      <c r="AQ156">
        <v>1.6173541867246372E-2</v>
      </c>
      <c r="AR156">
        <v>1.2468508647164443E-2</v>
      </c>
      <c r="AS156">
        <v>7.5652156006099282E-3</v>
      </c>
      <c r="AT156">
        <v>2.0706574115839444E-2</v>
      </c>
      <c r="AU156">
        <v>5.2629640689027613E-3</v>
      </c>
      <c r="AV156">
        <v>1.2623559595657421E-3</v>
      </c>
      <c r="AW156">
        <v>3.6117660013451895E-2</v>
      </c>
      <c r="AX156">
        <v>3.7124842338421677E-3</v>
      </c>
      <c r="AY156">
        <v>2.4134833428219173E-2</v>
      </c>
      <c r="AZ156">
        <v>1.5677146933939051E-2</v>
      </c>
      <c r="BA156">
        <v>1.171104160161633E-2</v>
      </c>
      <c r="BB156">
        <v>8.208931276180555E-3</v>
      </c>
      <c r="BC156">
        <v>3.5801884663960084E-3</v>
      </c>
      <c r="BD156">
        <v>2.1514009555317258E-2</v>
      </c>
      <c r="BG156">
        <v>9.0358635884648569E-2</v>
      </c>
      <c r="BH156">
        <v>0.23376708090270071</v>
      </c>
      <c r="BI156">
        <v>7.6833452860432139E-2</v>
      </c>
      <c r="BJ156">
        <v>1.2708979509993598E-2</v>
      </c>
      <c r="BK156">
        <v>1.6852257609319077E-2</v>
      </c>
      <c r="BL156">
        <v>0.21608223097978047</v>
      </c>
      <c r="BN156">
        <v>1.6381114266765903E-2</v>
      </c>
      <c r="BO156">
        <v>9.5436071228022449E-3</v>
      </c>
      <c r="BP156">
        <v>6.4684395995079288E-3</v>
      </c>
      <c r="BQ156">
        <v>2.8640186166874037E-2</v>
      </c>
      <c r="BR156">
        <v>9.4515050754088482E-3</v>
      </c>
      <c r="BS156">
        <v>1.2562746904086488E-2</v>
      </c>
      <c r="BT156">
        <v>5.549540240734706E-3</v>
      </c>
      <c r="BU156">
        <v>2.8543258530494279E-2</v>
      </c>
      <c r="BV156">
        <v>1.175897670315538E-2</v>
      </c>
      <c r="BW156">
        <v>2.5896980091428112E-3</v>
      </c>
      <c r="BX156">
        <v>2.2667587104873098E-3</v>
      </c>
      <c r="BY156">
        <v>7.6055296283307752E-3</v>
      </c>
      <c r="BZ156">
        <v>1.1048417939666849E-2</v>
      </c>
      <c r="CA156">
        <v>2.5388601034544715E-2</v>
      </c>
      <c r="CB156">
        <v>4.9251251917649792E-2</v>
      </c>
      <c r="CC156">
        <v>6.4968807667569239E-2</v>
      </c>
      <c r="CD156">
        <v>2.1281765470211683E-2</v>
      </c>
      <c r="CE156">
        <v>9.27884227396014E-3</v>
      </c>
      <c r="CF156">
        <v>2.513470559423176E-3</v>
      </c>
      <c r="CG156">
        <v>9.9203049155023918E-4</v>
      </c>
      <c r="CH156">
        <v>9.7516029835443597E-4</v>
      </c>
      <c r="CI156" s="31">
        <f t="shared" si="2"/>
        <v>2.0114612216771026</v>
      </c>
    </row>
    <row r="157" spans="1:87">
      <c r="A157">
        <v>65</v>
      </c>
      <c r="CI157" s="31">
        <f t="shared" si="2"/>
        <v>0</v>
      </c>
    </row>
    <row r="158" spans="1:87">
      <c r="A158">
        <v>66</v>
      </c>
      <c r="CI158" s="31">
        <f t="shared" ref="CI158:CI178" si="3">SUM(B158:CH158)</f>
        <v>0</v>
      </c>
    </row>
    <row r="159" spans="1:87">
      <c r="A159">
        <v>67</v>
      </c>
      <c r="BO159">
        <v>0</v>
      </c>
      <c r="CI159" s="31">
        <f t="shared" si="3"/>
        <v>0</v>
      </c>
    </row>
    <row r="160" spans="1:87">
      <c r="A160">
        <v>68</v>
      </c>
      <c r="CI160" s="31">
        <f t="shared" si="3"/>
        <v>0</v>
      </c>
    </row>
    <row r="161" spans="1:87">
      <c r="A161">
        <v>69</v>
      </c>
      <c r="CI161" s="31">
        <f t="shared" si="3"/>
        <v>0</v>
      </c>
    </row>
    <row r="162" spans="1:87">
      <c r="A162">
        <v>70</v>
      </c>
      <c r="CI162" s="31">
        <f t="shared" si="3"/>
        <v>0</v>
      </c>
    </row>
    <row r="163" spans="1:87">
      <c r="A163">
        <v>71</v>
      </c>
      <c r="CI163" s="31">
        <f t="shared" si="3"/>
        <v>0</v>
      </c>
    </row>
    <row r="164" spans="1:87">
      <c r="A164">
        <v>72</v>
      </c>
      <c r="BT164">
        <v>0</v>
      </c>
      <c r="CI164" s="31">
        <f t="shared" si="3"/>
        <v>0</v>
      </c>
    </row>
    <row r="165" spans="1:87">
      <c r="A165">
        <v>73</v>
      </c>
      <c r="CI165" s="31">
        <f t="shared" si="3"/>
        <v>0</v>
      </c>
    </row>
    <row r="166" spans="1:87">
      <c r="A166">
        <v>74</v>
      </c>
      <c r="CI166" s="31">
        <f t="shared" si="3"/>
        <v>0</v>
      </c>
    </row>
    <row r="167" spans="1:87">
      <c r="A167">
        <v>75</v>
      </c>
      <c r="CI167" s="31">
        <f t="shared" si="3"/>
        <v>0</v>
      </c>
    </row>
    <row r="168" spans="1:87">
      <c r="A168">
        <v>76</v>
      </c>
      <c r="BX168">
        <v>0</v>
      </c>
      <c r="CI168" s="31">
        <f t="shared" si="3"/>
        <v>0</v>
      </c>
    </row>
    <row r="169" spans="1:87">
      <c r="A169">
        <v>77</v>
      </c>
      <c r="BW169">
        <v>5.294239045283285E-3</v>
      </c>
      <c r="BX169">
        <v>4.6340393470318767E-3</v>
      </c>
      <c r="BY169">
        <v>1.554833489318529E-2</v>
      </c>
      <c r="CI169" s="31">
        <f t="shared" si="3"/>
        <v>2.5476613285500452E-2</v>
      </c>
    </row>
    <row r="170" spans="1:87">
      <c r="A170">
        <v>78</v>
      </c>
      <c r="CI170" s="31">
        <f t="shared" si="3"/>
        <v>0</v>
      </c>
    </row>
    <row r="171" spans="1:87">
      <c r="A171">
        <v>79</v>
      </c>
      <c r="BN171">
        <v>0</v>
      </c>
      <c r="CI171" s="31">
        <f t="shared" si="3"/>
        <v>0</v>
      </c>
    </row>
    <row r="172" spans="1:87">
      <c r="A172">
        <v>80</v>
      </c>
      <c r="BN172">
        <v>2.7389461322367775E-2</v>
      </c>
      <c r="BO172">
        <v>1.5957049924020358E-2</v>
      </c>
      <c r="BP172">
        <v>1.0815325095816716E-2</v>
      </c>
      <c r="BQ172">
        <v>4.7886807851312281E-2</v>
      </c>
      <c r="BR172">
        <v>1.5803053961126051E-2</v>
      </c>
      <c r="BS172">
        <v>2.1005095552642461E-2</v>
      </c>
      <c r="CB172">
        <v>8.2348809580887236E-2</v>
      </c>
      <c r="CI172" s="31">
        <f t="shared" si="3"/>
        <v>0.2212056032881729</v>
      </c>
    </row>
    <row r="173" spans="1:87">
      <c r="A173">
        <v>81</v>
      </c>
      <c r="BN173">
        <v>2.0403580221041787E-2</v>
      </c>
      <c r="BO173">
        <v>1.1887088409074712E-2</v>
      </c>
      <c r="BP173">
        <v>8.0567978541779568E-3</v>
      </c>
      <c r="BQ173">
        <v>3.5672929599602589E-2</v>
      </c>
      <c r="BR173">
        <v>1.1772370235334487E-2</v>
      </c>
      <c r="BS173">
        <v>1.5647593324845225E-2</v>
      </c>
      <c r="BT173">
        <v>6.9122580825562501E-3</v>
      </c>
      <c r="BU173">
        <v>3.5552200888948102E-2</v>
      </c>
      <c r="BV173">
        <v>1.4646453261543626E-2</v>
      </c>
      <c r="BW173">
        <v>3.2256115315072212E-3</v>
      </c>
      <c r="BX173">
        <v>2.8233728449721701E-3</v>
      </c>
      <c r="BY173">
        <v>9.4731061250202739E-3</v>
      </c>
      <c r="BZ173">
        <v>1.3761413178402515E-2</v>
      </c>
      <c r="CB173">
        <v>6.1345147413277991E-2</v>
      </c>
      <c r="CC173">
        <v>8.092222894751798E-2</v>
      </c>
      <c r="CI173" s="31">
        <f t="shared" si="3"/>
        <v>0.33210215191782289</v>
      </c>
    </row>
    <row r="174" spans="1:87">
      <c r="A174">
        <v>82</v>
      </c>
      <c r="CI174" s="31">
        <f t="shared" si="3"/>
        <v>0</v>
      </c>
    </row>
    <row r="175" spans="1:87">
      <c r="A175">
        <v>83</v>
      </c>
      <c r="CI175" s="31">
        <f t="shared" si="3"/>
        <v>0</v>
      </c>
    </row>
    <row r="176" spans="1:87">
      <c r="A176">
        <v>84</v>
      </c>
      <c r="CI176" s="31">
        <f t="shared" si="3"/>
        <v>0</v>
      </c>
    </row>
    <row r="177" spans="1:87">
      <c r="A177">
        <v>85</v>
      </c>
      <c r="CI177" s="31">
        <f t="shared" si="3"/>
        <v>0</v>
      </c>
    </row>
    <row r="178" spans="1:87">
      <c r="CI178" s="31">
        <f t="shared" si="3"/>
        <v>0</v>
      </c>
    </row>
    <row r="179" spans="1:87">
      <c r="A179" t="s">
        <v>214</v>
      </c>
      <c r="CI179" s="31"/>
    </row>
    <row r="180" spans="1:87">
      <c r="B180">
        <v>1</v>
      </c>
      <c r="C180">
        <v>2</v>
      </c>
      <c r="D180">
        <v>3</v>
      </c>
      <c r="E180">
        <v>4</v>
      </c>
      <c r="F180">
        <v>5</v>
      </c>
      <c r="G180">
        <v>6</v>
      </c>
      <c r="H180">
        <v>7</v>
      </c>
      <c r="I180">
        <v>8</v>
      </c>
      <c r="J180">
        <v>9</v>
      </c>
      <c r="K180">
        <v>10</v>
      </c>
      <c r="L180">
        <v>11</v>
      </c>
      <c r="M180">
        <v>12</v>
      </c>
      <c r="N180">
        <v>13</v>
      </c>
      <c r="O180">
        <v>14</v>
      </c>
      <c r="P180">
        <v>15</v>
      </c>
      <c r="Q180">
        <v>16</v>
      </c>
      <c r="R180">
        <v>17</v>
      </c>
      <c r="S180">
        <v>18</v>
      </c>
      <c r="T180">
        <v>19</v>
      </c>
      <c r="U180">
        <v>20</v>
      </c>
      <c r="V180">
        <v>21</v>
      </c>
      <c r="W180">
        <v>22</v>
      </c>
      <c r="X180">
        <v>23</v>
      </c>
      <c r="Y180">
        <v>24</v>
      </c>
      <c r="Z180">
        <v>25</v>
      </c>
      <c r="AA180">
        <v>26</v>
      </c>
      <c r="AB180">
        <v>27</v>
      </c>
      <c r="AC180">
        <v>28</v>
      </c>
      <c r="AD180">
        <v>29</v>
      </c>
      <c r="AE180">
        <v>30</v>
      </c>
      <c r="AF180">
        <v>31</v>
      </c>
      <c r="AG180">
        <v>32</v>
      </c>
      <c r="AH180">
        <v>33</v>
      </c>
      <c r="AI180">
        <v>34</v>
      </c>
      <c r="AJ180">
        <v>35</v>
      </c>
      <c r="AK180">
        <v>36</v>
      </c>
      <c r="AL180">
        <v>37</v>
      </c>
      <c r="AM180">
        <v>38</v>
      </c>
      <c r="AN180">
        <v>39</v>
      </c>
      <c r="AO180">
        <v>40</v>
      </c>
      <c r="AP180">
        <v>41</v>
      </c>
      <c r="AQ180">
        <v>42</v>
      </c>
      <c r="AR180">
        <v>43</v>
      </c>
      <c r="AS180">
        <v>44</v>
      </c>
      <c r="AT180">
        <v>45</v>
      </c>
      <c r="AU180">
        <v>46</v>
      </c>
      <c r="AV180">
        <v>47</v>
      </c>
      <c r="AW180">
        <v>48</v>
      </c>
      <c r="AX180">
        <v>49</v>
      </c>
      <c r="AY180">
        <v>50</v>
      </c>
      <c r="AZ180">
        <v>51</v>
      </c>
      <c r="BA180">
        <v>52</v>
      </c>
      <c r="BB180">
        <v>53</v>
      </c>
      <c r="BC180">
        <v>54</v>
      </c>
      <c r="BD180">
        <v>55</v>
      </c>
      <c r="BE180">
        <v>56</v>
      </c>
      <c r="BF180">
        <v>57</v>
      </c>
      <c r="BG180">
        <v>58</v>
      </c>
      <c r="BH180">
        <v>59</v>
      </c>
      <c r="BI180">
        <v>60</v>
      </c>
      <c r="BJ180">
        <v>61</v>
      </c>
      <c r="BK180">
        <v>62</v>
      </c>
      <c r="BL180">
        <v>63</v>
      </c>
      <c r="BM180">
        <v>64</v>
      </c>
      <c r="BN180">
        <v>65</v>
      </c>
      <c r="BO180">
        <v>66</v>
      </c>
      <c r="BP180">
        <v>67</v>
      </c>
      <c r="BQ180">
        <v>68</v>
      </c>
      <c r="BR180">
        <v>69</v>
      </c>
      <c r="BS180">
        <v>70</v>
      </c>
      <c r="BT180">
        <v>71</v>
      </c>
      <c r="BU180">
        <v>72</v>
      </c>
      <c r="BV180">
        <v>73</v>
      </c>
      <c r="BW180">
        <v>74</v>
      </c>
      <c r="BX180">
        <v>75</v>
      </c>
      <c r="BY180">
        <v>76</v>
      </c>
      <c r="BZ180">
        <v>77</v>
      </c>
      <c r="CA180">
        <v>78</v>
      </c>
      <c r="CB180">
        <v>79</v>
      </c>
      <c r="CC180">
        <v>80</v>
      </c>
      <c r="CD180">
        <v>81</v>
      </c>
      <c r="CE180">
        <v>82</v>
      </c>
      <c r="CF180">
        <v>83</v>
      </c>
      <c r="CG180">
        <v>84</v>
      </c>
      <c r="CH180">
        <v>85</v>
      </c>
      <c r="CI180" s="31" t="s">
        <v>180</v>
      </c>
    </row>
    <row r="181" spans="1:87">
      <c r="CI181" s="31"/>
    </row>
    <row r="182" spans="1:87">
      <c r="A182">
        <v>1</v>
      </c>
      <c r="CI182" s="31">
        <f>SUM(B182:CH182)</f>
        <v>0</v>
      </c>
    </row>
    <row r="183" spans="1:87">
      <c r="A183">
        <v>2</v>
      </c>
      <c r="CI183" s="31">
        <f t="shared" ref="CI183:CI246" si="4">SUM(B183:CH183)</f>
        <v>0</v>
      </c>
    </row>
    <row r="184" spans="1:87">
      <c r="A184">
        <v>3</v>
      </c>
      <c r="C184">
        <v>0</v>
      </c>
      <c r="CI184" s="31">
        <f t="shared" si="4"/>
        <v>0</v>
      </c>
    </row>
    <row r="185" spans="1:87">
      <c r="A185">
        <v>4</v>
      </c>
      <c r="CI185" s="31">
        <f t="shared" si="4"/>
        <v>0</v>
      </c>
    </row>
    <row r="186" spans="1:87">
      <c r="A186">
        <v>5</v>
      </c>
      <c r="E186">
        <v>0</v>
      </c>
      <c r="CI186" s="31">
        <f t="shared" si="4"/>
        <v>0</v>
      </c>
    </row>
    <row r="187" spans="1:87">
      <c r="A187">
        <v>6</v>
      </c>
      <c r="CI187" s="31">
        <f t="shared" si="4"/>
        <v>0</v>
      </c>
    </row>
    <row r="188" spans="1:87">
      <c r="A188">
        <v>7</v>
      </c>
      <c r="G188">
        <v>0</v>
      </c>
      <c r="CI188" s="31">
        <f t="shared" si="4"/>
        <v>0</v>
      </c>
    </row>
    <row r="189" spans="1:87">
      <c r="A189">
        <v>8</v>
      </c>
      <c r="CI189" s="31">
        <f t="shared" si="4"/>
        <v>0</v>
      </c>
    </row>
    <row r="190" spans="1:87">
      <c r="A190">
        <v>9</v>
      </c>
      <c r="CI190" s="31">
        <f t="shared" si="4"/>
        <v>0</v>
      </c>
    </row>
    <row r="191" spans="1:87">
      <c r="A191">
        <v>10</v>
      </c>
      <c r="J191">
        <v>0</v>
      </c>
      <c r="CI191" s="31">
        <f t="shared" si="4"/>
        <v>0</v>
      </c>
    </row>
    <row r="192" spans="1:87">
      <c r="A192">
        <v>11</v>
      </c>
      <c r="CI192" s="31">
        <f t="shared" si="4"/>
        <v>0</v>
      </c>
    </row>
    <row r="193" spans="1:87">
      <c r="A193">
        <v>12</v>
      </c>
      <c r="L193">
        <v>0</v>
      </c>
      <c r="CI193" s="31">
        <f t="shared" si="4"/>
        <v>0</v>
      </c>
    </row>
    <row r="194" spans="1:87">
      <c r="A194">
        <v>13</v>
      </c>
      <c r="L194">
        <v>0</v>
      </c>
      <c r="M194">
        <v>0</v>
      </c>
      <c r="CI194" s="31">
        <f t="shared" si="4"/>
        <v>0</v>
      </c>
    </row>
    <row r="195" spans="1:87">
      <c r="A195">
        <v>14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CI195" s="31">
        <f t="shared" si="4"/>
        <v>0</v>
      </c>
    </row>
    <row r="196" spans="1:87">
      <c r="A196">
        <v>15</v>
      </c>
      <c r="CE196">
        <v>0</v>
      </c>
      <c r="CI196" s="31">
        <f t="shared" si="4"/>
        <v>0</v>
      </c>
    </row>
    <row r="197" spans="1:87">
      <c r="A197">
        <v>16</v>
      </c>
      <c r="CI197" s="31">
        <f t="shared" si="4"/>
        <v>0</v>
      </c>
    </row>
    <row r="198" spans="1:87">
      <c r="A198">
        <v>17</v>
      </c>
      <c r="CH198">
        <v>0</v>
      </c>
      <c r="CI198" s="31">
        <f t="shared" si="4"/>
        <v>0</v>
      </c>
    </row>
    <row r="199" spans="1:87">
      <c r="A199">
        <v>18</v>
      </c>
      <c r="R199">
        <v>0</v>
      </c>
      <c r="T199">
        <v>0</v>
      </c>
      <c r="CF199">
        <v>0</v>
      </c>
      <c r="CG199">
        <v>0</v>
      </c>
      <c r="CH199">
        <v>0</v>
      </c>
      <c r="CI199" s="31">
        <f t="shared" si="4"/>
        <v>0</v>
      </c>
    </row>
    <row r="200" spans="1:87">
      <c r="A200">
        <v>19</v>
      </c>
      <c r="CF200">
        <v>0</v>
      </c>
      <c r="CI200" s="31">
        <f t="shared" si="4"/>
        <v>0</v>
      </c>
    </row>
    <row r="201" spans="1:87">
      <c r="A201">
        <v>20</v>
      </c>
      <c r="CI201" s="31">
        <f t="shared" si="4"/>
        <v>0</v>
      </c>
    </row>
    <row r="202" spans="1:87">
      <c r="A202">
        <v>21</v>
      </c>
      <c r="U202">
        <v>0</v>
      </c>
      <c r="CI202" s="31">
        <f t="shared" si="4"/>
        <v>0</v>
      </c>
    </row>
    <row r="203" spans="1:87">
      <c r="A203">
        <v>22</v>
      </c>
      <c r="CI203" s="31">
        <f t="shared" si="4"/>
        <v>0</v>
      </c>
    </row>
    <row r="204" spans="1:87">
      <c r="A204">
        <v>23</v>
      </c>
      <c r="W204">
        <v>0</v>
      </c>
      <c r="CI204" s="31">
        <f t="shared" si="4"/>
        <v>0</v>
      </c>
    </row>
    <row r="205" spans="1:87">
      <c r="A205">
        <v>24</v>
      </c>
      <c r="CI205" s="31">
        <f t="shared" si="4"/>
        <v>0</v>
      </c>
    </row>
    <row r="206" spans="1:87">
      <c r="A206">
        <v>25</v>
      </c>
      <c r="CI206" s="31">
        <f t="shared" si="4"/>
        <v>0</v>
      </c>
    </row>
    <row r="207" spans="1:87">
      <c r="A207">
        <v>26</v>
      </c>
      <c r="CI207" s="31">
        <f t="shared" si="4"/>
        <v>0</v>
      </c>
    </row>
    <row r="208" spans="1:87">
      <c r="A208">
        <v>27</v>
      </c>
      <c r="CI208" s="31">
        <f t="shared" si="4"/>
        <v>0</v>
      </c>
    </row>
    <row r="209" spans="1:87">
      <c r="A209">
        <v>28</v>
      </c>
      <c r="CI209" s="31">
        <f t="shared" si="4"/>
        <v>0</v>
      </c>
    </row>
    <row r="210" spans="1:87">
      <c r="A210">
        <v>29</v>
      </c>
      <c r="CI210" s="31">
        <f t="shared" si="4"/>
        <v>0</v>
      </c>
    </row>
    <row r="211" spans="1:87">
      <c r="A211">
        <v>30</v>
      </c>
      <c r="CI211" s="31">
        <f t="shared" si="4"/>
        <v>0</v>
      </c>
    </row>
    <row r="212" spans="1:87">
      <c r="A212">
        <v>31</v>
      </c>
      <c r="CI212" s="31">
        <f t="shared" si="4"/>
        <v>0</v>
      </c>
    </row>
    <row r="213" spans="1:87">
      <c r="A213">
        <v>32</v>
      </c>
      <c r="AE213">
        <v>0</v>
      </c>
      <c r="AF213">
        <v>0</v>
      </c>
      <c r="CI213" s="31">
        <f t="shared" si="4"/>
        <v>0</v>
      </c>
    </row>
    <row r="214" spans="1:87">
      <c r="A214">
        <v>33</v>
      </c>
      <c r="AD214">
        <v>0.91562382009930643</v>
      </c>
      <c r="CI214" s="31">
        <f t="shared" si="4"/>
        <v>0.91562382009930643</v>
      </c>
    </row>
    <row r="215" spans="1:87">
      <c r="A215">
        <v>34</v>
      </c>
      <c r="AD215">
        <v>0</v>
      </c>
      <c r="AE215">
        <v>0</v>
      </c>
      <c r="AF215">
        <v>0</v>
      </c>
      <c r="AG215">
        <v>0</v>
      </c>
      <c r="AH215">
        <v>0</v>
      </c>
      <c r="CI215" s="31">
        <f t="shared" si="4"/>
        <v>0</v>
      </c>
    </row>
    <row r="216" spans="1:87">
      <c r="A216">
        <v>35</v>
      </c>
      <c r="CI216" s="31">
        <f t="shared" si="4"/>
        <v>0</v>
      </c>
    </row>
    <row r="217" spans="1:87">
      <c r="A217">
        <v>36</v>
      </c>
      <c r="AJ217">
        <v>0</v>
      </c>
      <c r="CI217" s="31">
        <f t="shared" si="4"/>
        <v>0</v>
      </c>
    </row>
    <row r="218" spans="1:87">
      <c r="A218">
        <v>37</v>
      </c>
      <c r="CI218" s="31">
        <f t="shared" si="4"/>
        <v>0</v>
      </c>
    </row>
    <row r="219" spans="1:87">
      <c r="A219">
        <v>38</v>
      </c>
      <c r="AL219">
        <v>0</v>
      </c>
      <c r="CI219" s="31">
        <f t="shared" si="4"/>
        <v>0</v>
      </c>
    </row>
    <row r="220" spans="1:87">
      <c r="A220">
        <v>39</v>
      </c>
      <c r="CI220" s="31">
        <f t="shared" si="4"/>
        <v>0</v>
      </c>
    </row>
    <row r="221" spans="1:87">
      <c r="A221">
        <v>40</v>
      </c>
      <c r="CI221" s="31">
        <f t="shared" si="4"/>
        <v>0</v>
      </c>
    </row>
    <row r="222" spans="1:87">
      <c r="A222">
        <v>41</v>
      </c>
      <c r="CI222" s="31">
        <f t="shared" si="4"/>
        <v>0</v>
      </c>
    </row>
    <row r="223" spans="1:87">
      <c r="A223">
        <v>42</v>
      </c>
      <c r="AP223">
        <v>0</v>
      </c>
      <c r="CI223" s="31">
        <f t="shared" si="4"/>
        <v>0</v>
      </c>
    </row>
    <row r="224" spans="1:87">
      <c r="A224">
        <v>43</v>
      </c>
      <c r="AP224">
        <v>0</v>
      </c>
      <c r="AQ224">
        <v>0</v>
      </c>
      <c r="CI224" s="31">
        <f t="shared" si="4"/>
        <v>0</v>
      </c>
    </row>
    <row r="225" spans="1:87">
      <c r="A225">
        <v>44</v>
      </c>
      <c r="CI225" s="31">
        <f t="shared" si="4"/>
        <v>0</v>
      </c>
    </row>
    <row r="226" spans="1:87">
      <c r="A226">
        <v>45</v>
      </c>
      <c r="CI226" s="31">
        <f t="shared" si="4"/>
        <v>0</v>
      </c>
    </row>
    <row r="227" spans="1:87">
      <c r="A227">
        <v>46</v>
      </c>
      <c r="CI227" s="31">
        <f t="shared" si="4"/>
        <v>0</v>
      </c>
    </row>
    <row r="228" spans="1:87">
      <c r="A228">
        <v>47</v>
      </c>
      <c r="CI228" s="31">
        <f t="shared" si="4"/>
        <v>0</v>
      </c>
    </row>
    <row r="229" spans="1:87">
      <c r="A229">
        <v>48</v>
      </c>
      <c r="AT229">
        <v>0</v>
      </c>
      <c r="AU229">
        <v>0</v>
      </c>
      <c r="AV229">
        <v>0</v>
      </c>
      <c r="CI229" s="31">
        <f t="shared" si="4"/>
        <v>0</v>
      </c>
    </row>
    <row r="230" spans="1:87">
      <c r="A230">
        <v>49</v>
      </c>
      <c r="CI230" s="31">
        <f t="shared" si="4"/>
        <v>0</v>
      </c>
    </row>
    <row r="231" spans="1:87">
      <c r="A231">
        <v>50</v>
      </c>
      <c r="AX231">
        <v>0</v>
      </c>
      <c r="CI231" s="31">
        <f t="shared" si="4"/>
        <v>0</v>
      </c>
    </row>
    <row r="232" spans="1:87">
      <c r="A232">
        <v>51</v>
      </c>
      <c r="CI232" s="31">
        <f t="shared" si="4"/>
        <v>0</v>
      </c>
    </row>
    <row r="233" spans="1:87">
      <c r="A233">
        <v>52</v>
      </c>
      <c r="AX233">
        <v>0</v>
      </c>
      <c r="AY233">
        <v>0</v>
      </c>
      <c r="AZ233">
        <v>0</v>
      </c>
      <c r="CI233" s="31">
        <f t="shared" si="4"/>
        <v>0</v>
      </c>
    </row>
    <row r="234" spans="1:87">
      <c r="A234">
        <v>53</v>
      </c>
      <c r="CI234" s="31">
        <f t="shared" si="4"/>
        <v>0</v>
      </c>
    </row>
    <row r="235" spans="1:87">
      <c r="A235">
        <v>54</v>
      </c>
      <c r="CI235" s="31">
        <f t="shared" si="4"/>
        <v>0</v>
      </c>
    </row>
    <row r="236" spans="1:87">
      <c r="A236">
        <v>55</v>
      </c>
      <c r="BB236">
        <v>0</v>
      </c>
      <c r="BC236">
        <v>0</v>
      </c>
      <c r="CI236" s="31">
        <f t="shared" si="4"/>
        <v>0</v>
      </c>
    </row>
    <row r="237" spans="1:87">
      <c r="A237">
        <v>56</v>
      </c>
      <c r="CI237" s="31">
        <f t="shared" si="4"/>
        <v>0</v>
      </c>
    </row>
    <row r="238" spans="1:87">
      <c r="A238">
        <v>57</v>
      </c>
      <c r="CI238" s="31">
        <f t="shared" si="4"/>
        <v>0</v>
      </c>
    </row>
    <row r="239" spans="1:87">
      <c r="A239">
        <v>58</v>
      </c>
      <c r="AB239">
        <v>0.74850002750332956</v>
      </c>
      <c r="AC239">
        <v>0.57622485976082849</v>
      </c>
      <c r="CA239">
        <v>1.4156021619545609</v>
      </c>
      <c r="CI239" s="31">
        <f t="shared" si="4"/>
        <v>2.7403270492187186</v>
      </c>
    </row>
    <row r="240" spans="1:87">
      <c r="A240">
        <v>59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BG240">
        <v>0</v>
      </c>
      <c r="CA240">
        <v>0</v>
      </c>
      <c r="CI240" s="31">
        <f t="shared" si="4"/>
        <v>0</v>
      </c>
    </row>
    <row r="241" spans="1:87">
      <c r="A241">
        <v>60</v>
      </c>
      <c r="AS241">
        <v>0</v>
      </c>
      <c r="AT241">
        <v>0</v>
      </c>
      <c r="AU241">
        <v>0</v>
      </c>
      <c r="AV241">
        <v>0</v>
      </c>
      <c r="AW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B241">
        <v>0</v>
      </c>
      <c r="CC241">
        <v>0</v>
      </c>
      <c r="CD241">
        <v>0</v>
      </c>
      <c r="CI241" s="31">
        <f t="shared" si="4"/>
        <v>0</v>
      </c>
    </row>
    <row r="242" spans="1:87">
      <c r="A242">
        <v>61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CI242" s="31">
        <f t="shared" si="4"/>
        <v>0</v>
      </c>
    </row>
    <row r="243" spans="1:87">
      <c r="A243">
        <v>62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BJ243">
        <v>0</v>
      </c>
      <c r="CE243">
        <v>0</v>
      </c>
      <c r="CF243">
        <v>0</v>
      </c>
      <c r="CG243">
        <v>0</v>
      </c>
      <c r="CH243">
        <v>0</v>
      </c>
      <c r="CI243" s="31">
        <f t="shared" si="4"/>
        <v>0</v>
      </c>
    </row>
    <row r="244" spans="1:87">
      <c r="A244">
        <v>63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BG244">
        <v>0</v>
      </c>
      <c r="BH244">
        <v>0</v>
      </c>
      <c r="BJ244">
        <v>0</v>
      </c>
      <c r="BK244">
        <v>0</v>
      </c>
      <c r="CA244">
        <v>0</v>
      </c>
      <c r="CE244">
        <v>0</v>
      </c>
      <c r="CF244">
        <v>0</v>
      </c>
      <c r="CG244">
        <v>0</v>
      </c>
      <c r="CH244">
        <v>0</v>
      </c>
      <c r="CI244" s="31">
        <f t="shared" si="4"/>
        <v>0</v>
      </c>
    </row>
    <row r="245" spans="1:87">
      <c r="A245">
        <v>64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 s="31">
        <f t="shared" si="4"/>
        <v>0</v>
      </c>
    </row>
    <row r="246" spans="1:87">
      <c r="A246">
        <v>65</v>
      </c>
      <c r="CI246" s="31">
        <f t="shared" si="4"/>
        <v>0</v>
      </c>
    </row>
    <row r="247" spans="1:87">
      <c r="A247">
        <v>66</v>
      </c>
      <c r="CI247" s="31">
        <f t="shared" ref="CI247:CI262" si="5">SUM(B247:CH247)</f>
        <v>0</v>
      </c>
    </row>
    <row r="248" spans="1:87">
      <c r="A248">
        <v>67</v>
      </c>
      <c r="BO248">
        <v>0</v>
      </c>
      <c r="CI248" s="31">
        <f t="shared" si="5"/>
        <v>0</v>
      </c>
    </row>
    <row r="249" spans="1:87">
      <c r="A249">
        <v>68</v>
      </c>
      <c r="CI249" s="31">
        <f t="shared" si="5"/>
        <v>0</v>
      </c>
    </row>
    <row r="250" spans="1:87">
      <c r="A250">
        <v>69</v>
      </c>
      <c r="CI250" s="31">
        <f t="shared" si="5"/>
        <v>0</v>
      </c>
    </row>
    <row r="251" spans="1:87">
      <c r="A251">
        <v>70</v>
      </c>
      <c r="CI251" s="31">
        <f t="shared" si="5"/>
        <v>0</v>
      </c>
    </row>
    <row r="252" spans="1:87">
      <c r="A252">
        <v>71</v>
      </c>
      <c r="CI252" s="31">
        <f t="shared" si="5"/>
        <v>0</v>
      </c>
    </row>
    <row r="253" spans="1:87">
      <c r="A253">
        <v>72</v>
      </c>
      <c r="BT253">
        <v>0</v>
      </c>
      <c r="CI253" s="31">
        <f t="shared" si="5"/>
        <v>0</v>
      </c>
    </row>
    <row r="254" spans="1:87">
      <c r="A254">
        <v>73</v>
      </c>
      <c r="CI254" s="31">
        <f t="shared" si="5"/>
        <v>0</v>
      </c>
    </row>
    <row r="255" spans="1:87">
      <c r="A255">
        <v>74</v>
      </c>
      <c r="CI255" s="31">
        <f t="shared" si="5"/>
        <v>0</v>
      </c>
    </row>
    <row r="256" spans="1:87">
      <c r="A256">
        <v>75</v>
      </c>
      <c r="CI256" s="31">
        <f t="shared" si="5"/>
        <v>0</v>
      </c>
    </row>
    <row r="257" spans="1:87">
      <c r="A257">
        <v>76</v>
      </c>
      <c r="BX257">
        <v>0</v>
      </c>
      <c r="CI257" s="31">
        <f t="shared" si="5"/>
        <v>0</v>
      </c>
    </row>
    <row r="258" spans="1:87">
      <c r="A258">
        <v>77</v>
      </c>
      <c r="BW258">
        <v>0</v>
      </c>
      <c r="BX258">
        <v>0</v>
      </c>
      <c r="BY258">
        <v>0</v>
      </c>
      <c r="CI258" s="31">
        <f t="shared" si="5"/>
        <v>0</v>
      </c>
    </row>
    <row r="259" spans="1:87">
      <c r="A259">
        <v>78</v>
      </c>
      <c r="CI259" s="31">
        <f t="shared" si="5"/>
        <v>0</v>
      </c>
    </row>
    <row r="260" spans="1:87">
      <c r="A260">
        <v>79</v>
      </c>
      <c r="BN260">
        <v>0</v>
      </c>
      <c r="CI260" s="31">
        <f t="shared" si="5"/>
        <v>0</v>
      </c>
    </row>
    <row r="261" spans="1:87">
      <c r="A261">
        <v>80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CB261">
        <v>0</v>
      </c>
      <c r="CI261" s="31">
        <f t="shared" si="5"/>
        <v>0</v>
      </c>
    </row>
    <row r="262" spans="1:87">
      <c r="A262">
        <v>81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B262">
        <v>0</v>
      </c>
      <c r="CC262">
        <v>0</v>
      </c>
      <c r="CI262" s="31">
        <f t="shared" si="5"/>
        <v>0</v>
      </c>
    </row>
    <row r="263" spans="1:87">
      <c r="A263">
        <v>82</v>
      </c>
      <c r="CI263" s="31">
        <f>SUM(B263:CH263)</f>
        <v>0</v>
      </c>
    </row>
    <row r="264" spans="1:87">
      <c r="A264">
        <v>83</v>
      </c>
      <c r="CI264" s="31">
        <f>SUM(B264:CH264)</f>
        <v>0</v>
      </c>
    </row>
    <row r="265" spans="1:87">
      <c r="A265">
        <v>84</v>
      </c>
      <c r="CI265" s="31">
        <f>SUM(B265:CH265)</f>
        <v>0</v>
      </c>
    </row>
    <row r="266" spans="1:87">
      <c r="A266">
        <v>85</v>
      </c>
      <c r="CI266" s="31">
        <f>SUM(B266:CH266)</f>
        <v>0</v>
      </c>
    </row>
    <row r="267" spans="1:87">
      <c r="CI267" s="31"/>
    </row>
    <row r="268" spans="1:87">
      <c r="CI268" s="31"/>
    </row>
    <row r="269" spans="1:87">
      <c r="CI269" s="31"/>
    </row>
    <row r="270" spans="1:87">
      <c r="CI270" s="31"/>
    </row>
    <row r="271" spans="1:87">
      <c r="CI271" s="31"/>
    </row>
    <row r="272" spans="1:87">
      <c r="CI272" s="31"/>
    </row>
    <row r="273" spans="87:87">
      <c r="CI273" s="31"/>
    </row>
    <row r="274" spans="87:87">
      <c r="CI274" s="31"/>
    </row>
    <row r="275" spans="87:87">
      <c r="CI275" s="31"/>
    </row>
    <row r="276" spans="87:87">
      <c r="CI276" s="31"/>
    </row>
    <row r="277" spans="87:87">
      <c r="CI277" s="31"/>
    </row>
    <row r="278" spans="87:87">
      <c r="CI278" s="31"/>
    </row>
    <row r="279" spans="87:87">
      <c r="CI279" s="31"/>
    </row>
    <row r="280" spans="87:87">
      <c r="CI280" s="31"/>
    </row>
    <row r="281" spans="87:87">
      <c r="CI281" s="31"/>
    </row>
    <row r="282" spans="87:87">
      <c r="CI282" s="31"/>
    </row>
    <row r="283" spans="87:87">
      <c r="CI283" s="31"/>
    </row>
    <row r="284" spans="87:87">
      <c r="CI284" s="31"/>
    </row>
    <row r="285" spans="87:87">
      <c r="CI285" s="31"/>
    </row>
    <row r="286" spans="87:87">
      <c r="CI286" s="31"/>
    </row>
    <row r="287" spans="87:87">
      <c r="CI287" s="31"/>
    </row>
    <row r="288" spans="87:87">
      <c r="CI288" s="31"/>
    </row>
    <row r="289" spans="87:87">
      <c r="CI289" s="31"/>
    </row>
    <row r="290" spans="87:87">
      <c r="CI290" s="31"/>
    </row>
    <row r="291" spans="87:87">
      <c r="CI291" s="31"/>
    </row>
    <row r="292" spans="87:87">
      <c r="CI292" s="31"/>
    </row>
    <row r="293" spans="87:87">
      <c r="CI293" s="31"/>
    </row>
    <row r="294" spans="87:87">
      <c r="CI294" s="31"/>
    </row>
    <row r="295" spans="87:87">
      <c r="CI295" s="31"/>
    </row>
    <row r="296" spans="87:87">
      <c r="CI296" s="31"/>
    </row>
    <row r="297" spans="87:87">
      <c r="CI297" s="31"/>
    </row>
    <row r="298" spans="87:87">
      <c r="CI298" s="31"/>
    </row>
    <row r="299" spans="87:87">
      <c r="CI299" s="31"/>
    </row>
    <row r="300" spans="87:87">
      <c r="CI300" s="31"/>
    </row>
    <row r="301" spans="87:87">
      <c r="CI301" s="31"/>
    </row>
    <row r="302" spans="87:87">
      <c r="CI302" s="31"/>
    </row>
    <row r="303" spans="87:87">
      <c r="CI303" s="31"/>
    </row>
    <row r="304" spans="87:87">
      <c r="CI304" s="31"/>
    </row>
    <row r="305" spans="87:87">
      <c r="CI305" s="31"/>
    </row>
    <row r="306" spans="87:87">
      <c r="CI306" s="31"/>
    </row>
    <row r="307" spans="87:87">
      <c r="CI307" s="31"/>
    </row>
    <row r="308" spans="87:87">
      <c r="CI308" s="31"/>
    </row>
    <row r="309" spans="87:87">
      <c r="CI309" s="31"/>
    </row>
    <row r="310" spans="87:87">
      <c r="CI310" s="31"/>
    </row>
    <row r="311" spans="87:87">
      <c r="CI311" s="31"/>
    </row>
    <row r="312" spans="87:87">
      <c r="CI312" s="31"/>
    </row>
    <row r="313" spans="87:87">
      <c r="CI313" s="31"/>
    </row>
    <row r="314" spans="87:87">
      <c r="CI314" s="31"/>
    </row>
    <row r="315" spans="87:87">
      <c r="CI315" s="31"/>
    </row>
    <row r="316" spans="87:87">
      <c r="CI316" s="31"/>
    </row>
    <row r="317" spans="87:87">
      <c r="CI317" s="31"/>
    </row>
    <row r="318" spans="87:87">
      <c r="CI318" s="31"/>
    </row>
    <row r="319" spans="87:87">
      <c r="CI319" s="31"/>
    </row>
    <row r="320" spans="87:87">
      <c r="CI320" s="31"/>
    </row>
    <row r="321" spans="87:87">
      <c r="CI321" s="31"/>
    </row>
    <row r="322" spans="87:87">
      <c r="CI322" s="31"/>
    </row>
    <row r="323" spans="87:87">
      <c r="CI323" s="31"/>
    </row>
    <row r="324" spans="87:87">
      <c r="CI324" s="31"/>
    </row>
    <row r="325" spans="87:87">
      <c r="CI325" s="31"/>
    </row>
    <row r="326" spans="87:87">
      <c r="CI326" s="31"/>
    </row>
    <row r="327" spans="87:87">
      <c r="CI327" s="31"/>
    </row>
    <row r="328" spans="87:87">
      <c r="CI328" s="31"/>
    </row>
    <row r="329" spans="87:87">
      <c r="CI329" s="31"/>
    </row>
    <row r="330" spans="87:87">
      <c r="CI330" s="31"/>
    </row>
    <row r="331" spans="87:87">
      <c r="CI331" s="31"/>
    </row>
    <row r="332" spans="87:87">
      <c r="CI332" s="31"/>
    </row>
    <row r="333" spans="87:87">
      <c r="CI333" s="31"/>
    </row>
    <row r="334" spans="87:87">
      <c r="CI334" s="31"/>
    </row>
    <row r="335" spans="87:87">
      <c r="CI335" s="31"/>
    </row>
    <row r="336" spans="87:87">
      <c r="CI336" s="31"/>
    </row>
    <row r="337" spans="87:87">
      <c r="CI337" s="31"/>
    </row>
    <row r="338" spans="87:87">
      <c r="CI338" s="31"/>
    </row>
    <row r="339" spans="87:87">
      <c r="CI339" s="31"/>
    </row>
    <row r="340" spans="87:87">
      <c r="CI340" s="31"/>
    </row>
    <row r="341" spans="87:87">
      <c r="CI341" s="31"/>
    </row>
    <row r="342" spans="87:87">
      <c r="CI342" s="31"/>
    </row>
    <row r="343" spans="87:87">
      <c r="CI343" s="31"/>
    </row>
    <row r="344" spans="87:87">
      <c r="CI344" s="31"/>
    </row>
    <row r="345" spans="87:87">
      <c r="CI345" s="31"/>
    </row>
    <row r="346" spans="87:87">
      <c r="CI346" s="31"/>
    </row>
    <row r="347" spans="87:87">
      <c r="CI347" s="31"/>
    </row>
    <row r="348" spans="87:87">
      <c r="CI348" s="31"/>
    </row>
    <row r="349" spans="87:87">
      <c r="CI349" s="31"/>
    </row>
    <row r="350" spans="87:87">
      <c r="CI350" s="31"/>
    </row>
    <row r="351" spans="87:87">
      <c r="CI351" s="31"/>
    </row>
    <row r="352" spans="87:87">
      <c r="CI352" s="31"/>
    </row>
    <row r="353" spans="87:87">
      <c r="CI353" s="31"/>
    </row>
    <row r="354" spans="87:87">
      <c r="CI354" s="31"/>
    </row>
    <row r="355" spans="87:87">
      <c r="CI355" s="31"/>
    </row>
    <row r="356" spans="87:87">
      <c r="CI356" s="31"/>
    </row>
    <row r="357" spans="87:87">
      <c r="CI357" s="31"/>
    </row>
    <row r="358" spans="87:87">
      <c r="CI358" s="31"/>
    </row>
    <row r="359" spans="87:87">
      <c r="CI359" s="31"/>
    </row>
    <row r="360" spans="87:87">
      <c r="CI360" s="31"/>
    </row>
    <row r="361" spans="87:87">
      <c r="CI361" s="31"/>
    </row>
    <row r="362" spans="87:87">
      <c r="CI362" s="31"/>
    </row>
    <row r="363" spans="87:87">
      <c r="CI363" s="31"/>
    </row>
    <row r="364" spans="87:87">
      <c r="CI364" s="31"/>
    </row>
    <row r="365" spans="87:87">
      <c r="CI365" s="31"/>
    </row>
    <row r="366" spans="87:87">
      <c r="CI366" s="31"/>
    </row>
    <row r="367" spans="87:87">
      <c r="CI367" s="31"/>
    </row>
    <row r="368" spans="87:87">
      <c r="CI368" s="31"/>
    </row>
    <row r="369" spans="87:87">
      <c r="CI369" s="31"/>
    </row>
    <row r="370" spans="87:87">
      <c r="CI370" s="31"/>
    </row>
    <row r="371" spans="87:87">
      <c r="CI371" s="31"/>
    </row>
    <row r="372" spans="87:87">
      <c r="CI372" s="31"/>
    </row>
    <row r="373" spans="87:87">
      <c r="CI373" s="31"/>
    </row>
    <row r="374" spans="87:87">
      <c r="CI374" s="31"/>
    </row>
    <row r="375" spans="87:87">
      <c r="CI375" s="31"/>
    </row>
    <row r="376" spans="87:87">
      <c r="CI376" s="31"/>
    </row>
    <row r="377" spans="87:87">
      <c r="CI377" s="31"/>
    </row>
    <row r="378" spans="87:87">
      <c r="CI378" s="31"/>
    </row>
    <row r="379" spans="87:87">
      <c r="CI379" s="31"/>
    </row>
    <row r="380" spans="87:87">
      <c r="CI380" s="31"/>
    </row>
    <row r="381" spans="87:87">
      <c r="CI381" s="31"/>
    </row>
    <row r="382" spans="87:87">
      <c r="CI382" s="31"/>
    </row>
    <row r="383" spans="87:87">
      <c r="CI383" s="31"/>
    </row>
    <row r="384" spans="87:87">
      <c r="CI384" s="31"/>
    </row>
    <row r="385" spans="87:87">
      <c r="CI385" s="31"/>
    </row>
    <row r="386" spans="87:87">
      <c r="CI386" s="31"/>
    </row>
    <row r="387" spans="87:87">
      <c r="CI387" s="31"/>
    </row>
    <row r="388" spans="87:87">
      <c r="CI388" s="31"/>
    </row>
    <row r="389" spans="87:87">
      <c r="CI389" s="31"/>
    </row>
    <row r="390" spans="87:87">
      <c r="CI390" s="31"/>
    </row>
    <row r="391" spans="87:87">
      <c r="CI391" s="31"/>
    </row>
    <row r="392" spans="87:87">
      <c r="CI392" s="31"/>
    </row>
    <row r="393" spans="87:87">
      <c r="CI393" s="31"/>
    </row>
    <row r="394" spans="87:87">
      <c r="CI394" s="31"/>
    </row>
    <row r="395" spans="87:87">
      <c r="CI395" s="31"/>
    </row>
    <row r="396" spans="87:87">
      <c r="CI396" s="31"/>
    </row>
    <row r="397" spans="87:87">
      <c r="CI397" s="31"/>
    </row>
    <row r="398" spans="87:87">
      <c r="CI398" s="31"/>
    </row>
    <row r="399" spans="87:87">
      <c r="CI399" s="31"/>
    </row>
    <row r="400" spans="87:87">
      <c r="CI400" s="31"/>
    </row>
    <row r="401" spans="87:87">
      <c r="CI401" s="31"/>
    </row>
    <row r="402" spans="87:87">
      <c r="CI402" s="31"/>
    </row>
    <row r="403" spans="87:87">
      <c r="CI403" s="31"/>
    </row>
    <row r="404" spans="87:87">
      <c r="CI404" s="31"/>
    </row>
    <row r="405" spans="87:87">
      <c r="CI405" s="31"/>
    </row>
    <row r="406" spans="87:87">
      <c r="CI406" s="31"/>
    </row>
    <row r="407" spans="87:87">
      <c r="CI407" s="31"/>
    </row>
    <row r="408" spans="87:87">
      <c r="CI408" s="31"/>
    </row>
    <row r="409" spans="87:87">
      <c r="CI409" s="31"/>
    </row>
    <row r="410" spans="87:87">
      <c r="CI410" s="31"/>
    </row>
    <row r="411" spans="87:87">
      <c r="CI411" s="31"/>
    </row>
    <row r="412" spans="87:87">
      <c r="CI412" s="31"/>
    </row>
    <row r="413" spans="87:87">
      <c r="CI413" s="31"/>
    </row>
    <row r="414" spans="87:87">
      <c r="CI414" s="31"/>
    </row>
    <row r="415" spans="87:87">
      <c r="CI415" s="31"/>
    </row>
    <row r="416" spans="87:87">
      <c r="CI416" s="31"/>
    </row>
    <row r="417" spans="87:87">
      <c r="CI417" s="31"/>
    </row>
    <row r="418" spans="87:87">
      <c r="CI418" s="31"/>
    </row>
    <row r="419" spans="87:87">
      <c r="CI419" s="31"/>
    </row>
    <row r="420" spans="87:87">
      <c r="CI420" s="31"/>
    </row>
    <row r="421" spans="87:87">
      <c r="CI421" s="31"/>
    </row>
    <row r="422" spans="87:87">
      <c r="CI422" s="31"/>
    </row>
    <row r="423" spans="87:87">
      <c r="CI423" s="31"/>
    </row>
    <row r="424" spans="87:87">
      <c r="CI424" s="31"/>
    </row>
    <row r="425" spans="87:87">
      <c r="CI425" s="31"/>
    </row>
    <row r="426" spans="87:87">
      <c r="CI426" s="31"/>
    </row>
    <row r="427" spans="87:87">
      <c r="CI427" s="31"/>
    </row>
    <row r="428" spans="87:87">
      <c r="CI428" s="31"/>
    </row>
    <row r="429" spans="87:87">
      <c r="CI429" s="31"/>
    </row>
    <row r="430" spans="87:87">
      <c r="CI430" s="31"/>
    </row>
    <row r="431" spans="87:87">
      <c r="CI431" s="31"/>
    </row>
    <row r="432" spans="87:87">
      <c r="CI432" s="31"/>
    </row>
    <row r="433" spans="87:87">
      <c r="CI433" s="31"/>
    </row>
    <row r="434" spans="87:87">
      <c r="CI434" s="31"/>
    </row>
    <row r="435" spans="87:87">
      <c r="CI435" s="31"/>
    </row>
    <row r="436" spans="87:87">
      <c r="CI436" s="31"/>
    </row>
    <row r="437" spans="87:87">
      <c r="CI437" s="31"/>
    </row>
    <row r="438" spans="87:87">
      <c r="CI438" s="31"/>
    </row>
    <row r="439" spans="87:87">
      <c r="CI439" s="31"/>
    </row>
    <row r="440" spans="87:87">
      <c r="CI440" s="31"/>
    </row>
    <row r="441" spans="87:87">
      <c r="CI441" s="31"/>
    </row>
    <row r="442" spans="87:87">
      <c r="CI442" s="31"/>
    </row>
    <row r="443" spans="87:87">
      <c r="CI443" s="31"/>
    </row>
    <row r="444" spans="87:87">
      <c r="CI444" s="31"/>
    </row>
    <row r="445" spans="87:87">
      <c r="CI445" s="31"/>
    </row>
    <row r="446" spans="87:87">
      <c r="CI446" s="31"/>
    </row>
    <row r="447" spans="87:87">
      <c r="CI447" s="31"/>
    </row>
    <row r="448" spans="87:87">
      <c r="CI448" s="31"/>
    </row>
    <row r="449" spans="87:87">
      <c r="CI449" s="31"/>
    </row>
    <row r="450" spans="87:87">
      <c r="CI450" s="31"/>
    </row>
    <row r="451" spans="87:87">
      <c r="CI451" s="31"/>
    </row>
    <row r="452" spans="87:87">
      <c r="CI452" s="31"/>
    </row>
    <row r="453" spans="87:87">
      <c r="CI453" s="31"/>
    </row>
    <row r="454" spans="87:87">
      <c r="CI454" s="31"/>
    </row>
    <row r="455" spans="87:87">
      <c r="CI455" s="31"/>
    </row>
    <row r="456" spans="87:87">
      <c r="CI456" s="31"/>
    </row>
    <row r="457" spans="87:87">
      <c r="CI457" s="31"/>
    </row>
    <row r="458" spans="87:87">
      <c r="CI458" s="31"/>
    </row>
    <row r="459" spans="87:87">
      <c r="CI459" s="31"/>
    </row>
    <row r="460" spans="87:87">
      <c r="CI460" s="31"/>
    </row>
    <row r="461" spans="87:87">
      <c r="CI461" s="31"/>
    </row>
    <row r="462" spans="87:87">
      <c r="CI462" s="31"/>
    </row>
    <row r="463" spans="87:87">
      <c r="CI463" s="31"/>
    </row>
    <row r="464" spans="87:87">
      <c r="CI464" s="31"/>
    </row>
    <row r="465" spans="87:87">
      <c r="CI465" s="31"/>
    </row>
    <row r="466" spans="87:87">
      <c r="CI466" s="31"/>
    </row>
    <row r="467" spans="87:87">
      <c r="CI467" s="31"/>
    </row>
    <row r="468" spans="87:87">
      <c r="CI468" s="31"/>
    </row>
    <row r="469" spans="87:87">
      <c r="CI469" s="31"/>
    </row>
    <row r="470" spans="87:87">
      <c r="CI470" s="31"/>
    </row>
    <row r="471" spans="87:87">
      <c r="CI471" s="31"/>
    </row>
    <row r="472" spans="87:87">
      <c r="CI472" s="31"/>
    </row>
    <row r="473" spans="87:87">
      <c r="CI473" s="31"/>
    </row>
    <row r="474" spans="87:87">
      <c r="CI474" s="31"/>
    </row>
    <row r="475" spans="87:87">
      <c r="CI475" s="31"/>
    </row>
    <row r="476" spans="87:87">
      <c r="CI476" s="31"/>
    </row>
    <row r="477" spans="87:87">
      <c r="CI477" s="31"/>
    </row>
    <row r="478" spans="87:87">
      <c r="CI478" s="31"/>
    </row>
    <row r="479" spans="87:87">
      <c r="CI479" s="31"/>
    </row>
    <row r="480" spans="87:87">
      <c r="CI480" s="31"/>
    </row>
    <row r="481" spans="87:87">
      <c r="CI481" s="31"/>
    </row>
    <row r="482" spans="87:87">
      <c r="CI482" s="31"/>
    </row>
    <row r="483" spans="87:87">
      <c r="CI483" s="31"/>
    </row>
    <row r="484" spans="87:87">
      <c r="CI484" s="31"/>
    </row>
    <row r="485" spans="87:87">
      <c r="CI485" s="31"/>
    </row>
    <row r="486" spans="87:87">
      <c r="CI486" s="31"/>
    </row>
    <row r="487" spans="87:87">
      <c r="CI487" s="31"/>
    </row>
    <row r="488" spans="87:87">
      <c r="CI488" s="31"/>
    </row>
    <row r="489" spans="87:87">
      <c r="CI489" s="31"/>
    </row>
    <row r="490" spans="87:87">
      <c r="CI490" s="31"/>
    </row>
    <row r="491" spans="87:87">
      <c r="CI491" s="31"/>
    </row>
    <row r="492" spans="87:87">
      <c r="CI492" s="31"/>
    </row>
    <row r="493" spans="87:87">
      <c r="CI493" s="31"/>
    </row>
    <row r="494" spans="87:87">
      <c r="CI494" s="31"/>
    </row>
    <row r="495" spans="87:87">
      <c r="CI495" s="31"/>
    </row>
    <row r="496" spans="87:87">
      <c r="CI496" s="31"/>
    </row>
    <row r="497" spans="87:87">
      <c r="CI497" s="31"/>
    </row>
    <row r="498" spans="87:87">
      <c r="CI498" s="31"/>
    </row>
    <row r="499" spans="87:87">
      <c r="CI499" s="31"/>
    </row>
    <row r="500" spans="87:87">
      <c r="CI500" s="31"/>
    </row>
    <row r="501" spans="87:87">
      <c r="CI501" s="31"/>
    </row>
    <row r="502" spans="87:87">
      <c r="CI502" s="31"/>
    </row>
    <row r="503" spans="87:87">
      <c r="CI503" s="31"/>
    </row>
    <row r="504" spans="87:87">
      <c r="CI504" s="31"/>
    </row>
    <row r="505" spans="87:87">
      <c r="CI505" s="31"/>
    </row>
    <row r="506" spans="87:87">
      <c r="CI506" s="31"/>
    </row>
    <row r="507" spans="87:87">
      <c r="CI507" s="31"/>
    </row>
    <row r="508" spans="87:87">
      <c r="CI508" s="31"/>
    </row>
    <row r="509" spans="87:87">
      <c r="CI509" s="31"/>
    </row>
    <row r="510" spans="87:87">
      <c r="CI510" s="31"/>
    </row>
    <row r="511" spans="87:87">
      <c r="CI511" s="31"/>
    </row>
    <row r="512" spans="87:87">
      <c r="CI512" s="31"/>
    </row>
    <row r="513" spans="87:87">
      <c r="CI513" s="31"/>
    </row>
    <row r="514" spans="87:87">
      <c r="CI514" s="31"/>
    </row>
    <row r="515" spans="87:87">
      <c r="CI515" s="31"/>
    </row>
    <row r="516" spans="87:87">
      <c r="CI516" s="31"/>
    </row>
    <row r="517" spans="87:87">
      <c r="CI517" s="31"/>
    </row>
    <row r="518" spans="87:87">
      <c r="CI518" s="31"/>
    </row>
    <row r="519" spans="87:87">
      <c r="CI519" s="31"/>
    </row>
    <row r="520" spans="87:87">
      <c r="CI520" s="31"/>
    </row>
    <row r="521" spans="87:87">
      <c r="CI521" s="31"/>
    </row>
    <row r="522" spans="87:87">
      <c r="CI522" s="31"/>
    </row>
    <row r="523" spans="87:87">
      <c r="CI523" s="31"/>
    </row>
    <row r="524" spans="87:87">
      <c r="CI524" s="31"/>
    </row>
    <row r="525" spans="87:87">
      <c r="CI525" s="31"/>
    </row>
    <row r="526" spans="87:87">
      <c r="CI526" s="31"/>
    </row>
    <row r="527" spans="87:87">
      <c r="CI527" s="31"/>
    </row>
    <row r="528" spans="87:87">
      <c r="CI528" s="31"/>
    </row>
    <row r="529" spans="87:87">
      <c r="CI529" s="31"/>
    </row>
    <row r="530" spans="87:87">
      <c r="CI530" s="31"/>
    </row>
    <row r="531" spans="87:87">
      <c r="CI531" s="31"/>
    </row>
    <row r="532" spans="87:87">
      <c r="CI532" s="31"/>
    </row>
    <row r="533" spans="87:87">
      <c r="CI533" s="31"/>
    </row>
    <row r="534" spans="87:87">
      <c r="CI534" s="31"/>
    </row>
    <row r="535" spans="87:87">
      <c r="CI535" s="31"/>
    </row>
    <row r="536" spans="87:87">
      <c r="CI536" s="31"/>
    </row>
    <row r="537" spans="87:87">
      <c r="CI537" s="31"/>
    </row>
    <row r="538" spans="87:87">
      <c r="CI538" s="31"/>
    </row>
    <row r="539" spans="87:87">
      <c r="CI539" s="31"/>
    </row>
    <row r="540" spans="87:87">
      <c r="CI540" s="31"/>
    </row>
    <row r="541" spans="87:87">
      <c r="CI541" s="31"/>
    </row>
    <row r="542" spans="87:87">
      <c r="CI542" s="31"/>
    </row>
    <row r="543" spans="87:87">
      <c r="CI543" s="31"/>
    </row>
    <row r="544" spans="87:87">
      <c r="CI544" s="31"/>
    </row>
    <row r="545" spans="87:87">
      <c r="CI545" s="31"/>
    </row>
    <row r="546" spans="87:87">
      <c r="CI546" s="31"/>
    </row>
    <row r="547" spans="87:87">
      <c r="CI547" s="31"/>
    </row>
    <row r="548" spans="87:87">
      <c r="CI548" s="31"/>
    </row>
    <row r="549" spans="87:87">
      <c r="CI549" s="31"/>
    </row>
    <row r="550" spans="87:87">
      <c r="CI550" s="31"/>
    </row>
    <row r="551" spans="87:87">
      <c r="CI551" s="31"/>
    </row>
    <row r="552" spans="87:87">
      <c r="CI552" s="31"/>
    </row>
    <row r="553" spans="87:87">
      <c r="CI553" s="31"/>
    </row>
    <row r="554" spans="87:87">
      <c r="CI554" s="31"/>
    </row>
    <row r="555" spans="87:87">
      <c r="CI555" s="31"/>
    </row>
    <row r="556" spans="87:87">
      <c r="CI556" s="31"/>
    </row>
    <row r="557" spans="87:87">
      <c r="CI557" s="31"/>
    </row>
    <row r="558" spans="87:87">
      <c r="CI558" s="31"/>
    </row>
    <row r="559" spans="87:87">
      <c r="CI559" s="31"/>
    </row>
    <row r="560" spans="87:87">
      <c r="CI560" s="31"/>
    </row>
    <row r="561" spans="87:87">
      <c r="CI561" s="31"/>
    </row>
    <row r="562" spans="87:87">
      <c r="CI562" s="31"/>
    </row>
    <row r="563" spans="87:87">
      <c r="CI563" s="31"/>
    </row>
    <row r="564" spans="87:87">
      <c r="CI564" s="31"/>
    </row>
    <row r="565" spans="87:87">
      <c r="CI565" s="31"/>
    </row>
    <row r="566" spans="87:87">
      <c r="CI566" s="31"/>
    </row>
    <row r="567" spans="87:87">
      <c r="CI567" s="31"/>
    </row>
    <row r="568" spans="87:87">
      <c r="CI568" s="31"/>
    </row>
    <row r="569" spans="87:87">
      <c r="CI569" s="31"/>
    </row>
    <row r="570" spans="87:87">
      <c r="CI570" s="31"/>
    </row>
    <row r="571" spans="87:87">
      <c r="CI571" s="31"/>
    </row>
    <row r="572" spans="87:87">
      <c r="CI572" s="31"/>
    </row>
    <row r="573" spans="87:87">
      <c r="CI573" s="31"/>
    </row>
    <row r="574" spans="87:87">
      <c r="CI574" s="31"/>
    </row>
    <row r="575" spans="87:87">
      <c r="CI575" s="31"/>
    </row>
    <row r="576" spans="87:87">
      <c r="CI576" s="31"/>
    </row>
    <row r="577" spans="87:87">
      <c r="CI577" s="31"/>
    </row>
    <row r="578" spans="87:87">
      <c r="CI578" s="31"/>
    </row>
    <row r="579" spans="87:87">
      <c r="CI579" s="31"/>
    </row>
    <row r="580" spans="87:87">
      <c r="CI580" s="31"/>
    </row>
    <row r="581" spans="87:87">
      <c r="CI581" s="31"/>
    </row>
    <row r="582" spans="87:87">
      <c r="CI582" s="31"/>
    </row>
    <row r="583" spans="87:87">
      <c r="CI583" s="31"/>
    </row>
    <row r="584" spans="87:87">
      <c r="CI584" s="31"/>
    </row>
    <row r="585" spans="87:87">
      <c r="CI585" s="31"/>
    </row>
    <row r="586" spans="87:87">
      <c r="CI586" s="31"/>
    </row>
    <row r="587" spans="87:87">
      <c r="CI587" s="31"/>
    </row>
    <row r="588" spans="87:87">
      <c r="CI588" s="31"/>
    </row>
    <row r="589" spans="87:87">
      <c r="CI589" s="31"/>
    </row>
    <row r="590" spans="87:87">
      <c r="CI590" s="31"/>
    </row>
    <row r="591" spans="87:87">
      <c r="CI591" s="31"/>
    </row>
    <row r="592" spans="87:87">
      <c r="CI592" s="31"/>
    </row>
    <row r="593" spans="87:87">
      <c r="CI593" s="31"/>
    </row>
    <row r="594" spans="87:87">
      <c r="CI594" s="31"/>
    </row>
    <row r="595" spans="87:87">
      <c r="CI595" s="31"/>
    </row>
    <row r="596" spans="87:87">
      <c r="CI596" s="31"/>
    </row>
    <row r="597" spans="87:87">
      <c r="CI597" s="31"/>
    </row>
    <row r="598" spans="87:87">
      <c r="CI598" s="31"/>
    </row>
    <row r="599" spans="87:87">
      <c r="CI599" s="31"/>
    </row>
    <row r="600" spans="87:87">
      <c r="CI600" s="31"/>
    </row>
    <row r="601" spans="87:87">
      <c r="CI601" s="31"/>
    </row>
    <row r="602" spans="87:87">
      <c r="CI602" s="31"/>
    </row>
    <row r="603" spans="87:87">
      <c r="CI603" s="31"/>
    </row>
    <row r="604" spans="87:87">
      <c r="CI604" s="31"/>
    </row>
    <row r="605" spans="87:87">
      <c r="CI605" s="31"/>
    </row>
    <row r="606" spans="87:87">
      <c r="CI606" s="31"/>
    </row>
    <row r="607" spans="87:87">
      <c r="CI607" s="31"/>
    </row>
    <row r="608" spans="87:87">
      <c r="CI608" s="31"/>
    </row>
    <row r="609" spans="87:87">
      <c r="CI609" s="31"/>
    </row>
    <row r="610" spans="87:87">
      <c r="CI610" s="31"/>
    </row>
    <row r="611" spans="87:87">
      <c r="CI611" s="31"/>
    </row>
    <row r="612" spans="87:87">
      <c r="CI612" s="31"/>
    </row>
    <row r="613" spans="87:87">
      <c r="CI613" s="31"/>
    </row>
    <row r="614" spans="87:87">
      <c r="CI614" s="31"/>
    </row>
    <row r="615" spans="87:87">
      <c r="CI615" s="31"/>
    </row>
    <row r="616" spans="87:87">
      <c r="CI616" s="31"/>
    </row>
    <row r="617" spans="87:87">
      <c r="CI617" s="31"/>
    </row>
    <row r="618" spans="87:87">
      <c r="CI618" s="31"/>
    </row>
    <row r="619" spans="87:87">
      <c r="CI619" s="31"/>
    </row>
    <row r="620" spans="87:87">
      <c r="CI620" s="31"/>
    </row>
    <row r="621" spans="87:87">
      <c r="CI621" s="31"/>
    </row>
    <row r="622" spans="87:87">
      <c r="CI622" s="31"/>
    </row>
    <row r="623" spans="87:87">
      <c r="CI623" s="31"/>
    </row>
    <row r="624" spans="87:87">
      <c r="CI624" s="31"/>
    </row>
    <row r="625" spans="87:87">
      <c r="CI625" s="31"/>
    </row>
    <row r="626" spans="87:87">
      <c r="CI626" s="31"/>
    </row>
    <row r="627" spans="87:87">
      <c r="CI627" s="31"/>
    </row>
    <row r="628" spans="87:87">
      <c r="CI628" s="31"/>
    </row>
    <row r="629" spans="87:87">
      <c r="CI629" s="31"/>
    </row>
    <row r="630" spans="87:87">
      <c r="CI630" s="31"/>
    </row>
    <row r="631" spans="87:87">
      <c r="CI631" s="31"/>
    </row>
    <row r="632" spans="87:87">
      <c r="CI632" s="31"/>
    </row>
    <row r="633" spans="87:87">
      <c r="CI633" s="31"/>
    </row>
    <row r="634" spans="87:87">
      <c r="CI634" s="31"/>
    </row>
    <row r="635" spans="87:87">
      <c r="CI635" s="31"/>
    </row>
    <row r="636" spans="87:87">
      <c r="CI636" s="31"/>
    </row>
    <row r="637" spans="87:87">
      <c r="CI637" s="31"/>
    </row>
    <row r="638" spans="87:87">
      <c r="CI638" s="31"/>
    </row>
    <row r="639" spans="87:87">
      <c r="CI639" s="31"/>
    </row>
    <row r="640" spans="87:87">
      <c r="CI640" s="31"/>
    </row>
    <row r="641" spans="87:87">
      <c r="CI641" s="31"/>
    </row>
    <row r="642" spans="87:87">
      <c r="CI642" s="31"/>
    </row>
    <row r="643" spans="87:87">
      <c r="CI643" s="31"/>
    </row>
    <row r="644" spans="87:87">
      <c r="CI644" s="31"/>
    </row>
    <row r="645" spans="87:87">
      <c r="CI645" s="31"/>
    </row>
    <row r="646" spans="87:87">
      <c r="CI646" s="31"/>
    </row>
    <row r="647" spans="87:87">
      <c r="CI647" s="31"/>
    </row>
    <row r="648" spans="87:87">
      <c r="CI648" s="31"/>
    </row>
    <row r="649" spans="87:87">
      <c r="CI649" s="31"/>
    </row>
    <row r="650" spans="87:87">
      <c r="CI650" s="31"/>
    </row>
    <row r="651" spans="87:87">
      <c r="CI651" s="31"/>
    </row>
    <row r="652" spans="87:87">
      <c r="CI652" s="31"/>
    </row>
    <row r="653" spans="87:87">
      <c r="CI653" s="31"/>
    </row>
    <row r="654" spans="87:87">
      <c r="CI654" s="31"/>
    </row>
    <row r="655" spans="87:87">
      <c r="CI655" s="31"/>
    </row>
    <row r="656" spans="87:87">
      <c r="CI656" s="31"/>
    </row>
    <row r="657" spans="87:87">
      <c r="CI657" s="31"/>
    </row>
    <row r="658" spans="87:87">
      <c r="CI658" s="31"/>
    </row>
    <row r="659" spans="87:87">
      <c r="CI659" s="31"/>
    </row>
    <row r="660" spans="87:87">
      <c r="CI660" s="31"/>
    </row>
    <row r="661" spans="87:87">
      <c r="CI661" s="31"/>
    </row>
    <row r="662" spans="87:87">
      <c r="CI662" s="31"/>
    </row>
    <row r="663" spans="87:87">
      <c r="CI663" s="31"/>
    </row>
    <row r="664" spans="87:87">
      <c r="CI664" s="31"/>
    </row>
    <row r="665" spans="87:87">
      <c r="CI665" s="31"/>
    </row>
    <row r="666" spans="87:87">
      <c r="CI666" s="31"/>
    </row>
    <row r="667" spans="87:87">
      <c r="CI667" s="31"/>
    </row>
    <row r="668" spans="87:87">
      <c r="CI668" s="31"/>
    </row>
    <row r="669" spans="87:87">
      <c r="CI669" s="31"/>
    </row>
    <row r="670" spans="87:87">
      <c r="CI670" s="31"/>
    </row>
    <row r="671" spans="87:87">
      <c r="CI671" s="31"/>
    </row>
    <row r="672" spans="87:87">
      <c r="CI672" s="31"/>
    </row>
    <row r="673" spans="87:87">
      <c r="CI673" s="31"/>
    </row>
    <row r="674" spans="87:87">
      <c r="CI674" s="31"/>
    </row>
    <row r="675" spans="87:87">
      <c r="CI675" s="31"/>
    </row>
    <row r="676" spans="87:87">
      <c r="CI676" s="31"/>
    </row>
    <row r="677" spans="87:87">
      <c r="CI677" s="31"/>
    </row>
    <row r="678" spans="87:87">
      <c r="CI678" s="31"/>
    </row>
    <row r="679" spans="87:87">
      <c r="CI679" s="31"/>
    </row>
    <row r="680" spans="87:87">
      <c r="CI680" s="31"/>
    </row>
    <row r="681" spans="87:87">
      <c r="CI681" s="31"/>
    </row>
    <row r="682" spans="87:87">
      <c r="CI682" s="31"/>
    </row>
    <row r="683" spans="87:87">
      <c r="CI683" s="31"/>
    </row>
    <row r="684" spans="87:87">
      <c r="CI684" s="31"/>
    </row>
    <row r="685" spans="87:87">
      <c r="CI685" s="31"/>
    </row>
    <row r="686" spans="87:87">
      <c r="CI686" s="31"/>
    </row>
    <row r="687" spans="87:87">
      <c r="CI687" s="31"/>
    </row>
    <row r="688" spans="87:87">
      <c r="CI688" s="31"/>
    </row>
    <row r="689" spans="87:87">
      <c r="CI689" s="31"/>
    </row>
    <row r="690" spans="87:87">
      <c r="CI690" s="31"/>
    </row>
    <row r="691" spans="87:87">
      <c r="CI691" s="31"/>
    </row>
    <row r="692" spans="87:87">
      <c r="CI692" s="31"/>
    </row>
    <row r="693" spans="87:87">
      <c r="CI693" s="31"/>
    </row>
    <row r="694" spans="87:87">
      <c r="CI694" s="31"/>
    </row>
    <row r="695" spans="87:87">
      <c r="CI695" s="31"/>
    </row>
    <row r="696" spans="87:87">
      <c r="CI696" s="31"/>
    </row>
    <row r="697" spans="87:87">
      <c r="CI697" s="31"/>
    </row>
    <row r="698" spans="87:87">
      <c r="CI698" s="31"/>
    </row>
    <row r="699" spans="87:87">
      <c r="CI699" s="31"/>
    </row>
    <row r="700" spans="87:87">
      <c r="CI700" s="31"/>
    </row>
    <row r="701" spans="87:87">
      <c r="CI701" s="31"/>
    </row>
    <row r="702" spans="87:87">
      <c r="CI702" s="31"/>
    </row>
    <row r="703" spans="87:87">
      <c r="CI703" s="31"/>
    </row>
    <row r="704" spans="87:87">
      <c r="CI704" s="31"/>
    </row>
    <row r="705" spans="87:87">
      <c r="CI705" s="31"/>
    </row>
    <row r="706" spans="87:87">
      <c r="CI706" s="31"/>
    </row>
    <row r="707" spans="87:87">
      <c r="CI707" s="31"/>
    </row>
    <row r="708" spans="87:87">
      <c r="CI708" s="31"/>
    </row>
    <row r="709" spans="87:87">
      <c r="CI709" s="31"/>
    </row>
    <row r="710" spans="87:87">
      <c r="CI710" s="31"/>
    </row>
    <row r="711" spans="87:87">
      <c r="CI711" s="31"/>
    </row>
    <row r="712" spans="87:87">
      <c r="CI712" s="31"/>
    </row>
    <row r="713" spans="87:87">
      <c r="CI713" s="31"/>
    </row>
    <row r="714" spans="87:87">
      <c r="CI714" s="31"/>
    </row>
    <row r="715" spans="87:87">
      <c r="CI715" s="31"/>
    </row>
    <row r="716" spans="87:87">
      <c r="CI716" s="31"/>
    </row>
    <row r="717" spans="87:87">
      <c r="CI717" s="31"/>
    </row>
    <row r="718" spans="87:87">
      <c r="CI718" s="31"/>
    </row>
    <row r="719" spans="87:87">
      <c r="CI719" s="31"/>
    </row>
    <row r="720" spans="87:87">
      <c r="CI720" s="31"/>
    </row>
    <row r="721" spans="87:87">
      <c r="CI721" s="31"/>
    </row>
    <row r="722" spans="87:87">
      <c r="CI722" s="31"/>
    </row>
    <row r="723" spans="87:87">
      <c r="CI723" s="31"/>
    </row>
    <row r="724" spans="87:87">
      <c r="CI724" s="31"/>
    </row>
    <row r="725" spans="87:87">
      <c r="CI725" s="31"/>
    </row>
    <row r="726" spans="87:87">
      <c r="CI726" s="31"/>
    </row>
    <row r="727" spans="87:87">
      <c r="CI727" s="31"/>
    </row>
    <row r="728" spans="87:87">
      <c r="CI728" s="31"/>
    </row>
    <row r="729" spans="87:87">
      <c r="CI729" s="31"/>
    </row>
    <row r="730" spans="87:87">
      <c r="CI730" s="31"/>
    </row>
    <row r="731" spans="87:87">
      <c r="CI731" s="31"/>
    </row>
    <row r="732" spans="87:87">
      <c r="CI732" s="31"/>
    </row>
    <row r="733" spans="87:87">
      <c r="CI733" s="31"/>
    </row>
    <row r="734" spans="87:87">
      <c r="CI734" s="31"/>
    </row>
    <row r="735" spans="87:87">
      <c r="CI735" s="31"/>
    </row>
    <row r="736" spans="87:87">
      <c r="CI736" s="31"/>
    </row>
    <row r="737" spans="87:87">
      <c r="CI737" s="31"/>
    </row>
    <row r="738" spans="87:87">
      <c r="CI738" s="31"/>
    </row>
    <row r="739" spans="87:87">
      <c r="CI739" s="31"/>
    </row>
    <row r="740" spans="87:87">
      <c r="CI740" s="31"/>
    </row>
    <row r="741" spans="87:87">
      <c r="CI741" s="31"/>
    </row>
    <row r="742" spans="87:87">
      <c r="CI742" s="31"/>
    </row>
    <row r="743" spans="87:87">
      <c r="CI743" s="31"/>
    </row>
    <row r="744" spans="87:87">
      <c r="CI744" s="31"/>
    </row>
    <row r="745" spans="87:87">
      <c r="CI745" s="31"/>
    </row>
    <row r="746" spans="87:87">
      <c r="CI746" s="31"/>
    </row>
    <row r="747" spans="87:87">
      <c r="CI747" s="31"/>
    </row>
    <row r="748" spans="87:87">
      <c r="CI748" s="31"/>
    </row>
    <row r="749" spans="87:87">
      <c r="CI749" s="31"/>
    </row>
    <row r="750" spans="87:87">
      <c r="CI750" s="31"/>
    </row>
    <row r="751" spans="87:87">
      <c r="CI751" s="31"/>
    </row>
    <row r="752" spans="87:87">
      <c r="CI752" s="31"/>
    </row>
    <row r="753" spans="87:87">
      <c r="CI753" s="31"/>
    </row>
    <row r="754" spans="87:87">
      <c r="CI754" s="31"/>
    </row>
    <row r="755" spans="87:87">
      <c r="CI755" s="31"/>
    </row>
    <row r="756" spans="87:87">
      <c r="CI756" s="31"/>
    </row>
    <row r="757" spans="87:87">
      <c r="CI757" s="31"/>
    </row>
    <row r="758" spans="87:87">
      <c r="CI758" s="31"/>
    </row>
    <row r="759" spans="87:87">
      <c r="CI759" s="31"/>
    </row>
    <row r="760" spans="87:87">
      <c r="CI760" s="31"/>
    </row>
    <row r="761" spans="87:87">
      <c r="CI761" s="31"/>
    </row>
    <row r="762" spans="87:87">
      <c r="CI762" s="31"/>
    </row>
    <row r="763" spans="87:87">
      <c r="CI763" s="31"/>
    </row>
    <row r="764" spans="87:87">
      <c r="CI764" s="31"/>
    </row>
    <row r="765" spans="87:87">
      <c r="CI765" s="31"/>
    </row>
    <row r="766" spans="87:87">
      <c r="CI766" s="31"/>
    </row>
    <row r="767" spans="87:87">
      <c r="CI767" s="31"/>
    </row>
    <row r="768" spans="87:87">
      <c r="CI768" s="31"/>
    </row>
    <row r="769" spans="87:87">
      <c r="CI769" s="31"/>
    </row>
    <row r="770" spans="87:87">
      <c r="CI770" s="31"/>
    </row>
    <row r="771" spans="87:87">
      <c r="CI771" s="31"/>
    </row>
    <row r="772" spans="87:87">
      <c r="CI772" s="31"/>
    </row>
    <row r="773" spans="87:87">
      <c r="CI773" s="31"/>
    </row>
    <row r="774" spans="87:87">
      <c r="CI774" s="31"/>
    </row>
    <row r="775" spans="87:87">
      <c r="CI775" s="31"/>
    </row>
    <row r="776" spans="87:87">
      <c r="CI776" s="31"/>
    </row>
    <row r="777" spans="87:87">
      <c r="CI777" s="31"/>
    </row>
    <row r="778" spans="87:87">
      <c r="CI778" s="31"/>
    </row>
    <row r="779" spans="87:87">
      <c r="CI779" s="31"/>
    </row>
    <row r="780" spans="87:87">
      <c r="CI780" s="31"/>
    </row>
    <row r="781" spans="87:87">
      <c r="CI781" s="31"/>
    </row>
    <row r="782" spans="87:87">
      <c r="CI782" s="31"/>
    </row>
    <row r="783" spans="87:87">
      <c r="CI783" s="31"/>
    </row>
    <row r="784" spans="87:87">
      <c r="CI784" s="31"/>
    </row>
    <row r="785" spans="87:87">
      <c r="CI785" s="31"/>
    </row>
    <row r="786" spans="87:87">
      <c r="CI786" s="31"/>
    </row>
    <row r="787" spans="87:87">
      <c r="CI787" s="31"/>
    </row>
    <row r="788" spans="87:87">
      <c r="CI788" s="31"/>
    </row>
    <row r="789" spans="87:87">
      <c r="CI789" s="31"/>
    </row>
    <row r="790" spans="87:87">
      <c r="CI790" s="31"/>
    </row>
    <row r="791" spans="87:87">
      <c r="CI791" s="31"/>
    </row>
    <row r="792" spans="87:87">
      <c r="CI792" s="31"/>
    </row>
    <row r="793" spans="87:87">
      <c r="CI793" s="31"/>
    </row>
    <row r="794" spans="87:87">
      <c r="CI794" s="31"/>
    </row>
    <row r="795" spans="87:87">
      <c r="CI795" s="31"/>
    </row>
    <row r="796" spans="87:87">
      <c r="CI796" s="31"/>
    </row>
    <row r="797" spans="87:87">
      <c r="CI797" s="31"/>
    </row>
    <row r="798" spans="87:87">
      <c r="CI798" s="31"/>
    </row>
    <row r="799" spans="87:87">
      <c r="CI799" s="31"/>
    </row>
    <row r="800" spans="87:87">
      <c r="CI800" s="31"/>
    </row>
    <row r="801" spans="87:87">
      <c r="CI801" s="31"/>
    </row>
    <row r="802" spans="87:87">
      <c r="CI802" s="31"/>
    </row>
    <row r="803" spans="87:87">
      <c r="CI803" s="31"/>
    </row>
    <row r="804" spans="87:87">
      <c r="CI804" s="31"/>
    </row>
    <row r="805" spans="87:87">
      <c r="CI805" s="31"/>
    </row>
    <row r="806" spans="87:87">
      <c r="CI806" s="31"/>
    </row>
    <row r="807" spans="87:87">
      <c r="CI807" s="31"/>
    </row>
    <row r="808" spans="87:87">
      <c r="CI808" s="31"/>
    </row>
    <row r="809" spans="87:87">
      <c r="CI809" s="31"/>
    </row>
    <row r="810" spans="87:87">
      <c r="CI810" s="31"/>
    </row>
    <row r="811" spans="87:87">
      <c r="CI811" s="31"/>
    </row>
    <row r="812" spans="87:87">
      <c r="CI812" s="31"/>
    </row>
    <row r="813" spans="87:87">
      <c r="CI813" s="31"/>
    </row>
    <row r="814" spans="87:87">
      <c r="CI814" s="31"/>
    </row>
    <row r="815" spans="87:87">
      <c r="CI815" s="31"/>
    </row>
    <row r="816" spans="87:87">
      <c r="CI816" s="31"/>
    </row>
    <row r="817" spans="87:87">
      <c r="CI817" s="31"/>
    </row>
    <row r="818" spans="87:87">
      <c r="CI818" s="31"/>
    </row>
    <row r="819" spans="87:87">
      <c r="CI819" s="31"/>
    </row>
    <row r="820" spans="87:87">
      <c r="CI820" s="31"/>
    </row>
    <row r="821" spans="87:87">
      <c r="CI821" s="31"/>
    </row>
    <row r="822" spans="87:87">
      <c r="CI822" s="31"/>
    </row>
    <row r="823" spans="87:87">
      <c r="CI823" s="31"/>
    </row>
    <row r="824" spans="87:87">
      <c r="CI824" s="31"/>
    </row>
    <row r="825" spans="87:87">
      <c r="CI825" s="31"/>
    </row>
    <row r="826" spans="87:87">
      <c r="CI826" s="31"/>
    </row>
    <row r="827" spans="87:87">
      <c r="CI827" s="31"/>
    </row>
    <row r="828" spans="87:87">
      <c r="CI828" s="31"/>
    </row>
    <row r="829" spans="87:87">
      <c r="CI829" s="31"/>
    </row>
    <row r="830" spans="87:87">
      <c r="CI830" s="31"/>
    </row>
    <row r="831" spans="87:87">
      <c r="CI831" s="31"/>
    </row>
    <row r="832" spans="87:87">
      <c r="CI832" s="31"/>
    </row>
    <row r="833" spans="87:87">
      <c r="CI833" s="31"/>
    </row>
    <row r="834" spans="87:87">
      <c r="CI834" s="31"/>
    </row>
    <row r="835" spans="87:87">
      <c r="CI835" s="31"/>
    </row>
    <row r="836" spans="87:87">
      <c r="CI836" s="31"/>
    </row>
    <row r="837" spans="87:87">
      <c r="CI837" s="31"/>
    </row>
    <row r="838" spans="87:87">
      <c r="CI838" s="31"/>
    </row>
    <row r="839" spans="87:87">
      <c r="CI839" s="31"/>
    </row>
    <row r="840" spans="87:87">
      <c r="CI840" s="31"/>
    </row>
    <row r="841" spans="87:87">
      <c r="CI841" s="31"/>
    </row>
    <row r="842" spans="87:87">
      <c r="CI842" s="31"/>
    </row>
    <row r="843" spans="87:87">
      <c r="CI843" s="31"/>
    </row>
    <row r="844" spans="87:87">
      <c r="CI844" s="31"/>
    </row>
    <row r="845" spans="87:87">
      <c r="CI845" s="31"/>
    </row>
    <row r="846" spans="87:87">
      <c r="CI846" s="31"/>
    </row>
    <row r="847" spans="87:87">
      <c r="CI847" s="31"/>
    </row>
    <row r="848" spans="87:87">
      <c r="CI848" s="31"/>
    </row>
    <row r="849" spans="87:87">
      <c r="CI849" s="31"/>
    </row>
    <row r="850" spans="87:87">
      <c r="CI850" s="31"/>
    </row>
    <row r="851" spans="87:87">
      <c r="CI851" s="31"/>
    </row>
    <row r="852" spans="87:87">
      <c r="CI852" s="31"/>
    </row>
    <row r="853" spans="87:87">
      <c r="CI853" s="31"/>
    </row>
    <row r="854" spans="87:87">
      <c r="CI854" s="31"/>
    </row>
    <row r="855" spans="87:87">
      <c r="CI855" s="31"/>
    </row>
    <row r="856" spans="87:87">
      <c r="CI856" s="31"/>
    </row>
    <row r="857" spans="87:87">
      <c r="CI857" s="31"/>
    </row>
    <row r="858" spans="87:87">
      <c r="CI858" s="31"/>
    </row>
    <row r="859" spans="87:87">
      <c r="CI859" s="31"/>
    </row>
    <row r="860" spans="87:87">
      <c r="CI860" s="31"/>
    </row>
    <row r="861" spans="87:87">
      <c r="CI861" s="31"/>
    </row>
    <row r="862" spans="87:87">
      <c r="CI862" s="31"/>
    </row>
    <row r="863" spans="87:87">
      <c r="CI863" s="31"/>
    </row>
    <row r="864" spans="87:87">
      <c r="CI864" s="31"/>
    </row>
    <row r="865" spans="87:87">
      <c r="CI865" s="31"/>
    </row>
    <row r="866" spans="87:87">
      <c r="CI866" s="31"/>
    </row>
    <row r="867" spans="87:87">
      <c r="CI867" s="31"/>
    </row>
    <row r="868" spans="87:87">
      <c r="CI868" s="31"/>
    </row>
    <row r="869" spans="87:87">
      <c r="CI869" s="31"/>
    </row>
    <row r="870" spans="87:87">
      <c r="CI870" s="31"/>
    </row>
    <row r="871" spans="87:87">
      <c r="CI871" s="31"/>
    </row>
    <row r="872" spans="87:87">
      <c r="CI872" s="31"/>
    </row>
    <row r="873" spans="87:87">
      <c r="CI873" s="31"/>
    </row>
    <row r="874" spans="87:87">
      <c r="CI874" s="31"/>
    </row>
    <row r="875" spans="87:87">
      <c r="CI875" s="31"/>
    </row>
    <row r="876" spans="87:87">
      <c r="CI876" s="31"/>
    </row>
    <row r="877" spans="87:87">
      <c r="CI877" s="31"/>
    </row>
    <row r="878" spans="87:87">
      <c r="CI878" s="31"/>
    </row>
    <row r="879" spans="87:87">
      <c r="CI879" s="31"/>
    </row>
    <row r="880" spans="87:87">
      <c r="CI880" s="31"/>
    </row>
    <row r="881" spans="87:87">
      <c r="CI881" s="31"/>
    </row>
    <row r="882" spans="87:87">
      <c r="CI882" s="31"/>
    </row>
    <row r="883" spans="87:87">
      <c r="CI883" s="31"/>
    </row>
    <row r="884" spans="87:87">
      <c r="CI884" s="31"/>
    </row>
    <row r="885" spans="87:87">
      <c r="CI885" s="31"/>
    </row>
    <row r="886" spans="87:87">
      <c r="CI886" s="31"/>
    </row>
    <row r="887" spans="87:87">
      <c r="CI887" s="31"/>
    </row>
    <row r="888" spans="87:87">
      <c r="CI888" s="31"/>
    </row>
    <row r="889" spans="87:87">
      <c r="CI889" s="31"/>
    </row>
    <row r="890" spans="87:87">
      <c r="CI890" s="31"/>
    </row>
    <row r="891" spans="87:87">
      <c r="CI891" s="31"/>
    </row>
    <row r="892" spans="87:87">
      <c r="CI892" s="31"/>
    </row>
    <row r="893" spans="87:87">
      <c r="CI893" s="31"/>
    </row>
    <row r="894" spans="87:87">
      <c r="CI894" s="31"/>
    </row>
    <row r="895" spans="87:87">
      <c r="CI895" s="31"/>
    </row>
    <row r="896" spans="87:87">
      <c r="CI896" s="31"/>
    </row>
    <row r="897" spans="87:87">
      <c r="CI897" s="31"/>
    </row>
    <row r="898" spans="87:87">
      <c r="CI898" s="31"/>
    </row>
    <row r="899" spans="87:87">
      <c r="CI899" s="31"/>
    </row>
    <row r="900" spans="87:87">
      <c r="CI900" s="31"/>
    </row>
    <row r="901" spans="87:87">
      <c r="CI901" s="31"/>
    </row>
    <row r="902" spans="87:87">
      <c r="CI902" s="31"/>
    </row>
    <row r="903" spans="87:87">
      <c r="CI903" s="31"/>
    </row>
    <row r="904" spans="87:87">
      <c r="CI904" s="31"/>
    </row>
    <row r="905" spans="87:87">
      <c r="CI905" s="31"/>
    </row>
    <row r="906" spans="87:87">
      <c r="CI906" s="31"/>
    </row>
    <row r="907" spans="87:87">
      <c r="CI907" s="31"/>
    </row>
    <row r="908" spans="87:87">
      <c r="CI908" s="31"/>
    </row>
    <row r="909" spans="87:87">
      <c r="CI909" s="31"/>
    </row>
    <row r="910" spans="87:87">
      <c r="CI910" s="31"/>
    </row>
    <row r="911" spans="87:87">
      <c r="CI911" s="31"/>
    </row>
    <row r="912" spans="87:87">
      <c r="CI912" s="31"/>
    </row>
    <row r="913" spans="87:87">
      <c r="CI913" s="31"/>
    </row>
    <row r="914" spans="87:87">
      <c r="CI914" s="31"/>
    </row>
    <row r="915" spans="87:87">
      <c r="CI915" s="31"/>
    </row>
    <row r="916" spans="87:87">
      <c r="CI916" s="31"/>
    </row>
    <row r="917" spans="87:87">
      <c r="CI917" s="31"/>
    </row>
    <row r="918" spans="87:87">
      <c r="CI918" s="31"/>
    </row>
    <row r="919" spans="87:87">
      <c r="CI919" s="31"/>
    </row>
    <row r="920" spans="87:87">
      <c r="CI920" s="31"/>
    </row>
    <row r="921" spans="87:87">
      <c r="CI921" s="31"/>
    </row>
    <row r="922" spans="87:87">
      <c r="CI922" s="31"/>
    </row>
    <row r="923" spans="87:87">
      <c r="CI923" s="31"/>
    </row>
    <row r="924" spans="87:87">
      <c r="CI924" s="31"/>
    </row>
    <row r="925" spans="87:87">
      <c r="CI925" s="31"/>
    </row>
    <row r="926" spans="87:87">
      <c r="CI926" s="31"/>
    </row>
    <row r="927" spans="87:87">
      <c r="CI927" s="31"/>
    </row>
    <row r="928" spans="87:87">
      <c r="CI928" s="31"/>
    </row>
    <row r="929" spans="87:87">
      <c r="CI929" s="31"/>
    </row>
    <row r="930" spans="87:87">
      <c r="CI930" s="31"/>
    </row>
    <row r="931" spans="87:87">
      <c r="CI931" s="31"/>
    </row>
    <row r="932" spans="87:87">
      <c r="CI932" s="31"/>
    </row>
    <row r="933" spans="87:87">
      <c r="CI933" s="31"/>
    </row>
    <row r="934" spans="87:87">
      <c r="CI934" s="31"/>
    </row>
    <row r="935" spans="87:87">
      <c r="CI935" s="31"/>
    </row>
    <row r="936" spans="87:87">
      <c r="CI936" s="31"/>
    </row>
    <row r="937" spans="87:87">
      <c r="CI937" s="31"/>
    </row>
    <row r="938" spans="87:87">
      <c r="CI938" s="31"/>
    </row>
    <row r="939" spans="87:87">
      <c r="CI939" s="31"/>
    </row>
    <row r="940" spans="87:87">
      <c r="CI940" s="31"/>
    </row>
    <row r="941" spans="87:87">
      <c r="CI941" s="31"/>
    </row>
    <row r="942" spans="87:87">
      <c r="CI942" s="31"/>
    </row>
    <row r="943" spans="87:87">
      <c r="CI943" s="31"/>
    </row>
    <row r="944" spans="87:87">
      <c r="CI944" s="31"/>
    </row>
    <row r="945" spans="87:87">
      <c r="CI945" s="31"/>
    </row>
    <row r="946" spans="87:87">
      <c r="CI946" s="31"/>
    </row>
    <row r="947" spans="87:87">
      <c r="CI947" s="31"/>
    </row>
    <row r="948" spans="87:87">
      <c r="CI948" s="31"/>
    </row>
    <row r="949" spans="87:87">
      <c r="CI949" s="31"/>
    </row>
    <row r="950" spans="87:87">
      <c r="CI950" s="31"/>
    </row>
    <row r="951" spans="87:87">
      <c r="CI951" s="31"/>
    </row>
    <row r="952" spans="87:87">
      <c r="CI952" s="31"/>
    </row>
    <row r="953" spans="87:87">
      <c r="CI953" s="31"/>
    </row>
    <row r="954" spans="87:87">
      <c r="CI954" s="31"/>
    </row>
    <row r="955" spans="87:87">
      <c r="CI955" s="31"/>
    </row>
    <row r="956" spans="87:87">
      <c r="CI956" s="31"/>
    </row>
    <row r="957" spans="87:87">
      <c r="CI957" s="31"/>
    </row>
    <row r="958" spans="87:87">
      <c r="CI958" s="31"/>
    </row>
    <row r="959" spans="87:87">
      <c r="CI959" s="31"/>
    </row>
    <row r="960" spans="87:87">
      <c r="CI960" s="31"/>
    </row>
    <row r="961" spans="87:87">
      <c r="CI961" s="31"/>
    </row>
    <row r="962" spans="87:87">
      <c r="CI962" s="31"/>
    </row>
    <row r="963" spans="87:87">
      <c r="CI963" s="31"/>
    </row>
    <row r="964" spans="87:87">
      <c r="CI964" s="31"/>
    </row>
    <row r="965" spans="87:87">
      <c r="CI965" s="31"/>
    </row>
    <row r="966" spans="87:87">
      <c r="CI966" s="31"/>
    </row>
    <row r="967" spans="87:87">
      <c r="CI967" s="31"/>
    </row>
    <row r="968" spans="87:87">
      <c r="CI968" s="31"/>
    </row>
    <row r="969" spans="87:87">
      <c r="CI969" s="31"/>
    </row>
    <row r="970" spans="87:87">
      <c r="CI970" s="31"/>
    </row>
    <row r="971" spans="87:87">
      <c r="CI971" s="31"/>
    </row>
    <row r="972" spans="87:87">
      <c r="CI972" s="31"/>
    </row>
    <row r="973" spans="87:87">
      <c r="CI973" s="31"/>
    </row>
    <row r="974" spans="87:87">
      <c r="CI974" s="31"/>
    </row>
    <row r="975" spans="87:87">
      <c r="CI975" s="31"/>
    </row>
    <row r="976" spans="87:87">
      <c r="CI976" s="31"/>
    </row>
    <row r="977" spans="87:87">
      <c r="CI977" s="31"/>
    </row>
    <row r="978" spans="87:87">
      <c r="CI978" s="31"/>
    </row>
    <row r="979" spans="87:87">
      <c r="CI979" s="31"/>
    </row>
    <row r="980" spans="87:87">
      <c r="CI980" s="31"/>
    </row>
    <row r="981" spans="87:87">
      <c r="CI981" s="31"/>
    </row>
    <row r="982" spans="87:87">
      <c r="CI982" s="31"/>
    </row>
    <row r="983" spans="87:87">
      <c r="CI983" s="31"/>
    </row>
    <row r="984" spans="87:87">
      <c r="CI984" s="31"/>
    </row>
    <row r="985" spans="87:87">
      <c r="CI985" s="31"/>
    </row>
    <row r="986" spans="87:87">
      <c r="CI986" s="31"/>
    </row>
    <row r="987" spans="87:87">
      <c r="CI987" s="31"/>
    </row>
    <row r="988" spans="87:87">
      <c r="CI988" s="31"/>
    </row>
    <row r="989" spans="87:87">
      <c r="CI989" s="31"/>
    </row>
    <row r="990" spans="87:87">
      <c r="CI990" s="31"/>
    </row>
    <row r="991" spans="87:87">
      <c r="CI991" s="31"/>
    </row>
    <row r="992" spans="87:87">
      <c r="CI992" s="31"/>
    </row>
    <row r="993" spans="87:87">
      <c r="CI993" s="31"/>
    </row>
    <row r="994" spans="87:87">
      <c r="CI994" s="31"/>
    </row>
    <row r="995" spans="87:87">
      <c r="CI995" s="31"/>
    </row>
    <row r="996" spans="87:87">
      <c r="CI996" s="31"/>
    </row>
    <row r="997" spans="87:87">
      <c r="CI997" s="31"/>
    </row>
    <row r="998" spans="87:87">
      <c r="CI998" s="31"/>
    </row>
    <row r="999" spans="87:87">
      <c r="CI999" s="31"/>
    </row>
    <row r="1000" spans="87:87">
      <c r="CI1000" s="31"/>
    </row>
    <row r="1001" spans="87:87">
      <c r="CI1001" s="31"/>
    </row>
    <row r="1002" spans="87:87">
      <c r="CI1002" s="31"/>
    </row>
    <row r="1003" spans="87:87">
      <c r="CI1003" s="31"/>
    </row>
    <row r="1004" spans="87:87">
      <c r="CI1004" s="31"/>
    </row>
    <row r="1005" spans="87:87">
      <c r="CI1005" s="31"/>
    </row>
    <row r="1006" spans="87:87">
      <c r="CI1006" s="31"/>
    </row>
    <row r="1007" spans="87:87">
      <c r="CI1007" s="31"/>
    </row>
    <row r="1008" spans="87:87">
      <c r="CI1008" s="31"/>
    </row>
    <row r="1009" spans="87:87">
      <c r="CI1009" s="31"/>
    </row>
    <row r="1010" spans="87:87">
      <c r="CI1010" s="31"/>
    </row>
    <row r="1011" spans="87:87">
      <c r="CI1011" s="31"/>
    </row>
    <row r="1012" spans="87:87">
      <c r="CI1012" s="31"/>
    </row>
    <row r="1013" spans="87:87">
      <c r="CI1013" s="31"/>
    </row>
    <row r="1014" spans="87:87">
      <c r="CI1014" s="31"/>
    </row>
    <row r="1015" spans="87:87">
      <c r="CI1015" s="31"/>
    </row>
    <row r="1016" spans="87:87">
      <c r="CI1016" s="31"/>
    </row>
    <row r="1017" spans="87:87">
      <c r="CI1017" s="31"/>
    </row>
    <row r="1018" spans="87:87">
      <c r="CI1018" s="31"/>
    </row>
    <row r="1019" spans="87:87">
      <c r="CI1019" s="31"/>
    </row>
    <row r="1020" spans="87:87">
      <c r="CI1020" s="31"/>
    </row>
    <row r="1021" spans="87:87">
      <c r="CI1021" s="31"/>
    </row>
    <row r="1022" spans="87:87">
      <c r="CI1022" s="31"/>
    </row>
    <row r="1023" spans="87:87">
      <c r="CI1023" s="31"/>
    </row>
    <row r="1024" spans="87:87">
      <c r="CI1024" s="31"/>
    </row>
    <row r="1025" spans="87:87">
      <c r="CI1025" s="31"/>
    </row>
    <row r="1026" spans="87:87">
      <c r="CI1026" s="31"/>
    </row>
    <row r="1027" spans="87:87">
      <c r="CI1027" s="31"/>
    </row>
    <row r="1028" spans="87:87">
      <c r="CI1028" s="31"/>
    </row>
    <row r="1029" spans="87:87">
      <c r="CI1029" s="31"/>
    </row>
    <row r="1030" spans="87:87">
      <c r="CI1030" s="31"/>
    </row>
    <row r="1031" spans="87:87">
      <c r="CI1031" s="31"/>
    </row>
    <row r="1032" spans="87:87">
      <c r="CI1032" s="31"/>
    </row>
    <row r="1033" spans="87:87">
      <c r="CI1033" s="31"/>
    </row>
    <row r="1034" spans="87:87">
      <c r="CI1034" s="31"/>
    </row>
    <row r="1035" spans="87:87">
      <c r="CI1035" s="31"/>
    </row>
    <row r="1036" spans="87:87">
      <c r="CI1036" s="31"/>
    </row>
    <row r="1037" spans="87:87">
      <c r="CI1037" s="31"/>
    </row>
    <row r="1038" spans="87:87">
      <c r="CI1038" s="31"/>
    </row>
    <row r="1039" spans="87:87">
      <c r="CI1039" s="31"/>
    </row>
    <row r="1040" spans="87:87">
      <c r="CI1040" s="31"/>
    </row>
    <row r="1041" spans="87:87">
      <c r="CI1041" s="31"/>
    </row>
    <row r="1042" spans="87:87">
      <c r="CI1042" s="31"/>
    </row>
    <row r="1043" spans="87:87">
      <c r="CI1043" s="31"/>
    </row>
    <row r="1044" spans="87:87">
      <c r="CI1044" s="31"/>
    </row>
    <row r="1045" spans="87:87">
      <c r="CI1045" s="31"/>
    </row>
    <row r="1046" spans="87:87">
      <c r="CI1046" s="31"/>
    </row>
    <row r="1047" spans="87:87">
      <c r="CI1047" s="31"/>
    </row>
    <row r="1048" spans="87:87">
      <c r="CI1048" s="31"/>
    </row>
    <row r="1049" spans="87:87">
      <c r="CI1049" s="31"/>
    </row>
    <row r="1050" spans="87:87">
      <c r="CI1050" s="31"/>
    </row>
    <row r="1051" spans="87:87">
      <c r="CI1051" s="31"/>
    </row>
    <row r="1052" spans="87:87">
      <c r="CI1052" s="31"/>
    </row>
    <row r="1053" spans="87:87">
      <c r="CI1053" s="31"/>
    </row>
    <row r="1054" spans="87:87">
      <c r="CI1054" s="31"/>
    </row>
    <row r="1055" spans="87:87">
      <c r="CI1055" s="31"/>
    </row>
    <row r="1056" spans="87:87">
      <c r="CI1056" s="31"/>
    </row>
    <row r="1057" spans="87:87">
      <c r="CI1057" s="31"/>
    </row>
    <row r="1058" spans="87:87">
      <c r="CI1058" s="31"/>
    </row>
    <row r="1059" spans="87:87">
      <c r="CI1059" s="31"/>
    </row>
    <row r="1060" spans="87:87">
      <c r="CI1060" s="31"/>
    </row>
    <row r="1061" spans="87:87">
      <c r="CI1061" s="31"/>
    </row>
    <row r="1062" spans="87:87">
      <c r="CI1062" s="31"/>
    </row>
    <row r="1063" spans="87:87">
      <c r="CI1063" s="31"/>
    </row>
    <row r="1064" spans="87:87">
      <c r="CI1064" s="31"/>
    </row>
    <row r="1065" spans="87:87">
      <c r="CI1065" s="31"/>
    </row>
    <row r="1066" spans="87:87">
      <c r="CI1066" s="31"/>
    </row>
    <row r="1067" spans="87:87">
      <c r="CI1067" s="31"/>
    </row>
    <row r="1068" spans="87:87">
      <c r="CI1068" s="31"/>
    </row>
    <row r="1069" spans="87:87">
      <c r="CI1069" s="31"/>
    </row>
    <row r="1070" spans="87:87">
      <c r="CI1070" s="31"/>
    </row>
    <row r="1071" spans="87:87">
      <c r="CI1071" s="31"/>
    </row>
    <row r="1072" spans="87:87">
      <c r="CI1072" s="31"/>
    </row>
    <row r="1073" spans="87:87">
      <c r="CI1073" s="31"/>
    </row>
    <row r="1074" spans="87:87">
      <c r="CI1074" s="31"/>
    </row>
    <row r="1075" spans="87:87">
      <c r="CI1075" s="31"/>
    </row>
    <row r="1076" spans="87:87">
      <c r="CI1076" s="31"/>
    </row>
    <row r="1077" spans="87:87">
      <c r="CI1077" s="31"/>
    </row>
    <row r="1078" spans="87:87">
      <c r="CI1078" s="31"/>
    </row>
    <row r="1079" spans="87:87">
      <c r="CI1079" s="31"/>
    </row>
    <row r="1080" spans="87:87">
      <c r="CI1080" s="31"/>
    </row>
    <row r="1081" spans="87:87">
      <c r="CI1081" s="31"/>
    </row>
    <row r="1082" spans="87:87">
      <c r="CI1082" s="31"/>
    </row>
    <row r="1083" spans="87:87">
      <c r="CI1083" s="31"/>
    </row>
    <row r="1084" spans="87:87">
      <c r="CI1084" s="31"/>
    </row>
    <row r="1085" spans="87:87">
      <c r="CI1085" s="31"/>
    </row>
    <row r="1086" spans="87:87">
      <c r="CI1086" s="31"/>
    </row>
    <row r="1087" spans="87:87">
      <c r="CI1087" s="31"/>
    </row>
    <row r="1088" spans="87:87">
      <c r="CI1088" s="31"/>
    </row>
    <row r="1089" spans="87:87">
      <c r="CI1089" s="31"/>
    </row>
    <row r="1090" spans="87:87">
      <c r="CI1090" s="31"/>
    </row>
    <row r="1091" spans="87:87">
      <c r="CI1091" s="31"/>
    </row>
    <row r="1092" spans="87:87">
      <c r="CI1092" s="31"/>
    </row>
    <row r="1093" spans="87:87">
      <c r="CI1093" s="31"/>
    </row>
    <row r="1094" spans="87:87">
      <c r="CI1094" s="31"/>
    </row>
    <row r="1095" spans="87:87">
      <c r="CI1095" s="31"/>
    </row>
    <row r="1096" spans="87:87">
      <c r="CI1096" s="31"/>
    </row>
    <row r="1097" spans="87:87">
      <c r="CI1097" s="31"/>
    </row>
    <row r="1098" spans="87:87">
      <c r="CI1098" s="31"/>
    </row>
    <row r="1099" spans="87:87">
      <c r="CI1099" s="31"/>
    </row>
    <row r="1100" spans="87:87">
      <c r="CI1100" s="31"/>
    </row>
    <row r="1101" spans="87:87">
      <c r="CI1101" s="31"/>
    </row>
    <row r="1102" spans="87:87">
      <c r="CI1102" s="31"/>
    </row>
    <row r="1103" spans="87:87">
      <c r="CI1103" s="31"/>
    </row>
    <row r="1104" spans="87:87">
      <c r="CI1104" s="31"/>
    </row>
    <row r="1105" spans="87:87">
      <c r="CI1105" s="31"/>
    </row>
    <row r="1106" spans="87:87">
      <c r="CI1106" s="31"/>
    </row>
    <row r="1107" spans="87:87">
      <c r="CI1107" s="31"/>
    </row>
    <row r="1108" spans="87:87">
      <c r="CI1108" s="31"/>
    </row>
    <row r="1109" spans="87:87">
      <c r="CI1109" s="31"/>
    </row>
    <row r="1110" spans="87:87">
      <c r="CI1110" s="31"/>
    </row>
    <row r="1111" spans="87:87">
      <c r="CI1111" s="31"/>
    </row>
    <row r="1112" spans="87:87">
      <c r="CI1112" s="31"/>
    </row>
    <row r="1113" spans="87:87">
      <c r="CI1113" s="31"/>
    </row>
    <row r="1114" spans="87:87">
      <c r="CI1114" s="31"/>
    </row>
    <row r="1115" spans="87:87">
      <c r="CI1115" s="31"/>
    </row>
    <row r="1116" spans="87:87">
      <c r="CI1116" s="31"/>
    </row>
    <row r="1117" spans="87:87">
      <c r="CI1117" s="31"/>
    </row>
    <row r="1118" spans="87:87">
      <c r="CI1118" s="31"/>
    </row>
    <row r="1119" spans="87:87">
      <c r="CI1119" s="31"/>
    </row>
    <row r="1120" spans="87:87">
      <c r="CI1120" s="31"/>
    </row>
    <row r="1121" spans="87:87">
      <c r="CI1121" s="31"/>
    </row>
    <row r="1122" spans="87:87">
      <c r="CI1122" s="31"/>
    </row>
    <row r="1123" spans="87:87">
      <c r="CI1123" s="31"/>
    </row>
    <row r="1124" spans="87:87">
      <c r="CI1124" s="31"/>
    </row>
    <row r="1125" spans="87:87">
      <c r="CI1125" s="31"/>
    </row>
    <row r="1126" spans="87:87">
      <c r="CI1126" s="31"/>
    </row>
    <row r="1127" spans="87:87">
      <c r="CI1127" s="31"/>
    </row>
    <row r="1128" spans="87:87">
      <c r="CI1128" s="31"/>
    </row>
    <row r="1129" spans="87:87">
      <c r="CI1129" s="31"/>
    </row>
    <row r="1130" spans="87:87">
      <c r="CI1130" s="31"/>
    </row>
    <row r="1131" spans="87:87">
      <c r="CI1131" s="31"/>
    </row>
    <row r="1132" spans="87:87">
      <c r="CI1132" s="31"/>
    </row>
    <row r="1133" spans="87:87">
      <c r="CI1133" s="31"/>
    </row>
    <row r="1134" spans="87:87">
      <c r="CI1134" s="31"/>
    </row>
    <row r="1135" spans="87:87">
      <c r="CI1135" s="31"/>
    </row>
    <row r="1136" spans="87:87">
      <c r="CI1136" s="31"/>
    </row>
    <row r="1137" spans="87:87">
      <c r="CI1137" s="31"/>
    </row>
    <row r="1138" spans="87:87">
      <c r="CI1138" s="31"/>
    </row>
    <row r="1139" spans="87:87">
      <c r="CI1139" s="31"/>
    </row>
    <row r="1140" spans="87:87">
      <c r="CI1140" s="31"/>
    </row>
    <row r="1141" spans="87:87">
      <c r="CI1141" s="31"/>
    </row>
    <row r="1142" spans="87:87">
      <c r="CI1142" s="31"/>
    </row>
    <row r="1143" spans="87:87">
      <c r="CI1143" s="31"/>
    </row>
    <row r="1144" spans="87:87">
      <c r="CI1144" s="31"/>
    </row>
    <row r="1145" spans="87:87">
      <c r="CI1145" s="31"/>
    </row>
    <row r="1146" spans="87:87">
      <c r="CI1146" s="31"/>
    </row>
    <row r="1147" spans="87:87">
      <c r="CI1147" s="31"/>
    </row>
    <row r="1148" spans="87:87">
      <c r="CI1148" s="31"/>
    </row>
    <row r="1149" spans="87:87">
      <c r="CI1149" s="31"/>
    </row>
    <row r="1150" spans="87:87">
      <c r="CI1150" s="31"/>
    </row>
    <row r="1151" spans="87:87">
      <c r="CI1151" s="31"/>
    </row>
    <row r="1152" spans="87:87">
      <c r="CI1152" s="31"/>
    </row>
    <row r="1153" spans="87:87">
      <c r="CI1153" s="31"/>
    </row>
    <row r="1154" spans="87:87">
      <c r="CI1154" s="31"/>
    </row>
    <row r="1155" spans="87:87">
      <c r="CI1155" s="31"/>
    </row>
    <row r="1156" spans="87:87">
      <c r="CI1156" s="31"/>
    </row>
    <row r="1157" spans="87:87">
      <c r="CI1157" s="31"/>
    </row>
    <row r="1158" spans="87:87">
      <c r="CI1158" s="31"/>
    </row>
    <row r="1159" spans="87:87">
      <c r="CI1159" s="31"/>
    </row>
    <row r="1160" spans="87:87">
      <c r="CI1160" s="31"/>
    </row>
    <row r="1161" spans="87:87">
      <c r="CI1161" s="31"/>
    </row>
    <row r="1162" spans="87:87">
      <c r="CI1162" s="31"/>
    </row>
    <row r="1163" spans="87:87">
      <c r="CI1163" s="31"/>
    </row>
    <row r="1164" spans="87:87">
      <c r="CI1164" s="31"/>
    </row>
    <row r="1165" spans="87:87">
      <c r="CI1165" s="31"/>
    </row>
    <row r="1166" spans="87:87">
      <c r="CI1166" s="31"/>
    </row>
    <row r="1167" spans="87:87">
      <c r="CI1167" s="31"/>
    </row>
    <row r="1168" spans="87:87">
      <c r="CI1168" s="31"/>
    </row>
    <row r="1169" spans="87:87">
      <c r="CI1169" s="31"/>
    </row>
    <row r="1170" spans="87:87">
      <c r="CI1170" s="31"/>
    </row>
    <row r="1171" spans="87:87">
      <c r="CI1171" s="31"/>
    </row>
    <row r="1172" spans="87:87">
      <c r="CI1172" s="31"/>
    </row>
    <row r="1173" spans="87:87">
      <c r="CI1173" s="31"/>
    </row>
    <row r="1174" spans="87:87">
      <c r="CI1174" s="31"/>
    </row>
    <row r="1175" spans="87:87">
      <c r="CI1175" s="31"/>
    </row>
    <row r="1176" spans="87:87">
      <c r="CI1176" s="31"/>
    </row>
    <row r="1177" spans="87:87">
      <c r="CI1177" s="31"/>
    </row>
    <row r="1178" spans="87:87">
      <c r="CI1178" s="31"/>
    </row>
    <row r="1179" spans="87:87">
      <c r="CI1179" s="31"/>
    </row>
    <row r="1180" spans="87:87">
      <c r="CI1180" s="31"/>
    </row>
    <row r="1181" spans="87:87">
      <c r="CI1181" s="31"/>
    </row>
    <row r="1182" spans="87:87">
      <c r="CI1182" s="31"/>
    </row>
    <row r="1183" spans="87:87">
      <c r="CI1183" s="31"/>
    </row>
    <row r="1184" spans="87:87">
      <c r="CI1184" s="31"/>
    </row>
    <row r="1185" spans="87:87">
      <c r="CI1185" s="31"/>
    </row>
    <row r="1186" spans="87:87">
      <c r="CI1186" s="31"/>
    </row>
    <row r="1187" spans="87:87">
      <c r="CI1187" s="31"/>
    </row>
    <row r="1188" spans="87:87">
      <c r="CI1188" s="31"/>
    </row>
    <row r="1189" spans="87:87">
      <c r="CI1189" s="31"/>
    </row>
    <row r="1190" spans="87:87">
      <c r="CI1190" s="31"/>
    </row>
    <row r="1191" spans="87:87">
      <c r="CI1191" s="31"/>
    </row>
    <row r="1192" spans="87:87">
      <c r="CI1192" s="31"/>
    </row>
    <row r="1193" spans="87:87">
      <c r="CI1193" s="31"/>
    </row>
    <row r="1194" spans="87:87">
      <c r="CI1194" s="31"/>
    </row>
    <row r="1195" spans="87:87">
      <c r="CI1195" s="31"/>
    </row>
    <row r="1196" spans="87:87">
      <c r="CI1196" s="31"/>
    </row>
    <row r="1197" spans="87:87">
      <c r="CI1197" s="31"/>
    </row>
    <row r="1198" spans="87:87">
      <c r="CI1198" s="31"/>
    </row>
    <row r="1199" spans="87:87">
      <c r="CI1199" s="31"/>
    </row>
    <row r="1200" spans="87:87">
      <c r="CI1200" s="31"/>
    </row>
    <row r="1201" spans="87:87">
      <c r="CI1201" s="31"/>
    </row>
    <row r="1202" spans="87:87">
      <c r="CI1202" s="31"/>
    </row>
    <row r="1203" spans="87:87">
      <c r="CI1203" s="31"/>
    </row>
    <row r="1204" spans="87:87">
      <c r="CI1204" s="31"/>
    </row>
    <row r="1205" spans="87:87">
      <c r="CI1205" s="31"/>
    </row>
    <row r="1206" spans="87:87">
      <c r="CI1206" s="31"/>
    </row>
    <row r="1207" spans="87:87">
      <c r="CI1207" s="31"/>
    </row>
    <row r="1208" spans="87:87">
      <c r="CI1208" s="31"/>
    </row>
    <row r="1209" spans="87:87">
      <c r="CI1209" s="31"/>
    </row>
    <row r="1210" spans="87:87">
      <c r="CI1210" s="31"/>
    </row>
    <row r="1211" spans="87:87">
      <c r="CI1211" s="31"/>
    </row>
    <row r="1212" spans="87:87">
      <c r="CI1212" s="31"/>
    </row>
    <row r="1213" spans="87:87">
      <c r="CI1213" s="31"/>
    </row>
    <row r="1214" spans="87:87">
      <c r="CI1214" s="31"/>
    </row>
    <row r="1215" spans="87:87">
      <c r="CI1215" s="31"/>
    </row>
    <row r="1216" spans="87:87">
      <c r="CI1216" s="31"/>
    </row>
    <row r="1217" spans="87:87">
      <c r="CI1217" s="31"/>
    </row>
    <row r="1218" spans="87:87">
      <c r="CI1218" s="31"/>
    </row>
    <row r="1219" spans="87:87">
      <c r="CI1219" s="31"/>
    </row>
    <row r="1220" spans="87:87">
      <c r="CI1220" s="31"/>
    </row>
    <row r="1221" spans="87:87">
      <c r="CI1221" s="31"/>
    </row>
    <row r="1222" spans="87:87">
      <c r="CI1222" s="31"/>
    </row>
    <row r="1223" spans="87:87">
      <c r="CI1223" s="31"/>
    </row>
    <row r="1224" spans="87:87">
      <c r="CI1224" s="31"/>
    </row>
    <row r="1225" spans="87:87">
      <c r="CI1225" s="31"/>
    </row>
    <row r="1226" spans="87:87">
      <c r="CI1226" s="31"/>
    </row>
    <row r="1227" spans="87:87">
      <c r="CI1227" s="31"/>
    </row>
    <row r="1228" spans="87:87">
      <c r="CI1228" s="31"/>
    </row>
    <row r="1229" spans="87:87">
      <c r="CI1229" s="31"/>
    </row>
    <row r="1230" spans="87:87">
      <c r="CI1230" s="31"/>
    </row>
    <row r="1231" spans="87:87">
      <c r="CI1231" s="31"/>
    </row>
    <row r="1232" spans="87:87">
      <c r="CI1232" s="31"/>
    </row>
    <row r="1233" spans="87:87">
      <c r="CI1233" s="31"/>
    </row>
    <row r="1234" spans="87:87">
      <c r="CI1234" s="31"/>
    </row>
    <row r="1235" spans="87:87">
      <c r="CI1235" s="31"/>
    </row>
    <row r="1236" spans="87:87">
      <c r="CI1236" s="31"/>
    </row>
    <row r="1237" spans="87:87">
      <c r="CI1237" s="31"/>
    </row>
    <row r="1238" spans="87:87">
      <c r="CI1238" s="31"/>
    </row>
    <row r="1239" spans="87:87">
      <c r="CI1239" s="31"/>
    </row>
    <row r="1240" spans="87:87">
      <c r="CI1240" s="31"/>
    </row>
    <row r="1241" spans="87:87">
      <c r="CI1241" s="31"/>
    </row>
    <row r="1242" spans="87:87">
      <c r="CI1242" s="31"/>
    </row>
    <row r="1243" spans="87:87">
      <c r="CI1243" s="31"/>
    </row>
    <row r="1244" spans="87:87">
      <c r="CI1244" s="31"/>
    </row>
    <row r="1245" spans="87:87">
      <c r="CI1245" s="31"/>
    </row>
    <row r="1246" spans="87:87">
      <c r="CI1246" s="31"/>
    </row>
    <row r="1247" spans="87:87">
      <c r="CI1247" s="31"/>
    </row>
    <row r="1248" spans="87:87">
      <c r="CI1248" s="31"/>
    </row>
    <row r="1249" spans="87:87">
      <c r="CI1249" s="31"/>
    </row>
    <row r="1250" spans="87:87">
      <c r="CI1250" s="31"/>
    </row>
    <row r="1251" spans="87:87">
      <c r="CI1251" s="31"/>
    </row>
    <row r="1252" spans="87:87">
      <c r="CI1252" s="31"/>
    </row>
    <row r="1253" spans="87:87">
      <c r="CI1253" s="31"/>
    </row>
    <row r="1254" spans="87:87">
      <c r="CI1254" s="31"/>
    </row>
    <row r="1255" spans="87:87">
      <c r="CI1255" s="31"/>
    </row>
    <row r="1256" spans="87:87">
      <c r="CI1256" s="31"/>
    </row>
    <row r="1257" spans="87:87">
      <c r="CI1257" s="31"/>
    </row>
    <row r="1258" spans="87:87">
      <c r="CI1258" s="31"/>
    </row>
    <row r="1259" spans="87:87">
      <c r="CI1259" s="31"/>
    </row>
    <row r="1260" spans="87:87">
      <c r="CI1260" s="31"/>
    </row>
    <row r="1261" spans="87:87">
      <c r="CI1261" s="31"/>
    </row>
    <row r="1262" spans="87:87">
      <c r="CI1262" s="31"/>
    </row>
    <row r="1263" spans="87:87">
      <c r="CI1263" s="31"/>
    </row>
    <row r="1264" spans="87:87">
      <c r="CI1264" s="31"/>
    </row>
    <row r="1265" spans="87:87">
      <c r="CI1265" s="31"/>
    </row>
    <row r="1266" spans="87:87">
      <c r="CI1266" s="31"/>
    </row>
    <row r="1267" spans="87:87">
      <c r="CI1267" s="31"/>
    </row>
    <row r="1268" spans="87:87">
      <c r="CI1268" s="31"/>
    </row>
    <row r="1269" spans="87:87">
      <c r="CI1269" s="31"/>
    </row>
    <row r="1270" spans="87:87">
      <c r="CI1270" s="31"/>
    </row>
    <row r="1271" spans="87:87">
      <c r="CI1271" s="31"/>
    </row>
    <row r="1272" spans="87:87">
      <c r="CI1272" s="31"/>
    </row>
    <row r="1273" spans="87:87">
      <c r="CI1273" s="31"/>
    </row>
    <row r="1274" spans="87:87">
      <c r="CI1274" s="31"/>
    </row>
    <row r="1275" spans="87:87">
      <c r="CI1275" s="31"/>
    </row>
    <row r="1276" spans="87:87">
      <c r="CI1276" s="31"/>
    </row>
    <row r="1277" spans="87:87">
      <c r="CI1277" s="31"/>
    </row>
    <row r="1278" spans="87:87">
      <c r="CI1278" s="31"/>
    </row>
    <row r="1279" spans="87:87">
      <c r="CI1279" s="31"/>
    </row>
    <row r="1280" spans="87:87">
      <c r="CI1280" s="31"/>
    </row>
    <row r="1281" spans="87:87">
      <c r="CI1281" s="31"/>
    </row>
    <row r="1282" spans="87:87">
      <c r="CI1282" s="31"/>
    </row>
    <row r="1283" spans="87:87">
      <c r="CI1283" s="31"/>
    </row>
    <row r="1284" spans="87:87">
      <c r="CI1284" s="31"/>
    </row>
    <row r="1285" spans="87:87">
      <c r="CI1285" s="31"/>
    </row>
    <row r="1286" spans="87:87">
      <c r="CI1286" s="31"/>
    </row>
    <row r="1287" spans="87:87">
      <c r="CI1287" s="31"/>
    </row>
    <row r="1288" spans="87:87">
      <c r="CI1288" s="31"/>
    </row>
    <row r="1289" spans="87:87">
      <c r="CI1289" s="31"/>
    </row>
    <row r="1290" spans="87:87">
      <c r="CI1290" s="31"/>
    </row>
    <row r="1291" spans="87:87">
      <c r="CI1291" s="31"/>
    </row>
    <row r="1292" spans="87:87">
      <c r="CI1292" s="31"/>
    </row>
    <row r="1293" spans="87:87">
      <c r="CI1293" s="31"/>
    </row>
    <row r="1294" spans="87:87">
      <c r="CI1294" s="31"/>
    </row>
    <row r="1295" spans="87:87">
      <c r="CI1295" s="31"/>
    </row>
    <row r="1296" spans="87:87">
      <c r="CI1296" s="31"/>
    </row>
    <row r="1297" spans="87:87">
      <c r="CI1297" s="31"/>
    </row>
    <row r="1298" spans="87:87">
      <c r="CI1298" s="31"/>
    </row>
    <row r="1299" spans="87:87">
      <c r="CI1299" s="31"/>
    </row>
    <row r="1300" spans="87:87">
      <c r="CI1300" s="31"/>
    </row>
    <row r="1301" spans="87:87">
      <c r="CI1301" s="31"/>
    </row>
    <row r="1302" spans="87:87">
      <c r="CI1302" s="31"/>
    </row>
    <row r="1303" spans="87:87">
      <c r="CI1303" s="31"/>
    </row>
    <row r="1304" spans="87:87">
      <c r="CI1304" s="31"/>
    </row>
    <row r="1305" spans="87:87">
      <c r="CI1305" s="31"/>
    </row>
    <row r="1306" spans="87:87">
      <c r="CI1306" s="31"/>
    </row>
    <row r="1307" spans="87:87">
      <c r="CI1307" s="31"/>
    </row>
    <row r="1308" spans="87:87">
      <c r="CI1308" s="31"/>
    </row>
    <row r="1309" spans="87:87">
      <c r="CI1309" s="31"/>
    </row>
    <row r="1310" spans="87:87">
      <c r="CI1310" s="31"/>
    </row>
    <row r="1311" spans="87:87">
      <c r="CI1311" s="31"/>
    </row>
    <row r="1312" spans="87:87">
      <c r="CI1312" s="31"/>
    </row>
    <row r="1313" spans="87:87">
      <c r="CI1313" s="31"/>
    </row>
    <row r="1314" spans="87:87">
      <c r="CI1314" s="31"/>
    </row>
    <row r="1315" spans="87:87">
      <c r="CI1315" s="31"/>
    </row>
    <row r="1316" spans="87:87">
      <c r="CI1316" s="31"/>
    </row>
    <row r="1317" spans="87:87">
      <c r="CI1317" s="31"/>
    </row>
    <row r="1318" spans="87:87">
      <c r="CI1318" s="31"/>
    </row>
    <row r="1319" spans="87:87">
      <c r="CI1319" s="31"/>
    </row>
    <row r="1320" spans="87:87">
      <c r="CI1320" s="31"/>
    </row>
    <row r="1321" spans="87:87">
      <c r="CI1321" s="31"/>
    </row>
    <row r="1322" spans="87:87">
      <c r="CI1322" s="31"/>
    </row>
    <row r="1323" spans="87:87">
      <c r="CI1323" s="31"/>
    </row>
    <row r="1324" spans="87:87">
      <c r="CI1324" s="31"/>
    </row>
    <row r="1325" spans="87:87">
      <c r="CI1325" s="31"/>
    </row>
    <row r="1326" spans="87:87">
      <c r="CI1326" s="31"/>
    </row>
    <row r="1327" spans="87:87">
      <c r="CI1327" s="31"/>
    </row>
    <row r="1328" spans="87:87">
      <c r="CI1328" s="31"/>
    </row>
    <row r="1329" spans="87:87">
      <c r="CI1329" s="31"/>
    </row>
    <row r="1330" spans="87:87">
      <c r="CI1330" s="31"/>
    </row>
    <row r="1331" spans="87:87">
      <c r="CI1331" s="31"/>
    </row>
    <row r="1332" spans="87:87">
      <c r="CI1332" s="31"/>
    </row>
    <row r="1333" spans="87:87">
      <c r="CI1333" s="31"/>
    </row>
    <row r="1334" spans="87:87">
      <c r="CI1334" s="31"/>
    </row>
    <row r="1335" spans="87:87">
      <c r="CI1335" s="31"/>
    </row>
    <row r="1336" spans="87:87">
      <c r="CI1336" s="31"/>
    </row>
    <row r="1337" spans="87:87">
      <c r="CI1337" s="31"/>
    </row>
    <row r="1338" spans="87:87">
      <c r="CI1338" s="31"/>
    </row>
    <row r="1339" spans="87:87">
      <c r="CI1339" s="31"/>
    </row>
    <row r="1340" spans="87:87">
      <c r="CI1340" s="31"/>
    </row>
    <row r="1341" spans="87:87">
      <c r="CI1341" s="31"/>
    </row>
    <row r="1342" spans="87:87">
      <c r="CI1342" s="31"/>
    </row>
    <row r="1343" spans="87:87">
      <c r="CI1343" s="31"/>
    </row>
    <row r="1344" spans="87:87">
      <c r="CI1344" s="31"/>
    </row>
    <row r="1345" spans="87:87">
      <c r="CI1345" s="31"/>
    </row>
    <row r="1346" spans="87:87">
      <c r="CI1346" s="31"/>
    </row>
    <row r="1347" spans="87:87">
      <c r="CI1347" s="31"/>
    </row>
    <row r="1348" spans="87:87">
      <c r="CI1348" s="31"/>
    </row>
    <row r="1349" spans="87:87">
      <c r="CI1349" s="31"/>
    </row>
    <row r="1350" spans="87:87">
      <c r="CI1350" s="31"/>
    </row>
    <row r="1351" spans="87:87">
      <c r="CI1351" s="31"/>
    </row>
    <row r="1352" spans="87:87">
      <c r="CI1352" s="31"/>
    </row>
    <row r="1353" spans="87:87">
      <c r="CI1353" s="31"/>
    </row>
    <row r="1354" spans="87:87">
      <c r="CI1354" s="31"/>
    </row>
    <row r="1355" spans="87:87">
      <c r="CI1355" s="31"/>
    </row>
    <row r="1356" spans="87:87">
      <c r="CI1356" s="31"/>
    </row>
    <row r="1357" spans="87:87">
      <c r="CI1357" s="31"/>
    </row>
    <row r="1358" spans="87:87">
      <c r="CI1358" s="31"/>
    </row>
    <row r="1359" spans="87:87">
      <c r="CI1359" s="31"/>
    </row>
    <row r="1360" spans="87:87">
      <c r="CI1360" s="31"/>
    </row>
    <row r="1361" spans="87:87">
      <c r="CI1361" s="31"/>
    </row>
    <row r="1362" spans="87:87">
      <c r="CI1362" s="31"/>
    </row>
    <row r="1363" spans="87:87">
      <c r="CI1363" s="31"/>
    </row>
    <row r="1364" spans="87:87">
      <c r="CI1364" s="31"/>
    </row>
    <row r="1365" spans="87:87">
      <c r="CI1365" s="31"/>
    </row>
    <row r="1366" spans="87:87">
      <c r="CI1366" s="31"/>
    </row>
    <row r="1367" spans="87:87">
      <c r="CI1367" s="31"/>
    </row>
    <row r="1368" spans="87:87">
      <c r="CI1368" s="31"/>
    </row>
    <row r="1369" spans="87:87">
      <c r="CI1369" s="31"/>
    </row>
    <row r="1370" spans="87:87">
      <c r="CI1370" s="31"/>
    </row>
    <row r="1371" spans="87:87">
      <c r="CI1371" s="31"/>
    </row>
    <row r="1372" spans="87:87">
      <c r="CI1372" s="31"/>
    </row>
    <row r="1373" spans="87:87">
      <c r="CI1373" s="31"/>
    </row>
    <row r="1374" spans="87:87">
      <c r="CI1374" s="31"/>
    </row>
    <row r="1375" spans="87:87">
      <c r="CI1375" s="31"/>
    </row>
    <row r="1376" spans="87:87">
      <c r="CI1376" s="31"/>
    </row>
    <row r="1377" spans="87:87">
      <c r="CI1377" s="31"/>
    </row>
    <row r="1378" spans="87:87">
      <c r="CI1378" s="31"/>
    </row>
    <row r="1379" spans="87:87">
      <c r="CI1379" s="31"/>
    </row>
    <row r="1380" spans="87:87">
      <c r="CI1380" s="31"/>
    </row>
    <row r="1381" spans="87:87">
      <c r="CI1381" s="31"/>
    </row>
    <row r="1382" spans="87:87">
      <c r="CI1382" s="31"/>
    </row>
    <row r="1383" spans="87:87">
      <c r="CI1383" s="31"/>
    </row>
    <row r="1384" spans="87:87">
      <c r="CI1384" s="31"/>
    </row>
    <row r="1385" spans="87:87">
      <c r="CI1385" s="31"/>
    </row>
    <row r="1386" spans="87:87">
      <c r="CI1386" s="31"/>
    </row>
    <row r="1387" spans="87:87">
      <c r="CI1387" s="31"/>
    </row>
    <row r="1388" spans="87:87">
      <c r="CI1388" s="31"/>
    </row>
    <row r="1389" spans="87:87">
      <c r="CI1389" s="31"/>
    </row>
    <row r="1390" spans="87:87">
      <c r="CI1390" s="31"/>
    </row>
    <row r="1391" spans="87:87">
      <c r="CI1391" s="31"/>
    </row>
    <row r="1392" spans="87:87">
      <c r="CI1392" s="31"/>
    </row>
    <row r="1393" spans="87:87">
      <c r="CI1393" s="31"/>
    </row>
    <row r="1394" spans="87:87">
      <c r="CI1394" s="31"/>
    </row>
    <row r="1395" spans="87:87">
      <c r="CI1395" s="31"/>
    </row>
    <row r="1396" spans="87:87">
      <c r="CI1396" s="31"/>
    </row>
    <row r="1397" spans="87:87">
      <c r="CI1397" s="31"/>
    </row>
    <row r="1398" spans="87:87">
      <c r="CI1398" s="31"/>
    </row>
    <row r="1399" spans="87:87">
      <c r="CI1399" s="31"/>
    </row>
    <row r="1400" spans="87:87">
      <c r="CI1400" s="31"/>
    </row>
    <row r="1401" spans="87:87">
      <c r="CI1401" s="31"/>
    </row>
    <row r="1402" spans="87:87">
      <c r="CI1402" s="31"/>
    </row>
    <row r="1403" spans="87:87">
      <c r="CI1403" s="31"/>
    </row>
    <row r="1404" spans="87:87">
      <c r="CI1404" s="31"/>
    </row>
    <row r="1405" spans="87:87">
      <c r="CI1405" s="31"/>
    </row>
    <row r="1406" spans="87:87">
      <c r="CI1406" s="31"/>
    </row>
    <row r="1407" spans="87:87">
      <c r="CI1407" s="31"/>
    </row>
    <row r="1408" spans="87:87">
      <c r="CI1408" s="31"/>
    </row>
    <row r="1409" spans="87:87">
      <c r="CI1409" s="31"/>
    </row>
    <row r="1410" spans="87:87">
      <c r="CI1410" s="31"/>
    </row>
    <row r="1411" spans="87:87">
      <c r="CI1411" s="31"/>
    </row>
    <row r="1412" spans="87:87">
      <c r="CI1412" s="31"/>
    </row>
    <row r="1413" spans="87:87">
      <c r="CI1413" s="31"/>
    </row>
    <row r="1414" spans="87:87">
      <c r="CI1414" s="31"/>
    </row>
    <row r="1415" spans="87:87">
      <c r="CI1415" s="31"/>
    </row>
    <row r="1416" spans="87:87">
      <c r="CI1416" s="31"/>
    </row>
    <row r="1417" spans="87:87">
      <c r="CI1417" s="31"/>
    </row>
    <row r="1418" spans="87:87">
      <c r="CI1418" s="31"/>
    </row>
    <row r="1419" spans="87:87">
      <c r="CI1419" s="31"/>
    </row>
    <row r="1420" spans="87:87">
      <c r="CI1420" s="31"/>
    </row>
    <row r="1421" spans="87:87">
      <c r="CI1421" s="31"/>
    </row>
    <row r="1422" spans="87:87">
      <c r="CI1422" s="31"/>
    </row>
    <row r="1423" spans="87:87">
      <c r="CI1423" s="31"/>
    </row>
    <row r="1424" spans="87:87">
      <c r="CI1424" s="31"/>
    </row>
    <row r="1425" spans="87:87">
      <c r="CI1425" s="31"/>
    </row>
    <row r="1426" spans="87:87">
      <c r="CI1426" s="31"/>
    </row>
    <row r="1427" spans="87:87">
      <c r="CI1427" s="31"/>
    </row>
    <row r="1428" spans="87:87">
      <c r="CI1428" s="31"/>
    </row>
    <row r="1429" spans="87:87">
      <c r="CI1429" s="31"/>
    </row>
    <row r="1430" spans="87:87">
      <c r="CI1430" s="31"/>
    </row>
    <row r="1431" spans="87:87">
      <c r="CI1431" s="31"/>
    </row>
    <row r="1432" spans="87:87">
      <c r="CI1432" s="31"/>
    </row>
    <row r="1433" spans="87:87">
      <c r="CI1433" s="31"/>
    </row>
    <row r="1434" spans="87:87">
      <c r="CI1434" s="31"/>
    </row>
    <row r="1435" spans="87:87">
      <c r="CI1435" s="31"/>
    </row>
    <row r="1436" spans="87:87">
      <c r="CI1436" s="31"/>
    </row>
    <row r="1437" spans="87:87">
      <c r="CI1437" s="31"/>
    </row>
    <row r="1438" spans="87:87">
      <c r="CI1438" s="31"/>
    </row>
    <row r="1439" spans="87:87">
      <c r="CI1439" s="31"/>
    </row>
    <row r="1440" spans="87:87">
      <c r="CI1440" s="31"/>
    </row>
    <row r="1441" spans="87:87">
      <c r="CI1441" s="31"/>
    </row>
    <row r="1442" spans="87:87">
      <c r="CI1442" s="31"/>
    </row>
    <row r="1443" spans="87:87">
      <c r="CI1443" s="31"/>
    </row>
    <row r="1444" spans="87:87">
      <c r="CI1444" s="31"/>
    </row>
    <row r="1445" spans="87:87">
      <c r="CI1445" s="31"/>
    </row>
    <row r="1446" spans="87:87">
      <c r="CI1446" s="31"/>
    </row>
    <row r="1447" spans="87:87">
      <c r="CI1447" s="31"/>
    </row>
    <row r="1448" spans="87:87">
      <c r="CI1448" s="31"/>
    </row>
    <row r="1449" spans="87:87">
      <c r="CI1449" s="31"/>
    </row>
    <row r="1450" spans="87:87">
      <c r="CI1450" s="31"/>
    </row>
    <row r="1451" spans="87:87">
      <c r="CI1451" s="31"/>
    </row>
    <row r="1452" spans="87:87">
      <c r="CI1452" s="31"/>
    </row>
    <row r="1453" spans="87:87">
      <c r="CI1453" s="31"/>
    </row>
    <row r="1454" spans="87:87">
      <c r="CI1454" s="31"/>
    </row>
    <row r="1455" spans="87:87">
      <c r="CI1455" s="31"/>
    </row>
    <row r="1456" spans="87:87">
      <c r="CI1456" s="31"/>
    </row>
    <row r="1457" spans="87:87">
      <c r="CI1457" s="31"/>
    </row>
    <row r="1458" spans="87:87">
      <c r="CI1458" s="31"/>
    </row>
    <row r="1459" spans="87:87">
      <c r="CI1459" s="31"/>
    </row>
    <row r="1460" spans="87:87">
      <c r="CI1460" s="31"/>
    </row>
    <row r="1461" spans="87:87">
      <c r="CI1461" s="31"/>
    </row>
    <row r="1462" spans="87:87">
      <c r="CI1462" s="31"/>
    </row>
    <row r="1463" spans="87:87">
      <c r="CI1463" s="31"/>
    </row>
    <row r="1464" spans="87:87">
      <c r="CI1464" s="31"/>
    </row>
    <row r="1465" spans="87:87">
      <c r="CI1465" s="31"/>
    </row>
    <row r="1466" spans="87:87">
      <c r="CI1466" s="31"/>
    </row>
    <row r="1467" spans="87:87">
      <c r="CI1467" s="31"/>
    </row>
    <row r="1468" spans="87:87">
      <c r="CI1468" s="31"/>
    </row>
    <row r="1469" spans="87:87">
      <c r="CI1469" s="31"/>
    </row>
    <row r="1470" spans="87:87">
      <c r="CI1470" s="31"/>
    </row>
    <row r="1471" spans="87:87">
      <c r="CI1471" s="31"/>
    </row>
    <row r="1472" spans="87:87">
      <c r="CI1472" s="31"/>
    </row>
    <row r="1473" spans="87:87">
      <c r="CI1473" s="31"/>
    </row>
    <row r="1474" spans="87:87">
      <c r="CI1474" s="31"/>
    </row>
    <row r="1475" spans="87:87">
      <c r="CI1475" s="31"/>
    </row>
    <row r="1476" spans="87:87">
      <c r="CI1476" s="31"/>
    </row>
    <row r="1477" spans="87:87">
      <c r="CI1477" s="31"/>
    </row>
    <row r="1478" spans="87:87">
      <c r="CI1478" s="31"/>
    </row>
    <row r="1479" spans="87:87">
      <c r="CI1479" s="31"/>
    </row>
    <row r="1480" spans="87:87">
      <c r="CI1480" s="31"/>
    </row>
    <row r="1481" spans="87:87">
      <c r="CI1481" s="31"/>
    </row>
    <row r="1482" spans="87:87">
      <c r="CI1482" s="31"/>
    </row>
    <row r="1483" spans="87:87">
      <c r="CI1483" s="31"/>
    </row>
    <row r="1484" spans="87:87">
      <c r="CI1484" s="31"/>
    </row>
    <row r="1485" spans="87:87">
      <c r="CI1485" s="31"/>
    </row>
    <row r="1486" spans="87:87">
      <c r="CI1486" s="31"/>
    </row>
    <row r="1487" spans="87:87">
      <c r="CI1487" s="31"/>
    </row>
    <row r="1488" spans="87:87">
      <c r="CI1488" s="31"/>
    </row>
    <row r="1489" spans="87:87">
      <c r="CI1489" s="31"/>
    </row>
    <row r="1490" spans="87:87">
      <c r="CI1490" s="31"/>
    </row>
    <row r="1491" spans="87:87">
      <c r="CI1491" s="31"/>
    </row>
    <row r="1492" spans="87:87">
      <c r="CI1492" s="31"/>
    </row>
    <row r="1493" spans="87:87">
      <c r="CI1493" s="31"/>
    </row>
    <row r="1494" spans="87:87">
      <c r="CI1494" s="31"/>
    </row>
    <row r="1495" spans="87:87">
      <c r="CI1495" s="31"/>
    </row>
    <row r="1496" spans="87:87">
      <c r="CI1496" s="31"/>
    </row>
    <row r="1497" spans="87:87">
      <c r="CI1497" s="31"/>
    </row>
    <row r="1498" spans="87:87">
      <c r="CI1498" s="31"/>
    </row>
    <row r="1499" spans="87:87">
      <c r="CI1499" s="31"/>
    </row>
    <row r="1500" spans="87:87">
      <c r="CI1500" s="31"/>
    </row>
    <row r="1501" spans="87:87">
      <c r="CI1501" s="31"/>
    </row>
    <row r="1502" spans="87:87">
      <c r="CI1502" s="31"/>
    </row>
    <row r="1503" spans="87:87">
      <c r="CI1503" s="31"/>
    </row>
    <row r="1504" spans="87:87">
      <c r="CI1504" s="31"/>
    </row>
    <row r="1505" spans="87:87">
      <c r="CI1505" s="31"/>
    </row>
    <row r="1506" spans="87:87">
      <c r="CI1506" s="31"/>
    </row>
    <row r="1507" spans="87:87">
      <c r="CI1507" s="31"/>
    </row>
    <row r="1508" spans="87:87">
      <c r="CI1508" s="31"/>
    </row>
    <row r="1509" spans="87:87">
      <c r="CI1509" s="31"/>
    </row>
    <row r="1510" spans="87:87">
      <c r="CI1510" s="31"/>
    </row>
    <row r="1511" spans="87:87">
      <c r="CI1511" s="31"/>
    </row>
    <row r="1512" spans="87:87">
      <c r="CI1512" s="31"/>
    </row>
    <row r="1513" spans="87:87">
      <c r="CI1513" s="31"/>
    </row>
    <row r="1514" spans="87:87">
      <c r="CI1514" s="31"/>
    </row>
    <row r="1515" spans="87:87">
      <c r="CI1515" s="31"/>
    </row>
    <row r="1516" spans="87:87">
      <c r="CI1516" s="31"/>
    </row>
    <row r="1517" spans="87:87">
      <c r="CI1517" s="31"/>
    </row>
    <row r="1518" spans="87:87">
      <c r="CI1518" s="31"/>
    </row>
    <row r="1519" spans="87:87">
      <c r="CI1519" s="31"/>
    </row>
    <row r="1520" spans="87:87">
      <c r="CI1520" s="31"/>
    </row>
    <row r="1521" spans="87:87">
      <c r="CI1521" s="31"/>
    </row>
    <row r="1522" spans="87:87">
      <c r="CI1522" s="31"/>
    </row>
    <row r="1523" spans="87:87">
      <c r="CI1523" s="31"/>
    </row>
    <row r="1524" spans="87:87">
      <c r="CI1524" s="31"/>
    </row>
    <row r="1525" spans="87:87">
      <c r="CI1525" s="31"/>
    </row>
    <row r="1526" spans="87:87">
      <c r="CI1526" s="31"/>
    </row>
    <row r="1527" spans="87:87">
      <c r="CI1527" s="31"/>
    </row>
    <row r="1528" spans="87:87">
      <c r="CI1528" s="31"/>
    </row>
    <row r="1529" spans="87:87">
      <c r="CI1529" s="31"/>
    </row>
    <row r="1530" spans="87:87">
      <c r="CI1530" s="31"/>
    </row>
    <row r="1531" spans="87:87">
      <c r="CI1531" s="31"/>
    </row>
    <row r="1532" spans="87:87">
      <c r="CI1532" s="31"/>
    </row>
    <row r="1533" spans="87:87">
      <c r="CI1533" s="31"/>
    </row>
    <row r="1534" spans="87:87">
      <c r="CI1534" s="31"/>
    </row>
    <row r="1535" spans="87:87">
      <c r="CI1535" s="31"/>
    </row>
    <row r="1536" spans="87:87">
      <c r="CI1536" s="31"/>
    </row>
    <row r="1537" spans="87:87">
      <c r="CI1537" s="31"/>
    </row>
    <row r="1538" spans="87:87">
      <c r="CI1538" s="31"/>
    </row>
    <row r="1539" spans="87:87">
      <c r="CI1539" s="31"/>
    </row>
    <row r="1540" spans="87:87">
      <c r="CI1540" s="31"/>
    </row>
    <row r="1541" spans="87:87">
      <c r="CI1541" s="31"/>
    </row>
    <row r="1542" spans="87:87">
      <c r="CI1542" s="31"/>
    </row>
    <row r="1543" spans="87:87">
      <c r="CI1543" s="31"/>
    </row>
    <row r="1544" spans="87:87">
      <c r="CI1544" s="31"/>
    </row>
    <row r="1545" spans="87:87">
      <c r="CI1545" s="31"/>
    </row>
    <row r="1546" spans="87:87">
      <c r="CI1546" s="31"/>
    </row>
    <row r="1547" spans="87:87">
      <c r="CI1547" s="31"/>
    </row>
    <row r="1548" spans="87:87">
      <c r="CI1548" s="31"/>
    </row>
    <row r="1549" spans="87:87">
      <c r="CI1549" s="31"/>
    </row>
    <row r="1550" spans="87:87">
      <c r="CI1550" s="31"/>
    </row>
    <row r="1551" spans="87:87">
      <c r="CI1551" s="31"/>
    </row>
    <row r="1552" spans="87:87">
      <c r="CI1552" s="31"/>
    </row>
    <row r="1553" spans="87:87">
      <c r="CI1553" s="31"/>
    </row>
    <row r="1554" spans="87:87">
      <c r="CI1554" s="31"/>
    </row>
    <row r="1555" spans="87:87">
      <c r="CI1555" s="31"/>
    </row>
    <row r="1556" spans="87:87">
      <c r="CI1556" s="31"/>
    </row>
    <row r="1557" spans="87:87">
      <c r="CI1557" s="31"/>
    </row>
    <row r="1558" spans="87:87">
      <c r="CI1558" s="31"/>
    </row>
    <row r="1559" spans="87:87">
      <c r="CI1559" s="31"/>
    </row>
    <row r="1560" spans="87:87">
      <c r="CI1560" s="31"/>
    </row>
    <row r="1561" spans="87:87">
      <c r="CI1561" s="31"/>
    </row>
    <row r="1562" spans="87:87">
      <c r="CI1562" s="31"/>
    </row>
    <row r="1563" spans="87:87">
      <c r="CI1563" s="31"/>
    </row>
    <row r="1564" spans="87:87">
      <c r="CI1564" s="31"/>
    </row>
    <row r="1565" spans="87:87">
      <c r="CI1565" s="31"/>
    </row>
    <row r="1566" spans="87:87">
      <c r="CI1566" s="31"/>
    </row>
    <row r="1567" spans="87:87">
      <c r="CI1567" s="31"/>
    </row>
    <row r="1568" spans="87:87">
      <c r="CI1568" s="31"/>
    </row>
    <row r="1569" spans="87:87">
      <c r="CI1569" s="31"/>
    </row>
    <row r="1570" spans="87:87">
      <c r="CI1570" s="31"/>
    </row>
    <row r="1571" spans="87:87">
      <c r="CI1571" s="31"/>
    </row>
    <row r="1572" spans="87:87">
      <c r="CI1572" s="31"/>
    </row>
    <row r="1573" spans="87:87">
      <c r="CI1573" s="31"/>
    </row>
    <row r="1574" spans="87:87">
      <c r="CI1574" s="31"/>
    </row>
    <row r="1575" spans="87:87">
      <c r="CI1575" s="31"/>
    </row>
    <row r="1576" spans="87:87">
      <c r="CI1576" s="31"/>
    </row>
    <row r="1577" spans="87:87">
      <c r="CI1577" s="31"/>
    </row>
    <row r="1578" spans="87:87">
      <c r="CI1578" s="31"/>
    </row>
    <row r="1579" spans="87:87">
      <c r="CI1579" s="31"/>
    </row>
    <row r="1580" spans="87:87">
      <c r="CI1580" s="31"/>
    </row>
    <row r="1581" spans="87:87">
      <c r="CI1581" s="31"/>
    </row>
    <row r="1582" spans="87:87">
      <c r="CI1582" s="31"/>
    </row>
    <row r="1583" spans="87:87">
      <c r="CI1583" s="31"/>
    </row>
    <row r="1584" spans="87:87">
      <c r="CI1584" s="31"/>
    </row>
    <row r="1585" spans="87:87">
      <c r="CI1585" s="31"/>
    </row>
    <row r="1586" spans="87:87">
      <c r="CI1586" s="31"/>
    </row>
    <row r="1587" spans="87:87">
      <c r="CI1587" s="31"/>
    </row>
    <row r="1588" spans="87:87">
      <c r="CI1588" s="31"/>
    </row>
    <row r="1589" spans="87:87">
      <c r="CI1589" s="31"/>
    </row>
    <row r="1590" spans="87:87">
      <c r="CI1590" s="31"/>
    </row>
    <row r="1591" spans="87:87">
      <c r="CI1591" s="31"/>
    </row>
    <row r="1592" spans="87:87">
      <c r="CI1592" s="31"/>
    </row>
    <row r="1593" spans="87:87">
      <c r="CI1593" s="31"/>
    </row>
    <row r="1594" spans="87:87">
      <c r="CI1594" s="31"/>
    </row>
    <row r="1595" spans="87:87">
      <c r="CI1595" s="31"/>
    </row>
    <row r="1596" spans="87:87">
      <c r="CI1596" s="31"/>
    </row>
    <row r="1597" spans="87:87">
      <c r="CI1597" s="31"/>
    </row>
    <row r="1598" spans="87:87">
      <c r="CI1598" s="31"/>
    </row>
    <row r="1599" spans="87:87">
      <c r="CI1599" s="31"/>
    </row>
    <row r="1600" spans="87:87">
      <c r="CI1600" s="31"/>
    </row>
    <row r="1601" spans="87:87">
      <c r="CI1601" s="31"/>
    </row>
    <row r="1602" spans="87:87">
      <c r="CI1602" s="31"/>
    </row>
    <row r="1603" spans="87:87">
      <c r="CI1603" s="31"/>
    </row>
    <row r="1604" spans="87:87">
      <c r="CI1604" s="31"/>
    </row>
    <row r="1605" spans="87:87">
      <c r="CI1605" s="31"/>
    </row>
    <row r="1606" spans="87:87">
      <c r="CI1606" s="31"/>
    </row>
    <row r="1607" spans="87:87">
      <c r="CI1607" s="31"/>
    </row>
    <row r="1608" spans="87:87">
      <c r="CI1608" s="31"/>
    </row>
    <row r="1609" spans="87:87">
      <c r="CI1609" s="31"/>
    </row>
    <row r="1610" spans="87:87">
      <c r="CI1610" s="31"/>
    </row>
    <row r="1611" spans="87:87">
      <c r="CI1611" s="31"/>
    </row>
    <row r="1612" spans="87:87">
      <c r="CI1612" s="31"/>
    </row>
    <row r="1613" spans="87:87">
      <c r="CI1613" s="31"/>
    </row>
    <row r="1614" spans="87:87">
      <c r="CI1614" s="31"/>
    </row>
    <row r="1615" spans="87:87">
      <c r="CI1615" s="31"/>
    </row>
    <row r="1616" spans="87:87">
      <c r="CI1616" s="31"/>
    </row>
    <row r="1617" spans="87:87">
      <c r="CI1617" s="31"/>
    </row>
    <row r="1618" spans="87:87">
      <c r="CI1618" s="31"/>
    </row>
    <row r="1619" spans="87:87">
      <c r="CI1619" s="31"/>
    </row>
    <row r="1620" spans="87:87">
      <c r="CI1620" s="31"/>
    </row>
    <row r="1621" spans="87:87">
      <c r="CI1621" s="31"/>
    </row>
    <row r="1622" spans="87:87">
      <c r="CI1622" s="31"/>
    </row>
    <row r="1623" spans="87:87">
      <c r="CI1623" s="31"/>
    </row>
    <row r="1624" spans="87:87">
      <c r="CI1624" s="31"/>
    </row>
    <row r="1625" spans="87:87">
      <c r="CI1625" s="31"/>
    </row>
    <row r="1626" spans="87:87">
      <c r="CI1626" s="31"/>
    </row>
    <row r="1627" spans="87:87">
      <c r="CI1627" s="31"/>
    </row>
    <row r="1628" spans="87:87">
      <c r="CI1628" s="31"/>
    </row>
    <row r="1629" spans="87:87">
      <c r="CI1629" s="31"/>
    </row>
    <row r="1630" spans="87:87">
      <c r="CI1630" s="31"/>
    </row>
    <row r="1631" spans="87:87">
      <c r="CI1631" s="31"/>
    </row>
    <row r="1632" spans="87:87">
      <c r="CI1632" s="31"/>
    </row>
    <row r="1633" spans="87:87">
      <c r="CI1633" s="31"/>
    </row>
    <row r="1634" spans="87:87">
      <c r="CI1634" s="31"/>
    </row>
    <row r="1635" spans="87:87">
      <c r="CI1635" s="31"/>
    </row>
    <row r="1636" spans="87:87">
      <c r="CI1636" s="31"/>
    </row>
    <row r="1637" spans="87:87">
      <c r="CI1637" s="31"/>
    </row>
    <row r="1638" spans="87:87">
      <c r="CI1638" s="31"/>
    </row>
    <row r="1639" spans="87:87">
      <c r="CI1639" s="31"/>
    </row>
    <row r="1640" spans="87:87">
      <c r="CI1640" s="31"/>
    </row>
    <row r="1641" spans="87:87">
      <c r="CI1641" s="31"/>
    </row>
    <row r="1642" spans="87:87">
      <c r="CI1642" s="31"/>
    </row>
    <row r="1643" spans="87:87">
      <c r="CI1643" s="31"/>
    </row>
    <row r="1644" spans="87:87">
      <c r="CI1644" s="31"/>
    </row>
    <row r="1645" spans="87:87">
      <c r="CI1645" s="31"/>
    </row>
    <row r="1646" spans="87:87">
      <c r="CI1646" s="31"/>
    </row>
    <row r="1647" spans="87:87">
      <c r="CI1647" s="31"/>
    </row>
    <row r="1648" spans="87:87">
      <c r="CI1648" s="31"/>
    </row>
    <row r="1649" spans="87:87">
      <c r="CI1649" s="31"/>
    </row>
    <row r="1650" spans="87:87">
      <c r="CI1650" s="31"/>
    </row>
    <row r="1651" spans="87:87">
      <c r="CI1651" s="31"/>
    </row>
    <row r="1652" spans="87:87">
      <c r="CI1652" s="31"/>
    </row>
    <row r="1653" spans="87:87">
      <c r="CI1653" s="31"/>
    </row>
    <row r="1654" spans="87:87">
      <c r="CI1654" s="31"/>
    </row>
    <row r="1655" spans="87:87">
      <c r="CI1655" s="31"/>
    </row>
    <row r="1656" spans="87:87">
      <c r="CI1656" s="31"/>
    </row>
    <row r="1657" spans="87:87">
      <c r="CI1657" s="31"/>
    </row>
    <row r="1658" spans="87:87">
      <c r="CI1658" s="31"/>
    </row>
    <row r="1659" spans="87:87">
      <c r="CI1659" s="31"/>
    </row>
    <row r="1660" spans="87:87">
      <c r="CI1660" s="31"/>
    </row>
    <row r="1661" spans="87:87">
      <c r="CI1661" s="31"/>
    </row>
    <row r="1662" spans="87:87">
      <c r="CI1662" s="31"/>
    </row>
    <row r="1663" spans="87:87">
      <c r="CI1663" s="31"/>
    </row>
    <row r="1664" spans="87:87">
      <c r="CI1664" s="31"/>
    </row>
    <row r="1665" spans="87:87">
      <c r="CI1665" s="31"/>
    </row>
    <row r="1666" spans="87:87">
      <c r="CI1666" s="31"/>
    </row>
    <row r="1667" spans="87:87">
      <c r="CI1667" s="31"/>
    </row>
    <row r="1668" spans="87:87">
      <c r="CI1668" s="31"/>
    </row>
    <row r="1669" spans="87:87">
      <c r="CI1669" s="31"/>
    </row>
    <row r="1670" spans="87:87">
      <c r="CI1670" s="31"/>
    </row>
    <row r="1671" spans="87:87">
      <c r="CI1671" s="31"/>
    </row>
    <row r="1672" spans="87:87">
      <c r="CI1672" s="31"/>
    </row>
    <row r="1673" spans="87:87">
      <c r="CI1673" s="31"/>
    </row>
    <row r="1674" spans="87:87">
      <c r="CI1674" s="31"/>
    </row>
    <row r="1675" spans="87:87">
      <c r="CI1675" s="31"/>
    </row>
    <row r="1676" spans="87:87">
      <c r="CI1676" s="31"/>
    </row>
    <row r="1677" spans="87:87">
      <c r="CI1677" s="31"/>
    </row>
    <row r="1678" spans="87:87">
      <c r="CI1678" s="31"/>
    </row>
    <row r="1679" spans="87:87">
      <c r="CI1679" s="31"/>
    </row>
    <row r="1680" spans="87:87">
      <c r="CI1680" s="31"/>
    </row>
    <row r="1681" spans="87:87">
      <c r="CI1681" s="31"/>
    </row>
    <row r="1682" spans="87:87">
      <c r="CI1682" s="31"/>
    </row>
    <row r="1683" spans="87:87">
      <c r="CI1683" s="31"/>
    </row>
    <row r="1684" spans="87:87">
      <c r="CI1684" s="31"/>
    </row>
    <row r="1685" spans="87:87">
      <c r="CI1685" s="31"/>
    </row>
    <row r="1686" spans="87:87">
      <c r="CI1686" s="31"/>
    </row>
    <row r="1687" spans="87:87">
      <c r="CI1687" s="31"/>
    </row>
    <row r="1688" spans="87:87">
      <c r="CI1688" s="31"/>
    </row>
    <row r="1689" spans="87:87">
      <c r="CI1689" s="31"/>
    </row>
    <row r="1690" spans="87:87">
      <c r="CI1690" s="31"/>
    </row>
    <row r="1691" spans="87:87">
      <c r="CI1691" s="31"/>
    </row>
    <row r="1692" spans="87:87">
      <c r="CI1692" s="31"/>
    </row>
    <row r="1693" spans="87:87">
      <c r="CI1693" s="31"/>
    </row>
    <row r="1694" spans="87:87">
      <c r="CI1694" s="31"/>
    </row>
    <row r="1695" spans="87:87">
      <c r="CI1695" s="31"/>
    </row>
    <row r="1696" spans="87:87">
      <c r="CI1696" s="31"/>
    </row>
    <row r="1697" spans="87:87">
      <c r="CI1697" s="31"/>
    </row>
    <row r="1698" spans="87:87">
      <c r="CI1698" s="31"/>
    </row>
    <row r="1699" spans="87:87">
      <c r="CI1699" s="31"/>
    </row>
    <row r="1700" spans="87:87">
      <c r="CI1700" s="31"/>
    </row>
    <row r="1701" spans="87:87">
      <c r="CI1701" s="31"/>
    </row>
    <row r="1702" spans="87:87">
      <c r="CI1702" s="31"/>
    </row>
    <row r="1703" spans="87:87">
      <c r="CI1703" s="31"/>
    </row>
    <row r="1704" spans="87:87">
      <c r="CI1704" s="31"/>
    </row>
    <row r="1705" spans="87:87">
      <c r="CI1705" s="31"/>
    </row>
    <row r="1706" spans="87:87">
      <c r="CI1706" s="31"/>
    </row>
    <row r="1707" spans="87:87">
      <c r="CI1707" s="31"/>
    </row>
    <row r="1708" spans="87:87">
      <c r="CI1708" s="31"/>
    </row>
    <row r="1709" spans="87:87">
      <c r="CI1709" s="31"/>
    </row>
    <row r="1710" spans="87:87">
      <c r="CI1710" s="31"/>
    </row>
    <row r="1711" spans="87:87">
      <c r="CI1711" s="31"/>
    </row>
    <row r="1712" spans="87:87">
      <c r="CI1712" s="31"/>
    </row>
    <row r="1713" spans="87:87">
      <c r="CI1713" s="31"/>
    </row>
    <row r="1714" spans="87:87">
      <c r="CI1714" s="31"/>
    </row>
    <row r="1715" spans="87:87">
      <c r="CI1715" s="31"/>
    </row>
    <row r="1716" spans="87:87">
      <c r="CI1716" s="31"/>
    </row>
    <row r="1717" spans="87:87">
      <c r="CI1717" s="31"/>
    </row>
    <row r="1718" spans="87:87">
      <c r="CI1718" s="31"/>
    </row>
    <row r="1719" spans="87:87">
      <c r="CI1719" s="31"/>
    </row>
    <row r="1720" spans="87:87">
      <c r="CI1720" s="31"/>
    </row>
    <row r="1721" spans="87:87">
      <c r="CI1721" s="31"/>
    </row>
    <row r="1722" spans="87:87">
      <c r="CI1722" s="31"/>
    </row>
    <row r="1723" spans="87:87">
      <c r="CI1723" s="31"/>
    </row>
    <row r="1724" spans="87:87">
      <c r="CI1724" s="31"/>
    </row>
    <row r="1725" spans="87:87">
      <c r="CI1725" s="31"/>
    </row>
    <row r="1726" spans="87:87">
      <c r="CI1726" s="31"/>
    </row>
    <row r="1727" spans="87:87">
      <c r="CI1727" s="31"/>
    </row>
    <row r="1728" spans="87:87">
      <c r="CI1728" s="31"/>
    </row>
    <row r="1729" spans="87:87">
      <c r="CI1729" s="31"/>
    </row>
    <row r="1730" spans="87:87">
      <c r="CI1730" s="31"/>
    </row>
    <row r="1731" spans="87:87">
      <c r="CI1731" s="31"/>
    </row>
    <row r="1732" spans="87:87">
      <c r="CI1732" s="31"/>
    </row>
    <row r="1733" spans="87:87">
      <c r="CI1733" s="31"/>
    </row>
    <row r="1734" spans="87:87">
      <c r="CI1734" s="31"/>
    </row>
    <row r="1735" spans="87:87">
      <c r="CI1735" s="31"/>
    </row>
    <row r="1736" spans="87:87">
      <c r="CI1736" s="31"/>
    </row>
    <row r="1737" spans="87:87">
      <c r="CI1737" s="31"/>
    </row>
    <row r="1738" spans="87:87">
      <c r="CI1738" s="31"/>
    </row>
    <row r="1739" spans="87:87">
      <c r="CI1739" s="31"/>
    </row>
    <row r="1740" spans="87:87">
      <c r="CI1740" s="31"/>
    </row>
    <row r="1741" spans="87:87">
      <c r="CI1741" s="31"/>
    </row>
    <row r="1742" spans="87:87">
      <c r="CI1742" s="31"/>
    </row>
    <row r="1743" spans="87:87">
      <c r="CI1743" s="31"/>
    </row>
    <row r="1744" spans="87:87">
      <c r="CI1744" s="31"/>
    </row>
    <row r="1745" spans="87:87">
      <c r="CI1745" s="31"/>
    </row>
    <row r="1746" spans="87:87">
      <c r="CI1746" s="31"/>
    </row>
    <row r="1747" spans="87:87">
      <c r="CI1747" s="31"/>
    </row>
    <row r="1748" spans="87:87">
      <c r="CI1748" s="31"/>
    </row>
    <row r="1749" spans="87:87">
      <c r="CI1749" s="31"/>
    </row>
    <row r="1750" spans="87:87">
      <c r="CI1750" s="31"/>
    </row>
    <row r="1751" spans="87:87">
      <c r="CI1751" s="31"/>
    </row>
    <row r="1752" spans="87:87">
      <c r="CI1752" s="31"/>
    </row>
    <row r="1753" spans="87:87">
      <c r="CI1753" s="31"/>
    </row>
    <row r="1754" spans="87:87">
      <c r="CI1754" s="31"/>
    </row>
    <row r="1755" spans="87:87">
      <c r="CI1755" s="31"/>
    </row>
    <row r="1756" spans="87:87">
      <c r="CI1756" s="31"/>
    </row>
    <row r="1757" spans="87:87">
      <c r="CI1757" s="31"/>
    </row>
    <row r="1758" spans="87:87">
      <c r="CI1758" s="31"/>
    </row>
    <row r="1759" spans="87:87">
      <c r="CI1759" s="31"/>
    </row>
    <row r="1760" spans="87:87">
      <c r="CI1760" s="31"/>
    </row>
    <row r="1761" spans="87:87">
      <c r="CI1761" s="31"/>
    </row>
    <row r="1762" spans="87:87">
      <c r="CI1762" s="31"/>
    </row>
    <row r="1763" spans="87:87">
      <c r="CI1763" s="31"/>
    </row>
    <row r="1764" spans="87:87">
      <c r="CI1764" s="31"/>
    </row>
    <row r="1765" spans="87:87">
      <c r="CI1765" s="31"/>
    </row>
    <row r="1766" spans="87:87">
      <c r="CI1766" s="31"/>
    </row>
    <row r="1767" spans="87:87">
      <c r="CI1767" s="31"/>
    </row>
    <row r="1768" spans="87:87">
      <c r="CI1768" s="31"/>
    </row>
    <row r="1769" spans="87:87">
      <c r="CI1769" s="31"/>
    </row>
    <row r="1770" spans="87:87">
      <c r="CI1770" s="31"/>
    </row>
    <row r="1771" spans="87:87">
      <c r="CI1771" s="31"/>
    </row>
    <row r="1772" spans="87:87">
      <c r="CI1772" s="31"/>
    </row>
    <row r="1773" spans="87:87">
      <c r="CI1773" s="31"/>
    </row>
    <row r="1774" spans="87:87">
      <c r="CI1774" s="31"/>
    </row>
    <row r="1775" spans="87:87">
      <c r="CI1775" s="31"/>
    </row>
    <row r="1776" spans="87:87">
      <c r="CI1776" s="31"/>
    </row>
    <row r="1777" spans="87:87">
      <c r="CI1777" s="31"/>
    </row>
    <row r="1778" spans="87:87">
      <c r="CI1778" s="31"/>
    </row>
    <row r="1779" spans="87:87">
      <c r="CI1779" s="31"/>
    </row>
    <row r="1780" spans="87:87">
      <c r="CI1780" s="31"/>
    </row>
    <row r="1781" spans="87:87">
      <c r="CI1781" s="31"/>
    </row>
    <row r="1782" spans="87:87">
      <c r="CI1782" s="31"/>
    </row>
    <row r="1783" spans="87:87">
      <c r="CI1783" s="31"/>
    </row>
    <row r="1784" spans="87:87">
      <c r="CI1784" s="31"/>
    </row>
    <row r="1785" spans="87:87">
      <c r="CI1785" s="31"/>
    </row>
    <row r="1786" spans="87:87">
      <c r="CI1786" s="31"/>
    </row>
    <row r="1787" spans="87:87">
      <c r="CI1787" s="31"/>
    </row>
    <row r="1788" spans="87:87">
      <c r="CI1788" s="31"/>
    </row>
    <row r="1789" spans="87:87">
      <c r="CI1789" s="31"/>
    </row>
    <row r="1790" spans="87:87">
      <c r="CI1790" s="31"/>
    </row>
    <row r="1791" spans="87:87">
      <c r="CI1791" s="31"/>
    </row>
    <row r="1792" spans="87:87">
      <c r="CI1792" s="31"/>
    </row>
    <row r="1793" spans="87:87">
      <c r="CI1793" s="31"/>
    </row>
    <row r="1794" spans="87:87">
      <c r="CI1794" s="31"/>
    </row>
    <row r="1795" spans="87:87">
      <c r="CI1795" s="31"/>
    </row>
    <row r="1796" spans="87:87">
      <c r="CI1796" s="31"/>
    </row>
    <row r="1797" spans="87:87">
      <c r="CI1797" s="31"/>
    </row>
    <row r="1798" spans="87:87">
      <c r="CI1798" s="31"/>
    </row>
    <row r="1799" spans="87:87">
      <c r="CI1799" s="31"/>
    </row>
    <row r="1800" spans="87:87">
      <c r="CI1800" s="31"/>
    </row>
    <row r="1801" spans="87:87">
      <c r="CI1801" s="31"/>
    </row>
    <row r="1802" spans="87:87">
      <c r="CI1802" s="31"/>
    </row>
    <row r="1803" spans="87:87">
      <c r="CI1803" s="31"/>
    </row>
    <row r="1804" spans="87:87">
      <c r="CI1804" s="31"/>
    </row>
    <row r="1805" spans="87:87">
      <c r="CI1805" s="31"/>
    </row>
    <row r="1806" spans="87:87">
      <c r="CI1806" s="31"/>
    </row>
    <row r="1807" spans="87:87">
      <c r="CI1807" s="31"/>
    </row>
    <row r="1808" spans="87:87">
      <c r="CI1808" s="31"/>
    </row>
    <row r="1809" spans="87:87">
      <c r="CI1809" s="31"/>
    </row>
    <row r="1810" spans="87:87">
      <c r="CI1810" s="31"/>
    </row>
    <row r="1811" spans="87:87">
      <c r="CI1811" s="31"/>
    </row>
    <row r="1812" spans="87:87">
      <c r="CI1812" s="31"/>
    </row>
    <row r="1813" spans="87:87">
      <c r="CI1813" s="31"/>
    </row>
    <row r="1814" spans="87:87">
      <c r="CI1814" s="31"/>
    </row>
    <row r="1815" spans="87:87">
      <c r="CI1815" s="31"/>
    </row>
    <row r="1816" spans="87:87">
      <c r="CI1816" s="31"/>
    </row>
    <row r="1817" spans="87:87">
      <c r="CI1817" s="31"/>
    </row>
    <row r="1818" spans="87:87">
      <c r="CI1818" s="31"/>
    </row>
    <row r="1819" spans="87:87">
      <c r="CI1819" s="31"/>
    </row>
    <row r="1820" spans="87:87">
      <c r="CI1820" s="31"/>
    </row>
    <row r="1821" spans="87:87">
      <c r="CI1821" s="31"/>
    </row>
    <row r="1822" spans="87:87">
      <c r="CI1822" s="31"/>
    </row>
    <row r="1823" spans="87:87">
      <c r="CI1823" s="31"/>
    </row>
    <row r="1824" spans="87:87">
      <c r="CI1824" s="31"/>
    </row>
    <row r="1825" spans="87:87">
      <c r="CI1825" s="31"/>
    </row>
    <row r="1826" spans="87:87">
      <c r="CI1826" s="31"/>
    </row>
    <row r="1827" spans="87:87">
      <c r="CI1827" s="31"/>
    </row>
    <row r="1828" spans="87:87">
      <c r="CI1828" s="31"/>
    </row>
    <row r="1829" spans="87:87">
      <c r="CI1829" s="31"/>
    </row>
    <row r="1830" spans="87:87">
      <c r="CI1830" s="31"/>
    </row>
    <row r="1831" spans="87:87">
      <c r="CI1831" s="31"/>
    </row>
    <row r="1832" spans="87:87">
      <c r="CI1832" s="31"/>
    </row>
    <row r="1833" spans="87:87">
      <c r="CI1833" s="31"/>
    </row>
    <row r="1834" spans="87:87">
      <c r="CI1834" s="31"/>
    </row>
    <row r="1835" spans="87:87">
      <c r="CI1835" s="31"/>
    </row>
    <row r="1836" spans="87:87">
      <c r="CI1836" s="31"/>
    </row>
    <row r="1837" spans="87:87">
      <c r="CI1837" s="31"/>
    </row>
    <row r="1838" spans="87:87">
      <c r="CI1838" s="31"/>
    </row>
    <row r="1839" spans="87:87">
      <c r="CI1839" s="31"/>
    </row>
    <row r="1840" spans="87:87">
      <c r="CI1840" s="31"/>
    </row>
    <row r="1841" spans="87:87">
      <c r="CI1841" s="31"/>
    </row>
    <row r="1842" spans="87:87">
      <c r="CI1842" s="31"/>
    </row>
    <row r="1843" spans="87:87">
      <c r="CI1843" s="31"/>
    </row>
    <row r="1844" spans="87:87">
      <c r="CI1844" s="31"/>
    </row>
    <row r="1845" spans="87:87">
      <c r="CI1845" s="31"/>
    </row>
    <row r="1846" spans="87:87">
      <c r="CI1846" s="31"/>
    </row>
    <row r="1847" spans="87:87">
      <c r="CI1847" s="31"/>
    </row>
    <row r="1848" spans="87:87">
      <c r="CI1848" s="31"/>
    </row>
    <row r="1849" spans="87:87">
      <c r="CI1849" s="31"/>
    </row>
    <row r="1850" spans="87:87">
      <c r="CI1850" s="31"/>
    </row>
    <row r="1851" spans="87:87">
      <c r="CI1851" s="31"/>
    </row>
    <row r="1852" spans="87:87">
      <c r="CI1852" s="31"/>
    </row>
    <row r="1853" spans="87:87">
      <c r="CI1853" s="31"/>
    </row>
    <row r="1854" spans="87:87">
      <c r="CI1854" s="31"/>
    </row>
    <row r="1855" spans="87:87">
      <c r="CI1855" s="31"/>
    </row>
    <row r="1856" spans="87:87">
      <c r="CI1856" s="31"/>
    </row>
    <row r="1857" spans="87:87">
      <c r="CI1857" s="31"/>
    </row>
    <row r="1858" spans="87:87">
      <c r="CI1858" s="31"/>
    </row>
    <row r="1859" spans="87:87">
      <c r="CI1859" s="31"/>
    </row>
    <row r="1860" spans="87:87">
      <c r="CI1860" s="31"/>
    </row>
    <row r="1861" spans="87:87">
      <c r="CI1861" s="31"/>
    </row>
    <row r="1862" spans="87:87">
      <c r="CI1862" s="31"/>
    </row>
    <row r="1863" spans="87:87">
      <c r="CI1863" s="31"/>
    </row>
    <row r="1864" spans="87:87">
      <c r="CI1864" s="31"/>
    </row>
    <row r="1865" spans="87:87">
      <c r="CI1865" s="31"/>
    </row>
    <row r="1866" spans="87:87">
      <c r="CI1866" s="31"/>
    </row>
    <row r="1867" spans="87:87">
      <c r="CI1867" s="31"/>
    </row>
    <row r="1868" spans="87:87">
      <c r="CI1868" s="31"/>
    </row>
    <row r="1869" spans="87:87">
      <c r="CI1869" s="31"/>
    </row>
    <row r="1870" spans="87:87">
      <c r="CI1870" s="31"/>
    </row>
    <row r="1871" spans="87:87">
      <c r="CI1871" s="31"/>
    </row>
    <row r="1872" spans="87:87">
      <c r="CI1872" s="31"/>
    </row>
    <row r="1873" spans="87:87">
      <c r="CI1873" s="31"/>
    </row>
    <row r="1874" spans="87:87">
      <c r="CI1874" s="31"/>
    </row>
    <row r="1875" spans="87:87">
      <c r="CI1875" s="31"/>
    </row>
    <row r="1876" spans="87:87">
      <c r="CI1876" s="31"/>
    </row>
    <row r="1877" spans="87:87">
      <c r="CI1877" s="31"/>
    </row>
    <row r="1878" spans="87:87">
      <c r="CI1878" s="31"/>
    </row>
    <row r="1879" spans="87:87">
      <c r="CI1879" s="31"/>
    </row>
    <row r="1880" spans="87:87">
      <c r="CI1880" s="31"/>
    </row>
    <row r="1881" spans="87:87">
      <c r="CI1881" s="31"/>
    </row>
    <row r="1882" spans="87:87">
      <c r="CI1882" s="31"/>
    </row>
    <row r="1883" spans="87:87">
      <c r="CI1883" s="31"/>
    </row>
    <row r="1884" spans="87:87">
      <c r="CI1884" s="31"/>
    </row>
    <row r="1885" spans="87:87">
      <c r="CI1885" s="31"/>
    </row>
    <row r="1886" spans="87:87">
      <c r="CI1886" s="31"/>
    </row>
    <row r="1887" spans="87:87">
      <c r="CI1887" s="31"/>
    </row>
    <row r="1888" spans="87:87">
      <c r="CI1888" s="31"/>
    </row>
    <row r="1889" spans="87:87">
      <c r="CI1889" s="31"/>
    </row>
    <row r="1890" spans="87:87">
      <c r="CI1890" s="31"/>
    </row>
    <row r="1891" spans="87:87">
      <c r="CI1891" s="31"/>
    </row>
    <row r="1892" spans="87:87">
      <c r="CI1892" s="31"/>
    </row>
    <row r="1893" spans="87:87">
      <c r="CI1893" s="31"/>
    </row>
    <row r="1894" spans="87:87">
      <c r="CI1894" s="31"/>
    </row>
    <row r="1895" spans="87:87">
      <c r="CI1895" s="31"/>
    </row>
    <row r="1896" spans="87:87">
      <c r="CI1896" s="31"/>
    </row>
    <row r="1897" spans="87:87">
      <c r="CI1897" s="31"/>
    </row>
    <row r="1898" spans="87:87">
      <c r="CI1898" s="31"/>
    </row>
    <row r="1899" spans="87:87">
      <c r="CI1899" s="31"/>
    </row>
    <row r="1900" spans="87:87">
      <c r="CI1900" s="31"/>
    </row>
    <row r="1901" spans="87:87">
      <c r="CI1901" s="31"/>
    </row>
    <row r="1902" spans="87:87">
      <c r="CI1902" s="31"/>
    </row>
    <row r="1903" spans="87:87">
      <c r="CI1903" s="31"/>
    </row>
    <row r="1904" spans="87:87">
      <c r="CI1904" s="31"/>
    </row>
    <row r="1905" spans="87:87">
      <c r="CI1905" s="31"/>
    </row>
    <row r="1906" spans="87:87">
      <c r="CI1906" s="31"/>
    </row>
    <row r="1907" spans="87:87">
      <c r="CI1907" s="31"/>
    </row>
    <row r="1908" spans="87:87">
      <c r="CI1908" s="31"/>
    </row>
    <row r="1909" spans="87:87">
      <c r="CI1909" s="31"/>
    </row>
    <row r="1910" spans="87:87">
      <c r="CI1910" s="31"/>
    </row>
    <row r="1911" spans="87:87">
      <c r="CI1911" s="31"/>
    </row>
    <row r="1912" spans="87:87">
      <c r="CI1912" s="31"/>
    </row>
    <row r="1913" spans="87:87">
      <c r="CI1913" s="31"/>
    </row>
    <row r="1914" spans="87:87">
      <c r="CI1914" s="31"/>
    </row>
    <row r="1915" spans="87:87">
      <c r="CI1915" s="31"/>
    </row>
    <row r="1916" spans="87:87">
      <c r="CI1916" s="31"/>
    </row>
    <row r="1917" spans="87:87">
      <c r="CI1917" s="31"/>
    </row>
    <row r="1918" spans="87:87">
      <c r="CI1918" s="31"/>
    </row>
    <row r="1919" spans="87:87">
      <c r="CI1919" s="31"/>
    </row>
    <row r="1920" spans="87:87">
      <c r="CI1920" s="31"/>
    </row>
    <row r="1921" spans="87:87">
      <c r="CI1921" s="31"/>
    </row>
    <row r="1922" spans="87:87">
      <c r="CI1922" s="31"/>
    </row>
    <row r="1923" spans="87:87">
      <c r="CI1923" s="31"/>
    </row>
    <row r="1924" spans="87:87">
      <c r="CI1924" s="31"/>
    </row>
    <row r="1925" spans="87:87">
      <c r="CI1925" s="31"/>
    </row>
    <row r="1926" spans="87:87">
      <c r="CI1926" s="31"/>
    </row>
    <row r="1927" spans="87:87">
      <c r="CI1927" s="31"/>
    </row>
    <row r="1928" spans="87:87">
      <c r="CI1928" s="31"/>
    </row>
    <row r="1929" spans="87:87">
      <c r="CI1929" s="31"/>
    </row>
    <row r="1930" spans="87:87">
      <c r="CI1930" s="31"/>
    </row>
    <row r="1931" spans="87:87">
      <c r="CI1931" s="31"/>
    </row>
    <row r="1932" spans="87:87">
      <c r="CI1932" s="31"/>
    </row>
    <row r="1933" spans="87:87">
      <c r="CI1933" s="31"/>
    </row>
    <row r="1934" spans="87:87">
      <c r="CI1934" s="31"/>
    </row>
    <row r="1935" spans="87:87">
      <c r="CI1935" s="31"/>
    </row>
    <row r="1936" spans="87:87">
      <c r="CI1936" s="31"/>
    </row>
    <row r="1937" spans="87:87">
      <c r="CI1937" s="31"/>
    </row>
    <row r="1938" spans="87:87">
      <c r="CI1938" s="31"/>
    </row>
    <row r="1939" spans="87:87">
      <c r="CI1939" s="31"/>
    </row>
    <row r="1940" spans="87:87">
      <c r="CI1940" s="31"/>
    </row>
    <row r="1941" spans="87:87">
      <c r="CI1941" s="31"/>
    </row>
    <row r="1942" spans="87:87">
      <c r="CI1942" s="31"/>
    </row>
    <row r="1943" spans="87:87">
      <c r="CI1943" s="31"/>
    </row>
    <row r="1944" spans="87:87">
      <c r="CI1944" s="31"/>
    </row>
    <row r="1945" spans="87:87">
      <c r="CI1945" s="31"/>
    </row>
    <row r="1946" spans="87:87">
      <c r="CI1946" s="31"/>
    </row>
    <row r="1947" spans="87:87">
      <c r="CI1947" s="31"/>
    </row>
    <row r="1948" spans="87:87">
      <c r="CI1948" s="31"/>
    </row>
    <row r="1949" spans="87:87">
      <c r="CI1949" s="31"/>
    </row>
    <row r="1950" spans="87:87">
      <c r="CI1950" s="31"/>
    </row>
    <row r="1951" spans="87:87">
      <c r="CI1951" s="31"/>
    </row>
    <row r="1952" spans="87:87">
      <c r="CI1952" s="31"/>
    </row>
    <row r="1953" spans="87:87">
      <c r="CI1953" s="31"/>
    </row>
    <row r="1954" spans="87:87">
      <c r="CI1954" s="31"/>
    </row>
    <row r="1955" spans="87:87">
      <c r="CI1955" s="31"/>
    </row>
    <row r="1956" spans="87:87">
      <c r="CI1956" s="31"/>
    </row>
    <row r="1957" spans="87:87">
      <c r="CI1957" s="31"/>
    </row>
    <row r="1958" spans="87:87">
      <c r="CI1958" s="31"/>
    </row>
    <row r="1959" spans="87:87">
      <c r="CI1959" s="31"/>
    </row>
    <row r="1960" spans="87:87">
      <c r="CI1960" s="31"/>
    </row>
    <row r="1961" spans="87:87">
      <c r="CI1961" s="31"/>
    </row>
    <row r="1962" spans="87:87">
      <c r="CI1962" s="31"/>
    </row>
    <row r="1963" spans="87:87">
      <c r="CI1963" s="31"/>
    </row>
    <row r="1964" spans="87:87">
      <c r="CI1964" s="31"/>
    </row>
    <row r="1965" spans="87:87">
      <c r="CI1965" s="31"/>
    </row>
    <row r="1966" spans="87:87">
      <c r="CI1966" s="31"/>
    </row>
    <row r="1967" spans="87:87">
      <c r="CI1967" s="31"/>
    </row>
    <row r="1968" spans="87:87">
      <c r="CI1968" s="31"/>
    </row>
    <row r="1969" spans="87:87">
      <c r="CI1969" s="31"/>
    </row>
    <row r="1970" spans="87:87">
      <c r="CI1970" s="31"/>
    </row>
    <row r="1971" spans="87:87">
      <c r="CI1971" s="31"/>
    </row>
    <row r="1972" spans="87:87">
      <c r="CI1972" s="31"/>
    </row>
    <row r="1973" spans="87:87">
      <c r="CI1973" s="31"/>
    </row>
    <row r="1974" spans="87:87">
      <c r="CI1974" s="31"/>
    </row>
    <row r="1975" spans="87:87">
      <c r="CI1975" s="31"/>
    </row>
    <row r="1976" spans="87:87">
      <c r="CI1976" s="31"/>
    </row>
    <row r="1977" spans="87:87">
      <c r="CI1977" s="31"/>
    </row>
    <row r="1978" spans="87:87">
      <c r="CI1978" s="31"/>
    </row>
    <row r="1979" spans="87:87">
      <c r="CI1979" s="31"/>
    </row>
    <row r="1980" spans="87:87">
      <c r="CI1980" s="31"/>
    </row>
    <row r="1981" spans="87:87">
      <c r="CI1981" s="31"/>
    </row>
    <row r="1982" spans="87:87">
      <c r="CI1982" s="31"/>
    </row>
    <row r="1983" spans="87:87">
      <c r="CI1983" s="31"/>
    </row>
    <row r="1984" spans="87:87">
      <c r="CI1984" s="31"/>
    </row>
    <row r="1985" spans="87:87">
      <c r="CI1985" s="31"/>
    </row>
    <row r="1986" spans="87:87">
      <c r="CI1986" s="31"/>
    </row>
    <row r="1987" spans="87:87">
      <c r="CI1987" s="31"/>
    </row>
    <row r="1988" spans="87:87">
      <c r="CI1988" s="31"/>
    </row>
    <row r="1989" spans="87:87">
      <c r="CI1989" s="31"/>
    </row>
    <row r="1990" spans="87:87">
      <c r="CI1990" s="31"/>
    </row>
    <row r="1991" spans="87:87">
      <c r="CI1991" s="31"/>
    </row>
    <row r="1992" spans="87:87">
      <c r="CI1992" s="31"/>
    </row>
    <row r="1993" spans="87:87">
      <c r="CI1993" s="31"/>
    </row>
    <row r="1994" spans="87:87">
      <c r="CI1994" s="31"/>
    </row>
    <row r="1995" spans="87:87">
      <c r="CI1995" s="31"/>
    </row>
    <row r="1996" spans="87:87">
      <c r="CI1996" s="31"/>
    </row>
    <row r="1997" spans="87:87">
      <c r="CI1997" s="31"/>
    </row>
    <row r="1998" spans="87:87">
      <c r="CI1998" s="31"/>
    </row>
    <row r="1999" spans="87:87">
      <c r="CI1999" s="31"/>
    </row>
    <row r="2000" spans="87:87">
      <c r="CI2000" s="31"/>
    </row>
    <row r="2001" spans="87:87">
      <c r="CI2001" s="31"/>
    </row>
    <row r="2002" spans="87:87">
      <c r="CI2002" s="31"/>
    </row>
    <row r="2003" spans="87:87">
      <c r="CI2003" s="31"/>
    </row>
    <row r="2004" spans="87:87">
      <c r="CI2004" s="31"/>
    </row>
    <row r="2005" spans="87:87">
      <c r="CI2005" s="31"/>
    </row>
    <row r="2006" spans="87:87">
      <c r="CI2006" s="31"/>
    </row>
    <row r="2007" spans="87:87">
      <c r="CI2007" s="31"/>
    </row>
    <row r="2008" spans="87:87">
      <c r="CI2008" s="31"/>
    </row>
    <row r="2009" spans="87:87">
      <c r="CI2009" s="31"/>
    </row>
    <row r="2010" spans="87:87">
      <c r="CI2010" s="31"/>
    </row>
    <row r="2011" spans="87:87">
      <c r="CI2011" s="31"/>
    </row>
    <row r="2012" spans="87:87">
      <c r="CI2012" s="31"/>
    </row>
    <row r="2013" spans="87:87">
      <c r="CI2013" s="31"/>
    </row>
    <row r="2014" spans="87:87">
      <c r="CI2014" s="31"/>
    </row>
    <row r="2015" spans="87:87">
      <c r="CI2015" s="31"/>
    </row>
    <row r="2016" spans="87:87">
      <c r="CI2016" s="31"/>
    </row>
    <row r="2017" spans="87:87">
      <c r="CI2017" s="31"/>
    </row>
    <row r="2018" spans="87:87">
      <c r="CI2018" s="31"/>
    </row>
    <row r="2019" spans="87:87">
      <c r="CI2019" s="31"/>
    </row>
    <row r="2020" spans="87:87">
      <c r="CI2020" s="31"/>
    </row>
    <row r="2021" spans="87:87">
      <c r="CI2021" s="31"/>
    </row>
    <row r="2022" spans="87:87">
      <c r="CI2022" s="31"/>
    </row>
    <row r="2023" spans="87:87">
      <c r="CI2023" s="31"/>
    </row>
    <row r="2024" spans="87:87">
      <c r="CI2024" s="31"/>
    </row>
    <row r="2025" spans="87:87">
      <c r="CI2025" s="31"/>
    </row>
    <row r="2026" spans="87:87">
      <c r="CI2026" s="31"/>
    </row>
    <row r="2027" spans="87:87">
      <c r="CI2027" s="31"/>
    </row>
    <row r="2028" spans="87:87">
      <c r="CI2028" s="31"/>
    </row>
    <row r="2029" spans="87:87">
      <c r="CI2029" s="31"/>
    </row>
    <row r="2030" spans="87:87">
      <c r="CI2030" s="31"/>
    </row>
    <row r="2031" spans="87:87">
      <c r="CI2031" s="31"/>
    </row>
    <row r="2032" spans="87:87">
      <c r="CI2032" s="31"/>
    </row>
    <row r="2033" spans="87:87">
      <c r="CI2033" s="31"/>
    </row>
    <row r="2034" spans="87:87">
      <c r="CI2034" s="31"/>
    </row>
    <row r="2035" spans="87:87">
      <c r="CI2035" s="31"/>
    </row>
    <row r="2036" spans="87:87">
      <c r="CI2036" s="31"/>
    </row>
    <row r="2037" spans="87:87">
      <c r="CI2037" s="31"/>
    </row>
    <row r="2038" spans="87:87">
      <c r="CI2038" s="31"/>
    </row>
    <row r="2039" spans="87:87">
      <c r="CI2039" s="31"/>
    </row>
    <row r="2040" spans="87:87">
      <c r="CI2040" s="31"/>
    </row>
    <row r="2041" spans="87:87">
      <c r="CI2041" s="31"/>
    </row>
    <row r="2042" spans="87:87">
      <c r="CI2042" s="31"/>
    </row>
    <row r="2043" spans="87:87">
      <c r="CI2043" s="31"/>
    </row>
    <row r="2044" spans="87:87">
      <c r="CI2044" s="31"/>
    </row>
    <row r="2045" spans="87:87">
      <c r="CI2045" s="31"/>
    </row>
    <row r="2046" spans="87:87">
      <c r="CI2046" s="31"/>
    </row>
    <row r="2047" spans="87:87">
      <c r="CI2047" s="31"/>
    </row>
    <row r="2048" spans="87:87">
      <c r="CI2048" s="31"/>
    </row>
    <row r="2049" spans="87:87">
      <c r="CI2049" s="31"/>
    </row>
    <row r="2050" spans="87:87">
      <c r="CI2050" s="31"/>
    </row>
    <row r="2051" spans="87:87">
      <c r="CI2051" s="31"/>
    </row>
    <row r="2052" spans="87:87">
      <c r="CI2052" s="31"/>
    </row>
    <row r="2053" spans="87:87">
      <c r="CI2053" s="31"/>
    </row>
    <row r="2054" spans="87:87">
      <c r="CI2054" s="31"/>
    </row>
    <row r="2055" spans="87:87">
      <c r="CI2055" s="31"/>
    </row>
    <row r="2056" spans="87:87">
      <c r="CI2056" s="31"/>
    </row>
    <row r="2057" spans="87:87">
      <c r="CI2057" s="31"/>
    </row>
    <row r="2058" spans="87:87">
      <c r="CI2058" s="31"/>
    </row>
    <row r="2059" spans="87:87">
      <c r="CI2059" s="31"/>
    </row>
    <row r="2060" spans="87:87">
      <c r="CI2060" s="31"/>
    </row>
    <row r="2061" spans="87:87">
      <c r="CI2061" s="31"/>
    </row>
    <row r="2062" spans="87:87">
      <c r="CI2062" s="31"/>
    </row>
    <row r="2063" spans="87:87">
      <c r="CI2063" s="31"/>
    </row>
    <row r="2064" spans="87:87">
      <c r="CI2064" s="31"/>
    </row>
    <row r="2065" spans="87:87">
      <c r="CI2065" s="31"/>
    </row>
    <row r="2066" spans="87:87">
      <c r="CI2066" s="31"/>
    </row>
    <row r="2067" spans="87:87">
      <c r="CI2067" s="31"/>
    </row>
    <row r="2068" spans="87:87">
      <c r="CI2068" s="31"/>
    </row>
    <row r="2069" spans="87:87">
      <c r="CI2069" s="31"/>
    </row>
    <row r="2070" spans="87:87">
      <c r="CI2070" s="31"/>
    </row>
    <row r="2071" spans="87:87">
      <c r="CI2071" s="31"/>
    </row>
    <row r="2072" spans="87:87">
      <c r="CI2072" s="31"/>
    </row>
    <row r="2073" spans="87:87">
      <c r="CI2073" s="31"/>
    </row>
    <row r="2074" spans="87:87">
      <c r="CI2074" s="31"/>
    </row>
    <row r="2075" spans="87:87">
      <c r="CI2075" s="31"/>
    </row>
    <row r="2076" spans="87:87">
      <c r="CI2076" s="31"/>
    </row>
    <row r="2077" spans="87:87">
      <c r="CI2077" s="31"/>
    </row>
    <row r="2078" spans="87:87">
      <c r="CI2078" s="31"/>
    </row>
    <row r="2079" spans="87:87">
      <c r="CI2079" s="31"/>
    </row>
    <row r="2080" spans="87:87">
      <c r="CI2080" s="31"/>
    </row>
    <row r="2081" spans="87:87">
      <c r="CI2081" s="31"/>
    </row>
    <row r="2082" spans="87:87">
      <c r="CI2082" s="31"/>
    </row>
    <row r="2083" spans="87:87">
      <c r="CI2083" s="31"/>
    </row>
    <row r="2084" spans="87:87">
      <c r="CI2084" s="31"/>
    </row>
    <row r="2085" spans="87:87">
      <c r="CI2085" s="31"/>
    </row>
    <row r="2086" spans="87:87">
      <c r="CI2086" s="31"/>
    </row>
    <row r="2087" spans="87:87">
      <c r="CI2087" s="31"/>
    </row>
    <row r="2088" spans="87:87">
      <c r="CI2088" s="31"/>
    </row>
    <row r="2089" spans="87:87">
      <c r="CI2089" s="31"/>
    </row>
    <row r="2090" spans="87:87">
      <c r="CI2090" s="31"/>
    </row>
    <row r="2091" spans="87:87">
      <c r="CI2091" s="31"/>
    </row>
    <row r="2092" spans="87:87">
      <c r="CI2092" s="31"/>
    </row>
    <row r="2093" spans="87:87">
      <c r="CI2093" s="31"/>
    </row>
    <row r="2094" spans="87:87">
      <c r="CI2094" s="31"/>
    </row>
    <row r="2095" spans="87:87">
      <c r="CI2095" s="31"/>
    </row>
    <row r="2096" spans="87:87">
      <c r="CI2096" s="31"/>
    </row>
    <row r="2097" spans="87:87">
      <c r="CI2097" s="31"/>
    </row>
    <row r="2098" spans="87:87">
      <c r="CI2098" s="31"/>
    </row>
    <row r="2099" spans="87:87">
      <c r="CI2099" s="31"/>
    </row>
    <row r="2100" spans="87:87">
      <c r="CI2100" s="31"/>
    </row>
    <row r="2101" spans="87:87">
      <c r="CI2101" s="31"/>
    </row>
    <row r="2102" spans="87:87">
      <c r="CI2102" s="31"/>
    </row>
    <row r="2103" spans="87:87">
      <c r="CI2103" s="31"/>
    </row>
    <row r="2104" spans="87:87">
      <c r="CI2104" s="31"/>
    </row>
    <row r="2105" spans="87:87">
      <c r="CI2105" s="31"/>
    </row>
    <row r="2106" spans="87:87">
      <c r="CI2106" s="31"/>
    </row>
    <row r="2107" spans="87:87">
      <c r="CI2107" s="31"/>
    </row>
    <row r="2108" spans="87:87">
      <c r="CI2108" s="31"/>
    </row>
    <row r="2109" spans="87:87">
      <c r="CI2109" s="31"/>
    </row>
    <row r="2110" spans="87:87">
      <c r="CI2110" s="31"/>
    </row>
    <row r="2111" spans="87:87">
      <c r="CI2111" s="31"/>
    </row>
    <row r="2112" spans="87:87">
      <c r="CI2112" s="31"/>
    </row>
    <row r="2113" spans="87:87">
      <c r="CI2113" s="31"/>
    </row>
    <row r="2114" spans="87:87">
      <c r="CI2114" s="31"/>
    </row>
    <row r="2115" spans="87:87">
      <c r="CI2115" s="31"/>
    </row>
    <row r="2116" spans="87:87">
      <c r="CI2116" s="31"/>
    </row>
    <row r="2117" spans="87:87">
      <c r="CI2117" s="31"/>
    </row>
    <row r="2118" spans="87:87">
      <c r="CI2118" s="31"/>
    </row>
    <row r="2119" spans="87:87">
      <c r="CI2119" s="31"/>
    </row>
    <row r="2120" spans="87:87">
      <c r="CI2120" s="31"/>
    </row>
    <row r="2121" spans="87:87">
      <c r="CI2121" s="31"/>
    </row>
    <row r="2122" spans="87:87">
      <c r="CI2122" s="31"/>
    </row>
    <row r="2123" spans="87:87">
      <c r="CI2123" s="31"/>
    </row>
    <row r="2124" spans="87:87">
      <c r="CI2124" s="31"/>
    </row>
    <row r="2125" spans="87:87">
      <c r="CI2125" s="31"/>
    </row>
    <row r="2126" spans="87:87">
      <c r="CI2126" s="31"/>
    </row>
    <row r="2127" spans="87:87">
      <c r="CI2127" s="31"/>
    </row>
    <row r="2128" spans="87:87">
      <c r="CI2128" s="31"/>
    </row>
    <row r="2129" spans="87:87">
      <c r="CI2129" s="31"/>
    </row>
    <row r="2130" spans="87:87">
      <c r="CI2130" s="31"/>
    </row>
    <row r="2131" spans="87:87">
      <c r="CI2131" s="31"/>
    </row>
    <row r="2132" spans="87:87">
      <c r="CI2132" s="31"/>
    </row>
    <row r="2133" spans="87:87">
      <c r="CI2133" s="31"/>
    </row>
    <row r="2134" spans="87:87">
      <c r="CI2134" s="31"/>
    </row>
    <row r="2135" spans="87:87">
      <c r="CI2135" s="31"/>
    </row>
    <row r="2136" spans="87:87">
      <c r="CI2136" s="31"/>
    </row>
    <row r="2137" spans="87:87">
      <c r="CI2137" s="31"/>
    </row>
    <row r="2138" spans="87:87">
      <c r="CI2138" s="31"/>
    </row>
    <row r="2139" spans="87:87">
      <c r="CI2139" s="31"/>
    </row>
    <row r="2140" spans="87:87">
      <c r="CI2140" s="31"/>
    </row>
    <row r="2141" spans="87:87">
      <c r="CI2141" s="31"/>
    </row>
    <row r="2142" spans="87:87">
      <c r="CI2142" s="31"/>
    </row>
    <row r="2143" spans="87:87">
      <c r="CI2143" s="31"/>
    </row>
    <row r="2144" spans="87:87">
      <c r="CI2144" s="31"/>
    </row>
    <row r="2145" spans="87:87">
      <c r="CI2145" s="31"/>
    </row>
    <row r="2146" spans="87:87">
      <c r="CI2146" s="31"/>
    </row>
    <row r="2147" spans="87:87">
      <c r="CI2147" s="31"/>
    </row>
    <row r="2148" spans="87:87">
      <c r="CI2148" s="31"/>
    </row>
    <row r="2149" spans="87:87">
      <c r="CI2149" s="31"/>
    </row>
    <row r="2150" spans="87:87">
      <c r="CI2150" s="31"/>
    </row>
    <row r="2151" spans="87:87">
      <c r="CI2151" s="31"/>
    </row>
    <row r="2152" spans="87:87">
      <c r="CI2152" s="31"/>
    </row>
    <row r="2153" spans="87:87">
      <c r="CI2153" s="31"/>
    </row>
    <row r="2154" spans="87:87">
      <c r="CI2154" s="31"/>
    </row>
    <row r="2155" spans="87:87">
      <c r="CI2155" s="31"/>
    </row>
    <row r="2156" spans="87:87">
      <c r="CI2156" s="31"/>
    </row>
    <row r="2157" spans="87:87">
      <c r="CI2157" s="31"/>
    </row>
    <row r="2158" spans="87:87">
      <c r="CI2158" s="31"/>
    </row>
    <row r="2159" spans="87:87">
      <c r="CI2159" s="31"/>
    </row>
    <row r="2160" spans="87:87">
      <c r="CI2160" s="31"/>
    </row>
    <row r="2161" spans="87:87">
      <c r="CI2161" s="31"/>
    </row>
    <row r="2162" spans="87:87">
      <c r="CI2162" s="31"/>
    </row>
    <row r="2163" spans="87:87">
      <c r="CI2163" s="31"/>
    </row>
    <row r="2164" spans="87:87">
      <c r="CI2164" s="31"/>
    </row>
    <row r="2165" spans="87:87">
      <c r="CI2165" s="31"/>
    </row>
    <row r="2166" spans="87:87">
      <c r="CI2166" s="31"/>
    </row>
    <row r="2167" spans="87:87">
      <c r="CI2167" s="31"/>
    </row>
    <row r="2168" spans="87:87">
      <c r="CI2168" s="31"/>
    </row>
    <row r="2169" spans="87:87">
      <c r="CI2169" s="31"/>
    </row>
    <row r="2170" spans="87:87">
      <c r="CI2170" s="31"/>
    </row>
    <row r="2171" spans="87:87">
      <c r="CI2171" s="31"/>
    </row>
    <row r="2172" spans="87:87">
      <c r="CI2172" s="31"/>
    </row>
    <row r="2173" spans="87:87">
      <c r="CI2173" s="31"/>
    </row>
    <row r="2174" spans="87:87">
      <c r="CI2174" s="31"/>
    </row>
    <row r="2175" spans="87:87">
      <c r="CI2175" s="31"/>
    </row>
    <row r="2176" spans="87:87">
      <c r="CI2176" s="31"/>
    </row>
    <row r="2177" spans="87:87">
      <c r="CI2177" s="31"/>
    </row>
    <row r="2178" spans="87:87">
      <c r="CI2178" s="31"/>
    </row>
    <row r="2179" spans="87:87">
      <c r="CI2179" s="31"/>
    </row>
    <row r="2180" spans="87:87">
      <c r="CI2180" s="31"/>
    </row>
    <row r="2181" spans="87:87">
      <c r="CI2181" s="31"/>
    </row>
    <row r="2182" spans="87:87">
      <c r="CI2182" s="31"/>
    </row>
    <row r="2183" spans="87:87">
      <c r="CI2183" s="31"/>
    </row>
    <row r="2184" spans="87:87">
      <c r="CI2184" s="31"/>
    </row>
    <row r="2185" spans="87:87">
      <c r="CI2185" s="31"/>
    </row>
    <row r="2186" spans="87:87">
      <c r="CI2186" s="31"/>
    </row>
    <row r="2187" spans="87:87">
      <c r="CI2187" s="31"/>
    </row>
    <row r="2188" spans="87:87">
      <c r="CI2188" s="31"/>
    </row>
    <row r="2189" spans="87:87">
      <c r="CI2189" s="31"/>
    </row>
    <row r="2190" spans="87:87">
      <c r="CI2190" s="31"/>
    </row>
    <row r="2191" spans="87:87">
      <c r="CI2191" s="31"/>
    </row>
    <row r="2192" spans="87:87">
      <c r="CI2192" s="31"/>
    </row>
    <row r="2193" spans="87:87">
      <c r="CI2193" s="31"/>
    </row>
    <row r="2194" spans="87:87">
      <c r="CI2194" s="31"/>
    </row>
    <row r="2195" spans="87:87">
      <c r="CI2195" s="31"/>
    </row>
    <row r="2196" spans="87:87">
      <c r="CI2196" s="31"/>
    </row>
    <row r="2197" spans="87:87">
      <c r="CI2197" s="31"/>
    </row>
    <row r="2198" spans="87:87">
      <c r="CI2198" s="31"/>
    </row>
    <row r="2199" spans="87:87">
      <c r="CI2199" s="31"/>
    </row>
    <row r="2200" spans="87:87">
      <c r="CI2200" s="31"/>
    </row>
    <row r="2201" spans="87:87">
      <c r="CI2201" s="31"/>
    </row>
    <row r="2202" spans="87:87">
      <c r="CI2202" s="31"/>
    </row>
    <row r="2203" spans="87:87">
      <c r="CI2203" s="31"/>
    </row>
    <row r="2204" spans="87:87">
      <c r="CI2204" s="31"/>
    </row>
    <row r="2205" spans="87:87">
      <c r="CI2205" s="31"/>
    </row>
    <row r="2206" spans="87:87">
      <c r="CI2206" s="31"/>
    </row>
    <row r="2207" spans="87:87">
      <c r="CI2207" s="31"/>
    </row>
    <row r="2208" spans="87:87">
      <c r="CI2208" s="31"/>
    </row>
    <row r="2209" spans="87:87">
      <c r="CI2209" s="31"/>
    </row>
    <row r="2210" spans="87:87">
      <c r="CI2210" s="31"/>
    </row>
    <row r="2211" spans="87:87">
      <c r="CI2211" s="31"/>
    </row>
    <row r="2212" spans="87:87">
      <c r="CI2212" s="31"/>
    </row>
    <row r="2213" spans="87:87">
      <c r="CI2213" s="31"/>
    </row>
    <row r="2214" spans="87:87">
      <c r="CI2214" s="31"/>
    </row>
    <row r="2215" spans="87:87">
      <c r="CI2215" s="31"/>
    </row>
    <row r="2216" spans="87:87">
      <c r="CI2216" s="31"/>
    </row>
    <row r="2217" spans="87:87">
      <c r="CI2217" s="31"/>
    </row>
    <row r="2218" spans="87:87">
      <c r="CI2218" s="31"/>
    </row>
    <row r="2219" spans="87:87">
      <c r="CI2219" s="31"/>
    </row>
    <row r="2220" spans="87:87">
      <c r="CI2220" s="31"/>
    </row>
    <row r="2221" spans="87:87">
      <c r="CI2221" s="31"/>
    </row>
    <row r="2222" spans="87:87">
      <c r="CI2222" s="31"/>
    </row>
    <row r="2223" spans="87:87">
      <c r="CI2223" s="31"/>
    </row>
    <row r="2224" spans="87:87">
      <c r="CI2224" s="31"/>
    </row>
    <row r="2225" spans="87:87">
      <c r="CI2225" s="31"/>
    </row>
    <row r="2226" spans="87:87">
      <c r="CI2226" s="31"/>
    </row>
    <row r="2227" spans="87:87">
      <c r="CI2227" s="31"/>
    </row>
    <row r="2228" spans="87:87">
      <c r="CI2228" s="31"/>
    </row>
    <row r="2229" spans="87:87">
      <c r="CI2229" s="31"/>
    </row>
    <row r="2230" spans="87:87">
      <c r="CI2230" s="31"/>
    </row>
    <row r="2231" spans="87:87">
      <c r="CI2231" s="31"/>
    </row>
    <row r="2232" spans="87:87">
      <c r="CI2232" s="31"/>
    </row>
    <row r="2233" spans="87:87">
      <c r="CI2233" s="31"/>
    </row>
    <row r="2234" spans="87:87">
      <c r="CI2234" s="31"/>
    </row>
    <row r="2235" spans="87:87">
      <c r="CI2235" s="31"/>
    </row>
    <row r="2236" spans="87:87">
      <c r="CI2236" s="31"/>
    </row>
    <row r="2237" spans="87:87">
      <c r="CI2237" s="31"/>
    </row>
    <row r="2238" spans="87:87">
      <c r="CI2238" s="31"/>
    </row>
    <row r="2239" spans="87:87">
      <c r="CI2239" s="31"/>
    </row>
    <row r="2240" spans="87:87">
      <c r="CI2240" s="31"/>
    </row>
    <row r="2241" spans="87:87">
      <c r="CI2241" s="31"/>
    </row>
    <row r="2242" spans="87:87">
      <c r="CI2242" s="31"/>
    </row>
    <row r="2243" spans="87:87">
      <c r="CI2243" s="31"/>
    </row>
    <row r="2244" spans="87:87">
      <c r="CI2244" s="31"/>
    </row>
    <row r="2245" spans="87:87">
      <c r="CI2245" s="31"/>
    </row>
    <row r="2246" spans="87:87">
      <c r="CI2246" s="31"/>
    </row>
    <row r="2247" spans="87:87">
      <c r="CI2247" s="31"/>
    </row>
    <row r="2248" spans="87:87">
      <c r="CI2248" s="31"/>
    </row>
    <row r="2249" spans="87:87">
      <c r="CI2249" s="31"/>
    </row>
    <row r="2250" spans="87:87">
      <c r="CI2250" s="31"/>
    </row>
    <row r="2251" spans="87:87">
      <c r="CI2251" s="31"/>
    </row>
    <row r="2252" spans="87:87">
      <c r="CI2252" s="31"/>
    </row>
    <row r="2253" spans="87:87">
      <c r="CI2253" s="31"/>
    </row>
    <row r="2254" spans="87:87">
      <c r="CI2254" s="31"/>
    </row>
    <row r="2255" spans="87:87">
      <c r="CI2255" s="31"/>
    </row>
    <row r="2256" spans="87:87">
      <c r="CI2256" s="31"/>
    </row>
    <row r="2257" spans="87:87">
      <c r="CI2257" s="31"/>
    </row>
    <row r="2258" spans="87:87">
      <c r="CI2258" s="31"/>
    </row>
    <row r="2259" spans="87:87">
      <c r="CI2259" s="31"/>
    </row>
    <row r="2260" spans="87:87">
      <c r="CI2260" s="31"/>
    </row>
    <row r="2261" spans="87:87">
      <c r="CI2261" s="31"/>
    </row>
    <row r="2262" spans="87:87">
      <c r="CI2262" s="31"/>
    </row>
    <row r="2263" spans="87:87">
      <c r="CI2263" s="31"/>
    </row>
    <row r="2264" spans="87:87">
      <c r="CI2264" s="31"/>
    </row>
    <row r="2265" spans="87:87">
      <c r="CI2265" s="31"/>
    </row>
    <row r="2266" spans="87:87">
      <c r="CI2266" s="31"/>
    </row>
    <row r="2267" spans="87:87">
      <c r="CI2267" s="31"/>
    </row>
    <row r="2268" spans="87:87">
      <c r="CI2268" s="31"/>
    </row>
    <row r="2269" spans="87:87">
      <c r="CI2269" s="31"/>
    </row>
    <row r="2270" spans="87:87">
      <c r="CI2270" s="31"/>
    </row>
    <row r="2271" spans="87:87">
      <c r="CI2271" s="31"/>
    </row>
    <row r="2272" spans="87:87">
      <c r="CI2272" s="31"/>
    </row>
    <row r="2273" spans="87:87">
      <c r="CI2273" s="31"/>
    </row>
    <row r="2274" spans="87:87">
      <c r="CI2274" s="31"/>
    </row>
    <row r="2275" spans="87:87">
      <c r="CI2275" s="31"/>
    </row>
    <row r="2276" spans="87:87">
      <c r="CI2276" s="31"/>
    </row>
    <row r="2277" spans="87:87">
      <c r="CI2277" s="31"/>
    </row>
    <row r="2278" spans="87:87">
      <c r="CI2278" s="31"/>
    </row>
    <row r="2279" spans="87:87">
      <c r="CI2279" s="31"/>
    </row>
    <row r="2280" spans="87:87">
      <c r="CI2280" s="31"/>
    </row>
    <row r="2281" spans="87:87">
      <c r="CI2281" s="31"/>
    </row>
    <row r="2282" spans="87:87">
      <c r="CI2282" s="31"/>
    </row>
    <row r="2283" spans="87:87">
      <c r="CI2283" s="31"/>
    </row>
    <row r="2284" spans="87:87">
      <c r="CI2284" s="31"/>
    </row>
    <row r="2285" spans="87:87">
      <c r="CI2285" s="31"/>
    </row>
    <row r="2286" spans="87:87">
      <c r="CI2286" s="31"/>
    </row>
    <row r="2287" spans="87:87">
      <c r="CI2287" s="31"/>
    </row>
    <row r="2288" spans="87:87">
      <c r="CI2288" s="31"/>
    </row>
    <row r="2289" spans="87:87">
      <c r="CI2289" s="31"/>
    </row>
    <row r="2290" spans="87:87">
      <c r="CI2290" s="31"/>
    </row>
    <row r="2291" spans="87:87">
      <c r="CI2291" s="31"/>
    </row>
    <row r="2292" spans="87:87">
      <c r="CI2292" s="31"/>
    </row>
    <row r="2293" spans="87:87">
      <c r="CI2293" s="31"/>
    </row>
    <row r="2294" spans="87:87">
      <c r="CI2294" s="31"/>
    </row>
    <row r="2295" spans="87:87">
      <c r="CI2295" s="31"/>
    </row>
    <row r="2296" spans="87:87">
      <c r="CI2296" s="31"/>
    </row>
    <row r="2297" spans="87:87">
      <c r="CI2297" s="31"/>
    </row>
    <row r="2298" spans="87:87">
      <c r="CI2298" s="31"/>
    </row>
    <row r="2299" spans="87:87">
      <c r="CI2299" s="31"/>
    </row>
    <row r="2300" spans="87:87">
      <c r="CI2300" s="31"/>
    </row>
    <row r="2301" spans="87:87">
      <c r="CI2301" s="31"/>
    </row>
    <row r="2302" spans="87:87">
      <c r="CI2302" s="31"/>
    </row>
    <row r="2303" spans="87:87">
      <c r="CI2303" s="31"/>
    </row>
    <row r="2304" spans="87:87">
      <c r="CI2304" s="31"/>
    </row>
    <row r="2305" spans="87:87">
      <c r="CI2305" s="31"/>
    </row>
    <row r="2306" spans="87:87">
      <c r="CI2306" s="31"/>
    </row>
    <row r="2307" spans="87:87">
      <c r="CI2307" s="31"/>
    </row>
    <row r="2308" spans="87:87">
      <c r="CI2308" s="31"/>
    </row>
    <row r="2309" spans="87:87">
      <c r="CI2309" s="31"/>
    </row>
    <row r="2310" spans="87:87">
      <c r="CI2310" s="31"/>
    </row>
    <row r="2311" spans="87:87">
      <c r="CI2311" s="31"/>
    </row>
    <row r="2312" spans="87:87">
      <c r="CI2312" s="31"/>
    </row>
    <row r="2313" spans="87:87">
      <c r="CI2313" s="31"/>
    </row>
    <row r="2314" spans="87:87">
      <c r="CI2314" s="31"/>
    </row>
    <row r="2315" spans="87:87">
      <c r="CI2315" s="31"/>
    </row>
    <row r="2316" spans="87:87">
      <c r="CI2316" s="31"/>
    </row>
    <row r="2317" spans="87:87">
      <c r="CI2317" s="31"/>
    </row>
    <row r="2318" spans="87:87">
      <c r="CI2318" s="31"/>
    </row>
    <row r="2319" spans="87:87">
      <c r="CI2319" s="31"/>
    </row>
    <row r="2320" spans="87:87">
      <c r="CI2320" s="31"/>
    </row>
    <row r="2321" spans="87:87">
      <c r="CI2321" s="31"/>
    </row>
    <row r="2322" spans="87:87">
      <c r="CI2322" s="31"/>
    </row>
    <row r="2323" spans="87:87">
      <c r="CI2323" s="31"/>
    </row>
    <row r="2324" spans="87:87">
      <c r="CI2324" s="31"/>
    </row>
    <row r="2325" spans="87:87">
      <c r="CI2325" s="31"/>
    </row>
    <row r="2326" spans="87:87">
      <c r="CI2326" s="31"/>
    </row>
    <row r="2327" spans="87:87">
      <c r="CI2327" s="31"/>
    </row>
    <row r="2328" spans="87:87">
      <c r="CI2328" s="31"/>
    </row>
    <row r="2329" spans="87:87">
      <c r="CI2329" s="31"/>
    </row>
    <row r="2330" spans="87:87">
      <c r="CI2330" s="31"/>
    </row>
    <row r="2331" spans="87:87">
      <c r="CI2331" s="31"/>
    </row>
    <row r="2332" spans="87:87">
      <c r="CI2332" s="31"/>
    </row>
    <row r="2333" spans="87:87">
      <c r="CI2333" s="31"/>
    </row>
    <row r="2334" spans="87:87">
      <c r="CI2334" s="31"/>
    </row>
    <row r="2335" spans="87:87">
      <c r="CI2335" s="31"/>
    </row>
    <row r="2336" spans="87:87">
      <c r="CI2336" s="31"/>
    </row>
    <row r="2337" spans="87:87">
      <c r="CI2337" s="31"/>
    </row>
    <row r="2338" spans="87:87">
      <c r="CI2338" s="31"/>
    </row>
    <row r="2339" spans="87:87">
      <c r="CI2339" s="31"/>
    </row>
    <row r="2340" spans="87:87">
      <c r="CI2340" s="31"/>
    </row>
    <row r="2341" spans="87:87">
      <c r="CI2341" s="31"/>
    </row>
    <row r="2342" spans="87:87">
      <c r="CI2342" s="31"/>
    </row>
    <row r="2343" spans="87:87">
      <c r="CI2343" s="31"/>
    </row>
    <row r="2344" spans="87:87">
      <c r="CI2344" s="31"/>
    </row>
    <row r="2345" spans="87:87">
      <c r="CI2345" s="31"/>
    </row>
    <row r="2346" spans="87:87">
      <c r="CI2346" s="31"/>
    </row>
    <row r="2347" spans="87:87">
      <c r="CI2347" s="31"/>
    </row>
    <row r="2348" spans="87:87">
      <c r="CI2348" s="31"/>
    </row>
    <row r="2349" spans="87:87">
      <c r="CI2349" s="31"/>
    </row>
    <row r="2350" spans="87:87">
      <c r="CI2350" s="31"/>
    </row>
    <row r="2351" spans="87:87">
      <c r="CI2351" s="31"/>
    </row>
    <row r="2352" spans="87:87">
      <c r="CI2352" s="31"/>
    </row>
    <row r="2353" spans="87:87">
      <c r="CI2353" s="31"/>
    </row>
    <row r="2354" spans="87:87">
      <c r="CI2354" s="31"/>
    </row>
    <row r="2355" spans="87:87">
      <c r="CI2355" s="31"/>
    </row>
    <row r="2356" spans="87:87">
      <c r="CI2356" s="31"/>
    </row>
    <row r="2357" spans="87:87">
      <c r="CI2357" s="31"/>
    </row>
    <row r="2358" spans="87:87">
      <c r="CI2358" s="31"/>
    </row>
    <row r="2359" spans="87:87">
      <c r="CI2359" s="31"/>
    </row>
    <row r="2360" spans="87:87">
      <c r="CI2360" s="31"/>
    </row>
    <row r="2361" spans="87:87">
      <c r="CI2361" s="31"/>
    </row>
    <row r="2362" spans="87:87">
      <c r="CI2362" s="31"/>
    </row>
    <row r="2363" spans="87:87">
      <c r="CI2363" s="31"/>
    </row>
    <row r="2364" spans="87:87">
      <c r="CI2364" s="31"/>
    </row>
    <row r="2365" spans="87:87">
      <c r="CI2365" s="31"/>
    </row>
    <row r="2366" spans="87:87">
      <c r="CI2366" s="31"/>
    </row>
    <row r="2367" spans="87:87">
      <c r="CI2367" s="31"/>
    </row>
    <row r="2368" spans="87:87">
      <c r="CI2368" s="31"/>
    </row>
    <row r="2369" spans="87:87">
      <c r="CI2369" s="31"/>
    </row>
    <row r="2370" spans="87:87">
      <c r="CI2370" s="31"/>
    </row>
    <row r="2371" spans="87:87">
      <c r="CI2371" s="31"/>
    </row>
    <row r="2372" spans="87:87">
      <c r="CI2372" s="31"/>
    </row>
    <row r="2373" spans="87:87">
      <c r="CI2373" s="31"/>
    </row>
    <row r="2374" spans="87:87">
      <c r="CI2374" s="31"/>
    </row>
    <row r="2375" spans="87:87">
      <c r="CI2375" s="31"/>
    </row>
    <row r="2376" spans="87:87">
      <c r="CI2376" s="31"/>
    </row>
    <row r="2377" spans="87:87">
      <c r="CI2377" s="31"/>
    </row>
    <row r="2378" spans="87:87">
      <c r="CI2378" s="31"/>
    </row>
    <row r="2379" spans="87:87">
      <c r="CI2379" s="31"/>
    </row>
    <row r="2380" spans="87:87">
      <c r="CI2380" s="31"/>
    </row>
    <row r="2381" spans="87:87">
      <c r="CI2381" s="31"/>
    </row>
    <row r="2382" spans="87:87">
      <c r="CI2382" s="31"/>
    </row>
    <row r="2383" spans="87:87">
      <c r="CI2383" s="31"/>
    </row>
    <row r="2384" spans="87:87">
      <c r="CI2384" s="31"/>
    </row>
    <row r="2385" spans="87:87">
      <c r="CI2385" s="31"/>
    </row>
    <row r="2386" spans="87:87">
      <c r="CI2386" s="31"/>
    </row>
    <row r="2387" spans="87:87">
      <c r="CI2387" s="31"/>
    </row>
    <row r="2388" spans="87:87">
      <c r="CI2388" s="31"/>
    </row>
    <row r="2389" spans="87:87">
      <c r="CI2389" s="31"/>
    </row>
    <row r="2390" spans="87:87">
      <c r="CI2390" s="31"/>
    </row>
    <row r="2391" spans="87:87">
      <c r="CI2391" s="31"/>
    </row>
    <row r="2392" spans="87:87">
      <c r="CI2392" s="31"/>
    </row>
    <row r="2393" spans="87:87">
      <c r="CI2393" s="31"/>
    </row>
    <row r="2394" spans="87:87">
      <c r="CI2394" s="31"/>
    </row>
    <row r="2395" spans="87:87">
      <c r="CI2395" s="31"/>
    </row>
    <row r="2396" spans="87:87">
      <c r="CI2396" s="31"/>
    </row>
    <row r="2397" spans="87:87">
      <c r="CI2397" s="31"/>
    </row>
    <row r="2398" spans="87:87">
      <c r="CI2398" s="31"/>
    </row>
    <row r="2399" spans="87:87">
      <c r="CI2399" s="31"/>
    </row>
    <row r="2400" spans="87:87">
      <c r="CI2400" s="31"/>
    </row>
    <row r="2401" spans="87:87">
      <c r="CI2401" s="31"/>
    </row>
    <row r="2402" spans="87:87">
      <c r="CI2402" s="31"/>
    </row>
    <row r="2403" spans="87:87">
      <c r="CI2403" s="31"/>
    </row>
    <row r="2404" spans="87:87">
      <c r="CI2404" s="31"/>
    </row>
    <row r="2405" spans="87:87">
      <c r="CI2405" s="31"/>
    </row>
    <row r="2406" spans="87:87">
      <c r="CI2406" s="31"/>
    </row>
    <row r="2407" spans="87:87">
      <c r="CI2407" s="31"/>
    </row>
    <row r="2408" spans="87:87">
      <c r="CI2408" s="31"/>
    </row>
    <row r="2409" spans="87:87">
      <c r="CI2409" s="31"/>
    </row>
    <row r="2410" spans="87:87">
      <c r="CI2410" s="31"/>
    </row>
    <row r="2411" spans="87:87">
      <c r="CI2411" s="31"/>
    </row>
    <row r="2412" spans="87:87">
      <c r="CI2412" s="31"/>
    </row>
    <row r="2413" spans="87:87">
      <c r="CI2413" s="31"/>
    </row>
    <row r="2414" spans="87:87">
      <c r="CI2414" s="31"/>
    </row>
    <row r="2415" spans="87:87">
      <c r="CI2415" s="31"/>
    </row>
    <row r="2416" spans="87:87">
      <c r="CI2416" s="31"/>
    </row>
    <row r="2417" spans="87:87">
      <c r="CI2417" s="31"/>
    </row>
    <row r="2418" spans="87:87">
      <c r="CI2418" s="31"/>
    </row>
    <row r="2419" spans="87:87">
      <c r="CI2419" s="31"/>
    </row>
    <row r="2420" spans="87:87">
      <c r="CI2420" s="31"/>
    </row>
    <row r="2421" spans="87:87">
      <c r="CI2421" s="31"/>
    </row>
    <row r="2422" spans="87:87">
      <c r="CI2422" s="31"/>
    </row>
    <row r="2423" spans="87:87">
      <c r="CI2423" s="31"/>
    </row>
    <row r="2424" spans="87:87">
      <c r="CI2424" s="31"/>
    </row>
    <row r="2425" spans="87:87">
      <c r="CI2425" s="31"/>
    </row>
    <row r="2426" spans="87:87">
      <c r="CI2426" s="31"/>
    </row>
    <row r="2427" spans="87:87">
      <c r="CI2427" s="31"/>
    </row>
    <row r="2428" spans="87:87">
      <c r="CI2428" s="31"/>
    </row>
    <row r="2429" spans="87:87">
      <c r="CI2429" s="31"/>
    </row>
    <row r="2430" spans="87:87">
      <c r="CI2430" s="31"/>
    </row>
    <row r="2431" spans="87:87">
      <c r="CI2431" s="31"/>
    </row>
    <row r="2432" spans="87:87">
      <c r="CI2432" s="31"/>
    </row>
    <row r="2433" spans="87:87">
      <c r="CI2433" s="31"/>
    </row>
    <row r="2434" spans="87:87">
      <c r="CI2434" s="31"/>
    </row>
    <row r="2435" spans="87:87">
      <c r="CI2435" s="31"/>
    </row>
    <row r="2436" spans="87:87">
      <c r="CI2436" s="31"/>
    </row>
    <row r="2437" spans="87:87">
      <c r="CI2437" s="31"/>
    </row>
    <row r="2438" spans="87:87">
      <c r="CI2438" s="31"/>
    </row>
    <row r="2439" spans="87:87">
      <c r="CI2439" s="31"/>
    </row>
    <row r="2440" spans="87:87">
      <c r="CI2440" s="31"/>
    </row>
    <row r="2441" spans="87:87">
      <c r="CI2441" s="31"/>
    </row>
    <row r="2442" spans="87:87">
      <c r="CI2442" s="31"/>
    </row>
    <row r="2443" spans="87:87">
      <c r="CI2443" s="31"/>
    </row>
    <row r="2444" spans="87:87">
      <c r="CI2444" s="31"/>
    </row>
    <row r="2445" spans="87:87">
      <c r="CI2445" s="31"/>
    </row>
    <row r="2446" spans="87:87">
      <c r="CI2446" s="31"/>
    </row>
    <row r="2447" spans="87:87">
      <c r="CI2447" s="31"/>
    </row>
    <row r="2448" spans="87:87">
      <c r="CI2448" s="31"/>
    </row>
    <row r="2449" spans="87:87">
      <c r="CI2449" s="31"/>
    </row>
    <row r="2450" spans="87:87">
      <c r="CI2450" s="31"/>
    </row>
    <row r="2451" spans="87:87">
      <c r="CI2451" s="31"/>
    </row>
    <row r="2452" spans="87:87">
      <c r="CI2452" s="31"/>
    </row>
    <row r="2453" spans="87:87">
      <c r="CI2453" s="31"/>
    </row>
    <row r="2454" spans="87:87">
      <c r="CI2454" s="31"/>
    </row>
    <row r="2455" spans="87:87">
      <c r="CI2455" s="31"/>
    </row>
    <row r="2456" spans="87:87">
      <c r="CI2456" s="31"/>
    </row>
    <row r="2457" spans="87:87">
      <c r="CI2457" s="31"/>
    </row>
    <row r="2458" spans="87:87">
      <c r="CI2458" s="31"/>
    </row>
    <row r="2459" spans="87:87">
      <c r="CI2459" s="31"/>
    </row>
    <row r="2460" spans="87:87">
      <c r="CI2460" s="31"/>
    </row>
    <row r="2461" spans="87:87">
      <c r="CI2461" s="31"/>
    </row>
    <row r="2462" spans="87:87">
      <c r="CI2462" s="31"/>
    </row>
    <row r="2463" spans="87:87">
      <c r="CI2463" s="31"/>
    </row>
    <row r="2464" spans="87:87">
      <c r="CI2464" s="31"/>
    </row>
    <row r="2465" spans="87:87">
      <c r="CI2465" s="31"/>
    </row>
    <row r="2466" spans="87:87">
      <c r="CI2466" s="31"/>
    </row>
    <row r="2467" spans="87:87">
      <c r="CI2467" s="31"/>
    </row>
    <row r="2468" spans="87:87">
      <c r="CI2468" s="31"/>
    </row>
    <row r="2469" spans="87:87">
      <c r="CI2469" s="31"/>
    </row>
    <row r="2470" spans="87:87">
      <c r="CI2470" s="31"/>
    </row>
    <row r="2471" spans="87:87">
      <c r="CI2471" s="31"/>
    </row>
    <row r="2472" spans="87:87">
      <c r="CI2472" s="31"/>
    </row>
    <row r="2473" spans="87:87">
      <c r="CI2473" s="31"/>
    </row>
    <row r="2474" spans="87:87">
      <c r="CI2474" s="31"/>
    </row>
    <row r="2475" spans="87:87">
      <c r="CI2475" s="31"/>
    </row>
    <row r="2476" spans="87:87">
      <c r="CI2476" s="31"/>
    </row>
    <row r="2477" spans="87:87">
      <c r="CI2477" s="31"/>
    </row>
    <row r="2478" spans="87:87">
      <c r="CI2478" s="31"/>
    </row>
    <row r="2479" spans="87:87">
      <c r="CI2479" s="31"/>
    </row>
    <row r="2480" spans="87:87">
      <c r="CI2480" s="31"/>
    </row>
    <row r="2481" spans="87:87">
      <c r="CI2481" s="31"/>
    </row>
    <row r="2482" spans="87:87">
      <c r="CI2482" s="31"/>
    </row>
    <row r="2483" spans="87:87">
      <c r="CI2483" s="31"/>
    </row>
    <row r="2484" spans="87:87">
      <c r="CI2484" s="31"/>
    </row>
    <row r="2485" spans="87:87">
      <c r="CI2485" s="31"/>
    </row>
    <row r="2486" spans="87:87">
      <c r="CI2486" s="31"/>
    </row>
    <row r="2487" spans="87:87">
      <c r="CI2487" s="31"/>
    </row>
    <row r="2488" spans="87:87">
      <c r="CI2488" s="31"/>
    </row>
    <row r="2489" spans="87:87">
      <c r="CI2489" s="31"/>
    </row>
    <row r="2490" spans="87:87">
      <c r="CI2490" s="31"/>
    </row>
    <row r="2491" spans="87:87">
      <c r="CI2491" s="31"/>
    </row>
    <row r="2492" spans="87:87">
      <c r="CI2492" s="31"/>
    </row>
    <row r="2493" spans="87:87">
      <c r="CI2493" s="31"/>
    </row>
    <row r="2494" spans="87:87">
      <c r="CI2494" s="31"/>
    </row>
    <row r="2495" spans="87:87">
      <c r="CI2495" s="31"/>
    </row>
    <row r="2496" spans="87:87">
      <c r="CI2496" s="31"/>
    </row>
    <row r="2497" spans="87:87">
      <c r="CI2497" s="31"/>
    </row>
    <row r="2498" spans="87:87">
      <c r="CI2498" s="31"/>
    </row>
    <row r="2499" spans="87:87">
      <c r="CI2499" s="31"/>
    </row>
    <row r="2500" spans="87:87">
      <c r="CI2500" s="31"/>
    </row>
    <row r="2501" spans="87:87">
      <c r="CI2501" s="31"/>
    </row>
    <row r="2502" spans="87:87">
      <c r="CI2502" s="31"/>
    </row>
    <row r="2503" spans="87:87">
      <c r="CI2503" s="31"/>
    </row>
    <row r="2504" spans="87:87">
      <c r="CI2504" s="31"/>
    </row>
    <row r="2505" spans="87:87">
      <c r="CI2505" s="31"/>
    </row>
    <row r="2506" spans="87:87">
      <c r="CI2506" s="31"/>
    </row>
    <row r="2507" spans="87:87">
      <c r="CI2507" s="31"/>
    </row>
    <row r="2508" spans="87:87">
      <c r="CI2508" s="31"/>
    </row>
    <row r="2509" spans="87:87">
      <c r="CI2509" s="31"/>
    </row>
    <row r="2510" spans="87:87">
      <c r="CI2510" s="31"/>
    </row>
    <row r="2511" spans="87:87">
      <c r="CI2511" s="31"/>
    </row>
    <row r="2512" spans="87:87">
      <c r="CI2512" s="31"/>
    </row>
    <row r="2513" spans="87:87">
      <c r="CI2513" s="31"/>
    </row>
    <row r="2514" spans="87:87">
      <c r="CI2514" s="31"/>
    </row>
    <row r="2515" spans="87:87">
      <c r="CI2515" s="31"/>
    </row>
    <row r="2516" spans="87:87">
      <c r="CI2516" s="31"/>
    </row>
    <row r="2517" spans="87:87">
      <c r="CI2517" s="31"/>
    </row>
    <row r="2518" spans="87:87">
      <c r="CI2518" s="31"/>
    </row>
    <row r="2519" spans="87:87">
      <c r="CI2519" s="31"/>
    </row>
    <row r="2520" spans="87:87">
      <c r="CI2520" s="31"/>
    </row>
    <row r="2521" spans="87:87">
      <c r="CI2521" s="31"/>
    </row>
    <row r="2522" spans="87:87">
      <c r="CI2522" s="31"/>
    </row>
    <row r="2523" spans="87:87">
      <c r="CI2523" s="31"/>
    </row>
    <row r="2524" spans="87:87">
      <c r="CI2524" s="31"/>
    </row>
    <row r="2525" spans="87:87">
      <c r="CI2525" s="31"/>
    </row>
    <row r="2526" spans="87:87">
      <c r="CI2526" s="31"/>
    </row>
    <row r="2527" spans="87:87">
      <c r="CI2527" s="31"/>
    </row>
    <row r="2528" spans="87:87">
      <c r="CI2528" s="31"/>
    </row>
    <row r="2529" spans="87:87">
      <c r="CI2529" s="31"/>
    </row>
    <row r="2530" spans="87:87">
      <c r="CI2530" s="31"/>
    </row>
    <row r="2531" spans="87:87">
      <c r="CI2531" s="31"/>
    </row>
    <row r="2532" spans="87:87">
      <c r="CI2532" s="31"/>
    </row>
    <row r="2533" spans="87:87">
      <c r="CI2533" s="31"/>
    </row>
    <row r="2534" spans="87:87">
      <c r="CI2534" s="31"/>
    </row>
    <row r="2535" spans="87:87">
      <c r="CI2535" s="31"/>
    </row>
    <row r="2536" spans="87:87">
      <c r="CI2536" s="31"/>
    </row>
    <row r="2537" spans="87:87">
      <c r="CI2537" s="31"/>
    </row>
    <row r="2538" spans="87:87">
      <c r="CI2538" s="31"/>
    </row>
    <row r="2539" spans="87:87">
      <c r="CI2539" s="31"/>
    </row>
    <row r="2540" spans="87:87">
      <c r="CI2540" s="31"/>
    </row>
    <row r="2541" spans="87:87">
      <c r="CI2541" s="31"/>
    </row>
    <row r="2542" spans="87:87">
      <c r="CI2542" s="31"/>
    </row>
    <row r="2543" spans="87:87">
      <c r="CI2543" s="31"/>
    </row>
    <row r="2544" spans="87:87">
      <c r="CI2544" s="31"/>
    </row>
    <row r="2545" spans="87:87">
      <c r="CI2545" s="31"/>
    </row>
    <row r="2546" spans="87:87">
      <c r="CI2546" s="31"/>
    </row>
    <row r="2547" spans="87:87">
      <c r="CI2547" s="31"/>
    </row>
    <row r="2548" spans="87:87">
      <c r="CI2548" s="31"/>
    </row>
    <row r="2549" spans="87:87">
      <c r="CI2549" s="31"/>
    </row>
    <row r="2550" spans="87:87">
      <c r="CI2550" s="31"/>
    </row>
    <row r="2551" spans="87:87">
      <c r="CI2551" s="31"/>
    </row>
    <row r="2552" spans="87:87">
      <c r="CI2552" s="31"/>
    </row>
    <row r="2553" spans="87:87">
      <c r="CI2553" s="31"/>
    </row>
    <row r="2554" spans="87:87">
      <c r="CI2554" s="31"/>
    </row>
    <row r="2555" spans="87:87">
      <c r="CI2555" s="31"/>
    </row>
    <row r="2556" spans="87:87">
      <c r="CI2556" s="31"/>
    </row>
    <row r="2557" spans="87:87">
      <c r="CI2557" s="31"/>
    </row>
    <row r="2558" spans="87:87">
      <c r="CI2558" s="31"/>
    </row>
    <row r="2559" spans="87:87">
      <c r="CI2559" s="31"/>
    </row>
    <row r="2560" spans="87:87">
      <c r="CI2560" s="31"/>
    </row>
    <row r="2561" spans="87:87">
      <c r="CI2561" s="31"/>
    </row>
    <row r="2562" spans="87:87">
      <c r="CI2562" s="31"/>
    </row>
    <row r="2563" spans="87:87">
      <c r="CI2563" s="31"/>
    </row>
    <row r="2564" spans="87:87">
      <c r="CI2564" s="31"/>
    </row>
    <row r="2565" spans="87:87">
      <c r="CI2565" s="31"/>
    </row>
    <row r="2566" spans="87:87">
      <c r="CI2566" s="31"/>
    </row>
    <row r="2567" spans="87:87">
      <c r="CI2567" s="31"/>
    </row>
    <row r="2568" spans="87:87">
      <c r="CI2568" s="31"/>
    </row>
    <row r="2569" spans="87:87">
      <c r="CI2569" s="31"/>
    </row>
    <row r="2570" spans="87:87">
      <c r="CI2570" s="31"/>
    </row>
    <row r="2571" spans="87:87">
      <c r="CI2571" s="31"/>
    </row>
    <row r="2572" spans="87:87">
      <c r="CI2572" s="31"/>
    </row>
    <row r="2573" spans="87:87">
      <c r="CI2573" s="31"/>
    </row>
    <row r="2574" spans="87:87">
      <c r="CI2574" s="31"/>
    </row>
    <row r="2575" spans="87:87">
      <c r="CI2575" s="31"/>
    </row>
    <row r="2576" spans="87:87">
      <c r="CI2576" s="31"/>
    </row>
    <row r="2577" spans="87:87">
      <c r="CI2577" s="31"/>
    </row>
    <row r="2578" spans="87:87">
      <c r="CI2578" s="31"/>
    </row>
    <row r="2579" spans="87:87">
      <c r="CI2579" s="31"/>
    </row>
    <row r="2580" spans="87:87">
      <c r="CI2580" s="31"/>
    </row>
    <row r="2581" spans="87:87">
      <c r="CI2581" s="31"/>
    </row>
    <row r="2582" spans="87:87">
      <c r="CI2582" s="31"/>
    </row>
    <row r="2583" spans="87:87">
      <c r="CI2583" s="31"/>
    </row>
    <row r="2584" spans="87:87">
      <c r="CI2584" s="31"/>
    </row>
    <row r="2585" spans="87:87">
      <c r="CI2585" s="31"/>
    </row>
    <row r="2586" spans="87:87">
      <c r="CI2586" s="31"/>
    </row>
    <row r="2587" spans="87:87">
      <c r="CI2587" s="31"/>
    </row>
    <row r="2588" spans="87:87">
      <c r="CI2588" s="31"/>
    </row>
    <row r="2589" spans="87:87">
      <c r="CI2589" s="31"/>
    </row>
    <row r="2590" spans="87:87">
      <c r="CI2590" s="31"/>
    </row>
    <row r="2591" spans="87:87">
      <c r="CI2591" s="31"/>
    </row>
    <row r="2592" spans="87:87">
      <c r="CI2592" s="31"/>
    </row>
    <row r="2593" spans="87:87">
      <c r="CI2593" s="31"/>
    </row>
    <row r="2594" spans="87:87">
      <c r="CI2594" s="31"/>
    </row>
    <row r="2595" spans="87:87">
      <c r="CI2595" s="31"/>
    </row>
    <row r="2596" spans="87:87">
      <c r="CI2596" s="31"/>
    </row>
    <row r="2597" spans="87:87">
      <c r="CI2597" s="31"/>
    </row>
    <row r="2598" spans="87:87">
      <c r="CI2598" s="31"/>
    </row>
    <row r="2599" spans="87:87">
      <c r="CI2599" s="31"/>
    </row>
    <row r="2600" spans="87:87">
      <c r="CI2600" s="31"/>
    </row>
    <row r="2601" spans="87:87">
      <c r="CI2601" s="31"/>
    </row>
    <row r="2602" spans="87:87">
      <c r="CI2602" s="31"/>
    </row>
    <row r="2603" spans="87:87">
      <c r="CI2603" s="31"/>
    </row>
    <row r="2604" spans="87:87">
      <c r="CI2604" s="31"/>
    </row>
    <row r="2605" spans="87:87">
      <c r="CI2605" s="31"/>
    </row>
    <row r="2606" spans="87:87">
      <c r="CI2606" s="31"/>
    </row>
    <row r="2607" spans="87:87">
      <c r="CI2607" s="31"/>
    </row>
    <row r="2608" spans="87:87">
      <c r="CI2608" s="31"/>
    </row>
    <row r="2609" spans="87:87">
      <c r="CI2609" s="31"/>
    </row>
    <row r="2610" spans="87:87">
      <c r="CI2610" s="31"/>
    </row>
    <row r="2611" spans="87:87">
      <c r="CI2611" s="31"/>
    </row>
    <row r="2612" spans="87:87">
      <c r="CI2612" s="31"/>
    </row>
    <row r="2613" spans="87:87">
      <c r="CI2613" s="31"/>
    </row>
    <row r="2614" spans="87:87">
      <c r="CI2614" s="31"/>
    </row>
    <row r="2615" spans="87:87">
      <c r="CI2615" s="31"/>
    </row>
    <row r="2616" spans="87:87">
      <c r="CI2616" s="31"/>
    </row>
    <row r="2617" spans="87:87">
      <c r="CI2617" s="31"/>
    </row>
    <row r="2618" spans="87:87">
      <c r="CI2618" s="31"/>
    </row>
    <row r="2619" spans="87:87">
      <c r="CI2619" s="31"/>
    </row>
    <row r="2620" spans="87:87">
      <c r="CI2620" s="31"/>
    </row>
    <row r="2621" spans="87:87">
      <c r="CI2621" s="31"/>
    </row>
    <row r="2622" spans="87:87">
      <c r="CI2622" s="31"/>
    </row>
    <row r="2623" spans="87:87">
      <c r="CI2623" s="31"/>
    </row>
    <row r="2624" spans="87:87">
      <c r="CI2624" s="31"/>
    </row>
    <row r="2625" spans="87:87">
      <c r="CI2625" s="31"/>
    </row>
    <row r="2626" spans="87:87">
      <c r="CI2626" s="31"/>
    </row>
    <row r="2627" spans="87:87">
      <c r="CI2627" s="31"/>
    </row>
    <row r="2628" spans="87:87">
      <c r="CI2628" s="31"/>
    </row>
    <row r="2629" spans="87:87">
      <c r="CI2629" s="31"/>
    </row>
    <row r="2630" spans="87:87">
      <c r="CI2630" s="31"/>
    </row>
    <row r="2631" spans="87:87">
      <c r="CI2631" s="31"/>
    </row>
    <row r="2632" spans="87:87">
      <c r="CI2632" s="31"/>
    </row>
    <row r="2633" spans="87:87">
      <c r="CI2633" s="31"/>
    </row>
    <row r="2634" spans="87:87">
      <c r="CI2634" s="31"/>
    </row>
    <row r="2635" spans="87:87">
      <c r="CI2635" s="31"/>
    </row>
    <row r="2636" spans="87:87">
      <c r="CI2636" s="31"/>
    </row>
    <row r="2637" spans="87:87">
      <c r="CI2637" s="31"/>
    </row>
    <row r="2638" spans="87:87">
      <c r="CI2638" s="31"/>
    </row>
    <row r="2639" spans="87:87">
      <c r="CI2639" s="31"/>
    </row>
    <row r="2640" spans="87:87">
      <c r="CI2640" s="31"/>
    </row>
    <row r="2641" spans="87:87">
      <c r="CI2641" s="31"/>
    </row>
    <row r="2642" spans="87:87">
      <c r="CI2642" s="31"/>
    </row>
    <row r="2643" spans="87:87">
      <c r="CI2643" s="31"/>
    </row>
    <row r="2644" spans="87:87">
      <c r="CI2644" s="31"/>
    </row>
    <row r="2645" spans="87:87">
      <c r="CI2645" s="31"/>
    </row>
    <row r="2646" spans="87:87">
      <c r="CI2646" s="31"/>
    </row>
    <row r="2647" spans="87:87">
      <c r="CI2647" s="31"/>
    </row>
    <row r="2648" spans="87:87">
      <c r="CI2648" s="31"/>
    </row>
    <row r="2649" spans="87:87">
      <c r="CI2649" s="31"/>
    </row>
    <row r="2650" spans="87:87">
      <c r="CI2650" s="31"/>
    </row>
    <row r="2651" spans="87:87">
      <c r="CI2651" s="31"/>
    </row>
    <row r="2652" spans="87:87">
      <c r="CI2652" s="31"/>
    </row>
    <row r="2653" spans="87:87">
      <c r="CI2653" s="31"/>
    </row>
    <row r="2654" spans="87:87">
      <c r="CI2654" s="31"/>
    </row>
    <row r="2655" spans="87:87">
      <c r="CI2655" s="31"/>
    </row>
    <row r="2656" spans="87:87">
      <c r="CI2656" s="31"/>
    </row>
    <row r="2657" spans="87:87">
      <c r="CI2657" s="31"/>
    </row>
    <row r="2658" spans="87:87">
      <c r="CI2658" s="31"/>
    </row>
    <row r="2659" spans="87:87">
      <c r="CI2659" s="31"/>
    </row>
    <row r="2660" spans="87:87">
      <c r="CI2660" s="31"/>
    </row>
    <row r="2661" spans="87:87">
      <c r="CI2661" s="31"/>
    </row>
    <row r="2662" spans="87:87">
      <c r="CI2662" s="31"/>
    </row>
    <row r="2663" spans="87:87">
      <c r="CI2663" s="31"/>
    </row>
    <row r="2664" spans="87:87">
      <c r="CI2664" s="31"/>
    </row>
    <row r="2665" spans="87:87">
      <c r="CI2665" s="31"/>
    </row>
    <row r="2666" spans="87:87">
      <c r="CI2666" s="31"/>
    </row>
    <row r="2667" spans="87:87">
      <c r="CI2667" s="31"/>
    </row>
    <row r="2668" spans="87:87">
      <c r="CI2668" s="31"/>
    </row>
    <row r="2669" spans="87:87">
      <c r="CI2669" s="31"/>
    </row>
    <row r="2670" spans="87:87">
      <c r="CI2670" s="31"/>
    </row>
    <row r="2671" spans="87:87">
      <c r="CI2671" s="31"/>
    </row>
    <row r="2672" spans="87:87">
      <c r="CI2672" s="31"/>
    </row>
    <row r="2673" spans="87:87">
      <c r="CI2673" s="31"/>
    </row>
    <row r="2674" spans="87:87">
      <c r="CI2674" s="31"/>
    </row>
    <row r="2675" spans="87:87">
      <c r="CI2675" s="31"/>
    </row>
    <row r="2676" spans="87:87">
      <c r="CI2676" s="31"/>
    </row>
    <row r="2677" spans="87:87">
      <c r="CI2677" s="31"/>
    </row>
    <row r="2678" spans="87:87">
      <c r="CI2678" s="31"/>
    </row>
    <row r="2679" spans="87:87">
      <c r="CI2679" s="31"/>
    </row>
    <row r="2680" spans="87:87">
      <c r="CI2680" s="31"/>
    </row>
    <row r="2681" spans="87:87">
      <c r="CI2681" s="31"/>
    </row>
    <row r="2682" spans="87:87">
      <c r="CI2682" s="31"/>
    </row>
    <row r="2683" spans="87:87">
      <c r="CI2683" s="31"/>
    </row>
    <row r="2684" spans="87:87">
      <c r="CI2684" s="31"/>
    </row>
    <row r="2685" spans="87:87">
      <c r="CI2685" s="31"/>
    </row>
    <row r="2686" spans="87:87">
      <c r="CI2686" s="31"/>
    </row>
    <row r="2687" spans="87:87">
      <c r="CI2687" s="31"/>
    </row>
    <row r="2688" spans="87:87">
      <c r="CI2688" s="31"/>
    </row>
    <row r="2689" spans="87:87">
      <c r="CI2689" s="31"/>
    </row>
    <row r="2690" spans="87:87">
      <c r="CI2690" s="31"/>
    </row>
    <row r="2691" spans="87:87">
      <c r="CI2691" s="31"/>
    </row>
    <row r="2692" spans="87:87">
      <c r="CI2692" s="31"/>
    </row>
    <row r="2693" spans="87:87">
      <c r="CI2693" s="31"/>
    </row>
    <row r="2694" spans="87:87">
      <c r="CI2694" s="31"/>
    </row>
    <row r="2695" spans="87:87">
      <c r="CI2695" s="31"/>
    </row>
    <row r="2696" spans="87:87">
      <c r="CI2696" s="31"/>
    </row>
    <row r="2697" spans="87:87">
      <c r="CI2697" s="31"/>
    </row>
    <row r="2698" spans="87:87">
      <c r="CI2698" s="31"/>
    </row>
    <row r="2699" spans="87:87">
      <c r="CI2699" s="31"/>
    </row>
    <row r="2700" spans="87:87">
      <c r="CI2700" s="31"/>
    </row>
    <row r="2701" spans="87:87">
      <c r="CI2701" s="31"/>
    </row>
    <row r="2702" spans="87:87">
      <c r="CI2702" s="31"/>
    </row>
    <row r="2703" spans="87:87">
      <c r="CI2703" s="31"/>
    </row>
    <row r="2704" spans="87:87">
      <c r="CI2704" s="31"/>
    </row>
    <row r="2705" spans="87:87">
      <c r="CI2705" s="31"/>
    </row>
    <row r="2706" spans="87:87">
      <c r="CI2706" s="31"/>
    </row>
    <row r="2707" spans="87:87">
      <c r="CI2707" s="31"/>
    </row>
    <row r="2708" spans="87:87">
      <c r="CI2708" s="31"/>
    </row>
    <row r="2709" spans="87:87">
      <c r="CI2709" s="31"/>
    </row>
    <row r="2710" spans="87:87">
      <c r="CI2710" s="31"/>
    </row>
    <row r="2711" spans="87:87">
      <c r="CI2711" s="31"/>
    </row>
    <row r="2712" spans="87:87">
      <c r="CI2712" s="31"/>
    </row>
    <row r="2713" spans="87:87">
      <c r="CI2713" s="31"/>
    </row>
    <row r="2714" spans="87:87">
      <c r="CI2714" s="31"/>
    </row>
    <row r="2715" spans="87:87">
      <c r="CI2715" s="31"/>
    </row>
    <row r="2716" spans="87:87">
      <c r="CI2716" s="31"/>
    </row>
    <row r="2717" spans="87:87">
      <c r="CI2717" s="31"/>
    </row>
    <row r="2718" spans="87:87">
      <c r="CI2718" s="31"/>
    </row>
    <row r="2719" spans="87:87">
      <c r="CI2719" s="31"/>
    </row>
    <row r="2720" spans="87:87">
      <c r="CI2720" s="31"/>
    </row>
    <row r="2721" spans="87:87">
      <c r="CI2721" s="31"/>
    </row>
    <row r="2722" spans="87:87">
      <c r="CI2722" s="31"/>
    </row>
    <row r="2723" spans="87:87">
      <c r="CI2723" s="31"/>
    </row>
    <row r="2724" spans="87:87">
      <c r="CI2724" s="31"/>
    </row>
    <row r="2725" spans="87:87">
      <c r="CI2725" s="31"/>
    </row>
    <row r="2726" spans="87:87">
      <c r="CI2726" s="31"/>
    </row>
    <row r="2727" spans="87:87">
      <c r="CI2727" s="31"/>
    </row>
    <row r="2728" spans="87:87">
      <c r="CI2728" s="31"/>
    </row>
    <row r="2729" spans="87:87">
      <c r="CI2729" s="31"/>
    </row>
    <row r="2730" spans="87:87">
      <c r="CI2730" s="31"/>
    </row>
    <row r="2731" spans="87:87">
      <c r="CI2731" s="31"/>
    </row>
    <row r="2732" spans="87:87">
      <c r="CI2732" s="31"/>
    </row>
    <row r="2733" spans="87:87">
      <c r="CI2733" s="31"/>
    </row>
    <row r="2734" spans="87:87">
      <c r="CI2734" s="31"/>
    </row>
    <row r="2735" spans="87:87">
      <c r="CI2735" s="31"/>
    </row>
    <row r="2736" spans="87:87">
      <c r="CI2736" s="31"/>
    </row>
    <row r="2737" spans="87:87">
      <c r="CI2737" s="31"/>
    </row>
    <row r="2738" spans="87:87">
      <c r="CI2738" s="31"/>
    </row>
    <row r="2739" spans="87:87">
      <c r="CI2739" s="31"/>
    </row>
    <row r="2740" spans="87:87">
      <c r="CI2740" s="31"/>
    </row>
    <row r="2741" spans="87:87">
      <c r="CI2741" s="31"/>
    </row>
    <row r="2742" spans="87:87">
      <c r="CI2742" s="31"/>
    </row>
    <row r="2743" spans="87:87">
      <c r="CI2743" s="31"/>
    </row>
    <row r="2744" spans="87:87">
      <c r="CI2744" s="31"/>
    </row>
    <row r="2745" spans="87:87">
      <c r="CI2745" s="31"/>
    </row>
    <row r="2746" spans="87:87">
      <c r="CI2746" s="31"/>
    </row>
    <row r="2747" spans="87:87">
      <c r="CI2747" s="31"/>
    </row>
    <row r="2748" spans="87:87">
      <c r="CI2748" s="31"/>
    </row>
    <row r="2749" spans="87:87">
      <c r="CI2749" s="31"/>
    </row>
    <row r="2750" spans="87:87">
      <c r="CI2750" s="31"/>
    </row>
    <row r="2751" spans="87:87">
      <c r="CI2751" s="31"/>
    </row>
    <row r="2752" spans="87:87">
      <c r="CI2752" s="31"/>
    </row>
    <row r="2753" spans="87:87">
      <c r="CI2753" s="31"/>
    </row>
    <row r="2754" spans="87:87">
      <c r="CI2754" s="31"/>
    </row>
    <row r="2755" spans="87:87">
      <c r="CI2755" s="31"/>
    </row>
    <row r="2756" spans="87:87">
      <c r="CI2756" s="31"/>
    </row>
    <row r="2757" spans="87:87">
      <c r="CI2757" s="31"/>
    </row>
    <row r="2758" spans="87:87">
      <c r="CI2758" s="31"/>
    </row>
    <row r="2759" spans="87:87">
      <c r="CI2759" s="31"/>
    </row>
    <row r="2760" spans="87:87">
      <c r="CI2760" s="31"/>
    </row>
    <row r="2761" spans="87:87">
      <c r="CI2761" s="31"/>
    </row>
    <row r="2762" spans="87:87">
      <c r="CI2762" s="31"/>
    </row>
    <row r="2763" spans="87:87">
      <c r="CI2763" s="31"/>
    </row>
    <row r="2764" spans="87:87">
      <c r="CI2764" s="31"/>
    </row>
    <row r="2765" spans="87:87">
      <c r="CI2765" s="31"/>
    </row>
    <row r="2766" spans="87:87">
      <c r="CI2766" s="31"/>
    </row>
    <row r="2767" spans="87:87">
      <c r="CI2767" s="31"/>
    </row>
    <row r="2768" spans="87:87">
      <c r="CI2768" s="31"/>
    </row>
    <row r="2769" spans="87:87">
      <c r="CI2769" s="31"/>
    </row>
    <row r="2770" spans="87:87">
      <c r="CI2770" s="31"/>
    </row>
    <row r="2771" spans="87:87">
      <c r="CI2771" s="31"/>
    </row>
    <row r="2772" spans="87:87">
      <c r="CI2772" s="31"/>
    </row>
    <row r="2773" spans="87:87">
      <c r="CI2773" s="31"/>
    </row>
    <row r="2774" spans="87:87">
      <c r="CI2774" s="31"/>
    </row>
    <row r="2775" spans="87:87">
      <c r="CI2775" s="31"/>
    </row>
    <row r="2776" spans="87:87">
      <c r="CI2776" s="31"/>
    </row>
    <row r="2777" spans="87:87">
      <c r="CI2777" s="31"/>
    </row>
    <row r="2778" spans="87:87">
      <c r="CI2778" s="31"/>
    </row>
    <row r="2779" spans="87:87">
      <c r="CI2779" s="31"/>
    </row>
    <row r="2780" spans="87:87">
      <c r="CI2780" s="31"/>
    </row>
    <row r="2781" spans="87:87">
      <c r="CI2781" s="31"/>
    </row>
    <row r="2782" spans="87:87">
      <c r="CI2782" s="31"/>
    </row>
    <row r="2783" spans="87:87">
      <c r="CI2783" s="31"/>
    </row>
    <row r="2784" spans="87:87">
      <c r="CI2784" s="31"/>
    </row>
    <row r="2785" spans="87:87">
      <c r="CI2785" s="31"/>
    </row>
    <row r="2786" spans="87:87">
      <c r="CI2786" s="31"/>
    </row>
    <row r="2787" spans="87:87">
      <c r="CI2787" s="31"/>
    </row>
    <row r="2788" spans="87:87">
      <c r="CI2788" s="31"/>
    </row>
    <row r="2789" spans="87:87">
      <c r="CI2789" s="31"/>
    </row>
    <row r="2790" spans="87:87">
      <c r="CI2790" s="31"/>
    </row>
    <row r="2791" spans="87:87">
      <c r="CI2791" s="31"/>
    </row>
    <row r="2792" spans="87:87">
      <c r="CI2792" s="31"/>
    </row>
    <row r="2793" spans="87:87">
      <c r="CI2793" s="31"/>
    </row>
    <row r="2794" spans="87:87">
      <c r="CI2794" s="31"/>
    </row>
    <row r="2795" spans="87:87">
      <c r="CI2795" s="31"/>
    </row>
    <row r="2796" spans="87:87">
      <c r="CI2796" s="31"/>
    </row>
    <row r="2797" spans="87:87">
      <c r="CI2797" s="31"/>
    </row>
    <row r="2798" spans="87:87">
      <c r="CI2798" s="31"/>
    </row>
    <row r="2799" spans="87:87">
      <c r="CI2799" s="31"/>
    </row>
    <row r="2800" spans="87:87">
      <c r="CI2800" s="31"/>
    </row>
    <row r="2801" spans="87:87">
      <c r="CI2801" s="31"/>
    </row>
    <row r="2802" spans="87:87">
      <c r="CI2802" s="31"/>
    </row>
    <row r="2803" spans="87:87">
      <c r="CI2803" s="31"/>
    </row>
    <row r="2804" spans="87:87">
      <c r="CI2804" s="31"/>
    </row>
    <row r="2805" spans="87:87">
      <c r="CI2805" s="31"/>
    </row>
    <row r="2806" spans="87:87">
      <c r="CI2806" s="31"/>
    </row>
    <row r="2807" spans="87:87">
      <c r="CI2807" s="31"/>
    </row>
    <row r="2808" spans="87:87">
      <c r="CI2808" s="31"/>
    </row>
    <row r="2809" spans="87:87">
      <c r="CI2809" s="31"/>
    </row>
    <row r="2810" spans="87:87">
      <c r="CI2810" s="31"/>
    </row>
    <row r="2811" spans="87:87">
      <c r="CI2811" s="31"/>
    </row>
    <row r="2812" spans="87:87">
      <c r="CI2812" s="31"/>
    </row>
    <row r="2813" spans="87:87">
      <c r="CI2813" s="31"/>
    </row>
    <row r="2814" spans="87:87">
      <c r="CI2814" s="31"/>
    </row>
    <row r="2815" spans="87:87">
      <c r="CI2815" s="31"/>
    </row>
    <row r="2816" spans="87:87">
      <c r="CI2816" s="31"/>
    </row>
    <row r="2817" spans="87:87">
      <c r="CI2817" s="31"/>
    </row>
    <row r="2818" spans="87:87">
      <c r="CI2818" s="31"/>
    </row>
    <row r="2819" spans="87:87">
      <c r="CI2819" s="31"/>
    </row>
    <row r="2820" spans="87:87">
      <c r="CI2820" s="31"/>
    </row>
    <row r="2821" spans="87:87">
      <c r="CI2821" s="31"/>
    </row>
    <row r="2822" spans="87:87">
      <c r="CI2822" s="31"/>
    </row>
    <row r="2823" spans="87:87">
      <c r="CI2823" s="31"/>
    </row>
    <row r="2824" spans="87:87">
      <c r="CI2824" s="31"/>
    </row>
    <row r="2825" spans="87:87">
      <c r="CI2825" s="31"/>
    </row>
    <row r="2826" spans="87:87">
      <c r="CI2826" s="31"/>
    </row>
    <row r="2827" spans="87:87">
      <c r="CI2827" s="31"/>
    </row>
    <row r="2828" spans="87:87">
      <c r="CI2828" s="31"/>
    </row>
    <row r="2829" spans="87:87">
      <c r="CI2829" s="31"/>
    </row>
    <row r="2830" spans="87:87">
      <c r="CI2830" s="31"/>
    </row>
    <row r="2831" spans="87:87">
      <c r="CI2831" s="31"/>
    </row>
    <row r="2832" spans="87:87">
      <c r="CI2832" s="31"/>
    </row>
    <row r="2833" spans="87:87">
      <c r="CI2833" s="31"/>
    </row>
    <row r="2834" spans="87:87">
      <c r="CI2834" s="31"/>
    </row>
    <row r="2835" spans="87:87">
      <c r="CI2835" s="31"/>
    </row>
    <row r="2836" spans="87:87">
      <c r="CI2836" s="31"/>
    </row>
    <row r="2837" spans="87:87">
      <c r="CI2837" s="31"/>
    </row>
    <row r="2838" spans="87:87">
      <c r="CI2838" s="31"/>
    </row>
    <row r="2839" spans="87:87">
      <c r="CI2839" s="31"/>
    </row>
    <row r="2840" spans="87:87">
      <c r="CI2840" s="31"/>
    </row>
    <row r="2841" spans="87:87">
      <c r="CI2841" s="31"/>
    </row>
    <row r="2842" spans="87:87">
      <c r="CI2842" s="31"/>
    </row>
    <row r="2843" spans="87:87">
      <c r="CI2843" s="31"/>
    </row>
    <row r="2844" spans="87:87">
      <c r="CI2844" s="31"/>
    </row>
    <row r="2845" spans="87:87">
      <c r="CI2845" s="31"/>
    </row>
    <row r="2846" spans="87:87">
      <c r="CI2846" s="31"/>
    </row>
    <row r="2847" spans="87:87">
      <c r="CI2847" s="31"/>
    </row>
    <row r="2848" spans="87:87">
      <c r="CI2848" s="31"/>
    </row>
    <row r="2849" spans="87:87">
      <c r="CI2849" s="31"/>
    </row>
    <row r="2850" spans="87:87">
      <c r="CI2850" s="31"/>
    </row>
    <row r="2851" spans="87:87">
      <c r="CI2851" s="31"/>
    </row>
    <row r="2852" spans="87:87">
      <c r="CI2852" s="31"/>
    </row>
    <row r="2853" spans="87:87">
      <c r="CI2853" s="31"/>
    </row>
    <row r="2854" spans="87:87">
      <c r="CI2854" s="31"/>
    </row>
    <row r="2855" spans="87:87">
      <c r="CI2855" s="31"/>
    </row>
    <row r="2856" spans="87:87">
      <c r="CI2856" s="31"/>
    </row>
    <row r="2857" spans="87:87">
      <c r="CI2857" s="31"/>
    </row>
    <row r="2858" spans="87:87">
      <c r="CI2858" s="31"/>
    </row>
    <row r="2859" spans="87:87">
      <c r="CI2859" s="31"/>
    </row>
    <row r="2860" spans="87:87">
      <c r="CI2860" s="31"/>
    </row>
    <row r="2861" spans="87:87">
      <c r="CI2861" s="31"/>
    </row>
    <row r="2862" spans="87:87">
      <c r="CI2862" s="31"/>
    </row>
    <row r="2863" spans="87:87">
      <c r="CI2863" s="31"/>
    </row>
    <row r="2864" spans="87:87">
      <c r="CI2864" s="31"/>
    </row>
    <row r="2865" spans="87:87">
      <c r="CI2865" s="31"/>
    </row>
    <row r="2866" spans="87:87">
      <c r="CI2866" s="31"/>
    </row>
    <row r="2867" spans="87:87">
      <c r="CI2867" s="31"/>
    </row>
    <row r="2868" spans="87:87">
      <c r="CI2868" s="31"/>
    </row>
    <row r="2869" spans="87:87">
      <c r="CI2869" s="31"/>
    </row>
    <row r="2870" spans="87:87">
      <c r="CI2870" s="31"/>
    </row>
    <row r="2871" spans="87:87">
      <c r="CI2871" s="31"/>
    </row>
    <row r="2872" spans="87:87">
      <c r="CI2872" s="31"/>
    </row>
    <row r="2873" spans="87:87">
      <c r="CI2873" s="31"/>
    </row>
    <row r="2874" spans="87:87">
      <c r="CI2874" s="31"/>
    </row>
    <row r="2875" spans="87:87">
      <c r="CI2875" s="31"/>
    </row>
    <row r="2876" spans="87:87">
      <c r="CI2876" s="31"/>
    </row>
    <row r="2877" spans="87:87">
      <c r="CI2877" s="31"/>
    </row>
    <row r="2878" spans="87:87">
      <c r="CI2878" s="31"/>
    </row>
    <row r="2879" spans="87:87">
      <c r="CI2879" s="31"/>
    </row>
    <row r="2880" spans="87:87">
      <c r="CI2880" s="31"/>
    </row>
    <row r="2881" spans="87:87">
      <c r="CI2881" s="31"/>
    </row>
    <row r="2882" spans="87:87">
      <c r="CI2882" s="31"/>
    </row>
    <row r="2883" spans="87:87">
      <c r="CI2883" s="31"/>
    </row>
    <row r="2884" spans="87:87">
      <c r="CI2884" s="31"/>
    </row>
    <row r="2885" spans="87:87">
      <c r="CI2885" s="31"/>
    </row>
    <row r="2886" spans="87:87">
      <c r="CI2886" s="31"/>
    </row>
    <row r="2887" spans="87:87">
      <c r="CI2887" s="31"/>
    </row>
    <row r="2888" spans="87:87">
      <c r="CI2888" s="31"/>
    </row>
    <row r="2889" spans="87:87">
      <c r="CI2889" s="31"/>
    </row>
    <row r="2890" spans="87:87">
      <c r="CI2890" s="31"/>
    </row>
    <row r="2891" spans="87:87">
      <c r="CI2891" s="31"/>
    </row>
    <row r="2892" spans="87:87">
      <c r="CI2892" s="31"/>
    </row>
    <row r="2893" spans="87:87">
      <c r="CI2893" s="31"/>
    </row>
    <row r="2894" spans="87:87">
      <c r="CI2894" s="31"/>
    </row>
    <row r="2895" spans="87:87">
      <c r="CI2895" s="31"/>
    </row>
    <row r="2896" spans="87:87">
      <c r="CI2896" s="31"/>
    </row>
    <row r="2897" spans="87:87">
      <c r="CI2897" s="31"/>
    </row>
    <row r="2898" spans="87:87">
      <c r="CI2898" s="31"/>
    </row>
    <row r="2899" spans="87:87">
      <c r="CI2899" s="31"/>
    </row>
    <row r="2900" spans="87:87">
      <c r="CI2900" s="31"/>
    </row>
    <row r="2901" spans="87:87">
      <c r="CI2901" s="31"/>
    </row>
    <row r="2902" spans="87:87">
      <c r="CI2902" s="31"/>
    </row>
    <row r="2903" spans="87:87">
      <c r="CI2903" s="31"/>
    </row>
    <row r="2904" spans="87:87">
      <c r="CI2904" s="31"/>
    </row>
    <row r="2905" spans="87:87">
      <c r="CI2905" s="31"/>
    </row>
    <row r="2906" spans="87:87">
      <c r="CI2906" s="31"/>
    </row>
    <row r="2907" spans="87:87">
      <c r="CI2907" s="31"/>
    </row>
    <row r="2908" spans="87:87">
      <c r="CI2908" s="31"/>
    </row>
    <row r="2909" spans="87:87">
      <c r="CI2909" s="31"/>
    </row>
    <row r="2910" spans="87:87">
      <c r="CI2910" s="31"/>
    </row>
    <row r="2911" spans="87:87">
      <c r="CI2911" s="31"/>
    </row>
    <row r="2912" spans="87:87">
      <c r="CI2912" s="31"/>
    </row>
    <row r="2913" spans="87:87">
      <c r="CI2913" s="31"/>
    </row>
    <row r="2914" spans="87:87">
      <c r="CI2914" s="31"/>
    </row>
    <row r="2915" spans="87:87">
      <c r="CI2915" s="31"/>
    </row>
    <row r="2916" spans="87:87">
      <c r="CI2916" s="31"/>
    </row>
    <row r="2917" spans="87:87">
      <c r="CI2917" s="31"/>
    </row>
    <row r="2918" spans="87:87">
      <c r="CI2918" s="31"/>
    </row>
    <row r="2919" spans="87:87">
      <c r="CI2919" s="31"/>
    </row>
    <row r="2920" spans="87:87">
      <c r="CI2920" s="31"/>
    </row>
    <row r="2921" spans="87:87">
      <c r="CI2921" s="31"/>
    </row>
    <row r="2922" spans="87:87">
      <c r="CI2922" s="31"/>
    </row>
    <row r="2923" spans="87:87">
      <c r="CI2923" s="31"/>
    </row>
    <row r="2924" spans="87:87">
      <c r="CI2924" s="31"/>
    </row>
    <row r="2925" spans="87:87">
      <c r="CI2925" s="31"/>
    </row>
    <row r="2926" spans="87:87">
      <c r="CI2926" s="31"/>
    </row>
    <row r="2927" spans="87:87">
      <c r="CI2927" s="31"/>
    </row>
    <row r="2928" spans="87:87">
      <c r="CI2928" s="31"/>
    </row>
    <row r="2929" spans="87:87">
      <c r="CI2929" s="31"/>
    </row>
    <row r="2930" spans="87:87">
      <c r="CI2930" s="31"/>
    </row>
    <row r="2931" spans="87:87">
      <c r="CI2931" s="31"/>
    </row>
    <row r="2932" spans="87:87">
      <c r="CI2932" s="31"/>
    </row>
    <row r="2933" spans="87:87">
      <c r="CI2933" s="31"/>
    </row>
    <row r="2934" spans="87:87">
      <c r="CI2934" s="31"/>
    </row>
    <row r="2935" spans="87:87">
      <c r="CI2935" s="31"/>
    </row>
    <row r="2936" spans="87:87">
      <c r="CI2936" s="31"/>
    </row>
    <row r="2937" spans="87:87">
      <c r="CI2937" s="31"/>
    </row>
    <row r="2938" spans="87:87">
      <c r="CI2938" s="31"/>
    </row>
    <row r="2939" spans="87:87">
      <c r="CI2939" s="31"/>
    </row>
    <row r="2940" spans="87:87">
      <c r="CI2940" s="31"/>
    </row>
    <row r="2941" spans="87:87">
      <c r="CI2941" s="31"/>
    </row>
    <row r="2942" spans="87:87">
      <c r="CI2942" s="31"/>
    </row>
    <row r="2943" spans="87:87">
      <c r="CI2943" s="31"/>
    </row>
    <row r="2944" spans="87:87">
      <c r="CI2944" s="31"/>
    </row>
    <row r="2945" spans="87:87">
      <c r="CI2945" s="31"/>
    </row>
    <row r="2946" spans="87:87">
      <c r="CI2946" s="31"/>
    </row>
    <row r="2947" spans="87:87">
      <c r="CI2947" s="31"/>
    </row>
    <row r="2948" spans="87:87">
      <c r="CI2948" s="31"/>
    </row>
    <row r="2949" spans="87:87">
      <c r="CI2949" s="31"/>
    </row>
    <row r="2950" spans="87:87">
      <c r="CI2950" s="31"/>
    </row>
    <row r="2951" spans="87:87">
      <c r="CI2951" s="31"/>
    </row>
    <row r="2952" spans="87:87">
      <c r="CI2952" s="31"/>
    </row>
    <row r="2953" spans="87:87">
      <c r="CI2953" s="31"/>
    </row>
    <row r="2954" spans="87:87">
      <c r="CI2954" s="31"/>
    </row>
    <row r="2955" spans="87:87">
      <c r="CI2955" s="31"/>
    </row>
    <row r="2956" spans="87:87">
      <c r="CI2956" s="31"/>
    </row>
    <row r="2957" spans="87:87">
      <c r="CI2957" s="31"/>
    </row>
    <row r="2958" spans="87:87">
      <c r="CI2958" s="31"/>
    </row>
    <row r="2959" spans="87:87">
      <c r="CI2959" s="31"/>
    </row>
    <row r="2960" spans="87:87">
      <c r="CI2960" s="31"/>
    </row>
    <row r="2961" spans="87:87">
      <c r="CI2961" s="31"/>
    </row>
    <row r="2962" spans="87:87">
      <c r="CI2962" s="31"/>
    </row>
    <row r="2963" spans="87:87">
      <c r="CI2963" s="31"/>
    </row>
    <row r="2964" spans="87:87">
      <c r="CI2964" s="31"/>
    </row>
    <row r="2965" spans="87:87">
      <c r="CI2965" s="31"/>
    </row>
    <row r="2966" spans="87:87">
      <c r="CI2966" s="31"/>
    </row>
    <row r="2967" spans="87:87">
      <c r="CI2967" s="31"/>
    </row>
    <row r="2968" spans="87:87">
      <c r="CI2968" s="31"/>
    </row>
    <row r="2969" spans="87:87">
      <c r="CI2969" s="31"/>
    </row>
    <row r="2970" spans="87:87">
      <c r="CI2970" s="31"/>
    </row>
    <row r="2971" spans="87:87">
      <c r="CI2971" s="31"/>
    </row>
    <row r="2972" spans="87:87">
      <c r="CI2972" s="31"/>
    </row>
    <row r="2973" spans="87:87">
      <c r="CI2973" s="31"/>
    </row>
    <row r="2974" spans="87:87">
      <c r="CI2974" s="31"/>
    </row>
    <row r="2975" spans="87:87">
      <c r="CI2975" s="31"/>
    </row>
    <row r="2976" spans="87:87">
      <c r="CI2976" s="31"/>
    </row>
    <row r="2977" spans="87:87">
      <c r="CI2977" s="31"/>
    </row>
    <row r="2978" spans="87:87">
      <c r="CI2978" s="31"/>
    </row>
    <row r="2979" spans="87:87">
      <c r="CI2979" s="31"/>
    </row>
    <row r="2980" spans="87:87">
      <c r="CI2980" s="31"/>
    </row>
    <row r="2981" spans="87:87">
      <c r="CI2981" s="31"/>
    </row>
    <row r="2982" spans="87:87">
      <c r="CI2982" s="31"/>
    </row>
    <row r="2983" spans="87:87">
      <c r="CI2983" s="31"/>
    </row>
    <row r="2984" spans="87:87">
      <c r="CI2984" s="31"/>
    </row>
    <row r="2985" spans="87:87">
      <c r="CI2985" s="31"/>
    </row>
    <row r="2986" spans="87:87">
      <c r="CI2986" s="31"/>
    </row>
    <row r="2987" spans="87:87">
      <c r="CI2987" s="31"/>
    </row>
    <row r="2988" spans="87:87">
      <c r="CI2988" s="31"/>
    </row>
    <row r="2989" spans="87:87">
      <c r="CI2989" s="31"/>
    </row>
    <row r="2990" spans="87:87">
      <c r="CI2990" s="31"/>
    </row>
    <row r="2991" spans="87:87">
      <c r="CI2991" s="31"/>
    </row>
    <row r="2992" spans="87:87">
      <c r="CI2992" s="31"/>
    </row>
    <row r="2993" spans="87:87">
      <c r="CI2993" s="31"/>
    </row>
    <row r="2994" spans="87:87">
      <c r="CI2994" s="31"/>
    </row>
    <row r="2995" spans="87:87">
      <c r="CI2995" s="31"/>
    </row>
    <row r="2996" spans="87:87">
      <c r="CI2996" s="31"/>
    </row>
    <row r="2997" spans="87:87">
      <c r="CI2997" s="31"/>
    </row>
    <row r="2998" spans="87:87">
      <c r="CI2998" s="31"/>
    </row>
    <row r="2999" spans="87:87">
      <c r="CI2999" s="31"/>
    </row>
    <row r="3000" spans="87:87">
      <c r="CI3000" s="31"/>
    </row>
    <row r="3001" spans="87:87">
      <c r="CI3001" s="31"/>
    </row>
    <row r="3002" spans="87:87">
      <c r="CI3002" s="31"/>
    </row>
    <row r="3003" spans="87:87">
      <c r="CI3003" s="31"/>
    </row>
    <row r="3004" spans="87:87">
      <c r="CI3004" s="31"/>
    </row>
    <row r="3005" spans="87:87">
      <c r="CI3005" s="31"/>
    </row>
    <row r="3006" spans="87:87">
      <c r="CI3006" s="31"/>
    </row>
    <row r="3007" spans="87:87">
      <c r="CI3007" s="31"/>
    </row>
    <row r="3008" spans="87:87">
      <c r="CI3008" s="31"/>
    </row>
    <row r="3009" spans="87:87">
      <c r="CI3009" s="31"/>
    </row>
    <row r="3010" spans="87:87">
      <c r="CI3010" s="31"/>
    </row>
    <row r="3011" spans="87:87">
      <c r="CI3011" s="31"/>
    </row>
  </sheetData>
  <phoneticPr fontId="2" type="noConversion"/>
  <pageMargins left="0.78740157499999996" right="0.78740157499999996" top="0.984251969" bottom="0.984251969" header="0.5" footer="0.5"/>
  <pageSetup paperSize="9" orientation="portrait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/>
  <dimension ref="A2:R90"/>
  <sheetViews>
    <sheetView workbookViewId="0">
      <selection activeCell="N41" sqref="N41"/>
    </sheetView>
  </sheetViews>
  <sheetFormatPr baseColWidth="10" defaultRowHeight="13"/>
  <cols>
    <col min="1" max="1" width="20.1640625" customWidth="1"/>
  </cols>
  <sheetData>
    <row r="2" spans="1:18" ht="56">
      <c r="A2" t="str">
        <f>[3]Basicinfo!A2</f>
        <v>Name</v>
      </c>
      <c r="B2" t="str">
        <f>[3]Basicinfo!B2</f>
        <v>ID</v>
      </c>
      <c r="C2" t="str">
        <f>[3]Basicinfo!C2</f>
        <v>Downstream ID</v>
      </c>
      <c r="D2" s="103" t="s">
        <v>459</v>
      </c>
      <c r="E2" s="103" t="str">
        <f>'[3]Local emissions'!AR2</f>
        <v>Total TP emissions</v>
      </c>
      <c r="F2" s="103" t="s">
        <v>963</v>
      </c>
      <c r="G2" s="103" t="s">
        <v>964</v>
      </c>
      <c r="H2" s="103" t="s">
        <v>595</v>
      </c>
      <c r="I2" s="253" t="s">
        <v>587</v>
      </c>
    </row>
    <row r="3" spans="1:18" ht="14">
      <c r="A3">
        <f>[3]Basicinfo!A3</f>
        <v>0</v>
      </c>
      <c r="B3">
        <f>[3]Basicinfo!B3</f>
        <v>0</v>
      </c>
      <c r="C3">
        <f>[3]Basicinfo!C3</f>
        <v>0</v>
      </c>
      <c r="D3" t="s">
        <v>397</v>
      </c>
      <c r="E3" s="103" t="str">
        <f>'[3]Local emissions'!AR3</f>
        <v>t/y</v>
      </c>
      <c r="F3" t="s">
        <v>397</v>
      </c>
      <c r="G3" t="s">
        <v>397</v>
      </c>
      <c r="H3" t="s">
        <v>416</v>
      </c>
      <c r="I3" t="s">
        <v>416</v>
      </c>
    </row>
    <row r="4" spans="1:18">
      <c r="A4" t="str">
        <f>Basicinfo!A4</f>
        <v>Moosb./Mühlheimerache</v>
      </c>
      <c r="B4">
        <f>Basicinfo!B4</f>
        <v>580</v>
      </c>
      <c r="C4">
        <f>Basicinfo!C4</f>
        <v>0</v>
      </c>
      <c r="D4" s="147">
        <f>'Local emissions'!AI4</f>
        <v>0.47264499202588622</v>
      </c>
      <c r="E4" s="233">
        <f>'Local emissions'!AR4</f>
        <v>3.4113784973384931</v>
      </c>
      <c r="F4" s="147">
        <f>'Summed emissions'!AI4</f>
        <v>0.47264499202588622</v>
      </c>
      <c r="G4" s="147">
        <f>'Summed emissions'!AR4</f>
        <v>3.4113784973384931</v>
      </c>
      <c r="H4" s="147">
        <f>'River loads'!BU4</f>
        <v>4.4893154830520046E-2</v>
      </c>
      <c r="I4" s="147">
        <f>'River loads'!BP4</f>
        <v>4.3341853374343771E-2</v>
      </c>
      <c r="M4" s="147"/>
      <c r="N4" s="147"/>
      <c r="O4" s="147"/>
      <c r="P4" s="147"/>
      <c r="Q4" s="147"/>
      <c r="R4" s="147"/>
    </row>
    <row r="5" spans="1:18">
      <c r="A5" t="str">
        <f>Basicinfo!A5</f>
        <v>Enknach</v>
      </c>
      <c r="B5">
        <f>Basicinfo!B5</f>
        <v>600</v>
      </c>
      <c r="C5">
        <f>Basicinfo!C5</f>
        <v>610</v>
      </c>
      <c r="D5" s="147">
        <f>'Local emissions'!AI5</f>
        <v>2.4056840528555647</v>
      </c>
      <c r="E5" s="233">
        <f>'Local emissions'!AR5</f>
        <v>3.2827930061451469</v>
      </c>
      <c r="F5" s="147">
        <f>'Summed emissions'!AI5</f>
        <v>2.4056840528555647</v>
      </c>
      <c r="G5" s="147">
        <f>'Summed emissions'!AR5</f>
        <v>3.2827930061451469</v>
      </c>
      <c r="H5" s="147">
        <f>'River loads'!BU5</f>
        <v>0.11547492975517214</v>
      </c>
      <c r="I5" s="147">
        <f>'River loads'!BP5</f>
        <v>8.6471864711797894E-2</v>
      </c>
      <c r="M5" s="147"/>
      <c r="N5" s="147"/>
      <c r="O5" s="147"/>
      <c r="P5" s="147"/>
      <c r="Q5" s="147"/>
      <c r="R5" s="147"/>
    </row>
    <row r="6" spans="1:18">
      <c r="A6" t="str">
        <f>Basicinfo!A6</f>
        <v>Enknach</v>
      </c>
      <c r="B6">
        <f>Basicinfo!B6</f>
        <v>610</v>
      </c>
      <c r="C6">
        <f>Basicinfo!C6</f>
        <v>1050</v>
      </c>
      <c r="D6" s="147">
        <f>'Local emissions'!AI6</f>
        <v>8.8752281712320233E-2</v>
      </c>
      <c r="E6" s="233">
        <f>'Local emissions'!AR6</f>
        <v>0.58692058739419328</v>
      </c>
      <c r="F6" s="147">
        <f>'Summed emissions'!AI6</f>
        <v>2.4944363345678848</v>
      </c>
      <c r="G6" s="147">
        <f>'Summed emissions'!AR6</f>
        <v>3.8697135935393403</v>
      </c>
      <c r="H6" s="147">
        <f>'River loads'!BU6</f>
        <v>8.0226360587548631E-2</v>
      </c>
      <c r="I6" s="147">
        <f>'River loads'!BP6</f>
        <v>5.9430292691926158E-2</v>
      </c>
      <c r="M6" s="147"/>
      <c r="N6" s="147"/>
      <c r="O6" s="147"/>
      <c r="P6" s="147"/>
      <c r="Q6" s="147"/>
      <c r="R6" s="147"/>
    </row>
    <row r="7" spans="1:18">
      <c r="A7" t="str">
        <f>Basicinfo!A7</f>
        <v>Schwemmbach</v>
      </c>
      <c r="B7">
        <f>Basicinfo!B7</f>
        <v>620</v>
      </c>
      <c r="C7">
        <f>Basicinfo!C7</f>
        <v>630</v>
      </c>
      <c r="D7" s="147">
        <f>'Local emissions'!AI7</f>
        <v>0.35642343103575447</v>
      </c>
      <c r="E7" s="233">
        <f>'Local emissions'!AR7</f>
        <v>3.0420798996414344</v>
      </c>
      <c r="F7" s="147">
        <f>'Summed emissions'!AI7</f>
        <v>0.35642343103575447</v>
      </c>
      <c r="G7" s="147">
        <f>'Summed emissions'!AR7</f>
        <v>3.0420798996414344</v>
      </c>
      <c r="H7" s="147">
        <f>'River loads'!BU7</f>
        <v>4.3509228084652997E-2</v>
      </c>
      <c r="I7" s="147">
        <f>'River loads'!BP7</f>
        <v>2.0229451365302287E-2</v>
      </c>
      <c r="M7" s="147"/>
      <c r="N7" s="147"/>
      <c r="O7" s="147"/>
      <c r="P7" s="147"/>
      <c r="Q7" s="147"/>
      <c r="R7" s="147"/>
    </row>
    <row r="8" spans="1:18">
      <c r="A8" t="str">
        <f>Basicinfo!A8</f>
        <v>Mattig</v>
      </c>
      <c r="B8">
        <f>Basicinfo!B8</f>
        <v>630</v>
      </c>
      <c r="C8">
        <f>Basicinfo!C8</f>
        <v>1050</v>
      </c>
      <c r="D8" s="147">
        <f>'Local emissions'!AI8</f>
        <v>1.7954590952713254</v>
      </c>
      <c r="E8" s="233">
        <f>'Local emissions'!AR8</f>
        <v>10.481697859275734</v>
      </c>
      <c r="F8" s="147">
        <f>'Summed emissions'!AI8</f>
        <v>2.1518825263070798</v>
      </c>
      <c r="G8" s="147">
        <f>'Summed emissions'!AR8</f>
        <v>13.523777758917168</v>
      </c>
      <c r="H8" s="147">
        <f>'River loads'!BU8</f>
        <v>4.7747030968567604E-2</v>
      </c>
      <c r="I8" s="147">
        <f>'River loads'!BP8</f>
        <v>3.9702899167383586E-2</v>
      </c>
      <c r="M8" s="147"/>
      <c r="N8" s="147"/>
      <c r="O8" s="147"/>
      <c r="P8" s="147"/>
      <c r="Q8" s="147"/>
      <c r="R8" s="147"/>
    </row>
    <row r="9" spans="1:18">
      <c r="A9" t="str">
        <f>Basicinfo!A9</f>
        <v>Moosbach</v>
      </c>
      <c r="B9">
        <f>Basicinfo!B9</f>
        <v>640</v>
      </c>
      <c r="C9">
        <f>Basicinfo!C9</f>
        <v>650</v>
      </c>
      <c r="D9" s="147">
        <f>'Local emissions'!AI9</f>
        <v>0.33205521930896337</v>
      </c>
      <c r="E9" s="233">
        <f>'Local emissions'!AR9</f>
        <v>0.94310272659582695</v>
      </c>
      <c r="F9" s="147">
        <f>'Summed emissions'!AI9</f>
        <v>0.33205521930896337</v>
      </c>
      <c r="G9" s="147">
        <f>'Summed emissions'!AR9</f>
        <v>0.94310272659582695</v>
      </c>
      <c r="H9" s="147">
        <f>'River loads'!BU9</f>
        <v>4.1857270984172218E-2</v>
      </c>
      <c r="I9" s="147">
        <f>'River loads'!BP9</f>
        <v>3.2846711346095042E-2</v>
      </c>
      <c r="M9" s="147"/>
      <c r="N9" s="147"/>
      <c r="O9" s="147"/>
      <c r="P9" s="147"/>
      <c r="Q9" s="147"/>
      <c r="R9" s="147"/>
    </row>
    <row r="10" spans="1:18">
      <c r="A10" t="str">
        <f>Basicinfo!A10</f>
        <v>Mühlheimer Ache</v>
      </c>
      <c r="B10">
        <f>Basicinfo!B10</f>
        <v>650</v>
      </c>
      <c r="C10">
        <f>Basicinfo!C10</f>
        <v>1050</v>
      </c>
      <c r="D10" s="147">
        <f>'Local emissions'!AI10</f>
        <v>9.9361197641490264</v>
      </c>
      <c r="E10" s="233">
        <f>'Local emissions'!AR10</f>
        <v>19.532040441409144</v>
      </c>
      <c r="F10" s="147">
        <f>'Summed emissions'!AI10</f>
        <v>10.268174983457989</v>
      </c>
      <c r="G10" s="147">
        <f>'Summed emissions'!AR10</f>
        <v>20.475143168004973</v>
      </c>
      <c r="H10" s="147">
        <f>'River loads'!BU10</f>
        <v>0.10728702186777461</v>
      </c>
      <c r="I10" s="147">
        <f>'River loads'!BP10</f>
        <v>9.6835616460743595E-2</v>
      </c>
      <c r="M10" s="147"/>
      <c r="N10" s="147"/>
      <c r="O10" s="147"/>
      <c r="P10" s="147"/>
      <c r="Q10" s="147"/>
      <c r="R10" s="147"/>
    </row>
    <row r="11" spans="1:18">
      <c r="A11" t="str">
        <f>Basicinfo!A11</f>
        <v>Gurtenbach</v>
      </c>
      <c r="B11">
        <f>Basicinfo!B11</f>
        <v>660</v>
      </c>
      <c r="C11">
        <f>Basicinfo!C11</f>
        <v>1050</v>
      </c>
      <c r="D11" s="147">
        <f>'Local emissions'!AI11</f>
        <v>8.1947299345849256</v>
      </c>
      <c r="E11" s="233">
        <f>'Local emissions'!AR11</f>
        <v>10.711777353719851</v>
      </c>
      <c r="F11" s="147">
        <f>'Summed emissions'!AI11</f>
        <v>8.1947299345849256</v>
      </c>
      <c r="G11" s="147">
        <f>'Summed emissions'!AR11</f>
        <v>10.711777353719851</v>
      </c>
      <c r="H11" s="147">
        <f>'River loads'!BU11</f>
        <v>0.18183219043032167</v>
      </c>
      <c r="I11" s="147">
        <f>'River loads'!BP11</f>
        <v>0.1403313902649114</v>
      </c>
      <c r="M11" s="147"/>
      <c r="N11" s="147"/>
      <c r="O11" s="147"/>
      <c r="P11" s="147"/>
      <c r="Q11" s="147"/>
      <c r="R11" s="147"/>
    </row>
    <row r="12" spans="1:18">
      <c r="A12" t="str">
        <f>Basicinfo!A12</f>
        <v>Antiesen</v>
      </c>
      <c r="B12">
        <f>Basicinfo!B12</f>
        <v>670</v>
      </c>
      <c r="C12">
        <f>Basicinfo!C12</f>
        <v>680</v>
      </c>
      <c r="D12" s="147">
        <f>'Local emissions'!AI12</f>
        <v>7.3656372450449394</v>
      </c>
      <c r="E12" s="233">
        <f>'Local emissions'!AR12</f>
        <v>13.662608182630491</v>
      </c>
      <c r="F12" s="147">
        <f>'Summed emissions'!AI12</f>
        <v>7.3656372450449394</v>
      </c>
      <c r="G12" s="147">
        <f>'Summed emissions'!AR12</f>
        <v>13.662608182630491</v>
      </c>
      <c r="H12" s="147">
        <f>'River loads'!BU12</f>
        <v>0.15498097623018542</v>
      </c>
      <c r="I12" s="147">
        <f>'River loads'!BP12</f>
        <v>0.13315208662377712</v>
      </c>
      <c r="M12" s="147"/>
      <c r="N12" s="147"/>
      <c r="O12" s="147"/>
      <c r="P12" s="147"/>
      <c r="Q12" s="147"/>
      <c r="R12" s="147"/>
    </row>
    <row r="13" spans="1:18">
      <c r="A13" t="str">
        <f>Basicinfo!A13</f>
        <v>Antiesen</v>
      </c>
      <c r="B13">
        <f>Basicinfo!B13</f>
        <v>680</v>
      </c>
      <c r="C13">
        <f>Basicinfo!C13</f>
        <v>1050</v>
      </c>
      <c r="D13" s="147">
        <f>'Local emissions'!AI13</f>
        <v>10.888806246059408</v>
      </c>
      <c r="E13" s="233">
        <f>'Local emissions'!AR13</f>
        <v>15.953941573293461</v>
      </c>
      <c r="F13" s="147">
        <f>'Summed emissions'!AI13</f>
        <v>18.254443491104347</v>
      </c>
      <c r="G13" s="147">
        <f>'Summed emissions'!AR13</f>
        <v>29.616549755923952</v>
      </c>
      <c r="H13" s="147">
        <f>'River loads'!BU13</f>
        <v>0.16949992796121682</v>
      </c>
      <c r="I13" s="147">
        <f>'River loads'!BP13</f>
        <v>0.13716210716560551</v>
      </c>
      <c r="M13" s="147"/>
      <c r="N13" s="147"/>
      <c r="O13" s="147"/>
      <c r="P13" s="147"/>
      <c r="Q13" s="147"/>
      <c r="R13" s="147"/>
    </row>
    <row r="14" spans="1:18">
      <c r="A14" t="str">
        <f>Basicinfo!A14</f>
        <v>Pram</v>
      </c>
      <c r="B14">
        <f>Basicinfo!B14</f>
        <v>690</v>
      </c>
      <c r="C14">
        <f>Basicinfo!C14</f>
        <v>700</v>
      </c>
      <c r="D14" s="147">
        <f>'Local emissions'!AI14</f>
        <v>5.0123572585541831</v>
      </c>
      <c r="E14" s="233">
        <f>'Local emissions'!AR14</f>
        <v>7.5504995496293708</v>
      </c>
      <c r="F14" s="147">
        <f>'Summed emissions'!AI14</f>
        <v>5.0123572585541831</v>
      </c>
      <c r="G14" s="147">
        <f>'Summed emissions'!AR14</f>
        <v>7.5504995496293708</v>
      </c>
      <c r="H14" s="147">
        <f>'River loads'!BU14</f>
        <v>0.14354933621371205</v>
      </c>
      <c r="I14" s="147">
        <f>'River loads'!BP14</f>
        <v>0.11942435672817789</v>
      </c>
      <c r="M14" s="147"/>
      <c r="N14" s="147"/>
      <c r="O14" s="147"/>
      <c r="P14" s="147"/>
      <c r="Q14" s="147"/>
      <c r="R14" s="147"/>
    </row>
    <row r="15" spans="1:18">
      <c r="A15" t="str">
        <f>Basicinfo!A15</f>
        <v>Pram</v>
      </c>
      <c r="B15">
        <f>Basicinfo!B15</f>
        <v>700</v>
      </c>
      <c r="C15">
        <f>Basicinfo!C15</f>
        <v>710</v>
      </c>
      <c r="D15" s="147">
        <f>'Local emissions'!AI15</f>
        <v>12.232888763163144</v>
      </c>
      <c r="E15" s="233">
        <f>'Local emissions'!AR15</f>
        <v>19.690161884796222</v>
      </c>
      <c r="F15" s="147">
        <f>'Summed emissions'!AI15</f>
        <v>17.245246021717328</v>
      </c>
      <c r="G15" s="147">
        <f>'Summed emissions'!AR15</f>
        <v>27.240661434425594</v>
      </c>
      <c r="H15" s="147">
        <f>'River loads'!BU15</f>
        <v>0.15323932323307321</v>
      </c>
      <c r="I15" s="147">
        <f>'River loads'!BP15</f>
        <v>0.12400133465474004</v>
      </c>
      <c r="M15" s="147"/>
      <c r="N15" s="147"/>
      <c r="O15" s="147"/>
      <c r="P15" s="147"/>
      <c r="Q15" s="147"/>
      <c r="R15" s="147"/>
    </row>
    <row r="16" spans="1:18">
      <c r="A16" t="str">
        <f>Basicinfo!A16</f>
        <v>Pram</v>
      </c>
      <c r="B16">
        <f>Basicinfo!B16</f>
        <v>710</v>
      </c>
      <c r="C16">
        <f>Basicinfo!C16</f>
        <v>1050</v>
      </c>
      <c r="D16" s="147">
        <f>'Local emissions'!AI16</f>
        <v>4.9791884141949065</v>
      </c>
      <c r="E16" s="233">
        <f>'Local emissions'!AR16</f>
        <v>9.0409376730538469</v>
      </c>
      <c r="F16" s="147">
        <f>'Summed emissions'!AI16</f>
        <v>22.224434435912237</v>
      </c>
      <c r="G16" s="147">
        <f>'Summed emissions'!AR16</f>
        <v>36.281599107479437</v>
      </c>
      <c r="H16" s="147">
        <f>'River loads'!BU16</f>
        <v>0.15827461776940469</v>
      </c>
      <c r="I16" s="147">
        <f>'River loads'!BP16</f>
        <v>0.12841598422215617</v>
      </c>
      <c r="M16" s="147"/>
      <c r="N16" s="147"/>
      <c r="O16" s="147"/>
      <c r="P16" s="147"/>
      <c r="Q16" s="147"/>
      <c r="R16" s="147"/>
    </row>
    <row r="17" spans="1:18">
      <c r="A17" t="str">
        <f>Basicinfo!A17</f>
        <v>Inn</v>
      </c>
      <c r="B17">
        <f>Basicinfo!B17</f>
        <v>1050</v>
      </c>
      <c r="C17">
        <f>Basicinfo!C17</f>
        <v>4990</v>
      </c>
      <c r="D17" s="147">
        <f>'Local emissions'!AI17</f>
        <v>9.8075516947372865</v>
      </c>
      <c r="E17" s="233">
        <f>'Local emissions'!AR17</f>
        <v>21.895410716875297</v>
      </c>
      <c r="F17" s="147">
        <f>'Summed emissions'!AI17</f>
        <v>73.395653400671748</v>
      </c>
      <c r="G17" s="147">
        <f>'Summed emissions'!AR17</f>
        <v>136.37397145446002</v>
      </c>
      <c r="H17" s="147">
        <f>'River loads'!BU17</f>
        <v>0.10410468931490341</v>
      </c>
      <c r="I17" s="147">
        <f>'River loads'!BP17</f>
        <v>8.7728328571402295E-2</v>
      </c>
      <c r="M17" s="147"/>
      <c r="N17" s="147"/>
      <c r="O17" s="147"/>
      <c r="P17" s="147"/>
      <c r="Q17" s="147"/>
      <c r="R17" s="147"/>
    </row>
    <row r="18" spans="1:18">
      <c r="A18" t="str">
        <f>Basicinfo!A18</f>
        <v>Ranna</v>
      </c>
      <c r="B18">
        <f>Basicinfo!B18</f>
        <v>1100</v>
      </c>
      <c r="C18">
        <f>Basicinfo!C18</f>
        <v>5000</v>
      </c>
      <c r="D18" s="147">
        <f>'Local emissions'!AI18</f>
        <v>0.3169430403457017</v>
      </c>
      <c r="E18" s="233">
        <f>'Local emissions'!AR18</f>
        <v>3.3162657826311994</v>
      </c>
      <c r="F18" s="147">
        <f>'Summed emissions'!AI18</f>
        <v>0.40741601150204537</v>
      </c>
      <c r="G18" s="147">
        <f>'Summed emissions'!AR18</f>
        <v>6.7665042239054873</v>
      </c>
      <c r="H18" s="147">
        <f>'River loads'!BU18</f>
        <v>4.2745808511382301E-2</v>
      </c>
      <c r="I18" s="147">
        <f>'River loads'!BP18</f>
        <v>3.9290423187667504E-2</v>
      </c>
      <c r="M18" s="147"/>
      <c r="N18" s="147"/>
      <c r="O18" s="147"/>
      <c r="P18" s="147"/>
      <c r="Q18" s="147"/>
      <c r="R18" s="147"/>
    </row>
    <row r="19" spans="1:18">
      <c r="A19" t="str">
        <f>Basicinfo!A19</f>
        <v>Kleine Mühl</v>
      </c>
      <c r="B19">
        <f>Basicinfo!B19</f>
        <v>1110</v>
      </c>
      <c r="C19">
        <f>Basicinfo!C19</f>
        <v>5000</v>
      </c>
      <c r="D19" s="147">
        <f>'Local emissions'!AI19</f>
        <v>1.1269526075511913</v>
      </c>
      <c r="E19" s="233">
        <f>'Local emissions'!AR19</f>
        <v>7.2392752628521473</v>
      </c>
      <c r="F19" s="147">
        <f>'Summed emissions'!AI19</f>
        <v>1.1269526075511913</v>
      </c>
      <c r="G19" s="147">
        <f>'Summed emissions'!AR19</f>
        <v>7.2392752628521473</v>
      </c>
      <c r="H19" s="147">
        <f>'River loads'!BU19</f>
        <v>5.5198013054885572E-2</v>
      </c>
      <c r="I19" s="147">
        <f>'River loads'!BP19</f>
        <v>5.2094277514048604E-2</v>
      </c>
      <c r="M19" s="147"/>
      <c r="N19" s="147"/>
      <c r="O19" s="147"/>
      <c r="P19" s="147"/>
      <c r="Q19" s="147"/>
      <c r="R19" s="147"/>
    </row>
    <row r="20" spans="1:18">
      <c r="A20" t="str">
        <f>Basicinfo!A20</f>
        <v>Steinerne Mühl</v>
      </c>
      <c r="B20">
        <f>Basicinfo!B20</f>
        <v>1120</v>
      </c>
      <c r="C20">
        <f>Basicinfo!C20</f>
        <v>1130</v>
      </c>
      <c r="D20" s="147">
        <f>'Local emissions'!AI20</f>
        <v>0.21278390195644342</v>
      </c>
      <c r="E20" s="233">
        <f>'Local emissions'!AR20</f>
        <v>2.1238675979101602</v>
      </c>
      <c r="F20" s="147">
        <f>'Summed emissions'!AI20</f>
        <v>0.22332259399460866</v>
      </c>
      <c r="G20" s="147">
        <f>'Summed emissions'!AR20</f>
        <v>2.5351077897882646</v>
      </c>
      <c r="H20" s="147">
        <f>'River loads'!BU20</f>
        <v>3.2993236530585349E-2</v>
      </c>
      <c r="I20" s="147">
        <f>'River loads'!BP20</f>
        <v>2.4004420887164517E-2</v>
      </c>
      <c r="M20" s="147"/>
      <c r="N20" s="147"/>
      <c r="O20" s="147"/>
      <c r="P20" s="147"/>
      <c r="Q20" s="147"/>
      <c r="R20" s="147"/>
    </row>
    <row r="21" spans="1:18">
      <c r="A21" t="str">
        <f>Basicinfo!A21</f>
        <v>Große Mühl</v>
      </c>
      <c r="B21">
        <f>Basicinfo!B21</f>
        <v>1130</v>
      </c>
      <c r="C21">
        <f>Basicinfo!C21</f>
        <v>5000</v>
      </c>
      <c r="D21" s="147">
        <f>'Local emissions'!AI21</f>
        <v>1.0238650396230122</v>
      </c>
      <c r="E21" s="233">
        <f>'Local emissions'!AR21</f>
        <v>7.6556720312522852</v>
      </c>
      <c r="F21" s="147">
        <f>'Summed emissions'!AI21</f>
        <v>1.538764103265766</v>
      </c>
      <c r="G21" s="147">
        <f>'Summed emissions'!AR21</f>
        <v>14.919851568369959</v>
      </c>
      <c r="H21" s="147">
        <f>'River loads'!BU21</f>
        <v>4.1662542393360064E-2</v>
      </c>
      <c r="I21" s="147">
        <f>'River loads'!BP21</f>
        <v>3.61519469716707E-2</v>
      </c>
      <c r="M21" s="147"/>
      <c r="N21" s="147"/>
      <c r="O21" s="147"/>
      <c r="P21" s="147"/>
      <c r="Q21" s="147"/>
      <c r="R21" s="147"/>
    </row>
    <row r="22" spans="1:18">
      <c r="A22" t="str">
        <f>Basicinfo!A22</f>
        <v>Große Mühl</v>
      </c>
      <c r="B22">
        <f>Basicinfo!B22</f>
        <v>1140</v>
      </c>
      <c r="C22">
        <f>Basicinfo!C22</f>
        <v>1130</v>
      </c>
      <c r="D22" s="147">
        <f>'Local emissions'!AI22</f>
        <v>0.23037587533003986</v>
      </c>
      <c r="E22" s="233">
        <f>'Local emissions'!AR22</f>
        <v>3.2875615347745359</v>
      </c>
      <c r="F22" s="147">
        <f>'Summed emissions'!AI22</f>
        <v>0.27976811156362069</v>
      </c>
      <c r="G22" s="147">
        <f>'Summed emissions'!AR22</f>
        <v>4.3107171338545989</v>
      </c>
      <c r="H22" s="147">
        <f>'River loads'!BU22</f>
        <v>2.5516066741822486E-2</v>
      </c>
      <c r="I22" s="147">
        <f>'River loads'!BP22</f>
        <v>2.0214465032487739E-2</v>
      </c>
      <c r="M22" s="147"/>
      <c r="N22" s="147"/>
      <c r="O22" s="147"/>
      <c r="P22" s="147"/>
      <c r="Q22" s="147"/>
      <c r="R22" s="147"/>
    </row>
    <row r="23" spans="1:18">
      <c r="A23" t="str">
        <f>Basicinfo!A23</f>
        <v>Dürre Aschach und Aschach</v>
      </c>
      <c r="B23">
        <f>Basicinfo!B23</f>
        <v>1150</v>
      </c>
      <c r="C23">
        <f>Basicinfo!C23</f>
        <v>1160</v>
      </c>
      <c r="D23" s="147">
        <f>'Local emissions'!AI23</f>
        <v>17.360913494646759</v>
      </c>
      <c r="E23" s="233">
        <f>'Local emissions'!AR23</f>
        <v>27.155685151779977</v>
      </c>
      <c r="F23" s="147">
        <f>'Summed emissions'!AI23</f>
        <v>17.360913494646759</v>
      </c>
      <c r="G23" s="147">
        <f>'Summed emissions'!AR23</f>
        <v>27.155685151779977</v>
      </c>
      <c r="H23" s="147">
        <f>'River loads'!BU23</f>
        <v>0.16230683511548266</v>
      </c>
      <c r="I23" s="147">
        <f>'River loads'!BP23</f>
        <v>0.13388330778071944</v>
      </c>
      <c r="M23" s="147"/>
      <c r="N23" s="147"/>
      <c r="O23" s="147"/>
      <c r="P23" s="147"/>
      <c r="Q23" s="147"/>
      <c r="R23" s="147"/>
    </row>
    <row r="24" spans="1:18">
      <c r="A24" t="str">
        <f>Basicinfo!A24</f>
        <v>Aschach</v>
      </c>
      <c r="B24">
        <f>Basicinfo!B24</f>
        <v>1160</v>
      </c>
      <c r="C24">
        <f>Basicinfo!C24</f>
        <v>5000</v>
      </c>
      <c r="D24" s="147">
        <f>'Local emissions'!AI24</f>
        <v>0.97076924676892162</v>
      </c>
      <c r="E24" s="233">
        <f>'Local emissions'!AR24</f>
        <v>3.9025036979106531</v>
      </c>
      <c r="F24" s="147">
        <f>'Summed emissions'!AI24</f>
        <v>18.33168274141568</v>
      </c>
      <c r="G24" s="147">
        <f>'Summed emissions'!AR24</f>
        <v>31.05818884969063</v>
      </c>
      <c r="H24" s="147">
        <f>'River loads'!BU24</f>
        <v>0.14366301402557885</v>
      </c>
      <c r="I24" s="147">
        <f>'River loads'!BP24</f>
        <v>0.12092025590420319</v>
      </c>
      <c r="M24" s="147"/>
      <c r="N24" s="147"/>
      <c r="O24" s="147"/>
      <c r="P24" s="147"/>
      <c r="Q24" s="147"/>
      <c r="R24" s="147"/>
    </row>
    <row r="25" spans="1:18">
      <c r="A25" t="str">
        <f>Basicinfo!A25</f>
        <v>Trattnach</v>
      </c>
      <c r="B25">
        <f>Basicinfo!B25</f>
        <v>1170</v>
      </c>
      <c r="C25">
        <f>Basicinfo!C25</f>
        <v>1180</v>
      </c>
      <c r="D25" s="147">
        <f>'Local emissions'!AI25</f>
        <v>11.885672121464316</v>
      </c>
      <c r="E25" s="233">
        <f>'Local emissions'!AR25</f>
        <v>19.571713341409797</v>
      </c>
      <c r="F25" s="147">
        <f>'Summed emissions'!AI25</f>
        <v>11.885672121464316</v>
      </c>
      <c r="G25" s="147">
        <f>'Summed emissions'!AR25</f>
        <v>19.571713341409797</v>
      </c>
      <c r="H25" s="147">
        <f>'River loads'!BU25</f>
        <v>0.1894213613236633</v>
      </c>
      <c r="I25" s="147">
        <f>'River loads'!BP25</f>
        <v>0.15266962442026219</v>
      </c>
      <c r="M25" s="147"/>
      <c r="N25" s="147"/>
      <c r="O25" s="147"/>
      <c r="P25" s="147"/>
      <c r="Q25" s="147"/>
      <c r="R25" s="147"/>
    </row>
    <row r="26" spans="1:18">
      <c r="A26" t="str">
        <f>Basicinfo!A26</f>
        <v>Innbach</v>
      </c>
      <c r="B26">
        <f>Basicinfo!B26</f>
        <v>1180</v>
      </c>
      <c r="C26">
        <f>Basicinfo!C26</f>
        <v>5000</v>
      </c>
      <c r="D26" s="147">
        <f>'Local emissions'!AI26</f>
        <v>21.072235071166212</v>
      </c>
      <c r="E26" s="233">
        <f>'Local emissions'!AR26</f>
        <v>30.346877212707035</v>
      </c>
      <c r="F26" s="147">
        <f>'Summed emissions'!AI26</f>
        <v>32.957907192630529</v>
      </c>
      <c r="G26" s="147">
        <f>'Summed emissions'!AR26</f>
        <v>49.918590554116832</v>
      </c>
      <c r="H26" s="147">
        <f>'River loads'!BU26</f>
        <v>0.18750717956877269</v>
      </c>
      <c r="I26" s="147">
        <f>'River loads'!BP26</f>
        <v>0.14155558706992138</v>
      </c>
      <c r="M26" s="147"/>
      <c r="N26" s="147"/>
      <c r="O26" s="147"/>
      <c r="P26" s="147"/>
      <c r="Q26" s="147"/>
      <c r="R26" s="147"/>
    </row>
    <row r="27" spans="1:18">
      <c r="A27" t="str">
        <f>Basicinfo!A27</f>
        <v>Pesenbach</v>
      </c>
      <c r="B27">
        <f>Basicinfo!B27</f>
        <v>1190</v>
      </c>
      <c r="C27">
        <f>Basicinfo!C27</f>
        <v>5000</v>
      </c>
      <c r="D27" s="147">
        <f>'Local emissions'!AI27</f>
        <v>1.0668076065985876</v>
      </c>
      <c r="E27" s="233">
        <f>'Local emissions'!AR27</f>
        <v>3.4633779177730029</v>
      </c>
      <c r="F27" s="147">
        <f>'Summed emissions'!AI27</f>
        <v>1.0668076065985876</v>
      </c>
      <c r="G27" s="147">
        <f>'Summed emissions'!AR27</f>
        <v>3.4633779177730029</v>
      </c>
      <c r="H27" s="147">
        <f>'River loads'!BU27</f>
        <v>4.4888371264125169E-2</v>
      </c>
      <c r="I27" s="147">
        <f>'River loads'!BP27</f>
        <v>3.402173874385625E-2</v>
      </c>
      <c r="M27" s="147"/>
      <c r="N27" s="147"/>
      <c r="O27" s="147"/>
      <c r="P27" s="147"/>
      <c r="Q27" s="147"/>
      <c r="R27" s="147"/>
    </row>
    <row r="28" spans="1:18">
      <c r="A28" t="str">
        <f>Basicinfo!A28</f>
        <v>Große Rodl</v>
      </c>
      <c r="B28">
        <f>Basicinfo!B28</f>
        <v>1200</v>
      </c>
      <c r="C28">
        <f>Basicinfo!C28</f>
        <v>5000</v>
      </c>
      <c r="D28" s="147">
        <f>'Local emissions'!AI28</f>
        <v>1.8887134717974403</v>
      </c>
      <c r="E28" s="233">
        <f>'Local emissions'!AR28</f>
        <v>9.053397438075395</v>
      </c>
      <c r="F28" s="147">
        <f>'Summed emissions'!AI28</f>
        <v>1.8887134717974403</v>
      </c>
      <c r="G28" s="147">
        <f>'Summed emissions'!AR28</f>
        <v>9.053397438075395</v>
      </c>
      <c r="H28" s="147">
        <f>'River loads'!BU28</f>
        <v>6.0447523012655879E-2</v>
      </c>
      <c r="I28" s="147">
        <f>'River loads'!BP28</f>
        <v>5.1413451381000376E-2</v>
      </c>
      <c r="M28" s="147"/>
      <c r="N28" s="147"/>
      <c r="O28" s="147"/>
      <c r="P28" s="147"/>
      <c r="Q28" s="147"/>
      <c r="R28" s="147"/>
    </row>
    <row r="29" spans="1:18">
      <c r="A29" t="str">
        <f>Basicinfo!A29</f>
        <v>Diesenleitenbach</v>
      </c>
      <c r="B29">
        <f>Basicinfo!B29</f>
        <v>1210</v>
      </c>
      <c r="C29">
        <f>Basicinfo!C29</f>
        <v>5010</v>
      </c>
      <c r="D29" s="147">
        <f>'Local emissions'!AI29</f>
        <v>0.44563206890359308</v>
      </c>
      <c r="E29" s="233">
        <f>'Local emissions'!AR29</f>
        <v>3.3956535490086175</v>
      </c>
      <c r="F29" s="147">
        <f>'Summed emissions'!AI29</f>
        <v>0.44563206890359308</v>
      </c>
      <c r="G29" s="147">
        <f>'Summed emissions'!AR29</f>
        <v>3.3956535490086175</v>
      </c>
      <c r="H29" s="147">
        <f>'River loads'!BU29</f>
        <v>0.10972486462896942</v>
      </c>
      <c r="I29" s="147">
        <f>'River loads'!BP29</f>
        <v>7.5890093559078622E-2</v>
      </c>
      <c r="M29" s="147"/>
      <c r="N29" s="147"/>
      <c r="O29" s="147"/>
      <c r="P29" s="147"/>
      <c r="Q29" s="147"/>
      <c r="R29" s="147"/>
    </row>
    <row r="30" spans="1:18">
      <c r="A30" t="str">
        <f>Basicinfo!A30</f>
        <v>Gosaubach</v>
      </c>
      <c r="B30">
        <f>Basicinfo!B30</f>
        <v>1220</v>
      </c>
      <c r="C30">
        <f>Basicinfo!C30</f>
        <v>4010</v>
      </c>
      <c r="D30" s="147">
        <f>'Local emissions'!AI30</f>
        <v>1.04675942540342E-2</v>
      </c>
      <c r="E30" s="233">
        <f>'Local emissions'!AR30</f>
        <v>6.4125241629976202</v>
      </c>
      <c r="F30" s="147">
        <f>'Summed emissions'!AI30</f>
        <v>1.04675942540342E-2</v>
      </c>
      <c r="G30" s="147">
        <f>'Summed emissions'!AR30</f>
        <v>6.4125241629976202</v>
      </c>
      <c r="H30" s="147">
        <f>'River loads'!BU30</f>
        <v>2.5646807480376978E-2</v>
      </c>
      <c r="I30" s="147">
        <f>'River loads'!BP30</f>
        <v>7.9653372079517039E-3</v>
      </c>
      <c r="M30" s="147"/>
      <c r="N30" s="147"/>
      <c r="O30" s="147"/>
      <c r="P30" s="147"/>
      <c r="Q30" s="147"/>
      <c r="R30" s="147"/>
    </row>
    <row r="31" spans="1:18">
      <c r="A31" t="str">
        <f>Basicinfo!A31</f>
        <v>Ischler Ache</v>
      </c>
      <c r="B31">
        <f>Basicinfo!B31</f>
        <v>1230</v>
      </c>
      <c r="C31">
        <f>Basicinfo!C31</f>
        <v>4010</v>
      </c>
      <c r="D31" s="147">
        <f>'Local emissions'!AI31</f>
        <v>7.1248613897052671E-2</v>
      </c>
      <c r="E31" s="233">
        <f>'Local emissions'!AR31</f>
        <v>6.1361266283488378</v>
      </c>
      <c r="F31" s="147">
        <f>'Summed emissions'!AI31</f>
        <v>7.1248613897052671E-2</v>
      </c>
      <c r="G31" s="147">
        <f>'Summed emissions'!AR31</f>
        <v>6.1361266283488378</v>
      </c>
      <c r="H31" s="147">
        <f>'River loads'!BU31</f>
        <v>1.1639810156267593E-2</v>
      </c>
      <c r="I31" s="147">
        <f>'River loads'!BP31</f>
        <v>8.8781554933061776E-3</v>
      </c>
      <c r="M31" s="147"/>
      <c r="N31" s="147"/>
      <c r="O31" s="147"/>
      <c r="P31" s="147"/>
      <c r="Q31" s="147"/>
      <c r="R31" s="147"/>
    </row>
    <row r="32" spans="1:18">
      <c r="A32" t="str">
        <f>Basicinfo!A32</f>
        <v>Fuschler Ache</v>
      </c>
      <c r="B32">
        <f>Basicinfo!B32</f>
        <v>1240</v>
      </c>
      <c r="C32">
        <f>Basicinfo!C32</f>
        <v>1280</v>
      </c>
      <c r="D32" s="147">
        <f>'Local emissions'!AI32</f>
        <v>0.10201417531788004</v>
      </c>
      <c r="E32" s="233">
        <f>'Local emissions'!AR32</f>
        <v>3.317639661286254</v>
      </c>
      <c r="F32" s="147">
        <f>'Summed emissions'!AI32</f>
        <v>0.10201417531788004</v>
      </c>
      <c r="G32" s="147">
        <f>'Summed emissions'!AR32</f>
        <v>3.317639661286254</v>
      </c>
      <c r="H32" s="147">
        <f>'River loads'!BU32</f>
        <v>1.9667337277922012E-2</v>
      </c>
      <c r="I32" s="147">
        <f>'River loads'!BP32</f>
        <v>1.1359807691603298E-2</v>
      </c>
      <c r="M32" s="147"/>
      <c r="N32" s="147"/>
      <c r="O32" s="147"/>
      <c r="P32" s="147"/>
      <c r="Q32" s="147"/>
      <c r="R32" s="147"/>
    </row>
    <row r="33" spans="1:18">
      <c r="A33" t="str">
        <f>Basicinfo!A33</f>
        <v>Dürre Ager</v>
      </c>
      <c r="B33">
        <f>Basicinfo!B33</f>
        <v>1250</v>
      </c>
      <c r="C33">
        <f>Basicinfo!C33</f>
        <v>1270</v>
      </c>
      <c r="D33" s="147">
        <f>'Local emissions'!AI33</f>
        <v>1.1651910019544676</v>
      </c>
      <c r="E33" s="233">
        <f>'Local emissions'!AR33</f>
        <v>2.5641896852160309</v>
      </c>
      <c r="F33" s="147">
        <f>'Summed emissions'!AI33</f>
        <v>1.1651910019544676</v>
      </c>
      <c r="G33" s="147">
        <f>'Summed emissions'!AR33</f>
        <v>2.5641896852160309</v>
      </c>
      <c r="H33" s="147">
        <f>'River loads'!BU33</f>
        <v>3.7208836938645386E-2</v>
      </c>
      <c r="I33" s="147">
        <f>'River loads'!BP33</f>
        <v>2.7227751892285414E-2</v>
      </c>
      <c r="M33" s="147"/>
      <c r="N33" s="147"/>
      <c r="O33" s="147"/>
      <c r="P33" s="147"/>
      <c r="Q33" s="147"/>
      <c r="R33" s="147"/>
    </row>
    <row r="34" spans="1:18">
      <c r="A34" t="str">
        <f>Basicinfo!A34</f>
        <v>Vökla</v>
      </c>
      <c r="B34">
        <f>Basicinfo!B34</f>
        <v>1260</v>
      </c>
      <c r="C34">
        <f>Basicinfo!C34</f>
        <v>1270</v>
      </c>
      <c r="D34" s="147">
        <f>'Local emissions'!AI34</f>
        <v>1.4306309318760744</v>
      </c>
      <c r="E34" s="233">
        <f>'Local emissions'!AR34</f>
        <v>6.4354560993640737</v>
      </c>
      <c r="F34" s="147">
        <f>'Summed emissions'!AI34</f>
        <v>1.4306309318760744</v>
      </c>
      <c r="G34" s="147">
        <f>'Summed emissions'!AR34</f>
        <v>6.4354560993640737</v>
      </c>
      <c r="H34" s="147">
        <f>'River loads'!BU34</f>
        <v>3.3116222066567898E-2</v>
      </c>
      <c r="I34" s="147">
        <f>'River loads'!BP34</f>
        <v>2.7688817262978688E-2</v>
      </c>
      <c r="M34" s="147"/>
      <c r="N34" s="147"/>
      <c r="O34" s="147"/>
      <c r="P34" s="147"/>
      <c r="Q34" s="147"/>
      <c r="R34" s="147"/>
    </row>
    <row r="35" spans="1:18">
      <c r="A35" t="str">
        <f>Basicinfo!A35</f>
        <v>Vökla</v>
      </c>
      <c r="B35">
        <f>Basicinfo!B35</f>
        <v>1270</v>
      </c>
      <c r="C35">
        <f>Basicinfo!C35</f>
        <v>1290</v>
      </c>
      <c r="D35" s="147">
        <f>'Local emissions'!AI35</f>
        <v>1.0805810545924379</v>
      </c>
      <c r="E35" s="233">
        <f>'Local emissions'!AR35</f>
        <v>6.334532054926159</v>
      </c>
      <c r="F35" s="147">
        <f>'Summed emissions'!AI35</f>
        <v>3.6764029884229799</v>
      </c>
      <c r="G35" s="147">
        <f>'Summed emissions'!AR35</f>
        <v>15.334177839506264</v>
      </c>
      <c r="H35" s="147">
        <f>'River loads'!BU35</f>
        <v>4.6345458575035137E-2</v>
      </c>
      <c r="I35" s="147">
        <f>'River loads'!BP35</f>
        <v>4.0966727790703227E-2</v>
      </c>
      <c r="M35" s="147"/>
      <c r="N35" s="147"/>
      <c r="O35" s="147"/>
      <c r="P35" s="147"/>
      <c r="Q35" s="147"/>
      <c r="R35" s="147"/>
    </row>
    <row r="36" spans="1:18">
      <c r="A36" t="str">
        <f>Basicinfo!A36</f>
        <v>Ager</v>
      </c>
      <c r="B36">
        <f>Basicinfo!B36</f>
        <v>1280</v>
      </c>
      <c r="C36">
        <f>Basicinfo!C36</f>
        <v>1290</v>
      </c>
      <c r="D36" s="147">
        <f>'Local emissions'!AI36</f>
        <v>0.83400006151640349</v>
      </c>
      <c r="E36" s="233">
        <f>'Local emissions'!AR36</f>
        <v>10.93452162032354</v>
      </c>
      <c r="F36" s="147">
        <f>'Summed emissions'!AI36</f>
        <v>0.93601423683428353</v>
      </c>
      <c r="G36" s="147">
        <f>'Summed emissions'!AR36</f>
        <v>14.252161281609794</v>
      </c>
      <c r="H36" s="147">
        <f>'River loads'!BU36</f>
        <v>9.3636412930116833E-3</v>
      </c>
      <c r="I36" s="147">
        <f>'River loads'!BP36</f>
        <v>7.4508363234395414E-3</v>
      </c>
      <c r="M36" s="147"/>
      <c r="N36" s="147"/>
      <c r="O36" s="147"/>
      <c r="P36" s="147"/>
      <c r="Q36" s="147"/>
      <c r="R36" s="147"/>
    </row>
    <row r="37" spans="1:18">
      <c r="A37" t="str">
        <f>Basicinfo!A37</f>
        <v>Ager</v>
      </c>
      <c r="B37">
        <f>Basicinfo!B37</f>
        <v>1290</v>
      </c>
      <c r="C37">
        <f>Basicinfo!C37</f>
        <v>4020</v>
      </c>
      <c r="D37" s="147">
        <f>'Local emissions'!AI37</f>
        <v>7.3466948890356436</v>
      </c>
      <c r="E37" s="233">
        <f>'Local emissions'!AR37</f>
        <v>24.774606465440495</v>
      </c>
      <c r="F37" s="147">
        <f>'Summed emissions'!AI37</f>
        <v>11.959112114292907</v>
      </c>
      <c r="G37" s="147">
        <f>'Summed emissions'!AR37</f>
        <v>54.360945586556554</v>
      </c>
      <c r="H37" s="147">
        <f>'River loads'!BU37</f>
        <v>3.6525965750663164E-2</v>
      </c>
      <c r="I37" s="147">
        <f>'River loads'!BP37</f>
        <v>3.2292392044115277E-2</v>
      </c>
      <c r="M37" s="147"/>
      <c r="N37" s="147"/>
      <c r="O37" s="147"/>
      <c r="P37" s="147"/>
      <c r="Q37" s="147"/>
      <c r="R37" s="147"/>
    </row>
    <row r="38" spans="1:18">
      <c r="A38" t="str">
        <f>Basicinfo!A38</f>
        <v>Alm</v>
      </c>
      <c r="B38">
        <f>Basicinfo!B38</f>
        <v>1300</v>
      </c>
      <c r="C38">
        <f>Basicinfo!C38</f>
        <v>1310</v>
      </c>
      <c r="D38" s="147">
        <f>'Local emissions'!AI38</f>
        <v>1.2042597820734045E-2</v>
      </c>
      <c r="E38" s="233">
        <f>'Local emissions'!AR38</f>
        <v>3.3089850990191634</v>
      </c>
      <c r="F38" s="147">
        <f>'Summed emissions'!AI38</f>
        <v>1.2042597820734045E-2</v>
      </c>
      <c r="G38" s="147">
        <f>'Summed emissions'!AR38</f>
        <v>3.3089850990191634</v>
      </c>
      <c r="H38" s="147">
        <f>'River loads'!BU38</f>
        <v>7.8877176081994602E-3</v>
      </c>
      <c r="I38" s="147">
        <f>'River loads'!BP38</f>
        <v>5.0119344309084816E-3</v>
      </c>
      <c r="M38" s="147"/>
      <c r="N38" s="147"/>
      <c r="O38" s="147"/>
      <c r="P38" s="147"/>
      <c r="Q38" s="147"/>
      <c r="R38" s="147"/>
    </row>
    <row r="39" spans="1:18">
      <c r="A39" t="str">
        <f>Basicinfo!A39</f>
        <v>Alm</v>
      </c>
      <c r="B39">
        <f>Basicinfo!B39</f>
        <v>1310</v>
      </c>
      <c r="C39">
        <f>Basicinfo!C39</f>
        <v>4020</v>
      </c>
      <c r="D39" s="147">
        <f>'Local emissions'!AI39</f>
        <v>7.161059501347065</v>
      </c>
      <c r="E39" s="233">
        <f>'Local emissions'!AR39</f>
        <v>14.568003666108449</v>
      </c>
      <c r="F39" s="147">
        <f>'Summed emissions'!AI39</f>
        <v>7.1731020991677994</v>
      </c>
      <c r="G39" s="147">
        <f>'Summed emissions'!AR39</f>
        <v>17.876988765127614</v>
      </c>
      <c r="H39" s="147">
        <f>'River loads'!BU39</f>
        <v>2.7280132311819971E-2</v>
      </c>
      <c r="I39" s="147">
        <f>'River loads'!BP39</f>
        <v>1.9754073013760143E-2</v>
      </c>
      <c r="M39" s="147"/>
      <c r="N39" s="147"/>
      <c r="O39" s="147"/>
      <c r="P39" s="147"/>
      <c r="Q39" s="147"/>
      <c r="R39" s="147"/>
    </row>
    <row r="40" spans="1:18">
      <c r="A40" t="str">
        <f>Basicinfo!A40</f>
        <v>Krems</v>
      </c>
      <c r="B40">
        <f>Basicinfo!B40</f>
        <v>1320</v>
      </c>
      <c r="C40">
        <f>Basicinfo!C40</f>
        <v>1330</v>
      </c>
      <c r="D40" s="147">
        <f>'Local emissions'!AI40</f>
        <v>9.9190036637577652</v>
      </c>
      <c r="E40" s="233">
        <f>'Local emissions'!AR40</f>
        <v>15.390929171234518</v>
      </c>
      <c r="F40" s="147">
        <f>'Summed emissions'!AI40</f>
        <v>9.9190036637577652</v>
      </c>
      <c r="G40" s="147">
        <f>'Summed emissions'!AR40</f>
        <v>15.390929171234518</v>
      </c>
      <c r="H40" s="147">
        <f>'River loads'!BU40</f>
        <v>0.13324425994177838</v>
      </c>
      <c r="I40" s="147">
        <f>'River loads'!BP40</f>
        <v>0.10562934719708825</v>
      </c>
      <c r="M40" s="147"/>
      <c r="N40" s="147"/>
      <c r="O40" s="147"/>
      <c r="P40" s="147"/>
      <c r="Q40" s="147"/>
      <c r="R40" s="147"/>
    </row>
    <row r="41" spans="1:18">
      <c r="A41" t="str">
        <f>Basicinfo!A41</f>
        <v>Krems</v>
      </c>
      <c r="B41">
        <f>Basicinfo!B41</f>
        <v>1330</v>
      </c>
      <c r="C41">
        <f>Basicinfo!C41</f>
        <v>4020</v>
      </c>
      <c r="D41" s="147">
        <f>'Local emissions'!AI41</f>
        <v>20.484842254987907</v>
      </c>
      <c r="E41" s="233">
        <f>'Local emissions'!AR41</f>
        <v>29.431712145658377</v>
      </c>
      <c r="F41" s="147">
        <f>'Summed emissions'!AI41</f>
        <v>30.403845918745674</v>
      </c>
      <c r="G41" s="147">
        <f>'Summed emissions'!AR41</f>
        <v>44.822641316892899</v>
      </c>
      <c r="H41" s="147">
        <f>'River loads'!BU41</f>
        <v>0.16879882599510843</v>
      </c>
      <c r="I41" s="147">
        <f>'River loads'!BP41</f>
        <v>0.1269219536742402</v>
      </c>
      <c r="M41" s="147"/>
      <c r="N41" s="147"/>
      <c r="O41" s="147"/>
      <c r="P41" s="147"/>
      <c r="Q41" s="147"/>
      <c r="R41" s="147"/>
    </row>
    <row r="42" spans="1:18">
      <c r="A42" t="str">
        <f>Basicinfo!A42</f>
        <v>Ipfbach</v>
      </c>
      <c r="B42">
        <f>Basicinfo!B42</f>
        <v>1340</v>
      </c>
      <c r="C42">
        <f>Basicinfo!C42</f>
        <v>5010</v>
      </c>
      <c r="D42" s="147">
        <f>'Local emissions'!AI42</f>
        <v>9.5189795015156982</v>
      </c>
      <c r="E42" s="233">
        <f>'Local emissions'!AR42</f>
        <v>12.719050941027106</v>
      </c>
      <c r="F42" s="147">
        <f>'Summed emissions'!AI42</f>
        <v>9.5189795015156982</v>
      </c>
      <c r="G42" s="147">
        <f>'Summed emissions'!AR42</f>
        <v>12.719050941027106</v>
      </c>
      <c r="H42" s="147">
        <f>'River loads'!BU42</f>
        <v>0.22192437587630451</v>
      </c>
      <c r="I42" s="147">
        <f>'River loads'!BP42</f>
        <v>0.16949693598279228</v>
      </c>
      <c r="M42" s="147"/>
      <c r="N42" s="147"/>
      <c r="O42" s="147"/>
      <c r="P42" s="147"/>
      <c r="Q42" s="147"/>
      <c r="R42" s="147"/>
    </row>
    <row r="43" spans="1:18">
      <c r="A43" t="str">
        <f>Basicinfo!A43</f>
        <v>Kristeinerbach</v>
      </c>
      <c r="B43">
        <f>Basicinfo!B43</f>
        <v>1350</v>
      </c>
      <c r="C43">
        <f>Basicinfo!C43</f>
        <v>5010</v>
      </c>
      <c r="D43" s="147">
        <f>'Local emissions'!AI43</f>
        <v>9.0834265838924253</v>
      </c>
      <c r="E43" s="233">
        <f>'Local emissions'!AR43</f>
        <v>13.04572137346149</v>
      </c>
      <c r="F43" s="147">
        <f>'Summed emissions'!AI43</f>
        <v>9.0834265838924253</v>
      </c>
      <c r="G43" s="147">
        <f>'Summed emissions'!AR43</f>
        <v>13.04572137346149</v>
      </c>
      <c r="H43" s="147">
        <f>'River loads'!BU43</f>
        <v>0.18711097010011987</v>
      </c>
      <c r="I43" s="147">
        <f>'River loads'!BP43</f>
        <v>0.14603821134660763</v>
      </c>
      <c r="M43" s="147"/>
      <c r="N43" s="147"/>
      <c r="O43" s="147"/>
      <c r="P43" s="147"/>
      <c r="Q43" s="147"/>
      <c r="R43" s="147"/>
    </row>
    <row r="44" spans="1:18">
      <c r="A44" t="str">
        <f>Basicinfo!A44</f>
        <v>Kleine Gusen</v>
      </c>
      <c r="B44">
        <f>Basicinfo!B44</f>
        <v>1360</v>
      </c>
      <c r="C44">
        <f>Basicinfo!C44</f>
        <v>1370</v>
      </c>
      <c r="D44" s="147">
        <f>'Local emissions'!AI44</f>
        <v>1.3304984398210502</v>
      </c>
      <c r="E44" s="233">
        <f>'Local emissions'!AR44</f>
        <v>5.3910658704717154</v>
      </c>
      <c r="F44" s="147">
        <f>'Summed emissions'!AI44</f>
        <v>1.3304984398210502</v>
      </c>
      <c r="G44" s="147">
        <f>'Summed emissions'!AR44</f>
        <v>5.3910658704717154</v>
      </c>
      <c r="H44" s="147">
        <f>'River loads'!BU44</f>
        <v>0.12822574022161268</v>
      </c>
      <c r="I44" s="147">
        <f>'River loads'!BP44</f>
        <v>0.12057728990031132</v>
      </c>
      <c r="M44" s="147"/>
      <c r="N44" s="147"/>
      <c r="O44" s="147"/>
      <c r="P44" s="147"/>
      <c r="Q44" s="147"/>
      <c r="R44" s="147"/>
    </row>
    <row r="45" spans="1:18">
      <c r="A45" t="str">
        <f>Basicinfo!A45</f>
        <v>Große Gusen</v>
      </c>
      <c r="B45">
        <f>Basicinfo!B45</f>
        <v>1370</v>
      </c>
      <c r="C45">
        <f>Basicinfo!C45</f>
        <v>1380</v>
      </c>
      <c r="D45" s="147">
        <f>'Local emissions'!AI45</f>
        <v>1.447226276314316</v>
      </c>
      <c r="E45" s="233">
        <f>'Local emissions'!AR45</f>
        <v>7.0524877064668399</v>
      </c>
      <c r="F45" s="147">
        <f>'Summed emissions'!AI45</f>
        <v>2.7777247161353662</v>
      </c>
      <c r="G45" s="147">
        <f>'Summed emissions'!AR45</f>
        <v>12.443553576938555</v>
      </c>
      <c r="H45" s="147">
        <f>'River loads'!BU45</f>
        <v>0.14175350795638222</v>
      </c>
      <c r="I45" s="147">
        <f>'River loads'!BP45</f>
        <v>0.13444671298883323</v>
      </c>
      <c r="M45" s="147"/>
      <c r="N45" s="147"/>
      <c r="O45" s="147"/>
      <c r="P45" s="147"/>
      <c r="Q45" s="147"/>
      <c r="R45" s="147"/>
    </row>
    <row r="46" spans="1:18">
      <c r="A46" t="str">
        <f>Basicinfo!A46</f>
        <v>Gusen</v>
      </c>
      <c r="B46">
        <f>Basicinfo!B46</f>
        <v>1380</v>
      </c>
      <c r="C46">
        <f>Basicinfo!C46</f>
        <v>5010</v>
      </c>
      <c r="D46" s="147">
        <f>'Local emissions'!AI46</f>
        <v>4.202913657763367</v>
      </c>
      <c r="E46" s="233">
        <f>'Local emissions'!AR46</f>
        <v>5.6783131879680626</v>
      </c>
      <c r="F46" s="147">
        <f>'Summed emissions'!AI46</f>
        <v>6.9806383738987332</v>
      </c>
      <c r="G46" s="147">
        <f>'Summed emissions'!AR46</f>
        <v>18.121866764906621</v>
      </c>
      <c r="H46" s="147">
        <f>'River loads'!BU46</f>
        <v>0.14269888946050507</v>
      </c>
      <c r="I46" s="147">
        <f>'River loads'!BP46</f>
        <v>0.12460496360701849</v>
      </c>
      <c r="M46" s="147"/>
      <c r="N46" s="147"/>
      <c r="O46" s="147"/>
      <c r="P46" s="147"/>
      <c r="Q46" s="147"/>
      <c r="R46" s="147"/>
    </row>
    <row r="47" spans="1:18">
      <c r="A47" t="str">
        <f>Basicinfo!A47</f>
        <v>Reichramming Großer Bach</v>
      </c>
      <c r="B47">
        <f>Basicinfo!B47</f>
        <v>1520</v>
      </c>
      <c r="C47">
        <f>Basicinfo!C47</f>
        <v>4080</v>
      </c>
      <c r="D47" s="147">
        <f>'Local emissions'!AI47</f>
        <v>5.9491334103822978E-2</v>
      </c>
      <c r="E47" s="233">
        <f>'Local emissions'!AR47</f>
        <v>2.8435394861010179</v>
      </c>
      <c r="F47" s="147">
        <f>'Summed emissions'!AI47</f>
        <v>5.9491334103822978E-2</v>
      </c>
      <c r="G47" s="147">
        <f>'Summed emissions'!AR47</f>
        <v>2.8435394861010179</v>
      </c>
      <c r="H47" s="147">
        <f>'River loads'!BU47</f>
        <v>1.2269101261775685E-2</v>
      </c>
      <c r="I47" s="147">
        <f>'River loads'!BP47</f>
        <v>8.543590940049247E-3</v>
      </c>
      <c r="M47" s="147"/>
      <c r="N47" s="147"/>
      <c r="O47" s="147"/>
      <c r="P47" s="147"/>
      <c r="Q47" s="147"/>
      <c r="R47" s="147"/>
    </row>
    <row r="48" spans="1:18">
      <c r="A48" t="str">
        <f>Basicinfo!A48</f>
        <v>Teichl</v>
      </c>
      <c r="B48">
        <f>Basicinfo!B48</f>
        <v>1530</v>
      </c>
      <c r="C48">
        <f>Basicinfo!C48</f>
        <v>1560</v>
      </c>
      <c r="D48" s="147">
        <f>'Local emissions'!AI48</f>
        <v>0.20624069584986648</v>
      </c>
      <c r="E48" s="233">
        <f>'Local emissions'!AR48</f>
        <v>7.6058758942494649</v>
      </c>
      <c r="F48" s="147">
        <f>'Summed emissions'!AI48</f>
        <v>0.20624069584986648</v>
      </c>
      <c r="G48" s="147">
        <f>'Summed emissions'!AR48</f>
        <v>7.6058758942494649</v>
      </c>
      <c r="H48" s="147">
        <f>'River loads'!BU48</f>
        <v>1.682611204851632E-2</v>
      </c>
      <c r="I48" s="147">
        <f>'River loads'!BP48</f>
        <v>1.4881357422346211E-2</v>
      </c>
      <c r="M48" s="147"/>
      <c r="N48" s="147"/>
      <c r="O48" s="147"/>
      <c r="P48" s="147"/>
      <c r="Q48" s="147"/>
      <c r="R48" s="147"/>
    </row>
    <row r="49" spans="1:18">
      <c r="A49" t="str">
        <f>Basicinfo!A49</f>
        <v>Krumme Steyrling</v>
      </c>
      <c r="B49">
        <f>Basicinfo!B49</f>
        <v>1540</v>
      </c>
      <c r="C49">
        <f>Basicinfo!C49</f>
        <v>1560</v>
      </c>
      <c r="D49" s="147">
        <f>'Local emissions'!AI49</f>
        <v>7.5392575067049952E-2</v>
      </c>
      <c r="E49" s="233">
        <f>'Local emissions'!AR49</f>
        <v>2.053345637672392</v>
      </c>
      <c r="F49" s="147">
        <f>'Summed emissions'!AI49</f>
        <v>7.5392575067049952E-2</v>
      </c>
      <c r="G49" s="147">
        <f>'Summed emissions'!AR49</f>
        <v>2.053345637672392</v>
      </c>
      <c r="H49" s="147">
        <f>'River loads'!BU49</f>
        <v>1.3466466305241818E-2</v>
      </c>
      <c r="I49" s="147">
        <f>'River loads'!BP49</f>
        <v>7.9903433871042553E-3</v>
      </c>
      <c r="M49" s="147"/>
      <c r="N49" s="147"/>
      <c r="O49" s="147"/>
      <c r="P49" s="147"/>
      <c r="Q49" s="147"/>
      <c r="R49" s="147"/>
    </row>
    <row r="50" spans="1:18">
      <c r="A50" t="str">
        <f>Basicinfo!A50</f>
        <v>Steyr</v>
      </c>
      <c r="B50">
        <f>Basicinfo!B50</f>
        <v>1550</v>
      </c>
      <c r="C50">
        <f>Basicinfo!C50</f>
        <v>1560</v>
      </c>
      <c r="D50" s="147">
        <f>'Local emissions'!AI50</f>
        <v>4.8880652437132428E-3</v>
      </c>
      <c r="E50" s="233">
        <f>'Local emissions'!AR50</f>
        <v>0.45361675116486172</v>
      </c>
      <c r="F50" s="147">
        <f>'Summed emissions'!AI50</f>
        <v>4.8880652437132428E-3</v>
      </c>
      <c r="G50" s="147">
        <f>'Summed emissions'!AR50</f>
        <v>0.45361675116486172</v>
      </c>
      <c r="H50" s="147">
        <f>'River loads'!BU50</f>
        <v>8.9048714971147781E-3</v>
      </c>
      <c r="I50" s="147">
        <f>'River loads'!BP50</f>
        <v>6.3257513094037128E-3</v>
      </c>
      <c r="M50" s="147"/>
      <c r="N50" s="147"/>
      <c r="O50" s="147"/>
      <c r="P50" s="147"/>
      <c r="Q50" s="147"/>
      <c r="R50" s="147"/>
    </row>
    <row r="51" spans="1:18">
      <c r="A51" t="str">
        <f>Basicinfo!A51</f>
        <v>Steyr</v>
      </c>
      <c r="B51">
        <f>Basicinfo!B51</f>
        <v>1560</v>
      </c>
      <c r="C51">
        <f>Basicinfo!C51</f>
        <v>4080</v>
      </c>
      <c r="D51" s="147">
        <f>'Local emissions'!AI51</f>
        <v>3.0255791344902025</v>
      </c>
      <c r="E51" s="233">
        <f>'Local emissions'!AR51</f>
        <v>13.653966974230634</v>
      </c>
      <c r="F51" s="147">
        <f>'Summed emissions'!AI51</f>
        <v>3.3121004706508321</v>
      </c>
      <c r="G51" s="147">
        <f>'Summed emissions'!AR51</f>
        <v>23.766805257317355</v>
      </c>
      <c r="H51" s="147">
        <f>'River loads'!BU51</f>
        <v>1.7888936296150782E-2</v>
      </c>
      <c r="I51" s="147">
        <f>'River loads'!BP51</f>
        <v>1.3318536088836567E-2</v>
      </c>
      <c r="M51" s="147"/>
      <c r="N51" s="147"/>
      <c r="O51" s="147"/>
      <c r="P51" s="147"/>
      <c r="Q51" s="147"/>
      <c r="R51" s="147"/>
    </row>
    <row r="52" spans="1:18">
      <c r="A52" t="str">
        <f>Basicinfo!A52</f>
        <v>Feldaist</v>
      </c>
      <c r="B52">
        <f>Basicinfo!B52</f>
        <v>1570</v>
      </c>
      <c r="C52">
        <f>Basicinfo!C52</f>
        <v>1580</v>
      </c>
      <c r="D52" s="147">
        <f>'Local emissions'!AI52</f>
        <v>0.26817380295073623</v>
      </c>
      <c r="E52" s="233">
        <f>'Local emissions'!AR52</f>
        <v>1.7967182545749898</v>
      </c>
      <c r="F52" s="147">
        <f>'Summed emissions'!AI52</f>
        <v>0.26817380295073623</v>
      </c>
      <c r="G52" s="147">
        <f>'Summed emissions'!AR52</f>
        <v>1.7967182545749898</v>
      </c>
      <c r="H52" s="147">
        <f>'River loads'!BU52</f>
        <v>5.9731141916982193E-2</v>
      </c>
      <c r="I52" s="147">
        <f>'River loads'!BP52</f>
        <v>5.1462287135275293E-2</v>
      </c>
      <c r="M52" s="147"/>
      <c r="N52" s="147"/>
      <c r="O52" s="147"/>
      <c r="P52" s="147"/>
      <c r="Q52" s="147"/>
      <c r="R52" s="147"/>
    </row>
    <row r="53" spans="1:18">
      <c r="A53" t="str">
        <f>Basicinfo!A53</f>
        <v>Feldaist</v>
      </c>
      <c r="B53">
        <f>Basicinfo!B53</f>
        <v>1580</v>
      </c>
      <c r="C53">
        <f>Basicinfo!C53</f>
        <v>1600</v>
      </c>
      <c r="D53" s="147">
        <f>'Local emissions'!AI53</f>
        <v>1.4175594087915224</v>
      </c>
      <c r="E53" s="233">
        <f>'Local emissions'!AR53</f>
        <v>10.498298270697861</v>
      </c>
      <c r="F53" s="147">
        <f>'Summed emissions'!AI53</f>
        <v>1.6857332117422588</v>
      </c>
      <c r="G53" s="147">
        <f>'Summed emissions'!AR53</f>
        <v>12.29501652527285</v>
      </c>
      <c r="H53" s="147">
        <f>'River loads'!BU53</f>
        <v>0.11093324927493101</v>
      </c>
      <c r="I53" s="147">
        <f>'River loads'!BP53</f>
        <v>0.10864720537501533</v>
      </c>
      <c r="M53" s="147"/>
      <c r="N53" s="147"/>
      <c r="O53" s="147"/>
      <c r="P53" s="147"/>
      <c r="Q53" s="147"/>
      <c r="R53" s="147"/>
    </row>
    <row r="54" spans="1:18">
      <c r="A54" t="str">
        <f>Basicinfo!A54</f>
        <v>Waldaist</v>
      </c>
      <c r="B54">
        <f>Basicinfo!B54</f>
        <v>1590</v>
      </c>
      <c r="C54">
        <f>Basicinfo!C54</f>
        <v>1600</v>
      </c>
      <c r="D54" s="147">
        <f>'Local emissions'!AI54</f>
        <v>0.59100850334475763</v>
      </c>
      <c r="E54" s="233">
        <f>'Local emissions'!AR54</f>
        <v>6.9396933861528511</v>
      </c>
      <c r="F54" s="147">
        <f>'Summed emissions'!AI54</f>
        <v>0.59100850334475763</v>
      </c>
      <c r="G54" s="147">
        <f>'Summed emissions'!AR54</f>
        <v>6.9396933861528511</v>
      </c>
      <c r="H54" s="147">
        <f>'River loads'!BU54</f>
        <v>4.4337850271206687E-2</v>
      </c>
      <c r="I54" s="147">
        <f>'River loads'!BP54</f>
        <v>4.0220296257208146E-2</v>
      </c>
      <c r="M54" s="147"/>
      <c r="N54" s="147"/>
      <c r="O54" s="147"/>
      <c r="P54" s="147"/>
      <c r="Q54" s="147"/>
      <c r="R54" s="147"/>
    </row>
    <row r="55" spans="1:18">
      <c r="A55" t="str">
        <f>Basicinfo!A55</f>
        <v>Aist</v>
      </c>
      <c r="B55">
        <f>Basicinfo!B55</f>
        <v>1600</v>
      </c>
      <c r="C55">
        <f>Basicinfo!C55</f>
        <v>5020</v>
      </c>
      <c r="D55" s="147">
        <f>'Local emissions'!AI55</f>
        <v>2.0207907905121041</v>
      </c>
      <c r="E55" s="233">
        <f>'Local emissions'!AR55</f>
        <v>5.1561033470478428</v>
      </c>
      <c r="F55" s="147">
        <f>'Summed emissions'!AI55</f>
        <v>4.2975325055991203</v>
      </c>
      <c r="G55" s="147">
        <f>'Summed emissions'!AR55</f>
        <v>24.390813258473543</v>
      </c>
      <c r="H55" s="147">
        <f>'River loads'!BU55</f>
        <v>7.6762175716749051E-2</v>
      </c>
      <c r="I55" s="147">
        <f>'River loads'!BP55</f>
        <v>7.0852067289006504E-2</v>
      </c>
      <c r="M55" s="147"/>
      <c r="N55" s="147"/>
      <c r="O55" s="147"/>
      <c r="P55" s="147"/>
      <c r="Q55" s="147"/>
      <c r="R55" s="147"/>
    </row>
    <row r="56" spans="1:18">
      <c r="A56" t="str">
        <f>Basicinfo!A56</f>
        <v>Klammbach</v>
      </c>
      <c r="B56">
        <f>Basicinfo!B56</f>
        <v>1620</v>
      </c>
      <c r="C56">
        <f>Basicinfo!C56</f>
        <v>1640</v>
      </c>
      <c r="D56" s="147">
        <f>'Local emissions'!AI56</f>
        <v>1.6513531229857261</v>
      </c>
      <c r="E56" s="233">
        <f>'Local emissions'!AR56</f>
        <v>3.6600166178917353</v>
      </c>
      <c r="F56" s="147">
        <f>'Summed emissions'!AI56</f>
        <v>1.6513531229857261</v>
      </c>
      <c r="G56" s="147">
        <f>'Summed emissions'!AR56</f>
        <v>3.6600166178917353</v>
      </c>
      <c r="H56" s="147">
        <f>'River loads'!BU56</f>
        <v>7.2701817246107844E-2</v>
      </c>
      <c r="I56" s="147">
        <f>'River loads'!BP56</f>
        <v>6.1637848450431937E-2</v>
      </c>
      <c r="M56" s="147"/>
      <c r="N56" s="147"/>
      <c r="O56" s="147"/>
      <c r="P56" s="147"/>
      <c r="Q56" s="147"/>
      <c r="R56" s="147"/>
    </row>
    <row r="57" spans="1:18">
      <c r="A57" t="str">
        <f>Basicinfo!A57</f>
        <v>Klammleitenbach</v>
      </c>
      <c r="B57">
        <f>Basicinfo!B57</f>
        <v>1630</v>
      </c>
      <c r="C57">
        <f>Basicinfo!C57</f>
        <v>1640</v>
      </c>
      <c r="D57" s="147">
        <f>'Local emissions'!AI57</f>
        <v>7.2862744555248382E-2</v>
      </c>
      <c r="E57" s="233">
        <f>'Local emissions'!AR57</f>
        <v>1.4989543216458074</v>
      </c>
      <c r="F57" s="147">
        <f>'Summed emissions'!AI57</f>
        <v>7.2862744555248382E-2</v>
      </c>
      <c r="G57" s="147">
        <f>'Summed emissions'!AR57</f>
        <v>1.4989543216458074</v>
      </c>
      <c r="H57" s="147">
        <f>'River loads'!BU57</f>
        <v>3.3531835804240288E-2</v>
      </c>
      <c r="I57" s="147">
        <f>'River loads'!BP57</f>
        <v>2.8396276998939818E-2</v>
      </c>
      <c r="M57" s="147"/>
      <c r="N57" s="147"/>
      <c r="O57" s="147"/>
      <c r="P57" s="147"/>
      <c r="Q57" s="147"/>
      <c r="R57" s="147"/>
    </row>
    <row r="58" spans="1:18">
      <c r="A58" t="str">
        <f>Basicinfo!A58</f>
        <v>Große Naarn</v>
      </c>
      <c r="B58">
        <f>Basicinfo!B58</f>
        <v>1640</v>
      </c>
      <c r="C58">
        <f>Basicinfo!C58</f>
        <v>5020</v>
      </c>
      <c r="D58" s="147">
        <f>'Local emissions'!AI58</f>
        <v>2.9570708351091635</v>
      </c>
      <c r="E58" s="233">
        <f>'Local emissions'!AR58</f>
        <v>9.205592745132062</v>
      </c>
      <c r="F58" s="147">
        <f>'Summed emissions'!AI58</f>
        <v>4.6812867026501381</v>
      </c>
      <c r="G58" s="147">
        <f>'Summed emissions'!AR58</f>
        <v>14.364563684669605</v>
      </c>
      <c r="H58" s="147">
        <f>'River loads'!BU58</f>
        <v>5.7151008800293168E-2</v>
      </c>
      <c r="I58" s="147">
        <f>'River loads'!BP58</f>
        <v>4.8202430941120242E-2</v>
      </c>
      <c r="M58" s="147"/>
      <c r="N58" s="147"/>
      <c r="O58" s="147"/>
      <c r="P58" s="147"/>
      <c r="Q58" s="147"/>
      <c r="R58" s="147"/>
    </row>
    <row r="59" spans="1:18">
      <c r="A59" t="str">
        <f>Basicinfo!A59</f>
        <v>Kartenbach</v>
      </c>
      <c r="B59">
        <f>Basicinfo!B59</f>
        <v>3650</v>
      </c>
      <c r="C59">
        <f>Basicinfo!C59</f>
        <v>0</v>
      </c>
      <c r="D59" s="147">
        <f>'Local emissions'!AI59</f>
        <v>0.48085011292562252</v>
      </c>
      <c r="E59" s="233">
        <f>'Local emissions'!AR59</f>
        <v>2.2635513469814788</v>
      </c>
      <c r="F59" s="147">
        <f>'Summed emissions'!AI59</f>
        <v>0.48085011292562252</v>
      </c>
      <c r="G59" s="147">
        <f>'Summed emissions'!AR59</f>
        <v>2.2635513469814788</v>
      </c>
      <c r="H59" s="147">
        <f>'River loads'!BU59</f>
        <v>7.0668897740502806E-2</v>
      </c>
      <c r="I59" s="147">
        <f>'River loads'!BP59</f>
        <v>6.4562965541716102E-2</v>
      </c>
      <c r="M59" s="147"/>
      <c r="N59" s="147"/>
      <c r="O59" s="147"/>
      <c r="P59" s="147"/>
      <c r="Q59" s="147"/>
      <c r="R59" s="147"/>
    </row>
    <row r="60" spans="1:18">
      <c r="A60" t="str">
        <f>Basicinfo!A60</f>
        <v>Maltsch</v>
      </c>
      <c r="B60">
        <f>Basicinfo!B60</f>
        <v>3660</v>
      </c>
      <c r="C60">
        <f>Basicinfo!C60</f>
        <v>0</v>
      </c>
      <c r="D60" s="147">
        <f>'Local emissions'!AI60</f>
        <v>0.17453084034857094</v>
      </c>
      <c r="E60" s="233">
        <f>'Local emissions'!AR60</f>
        <v>2.1274889450764567</v>
      </c>
      <c r="F60" s="147">
        <f>'Summed emissions'!AI60</f>
        <v>0.17453084034857094</v>
      </c>
      <c r="G60" s="147">
        <f>'Summed emissions'!AR60</f>
        <v>2.1274889450764567</v>
      </c>
      <c r="H60" s="147">
        <f>'River loads'!BU60</f>
        <v>4.4527355791951655E-2</v>
      </c>
      <c r="I60" s="147">
        <f>'River loads'!BP60</f>
        <v>3.9193019142517389E-2</v>
      </c>
      <c r="M60" s="147"/>
      <c r="N60" s="147"/>
      <c r="O60" s="147"/>
      <c r="P60" s="147"/>
      <c r="Q60" s="147"/>
      <c r="R60" s="147"/>
    </row>
    <row r="61" spans="1:18">
      <c r="A61" t="str">
        <f>Basicinfo!A61</f>
        <v>Traun</v>
      </c>
      <c r="B61">
        <f>Basicinfo!B61</f>
        <v>4010</v>
      </c>
      <c r="C61">
        <f>Basicinfo!C61</f>
        <v>4020</v>
      </c>
      <c r="D61" s="147">
        <f>'Local emissions'!AI61</f>
        <v>0.11177817387264319</v>
      </c>
      <c r="E61" s="233">
        <f>'Local emissions'!AR61</f>
        <v>37.643060262216309</v>
      </c>
      <c r="F61" s="147">
        <f>'Summed emissions'!AI61</f>
        <v>0.26195213787662242</v>
      </c>
      <c r="G61" s="147">
        <f>'Summed emissions'!AR61</f>
        <v>62.620218521148402</v>
      </c>
      <c r="H61" s="147">
        <f>'River loads'!BU61</f>
        <v>2.0601503532891807E-2</v>
      </c>
      <c r="I61" s="147">
        <f>'River loads'!BP61</f>
        <v>1.4839546698630079E-2</v>
      </c>
      <c r="M61" s="147"/>
      <c r="N61" s="147"/>
      <c r="O61" s="147"/>
      <c r="P61" s="147"/>
      <c r="Q61" s="147"/>
      <c r="R61" s="147"/>
    </row>
    <row r="62" spans="1:18">
      <c r="A62" t="str">
        <f>Basicinfo!A62</f>
        <v>Traun</v>
      </c>
      <c r="B62">
        <f>Basicinfo!B62</f>
        <v>4020</v>
      </c>
      <c r="C62">
        <f>Basicinfo!C62</f>
        <v>5010</v>
      </c>
      <c r="D62" s="147">
        <f>'Local emissions'!AI62</f>
        <v>41.400266207878119</v>
      </c>
      <c r="E62" s="233">
        <f>'Local emissions'!AR62</f>
        <v>92.435540549411613</v>
      </c>
      <c r="F62" s="147">
        <f>'Summed emissions'!AI62</f>
        <v>91.198278477961111</v>
      </c>
      <c r="G62" s="147">
        <f>'Summed emissions'!AR62</f>
        <v>272.11633473913707</v>
      </c>
      <c r="H62" s="147">
        <f>'River loads'!BU62</f>
        <v>4.3451735760915274E-2</v>
      </c>
      <c r="I62" s="147">
        <f>'River loads'!BP62</f>
        <v>3.5124575949926962E-2</v>
      </c>
      <c r="M62" s="147"/>
      <c r="N62" s="147"/>
      <c r="O62" s="147"/>
      <c r="P62" s="147"/>
      <c r="Q62" s="147"/>
      <c r="R62" s="147"/>
    </row>
    <row r="63" spans="1:18">
      <c r="A63" t="str">
        <f>Basicinfo!A63</f>
        <v>Enns</v>
      </c>
      <c r="B63">
        <f>Basicinfo!B63</f>
        <v>4080</v>
      </c>
      <c r="C63">
        <f>Basicinfo!C63</f>
        <v>5020</v>
      </c>
      <c r="D63" s="147">
        <f>'Local emissions'!AI63</f>
        <v>6.4575276818181564</v>
      </c>
      <c r="E63" s="233">
        <f>'Local emissions'!AR63</f>
        <v>30.234568954665395</v>
      </c>
      <c r="F63" s="147">
        <f>'Summed emissions'!AI63</f>
        <v>10.758683711357307</v>
      </c>
      <c r="G63" s="147">
        <f>'Summed emissions'!AR63</f>
        <v>164.02369086026624</v>
      </c>
      <c r="H63" s="147">
        <f>'River loads'!BU63</f>
        <v>2.1868393650677949E-2</v>
      </c>
      <c r="I63" s="147">
        <f>'River loads'!BP63</f>
        <v>1.8702763570020403E-2</v>
      </c>
      <c r="M63" s="147"/>
      <c r="N63" s="147"/>
      <c r="O63" s="147"/>
      <c r="P63" s="147"/>
      <c r="Q63" s="147"/>
      <c r="R63" s="147"/>
    </row>
    <row r="64" spans="1:18">
      <c r="A64" t="str">
        <f>Basicinfo!A64</f>
        <v>Donau</v>
      </c>
      <c r="B64">
        <f>Basicinfo!B64</f>
        <v>4990</v>
      </c>
      <c r="C64">
        <f>Basicinfo!C64</f>
        <v>5000</v>
      </c>
      <c r="D64" s="147">
        <f>'Local emissions'!AI64</f>
        <v>1.7894238074658206</v>
      </c>
      <c r="E64" s="233">
        <f>'Local emissions'!AR64</f>
        <v>6.1472663184800709</v>
      </c>
      <c r="F64" s="147">
        <f>'Summed emissions'!AI64</f>
        <v>75.185077208137571</v>
      </c>
      <c r="G64" s="147">
        <f>'Summed emissions'!AR64</f>
        <v>142.52123777294008</v>
      </c>
      <c r="H64" s="147">
        <f>'River loads'!BU64</f>
        <v>9.8646086636145699E-2</v>
      </c>
      <c r="I64" s="147">
        <f>'River loads'!BP64</f>
        <v>8.3393659271101317E-2</v>
      </c>
      <c r="M64" s="147"/>
      <c r="N64" s="147"/>
      <c r="O64" s="147"/>
      <c r="P64" s="147"/>
      <c r="Q64" s="147"/>
      <c r="R64" s="147"/>
    </row>
    <row r="65" spans="1:18">
      <c r="A65" t="str">
        <f>Basicinfo!A65</f>
        <v>Donau</v>
      </c>
      <c r="B65">
        <f>Basicinfo!B65</f>
        <v>5000</v>
      </c>
      <c r="C65">
        <f>Basicinfo!C65</f>
        <v>5010</v>
      </c>
      <c r="D65" s="147">
        <f>'Local emissions'!AI65</f>
        <v>2.8048376308142515</v>
      </c>
      <c r="E65" s="233">
        <f>'Local emissions'!AR65</f>
        <v>10.131033230821778</v>
      </c>
      <c r="F65" s="147">
        <f>'Summed emissions'!AI65</f>
        <v>135.30815857371306</v>
      </c>
      <c r="G65" s="147">
        <f>'Summed emissions'!AR65</f>
        <v>275.07145681854536</v>
      </c>
      <c r="H65" s="147">
        <f>'River loads'!BU65</f>
        <v>8.4826886531200546E-2</v>
      </c>
      <c r="I65" s="147">
        <f>'River loads'!BP65</f>
        <v>7.069741368618733E-2</v>
      </c>
      <c r="M65" s="147"/>
      <c r="N65" s="147"/>
      <c r="O65" s="147"/>
      <c r="P65" s="147"/>
      <c r="Q65" s="147"/>
      <c r="R65" s="147"/>
    </row>
    <row r="66" spans="1:18">
      <c r="A66" t="str">
        <f>Basicinfo!A66</f>
        <v>Donau</v>
      </c>
      <c r="B66">
        <f>Basicinfo!B66</f>
        <v>5010</v>
      </c>
      <c r="C66">
        <f>Basicinfo!C66</f>
        <v>5020</v>
      </c>
      <c r="D66" s="147">
        <f>'Local emissions'!AI66</f>
        <v>3.9852069770424885</v>
      </c>
      <c r="E66" s="233">
        <f>'Local emissions'!AR66</f>
        <v>74.787305599729962</v>
      </c>
      <c r="F66" s="147">
        <f>'Summed emissions'!AI66</f>
        <v>256.52032055692706</v>
      </c>
      <c r="G66" s="147">
        <f>'Summed emissions'!AR66</f>
        <v>669.25738978581614</v>
      </c>
      <c r="H66" s="147">
        <f>'River loads'!BU66</f>
        <v>6.7904047965280059E-2</v>
      </c>
      <c r="I66" s="147">
        <f>'River loads'!BP66</f>
        <v>5.7642571288829804E-2</v>
      </c>
      <c r="M66" s="147"/>
      <c r="N66" s="147"/>
      <c r="O66" s="147"/>
      <c r="P66" s="147"/>
      <c r="Q66" s="147"/>
      <c r="R66" s="147"/>
    </row>
    <row r="67" spans="1:18">
      <c r="A67" t="str">
        <f>Basicinfo!A67</f>
        <v>Donau</v>
      </c>
      <c r="B67">
        <f>Basicinfo!B67</f>
        <v>5020</v>
      </c>
      <c r="C67">
        <f>Basicinfo!C67</f>
        <v>0</v>
      </c>
      <c r="D67" s="147">
        <f>'Local emissions'!AI67</f>
        <v>9.7226405011584518</v>
      </c>
      <c r="E67" s="233">
        <f>'Local emissions'!AR67</f>
        <v>19.708048271772611</v>
      </c>
      <c r="F67" s="147">
        <f>'Summed emissions'!AI67</f>
        <v>285.98046397769207</v>
      </c>
      <c r="G67" s="147">
        <f>'Summed emissions'!AR67</f>
        <v>891.74450586099829</v>
      </c>
      <c r="H67" s="147">
        <f>'River loads'!BU67</f>
        <v>4.6708776752156199E-2</v>
      </c>
      <c r="I67" s="147">
        <f>'River loads'!BP67</f>
        <v>3.9781367369728253E-2</v>
      </c>
      <c r="M67" s="147"/>
      <c r="N67" s="147"/>
      <c r="O67" s="147"/>
      <c r="P67" s="147"/>
      <c r="Q67" s="147"/>
      <c r="R67" s="147"/>
    </row>
    <row r="68" spans="1:18">
      <c r="A68" t="str">
        <f>Basicinfo!A68</f>
        <v>Talbach</v>
      </c>
      <c r="B68">
        <f>Basicinfo!B68</f>
        <v>1390</v>
      </c>
      <c r="C68">
        <f>Basicinfo!C68</f>
        <v>4050</v>
      </c>
      <c r="D68" s="147">
        <f>'Local emissions'!AI68</f>
        <v>1.9103363961405478E-2</v>
      </c>
      <c r="E68" s="233">
        <f>'Local emissions'!AR68</f>
        <v>6.3146291046838616</v>
      </c>
      <c r="F68" s="147">
        <f>'Summed emissions'!AI68</f>
        <v>1.9103363961405478E-2</v>
      </c>
      <c r="G68" s="147">
        <f>'Summed emissions'!AR68</f>
        <v>6.3146291046838616</v>
      </c>
      <c r="H68" s="147">
        <f>'River loads'!BU68</f>
        <v>3.2147266024212223E-2</v>
      </c>
      <c r="I68" s="147">
        <f>'River loads'!BP68</f>
        <v>3.5066805919438039E-2</v>
      </c>
      <c r="M68" s="147"/>
      <c r="N68" s="147"/>
      <c r="O68" s="147"/>
      <c r="P68" s="147"/>
      <c r="Q68" s="147"/>
      <c r="R68" s="147"/>
    </row>
    <row r="69" spans="1:18">
      <c r="A69" t="str">
        <f>Basicinfo!A69</f>
        <v>Kleinsölkbach</v>
      </c>
      <c r="B69">
        <f>Basicinfo!B69</f>
        <v>1400</v>
      </c>
      <c r="C69">
        <f>Basicinfo!C69</f>
        <v>1410</v>
      </c>
      <c r="D69" s="147">
        <f>'Local emissions'!AI69</f>
        <v>1.2619345822009501E-2</v>
      </c>
      <c r="E69" s="233">
        <f>'Local emissions'!AR69</f>
        <v>3.6080862417067663</v>
      </c>
      <c r="F69" s="147">
        <f>'Summed emissions'!AI69</f>
        <v>1.2619345822009501E-2</v>
      </c>
      <c r="G69" s="147">
        <f>'Summed emissions'!AR69</f>
        <v>3.6080862417067663</v>
      </c>
      <c r="H69" s="147">
        <f>'River loads'!BU69</f>
        <v>2.3477366384890758E-2</v>
      </c>
      <c r="I69" s="147">
        <f>'River loads'!BP69</f>
        <v>2.5034715453481231E-2</v>
      </c>
      <c r="M69" s="147"/>
      <c r="N69" s="147"/>
      <c r="O69" s="147"/>
      <c r="P69" s="147"/>
      <c r="Q69" s="147"/>
      <c r="R69" s="147"/>
    </row>
    <row r="70" spans="1:18">
      <c r="A70" t="str">
        <f>Basicinfo!A70</f>
        <v>Sölkbach</v>
      </c>
      <c r="B70">
        <f>Basicinfo!B70</f>
        <v>1410</v>
      </c>
      <c r="C70">
        <f>Basicinfo!C70</f>
        <v>4060</v>
      </c>
      <c r="D70" s="147">
        <f>'Local emissions'!AI70</f>
        <v>1.3222222089818287E-2</v>
      </c>
      <c r="E70" s="233">
        <f>'Local emissions'!AR70</f>
        <v>2.6310659578140725</v>
      </c>
      <c r="F70" s="147">
        <f>'Summed emissions'!AI70</f>
        <v>2.584156791182779E-2</v>
      </c>
      <c r="G70" s="147">
        <f>'Summed emissions'!AR70</f>
        <v>6.2391521995208388</v>
      </c>
      <c r="H70" s="147">
        <f>'River loads'!BU70</f>
        <v>2.1203376458291859E-2</v>
      </c>
      <c r="I70" s="147">
        <f>'River loads'!BP70</f>
        <v>2.170148706241324E-2</v>
      </c>
      <c r="M70" s="147"/>
      <c r="N70" s="147"/>
      <c r="O70" s="147"/>
      <c r="P70" s="147"/>
      <c r="Q70" s="147"/>
      <c r="R70" s="147"/>
    </row>
    <row r="71" spans="1:18">
      <c r="A71" t="str">
        <f>Basicinfo!A71</f>
        <v>Salza</v>
      </c>
      <c r="B71">
        <f>Basicinfo!B71</f>
        <v>1420</v>
      </c>
      <c r="C71">
        <f>Basicinfo!C71</f>
        <v>4060</v>
      </c>
      <c r="D71" s="147">
        <f>'Local emissions'!AI71</f>
        <v>6.6641056076203922E-2</v>
      </c>
      <c r="E71" s="233">
        <f>'Local emissions'!AR71</f>
        <v>10.284993305861681</v>
      </c>
      <c r="F71" s="147">
        <f>'Summed emissions'!AI71</f>
        <v>6.6641056076203922E-2</v>
      </c>
      <c r="G71" s="147">
        <f>'Summed emissions'!AR71</f>
        <v>10.284993305861681</v>
      </c>
      <c r="H71" s="147">
        <f>'River loads'!BU71</f>
        <v>2.5955951593671738E-2</v>
      </c>
      <c r="I71" s="147">
        <f>'River loads'!BP71</f>
        <v>2.6757320696727101E-2</v>
      </c>
      <c r="M71" s="147"/>
      <c r="N71" s="147"/>
      <c r="O71" s="147"/>
      <c r="P71" s="147"/>
      <c r="Q71" s="147"/>
      <c r="R71" s="147"/>
    </row>
    <row r="72" spans="1:18">
      <c r="A72" t="str">
        <f>Basicinfo!A72</f>
        <v>Donnersbach</v>
      </c>
      <c r="B72">
        <f>Basicinfo!B72</f>
        <v>1430</v>
      </c>
      <c r="C72">
        <f>Basicinfo!C72</f>
        <v>4060</v>
      </c>
      <c r="D72" s="147">
        <f>'Local emissions'!AI72</f>
        <v>5.3012897241475926E-2</v>
      </c>
      <c r="E72" s="233">
        <f>'Local emissions'!AR72</f>
        <v>4.1680777346505273</v>
      </c>
      <c r="F72" s="147">
        <f>'Summed emissions'!AI72</f>
        <v>5.3012897241475926E-2</v>
      </c>
      <c r="G72" s="147">
        <f>'Summed emissions'!AR72</f>
        <v>4.1680777346505273</v>
      </c>
      <c r="H72" s="147">
        <f>'River loads'!BU72</f>
        <v>3.6665910854215118E-2</v>
      </c>
      <c r="I72" s="147">
        <f>'River loads'!BP72</f>
        <v>3.433709343389478E-2</v>
      </c>
      <c r="M72" s="147"/>
      <c r="N72" s="147"/>
      <c r="O72" s="147"/>
      <c r="P72" s="147"/>
      <c r="Q72" s="147"/>
      <c r="R72" s="147"/>
    </row>
    <row r="73" spans="1:18">
      <c r="A73" t="str">
        <f>Basicinfo!A73</f>
        <v>Gufling</v>
      </c>
      <c r="B73">
        <f>Basicinfo!B73</f>
        <v>1440</v>
      </c>
      <c r="C73">
        <f>Basicinfo!C73</f>
        <v>4060</v>
      </c>
      <c r="D73" s="147">
        <f>'Local emissions'!AI73</f>
        <v>4.5175688479792447E-2</v>
      </c>
      <c r="E73" s="233">
        <f>'Local emissions'!AR73</f>
        <v>4.719520010779827</v>
      </c>
      <c r="F73" s="147">
        <f>'Summed emissions'!AI73</f>
        <v>4.5175688479792447E-2</v>
      </c>
      <c r="G73" s="147">
        <f>'Summed emissions'!AR73</f>
        <v>4.719520010779827</v>
      </c>
      <c r="H73" s="147">
        <f>'River loads'!BU73</f>
        <v>2.5460329134457088E-2</v>
      </c>
      <c r="I73" s="147">
        <f>'River loads'!BP73</f>
        <v>2.4902700877361635E-2</v>
      </c>
      <c r="M73" s="147"/>
      <c r="N73" s="147"/>
      <c r="O73" s="147"/>
      <c r="P73" s="147"/>
      <c r="Q73" s="147"/>
      <c r="R73" s="147"/>
    </row>
    <row r="74" spans="1:18">
      <c r="A74" t="str">
        <f>Basicinfo!A74</f>
        <v>Triebenbach</v>
      </c>
      <c r="B74">
        <f>Basicinfo!B74</f>
        <v>1450</v>
      </c>
      <c r="C74">
        <f>Basicinfo!C74</f>
        <v>1460</v>
      </c>
      <c r="D74" s="147">
        <f>'Local emissions'!AI74</f>
        <v>2.4121882933128416E-2</v>
      </c>
      <c r="E74" s="233">
        <f>'Local emissions'!AR74</f>
        <v>2.0997893469198443</v>
      </c>
      <c r="F74" s="147">
        <f>'Summed emissions'!AI74</f>
        <v>2.4121882933128416E-2</v>
      </c>
      <c r="G74" s="147">
        <f>'Summed emissions'!AR74</f>
        <v>2.0997893469198443</v>
      </c>
      <c r="H74" s="147">
        <f>'River loads'!BU74</f>
        <v>1.8140588626861329E-2</v>
      </c>
      <c r="I74" s="147">
        <f>'River loads'!BP74</f>
        <v>1.4464023893494144E-2</v>
      </c>
      <c r="M74" s="147"/>
      <c r="N74" s="147"/>
      <c r="O74" s="147"/>
      <c r="P74" s="147"/>
      <c r="Q74" s="147"/>
      <c r="R74" s="147"/>
    </row>
    <row r="75" spans="1:18">
      <c r="A75" t="str">
        <f>Basicinfo!A75</f>
        <v>Patten</v>
      </c>
      <c r="B75">
        <f>Basicinfo!B75</f>
        <v>1460</v>
      </c>
      <c r="C75">
        <f>Basicinfo!C75</f>
        <v>4070</v>
      </c>
      <c r="D75" s="147">
        <f>'Local emissions'!AI75</f>
        <v>7.1980757330611017E-2</v>
      </c>
      <c r="E75" s="233">
        <f>'Local emissions'!AR75</f>
        <v>9.9991200063065904</v>
      </c>
      <c r="F75" s="147">
        <f>'Summed emissions'!AI75</f>
        <v>9.6102640263739436E-2</v>
      </c>
      <c r="G75" s="147">
        <f>'Summed emissions'!AR75</f>
        <v>12.098909353226436</v>
      </c>
      <c r="H75" s="147">
        <f>'River loads'!BU75</f>
        <v>3.0373117764175495E-2</v>
      </c>
      <c r="I75" s="147">
        <f>'River loads'!BP75</f>
        <v>2.8607648716689124E-2</v>
      </c>
      <c r="M75" s="147"/>
      <c r="N75" s="147"/>
      <c r="O75" s="147"/>
      <c r="P75" s="147"/>
      <c r="Q75" s="147"/>
      <c r="R75" s="147"/>
    </row>
    <row r="76" spans="1:18">
      <c r="A76" t="str">
        <f>Basicinfo!A76</f>
        <v>Erzbach</v>
      </c>
      <c r="B76">
        <f>Basicinfo!B76</f>
        <v>1470</v>
      </c>
      <c r="C76">
        <f>Basicinfo!C76</f>
        <v>4070</v>
      </c>
      <c r="D76" s="147">
        <f>'Local emissions'!AI76</f>
        <v>1.0474087978075803E-2</v>
      </c>
      <c r="E76" s="233">
        <f>'Local emissions'!AR76</f>
        <v>4.3531913139088099</v>
      </c>
      <c r="F76" s="147">
        <f>'Summed emissions'!AI76</f>
        <v>1.0474087978075803E-2</v>
      </c>
      <c r="G76" s="147">
        <f>'Summed emissions'!AR76</f>
        <v>4.3531913139088099</v>
      </c>
      <c r="H76" s="147">
        <f>'River loads'!BU76</f>
        <v>1.2329231276893326E-2</v>
      </c>
      <c r="I76" s="147">
        <f>'River loads'!BP76</f>
        <v>8.2178840271130461E-3</v>
      </c>
      <c r="M76" s="147"/>
      <c r="N76" s="147"/>
      <c r="O76" s="147"/>
      <c r="P76" s="147"/>
      <c r="Q76" s="147"/>
      <c r="R76" s="147"/>
    </row>
    <row r="77" spans="1:18">
      <c r="A77" t="str">
        <f>Basicinfo!A77</f>
        <v>Aschbach</v>
      </c>
      <c r="B77">
        <f>Basicinfo!B77</f>
        <v>1480</v>
      </c>
      <c r="C77">
        <f>Basicinfo!C77</f>
        <v>1510</v>
      </c>
      <c r="D77" s="147">
        <f>'Local emissions'!AI77</f>
        <v>9.6347612728365974E-3</v>
      </c>
      <c r="E77" s="233">
        <f>'Local emissions'!AR77</f>
        <v>0.95751224775822674</v>
      </c>
      <c r="F77" s="147">
        <f>'Summed emissions'!AI77</f>
        <v>9.6347612728365974E-3</v>
      </c>
      <c r="G77" s="147">
        <f>'Summed emissions'!AR77</f>
        <v>0.95751224775822674</v>
      </c>
      <c r="H77" s="147">
        <f>'River loads'!BU77</f>
        <v>9.2376770082762856E-3</v>
      </c>
      <c r="I77" s="147">
        <f>'River loads'!BP77</f>
        <v>3.9902813093101062E-3</v>
      </c>
      <c r="M77" s="147"/>
      <c r="N77" s="147"/>
      <c r="O77" s="147"/>
      <c r="P77" s="147"/>
      <c r="Q77" s="147"/>
      <c r="R77" s="147"/>
    </row>
    <row r="78" spans="1:18">
      <c r="A78" t="str">
        <f>Basicinfo!A78</f>
        <v>Lassingbach</v>
      </c>
      <c r="B78">
        <f>Basicinfo!B78</f>
        <v>1490</v>
      </c>
      <c r="C78">
        <f>Basicinfo!C78</f>
        <v>1500</v>
      </c>
      <c r="D78" s="147">
        <f>'Local emissions'!AI78</f>
        <v>2.4715010684985884E-3</v>
      </c>
      <c r="E78" s="233">
        <f>'Local emissions'!AR78</f>
        <v>0.83557543824521474</v>
      </c>
      <c r="F78" s="147">
        <f>'Summed emissions'!AI78</f>
        <v>2.4715010684985884E-3</v>
      </c>
      <c r="G78" s="147">
        <f>'Summed emissions'!AR78</f>
        <v>0.83557543824521474</v>
      </c>
      <c r="H78" s="147">
        <f>'River loads'!BU78</f>
        <v>5.1972960237561998E-3</v>
      </c>
      <c r="I78" s="147">
        <f>'River loads'!BP78</f>
        <v>1.7418993466968651E-3</v>
      </c>
      <c r="M78" s="147"/>
      <c r="N78" s="147"/>
      <c r="O78" s="147"/>
      <c r="P78" s="147"/>
      <c r="Q78" s="147"/>
      <c r="R78" s="147"/>
    </row>
    <row r="79" spans="1:18">
      <c r="A79" t="str">
        <f>Basicinfo!A79</f>
        <v>Salza</v>
      </c>
      <c r="B79">
        <f>Basicinfo!B79</f>
        <v>1500</v>
      </c>
      <c r="C79">
        <f>Basicinfo!C79</f>
        <v>1510</v>
      </c>
      <c r="D79" s="147">
        <f>'Local emissions'!AI79</f>
        <v>5.5452594850750568E-2</v>
      </c>
      <c r="E79" s="233">
        <f>'Local emissions'!AR79</f>
        <v>2.8068496847655378</v>
      </c>
      <c r="F79" s="147">
        <f>'Summed emissions'!AI79</f>
        <v>5.7924095919249158E-2</v>
      </c>
      <c r="G79" s="147">
        <f>'Summed emissions'!AR79</f>
        <v>3.6424251230107525</v>
      </c>
      <c r="H79" s="147">
        <f>'River loads'!BU79</f>
        <v>5.7470838446304533E-3</v>
      </c>
      <c r="I79" s="147">
        <f>'River loads'!BP79</f>
        <v>2.0686029328087622E-3</v>
      </c>
      <c r="M79" s="147"/>
      <c r="N79" s="147"/>
      <c r="O79" s="147"/>
      <c r="P79" s="147"/>
      <c r="Q79" s="147"/>
      <c r="R79" s="147"/>
    </row>
    <row r="80" spans="1:18">
      <c r="A80" t="str">
        <f>Basicinfo!A80</f>
        <v>Salza</v>
      </c>
      <c r="B80">
        <f>Basicinfo!B80</f>
        <v>1510</v>
      </c>
      <c r="C80">
        <f>Basicinfo!C80</f>
        <v>4070</v>
      </c>
      <c r="D80" s="147">
        <f>'Local emissions'!AI80</f>
        <v>4.6111132143913491E-2</v>
      </c>
      <c r="E80" s="233">
        <f>'Local emissions'!AR80</f>
        <v>4.030155337874298</v>
      </c>
      <c r="F80" s="147">
        <f>'Summed emissions'!AI80</f>
        <v>0.11366998933599926</v>
      </c>
      <c r="G80" s="147">
        <f>'Summed emissions'!AR80</f>
        <v>8.6300927086432768</v>
      </c>
      <c r="H80" s="147">
        <f>'River loads'!BU80</f>
        <v>8.1419934643150779E-3</v>
      </c>
      <c r="I80" s="147">
        <f>'River loads'!BP80</f>
        <v>3.8393078764937067E-3</v>
      </c>
      <c r="M80" s="147"/>
      <c r="N80" s="147"/>
      <c r="O80" s="147"/>
      <c r="P80" s="147"/>
      <c r="Q80" s="147"/>
      <c r="R80" s="147"/>
    </row>
    <row r="81" spans="1:18">
      <c r="A81" t="str">
        <f>Basicinfo!A81</f>
        <v>Traun</v>
      </c>
      <c r="B81">
        <f>Basicinfo!B81</f>
        <v>4000</v>
      </c>
      <c r="C81">
        <f>Basicinfo!C81</f>
        <v>4010</v>
      </c>
      <c r="D81" s="147">
        <f>'Local emissions'!AI81</f>
        <v>6.8457755852892349E-2</v>
      </c>
      <c r="E81" s="233">
        <f>'Local emissions'!AR81</f>
        <v>12.42850746758563</v>
      </c>
      <c r="F81" s="147">
        <f>'Summed emissions'!AI81</f>
        <v>6.8457755852892349E-2</v>
      </c>
      <c r="G81" s="147">
        <f>'Summed emissions'!AR81</f>
        <v>12.42850746758563</v>
      </c>
      <c r="H81" s="147">
        <f>'River loads'!BU81</f>
        <v>1.6489836870734048E-2</v>
      </c>
      <c r="I81" s="147">
        <f>'River loads'!BP81</f>
        <v>1.5829085222605933E-2</v>
      </c>
      <c r="M81" s="147"/>
      <c r="N81" s="147"/>
      <c r="O81" s="147"/>
      <c r="P81" s="147"/>
      <c r="Q81" s="147"/>
      <c r="R81" s="147"/>
    </row>
    <row r="82" spans="1:18">
      <c r="A82" t="str">
        <f>Basicinfo!A82</f>
        <v>Enns</v>
      </c>
      <c r="B82">
        <f>Basicinfo!B82</f>
        <v>4050</v>
      </c>
      <c r="C82">
        <f>Basicinfo!C82</f>
        <v>4060</v>
      </c>
      <c r="D82" s="147">
        <f>'Local emissions'!AI82</f>
        <v>8.5724390803674042E-2</v>
      </c>
      <c r="E82" s="233">
        <f>'Local emissions'!AR82</f>
        <v>17.829872782094359</v>
      </c>
      <c r="F82" s="147">
        <f>'Summed emissions'!AI82</f>
        <v>0.10482775476507952</v>
      </c>
      <c r="G82" s="147">
        <f>'Summed emissions'!AR82</f>
        <v>24.144501886778222</v>
      </c>
      <c r="H82" s="147">
        <f>'River loads'!BU82</f>
        <v>2.8365066710578576E-2</v>
      </c>
      <c r="I82" s="147">
        <f>'River loads'!BP82</f>
        <v>2.7448809235641494E-2</v>
      </c>
      <c r="M82" s="147"/>
      <c r="N82" s="147"/>
      <c r="O82" s="147"/>
      <c r="P82" s="147"/>
      <c r="Q82" s="147"/>
      <c r="R82" s="147"/>
    </row>
    <row r="83" spans="1:18">
      <c r="A83" t="str">
        <f>Basicinfo!A83</f>
        <v>Enns</v>
      </c>
      <c r="B83">
        <f>Basicinfo!B83</f>
        <v>4060</v>
      </c>
      <c r="C83">
        <f>Basicinfo!C83</f>
        <v>4070</v>
      </c>
      <c r="D83" s="147">
        <f>'Local emissions'!AI83</f>
        <v>0.25979247251625476</v>
      </c>
      <c r="E83" s="233">
        <f>'Local emissions'!AR83</f>
        <v>23.784898176509927</v>
      </c>
      <c r="F83" s="147">
        <f>'Summed emissions'!AI83</f>
        <v>0.55529143699063432</v>
      </c>
      <c r="G83" s="147">
        <f>'Summed emissions'!AR83</f>
        <v>73.341143314101018</v>
      </c>
      <c r="H83" s="147">
        <f>'River loads'!BU83</f>
        <v>2.860003629010124E-2</v>
      </c>
      <c r="I83" s="147">
        <f>'River loads'!BP83</f>
        <v>2.8408947780319355E-2</v>
      </c>
      <c r="M83" s="147"/>
      <c r="N83" s="147"/>
      <c r="O83" s="147"/>
      <c r="P83" s="147"/>
      <c r="Q83" s="147"/>
      <c r="R83" s="147"/>
    </row>
    <row r="84" spans="1:18">
      <c r="A84" t="str">
        <f>Basicinfo!A84</f>
        <v>Enns</v>
      </c>
      <c r="B84">
        <f>Basicinfo!B84</f>
        <v>4070</v>
      </c>
      <c r="C84">
        <f>Basicinfo!C84</f>
        <v>4080</v>
      </c>
      <c r="D84" s="147">
        <f>'Local emissions'!AI84</f>
        <v>0.15402607021604553</v>
      </c>
      <c r="E84" s="233">
        <f>'Local emissions'!AR84</f>
        <v>8.7554404723029577</v>
      </c>
      <c r="F84" s="147">
        <f>'Summed emissions'!AI84</f>
        <v>0.92956422478449441</v>
      </c>
      <c r="G84" s="147">
        <f>'Summed emissions'!AR84</f>
        <v>107.17877716218248</v>
      </c>
      <c r="H84" s="147">
        <f>'River loads'!BU84</f>
        <v>2.1675673354418178E-2</v>
      </c>
      <c r="I84" s="147">
        <f>'River loads'!BP84</f>
        <v>1.9483159511879705E-2</v>
      </c>
      <c r="M84" s="147"/>
      <c r="N84" s="147"/>
      <c r="O84" s="147"/>
      <c r="P84" s="147"/>
      <c r="Q84" s="147"/>
      <c r="R84" s="147"/>
    </row>
    <row r="85" spans="1:18">
      <c r="A85" t="str">
        <f>Basicinfo!A85</f>
        <v>EZG_restlich1</v>
      </c>
      <c r="B85">
        <f>Basicinfo!B85</f>
        <v>61141</v>
      </c>
      <c r="C85">
        <f>Basicinfo!C85</f>
        <v>1100</v>
      </c>
      <c r="D85" s="147">
        <f>'Local emissions'!AI85</f>
        <v>9.0472971156343659E-2</v>
      </c>
      <c r="E85" s="233">
        <f>'Local emissions'!AR85</f>
        <v>3.4502384412742879</v>
      </c>
      <c r="F85" s="147">
        <f>'Summed emissions'!AI85</f>
        <v>9.0472971156343659E-2</v>
      </c>
      <c r="G85" s="147">
        <f>'Summed emissions'!AR85</f>
        <v>3.4502384412742879</v>
      </c>
      <c r="H85" s="147">
        <f>'River loads'!BU85</f>
        <v>0</v>
      </c>
      <c r="I85" s="147">
        <f>'River loads'!BP85</f>
        <v>0</v>
      </c>
      <c r="M85" s="147"/>
      <c r="N85" s="147"/>
      <c r="O85" s="147"/>
      <c r="P85" s="147"/>
      <c r="Q85" s="147"/>
      <c r="R85" s="147"/>
    </row>
    <row r="86" spans="1:18">
      <c r="A86" t="str">
        <f>Basicinfo!A86</f>
        <v>EZG_restlich2</v>
      </c>
      <c r="B86">
        <f>Basicinfo!B86</f>
        <v>61142</v>
      </c>
      <c r="C86">
        <f>Basicinfo!C86</f>
        <v>1140</v>
      </c>
      <c r="D86" s="147">
        <f>'Local emissions'!AI86</f>
        <v>4.9392236233580807E-2</v>
      </c>
      <c r="E86" s="233">
        <f>'Local emissions'!AR86</f>
        <v>1.0231555990800634</v>
      </c>
      <c r="F86" s="147">
        <f>'Summed emissions'!AI86</f>
        <v>4.9392236233580807E-2</v>
      </c>
      <c r="G86" s="147">
        <f>'Summed emissions'!AR86</f>
        <v>1.0231555990800634</v>
      </c>
      <c r="H86" s="147">
        <f>'River loads'!BU86</f>
        <v>0</v>
      </c>
      <c r="I86" s="147">
        <f>'River loads'!BP86</f>
        <v>0</v>
      </c>
      <c r="M86" s="147"/>
      <c r="N86" s="147"/>
      <c r="O86" s="147"/>
      <c r="P86" s="147"/>
      <c r="Q86" s="147"/>
      <c r="R86" s="147"/>
    </row>
    <row r="87" spans="1:18">
      <c r="A87" t="str">
        <f>Basicinfo!A87</f>
        <v>EZG_restlich3</v>
      </c>
      <c r="B87">
        <f>Basicinfo!B87</f>
        <v>61151</v>
      </c>
      <c r="C87">
        <f>Basicinfo!C87</f>
        <v>1130</v>
      </c>
      <c r="D87" s="147">
        <f>'Local emissions'!AI87</f>
        <v>1.1808358084524502E-2</v>
      </c>
      <c r="E87" s="233">
        <f>'Local emissions'!AR87</f>
        <v>0.41835461347481023</v>
      </c>
      <c r="F87" s="147">
        <f>'Summed emissions'!AI87</f>
        <v>1.1808358084524502E-2</v>
      </c>
      <c r="G87" s="147">
        <f>'Summed emissions'!AR87</f>
        <v>0.41835461347481023</v>
      </c>
      <c r="H87" s="147">
        <f>'River loads'!BU87</f>
        <v>0</v>
      </c>
      <c r="I87" s="147">
        <f>'River loads'!BP87</f>
        <v>0</v>
      </c>
      <c r="M87" s="147"/>
      <c r="N87" s="147"/>
      <c r="O87" s="147"/>
      <c r="P87" s="147"/>
      <c r="Q87" s="147"/>
      <c r="R87" s="147"/>
    </row>
    <row r="88" spans="1:18">
      <c r="A88" t="str">
        <f>Basicinfo!A88</f>
        <v>EZG_restlich4</v>
      </c>
      <c r="B88">
        <f>Basicinfo!B88</f>
        <v>61152</v>
      </c>
      <c r="C88">
        <f>Basicinfo!C88</f>
        <v>1120</v>
      </c>
      <c r="D88" s="147">
        <f>'Local emissions'!AI88</f>
        <v>1.0538692038165248E-2</v>
      </c>
      <c r="E88" s="233">
        <f>'Local emissions'!AR88</f>
        <v>0.41124019187810446</v>
      </c>
      <c r="F88" s="147">
        <f>'Summed emissions'!AI88</f>
        <v>1.0538692038165248E-2</v>
      </c>
      <c r="G88" s="147">
        <f>'Summed emissions'!AR88</f>
        <v>0.41124019187810446</v>
      </c>
      <c r="H88" s="147">
        <f>'River loads'!BU88</f>
        <v>0</v>
      </c>
      <c r="I88" s="147">
        <f>'River loads'!BP88</f>
        <v>0</v>
      </c>
      <c r="M88" s="147"/>
      <c r="N88" s="147"/>
      <c r="O88" s="147"/>
      <c r="P88" s="147"/>
      <c r="Q88" s="147"/>
      <c r="R88" s="147"/>
    </row>
    <row r="90" spans="1:18">
      <c r="D90" s="147">
        <f>SUM(D4:D67)</f>
        <v>285.94825568484214</v>
      </c>
      <c r="E90" s="147">
        <f>SUM(E4:E67)</f>
        <v>774.63665117491928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/>
  <dimension ref="A1:R90"/>
  <sheetViews>
    <sheetView workbookViewId="0">
      <selection activeCell="G4" sqref="G4"/>
    </sheetView>
  </sheetViews>
  <sheetFormatPr baseColWidth="10" defaultRowHeight="13"/>
  <cols>
    <col min="1" max="1" width="20.1640625" customWidth="1"/>
    <col min="3" max="3" width="17.6640625" customWidth="1"/>
  </cols>
  <sheetData>
    <row r="1" spans="1:18">
      <c r="C1" t="s">
        <v>965</v>
      </c>
    </row>
    <row r="2" spans="1:18" ht="94.5" customHeight="1">
      <c r="A2" t="str">
        <f>[3]Basicinfo!A2</f>
        <v>Name</v>
      </c>
      <c r="B2" t="str">
        <f>[3]Basicinfo!B2</f>
        <v>ID</v>
      </c>
      <c r="C2" s="103" t="str">
        <f>'River loads'!CI2</f>
        <v>Index NO3-NP:                   0=UQZ nicht überschritten,                         1 = UQZ eventuell überschritten;                         2=UQZ überschritten</v>
      </c>
      <c r="D2" s="103" t="str">
        <f>'Local emissions'!Y2</f>
        <v>N-emission via groundwater</v>
      </c>
      <c r="E2" s="103" t="str">
        <f>'Local emissions'!AE2</f>
        <v>Total TN emissions</v>
      </c>
      <c r="F2" s="103" t="str">
        <f>'River loads'!BW2</f>
        <v>DIN calculated average</v>
      </c>
      <c r="G2" s="103" t="str">
        <f>'River loads'!BZ2</f>
        <v>DIN C-90 calculated</v>
      </c>
      <c r="H2" s="103" t="str">
        <f>'River loads'!CF2</f>
        <v>NO3 GW calculated</v>
      </c>
      <c r="I2" s="253"/>
    </row>
    <row r="3" spans="1:18" ht="14">
      <c r="A3">
        <f>[3]Basicinfo!A3</f>
        <v>0</v>
      </c>
      <c r="B3">
        <f>[3]Basicinfo!B3</f>
        <v>0</v>
      </c>
      <c r="C3" s="103" t="s">
        <v>229</v>
      </c>
      <c r="D3" s="103" t="str">
        <f>'Local emissions'!Y3</f>
        <v>t/y</v>
      </c>
      <c r="E3" s="103" t="str">
        <f>'Local emissions'!AE3</f>
        <v>t/y</v>
      </c>
      <c r="F3" s="103" t="s">
        <v>416</v>
      </c>
      <c r="G3" t="str">
        <f>'River loads'!BZ3</f>
        <v>mg/l</v>
      </c>
      <c r="H3" s="103" t="str">
        <f>'River loads'!CF3</f>
        <v>mg/l</v>
      </c>
    </row>
    <row r="4" spans="1:18" ht="15.75" customHeight="1">
      <c r="A4" t="str">
        <f>Basicinfo!A4</f>
        <v>Moosb./Mühlheimerache</v>
      </c>
      <c r="B4">
        <f>Basicinfo!B4</f>
        <v>580</v>
      </c>
      <c r="C4" s="103">
        <f>'River loads'!CI4</f>
        <v>0</v>
      </c>
      <c r="D4" s="276">
        <f>'Local emissions'!Y4</f>
        <v>107.10579679648974</v>
      </c>
      <c r="E4" s="276">
        <f>'Local emissions'!AE4</f>
        <v>149.07260555182398</v>
      </c>
      <c r="F4" s="233">
        <f>'River loads'!BW4</f>
        <v>1.9724894114652691</v>
      </c>
      <c r="G4" s="147">
        <f>'River loads'!BZ4</f>
        <v>2.6655262317098232</v>
      </c>
      <c r="H4" s="276">
        <f>'River loads'!CF4</f>
        <v>18.461452325519563</v>
      </c>
      <c r="I4" s="147"/>
      <c r="M4" s="147"/>
      <c r="N4" s="147"/>
      <c r="O4" s="147"/>
      <c r="P4" s="147"/>
      <c r="Q4" s="147"/>
      <c r="R4" s="147"/>
    </row>
    <row r="5" spans="1:18" ht="15.75" customHeight="1">
      <c r="A5" t="str">
        <f>Basicinfo!A5</f>
        <v>Enknach</v>
      </c>
      <c r="B5">
        <f>Basicinfo!B5</f>
        <v>600</v>
      </c>
      <c r="C5" s="103">
        <f>'River loads'!CI5</f>
        <v>0</v>
      </c>
      <c r="D5" s="276">
        <f>'Local emissions'!Y5</f>
        <v>13.682564714450283</v>
      </c>
      <c r="E5" s="276">
        <f>'Local emissions'!AE5</f>
        <v>30.37577854890278</v>
      </c>
      <c r="F5" s="233">
        <f>'River loads'!BW5</f>
        <v>1.4419610328235679</v>
      </c>
      <c r="G5" s="147">
        <f>'River loads'!BZ5</f>
        <v>1.9485959903021188</v>
      </c>
      <c r="H5" s="276">
        <f>'River loads'!CF5</f>
        <v>35.466457071676736</v>
      </c>
      <c r="I5" s="147"/>
      <c r="M5" s="147"/>
      <c r="N5" s="147"/>
      <c r="O5" s="147"/>
      <c r="P5" s="147"/>
      <c r="Q5" s="147"/>
      <c r="R5" s="147"/>
    </row>
    <row r="6" spans="1:18" ht="15.75" customHeight="1">
      <c r="A6" t="str">
        <f>Basicinfo!A6</f>
        <v>Enknach</v>
      </c>
      <c r="B6">
        <f>Basicinfo!B6</f>
        <v>610</v>
      </c>
      <c r="C6" s="103">
        <f>'River loads'!CI6</f>
        <v>0</v>
      </c>
      <c r="D6" s="276">
        <f>'Local emissions'!Y6</f>
        <v>23.683148409412208</v>
      </c>
      <c r="E6" s="276">
        <f>'Local emissions'!AE6</f>
        <v>30.846469459232914</v>
      </c>
      <c r="F6" s="233">
        <f>'River loads'!BW6</f>
        <v>1.8361920490196721</v>
      </c>
      <c r="G6" s="147">
        <f>'River loads'!BZ6</f>
        <v>2.4813406067833408</v>
      </c>
      <c r="H6" s="276">
        <f>'River loads'!CF6</f>
        <v>13.15165521391698</v>
      </c>
      <c r="I6" s="147"/>
      <c r="M6" s="147"/>
      <c r="N6" s="147"/>
      <c r="O6" s="147"/>
      <c r="P6" s="147"/>
      <c r="Q6" s="147"/>
      <c r="R6" s="147"/>
    </row>
    <row r="7" spans="1:18" ht="15.75" customHeight="1">
      <c r="A7" t="str">
        <f>Basicinfo!A7</f>
        <v>Schwemmbach</v>
      </c>
      <c r="B7">
        <f>Basicinfo!B7</f>
        <v>620</v>
      </c>
      <c r="C7" s="103">
        <f>'River loads'!CI7</f>
        <v>0</v>
      </c>
      <c r="D7" s="276">
        <f>'Local emissions'!Y7</f>
        <v>63.166758325148237</v>
      </c>
      <c r="E7" s="276">
        <f>'Local emissions'!AE7</f>
        <v>83.875087477693057</v>
      </c>
      <c r="F7" s="233">
        <f>'River loads'!BW7</f>
        <v>1.5022418610239929</v>
      </c>
      <c r="G7" s="147">
        <f>'River loads'!BZ7</f>
        <v>2.0300565689513417</v>
      </c>
      <c r="H7" s="276">
        <f>'River loads'!CF7</f>
        <v>18.623541543768972</v>
      </c>
      <c r="I7" s="147"/>
      <c r="M7" s="147"/>
      <c r="N7" s="147"/>
      <c r="O7" s="147"/>
      <c r="P7" s="147"/>
      <c r="Q7" s="147"/>
      <c r="R7" s="147"/>
    </row>
    <row r="8" spans="1:18" ht="15.75" customHeight="1">
      <c r="A8" t="str">
        <f>Basicinfo!A8</f>
        <v>Mattig</v>
      </c>
      <c r="B8">
        <f>Basicinfo!B8</f>
        <v>630</v>
      </c>
      <c r="C8" s="103">
        <f>'River loads'!CI8</f>
        <v>0</v>
      </c>
      <c r="D8" s="276">
        <f>'Local emissions'!Y8</f>
        <v>308.41705294204593</v>
      </c>
      <c r="E8" s="276">
        <f>'Local emissions'!AE8</f>
        <v>447.3062638949657</v>
      </c>
      <c r="F8" s="233">
        <f>'River loads'!BW8</f>
        <v>1.4948946373261036</v>
      </c>
      <c r="G8" s="147">
        <f>'River loads'!BZ8</f>
        <v>2.0201278882785183</v>
      </c>
      <c r="H8" s="276">
        <f>'River loads'!CF8</f>
        <v>14.98368571006892</v>
      </c>
      <c r="I8" s="147"/>
      <c r="M8" s="147"/>
      <c r="N8" s="147"/>
      <c r="O8" s="147"/>
      <c r="P8" s="147"/>
      <c r="Q8" s="147"/>
      <c r="R8" s="147"/>
    </row>
    <row r="9" spans="1:18" ht="15.75" customHeight="1">
      <c r="A9" t="str">
        <f>Basicinfo!A9</f>
        <v>Moosbach</v>
      </c>
      <c r="B9">
        <f>Basicinfo!B9</f>
        <v>640</v>
      </c>
      <c r="C9" s="103">
        <f>'River loads'!CI9</f>
        <v>0</v>
      </c>
      <c r="D9" s="276">
        <f>'Local emissions'!Y9</f>
        <v>30.970413750167257</v>
      </c>
      <c r="E9" s="276">
        <f>'Local emissions'!AE9</f>
        <v>39.908833408134825</v>
      </c>
      <c r="F9" s="233">
        <f>'River loads'!BW9</f>
        <v>2.0171874472883862</v>
      </c>
      <c r="G9" s="147">
        <f>'River loads'!BZ9</f>
        <v>2.7259289828221434</v>
      </c>
      <c r="H9" s="276">
        <f>'River loads'!CF9</f>
        <v>15.045822641583046</v>
      </c>
      <c r="I9" s="147"/>
      <c r="M9" s="147"/>
      <c r="N9" s="147"/>
      <c r="O9" s="147"/>
      <c r="P9" s="147"/>
      <c r="Q9" s="147"/>
      <c r="R9" s="147"/>
    </row>
    <row r="10" spans="1:18" ht="15.75" customHeight="1">
      <c r="A10" t="str">
        <f>Basicinfo!A10</f>
        <v>Mühlheimer Ache</v>
      </c>
      <c r="B10">
        <f>Basicinfo!B10</f>
        <v>650</v>
      </c>
      <c r="C10" s="103">
        <f>'River loads'!CI10</f>
        <v>1</v>
      </c>
      <c r="D10" s="276">
        <f>'Local emissions'!Y10</f>
        <v>275.96775296807573</v>
      </c>
      <c r="E10" s="276">
        <f>'Local emissions'!AE10</f>
        <v>418.37821760693265</v>
      </c>
      <c r="F10" s="233">
        <f>'River loads'!BW10</f>
        <v>2.5104786968023642</v>
      </c>
      <c r="G10" s="147">
        <f>'River loads'!BZ10</f>
        <v>3.3925387794626545</v>
      </c>
      <c r="H10" s="276">
        <f>'River loads'!CF10</f>
        <v>16.259524198911407</v>
      </c>
      <c r="I10" s="147"/>
      <c r="M10" s="147"/>
      <c r="N10" s="147"/>
      <c r="O10" s="147"/>
      <c r="P10" s="147"/>
      <c r="Q10" s="147"/>
      <c r="R10" s="147"/>
    </row>
    <row r="11" spans="1:18" ht="15.75" customHeight="1">
      <c r="A11" t="str">
        <f>Basicinfo!A11</f>
        <v>Gurtenbach</v>
      </c>
      <c r="B11">
        <f>Basicinfo!B11</f>
        <v>660</v>
      </c>
      <c r="C11" s="103">
        <f>'River loads'!CI11</f>
        <v>1</v>
      </c>
      <c r="D11" s="276">
        <f>'Local emissions'!Y11</f>
        <v>117.66339006263921</v>
      </c>
      <c r="E11" s="276">
        <f>'Local emissions'!AE11</f>
        <v>173.46277922405372</v>
      </c>
      <c r="F11" s="233">
        <f>'River loads'!BW11</f>
        <v>3.2893690675666201</v>
      </c>
      <c r="G11" s="147">
        <f>'River loads'!BZ11</f>
        <v>4.4450933345494867</v>
      </c>
      <c r="H11" s="276">
        <f>'River loads'!CF11</f>
        <v>18.465507163384395</v>
      </c>
      <c r="I11" s="147"/>
      <c r="M11" s="147"/>
      <c r="N11" s="147"/>
      <c r="O11" s="147"/>
      <c r="P11" s="147"/>
      <c r="Q11" s="147"/>
      <c r="R11" s="147"/>
    </row>
    <row r="12" spans="1:18" ht="15.75" customHeight="1">
      <c r="A12" t="str">
        <f>Basicinfo!A12</f>
        <v>Antiesen</v>
      </c>
      <c r="B12">
        <f>Basicinfo!B12</f>
        <v>670</v>
      </c>
      <c r="C12" s="103">
        <f>'River loads'!CI12</f>
        <v>1</v>
      </c>
      <c r="D12" s="276">
        <f>'Local emissions'!Y12</f>
        <v>157.75021045500552</v>
      </c>
      <c r="E12" s="276">
        <f>'Local emissions'!AE12</f>
        <v>233.11957031150902</v>
      </c>
      <c r="F12" s="233">
        <f>'River loads'!BW12</f>
        <v>2.9406127599309033</v>
      </c>
      <c r="G12" s="147">
        <f>'River loads'!BZ12</f>
        <v>3.973801026933653</v>
      </c>
      <c r="H12" s="276">
        <f>'River loads'!CF12</f>
        <v>18.495909847983199</v>
      </c>
      <c r="I12" s="147"/>
      <c r="M12" s="147"/>
      <c r="N12" s="147"/>
      <c r="O12" s="147"/>
      <c r="P12" s="147"/>
      <c r="Q12" s="147"/>
      <c r="R12" s="147"/>
    </row>
    <row r="13" spans="1:18" ht="15.75" customHeight="1">
      <c r="A13" t="str">
        <f>Basicinfo!A13</f>
        <v>Antiesen</v>
      </c>
      <c r="B13">
        <f>Basicinfo!B13</f>
        <v>680</v>
      </c>
      <c r="C13" s="103">
        <f>'River loads'!CI13</f>
        <v>1</v>
      </c>
      <c r="D13" s="276">
        <f>'Local emissions'!Y13</f>
        <v>175.43198067239314</v>
      </c>
      <c r="E13" s="276">
        <f>'Local emissions'!AE13</f>
        <v>241.7345167589001</v>
      </c>
      <c r="F13" s="233">
        <f>'River loads'!BW13</f>
        <v>2.9936462573384737</v>
      </c>
      <c r="G13" s="147">
        <f>'River loads'!BZ13</f>
        <v>4.0454679153222619</v>
      </c>
      <c r="H13" s="276">
        <f>'River loads'!CF13</f>
        <v>20.241196008571304</v>
      </c>
      <c r="I13" s="147"/>
      <c r="M13" s="147"/>
      <c r="N13" s="147"/>
      <c r="O13" s="147"/>
      <c r="P13" s="147"/>
      <c r="Q13" s="147"/>
      <c r="R13" s="147"/>
    </row>
    <row r="14" spans="1:18" ht="15.75" customHeight="1">
      <c r="A14" t="str">
        <f>Basicinfo!A14</f>
        <v>Pram</v>
      </c>
      <c r="B14">
        <f>Basicinfo!B14</f>
        <v>690</v>
      </c>
      <c r="C14" s="103">
        <f>'River loads'!CI14</f>
        <v>1</v>
      </c>
      <c r="D14" s="276">
        <f>'Local emissions'!Y14</f>
        <v>104.15946051378678</v>
      </c>
      <c r="E14" s="276">
        <f>'Local emissions'!AE14</f>
        <v>134.27738350017134</v>
      </c>
      <c r="F14" s="233">
        <f>'River loads'!BW14</f>
        <v>2.7927748594290365</v>
      </c>
      <c r="G14" s="147">
        <f>'River loads'!BZ14</f>
        <v>3.774020080309509</v>
      </c>
      <c r="H14" s="276">
        <f>'River loads'!CF14</f>
        <v>19.806286088720732</v>
      </c>
      <c r="I14" s="147"/>
      <c r="M14" s="147"/>
      <c r="N14" s="147"/>
      <c r="O14" s="147"/>
      <c r="P14" s="147"/>
      <c r="Q14" s="147"/>
      <c r="R14" s="147"/>
    </row>
    <row r="15" spans="1:18" ht="15.75" customHeight="1">
      <c r="A15" t="str">
        <f>Basicinfo!A15</f>
        <v>Pram</v>
      </c>
      <c r="B15">
        <f>Basicinfo!B15</f>
        <v>700</v>
      </c>
      <c r="C15" s="103">
        <f>'River loads'!CI15</f>
        <v>1</v>
      </c>
      <c r="D15" s="276">
        <f>'Local emissions'!Y15</f>
        <v>224.67992205075348</v>
      </c>
      <c r="E15" s="276">
        <f>'Local emissions'!AE15</f>
        <v>326.40996396854626</v>
      </c>
      <c r="F15" s="233">
        <f>'River loads'!BW15</f>
        <v>2.8310637515064339</v>
      </c>
      <c r="G15" s="147">
        <f>'River loads'!BZ15</f>
        <v>3.8257618263600457</v>
      </c>
      <c r="H15" s="276">
        <f>'River loads'!CF15</f>
        <v>18.171571813727798</v>
      </c>
      <c r="I15" s="147"/>
      <c r="M15" s="147"/>
      <c r="N15" s="147"/>
      <c r="O15" s="147"/>
      <c r="P15" s="147"/>
      <c r="Q15" s="147"/>
      <c r="R15" s="147"/>
    </row>
    <row r="16" spans="1:18" ht="15.75" customHeight="1">
      <c r="A16" t="str">
        <f>Basicinfo!A16</f>
        <v>Pram</v>
      </c>
      <c r="B16">
        <f>Basicinfo!B16</f>
        <v>710</v>
      </c>
      <c r="C16" s="103">
        <f>'River loads'!CI16</f>
        <v>1</v>
      </c>
      <c r="D16" s="276">
        <f>'Local emissions'!Y16</f>
        <v>77.725784179682861</v>
      </c>
      <c r="E16" s="276">
        <f>'Local emissions'!AE16</f>
        <v>119.31837926138668</v>
      </c>
      <c r="F16" s="233">
        <f>'River loads'!BW16</f>
        <v>2.7537472322256078</v>
      </c>
      <c r="G16" s="147">
        <f>'River loads'!BZ16</f>
        <v>3.7212800435481186</v>
      </c>
      <c r="H16" s="276">
        <f>'River loads'!CF16</f>
        <v>16.958624861097288</v>
      </c>
      <c r="I16" s="147"/>
      <c r="M16" s="147"/>
      <c r="N16" s="147"/>
      <c r="O16" s="147"/>
      <c r="P16" s="147"/>
      <c r="Q16" s="147"/>
      <c r="R16" s="147"/>
    </row>
    <row r="17" spans="1:18" ht="15.75" customHeight="1">
      <c r="A17" t="str">
        <f>Basicinfo!A17</f>
        <v>Inn</v>
      </c>
      <c r="B17">
        <f>Basicinfo!B17</f>
        <v>1050</v>
      </c>
      <c r="C17" s="103">
        <f>'River loads'!CI17</f>
        <v>0</v>
      </c>
      <c r="D17" s="276">
        <f>'Local emissions'!Y17</f>
        <v>287.22359411426044</v>
      </c>
      <c r="E17" s="276">
        <f>'Local emissions'!AE17</f>
        <v>479.94120979673323</v>
      </c>
      <c r="F17" s="233">
        <f>'River loads'!BW17</f>
        <v>2.1444513834569392</v>
      </c>
      <c r="G17" s="147">
        <f>'River loads'!BZ17</f>
        <v>2.8979072749418098</v>
      </c>
      <c r="H17" s="276">
        <f>'River loads'!CF17</f>
        <v>17.304878410471904</v>
      </c>
      <c r="I17" s="147"/>
      <c r="M17" s="147"/>
      <c r="N17" s="147"/>
      <c r="O17" s="147"/>
      <c r="P17" s="147"/>
      <c r="Q17" s="147"/>
      <c r="R17" s="147"/>
    </row>
    <row r="18" spans="1:18" ht="15.75" customHeight="1">
      <c r="A18" t="str">
        <f>Basicinfo!A18</f>
        <v>Ranna</v>
      </c>
      <c r="B18">
        <f>Basicinfo!B18</f>
        <v>1100</v>
      </c>
      <c r="C18" s="103">
        <f>'River loads'!CI18</f>
        <v>0</v>
      </c>
      <c r="D18" s="276">
        <f>'Local emissions'!Y18</f>
        <v>49.565469861234874</v>
      </c>
      <c r="E18" s="276">
        <f>'Local emissions'!AE18</f>
        <v>82.049963683507826</v>
      </c>
      <c r="F18" s="233">
        <f>'River loads'!BW18</f>
        <v>2.0391967065540539</v>
      </c>
      <c r="G18" s="147">
        <f>'River loads'!BZ18</f>
        <v>2.755671225073046</v>
      </c>
      <c r="H18" s="276">
        <f>'River loads'!CF18</f>
        <v>8.1245737846722434</v>
      </c>
      <c r="I18" s="147"/>
      <c r="M18" s="147"/>
      <c r="N18" s="147"/>
      <c r="O18" s="147"/>
      <c r="P18" s="147"/>
      <c r="Q18" s="147"/>
      <c r="R18" s="147"/>
    </row>
    <row r="19" spans="1:18" ht="15.75" customHeight="1">
      <c r="A19" t="str">
        <f>Basicinfo!A19</f>
        <v>Kleine Mühl</v>
      </c>
      <c r="B19">
        <f>Basicinfo!B19</f>
        <v>1110</v>
      </c>
      <c r="C19" s="103">
        <f>'River loads'!CI19</f>
        <v>0</v>
      </c>
      <c r="D19" s="276">
        <f>'Local emissions'!Y19</f>
        <v>123.9099541937984</v>
      </c>
      <c r="E19" s="276">
        <f>'Local emissions'!AE19</f>
        <v>172.59326869559044</v>
      </c>
      <c r="F19" s="233">
        <f>'River loads'!BW19</f>
        <v>1.4733352906900019</v>
      </c>
      <c r="G19" s="147">
        <f>'River loads'!BZ19</f>
        <v>1.9909936360675702</v>
      </c>
      <c r="H19" s="276">
        <f>'River loads'!CF19</f>
        <v>10.258037992239629</v>
      </c>
      <c r="I19" s="147"/>
      <c r="M19" s="147"/>
      <c r="N19" s="147"/>
      <c r="O19" s="147"/>
      <c r="P19" s="147"/>
      <c r="Q19" s="147"/>
      <c r="R19" s="147"/>
    </row>
    <row r="20" spans="1:18" ht="15.75" customHeight="1">
      <c r="A20" t="str">
        <f>Basicinfo!A20</f>
        <v>Steinerne Mühl</v>
      </c>
      <c r="B20">
        <f>Basicinfo!B20</f>
        <v>1120</v>
      </c>
      <c r="C20" s="103">
        <f>'River loads'!CI20</f>
        <v>0</v>
      </c>
      <c r="D20" s="276">
        <f>'Local emissions'!Y20</f>
        <v>57.254812128626604</v>
      </c>
      <c r="E20" s="276">
        <f>'Local emissions'!AE20</f>
        <v>80.458379472373267</v>
      </c>
      <c r="F20" s="233">
        <f>'River loads'!BW20</f>
        <v>1.5175308694385281</v>
      </c>
      <c r="G20" s="147">
        <f>'River loads'!BZ20</f>
        <v>2.050717391133146</v>
      </c>
      <c r="H20" s="276">
        <f>'River loads'!CF20</f>
        <v>9.5447041328867481</v>
      </c>
      <c r="I20" s="147"/>
      <c r="M20" s="147"/>
      <c r="N20" s="147"/>
      <c r="O20" s="147"/>
      <c r="P20" s="147"/>
      <c r="Q20" s="147"/>
      <c r="R20" s="147"/>
    </row>
    <row r="21" spans="1:18" ht="15.75" customHeight="1">
      <c r="A21" t="str">
        <f>Basicinfo!A21</f>
        <v>Große Mühl</v>
      </c>
      <c r="B21">
        <f>Basicinfo!B21</f>
        <v>1130</v>
      </c>
      <c r="C21" s="103">
        <f>'River loads'!CI21</f>
        <v>0</v>
      </c>
      <c r="D21" s="276">
        <f>'Local emissions'!Y21</f>
        <v>92.105877033210163</v>
      </c>
      <c r="E21" s="276">
        <f>'Local emissions'!AE21</f>
        <v>137.71731673034134</v>
      </c>
      <c r="F21" s="233">
        <f>'River loads'!BW21</f>
        <v>1.4370458287534633</v>
      </c>
      <c r="G21" s="147">
        <f>'River loads'!BZ21</f>
        <v>1.9419538226398154</v>
      </c>
      <c r="H21" s="276">
        <f>'River loads'!CF21</f>
        <v>10.390242466923386</v>
      </c>
      <c r="I21" s="147"/>
      <c r="M21" s="147"/>
      <c r="N21" s="147"/>
      <c r="O21" s="147"/>
      <c r="P21" s="147"/>
      <c r="Q21" s="147"/>
      <c r="R21" s="147"/>
    </row>
    <row r="22" spans="1:18" ht="15.75" customHeight="1">
      <c r="A22" t="str">
        <f>Basicinfo!A22</f>
        <v>Große Mühl</v>
      </c>
      <c r="B22">
        <f>Basicinfo!B22</f>
        <v>1140</v>
      </c>
      <c r="C22" s="103">
        <f>'River loads'!CI22</f>
        <v>0</v>
      </c>
      <c r="D22" s="276">
        <f>'Local emissions'!Y22</f>
        <v>77.619113609187593</v>
      </c>
      <c r="E22" s="276">
        <f>'Local emissions'!AE22</f>
        <v>121.95260369453401</v>
      </c>
      <c r="F22" s="233">
        <f>'River loads'!BW22</f>
        <v>1.3753167896273519</v>
      </c>
      <c r="G22" s="147">
        <f>'River loads'!BZ22</f>
        <v>1.8585362021991243</v>
      </c>
      <c r="H22" s="276">
        <f>'River loads'!CF22</f>
        <v>6.3288782745437802</v>
      </c>
      <c r="I22" s="147"/>
      <c r="M22" s="147"/>
      <c r="N22" s="147"/>
      <c r="O22" s="147"/>
      <c r="P22" s="147"/>
      <c r="Q22" s="147"/>
      <c r="R22" s="147"/>
    </row>
    <row r="23" spans="1:18" ht="15.75" customHeight="1">
      <c r="A23" t="str">
        <f>Basicinfo!A23</f>
        <v>Dürre Aschach und Aschach</v>
      </c>
      <c r="B23">
        <f>Basicinfo!B23</f>
        <v>1150</v>
      </c>
      <c r="C23" s="103">
        <f>'River loads'!CI23</f>
        <v>1</v>
      </c>
      <c r="D23" s="276">
        <f>'Local emissions'!Y23</f>
        <v>308.93768820740524</v>
      </c>
      <c r="E23" s="276">
        <f>'Local emissions'!AE23</f>
        <v>489.91867840293696</v>
      </c>
      <c r="F23" s="233">
        <f>'River loads'!BW23</f>
        <v>3.3117516837843688</v>
      </c>
      <c r="G23" s="147">
        <f>'River loads'!BZ23</f>
        <v>4.4753401132221198</v>
      </c>
      <c r="H23" s="276">
        <f>'River loads'!CF23</f>
        <v>20.325631904147794</v>
      </c>
      <c r="I23" s="147"/>
      <c r="M23" s="147"/>
      <c r="N23" s="147"/>
      <c r="O23" s="147"/>
      <c r="P23" s="147"/>
      <c r="Q23" s="147"/>
      <c r="R23" s="147"/>
    </row>
    <row r="24" spans="1:18" ht="15.75" customHeight="1">
      <c r="A24" t="str">
        <f>Basicinfo!A24</f>
        <v>Aschach</v>
      </c>
      <c r="B24">
        <f>Basicinfo!B24</f>
        <v>1160</v>
      </c>
      <c r="C24" s="103">
        <f>'River loads'!CI24</f>
        <v>1</v>
      </c>
      <c r="D24" s="276">
        <f>'Local emissions'!Y24</f>
        <v>44.03128268932025</v>
      </c>
      <c r="E24" s="276">
        <f>'Local emissions'!AE24</f>
        <v>77.534872999563788</v>
      </c>
      <c r="F24" s="233">
        <f>'River loads'!BW24</f>
        <v>2.9392876998778723</v>
      </c>
      <c r="G24" s="147">
        <f>'River loads'!BZ24</f>
        <v>3.972010405240368</v>
      </c>
      <c r="H24" s="276">
        <f>'River loads'!CF24</f>
        <v>13.344671949616243</v>
      </c>
      <c r="I24" s="147"/>
      <c r="M24" s="147"/>
      <c r="N24" s="147"/>
      <c r="O24" s="147"/>
      <c r="P24" s="147"/>
      <c r="Q24" s="147"/>
      <c r="R24" s="147"/>
    </row>
    <row r="25" spans="1:18" ht="15.75" customHeight="1">
      <c r="A25" t="str">
        <f>Basicinfo!A25</f>
        <v>Trattnach</v>
      </c>
      <c r="B25">
        <f>Basicinfo!B25</f>
        <v>1170</v>
      </c>
      <c r="C25" s="103">
        <f>'River loads'!CI25</f>
        <v>1</v>
      </c>
      <c r="D25" s="276">
        <f>'Local emissions'!Y25</f>
        <v>180.54659321388331</v>
      </c>
      <c r="E25" s="276">
        <f>'Local emissions'!AE25</f>
        <v>283.82946209076795</v>
      </c>
      <c r="F25" s="233">
        <f>'River loads'!BW25</f>
        <v>3.0870432714771114</v>
      </c>
      <c r="G25" s="147">
        <f>'River loads'!BZ25</f>
        <v>4.1716800965906913</v>
      </c>
      <c r="H25" s="276">
        <f>'River loads'!CF25</f>
        <v>22.003105528462349</v>
      </c>
      <c r="I25" s="147"/>
      <c r="M25" s="147"/>
      <c r="N25" s="147"/>
      <c r="O25" s="147"/>
      <c r="P25" s="147"/>
      <c r="Q25" s="147"/>
      <c r="R25" s="147"/>
    </row>
    <row r="26" spans="1:18" ht="15.75" customHeight="1">
      <c r="A26" t="str">
        <f>Basicinfo!A26</f>
        <v>Innbach</v>
      </c>
      <c r="B26">
        <f>Basicinfo!B26</f>
        <v>1180</v>
      </c>
      <c r="C26" s="103">
        <f>'River loads'!CI26</f>
        <v>1</v>
      </c>
      <c r="D26" s="276">
        <f>'Local emissions'!Y26</f>
        <v>267.57471323869567</v>
      </c>
      <c r="E26" s="276">
        <f>'Local emissions'!AE26</f>
        <v>364.40299958751518</v>
      </c>
      <c r="F26" s="233">
        <f>'River loads'!BW26</f>
        <v>2.6514545814367958</v>
      </c>
      <c r="G26" s="147">
        <f>'River loads'!BZ26</f>
        <v>3.5830467316713457</v>
      </c>
      <c r="H26" s="276">
        <f>'River loads'!CF26</f>
        <v>19.434174780556166</v>
      </c>
      <c r="I26" s="147"/>
      <c r="M26" s="147"/>
      <c r="N26" s="147"/>
      <c r="O26" s="147"/>
      <c r="P26" s="147"/>
      <c r="Q26" s="147"/>
      <c r="R26" s="147"/>
    </row>
    <row r="27" spans="1:18" ht="15.75" customHeight="1">
      <c r="A27" t="str">
        <f>Basicinfo!A27</f>
        <v>Pesenbach</v>
      </c>
      <c r="B27">
        <f>Basicinfo!B27</f>
        <v>1190</v>
      </c>
      <c r="C27" s="103">
        <f>'River loads'!CI27</f>
        <v>0</v>
      </c>
      <c r="D27" s="276">
        <f>'Local emissions'!Y27</f>
        <v>80.855310282048521</v>
      </c>
      <c r="E27" s="276">
        <f>'Local emissions'!AE27</f>
        <v>106.54068787635724</v>
      </c>
      <c r="F27" s="233">
        <f>'River loads'!BW27</f>
        <v>1.3559993271847806</v>
      </c>
      <c r="G27" s="147">
        <f>'River loads'!BZ27</f>
        <v>1.8324315232226764</v>
      </c>
      <c r="H27" s="276">
        <f>'River loads'!CF27</f>
        <v>14.010354143846188</v>
      </c>
      <c r="I27" s="147"/>
      <c r="M27" s="147"/>
      <c r="N27" s="147"/>
      <c r="O27" s="147"/>
      <c r="P27" s="147"/>
      <c r="Q27" s="147"/>
      <c r="R27" s="147"/>
    </row>
    <row r="28" spans="1:18" ht="15.75" customHeight="1">
      <c r="A28" t="str">
        <f>Basicinfo!A28</f>
        <v>Große Rodl</v>
      </c>
      <c r="B28">
        <f>Basicinfo!B28</f>
        <v>1200</v>
      </c>
      <c r="C28" s="103">
        <f>'River loads'!CI28</f>
        <v>0</v>
      </c>
      <c r="D28" s="276">
        <f>'Local emissions'!Y28</f>
        <v>173.05458549098788</v>
      </c>
      <c r="E28" s="276">
        <f>'Local emissions'!AE28</f>
        <v>239.09217117411274</v>
      </c>
      <c r="F28" s="233">
        <f>'River loads'!BW28</f>
        <v>1.8209924281757959</v>
      </c>
      <c r="G28" s="147">
        <f>'River loads'!BZ28</f>
        <v>2.4608005786159404</v>
      </c>
      <c r="H28" s="276">
        <f>'River loads'!CF28</f>
        <v>13.221149257747474</v>
      </c>
      <c r="I28" s="147"/>
      <c r="M28" s="147"/>
      <c r="N28" s="147"/>
      <c r="O28" s="147"/>
      <c r="P28" s="147"/>
      <c r="Q28" s="147"/>
      <c r="R28" s="147"/>
    </row>
    <row r="29" spans="1:18" ht="15.75" customHeight="1">
      <c r="A29" t="str">
        <f>Basicinfo!A29</f>
        <v>Diesenleitenbach</v>
      </c>
      <c r="B29">
        <f>Basicinfo!B29</f>
        <v>1210</v>
      </c>
      <c r="C29" s="103">
        <f>'River loads'!CI29</f>
        <v>0</v>
      </c>
      <c r="D29" s="276">
        <f>'Local emissions'!Y29</f>
        <v>35.038284950004794</v>
      </c>
      <c r="E29" s="276">
        <f>'Local emissions'!AE29</f>
        <v>55.633108079233331</v>
      </c>
      <c r="F29" s="233">
        <f>'River loads'!BW29</f>
        <v>2.0186129017405721</v>
      </c>
      <c r="G29" s="147">
        <f>'River loads'!BZ29</f>
        <v>2.7278552726223948</v>
      </c>
      <c r="H29" s="276">
        <f>'River loads'!CF29</f>
        <v>13.032254621706274</v>
      </c>
      <c r="I29" s="147"/>
      <c r="M29" s="147"/>
      <c r="N29" s="147"/>
      <c r="O29" s="147"/>
      <c r="P29" s="147"/>
      <c r="Q29" s="147"/>
      <c r="R29" s="147"/>
    </row>
    <row r="30" spans="1:18" ht="15.75" customHeight="1">
      <c r="A30" t="str">
        <f>Basicinfo!A30</f>
        <v>Gosaubach</v>
      </c>
      <c r="B30">
        <f>Basicinfo!B30</f>
        <v>1220</v>
      </c>
      <c r="C30" s="103">
        <f>'River loads'!CI30</f>
        <v>0</v>
      </c>
      <c r="D30" s="276">
        <f>'Local emissions'!Y30</f>
        <v>76.779984679220021</v>
      </c>
      <c r="E30" s="276">
        <f>'Local emissions'!AE30</f>
        <v>115.16499900500568</v>
      </c>
      <c r="F30" s="233">
        <f>'River loads'!BW30</f>
        <v>0.45896018363408747</v>
      </c>
      <c r="G30" s="147">
        <f>'River loads'!BZ30</f>
        <v>0.62021646437038846</v>
      </c>
      <c r="H30" s="276">
        <f>'River loads'!CF30</f>
        <v>2.2933072854831797</v>
      </c>
      <c r="I30" s="147"/>
      <c r="M30" s="147"/>
      <c r="N30" s="147"/>
      <c r="O30" s="147"/>
      <c r="P30" s="147"/>
      <c r="Q30" s="147"/>
      <c r="R30" s="147"/>
    </row>
    <row r="31" spans="1:18" ht="15.75" customHeight="1">
      <c r="A31" t="str">
        <f>Basicinfo!A31</f>
        <v>Ischler Ache</v>
      </c>
      <c r="B31">
        <f>Basicinfo!B31</f>
        <v>1230</v>
      </c>
      <c r="C31" s="103">
        <f>'River loads'!CI31</f>
        <v>0</v>
      </c>
      <c r="D31" s="276">
        <f>'Local emissions'!Y31</f>
        <v>198.26066900715705</v>
      </c>
      <c r="E31" s="276">
        <f>'Local emissions'!AE31</f>
        <v>308.07120877588738</v>
      </c>
      <c r="F31" s="233">
        <f>'River loads'!BW31</f>
        <v>0.51281532618072256</v>
      </c>
      <c r="G31" s="147">
        <f>'River loads'!BZ31</f>
        <v>0.69299368402800343</v>
      </c>
      <c r="H31" s="276">
        <f>'River loads'!CF31</f>
        <v>3.6504461845422216</v>
      </c>
      <c r="I31" s="147"/>
      <c r="M31" s="147"/>
      <c r="N31" s="147"/>
      <c r="O31" s="147"/>
      <c r="P31" s="147"/>
      <c r="Q31" s="147"/>
      <c r="R31" s="147"/>
    </row>
    <row r="32" spans="1:18" ht="15.75" customHeight="1">
      <c r="A32" t="str">
        <f>Basicinfo!A32</f>
        <v>Fuschler Ache</v>
      </c>
      <c r="B32">
        <f>Basicinfo!B32</f>
        <v>1240</v>
      </c>
      <c r="C32" s="103">
        <f>'River loads'!CI32</f>
        <v>0</v>
      </c>
      <c r="D32" s="276">
        <f>'Local emissions'!Y32</f>
        <v>131.14278478925132</v>
      </c>
      <c r="E32" s="276">
        <f>'Local emissions'!AE32</f>
        <v>178.85100768134814</v>
      </c>
      <c r="F32" s="233">
        <f>'River loads'!BW32</f>
        <v>0.99292814149876818</v>
      </c>
      <c r="G32" s="147">
        <f>'River loads'!BZ32</f>
        <v>1.3417947858091461</v>
      </c>
      <c r="H32" s="276">
        <f>'River loads'!CF32</f>
        <v>6.9559175990361632</v>
      </c>
      <c r="I32" s="147"/>
      <c r="M32" s="147"/>
      <c r="N32" s="147"/>
      <c r="O32" s="147"/>
      <c r="P32" s="147"/>
      <c r="Q32" s="147"/>
      <c r="R32" s="147"/>
    </row>
    <row r="33" spans="1:18" ht="15.75" customHeight="1">
      <c r="A33" t="str">
        <f>Basicinfo!A33</f>
        <v>Dürre Ager</v>
      </c>
      <c r="B33">
        <f>Basicinfo!B33</f>
        <v>1250</v>
      </c>
      <c r="C33" s="103">
        <f>'River loads'!CI33</f>
        <v>0</v>
      </c>
      <c r="D33" s="276">
        <f>'Local emissions'!Y33</f>
        <v>96.481578314120114</v>
      </c>
      <c r="E33" s="276">
        <f>'Local emissions'!AE33</f>
        <v>121.2939701486096</v>
      </c>
      <c r="F33" s="233">
        <f>'River loads'!BW33</f>
        <v>1.9169776035826684</v>
      </c>
      <c r="G33" s="147">
        <f>'River loads'!BZ33</f>
        <v>2.5905102751117139</v>
      </c>
      <c r="H33" s="276">
        <f>'River loads'!CF33</f>
        <v>12.420019727844316</v>
      </c>
      <c r="I33" s="147"/>
      <c r="M33" s="147"/>
      <c r="N33" s="147"/>
      <c r="O33" s="147"/>
      <c r="P33" s="147"/>
      <c r="Q33" s="147"/>
      <c r="R33" s="147"/>
    </row>
    <row r="34" spans="1:18" ht="15.75" customHeight="1">
      <c r="A34" t="str">
        <f>Basicinfo!A34</f>
        <v>Vökla</v>
      </c>
      <c r="B34">
        <f>Basicinfo!B34</f>
        <v>1260</v>
      </c>
      <c r="C34" s="103">
        <f>'River loads'!CI34</f>
        <v>0</v>
      </c>
      <c r="D34" s="276">
        <f>'Local emissions'!Y34</f>
        <v>275.87799125278536</v>
      </c>
      <c r="E34" s="276">
        <f>'Local emissions'!AE34</f>
        <v>344.80823526486449</v>
      </c>
      <c r="F34" s="233">
        <f>'River loads'!BW34</f>
        <v>1.936641913316189</v>
      </c>
      <c r="G34" s="147">
        <f>'River loads'!BZ34</f>
        <v>2.6170836666434987</v>
      </c>
      <c r="H34" s="276">
        <f>'River loads'!CF34</f>
        <v>11.843348521568009</v>
      </c>
      <c r="I34" s="147"/>
      <c r="M34" s="147"/>
      <c r="N34" s="147"/>
      <c r="O34" s="147"/>
      <c r="P34" s="147"/>
      <c r="Q34" s="147"/>
      <c r="R34" s="147"/>
    </row>
    <row r="35" spans="1:18" ht="15.75" customHeight="1">
      <c r="A35" t="str">
        <f>Basicinfo!A35</f>
        <v>Vökla</v>
      </c>
      <c r="B35">
        <f>Basicinfo!B35</f>
        <v>1270</v>
      </c>
      <c r="C35" s="103">
        <f>'River loads'!CI35</f>
        <v>0</v>
      </c>
      <c r="D35" s="276">
        <f>'Local emissions'!Y35</f>
        <v>110.25203287045061</v>
      </c>
      <c r="E35" s="276">
        <f>'Local emissions'!AE35</f>
        <v>164.56970854443182</v>
      </c>
      <c r="F35" s="233">
        <f>'River loads'!BW35</f>
        <v>2.0093007703844306</v>
      </c>
      <c r="G35" s="147">
        <f>'River loads'!BZ35</f>
        <v>2.7152713113303117</v>
      </c>
      <c r="H35" s="276">
        <f>'River loads'!CF35</f>
        <v>13.355957434313149</v>
      </c>
      <c r="I35" s="147"/>
      <c r="M35" s="147"/>
      <c r="N35" s="147"/>
      <c r="O35" s="147"/>
      <c r="P35" s="147"/>
      <c r="Q35" s="147"/>
      <c r="R35" s="147"/>
    </row>
    <row r="36" spans="1:18" ht="15.75" customHeight="1">
      <c r="A36" t="str">
        <f>Basicinfo!A36</f>
        <v>Ager</v>
      </c>
      <c r="B36">
        <f>Basicinfo!B36</f>
        <v>1280</v>
      </c>
      <c r="C36" s="103">
        <f>'River loads'!CI36</f>
        <v>0</v>
      </c>
      <c r="D36" s="276">
        <f>'Local emissions'!Y36</f>
        <v>307.60990716997634</v>
      </c>
      <c r="E36" s="276">
        <f>'Local emissions'!AE36</f>
        <v>515.66556283792363</v>
      </c>
      <c r="F36" s="233">
        <f>'River loads'!BW36</f>
        <v>0.54797728507207832</v>
      </c>
      <c r="G36" s="147">
        <f>'River loads'!BZ36</f>
        <v>0.74050984469199777</v>
      </c>
      <c r="H36" s="276">
        <f>'River loads'!CF36</f>
        <v>5.7511776763981857</v>
      </c>
      <c r="I36" s="147"/>
      <c r="M36" s="147"/>
      <c r="N36" s="147"/>
      <c r="O36" s="147"/>
      <c r="P36" s="147"/>
      <c r="Q36" s="147"/>
      <c r="R36" s="147"/>
    </row>
    <row r="37" spans="1:18" ht="15.75" customHeight="1">
      <c r="A37" t="str">
        <f>Basicinfo!A37</f>
        <v>Ager</v>
      </c>
      <c r="B37">
        <f>Basicinfo!B37</f>
        <v>1290</v>
      </c>
      <c r="C37" s="103">
        <f>'River loads'!CI37</f>
        <v>0</v>
      </c>
      <c r="D37" s="276">
        <f>'Local emissions'!Y37</f>
        <v>386.98770091981748</v>
      </c>
      <c r="E37" s="276">
        <f>'Local emissions'!AE37</f>
        <v>583.75912628248864</v>
      </c>
      <c r="F37" s="233">
        <f>'River loads'!BW37</f>
        <v>1.2624053779914362</v>
      </c>
      <c r="G37" s="147">
        <f>'River loads'!BZ37</f>
        <v>1.7059532135019408</v>
      </c>
      <c r="H37" s="276">
        <f>'River loads'!CF37</f>
        <v>9.9755141760423918</v>
      </c>
      <c r="I37" s="147"/>
      <c r="M37" s="147"/>
      <c r="N37" s="147"/>
      <c r="O37" s="147"/>
      <c r="P37" s="147"/>
      <c r="Q37" s="147"/>
      <c r="R37" s="147"/>
    </row>
    <row r="38" spans="1:18" ht="15.75" customHeight="1">
      <c r="A38" t="str">
        <f>Basicinfo!A38</f>
        <v>Alm</v>
      </c>
      <c r="B38">
        <f>Basicinfo!B38</f>
        <v>1300</v>
      </c>
      <c r="C38" s="103">
        <f>'River loads'!CI38</f>
        <v>0</v>
      </c>
      <c r="D38" s="276">
        <f>'Local emissions'!Y38</f>
        <v>185.99972639859922</v>
      </c>
      <c r="E38" s="276">
        <f>'Local emissions'!AE38</f>
        <v>252.41182234133447</v>
      </c>
      <c r="F38" s="233">
        <f>'River loads'!BW38</f>
        <v>0.60845904795665762</v>
      </c>
      <c r="G38" s="147">
        <f>'River loads'!BZ38</f>
        <v>0.82224195669818601</v>
      </c>
      <c r="H38" s="276">
        <f>'River loads'!CF38</f>
        <v>3.3633984979801563</v>
      </c>
      <c r="I38" s="147"/>
      <c r="M38" s="147"/>
      <c r="N38" s="147"/>
      <c r="O38" s="147"/>
      <c r="P38" s="147"/>
      <c r="Q38" s="147"/>
      <c r="R38" s="147"/>
    </row>
    <row r="39" spans="1:18" ht="15.75" customHeight="1">
      <c r="A39" t="str">
        <f>Basicinfo!A39</f>
        <v>Alm</v>
      </c>
      <c r="B39">
        <f>Basicinfo!B39</f>
        <v>1310</v>
      </c>
      <c r="C39" s="103">
        <f>'River loads'!CI39</f>
        <v>0</v>
      </c>
      <c r="D39" s="276">
        <f>'Local emissions'!Y39</f>
        <v>239.90895375941909</v>
      </c>
      <c r="E39" s="276">
        <f>'Local emissions'!AE39</f>
        <v>326.70298811232851</v>
      </c>
      <c r="F39" s="233">
        <f>'River loads'!BW39</f>
        <v>0.92601025586051999</v>
      </c>
      <c r="G39" s="147">
        <f>'River loads'!BZ39</f>
        <v>1.2513652106223243</v>
      </c>
      <c r="H39" s="276">
        <f>'River loads'!CF39</f>
        <v>11.159203011307291</v>
      </c>
      <c r="I39" s="147"/>
      <c r="M39" s="147"/>
      <c r="N39" s="147"/>
      <c r="O39" s="147"/>
      <c r="P39" s="147"/>
      <c r="Q39" s="147"/>
      <c r="R39" s="147"/>
    </row>
    <row r="40" spans="1:18" ht="15.75" customHeight="1">
      <c r="A40" t="str">
        <f>Basicinfo!A40</f>
        <v>Krems</v>
      </c>
      <c r="B40">
        <f>Basicinfo!B40</f>
        <v>1320</v>
      </c>
      <c r="C40" s="103">
        <f>'River loads'!CI40</f>
        <v>1</v>
      </c>
      <c r="D40" s="276">
        <f>'Local emissions'!Y40</f>
        <v>193.61631789664602</v>
      </c>
      <c r="E40" s="276">
        <f>'Local emissions'!AE40</f>
        <v>272.78283447708469</v>
      </c>
      <c r="F40" s="233">
        <f>'River loads'!BW40</f>
        <v>2.5011980440936754</v>
      </c>
      <c r="G40" s="147">
        <f>'River loads'!BZ40</f>
        <v>3.379997356883345</v>
      </c>
      <c r="H40" s="276">
        <f>'River loads'!CF40</f>
        <v>15.534504048539954</v>
      </c>
      <c r="I40" s="147"/>
      <c r="M40" s="147"/>
      <c r="N40" s="147"/>
      <c r="O40" s="147"/>
      <c r="P40" s="147"/>
      <c r="Q40" s="147"/>
      <c r="R40" s="147"/>
    </row>
    <row r="41" spans="1:18" ht="15.75" customHeight="1">
      <c r="A41" t="str">
        <f>Basicinfo!A41</f>
        <v>Krems</v>
      </c>
      <c r="B41">
        <f>Basicinfo!B41</f>
        <v>1330</v>
      </c>
      <c r="C41" s="103">
        <f>'River loads'!CI41</f>
        <v>1</v>
      </c>
      <c r="D41" s="276">
        <f>'Local emissions'!Y41</f>
        <v>410.02861528873501</v>
      </c>
      <c r="E41" s="276">
        <f>'Local emissions'!AE41</f>
        <v>549.33364182057176</v>
      </c>
      <c r="F41" s="233">
        <f>'River loads'!BW41</f>
        <v>3.2671292679132944</v>
      </c>
      <c r="G41" s="147">
        <f>'River loads'!BZ41</f>
        <v>4.415039551234182</v>
      </c>
      <c r="H41" s="276">
        <f>'River loads'!CF41</f>
        <v>27.667363130289051</v>
      </c>
      <c r="I41" s="147"/>
      <c r="M41" s="147"/>
      <c r="N41" s="147"/>
      <c r="O41" s="147"/>
      <c r="P41" s="147"/>
      <c r="Q41" s="147"/>
      <c r="R41" s="147"/>
    </row>
    <row r="42" spans="1:18" ht="15.75" customHeight="1">
      <c r="A42" t="str">
        <f>Basicinfo!A42</f>
        <v>Ipfbach</v>
      </c>
      <c r="B42">
        <f>Basicinfo!B42</f>
        <v>1340</v>
      </c>
      <c r="C42" s="103">
        <f>'River loads'!CI42</f>
        <v>2</v>
      </c>
      <c r="D42" s="276">
        <f>'Local emissions'!Y42</f>
        <v>184.51591206235591</v>
      </c>
      <c r="E42" s="276">
        <f>'Local emissions'!AE42</f>
        <v>225.98882202557377</v>
      </c>
      <c r="F42" s="233">
        <f>'River loads'!BW42</f>
        <v>4.6238646559686334</v>
      </c>
      <c r="G42" s="147">
        <f>'River loads'!BZ42</f>
        <v>6.2484657513089639</v>
      </c>
      <c r="H42" s="276">
        <f>'River loads'!CF42</f>
        <v>28.350656635335611</v>
      </c>
      <c r="I42" s="147"/>
      <c r="M42" s="147"/>
      <c r="N42" s="147"/>
      <c r="O42" s="147"/>
      <c r="P42" s="147"/>
      <c r="Q42" s="147"/>
      <c r="R42" s="147"/>
    </row>
    <row r="43" spans="1:18" ht="15.75" customHeight="1">
      <c r="A43" t="str">
        <f>Basicinfo!A43</f>
        <v>Kristeinerbach</v>
      </c>
      <c r="B43">
        <f>Basicinfo!B43</f>
        <v>1350</v>
      </c>
      <c r="C43" s="103">
        <f>'River loads'!CI43</f>
        <v>1</v>
      </c>
      <c r="D43" s="276">
        <f>'Local emissions'!Y43</f>
        <v>180.69570623861975</v>
      </c>
      <c r="E43" s="276">
        <f>'Local emissions'!AE43</f>
        <v>224.52787503629855</v>
      </c>
      <c r="F43" s="233">
        <f>'River loads'!BW43</f>
        <v>3.5466429484999717</v>
      </c>
      <c r="G43" s="147">
        <f>'River loads'!BZ43</f>
        <v>4.7927607412161777</v>
      </c>
      <c r="H43" s="276">
        <f>'River loads'!CF43</f>
        <v>25.684590350167035</v>
      </c>
      <c r="I43" s="147"/>
      <c r="M43" s="147"/>
      <c r="N43" s="147"/>
      <c r="O43" s="147"/>
      <c r="P43" s="147"/>
      <c r="Q43" s="147"/>
      <c r="R43" s="147"/>
    </row>
    <row r="44" spans="1:18" ht="15.75" customHeight="1">
      <c r="A44" t="str">
        <f>Basicinfo!A44</f>
        <v>Kleine Gusen</v>
      </c>
      <c r="B44">
        <f>Basicinfo!B44</f>
        <v>1360</v>
      </c>
      <c r="C44" s="103">
        <f>'River loads'!CI44</f>
        <v>0</v>
      </c>
      <c r="D44" s="276">
        <f>'Local emissions'!Y44</f>
        <v>67.153054198973805</v>
      </c>
      <c r="E44" s="276">
        <f>'Local emissions'!AE44</f>
        <v>104.08797583258753</v>
      </c>
      <c r="F44" s="233">
        <f>'River loads'!BW44</f>
        <v>3.0142460915819331</v>
      </c>
      <c r="G44" s="147">
        <f>'River loads'!BZ44</f>
        <v>4.0733055291647746</v>
      </c>
      <c r="H44" s="276">
        <f>'River loads'!CF44</f>
        <v>21.422363501391924</v>
      </c>
      <c r="I44" s="147"/>
      <c r="M44" s="147"/>
      <c r="N44" s="147"/>
      <c r="O44" s="147"/>
      <c r="P44" s="147"/>
      <c r="Q44" s="147"/>
      <c r="R44" s="147"/>
    </row>
    <row r="45" spans="1:18" ht="15.75" customHeight="1">
      <c r="A45" t="str">
        <f>Basicinfo!A45</f>
        <v>Große Gusen</v>
      </c>
      <c r="B45">
        <f>Basicinfo!B45</f>
        <v>1370</v>
      </c>
      <c r="C45" s="103">
        <f>'River loads'!CI45</f>
        <v>0</v>
      </c>
      <c r="D45" s="276">
        <f>'Local emissions'!Y45</f>
        <v>66.479139453041967</v>
      </c>
      <c r="E45" s="276">
        <f>'Local emissions'!AE45</f>
        <v>119.10200591574238</v>
      </c>
      <c r="F45" s="233">
        <f>'River loads'!BW45</f>
        <v>2.9538660241678492</v>
      </c>
      <c r="G45" s="147">
        <f>'River loads'!BZ45</f>
        <v>3.9917108434700665</v>
      </c>
      <c r="H45" s="276">
        <f>'River loads'!CF45</f>
        <v>18.387610712715393</v>
      </c>
      <c r="I45" s="147"/>
      <c r="M45" s="147"/>
      <c r="N45" s="147"/>
      <c r="O45" s="147"/>
      <c r="P45" s="147"/>
      <c r="Q45" s="147"/>
      <c r="R45" s="147"/>
    </row>
    <row r="46" spans="1:18" ht="15.75" customHeight="1">
      <c r="A46" t="str">
        <f>Basicinfo!A46</f>
        <v>Gusen</v>
      </c>
      <c r="B46">
        <f>Basicinfo!B46</f>
        <v>1380</v>
      </c>
      <c r="C46" s="103">
        <f>'River loads'!CI46</f>
        <v>1</v>
      </c>
      <c r="D46" s="276">
        <f>'Local emissions'!Y46</f>
        <v>54.224127272163678</v>
      </c>
      <c r="E46" s="276">
        <f>'Local emissions'!AE46</f>
        <v>85.963617991484881</v>
      </c>
      <c r="F46" s="233">
        <f>'River loads'!BW46</f>
        <v>2.818753715060005</v>
      </c>
      <c r="G46" s="147">
        <f>'River loads'!BZ46</f>
        <v>3.8091266419729797</v>
      </c>
      <c r="H46" s="276">
        <f>'River loads'!CF46</f>
        <v>17.819428885839862</v>
      </c>
      <c r="I46" s="147"/>
      <c r="M46" s="147"/>
      <c r="N46" s="147"/>
      <c r="O46" s="147"/>
      <c r="P46" s="147"/>
      <c r="Q46" s="147"/>
      <c r="R46" s="147"/>
    </row>
    <row r="47" spans="1:18" ht="15.75" customHeight="1">
      <c r="A47" t="str">
        <f>Basicinfo!A47</f>
        <v>Reichramming Großer Bach</v>
      </c>
      <c r="B47">
        <f>Basicinfo!B47</f>
        <v>1520</v>
      </c>
      <c r="C47" s="103">
        <f>'River loads'!CI47</f>
        <v>0</v>
      </c>
      <c r="D47" s="276">
        <f>'Local emissions'!Y47</f>
        <v>108.42511078619764</v>
      </c>
      <c r="E47" s="276">
        <f>'Local emissions'!AE47</f>
        <v>152.57711346134045</v>
      </c>
      <c r="F47" s="233">
        <f>'River loads'!BW47</f>
        <v>0.68738830906910087</v>
      </c>
      <c r="G47" s="147">
        <f>'River loads'!BZ47</f>
        <v>0.92890312036364986</v>
      </c>
      <c r="H47" s="276">
        <f>'River loads'!CF47</f>
        <v>3.6893268805664308</v>
      </c>
      <c r="I47" s="147"/>
      <c r="M47" s="147"/>
      <c r="N47" s="147"/>
      <c r="O47" s="147"/>
      <c r="P47" s="147"/>
      <c r="Q47" s="147"/>
      <c r="R47" s="147"/>
    </row>
    <row r="48" spans="1:18" ht="15.75" customHeight="1">
      <c r="A48" t="str">
        <f>Basicinfo!A48</f>
        <v>Teichl</v>
      </c>
      <c r="B48">
        <f>Basicinfo!B48</f>
        <v>1530</v>
      </c>
      <c r="C48" s="103">
        <f>'River loads'!CI48</f>
        <v>0</v>
      </c>
      <c r="D48" s="276">
        <f>'Local emissions'!Y48</f>
        <v>235.75828918605197</v>
      </c>
      <c r="E48" s="276">
        <f>'Local emissions'!AE48</f>
        <v>354.09419396847812</v>
      </c>
      <c r="F48" s="233">
        <f>'River loads'!BW48</f>
        <v>0.80918996749854233</v>
      </c>
      <c r="G48" s="147">
        <f>'River loads'!BZ48</f>
        <v>1.0934999560791112</v>
      </c>
      <c r="H48" s="276">
        <f>'River loads'!CF48</f>
        <v>3.635684275194675</v>
      </c>
      <c r="I48" s="147"/>
      <c r="M48" s="147"/>
      <c r="N48" s="147"/>
      <c r="O48" s="147"/>
      <c r="P48" s="147"/>
      <c r="Q48" s="147"/>
      <c r="R48" s="147"/>
    </row>
    <row r="49" spans="1:18" ht="15.75" customHeight="1">
      <c r="A49" t="str">
        <f>Basicinfo!A49</f>
        <v>Krumme Steyrling</v>
      </c>
      <c r="B49">
        <f>Basicinfo!B49</f>
        <v>1540</v>
      </c>
      <c r="C49" s="103">
        <f>'River loads'!CI49</f>
        <v>0</v>
      </c>
      <c r="D49" s="276">
        <f>'Local emissions'!Y49</f>
        <v>108.65874426949733</v>
      </c>
      <c r="E49" s="276">
        <f>'Local emissions'!AE49</f>
        <v>139.32340992311023</v>
      </c>
      <c r="F49" s="233">
        <f>'River loads'!BW49</f>
        <v>0.96996788634160191</v>
      </c>
      <c r="G49" s="147">
        <f>'River loads'!BZ49</f>
        <v>1.3107674139751377</v>
      </c>
      <c r="H49" s="276">
        <f>'River loads'!CF49</f>
        <v>5.3923051934562585</v>
      </c>
      <c r="I49" s="147"/>
      <c r="M49" s="147"/>
      <c r="N49" s="147"/>
      <c r="O49" s="147"/>
      <c r="P49" s="147"/>
      <c r="Q49" s="147"/>
      <c r="R49" s="147"/>
    </row>
    <row r="50" spans="1:18" ht="15.75" customHeight="1">
      <c r="A50" t="str">
        <f>Basicinfo!A50</f>
        <v>Steyr</v>
      </c>
      <c r="B50">
        <f>Basicinfo!B50</f>
        <v>1550</v>
      </c>
      <c r="C50" s="103">
        <f>'River loads'!CI50</f>
        <v>0</v>
      </c>
      <c r="D50" s="276">
        <f>'Local emissions'!Y50</f>
        <v>17.792608292168694</v>
      </c>
      <c r="E50" s="276">
        <f>'Local emissions'!AE50</f>
        <v>28.651268096613041</v>
      </c>
      <c r="F50" s="233">
        <f>'River loads'!BW50</f>
        <v>0.58325002459189834</v>
      </c>
      <c r="G50" s="147">
        <f>'River loads'!BZ50</f>
        <v>0.78817570890797073</v>
      </c>
      <c r="H50" s="276">
        <f>'River loads'!CF50</f>
        <v>2.4976937446165612</v>
      </c>
      <c r="I50" s="147"/>
      <c r="M50" s="147"/>
      <c r="N50" s="147"/>
      <c r="O50" s="147"/>
      <c r="P50" s="147"/>
      <c r="Q50" s="147"/>
      <c r="R50" s="147"/>
    </row>
    <row r="51" spans="1:18" ht="15.75" customHeight="1">
      <c r="A51" t="str">
        <f>Basicinfo!A51</f>
        <v>Steyr</v>
      </c>
      <c r="B51">
        <f>Basicinfo!B51</f>
        <v>1560</v>
      </c>
      <c r="C51" s="103">
        <f>'River loads'!CI51</f>
        <v>0</v>
      </c>
      <c r="D51" s="276">
        <f>'Local emissions'!Y51</f>
        <v>489.92960603829937</v>
      </c>
      <c r="E51" s="276">
        <f>'Local emissions'!AE51</f>
        <v>651.19251606577063</v>
      </c>
      <c r="F51" s="233">
        <f>'River loads'!BW51</f>
        <v>0.92661908386753999</v>
      </c>
      <c r="G51" s="147">
        <f>'River loads'!BZ51</f>
        <v>1.2521879511723513</v>
      </c>
      <c r="H51" s="276">
        <f>'River loads'!CF51</f>
        <v>5.8124664556249375</v>
      </c>
      <c r="I51" s="147"/>
      <c r="M51" s="147"/>
      <c r="N51" s="147"/>
      <c r="O51" s="147"/>
      <c r="P51" s="147"/>
      <c r="Q51" s="147"/>
      <c r="R51" s="147"/>
    </row>
    <row r="52" spans="1:18" ht="15.75" customHeight="1">
      <c r="A52" t="str">
        <f>Basicinfo!A52</f>
        <v>Feldaist</v>
      </c>
      <c r="B52">
        <f>Basicinfo!B52</f>
        <v>1570</v>
      </c>
      <c r="C52" s="103">
        <f>'River loads'!CI52</f>
        <v>1</v>
      </c>
      <c r="D52" s="276">
        <f>'Local emissions'!Y52</f>
        <v>39.868148697149742</v>
      </c>
      <c r="E52" s="276">
        <f>'Local emissions'!AE52</f>
        <v>63.818233423250234</v>
      </c>
      <c r="F52" s="233">
        <f>'River loads'!BW52</f>
        <v>2.4785036271114</v>
      </c>
      <c r="G52" s="147">
        <f>'River loads'!BZ52</f>
        <v>3.3493292258262164</v>
      </c>
      <c r="H52" s="276">
        <f>'River loads'!CF52</f>
        <v>17.211308222427895</v>
      </c>
      <c r="I52" s="147"/>
      <c r="M52" s="147"/>
      <c r="N52" s="147"/>
      <c r="O52" s="147"/>
      <c r="P52" s="147"/>
      <c r="Q52" s="147"/>
      <c r="R52" s="147"/>
    </row>
    <row r="53" spans="1:18" ht="15.75" customHeight="1">
      <c r="A53" t="str">
        <f>Basicinfo!A53</f>
        <v>Feldaist</v>
      </c>
      <c r="B53">
        <f>Basicinfo!B53</f>
        <v>1580</v>
      </c>
      <c r="C53" s="103">
        <f>'River loads'!CI53</f>
        <v>0</v>
      </c>
      <c r="D53" s="276">
        <f>'Local emissions'!Y53</f>
        <v>99.284701382834527</v>
      </c>
      <c r="E53" s="276">
        <f>'Local emissions'!AE53</f>
        <v>181.12967008797446</v>
      </c>
      <c r="F53" s="233">
        <f>'River loads'!BW53</f>
        <v>2.4939789873660172</v>
      </c>
      <c r="G53" s="147">
        <f>'River loads'!BZ53</f>
        <v>3.3702418748189422</v>
      </c>
      <c r="H53" s="276">
        <f>'River loads'!CF53</f>
        <v>15.619067551413028</v>
      </c>
      <c r="I53" s="147"/>
      <c r="M53" s="147"/>
      <c r="N53" s="147"/>
      <c r="O53" s="147"/>
      <c r="P53" s="147"/>
      <c r="Q53" s="147"/>
      <c r="R53" s="147"/>
    </row>
    <row r="54" spans="1:18" ht="15.75" customHeight="1">
      <c r="A54" t="str">
        <f>Basicinfo!A54</f>
        <v>Waldaist</v>
      </c>
      <c r="B54">
        <f>Basicinfo!B54</f>
        <v>1590</v>
      </c>
      <c r="C54" s="103">
        <f>'River loads'!CI54</f>
        <v>0</v>
      </c>
      <c r="D54" s="276">
        <f>'Local emissions'!Y54</f>
        <v>146.57749684039234</v>
      </c>
      <c r="E54" s="276">
        <f>'Local emissions'!AE54</f>
        <v>208.54451506819962</v>
      </c>
      <c r="F54" s="233">
        <f>'River loads'!BW54</f>
        <v>1.5066369262871828</v>
      </c>
      <c r="G54" s="147">
        <f>'River loads'!BZ54</f>
        <v>2.0359958463340311</v>
      </c>
      <c r="H54" s="276">
        <f>'River loads'!CF54</f>
        <v>10.911566046286872</v>
      </c>
      <c r="I54" s="147"/>
      <c r="M54" s="147"/>
      <c r="N54" s="147"/>
      <c r="O54" s="147"/>
      <c r="P54" s="147"/>
      <c r="Q54" s="147"/>
      <c r="R54" s="147"/>
    </row>
    <row r="55" spans="1:18" ht="15.75" customHeight="1">
      <c r="A55" t="str">
        <f>Basicinfo!A55</f>
        <v>Aist</v>
      </c>
      <c r="B55">
        <f>Basicinfo!B55</f>
        <v>1600</v>
      </c>
      <c r="C55" s="103">
        <f>'River loads'!CI55</f>
        <v>0</v>
      </c>
      <c r="D55" s="276">
        <f>'Local emissions'!Y55</f>
        <v>61.401725991434319</v>
      </c>
      <c r="E55" s="276">
        <f>'Local emissions'!AE55</f>
        <v>87.804960049318893</v>
      </c>
      <c r="F55" s="233">
        <f>'River loads'!BW55</f>
        <v>1.922617417763743</v>
      </c>
      <c r="G55" s="147">
        <f>'River loads'!BZ55</f>
        <v>2.5981316456266796</v>
      </c>
      <c r="H55" s="276">
        <f>'River loads'!CF55</f>
        <v>14.919854509197387</v>
      </c>
      <c r="I55" s="147"/>
      <c r="M55" s="147"/>
      <c r="N55" s="147"/>
      <c r="O55" s="147"/>
      <c r="P55" s="147"/>
      <c r="Q55" s="147"/>
      <c r="R55" s="147"/>
    </row>
    <row r="56" spans="1:18" ht="15.75" customHeight="1">
      <c r="A56" t="str">
        <f>Basicinfo!A56</f>
        <v>Klammbach</v>
      </c>
      <c r="B56">
        <f>Basicinfo!B56</f>
        <v>1620</v>
      </c>
      <c r="C56" s="103">
        <f>'River loads'!CI56</f>
        <v>0</v>
      </c>
      <c r="D56" s="276">
        <f>'Local emissions'!Y56</f>
        <v>48.994282965749939</v>
      </c>
      <c r="E56" s="276">
        <f>'Local emissions'!AE56</f>
        <v>72.292300053131214</v>
      </c>
      <c r="F56" s="233">
        <f>'River loads'!BW56</f>
        <v>1.6613917586774301</v>
      </c>
      <c r="G56" s="147">
        <f>'River loads'!BZ56</f>
        <v>2.2451239982127436</v>
      </c>
      <c r="H56" s="276">
        <f>'River loads'!CF56</f>
        <v>11.079334106588766</v>
      </c>
      <c r="I56" s="147"/>
      <c r="M56" s="147"/>
      <c r="N56" s="147"/>
      <c r="O56" s="147"/>
      <c r="P56" s="147"/>
      <c r="Q56" s="147"/>
      <c r="R56" s="147"/>
    </row>
    <row r="57" spans="1:18" ht="15.75" customHeight="1">
      <c r="A57" t="str">
        <f>Basicinfo!A57</f>
        <v>Klammleitenbach</v>
      </c>
      <c r="B57">
        <f>Basicinfo!B57</f>
        <v>1630</v>
      </c>
      <c r="C57" s="103">
        <f>'River loads'!CI57</f>
        <v>0</v>
      </c>
      <c r="D57" s="276">
        <f>'Local emissions'!Y57</f>
        <v>33.334862813415711</v>
      </c>
      <c r="E57" s="276">
        <f>'Local emissions'!AE57</f>
        <v>45.120157432640923</v>
      </c>
      <c r="F57" s="233">
        <f>'River loads'!BW57</f>
        <v>1.1605918783265363</v>
      </c>
      <c r="G57" s="147">
        <f>'River loads'!BZ57</f>
        <v>1.5683674031439681</v>
      </c>
      <c r="H57" s="276">
        <f>'River loads'!CF57</f>
        <v>8.0250713242975227</v>
      </c>
      <c r="I57" s="147"/>
      <c r="M57" s="147"/>
      <c r="N57" s="147"/>
      <c r="O57" s="147"/>
      <c r="P57" s="147"/>
      <c r="Q57" s="147"/>
      <c r="R57" s="147"/>
    </row>
    <row r="58" spans="1:18" ht="15.75" customHeight="1">
      <c r="A58" t="str">
        <f>Basicinfo!A58</f>
        <v>Große Naarn</v>
      </c>
      <c r="B58">
        <f>Basicinfo!B58</f>
        <v>1640</v>
      </c>
      <c r="C58" s="103">
        <f>'River loads'!CI58</f>
        <v>0</v>
      </c>
      <c r="D58" s="276">
        <f>'Local emissions'!Y58</f>
        <v>187.76487871322217</v>
      </c>
      <c r="E58" s="276">
        <f>'Local emissions'!AE58</f>
        <v>248.13767828489105</v>
      </c>
      <c r="F58" s="233">
        <f>'River loads'!BW58</f>
        <v>1.5921559107181278</v>
      </c>
      <c r="G58" s="147">
        <f>'River loads'!BZ58</f>
        <v>2.1515620415109837</v>
      </c>
      <c r="H58" s="276">
        <f>'River loads'!CF58</f>
        <v>13.490442462216075</v>
      </c>
      <c r="I58" s="147"/>
      <c r="M58" s="147"/>
      <c r="N58" s="147"/>
      <c r="O58" s="147"/>
      <c r="P58" s="147"/>
      <c r="Q58" s="147"/>
      <c r="R58" s="147"/>
    </row>
    <row r="59" spans="1:18" ht="15.75" customHeight="1">
      <c r="A59" t="str">
        <f>Basicinfo!A59</f>
        <v>Kartenbach</v>
      </c>
      <c r="B59">
        <f>Basicinfo!B59</f>
        <v>3650</v>
      </c>
      <c r="C59" s="103">
        <f>'River loads'!CI59</f>
        <v>1</v>
      </c>
      <c r="D59" s="276">
        <f>'Local emissions'!Y59</f>
        <v>28.780076815187321</v>
      </c>
      <c r="E59" s="276">
        <f>'Local emissions'!AE59</f>
        <v>66.812331147008294</v>
      </c>
      <c r="F59" s="233">
        <f>'River loads'!BW59</f>
        <v>2.4354076929624142</v>
      </c>
      <c r="G59" s="147">
        <f>'River loads'!BZ59</f>
        <v>3.2910914769762356</v>
      </c>
      <c r="H59" s="276">
        <f>'River loads'!CF59</f>
        <v>10.936324718288658</v>
      </c>
      <c r="I59" s="147"/>
      <c r="M59" s="147"/>
      <c r="N59" s="147"/>
      <c r="O59" s="147"/>
      <c r="P59" s="147"/>
      <c r="Q59" s="147"/>
      <c r="R59" s="147"/>
    </row>
    <row r="60" spans="1:18" ht="15.75" customHeight="1">
      <c r="A60" t="str">
        <f>Basicinfo!A60</f>
        <v>Maltsch</v>
      </c>
      <c r="B60">
        <f>Basicinfo!B60</f>
        <v>3660</v>
      </c>
      <c r="C60" s="103">
        <f>'River loads'!CI60</f>
        <v>0</v>
      </c>
      <c r="D60" s="276">
        <f>'Local emissions'!Y60</f>
        <v>51.964536232067019</v>
      </c>
      <c r="E60" s="276">
        <f>'Local emissions'!AE60</f>
        <v>77.929510459108897</v>
      </c>
      <c r="F60" s="233">
        <f>'River loads'!BW60</f>
        <v>1.8901299398910749</v>
      </c>
      <c r="G60" s="147">
        <f>'River loads'!BZ60</f>
        <v>2.5542296485014528</v>
      </c>
      <c r="H60" s="276">
        <f>'River loads'!CF60</f>
        <v>12.599987761294996</v>
      </c>
      <c r="I60" s="147"/>
      <c r="M60" s="147"/>
      <c r="N60" s="147"/>
      <c r="O60" s="147"/>
      <c r="P60" s="147"/>
      <c r="Q60" s="147"/>
      <c r="R60" s="147"/>
    </row>
    <row r="61" spans="1:18" ht="15.75" customHeight="1">
      <c r="A61" t="str">
        <f>Basicinfo!A61</f>
        <v>Traun</v>
      </c>
      <c r="B61">
        <f>Basicinfo!B61</f>
        <v>4010</v>
      </c>
      <c r="C61" s="103">
        <f>'River loads'!CI61</f>
        <v>0</v>
      </c>
      <c r="D61" s="276">
        <f>'Local emissions'!Y61</f>
        <v>565.95604324913324</v>
      </c>
      <c r="E61" s="276">
        <f>'Local emissions'!AE61</f>
        <v>917.38288798581993</v>
      </c>
      <c r="F61" s="233">
        <f>'River loads'!BW61</f>
        <v>0.59084271792647969</v>
      </c>
      <c r="G61" s="147">
        <f>'River loads'!BZ61</f>
        <v>0.79843610530605369</v>
      </c>
      <c r="H61" s="276">
        <f>'River loads'!CF61</f>
        <v>3.7226449773912709</v>
      </c>
      <c r="I61" s="147"/>
      <c r="M61" s="147"/>
      <c r="N61" s="147"/>
      <c r="O61" s="147"/>
      <c r="P61" s="147"/>
      <c r="Q61" s="147"/>
      <c r="R61" s="147"/>
    </row>
    <row r="62" spans="1:18" ht="15.75" customHeight="1">
      <c r="A62" t="str">
        <f>Basicinfo!A62</f>
        <v>Traun</v>
      </c>
      <c r="B62">
        <f>Basicinfo!B62</f>
        <v>4020</v>
      </c>
      <c r="C62" s="103">
        <f>'River loads'!CI62</f>
        <v>0</v>
      </c>
      <c r="D62" s="276">
        <f>'Local emissions'!Y62</f>
        <v>1317.6713402354649</v>
      </c>
      <c r="E62" s="276">
        <f>'Local emissions'!AE62</f>
        <v>2235.4193644344964</v>
      </c>
      <c r="F62" s="233">
        <f>'River loads'!BW62</f>
        <v>1.1847938275115859</v>
      </c>
      <c r="G62" s="147">
        <f>'River loads'!BZ62</f>
        <v>1.6010727398805216</v>
      </c>
      <c r="H62" s="276">
        <f>'River loads'!CF62</f>
        <v>10.701996843993136</v>
      </c>
      <c r="I62" s="147"/>
      <c r="M62" s="147"/>
      <c r="N62" s="147"/>
      <c r="O62" s="147"/>
      <c r="P62" s="147"/>
      <c r="Q62" s="147"/>
      <c r="R62" s="147"/>
    </row>
    <row r="63" spans="1:18" ht="15.75" customHeight="1">
      <c r="A63" t="str">
        <f>Basicinfo!A63</f>
        <v>Enns</v>
      </c>
      <c r="B63">
        <f>Basicinfo!B63</f>
        <v>4080</v>
      </c>
      <c r="C63" s="103">
        <f>'River loads'!CI63</f>
        <v>0</v>
      </c>
      <c r="D63" s="276">
        <f>'Local emissions'!Y63</f>
        <v>608.54859903023248</v>
      </c>
      <c r="E63" s="276">
        <f>'Local emissions'!AE63</f>
        <v>951.53671231840656</v>
      </c>
      <c r="F63" s="233">
        <f>'River loads'!BW63</f>
        <v>0.88625156188317633</v>
      </c>
      <c r="G63" s="147">
        <f>'River loads'!BZ63</f>
        <v>1.1976372457880762</v>
      </c>
      <c r="H63" s="276">
        <f>'River loads'!CF63</f>
        <v>5.4616199673529406</v>
      </c>
      <c r="I63" s="147"/>
      <c r="M63" s="147"/>
      <c r="N63" s="147"/>
      <c r="O63" s="147"/>
      <c r="P63" s="147"/>
      <c r="Q63" s="147"/>
      <c r="R63" s="147"/>
    </row>
    <row r="64" spans="1:18" ht="15.75" customHeight="1">
      <c r="A64" t="str">
        <f>Basicinfo!A64</f>
        <v>Donau</v>
      </c>
      <c r="B64">
        <f>Basicinfo!B64</f>
        <v>4990</v>
      </c>
      <c r="C64" s="103">
        <f>'River loads'!CI64</f>
        <v>0</v>
      </c>
      <c r="D64" s="276">
        <f>'Local emissions'!Y64</f>
        <v>99.624828364582669</v>
      </c>
      <c r="E64" s="276">
        <f>'Local emissions'!AE64</f>
        <v>153.53330303869208</v>
      </c>
      <c r="F64" s="233">
        <f>'River loads'!BW64</f>
        <v>2.041962494934336</v>
      </c>
      <c r="G64" s="147">
        <f>'River loads'!BZ64</f>
        <v>2.759408776938292</v>
      </c>
      <c r="H64" s="276">
        <f>'River loads'!CF64</f>
        <v>10.717609710330096</v>
      </c>
      <c r="I64" s="147"/>
      <c r="M64" s="147"/>
      <c r="N64" s="147"/>
      <c r="O64" s="147"/>
      <c r="P64" s="147"/>
      <c r="Q64" s="147"/>
      <c r="R64" s="147"/>
    </row>
    <row r="65" spans="1:18" ht="15.75" customHeight="1">
      <c r="A65" t="str">
        <f>Basicinfo!A65</f>
        <v>Donau</v>
      </c>
      <c r="B65">
        <f>Basicinfo!B65</f>
        <v>5000</v>
      </c>
      <c r="C65" s="103">
        <f>'River loads'!CI65</f>
        <v>0</v>
      </c>
      <c r="D65" s="276">
        <f>'Local emissions'!Y65</f>
        <v>135.77554775206514</v>
      </c>
      <c r="E65" s="276">
        <f>'Local emissions'!AE65</f>
        <v>234.04311924541199</v>
      </c>
      <c r="F65" s="233">
        <f>'River loads'!BW65</f>
        <v>1.8734991491935404</v>
      </c>
      <c r="G65" s="147">
        <f>'River loads'!BZ65</f>
        <v>2.5317556070182978</v>
      </c>
      <c r="H65" s="276">
        <f>'River loads'!CF65</f>
        <v>10.005185420168935</v>
      </c>
      <c r="I65" s="147"/>
      <c r="M65" s="147"/>
      <c r="N65" s="147"/>
      <c r="O65" s="147"/>
      <c r="P65" s="147"/>
      <c r="Q65" s="147"/>
      <c r="R65" s="147"/>
    </row>
    <row r="66" spans="1:18" ht="15.75" customHeight="1">
      <c r="A66" t="str">
        <f>Basicinfo!A66</f>
        <v>Donau</v>
      </c>
      <c r="B66">
        <f>Basicinfo!B66</f>
        <v>5010</v>
      </c>
      <c r="C66" s="103">
        <f>'River loads'!CI66</f>
        <v>0</v>
      </c>
      <c r="D66" s="276">
        <f>'Local emissions'!Y66</f>
        <v>91.091808237795604</v>
      </c>
      <c r="E66" s="276">
        <f>'Local emissions'!AE66</f>
        <v>2075.7462712089614</v>
      </c>
      <c r="F66" s="233">
        <f>'River loads'!BW66</f>
        <v>1.7042895982020347</v>
      </c>
      <c r="G66" s="147">
        <f>'River loads'!BZ66</f>
        <v>2.3030940516243712</v>
      </c>
      <c r="H66" s="276">
        <f>'River loads'!CF66</f>
        <v>17.759242160650231</v>
      </c>
      <c r="I66" s="147"/>
      <c r="M66" s="147"/>
      <c r="N66" s="147"/>
      <c r="O66" s="147"/>
      <c r="P66" s="147"/>
      <c r="Q66" s="147"/>
      <c r="R66" s="147"/>
    </row>
    <row r="67" spans="1:18" ht="15.75" customHeight="1">
      <c r="A67" t="str">
        <f>Basicinfo!A67</f>
        <v>Donau</v>
      </c>
      <c r="B67">
        <f>Basicinfo!B67</f>
        <v>5020</v>
      </c>
      <c r="C67" s="103">
        <f>'River loads'!CI67</f>
        <v>0</v>
      </c>
      <c r="D67" s="276">
        <f>'Local emissions'!Y67</f>
        <v>286.8526395594784</v>
      </c>
      <c r="E67" s="276">
        <f>'Local emissions'!AE67</f>
        <v>410.17896136600052</v>
      </c>
      <c r="F67" s="233">
        <f>'River loads'!BW67</f>
        <v>1.3215107068558898</v>
      </c>
      <c r="G67" s="147">
        <f>'River loads'!BZ67</f>
        <v>1.7858252795349863</v>
      </c>
      <c r="H67" s="276">
        <f>'River loads'!CF67</f>
        <v>12.626063417004593</v>
      </c>
      <c r="I67" s="147"/>
      <c r="M67" s="147"/>
      <c r="N67" s="147"/>
      <c r="O67" s="147"/>
      <c r="P67" s="147"/>
      <c r="Q67" s="147"/>
      <c r="R67" s="147"/>
    </row>
    <row r="68" spans="1:18" ht="15.75" customHeight="1">
      <c r="A68" t="str">
        <f>Basicinfo!A68</f>
        <v>Talbach</v>
      </c>
      <c r="B68">
        <f>Basicinfo!B68</f>
        <v>1390</v>
      </c>
      <c r="C68" s="103">
        <f>'River loads'!CI68</f>
        <v>0</v>
      </c>
      <c r="D68" s="276">
        <f>'Local emissions'!Y68</f>
        <v>48.679128704913857</v>
      </c>
      <c r="E68" s="276">
        <f>'Local emissions'!AE68</f>
        <v>76.602796315039754</v>
      </c>
      <c r="F68" s="233">
        <f>'River loads'!BW68</f>
        <v>0.41140284325176629</v>
      </c>
      <c r="G68" s="147">
        <f>'River loads'!BZ68</f>
        <v>0.55594978817806251</v>
      </c>
      <c r="H68" s="276">
        <f>'River loads'!CF68</f>
        <v>2.5723469545378861</v>
      </c>
      <c r="I68" s="147"/>
      <c r="M68" s="147"/>
      <c r="N68" s="147"/>
      <c r="O68" s="147"/>
      <c r="P68" s="147"/>
      <c r="Q68" s="147"/>
      <c r="R68" s="147"/>
    </row>
    <row r="69" spans="1:18" ht="15.75" customHeight="1">
      <c r="A69" t="str">
        <f>Basicinfo!A69</f>
        <v>Kleinsölkbach</v>
      </c>
      <c r="B69">
        <f>Basicinfo!B69</f>
        <v>1400</v>
      </c>
      <c r="C69" s="103">
        <f>'River loads'!CI69</f>
        <v>0</v>
      </c>
      <c r="D69" s="276">
        <f>'Local emissions'!Y69</f>
        <v>48.927124309917431</v>
      </c>
      <c r="E69" s="276">
        <f>'Local emissions'!AE69</f>
        <v>66.063055106314792</v>
      </c>
      <c r="F69" s="233">
        <f>'River loads'!BW69</f>
        <v>0.4601223251543633</v>
      </c>
      <c r="G69" s="147">
        <f>'River loads'!BZ69</f>
        <v>0.62178692588427475</v>
      </c>
      <c r="H69" s="276">
        <f>'River loads'!CF69</f>
        <v>3.2094200693323578</v>
      </c>
      <c r="I69" s="147"/>
      <c r="M69" s="147"/>
      <c r="N69" s="147"/>
      <c r="O69" s="147"/>
      <c r="P69" s="147"/>
      <c r="Q69" s="147"/>
      <c r="R69" s="147"/>
    </row>
    <row r="70" spans="1:18" ht="15.75" customHeight="1">
      <c r="A70" t="str">
        <f>Basicinfo!A70</f>
        <v>Sölkbach</v>
      </c>
      <c r="B70">
        <f>Basicinfo!B70</f>
        <v>1410</v>
      </c>
      <c r="C70" s="103">
        <f>'River loads'!CI70</f>
        <v>0</v>
      </c>
      <c r="D70" s="276">
        <f>'Local emissions'!Y70</f>
        <v>44.070917620979536</v>
      </c>
      <c r="E70" s="276">
        <f>'Local emissions'!AE70</f>
        <v>55.200568189019279</v>
      </c>
      <c r="F70" s="233">
        <f>'River loads'!BW70</f>
        <v>0.44396283930803404</v>
      </c>
      <c r="G70" s="147">
        <f>'River loads'!BZ70</f>
        <v>0.5999497828486946</v>
      </c>
      <c r="H70" s="276">
        <f>'River loads'!CF70</f>
        <v>3.3751439871608553</v>
      </c>
      <c r="I70" s="147"/>
      <c r="M70" s="147"/>
      <c r="N70" s="147"/>
      <c r="O70" s="147"/>
      <c r="P70" s="147"/>
      <c r="Q70" s="147"/>
      <c r="R70" s="147"/>
    </row>
    <row r="71" spans="1:18" ht="15.75" customHeight="1">
      <c r="A71" t="str">
        <f>Basicinfo!A71</f>
        <v>Salza</v>
      </c>
      <c r="B71">
        <f>Basicinfo!B71</f>
        <v>1420</v>
      </c>
      <c r="C71" s="103">
        <f>'River loads'!CI71</f>
        <v>0</v>
      </c>
      <c r="D71" s="276">
        <f>'Local emissions'!Y71</f>
        <v>261.45211953038825</v>
      </c>
      <c r="E71" s="276">
        <f>'Local emissions'!AE71</f>
        <v>361.61112358503186</v>
      </c>
      <c r="F71" s="233">
        <f>'River loads'!BW71</f>
        <v>0.94820944610177316</v>
      </c>
      <c r="G71" s="147">
        <f>'River loads'!BZ71</f>
        <v>1.2813641163537475</v>
      </c>
      <c r="H71" s="276">
        <f>'River loads'!CF71</f>
        <v>4.5000842756003934</v>
      </c>
      <c r="I71" s="147"/>
      <c r="M71" s="147"/>
      <c r="N71" s="147"/>
      <c r="O71" s="147"/>
      <c r="P71" s="147"/>
      <c r="Q71" s="147"/>
      <c r="R71" s="147"/>
    </row>
    <row r="72" spans="1:18" ht="15.75" customHeight="1">
      <c r="A72" t="str">
        <f>Basicinfo!A72</f>
        <v>Donnersbach</v>
      </c>
      <c r="B72">
        <f>Basicinfo!B72</f>
        <v>1430</v>
      </c>
      <c r="C72" s="103">
        <f>'River loads'!CI72</f>
        <v>0</v>
      </c>
      <c r="D72" s="276">
        <f>'Local emissions'!Y72</f>
        <v>75.351868966806364</v>
      </c>
      <c r="E72" s="276">
        <f>'Local emissions'!AE72</f>
        <v>104.41233033841976</v>
      </c>
      <c r="F72" s="233">
        <f>'River loads'!BW72</f>
        <v>1.0571915877724458</v>
      </c>
      <c r="G72" s="147">
        <f>'River loads'!BZ72</f>
        <v>1.4286372807735754</v>
      </c>
      <c r="H72" s="276">
        <f>'River loads'!CF72</f>
        <v>7.842851822846403</v>
      </c>
      <c r="I72" s="147"/>
      <c r="M72" s="147"/>
      <c r="N72" s="147"/>
      <c r="O72" s="147"/>
      <c r="P72" s="147"/>
      <c r="Q72" s="147"/>
      <c r="R72" s="147"/>
    </row>
    <row r="73" spans="1:18" ht="15.75" customHeight="1">
      <c r="A73" t="str">
        <f>Basicinfo!A73</f>
        <v>Gufling</v>
      </c>
      <c r="B73">
        <f>Basicinfo!B73</f>
        <v>1440</v>
      </c>
      <c r="C73" s="103">
        <f>'River loads'!CI73</f>
        <v>0</v>
      </c>
      <c r="D73" s="276">
        <f>'Local emissions'!Y73</f>
        <v>60.324747562820477</v>
      </c>
      <c r="E73" s="276">
        <f>'Local emissions'!AE73</f>
        <v>88.86581258075897</v>
      </c>
      <c r="F73" s="233">
        <f>'River loads'!BW73</f>
        <v>0.51354865317414322</v>
      </c>
      <c r="G73" s="147">
        <f>'River loads'!BZ73</f>
        <v>0.69398466645154488</v>
      </c>
      <c r="H73" s="276">
        <f>'River loads'!CF73</f>
        <v>3.1791910288351426</v>
      </c>
      <c r="I73" s="147"/>
      <c r="M73" s="147"/>
      <c r="N73" s="147"/>
      <c r="O73" s="147"/>
      <c r="P73" s="147"/>
      <c r="Q73" s="147"/>
      <c r="R73" s="147"/>
    </row>
    <row r="74" spans="1:18" ht="15.75" customHeight="1">
      <c r="A74" t="str">
        <f>Basicinfo!A74</f>
        <v>Triebenbach</v>
      </c>
      <c r="B74">
        <f>Basicinfo!B74</f>
        <v>1450</v>
      </c>
      <c r="C74" s="103">
        <f>'River loads'!CI74</f>
        <v>0</v>
      </c>
      <c r="D74" s="276">
        <f>'Local emissions'!Y74</f>
        <v>43.69665883029419</v>
      </c>
      <c r="E74" s="276">
        <f>'Local emissions'!AE74</f>
        <v>60.823786196140105</v>
      </c>
      <c r="F74" s="233">
        <f>'River loads'!BW74</f>
        <v>0.56424330409510559</v>
      </c>
      <c r="G74" s="147">
        <f>'River loads'!BZ74</f>
        <v>0.76249095147987245</v>
      </c>
      <c r="H74" s="276">
        <f>'River loads'!CF74</f>
        <v>3.5860151180448767</v>
      </c>
      <c r="I74" s="147"/>
      <c r="M74" s="147"/>
      <c r="N74" s="147"/>
      <c r="O74" s="147"/>
      <c r="P74" s="147"/>
      <c r="Q74" s="147"/>
      <c r="R74" s="147"/>
    </row>
    <row r="75" spans="1:18" ht="15.75" customHeight="1">
      <c r="A75" t="str">
        <f>Basicinfo!A75</f>
        <v>Patten</v>
      </c>
      <c r="B75">
        <f>Basicinfo!B75</f>
        <v>1460</v>
      </c>
      <c r="C75" s="103">
        <f>'River loads'!CI75</f>
        <v>0</v>
      </c>
      <c r="D75" s="276">
        <f>'Local emissions'!Y75</f>
        <v>114.68315042909975</v>
      </c>
      <c r="E75" s="276">
        <f>'Local emissions'!AE75</f>
        <v>206.94115927934109</v>
      </c>
      <c r="F75" s="233">
        <f>'River loads'!BW75</f>
        <v>0.68411705306112736</v>
      </c>
      <c r="G75" s="147">
        <f>'River loads'!BZ75</f>
        <v>0.92448250413665856</v>
      </c>
      <c r="H75" s="276">
        <f>'River loads'!CF75</f>
        <v>3.040366154980604</v>
      </c>
      <c r="I75" s="147"/>
      <c r="M75" s="147"/>
      <c r="N75" s="147"/>
      <c r="O75" s="147"/>
      <c r="P75" s="147"/>
      <c r="Q75" s="147"/>
      <c r="R75" s="147"/>
    </row>
    <row r="76" spans="1:18" ht="15.75" customHeight="1">
      <c r="A76" t="str">
        <f>Basicinfo!A76</f>
        <v>Erzbach</v>
      </c>
      <c r="B76">
        <f>Basicinfo!B76</f>
        <v>1470</v>
      </c>
      <c r="C76" s="103">
        <f>'River loads'!CI76</f>
        <v>0</v>
      </c>
      <c r="D76" s="276">
        <f>'Local emissions'!Y76</f>
        <v>188.31146316956244</v>
      </c>
      <c r="E76" s="276">
        <f>'Local emissions'!AE76</f>
        <v>258.34315000363131</v>
      </c>
      <c r="F76" s="233">
        <f>'River loads'!BW76</f>
        <v>0.77045587182096376</v>
      </c>
      <c r="G76" s="147">
        <f>'River loads'!BZ76</f>
        <v>1.0411565835418428</v>
      </c>
      <c r="H76" s="276">
        <f>'River loads'!CF76</f>
        <v>3.9716549715688876</v>
      </c>
      <c r="I76" s="147"/>
      <c r="M76" s="147"/>
      <c r="N76" s="147"/>
      <c r="O76" s="147"/>
      <c r="P76" s="147"/>
      <c r="Q76" s="147"/>
      <c r="R76" s="147"/>
    </row>
    <row r="77" spans="1:18" ht="15.75" customHeight="1">
      <c r="A77" t="str">
        <f>Basicinfo!A77</f>
        <v>Aschbach</v>
      </c>
      <c r="B77">
        <f>Basicinfo!B77</f>
        <v>1480</v>
      </c>
      <c r="C77" s="103">
        <f>'River loads'!CI77</f>
        <v>0</v>
      </c>
      <c r="D77" s="276">
        <f>'Local emissions'!Y77</f>
        <v>88.913411173498829</v>
      </c>
      <c r="E77" s="276">
        <f>'Local emissions'!AE77</f>
        <v>105.22420341987811</v>
      </c>
      <c r="F77" s="233">
        <f>'River loads'!BW77</f>
        <v>1.1043684555442539</v>
      </c>
      <c r="G77" s="147">
        <f>'River loads'!BZ77</f>
        <v>1.4923898047895323</v>
      </c>
      <c r="H77" s="276">
        <f>'River loads'!CF77</f>
        <v>6.3247636685719497</v>
      </c>
      <c r="I77" s="147"/>
      <c r="M77" s="147"/>
      <c r="N77" s="147"/>
      <c r="O77" s="147"/>
      <c r="P77" s="147"/>
      <c r="Q77" s="147"/>
      <c r="R77" s="147"/>
    </row>
    <row r="78" spans="1:18" ht="15.75" customHeight="1">
      <c r="A78" t="str">
        <f>Basicinfo!A78</f>
        <v>Lassingbach</v>
      </c>
      <c r="B78">
        <f>Basicinfo!B78</f>
        <v>1490</v>
      </c>
      <c r="C78" s="103">
        <f>'River loads'!CI78</f>
        <v>0</v>
      </c>
      <c r="D78" s="276">
        <f>'Local emissions'!Y78</f>
        <v>86.500259711736561</v>
      </c>
      <c r="E78" s="276">
        <f>'Local emissions'!AE78</f>
        <v>114.4849047184035</v>
      </c>
      <c r="F78" s="233">
        <f>'River loads'!BW78</f>
        <v>0.74240166363063598</v>
      </c>
      <c r="G78" s="147">
        <f>'River loads'!BZ78</f>
        <v>1.0032454913927513</v>
      </c>
      <c r="H78" s="276">
        <f>'River loads'!CF78</f>
        <v>3.8303674472932712</v>
      </c>
      <c r="I78" s="147"/>
      <c r="M78" s="147"/>
      <c r="N78" s="147"/>
      <c r="O78" s="147"/>
      <c r="P78" s="147"/>
      <c r="Q78" s="147"/>
      <c r="R78" s="147"/>
    </row>
    <row r="79" spans="1:18" ht="15.75" customHeight="1">
      <c r="A79" t="str">
        <f>Basicinfo!A79</f>
        <v>Salza</v>
      </c>
      <c r="B79">
        <f>Basicinfo!B79</f>
        <v>1500</v>
      </c>
      <c r="C79" s="103">
        <f>'River loads'!CI79</f>
        <v>0</v>
      </c>
      <c r="D79" s="276">
        <f>'Local emissions'!Y79</f>
        <v>270.58782761992495</v>
      </c>
      <c r="E79" s="276">
        <f>'Local emissions'!AE79</f>
        <v>353.225098225414</v>
      </c>
      <c r="F79" s="233">
        <f>'River loads'!BW79</f>
        <v>0.77184508033378207</v>
      </c>
      <c r="G79" s="147">
        <f>'River loads'!BZ79</f>
        <v>1.0430338923429487</v>
      </c>
      <c r="H79" s="276">
        <f>'River loads'!CF79</f>
        <v>4.1767084416714919</v>
      </c>
      <c r="I79" s="147"/>
      <c r="M79" s="147"/>
      <c r="N79" s="147"/>
      <c r="O79" s="147"/>
      <c r="P79" s="147"/>
      <c r="Q79" s="147"/>
      <c r="R79" s="147"/>
    </row>
    <row r="80" spans="1:18" ht="15.75" customHeight="1">
      <c r="A80" t="str">
        <f>Basicinfo!A80</f>
        <v>Salza</v>
      </c>
      <c r="B80">
        <f>Basicinfo!B80</f>
        <v>1510</v>
      </c>
      <c r="C80" s="103">
        <f>'River loads'!CI80</f>
        <v>0</v>
      </c>
      <c r="D80" s="276">
        <f>'Local emissions'!Y80</f>
        <v>258.13563384875192</v>
      </c>
      <c r="E80" s="276">
        <f>'Local emissions'!AE80</f>
        <v>319.14560038087632</v>
      </c>
      <c r="F80" s="233">
        <f>'River loads'!BW80</f>
        <v>0.88027837432211598</v>
      </c>
      <c r="G80" s="147">
        <f>'River loads'!BZ80</f>
        <v>1.1895653707055622</v>
      </c>
      <c r="H80" s="276">
        <f>'River loads'!CF80</f>
        <v>5.9398878927474277</v>
      </c>
      <c r="I80" s="147"/>
      <c r="M80" s="147"/>
      <c r="N80" s="147"/>
      <c r="O80" s="147"/>
      <c r="P80" s="147"/>
      <c r="Q80" s="147"/>
      <c r="R80" s="147"/>
    </row>
    <row r="81" spans="1:18" ht="15.75" customHeight="1">
      <c r="A81" t="str">
        <f>Basicinfo!A81</f>
        <v>Traun</v>
      </c>
      <c r="B81">
        <f>Basicinfo!B81</f>
        <v>4000</v>
      </c>
      <c r="C81" s="103">
        <f>'River loads'!CI81</f>
        <v>0</v>
      </c>
      <c r="D81" s="276">
        <f>'Local emissions'!Y81</f>
        <v>298.02166178277974</v>
      </c>
      <c r="E81" s="276">
        <f>'Local emissions'!AE81</f>
        <v>450.35154917057542</v>
      </c>
      <c r="F81" s="233">
        <f>'River loads'!BW81</f>
        <v>0.59552342465633779</v>
      </c>
      <c r="G81" s="147">
        <f>'River loads'!BZ81</f>
        <v>0.80476138467072678</v>
      </c>
      <c r="H81" s="276">
        <f>'River loads'!CF81</f>
        <v>3.0734949722991018</v>
      </c>
      <c r="I81" s="147"/>
      <c r="M81" s="147"/>
      <c r="N81" s="147"/>
      <c r="O81" s="147"/>
      <c r="P81" s="147"/>
      <c r="Q81" s="147"/>
      <c r="R81" s="147"/>
    </row>
    <row r="82" spans="1:18" ht="15.75" customHeight="1">
      <c r="A82" t="str">
        <f>Basicinfo!A82</f>
        <v>Enns</v>
      </c>
      <c r="B82">
        <f>Basicinfo!B82</f>
        <v>4050</v>
      </c>
      <c r="C82" s="103">
        <f>'River loads'!CI82</f>
        <v>0</v>
      </c>
      <c r="D82" s="276">
        <f>'Local emissions'!Y82</f>
        <v>534.53237659039632</v>
      </c>
      <c r="E82" s="276">
        <f>'Local emissions'!AE82</f>
        <v>717.54128979527343</v>
      </c>
      <c r="F82" s="233">
        <f>'River loads'!BW82</f>
        <v>0.98445678559164584</v>
      </c>
      <c r="G82" s="147">
        <f>'River loads'!BZ82</f>
        <v>1.3303470075562782</v>
      </c>
      <c r="H82" s="276">
        <f>'River loads'!CF82</f>
        <v>5.9840220668824644</v>
      </c>
      <c r="I82" s="147"/>
      <c r="M82" s="147"/>
      <c r="N82" s="147"/>
      <c r="O82" s="147"/>
      <c r="P82" s="147"/>
      <c r="Q82" s="147"/>
      <c r="R82" s="147"/>
    </row>
    <row r="83" spans="1:18" ht="15.75" customHeight="1">
      <c r="A83" t="str">
        <f>Basicinfo!A83</f>
        <v>Enns</v>
      </c>
      <c r="B83">
        <f>Basicinfo!B83</f>
        <v>4060</v>
      </c>
      <c r="C83" s="103">
        <f>'River loads'!CI83</f>
        <v>0</v>
      </c>
      <c r="D83" s="276">
        <f>'Local emissions'!Y83</f>
        <v>414.74124619263318</v>
      </c>
      <c r="E83" s="276">
        <f>'Local emissions'!AE83</f>
        <v>601.63202079860264</v>
      </c>
      <c r="F83" s="233">
        <f>'River loads'!BW83</f>
        <v>0.84739485529392744</v>
      </c>
      <c r="G83" s="147">
        <f>'River loads'!BZ83</f>
        <v>1.1451281828296316</v>
      </c>
      <c r="H83" s="276">
        <f>'River loads'!CF83</f>
        <v>4.3756576589216003</v>
      </c>
      <c r="I83" s="147"/>
      <c r="M83" s="147"/>
      <c r="N83" s="147"/>
      <c r="O83" s="147"/>
      <c r="P83" s="147"/>
      <c r="Q83" s="147"/>
      <c r="R83" s="147"/>
    </row>
    <row r="84" spans="1:18" ht="15.75" customHeight="1">
      <c r="A84" t="str">
        <f>Basicinfo!A84</f>
        <v>Enns</v>
      </c>
      <c r="B84">
        <f>Basicinfo!B84</f>
        <v>4070</v>
      </c>
      <c r="C84" s="103">
        <f>'River loads'!CI84</f>
        <v>0</v>
      </c>
      <c r="D84" s="276">
        <f>'Local emissions'!Y84</f>
        <v>529.90320193753757</v>
      </c>
      <c r="E84" s="276">
        <f>'Local emissions'!AE84</f>
        <v>635.80834249405223</v>
      </c>
      <c r="F84" s="233">
        <f>'River loads'!BW84</f>
        <v>0.86845026528326053</v>
      </c>
      <c r="G84" s="147">
        <f>'River loads'!BZ84</f>
        <v>1.1735814395719737</v>
      </c>
      <c r="H84" s="276">
        <f>'River loads'!CF84</f>
        <v>8.1956333710097482</v>
      </c>
      <c r="I84" s="147"/>
      <c r="M84" s="147"/>
      <c r="N84" s="147"/>
      <c r="O84" s="147"/>
      <c r="P84" s="147"/>
      <c r="Q84" s="147"/>
      <c r="R84" s="147"/>
    </row>
    <row r="85" spans="1:18" ht="15.75" customHeight="1">
      <c r="A85" t="str">
        <f>Basicinfo!A85</f>
        <v>EZG_restlich1</v>
      </c>
      <c r="B85">
        <f>Basicinfo!B85</f>
        <v>61141</v>
      </c>
      <c r="C85" s="103">
        <f>'River loads'!CI85</f>
        <v>0</v>
      </c>
      <c r="D85" s="276">
        <f>'Local emissions'!Y85</f>
        <v>113.57244043258754</v>
      </c>
      <c r="E85" s="276">
        <f>'Local emissions'!AE85</f>
        <v>217.13111466385178</v>
      </c>
      <c r="F85" s="233"/>
      <c r="H85" s="276"/>
      <c r="I85" s="147"/>
      <c r="M85" s="147"/>
      <c r="N85" s="147"/>
      <c r="O85" s="147"/>
      <c r="P85" s="147"/>
      <c r="Q85" s="147"/>
      <c r="R85" s="147"/>
    </row>
    <row r="86" spans="1:18" ht="15.75" customHeight="1">
      <c r="A86" t="str">
        <f>Basicinfo!A86</f>
        <v>EZG_restlich2</v>
      </c>
      <c r="B86">
        <f>Basicinfo!B86</f>
        <v>61142</v>
      </c>
      <c r="C86" s="103">
        <f>'River loads'!CI86</f>
        <v>0</v>
      </c>
      <c r="D86" s="276">
        <f>'Local emissions'!Y86</f>
        <v>54.725054203514865</v>
      </c>
      <c r="E86" s="276">
        <f>'Local emissions'!AE86</f>
        <v>98.91303465474806</v>
      </c>
      <c r="F86" s="233"/>
      <c r="H86" s="276"/>
      <c r="I86" s="147"/>
      <c r="M86" s="147"/>
      <c r="N86" s="147"/>
      <c r="O86" s="147"/>
      <c r="P86" s="147"/>
      <c r="Q86" s="147"/>
      <c r="R86" s="147"/>
    </row>
    <row r="87" spans="1:18" ht="15.75" customHeight="1">
      <c r="A87" t="str">
        <f>Basicinfo!A87</f>
        <v>EZG_restlich3</v>
      </c>
      <c r="B87">
        <f>Basicinfo!B87</f>
        <v>61151</v>
      </c>
      <c r="C87" s="103">
        <f>'River loads'!CI87</f>
        <v>0</v>
      </c>
      <c r="D87" s="276">
        <f>'Local emissions'!Y87</f>
        <v>18.138030000634878</v>
      </c>
      <c r="E87" s="276">
        <f>'Local emissions'!AE87</f>
        <v>22.727016904766611</v>
      </c>
      <c r="F87" s="233"/>
      <c r="H87" s="276"/>
      <c r="I87" s="147"/>
      <c r="M87" s="147"/>
      <c r="N87" s="147"/>
      <c r="O87" s="147"/>
      <c r="P87" s="147"/>
      <c r="Q87" s="147"/>
      <c r="R87" s="147"/>
    </row>
    <row r="88" spans="1:18" ht="15.75" customHeight="1">
      <c r="A88" t="str">
        <f>Basicinfo!A88</f>
        <v>EZG_restlich4</v>
      </c>
      <c r="B88">
        <f>Basicinfo!B88</f>
        <v>61152</v>
      </c>
      <c r="C88" s="103">
        <f>'River loads'!CI88</f>
        <v>0</v>
      </c>
      <c r="D88" s="276">
        <f>'Local emissions'!Y88</f>
        <v>17.513736240725713</v>
      </c>
      <c r="E88" s="276">
        <f>'Local emissions'!AE88</f>
        <v>21.890323614152564</v>
      </c>
      <c r="F88" s="233"/>
      <c r="H88" s="276"/>
      <c r="I88" s="147"/>
      <c r="M88" s="147"/>
      <c r="N88" s="147"/>
      <c r="O88" s="147"/>
      <c r="P88" s="147"/>
      <c r="Q88" s="147"/>
      <c r="R88" s="147"/>
    </row>
    <row r="90" spans="1:18">
      <c r="D90" s="147">
        <f>SUM(D4:D67)</f>
        <v>11388.191591876464</v>
      </c>
      <c r="E90" s="147">
        <f>SUM(E4:E67)</f>
        <v>18968.104450468007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3"/>
  <dimension ref="A1:AM144"/>
  <sheetViews>
    <sheetView topLeftCell="J1" workbookViewId="0">
      <selection activeCell="Z41" sqref="Z41"/>
    </sheetView>
  </sheetViews>
  <sheetFormatPr baseColWidth="10" defaultRowHeight="13"/>
  <sheetData>
    <row r="1" spans="1:39" ht="48">
      <c r="L1" s="421" t="s">
        <v>740</v>
      </c>
      <c r="M1" s="422"/>
      <c r="N1" s="421" t="s">
        <v>741</v>
      </c>
      <c r="O1" s="422"/>
      <c r="P1" s="421" t="s">
        <v>742</v>
      </c>
      <c r="Q1" s="422"/>
      <c r="R1" s="421" t="s">
        <v>743</v>
      </c>
      <c r="S1" s="422"/>
      <c r="T1" s="421" t="s">
        <v>744</v>
      </c>
      <c r="U1" s="422"/>
      <c r="V1" s="421" t="s">
        <v>745</v>
      </c>
      <c r="W1" s="422"/>
      <c r="X1" s="427" t="s">
        <v>746</v>
      </c>
      <c r="Y1" s="429" t="s">
        <v>747</v>
      </c>
      <c r="Z1" s="429" t="s">
        <v>748</v>
      </c>
      <c r="AB1" s="262" t="s">
        <v>831</v>
      </c>
      <c r="AC1" s="262" t="s">
        <v>832</v>
      </c>
      <c r="AD1" s="262" t="s">
        <v>833</v>
      </c>
      <c r="AE1" s="263" t="s">
        <v>834</v>
      </c>
      <c r="AF1" s="263" t="s">
        <v>578</v>
      </c>
      <c r="AG1" s="264" t="s">
        <v>835</v>
      </c>
      <c r="AH1" s="264" t="s">
        <v>836</v>
      </c>
      <c r="AI1" s="264" t="s">
        <v>837</v>
      </c>
      <c r="AJ1" s="265" t="s">
        <v>838</v>
      </c>
      <c r="AM1" s="272" t="s">
        <v>923</v>
      </c>
    </row>
    <row r="2" spans="1:39">
      <c r="L2" s="250" t="s">
        <v>749</v>
      </c>
      <c r="M2" s="250" t="s">
        <v>750</v>
      </c>
      <c r="N2" s="250" t="s">
        <v>749</v>
      </c>
      <c r="O2" s="250" t="s">
        <v>750</v>
      </c>
      <c r="P2" s="250" t="s">
        <v>749</v>
      </c>
      <c r="Q2" s="250" t="s">
        <v>750</v>
      </c>
      <c r="R2" s="250" t="s">
        <v>749</v>
      </c>
      <c r="S2" s="250" t="s">
        <v>750</v>
      </c>
      <c r="T2" s="250" t="s">
        <v>749</v>
      </c>
      <c r="U2" s="250" t="s">
        <v>750</v>
      </c>
      <c r="V2" s="250" t="s">
        <v>749</v>
      </c>
      <c r="W2" s="250" t="s">
        <v>750</v>
      </c>
      <c r="X2" s="428"/>
      <c r="Y2" s="429"/>
      <c r="Z2" s="429"/>
      <c r="AB2" t="s">
        <v>839</v>
      </c>
      <c r="AD2">
        <v>205369</v>
      </c>
      <c r="AE2" s="266" t="e">
        <f>VLOOKUP(AB2,[4]Pges_unfiltr_y_loads!$A$2:$Q$73,17,FALSE)</f>
        <v>#N/A</v>
      </c>
      <c r="AF2" s="266" t="e">
        <f>VLOOKUP(AB2,[4]Ortho_P_y_loads!$A$2:$Q$73,17,FALSE)</f>
        <v>#N/A</v>
      </c>
      <c r="AG2" s="266" t="e">
        <f>VLOOKUP(AB2,[4]Ammonium_y_loads!$A$2:$Q$73,17,FALSE)</f>
        <v>#N/A</v>
      </c>
      <c r="AH2" s="266" t="e">
        <f>VLOOKUP(AB2,[4]Nitrit_y_loads!$A$2:$Q$73,17,FALSE)</f>
        <v>#N/A</v>
      </c>
      <c r="AI2" s="266" t="e">
        <f>VLOOKUP(AB2,[4]Nitrat_y_loads!$A$2:$R$73,17,FALSE)</f>
        <v>#N/A</v>
      </c>
      <c r="AJ2" s="266" t="e">
        <f>SUM(AG2:AI2)</f>
        <v>#N/A</v>
      </c>
      <c r="AL2">
        <v>580</v>
      </c>
      <c r="AM2">
        <v>4.9850537634408614</v>
      </c>
    </row>
    <row r="3" spans="1:39">
      <c r="A3">
        <v>2405</v>
      </c>
      <c r="B3" s="147">
        <v>0.10054999999999999</v>
      </c>
      <c r="C3">
        <v>0.2</v>
      </c>
      <c r="E3" s="188">
        <v>11</v>
      </c>
      <c r="F3" s="147">
        <v>0.67715116279069776</v>
      </c>
      <c r="G3" s="147">
        <v>0.83624999999999994</v>
      </c>
      <c r="J3">
        <f>Y3</f>
        <v>630</v>
      </c>
      <c r="K3" t="s">
        <v>751</v>
      </c>
      <c r="L3">
        <v>22.713333333333335</v>
      </c>
      <c r="M3">
        <v>32.599999999999994</v>
      </c>
      <c r="N3">
        <v>6.0842696629213502E-2</v>
      </c>
      <c r="O3">
        <v>0.11</v>
      </c>
      <c r="P3">
        <v>3.4674157303370777E-2</v>
      </c>
      <c r="Q3" s="332">
        <v>5.3800000000000008E-2</v>
      </c>
      <c r="R3">
        <v>1.0544943820224726E-2</v>
      </c>
      <c r="S3">
        <v>1.6E-2</v>
      </c>
      <c r="T3">
        <v>1.7539325842696625</v>
      </c>
      <c r="U3">
        <v>2.1200000000000006</v>
      </c>
      <c r="V3">
        <v>4.0842696629213478E-2</v>
      </c>
      <c r="W3">
        <v>8.600000000000009E-2</v>
      </c>
      <c r="X3" t="s">
        <v>752</v>
      </c>
      <c r="Y3">
        <v>630</v>
      </c>
      <c r="Z3" s="188">
        <v>0.7740832976422638</v>
      </c>
      <c r="AB3" t="s">
        <v>774</v>
      </c>
      <c r="AC3">
        <v>1280</v>
      </c>
      <c r="AD3">
        <v>205369</v>
      </c>
      <c r="AE3" s="266" t="e">
        <f>VLOOKUP(AB3,[4]Pges_unfiltr_y_loads!$A$2:$Q$73,17,FALSE)</f>
        <v>#N/A</v>
      </c>
      <c r="AF3" s="266" t="e">
        <f>VLOOKUP(AB3,[4]Ortho_P_y_loads!$A$2:$Q$73,17,FALSE)</f>
        <v>#N/A</v>
      </c>
      <c r="AG3" s="266" t="e">
        <f>VLOOKUP(AB3,[4]Ammonium_y_loads!$A$2:$Q$73,17,FALSE)</f>
        <v>#N/A</v>
      </c>
      <c r="AH3" s="266" t="e">
        <f>VLOOKUP(AB3,[4]Nitrit_y_loads!$A$2:$Q$73,17,FALSE)</f>
        <v>#N/A</v>
      </c>
      <c r="AI3" s="266" t="e">
        <f>VLOOKUP(AB3,[4]Nitrat_y_loads!$A$2:$R$73,17,FALSE)</f>
        <v>#N/A</v>
      </c>
      <c r="AJ3" s="266" t="e">
        <f t="shared" ref="AJ3:AJ66" si="0">SUM(AG3:AI3)</f>
        <v>#N/A</v>
      </c>
      <c r="AL3">
        <v>600</v>
      </c>
      <c r="AM3">
        <v>3.7881290322580652</v>
      </c>
    </row>
    <row r="4" spans="1:39">
      <c r="A4">
        <v>2580</v>
      </c>
      <c r="B4" s="147">
        <v>0.16060196078431369</v>
      </c>
      <c r="C4">
        <v>0.36349999999999999</v>
      </c>
      <c r="E4" s="188">
        <v>30</v>
      </c>
      <c r="F4" s="147">
        <v>0.54947457627118668</v>
      </c>
      <c r="G4" s="147">
        <v>1.1571000000000002</v>
      </c>
      <c r="J4">
        <f t="shared" ref="J4:J38" si="1">Y4</f>
        <v>650</v>
      </c>
      <c r="K4" t="s">
        <v>753</v>
      </c>
      <c r="L4">
        <v>4.6363636363636367</v>
      </c>
      <c r="M4">
        <v>11</v>
      </c>
      <c r="N4">
        <v>6.9741573033707885E-2</v>
      </c>
      <c r="O4">
        <v>0.12</v>
      </c>
      <c r="P4">
        <v>4.5584269662921333E-2</v>
      </c>
      <c r="Q4" s="332">
        <v>7.0999999999999994E-2</v>
      </c>
      <c r="R4">
        <v>6.9269662921348342E-3</v>
      </c>
      <c r="S4">
        <v>1.2E-2</v>
      </c>
      <c r="T4">
        <v>2.9966292134831467</v>
      </c>
      <c r="U4">
        <v>3.5</v>
      </c>
      <c r="V4">
        <v>1.9887640449438203E-2</v>
      </c>
      <c r="W4">
        <v>0.04</v>
      </c>
      <c r="X4" t="s">
        <v>754</v>
      </c>
      <c r="Y4">
        <v>650</v>
      </c>
      <c r="Z4" s="188">
        <v>0.21011618185626446</v>
      </c>
      <c r="AB4" t="s">
        <v>840</v>
      </c>
      <c r="AD4">
        <v>205369</v>
      </c>
      <c r="AE4" s="266" t="e">
        <f>VLOOKUP(AB4,[4]Pges_unfiltr_y_loads!$A$2:$Q$73,17,FALSE)</f>
        <v>#N/A</v>
      </c>
      <c r="AF4" s="266" t="e">
        <f>VLOOKUP(AB4,[4]Ortho_P_y_loads!$A$2:$Q$73,17,FALSE)</f>
        <v>#N/A</v>
      </c>
      <c r="AG4" s="266" t="e">
        <f>VLOOKUP(AB4,[4]Ammonium_y_loads!$A$2:$Q$73,17,FALSE)</f>
        <v>#N/A</v>
      </c>
      <c r="AH4" s="266" t="e">
        <f>VLOOKUP(AB4,[4]Nitrit_y_loads!$A$2:$Q$73,17,FALSE)</f>
        <v>#N/A</v>
      </c>
      <c r="AI4" s="266" t="e">
        <f>VLOOKUP(AB4,[4]Nitrat_y_loads!$A$2:$R$73,17,FALSE)</f>
        <v>#N/A</v>
      </c>
      <c r="AJ4" s="266" t="e">
        <f t="shared" si="0"/>
        <v>#N/A</v>
      </c>
      <c r="AL4">
        <v>610</v>
      </c>
      <c r="AM4">
        <v>4.209032258064517</v>
      </c>
    </row>
    <row r="5" spans="1:39">
      <c r="A5" t="e">
        <v>#N/A</v>
      </c>
      <c r="B5" s="147">
        <v>4.6972068965517234E-2</v>
      </c>
      <c r="C5">
        <v>0.10439999999999998</v>
      </c>
      <c r="E5" s="188">
        <v>60</v>
      </c>
      <c r="F5" s="147">
        <v>0.31637083333333327</v>
      </c>
      <c r="G5" s="147">
        <v>0.41084999999999999</v>
      </c>
      <c r="J5">
        <f t="shared" si="1"/>
        <v>670</v>
      </c>
      <c r="K5" t="s">
        <v>755</v>
      </c>
      <c r="L5">
        <v>7.05</v>
      </c>
      <c r="M5">
        <v>24</v>
      </c>
      <c r="N5">
        <v>0.17509999999999998</v>
      </c>
      <c r="O5">
        <v>0.27</v>
      </c>
      <c r="P5">
        <v>0.13777777777777778</v>
      </c>
      <c r="Q5" s="332">
        <v>0.2010000000000001</v>
      </c>
      <c r="R5">
        <v>2.5766666666666656E-2</v>
      </c>
      <c r="S5">
        <v>4.4100000000000007E-2</v>
      </c>
      <c r="T5">
        <v>2.5722222222222233</v>
      </c>
      <c r="U5">
        <v>3.3200000000000016</v>
      </c>
      <c r="V5">
        <v>0.10383333333333335</v>
      </c>
      <c r="W5">
        <v>0.18</v>
      </c>
      <c r="X5" t="s">
        <v>756</v>
      </c>
      <c r="Y5">
        <v>670</v>
      </c>
      <c r="Z5" s="188">
        <v>1.0241121370968216</v>
      </c>
      <c r="AB5" t="s">
        <v>841</v>
      </c>
      <c r="AD5">
        <v>205369</v>
      </c>
      <c r="AE5" s="266" t="e">
        <f>VLOOKUP(AB5,[4]Pges_unfiltr_y_loads!$A$2:$Q$73,17,FALSE)</f>
        <v>#N/A</v>
      </c>
      <c r="AF5" s="266" t="e">
        <f>VLOOKUP(AB5,[4]Ortho_P_y_loads!$A$2:$Q$73,17,FALSE)</f>
        <v>#N/A</v>
      </c>
      <c r="AG5" s="266" t="e">
        <f>VLOOKUP(AB5,[4]Ammonium_y_loads!$A$2:$Q$73,17,FALSE)</f>
        <v>#N/A</v>
      </c>
      <c r="AH5" s="266" t="e">
        <f>VLOOKUP(AB5,[4]Nitrit_y_loads!$A$2:$Q$73,17,FALSE)</f>
        <v>#N/A</v>
      </c>
      <c r="AI5" s="266" t="e">
        <f>VLOOKUP(AB5,[4]Nitrat_y_loads!$A$2:$R$73,17,FALSE)</f>
        <v>#N/A</v>
      </c>
      <c r="AJ5" s="266" t="e">
        <f t="shared" si="0"/>
        <v>#N/A</v>
      </c>
      <c r="AL5">
        <v>620</v>
      </c>
      <c r="AM5">
        <v>1.974</v>
      </c>
    </row>
    <row r="6" spans="1:39">
      <c r="A6">
        <v>2370</v>
      </c>
      <c r="B6" s="147">
        <v>5.5104302325581375E-2</v>
      </c>
      <c r="C6">
        <v>9.2860000000000012E-2</v>
      </c>
      <c r="E6" s="188">
        <v>80</v>
      </c>
      <c r="F6" s="147">
        <v>0.15639772727272724</v>
      </c>
      <c r="G6" s="147">
        <v>0.20735000000000003</v>
      </c>
      <c r="J6">
        <f t="shared" si="1"/>
        <v>680</v>
      </c>
      <c r="K6" t="s">
        <v>757</v>
      </c>
      <c r="L6">
        <v>30.772727272727273</v>
      </c>
      <c r="M6">
        <v>24</v>
      </c>
      <c r="N6">
        <v>0.18301111111111118</v>
      </c>
      <c r="O6">
        <v>0.28999999999999998</v>
      </c>
      <c r="P6">
        <v>0.12955555555555562</v>
      </c>
      <c r="Q6" s="332">
        <v>0.2010000000000001</v>
      </c>
      <c r="R6">
        <v>2.4633333333333316E-2</v>
      </c>
      <c r="S6">
        <v>4.8100000000000011E-2</v>
      </c>
      <c r="T6">
        <v>2.7033333333333331</v>
      </c>
      <c r="U6">
        <v>3.6</v>
      </c>
      <c r="V6">
        <v>6.0444444444444419E-2</v>
      </c>
      <c r="W6">
        <v>0.12100000000000008</v>
      </c>
      <c r="Y6">
        <v>680</v>
      </c>
      <c r="Z6" s="188">
        <v>5.1778085885162852</v>
      </c>
      <c r="AB6" t="s">
        <v>842</v>
      </c>
      <c r="AD6">
        <v>205427</v>
      </c>
      <c r="AE6" s="266" t="e">
        <f>VLOOKUP(AB6,[4]Pges_unfiltr_y_loads!$A$2:$Q$73,17,FALSE)</f>
        <v>#N/A</v>
      </c>
      <c r="AF6" s="266" t="e">
        <f>VLOOKUP(AB6,[4]Ortho_P_y_loads!$A$2:$Q$73,17,FALSE)</f>
        <v>#N/A</v>
      </c>
      <c r="AG6" s="266" t="e">
        <f>VLOOKUP(AB6,[4]Ammonium_y_loads!$A$2:$Q$73,17,FALSE)</f>
        <v>#N/A</v>
      </c>
      <c r="AH6" s="266" t="e">
        <f>VLOOKUP(AB6,[4]Nitrit_y_loads!$A$2:$Q$73,17,FALSE)</f>
        <v>#N/A</v>
      </c>
      <c r="AI6" s="266" t="e">
        <f>VLOOKUP(AB6,[4]Nitrat_y_loads!$A$2:$R$73,17,FALSE)</f>
        <v>#N/A</v>
      </c>
      <c r="AJ6" s="266" t="e">
        <f t="shared" si="0"/>
        <v>#N/A</v>
      </c>
      <c r="AL6">
        <v>630</v>
      </c>
      <c r="AM6">
        <v>2.7840909090909092</v>
      </c>
    </row>
    <row r="7" spans="1:39">
      <c r="A7">
        <v>2660</v>
      </c>
      <c r="B7" s="147">
        <v>4.8347386363636356E-2</v>
      </c>
      <c r="C7">
        <v>7.980000000000001E-2</v>
      </c>
      <c r="E7" s="188">
        <v>120</v>
      </c>
      <c r="F7" s="147">
        <v>0.39586885245901643</v>
      </c>
      <c r="G7" s="147">
        <v>0.77744999999999997</v>
      </c>
      <c r="J7">
        <f t="shared" si="1"/>
        <v>690</v>
      </c>
      <c r="K7" t="s">
        <v>758</v>
      </c>
      <c r="L7">
        <v>18.666666666666668</v>
      </c>
      <c r="M7">
        <v>30.200000000000003</v>
      </c>
      <c r="N7">
        <v>0.2405698924731183</v>
      </c>
      <c r="O7">
        <v>0.40799999999999997</v>
      </c>
      <c r="P7">
        <v>0.1745268817204301</v>
      </c>
      <c r="Q7" s="332">
        <v>0.32</v>
      </c>
      <c r="R7">
        <v>3.0290322580645158E-2</v>
      </c>
      <c r="S7">
        <v>5.3799999999999994E-2</v>
      </c>
      <c r="T7">
        <v>2.2591397849462371</v>
      </c>
      <c r="U7">
        <v>3.3</v>
      </c>
      <c r="V7">
        <v>0.12795698924731186</v>
      </c>
      <c r="W7">
        <v>0.21199999999999988</v>
      </c>
      <c r="Y7">
        <v>690</v>
      </c>
      <c r="Z7" s="188">
        <v>3.4481338365757637</v>
      </c>
      <c r="AB7" t="s">
        <v>843</v>
      </c>
      <c r="AD7">
        <v>205450</v>
      </c>
      <c r="AE7" s="266" t="e">
        <f>VLOOKUP(AB7,[4]Pges_unfiltr_y_loads!$A$2:$Q$73,17,FALSE)</f>
        <v>#N/A</v>
      </c>
      <c r="AF7" s="266" t="e">
        <f>VLOOKUP(AB7,[4]Ortho_P_y_loads!$A$2:$Q$73,17,FALSE)</f>
        <v>#N/A</v>
      </c>
      <c r="AG7" s="266" t="e">
        <f>VLOOKUP(AB7,[4]Ammonium_y_loads!$A$2:$Q$73,17,FALSE)</f>
        <v>#N/A</v>
      </c>
      <c r="AH7" s="266" t="e">
        <f>VLOOKUP(AB7,[4]Nitrit_y_loads!$A$2:$Q$73,17,FALSE)</f>
        <v>#N/A</v>
      </c>
      <c r="AI7" s="266" t="e">
        <f>VLOOKUP(AB7,[4]Nitrat_y_loads!$A$2:$R$73,17,FALSE)</f>
        <v>#N/A</v>
      </c>
      <c r="AJ7" s="266" t="e">
        <f t="shared" si="0"/>
        <v>#N/A</v>
      </c>
      <c r="AL7">
        <v>640</v>
      </c>
      <c r="AM7">
        <v>3.314838709677419</v>
      </c>
    </row>
    <row r="8" spans="1:39">
      <c r="A8">
        <v>2595</v>
      </c>
      <c r="B8" s="147">
        <v>8.8978000000000015E-2</v>
      </c>
      <c r="C8">
        <v>0.1542</v>
      </c>
      <c r="E8" s="188">
        <v>170</v>
      </c>
      <c r="F8" s="147">
        <v>0.5801294642857141</v>
      </c>
      <c r="G8" s="147">
        <v>0.93799999999999994</v>
      </c>
      <c r="J8">
        <f t="shared" si="1"/>
        <v>700</v>
      </c>
      <c r="K8" t="s">
        <v>759</v>
      </c>
      <c r="L8">
        <v>23.291666666666668</v>
      </c>
      <c r="M8">
        <v>30.700000000000003</v>
      </c>
      <c r="N8">
        <v>0.15892473118279565</v>
      </c>
      <c r="O8">
        <v>0.21799999999999997</v>
      </c>
      <c r="P8">
        <v>9.9526881720430088E-2</v>
      </c>
      <c r="Q8" s="332">
        <v>0.14000000000000001</v>
      </c>
      <c r="R8">
        <v>1.9397849462365571E-2</v>
      </c>
      <c r="S8">
        <v>3.0799999999999998E-2</v>
      </c>
      <c r="T8">
        <v>3.0440860215053758</v>
      </c>
      <c r="U8">
        <v>3.7</v>
      </c>
      <c r="V8">
        <v>5.1881720430107491E-2</v>
      </c>
      <c r="W8">
        <v>0.11</v>
      </c>
      <c r="X8" t="s">
        <v>760</v>
      </c>
      <c r="Y8">
        <v>700</v>
      </c>
      <c r="Z8" s="188">
        <v>-4.1144285285341198E-2</v>
      </c>
      <c r="AB8" t="s">
        <v>775</v>
      </c>
      <c r="AC8">
        <v>1290</v>
      </c>
      <c r="AD8">
        <v>205450</v>
      </c>
      <c r="AE8" s="266" t="e">
        <f>VLOOKUP(AB8,[4]Pges_unfiltr_y_loads!$A$2:$Q$73,17,FALSE)</f>
        <v>#N/A</v>
      </c>
      <c r="AF8" s="266" t="e">
        <f>VLOOKUP(AB8,[4]Ortho_P_y_loads!$A$2:$Q$73,17,FALSE)</f>
        <v>#N/A</v>
      </c>
      <c r="AG8" s="266" t="e">
        <f>VLOOKUP(AB8,[4]Ammonium_y_loads!$A$2:$Q$73,17,FALSE)</f>
        <v>#N/A</v>
      </c>
      <c r="AH8" s="266" t="e">
        <f>VLOOKUP(AB8,[4]Nitrit_y_loads!$A$2:$Q$73,17,FALSE)</f>
        <v>#N/A</v>
      </c>
      <c r="AI8" s="266" t="e">
        <f>VLOOKUP(AB8,[4]Nitrat_y_loads!$A$2:$R$73,17,FALSE)</f>
        <v>#N/A</v>
      </c>
      <c r="AJ8" s="266" t="e">
        <f t="shared" si="0"/>
        <v>#N/A</v>
      </c>
      <c r="AL8">
        <v>650</v>
      </c>
      <c r="AM8">
        <v>3.0136129032258063</v>
      </c>
    </row>
    <row r="9" spans="1:39" ht="15">
      <c r="A9" t="e">
        <v>#N/A</v>
      </c>
      <c r="B9" s="147">
        <v>2.4683823529411772E-2</v>
      </c>
      <c r="C9">
        <v>3.5279999999999999E-2</v>
      </c>
      <c r="E9" s="188">
        <v>210</v>
      </c>
      <c r="F9" s="147">
        <v>0.3725666666666666</v>
      </c>
      <c r="G9" s="147">
        <v>0.51212499999999994</v>
      </c>
      <c r="J9">
        <f t="shared" si="1"/>
        <v>710</v>
      </c>
      <c r="K9" t="s">
        <v>761</v>
      </c>
      <c r="L9">
        <v>15.875</v>
      </c>
      <c r="M9">
        <v>32.800000000000004</v>
      </c>
      <c r="N9">
        <v>0.16226881720430109</v>
      </c>
      <c r="O9">
        <v>0.23799999999999996</v>
      </c>
      <c r="P9">
        <v>0.10176344086021508</v>
      </c>
      <c r="Q9" s="332">
        <v>0.15</v>
      </c>
      <c r="R9">
        <v>1.998924731182794E-2</v>
      </c>
      <c r="S9">
        <v>3.5399999999999987E-2</v>
      </c>
      <c r="T9">
        <v>2.9344086021505373</v>
      </c>
      <c r="U9">
        <v>3.78</v>
      </c>
      <c r="V9">
        <v>4.8440860215053734E-2</v>
      </c>
      <c r="W9">
        <v>0.1</v>
      </c>
      <c r="Y9">
        <v>710</v>
      </c>
      <c r="Z9" s="251">
        <v>10.896714223988866</v>
      </c>
      <c r="AB9" t="s">
        <v>794</v>
      </c>
      <c r="AC9">
        <v>1600</v>
      </c>
      <c r="AD9">
        <v>205989</v>
      </c>
      <c r="AE9" s="266" t="e">
        <f>VLOOKUP(AB9,[4]Pges_unfiltr_y_loads!$A$2:$Q$73,17,FALSE)</f>
        <v>#N/A</v>
      </c>
      <c r="AF9" s="266" t="e">
        <f>VLOOKUP(AB9,[4]Ortho_P_y_loads!$A$2:$Q$73,17,FALSE)</f>
        <v>#N/A</v>
      </c>
      <c r="AG9" s="266" t="e">
        <f>VLOOKUP(AB9,[4]Ammonium_y_loads!$A$2:$Q$73,17,FALSE)</f>
        <v>#N/A</v>
      </c>
      <c r="AH9" s="266" t="e">
        <f>VLOOKUP(AB9,[4]Nitrit_y_loads!$A$2:$Q$73,17,FALSE)</f>
        <v>#N/A</v>
      </c>
      <c r="AI9" s="266" t="e">
        <f>VLOOKUP(AB9,[4]Nitrat_y_loads!$A$2:$R$73,17,FALSE)</f>
        <v>#N/A</v>
      </c>
      <c r="AJ9" s="266" t="e">
        <f t="shared" si="0"/>
        <v>#N/A</v>
      </c>
      <c r="AL9">
        <v>660</v>
      </c>
      <c r="AM9">
        <v>1.829032258064516</v>
      </c>
    </row>
    <row r="10" spans="1:39" ht="15">
      <c r="A10">
        <v>2600</v>
      </c>
      <c r="B10" s="147">
        <v>2.2464464285714286E-2</v>
      </c>
      <c r="C10">
        <v>3.492E-2</v>
      </c>
      <c r="E10" s="188">
        <v>250</v>
      </c>
      <c r="F10" s="147">
        <v>0.5053700000000001</v>
      </c>
      <c r="G10" s="147">
        <v>0.79603000000000002</v>
      </c>
      <c r="J10">
        <f t="shared" si="1"/>
        <v>1140</v>
      </c>
      <c r="K10" t="s">
        <v>762</v>
      </c>
      <c r="L10">
        <v>2.9545454545454546</v>
      </c>
      <c r="M10">
        <v>5</v>
      </c>
      <c r="N10">
        <v>5.7239583333333288E-2</v>
      </c>
      <c r="O10">
        <v>8.4499999999999992E-2</v>
      </c>
      <c r="P10">
        <v>2.5723958333333314E-2</v>
      </c>
      <c r="Q10" s="332">
        <v>4.1000000000000002E-2</v>
      </c>
      <c r="R10">
        <v>4.9427083333333363E-3</v>
      </c>
      <c r="S10">
        <v>8.9999999999999993E-3</v>
      </c>
      <c r="T10">
        <v>1.5239583333333337</v>
      </c>
      <c r="U10">
        <v>1.8</v>
      </c>
      <c r="V10">
        <v>2.7447916666666645E-2</v>
      </c>
      <c r="W10">
        <v>0.05</v>
      </c>
      <c r="Y10">
        <v>1140</v>
      </c>
      <c r="Z10" s="251">
        <v>-54.018781026752094</v>
      </c>
      <c r="AB10" t="s">
        <v>777</v>
      </c>
      <c r="AC10">
        <v>1300</v>
      </c>
      <c r="AD10">
        <v>205500</v>
      </c>
      <c r="AE10" s="266" t="e">
        <f>VLOOKUP(AB10,[4]Pges_unfiltr_y_loads!$A$2:$Q$73,17,FALSE)</f>
        <v>#N/A</v>
      </c>
      <c r="AF10" s="266" t="e">
        <f>VLOOKUP(AB10,[4]Ortho_P_y_loads!$A$2:$Q$73,17,FALSE)</f>
        <v>#N/A</v>
      </c>
      <c r="AG10" s="266" t="e">
        <f>VLOOKUP(AB10,[4]Ammonium_y_loads!$A$2:$Q$73,17,FALSE)</f>
        <v>#N/A</v>
      </c>
      <c r="AH10" s="266" t="e">
        <f>VLOOKUP(AB10,[4]Nitrit_y_loads!$A$2:$Q$73,17,FALSE)</f>
        <v>#N/A</v>
      </c>
      <c r="AI10" s="266" t="e">
        <f>VLOOKUP(AB10,[4]Nitrat_y_loads!$A$2:$R$73,17,FALSE)</f>
        <v>#N/A</v>
      </c>
      <c r="AJ10" s="266" t="e">
        <f t="shared" si="0"/>
        <v>#N/A</v>
      </c>
      <c r="AL10">
        <v>670</v>
      </c>
      <c r="AM10">
        <v>2.6306451612903223</v>
      </c>
    </row>
    <row r="11" spans="1:39">
      <c r="A11">
        <v>2600</v>
      </c>
      <c r="B11" s="147">
        <v>5.0016625000000002E-2</v>
      </c>
      <c r="C11">
        <v>8.693999999999999E-2</v>
      </c>
      <c r="E11" s="188">
        <v>290</v>
      </c>
      <c r="F11" s="147">
        <v>0.72083974358974334</v>
      </c>
      <c r="G11" s="147">
        <v>1.0333999999999999</v>
      </c>
      <c r="J11">
        <f t="shared" si="1"/>
        <v>1150</v>
      </c>
      <c r="K11" t="s">
        <v>763</v>
      </c>
      <c r="L11">
        <v>10.333333333333334</v>
      </c>
      <c r="M11">
        <v>15.8</v>
      </c>
      <c r="N11">
        <v>0.13944680851063837</v>
      </c>
      <c r="O11">
        <v>0.2</v>
      </c>
      <c r="P11">
        <v>7.4840425531914875E-2</v>
      </c>
      <c r="Q11" s="332">
        <v>0.13</v>
      </c>
      <c r="R11">
        <v>2.7180851063829774E-2</v>
      </c>
      <c r="S11">
        <v>4.5700000000000005E-2</v>
      </c>
      <c r="T11">
        <v>2.9127659574468088</v>
      </c>
      <c r="U11">
        <v>3.9</v>
      </c>
      <c r="V11">
        <v>9.9361702127659574E-2</v>
      </c>
      <c r="W11">
        <v>0.18700000000000003</v>
      </c>
      <c r="X11" t="s">
        <v>764</v>
      </c>
      <c r="Y11">
        <v>1150</v>
      </c>
      <c r="Z11" s="188">
        <v>-2.326793104256808E-2</v>
      </c>
      <c r="AB11" t="s">
        <v>844</v>
      </c>
      <c r="AD11">
        <v>205500</v>
      </c>
      <c r="AE11" s="266" t="e">
        <f>VLOOKUP(AB11,[4]Pges_unfiltr_y_loads!$A$2:$Q$73,17,FALSE)</f>
        <v>#N/A</v>
      </c>
      <c r="AF11" s="266" t="e">
        <f>VLOOKUP(AB11,[4]Ortho_P_y_loads!$A$2:$Q$73,17,FALSE)</f>
        <v>#N/A</v>
      </c>
      <c r="AG11" s="266" t="e">
        <f>VLOOKUP(AB11,[4]Ammonium_y_loads!$A$2:$Q$73,17,FALSE)</f>
        <v>#N/A</v>
      </c>
      <c r="AH11" s="266" t="e">
        <f>VLOOKUP(AB11,[4]Nitrit_y_loads!$A$2:$Q$73,17,FALSE)</f>
        <v>#N/A</v>
      </c>
      <c r="AI11" s="266" t="e">
        <f>VLOOKUP(AB11,[4]Nitrat_y_loads!$A$2:$R$73,17,FALSE)</f>
        <v>#N/A</v>
      </c>
      <c r="AJ11" s="266" t="e">
        <f t="shared" si="0"/>
        <v>#N/A</v>
      </c>
      <c r="AL11">
        <v>680</v>
      </c>
      <c r="AM11">
        <v>2.6143870967741938</v>
      </c>
    </row>
    <row r="12" spans="1:39">
      <c r="A12">
        <v>2540</v>
      </c>
      <c r="B12" s="147">
        <v>2.4330677966101683E-2</v>
      </c>
      <c r="C12">
        <v>4.19E-2</v>
      </c>
      <c r="E12" s="188">
        <v>320</v>
      </c>
      <c r="F12" s="147">
        <v>0.72909722222222217</v>
      </c>
      <c r="G12" s="147">
        <v>1.17862</v>
      </c>
      <c r="J12">
        <f t="shared" si="1"/>
        <v>1160</v>
      </c>
      <c r="K12" t="s">
        <v>765</v>
      </c>
      <c r="L12">
        <v>8.875</v>
      </c>
      <c r="M12">
        <v>16.899999999999999</v>
      </c>
      <c r="N12">
        <v>0.12304255319148936</v>
      </c>
      <c r="O12">
        <v>0.22</v>
      </c>
      <c r="P12">
        <v>8.0468085106382967E-2</v>
      </c>
      <c r="Q12" s="332">
        <v>0.14000000000000001</v>
      </c>
      <c r="R12">
        <v>2.060638297872339E-2</v>
      </c>
      <c r="S12">
        <v>3.5400000000000008E-2</v>
      </c>
      <c r="T12">
        <v>2.7606382978723394</v>
      </c>
      <c r="U12">
        <v>3.97</v>
      </c>
      <c r="V12">
        <v>6.2393617021276541E-2</v>
      </c>
      <c r="W12">
        <v>0.12400000000000005</v>
      </c>
      <c r="Y12">
        <v>1160</v>
      </c>
      <c r="Z12" s="188">
        <v>2.2467095842715565</v>
      </c>
      <c r="AB12" t="s">
        <v>845</v>
      </c>
      <c r="AD12">
        <v>205500</v>
      </c>
      <c r="AE12" s="266" t="e">
        <f>VLOOKUP(AB12,[4]Pges_unfiltr_y_loads!$A$2:$Q$73,17,FALSE)</f>
        <v>#N/A</v>
      </c>
      <c r="AF12" s="266" t="e">
        <f>VLOOKUP(AB12,[4]Ortho_P_y_loads!$A$2:$Q$73,17,FALSE)</f>
        <v>#N/A</v>
      </c>
      <c r="AG12" s="266" t="e">
        <f>VLOOKUP(AB12,[4]Ammonium_y_loads!$A$2:$Q$73,17,FALSE)</f>
        <v>#N/A</v>
      </c>
      <c r="AH12" s="266" t="e">
        <f>VLOOKUP(AB12,[4]Nitrit_y_loads!$A$2:$Q$73,17,FALSE)</f>
        <v>#N/A</v>
      </c>
      <c r="AI12" s="266" t="e">
        <f>VLOOKUP(AB12,[4]Nitrat_y_loads!$A$2:$R$73,17,FALSE)</f>
        <v>#N/A</v>
      </c>
      <c r="AJ12" s="266" t="e">
        <f t="shared" si="0"/>
        <v>#N/A</v>
      </c>
      <c r="AL12">
        <v>690</v>
      </c>
      <c r="AM12">
        <v>3.3615053763440854</v>
      </c>
    </row>
    <row r="13" spans="1:39">
      <c r="A13" t="e">
        <v>#N/A</v>
      </c>
      <c r="B13" s="147">
        <v>5.3585714285714313E-3</v>
      </c>
      <c r="C13">
        <v>8.1000000000000013E-3</v>
      </c>
      <c r="E13" s="188">
        <v>410</v>
      </c>
      <c r="F13" s="147">
        <v>0.38233792682926837</v>
      </c>
      <c r="G13" s="147">
        <v>0.64640000000000031</v>
      </c>
      <c r="J13">
        <f t="shared" si="1"/>
        <v>1170</v>
      </c>
      <c r="K13" t="s">
        <v>766</v>
      </c>
      <c r="L13">
        <v>7.083333333333333</v>
      </c>
      <c r="M13">
        <v>17.700000000000003</v>
      </c>
      <c r="N13">
        <v>0.11646067415730334</v>
      </c>
      <c r="O13">
        <v>0.15</v>
      </c>
      <c r="P13">
        <v>7.619101123595505E-2</v>
      </c>
      <c r="Q13" s="332">
        <v>0.12</v>
      </c>
      <c r="R13">
        <v>1.4853932584269654E-2</v>
      </c>
      <c r="S13">
        <v>2.7200000000000002E-2</v>
      </c>
      <c r="T13">
        <v>1.9617977528089889</v>
      </c>
      <c r="U13">
        <v>3.1</v>
      </c>
      <c r="V13">
        <v>5.3932584269662909E-2</v>
      </c>
      <c r="W13">
        <v>9.2000000000000026E-2</v>
      </c>
      <c r="Y13">
        <v>1170</v>
      </c>
      <c r="Z13" s="188">
        <v>1.3789931319672633</v>
      </c>
      <c r="AB13" t="s">
        <v>778</v>
      </c>
      <c r="AC13">
        <v>1310</v>
      </c>
      <c r="AD13">
        <v>205518</v>
      </c>
      <c r="AE13" s="266" t="e">
        <f>VLOOKUP(AB13,[4]Pges_unfiltr_y_loads!$A$2:$Q$73,17,FALSE)</f>
        <v>#N/A</v>
      </c>
      <c r="AF13" s="266" t="e">
        <f>VLOOKUP(AB13,[4]Ortho_P_y_loads!$A$2:$Q$73,17,FALSE)</f>
        <v>#N/A</v>
      </c>
      <c r="AG13" s="266" t="e">
        <f>VLOOKUP(AB13,[4]Ammonium_y_loads!$A$2:$Q$73,17,FALSE)</f>
        <v>#N/A</v>
      </c>
      <c r="AH13" s="266" t="e">
        <f>VLOOKUP(AB13,[4]Nitrit_y_loads!$A$2:$Q$73,17,FALSE)</f>
        <v>#N/A</v>
      </c>
      <c r="AI13" s="266" t="e">
        <f>VLOOKUP(AB13,[4]Nitrat_y_loads!$A$2:$R$73,17,FALSE)</f>
        <v>#N/A</v>
      </c>
      <c r="AJ13" s="266" t="e">
        <f t="shared" si="0"/>
        <v>#N/A</v>
      </c>
      <c r="AL13">
        <v>700</v>
      </c>
      <c r="AM13">
        <v>3.9158064516129039</v>
      </c>
    </row>
    <row r="14" spans="1:39" ht="15">
      <c r="A14">
        <v>4210</v>
      </c>
      <c r="B14" s="147">
        <v>3.5000000000000018E-3</v>
      </c>
      <c r="C14">
        <v>5.1000000000000012E-3</v>
      </c>
      <c r="E14" s="188">
        <v>460</v>
      </c>
      <c r="F14" s="147">
        <v>0.48852476190476191</v>
      </c>
      <c r="G14" s="147">
        <v>0.69152499999999995</v>
      </c>
      <c r="J14">
        <f t="shared" si="1"/>
        <v>1180</v>
      </c>
      <c r="K14" t="s">
        <v>767</v>
      </c>
      <c r="L14">
        <v>26.583333333333332</v>
      </c>
      <c r="M14">
        <v>58.900000000000013</v>
      </c>
      <c r="N14">
        <v>0.20147191011235949</v>
      </c>
      <c r="O14">
        <v>0.28200000000000003</v>
      </c>
      <c r="P14">
        <v>0.12262921348314608</v>
      </c>
      <c r="Q14" s="332">
        <v>0.21</v>
      </c>
      <c r="R14">
        <v>3.5325842696629195E-2</v>
      </c>
      <c r="S14">
        <v>6.1800000000000008E-2</v>
      </c>
      <c r="T14">
        <v>2.6056179775280901</v>
      </c>
      <c r="U14">
        <v>3.4200000000000004</v>
      </c>
      <c r="V14">
        <v>7.9494382022471888E-2</v>
      </c>
      <c r="W14">
        <v>0.19400000000000006</v>
      </c>
      <c r="Y14">
        <v>1180</v>
      </c>
      <c r="Z14" s="251">
        <v>24.693161223334783</v>
      </c>
      <c r="AB14" t="s">
        <v>846</v>
      </c>
      <c r="AD14">
        <v>206805</v>
      </c>
      <c r="AE14" s="266" t="e">
        <f>VLOOKUP(AB14,[4]Pges_unfiltr_y_loads!$A$2:$Q$73,17,FALSE)</f>
        <v>#N/A</v>
      </c>
      <c r="AF14" s="266" t="e">
        <f>VLOOKUP(AB14,[4]Ortho_P_y_loads!$A$2:$Q$73,17,FALSE)</f>
        <v>#N/A</v>
      </c>
      <c r="AG14" s="266" t="e">
        <f>VLOOKUP(AB14,[4]Ammonium_y_loads!$A$2:$Q$73,17,FALSE)</f>
        <v>#N/A</v>
      </c>
      <c r="AH14" s="266" t="e">
        <f>VLOOKUP(AB14,[4]Nitrit_y_loads!$A$2:$Q$73,17,FALSE)</f>
        <v>#N/A</v>
      </c>
      <c r="AI14" s="266" t="e">
        <f>VLOOKUP(AB14,[4]Nitrat_y_loads!$A$2:$R$73,17,FALSE)</f>
        <v>#N/A</v>
      </c>
      <c r="AJ14" s="266" t="e">
        <f t="shared" si="0"/>
        <v>#N/A</v>
      </c>
      <c r="AL14">
        <v>710</v>
      </c>
      <c r="AM14">
        <v>6.0854838709677423</v>
      </c>
    </row>
    <row r="15" spans="1:39" ht="15">
      <c r="A15" t="e">
        <v>#N/A</v>
      </c>
      <c r="B15" s="147">
        <v>4.7573770491803301E-3</v>
      </c>
      <c r="C15">
        <v>7.0000000000000001E-3</v>
      </c>
      <c r="E15" s="188">
        <v>470</v>
      </c>
      <c r="F15" s="147">
        <v>0.54358943661971804</v>
      </c>
      <c r="G15" s="147">
        <v>0.75600000000000001</v>
      </c>
      <c r="J15">
        <f t="shared" si="1"/>
        <v>1190</v>
      </c>
      <c r="K15" t="s">
        <v>768</v>
      </c>
      <c r="L15">
        <v>5.2384615384615394</v>
      </c>
      <c r="M15">
        <v>15.400000000000009</v>
      </c>
      <c r="N15">
        <v>7.3670731707317083E-2</v>
      </c>
      <c r="O15">
        <v>0.12</v>
      </c>
      <c r="P15">
        <v>2.9219512195121936E-2</v>
      </c>
      <c r="Q15" s="332">
        <v>4.9700000000000022E-2</v>
      </c>
      <c r="R15">
        <v>7.3170731707317112E-3</v>
      </c>
      <c r="S15">
        <v>1.0900000000000005E-2</v>
      </c>
      <c r="T15">
        <v>2.4146341463414633</v>
      </c>
      <c r="U15">
        <v>3.7</v>
      </c>
      <c r="V15">
        <v>2.4634146341463416E-2</v>
      </c>
      <c r="W15">
        <v>0.04</v>
      </c>
      <c r="Y15">
        <v>1190</v>
      </c>
      <c r="Z15" s="251">
        <v>25.448417127161477</v>
      </c>
      <c r="AB15" t="s">
        <v>755</v>
      </c>
      <c r="AC15">
        <v>670</v>
      </c>
      <c r="AD15">
        <v>204750</v>
      </c>
      <c r="AE15" s="266" t="e">
        <f>VLOOKUP(AB15,[4]Pges_unfiltr_y_loads!$A$2:$Q$73,17,FALSE)</f>
        <v>#N/A</v>
      </c>
      <c r="AF15" s="266" t="e">
        <f>VLOOKUP(AB15,[4]Ortho_P_y_loads!$A$2:$Q$73,17,FALSE)</f>
        <v>#N/A</v>
      </c>
      <c r="AG15" s="266" t="e">
        <f>VLOOKUP(AB15,[4]Ammonium_y_loads!$A$2:$Q$73,17,FALSE)</f>
        <v>#N/A</v>
      </c>
      <c r="AH15" s="266" t="e">
        <f>VLOOKUP(AB15,[4]Nitrit_y_loads!$A$2:$Q$73,17,FALSE)</f>
        <v>#N/A</v>
      </c>
      <c r="AI15" s="266" t="e">
        <f>VLOOKUP(AB15,[4]Nitrat_y_loads!$A$2:$R$73,17,FALSE)</f>
        <v>#N/A</v>
      </c>
      <c r="AJ15" s="266" t="e">
        <f t="shared" si="0"/>
        <v>#N/A</v>
      </c>
      <c r="AL15">
        <v>1050</v>
      </c>
      <c r="AM15">
        <v>6.8461693548387101</v>
      </c>
    </row>
    <row r="16" spans="1:39" ht="15">
      <c r="A16" t="e">
        <v>#N/A</v>
      </c>
      <c r="B16" s="147">
        <v>4.0512820512820531E-3</v>
      </c>
      <c r="C16">
        <v>6.0000000000000001E-3</v>
      </c>
      <c r="E16" s="188">
        <v>600</v>
      </c>
      <c r="F16" s="147">
        <v>3.2912891111111104</v>
      </c>
      <c r="G16" s="147">
        <v>3.7494000000000005</v>
      </c>
      <c r="J16">
        <f t="shared" si="1"/>
        <v>1200</v>
      </c>
      <c r="K16" t="s">
        <v>769</v>
      </c>
      <c r="L16">
        <v>4.833333333333333</v>
      </c>
      <c r="M16">
        <v>9.1999999999999993</v>
      </c>
      <c r="N16">
        <v>8.0588235294117627E-2</v>
      </c>
      <c r="O16">
        <v>0.12</v>
      </c>
      <c r="P16">
        <v>3.838823529411764E-2</v>
      </c>
      <c r="Q16" s="332">
        <v>6.2400000000000032E-2</v>
      </c>
      <c r="R16">
        <v>6.2588235294117689E-3</v>
      </c>
      <c r="S16">
        <v>1.0999999999999999E-2</v>
      </c>
      <c r="T16">
        <v>2.2529411764705882</v>
      </c>
      <c r="U16">
        <v>2.9</v>
      </c>
      <c r="V16">
        <v>2.4E-2</v>
      </c>
      <c r="W16">
        <v>0.05</v>
      </c>
      <c r="X16" t="s">
        <v>770</v>
      </c>
      <c r="Y16">
        <v>1200</v>
      </c>
      <c r="Z16" s="251">
        <v>-87.634649391368811</v>
      </c>
      <c r="AB16" t="s">
        <v>847</v>
      </c>
      <c r="AD16">
        <v>204750</v>
      </c>
      <c r="AE16" s="266" t="e">
        <f>VLOOKUP(AB16,[4]Pges_unfiltr_y_loads!$A$2:$Q$73,17,FALSE)</f>
        <v>#N/A</v>
      </c>
      <c r="AF16" s="266" t="e">
        <f>VLOOKUP(AB16,[4]Ortho_P_y_loads!$A$2:$Q$73,17,FALSE)</f>
        <v>#N/A</v>
      </c>
      <c r="AG16" s="266" t="e">
        <f>VLOOKUP(AB16,[4]Ammonium_y_loads!$A$2:$Q$73,17,FALSE)</f>
        <v>#N/A</v>
      </c>
      <c r="AH16" s="266" t="e">
        <f>VLOOKUP(AB16,[4]Nitrit_y_loads!$A$2:$Q$73,17,FALSE)</f>
        <v>#N/A</v>
      </c>
      <c r="AI16" s="266" t="e">
        <f>VLOOKUP(AB16,[4]Nitrat_y_loads!$A$2:$R$73,17,FALSE)</f>
        <v>#N/A</v>
      </c>
      <c r="AJ16" s="266" t="e">
        <f t="shared" si="0"/>
        <v>#N/A</v>
      </c>
      <c r="AL16">
        <v>1100</v>
      </c>
      <c r="AM16">
        <v>5.0422580645161288</v>
      </c>
    </row>
    <row r="17" spans="1:39" ht="15">
      <c r="A17">
        <v>2800</v>
      </c>
      <c r="B17" s="147">
        <v>5.254098360655741E-3</v>
      </c>
      <c r="C17">
        <v>8.3999999999999977E-3</v>
      </c>
      <c r="E17" s="188">
        <v>630</v>
      </c>
      <c r="F17" s="147">
        <v>1.9077685483870974</v>
      </c>
      <c r="G17" s="147">
        <v>2.2216</v>
      </c>
      <c r="J17">
        <f t="shared" si="1"/>
        <v>1260</v>
      </c>
      <c r="K17" t="s">
        <v>771</v>
      </c>
      <c r="L17">
        <v>3.7777777777777777</v>
      </c>
      <c r="M17">
        <v>4.7999999999999918</v>
      </c>
      <c r="N17">
        <v>2.4994505494505478E-2</v>
      </c>
      <c r="O17">
        <v>2.5999999999999999E-2</v>
      </c>
      <c r="P17">
        <v>7.4500000000000009E-3</v>
      </c>
      <c r="Q17" s="332">
        <v>1.3100000000000007E-2</v>
      </c>
      <c r="R17">
        <v>3.0879120879120899E-3</v>
      </c>
      <c r="S17">
        <v>6.0000000000000001E-3</v>
      </c>
      <c r="T17">
        <v>1.5296703296703289</v>
      </c>
      <c r="U17">
        <v>1.6</v>
      </c>
      <c r="V17">
        <v>9.8901098901098949E-3</v>
      </c>
      <c r="W17">
        <v>0.02</v>
      </c>
      <c r="Y17">
        <v>1260</v>
      </c>
      <c r="Z17" s="251">
        <v>26.693355002518416</v>
      </c>
      <c r="AB17" t="s">
        <v>848</v>
      </c>
      <c r="AD17">
        <v>206151</v>
      </c>
      <c r="AE17" s="266" t="e">
        <f>VLOOKUP(AB17,[4]Pges_unfiltr_y_loads!$A$2:$Q$73,17,FALSE)</f>
        <v>#N/A</v>
      </c>
      <c r="AF17" s="266" t="e">
        <f>VLOOKUP(AB17,[4]Ortho_P_y_loads!$A$2:$Q$73,17,FALSE)</f>
        <v>#N/A</v>
      </c>
      <c r="AG17" s="266" t="e">
        <f>VLOOKUP(AB17,[4]Ammonium_y_loads!$A$2:$Q$73,17,FALSE)</f>
        <v>#N/A</v>
      </c>
      <c r="AH17" s="266" t="e">
        <f>VLOOKUP(AB17,[4]Nitrit_y_loads!$A$2:$Q$73,17,FALSE)</f>
        <v>#N/A</v>
      </c>
      <c r="AI17" s="266" t="e">
        <f>VLOOKUP(AB17,[4]Nitrat_y_loads!$A$2:$R$73,17,FALSE)</f>
        <v>#N/A</v>
      </c>
      <c r="AJ17" s="266" t="e">
        <f t="shared" si="0"/>
        <v>#N/A</v>
      </c>
      <c r="AL17">
        <v>1110</v>
      </c>
      <c r="AM17">
        <v>3.5790322580645162</v>
      </c>
    </row>
    <row r="18" spans="1:39">
      <c r="A18">
        <v>2810</v>
      </c>
      <c r="B18" s="147">
        <v>2.4083333333333348E-3</v>
      </c>
      <c r="C18">
        <v>4.0000000000000001E-3</v>
      </c>
      <c r="E18" s="188">
        <v>650</v>
      </c>
      <c r="F18" s="147">
        <v>3.3699445161290327</v>
      </c>
      <c r="G18" s="147">
        <v>3.9439599999999997</v>
      </c>
      <c r="J18">
        <f t="shared" si="1"/>
        <v>1270</v>
      </c>
      <c r="K18" t="s">
        <v>772</v>
      </c>
      <c r="L18">
        <v>5.4</v>
      </c>
      <c r="M18">
        <v>15.399999999999999</v>
      </c>
      <c r="N18">
        <v>4.2752747252747206E-2</v>
      </c>
      <c r="O18">
        <v>5.2999999999999999E-2</v>
      </c>
      <c r="P18">
        <v>1.715934065934064E-2</v>
      </c>
      <c r="Q18" s="332">
        <v>2.5999999999999999E-2</v>
      </c>
      <c r="R18">
        <v>6.7692307692307739E-3</v>
      </c>
      <c r="S18">
        <v>0.01</v>
      </c>
      <c r="T18">
        <v>1.8956043956043966</v>
      </c>
      <c r="U18">
        <v>2</v>
      </c>
      <c r="V18">
        <v>1.9780219780219783E-2</v>
      </c>
      <c r="W18">
        <v>0.04</v>
      </c>
      <c r="X18" t="s">
        <v>773</v>
      </c>
      <c r="Y18">
        <v>1270</v>
      </c>
      <c r="Z18" s="188">
        <v>-2.0726271312375246</v>
      </c>
      <c r="AB18" t="s">
        <v>849</v>
      </c>
      <c r="AD18">
        <v>205407</v>
      </c>
      <c r="AE18" s="266" t="e">
        <f>VLOOKUP(AB18,[4]Pges_unfiltr_y_loads!$A$2:$Q$73,17,FALSE)</f>
        <v>#N/A</v>
      </c>
      <c r="AF18" s="266" t="e">
        <f>VLOOKUP(AB18,[4]Ortho_P_y_loads!$A$2:$Q$73,17,FALSE)</f>
        <v>#N/A</v>
      </c>
      <c r="AG18" s="266" t="e">
        <f>VLOOKUP(AB18,[4]Ammonium_y_loads!$A$2:$Q$73,17,FALSE)</f>
        <v>#N/A</v>
      </c>
      <c r="AH18" s="266" t="e">
        <f>VLOOKUP(AB18,[4]Nitrit_y_loads!$A$2:$Q$73,17,FALSE)</f>
        <v>#N/A</v>
      </c>
      <c r="AI18" s="266" t="e">
        <f>VLOOKUP(AB18,[4]Nitrat_y_loads!$A$2:$R$73,17,FALSE)</f>
        <v>#N/A</v>
      </c>
      <c r="AJ18" s="266" t="e">
        <f t="shared" si="0"/>
        <v>#N/A</v>
      </c>
      <c r="AL18">
        <v>1120</v>
      </c>
      <c r="AM18">
        <v>3.0077419354838715</v>
      </c>
    </row>
    <row r="19" spans="1:39">
      <c r="A19" t="e">
        <v>#N/A</v>
      </c>
      <c r="B19" s="147">
        <v>2.048387096774195E-3</v>
      </c>
      <c r="C19">
        <v>3.0000000000000001E-3</v>
      </c>
      <c r="E19" s="188">
        <v>670</v>
      </c>
      <c r="F19" s="147">
        <v>2.5744464285714286</v>
      </c>
      <c r="G19" s="147">
        <v>3.11382</v>
      </c>
      <c r="J19">
        <f t="shared" si="1"/>
        <v>1280</v>
      </c>
      <c r="K19" t="s">
        <v>774</v>
      </c>
      <c r="L19">
        <v>2.5</v>
      </c>
      <c r="M19">
        <v>2.5</v>
      </c>
      <c r="N19">
        <v>2.1397849462365583E-2</v>
      </c>
      <c r="O19">
        <v>5.0999999999999983E-2</v>
      </c>
      <c r="P19">
        <v>1.1451612903225801E-2</v>
      </c>
      <c r="Q19" s="332">
        <v>2.7999999999999987E-2</v>
      </c>
      <c r="R19">
        <v>5.155913978494628E-3</v>
      </c>
      <c r="S19">
        <v>8.0000000000000002E-3</v>
      </c>
      <c r="T19">
        <v>0.71720430107526945</v>
      </c>
      <c r="U19">
        <v>0.8</v>
      </c>
      <c r="V19">
        <v>7.1397849462365576E-2</v>
      </c>
      <c r="W19">
        <v>0.17599999999999993</v>
      </c>
      <c r="Y19">
        <v>1280</v>
      </c>
      <c r="Z19" s="188">
        <v>1.5901673294939513</v>
      </c>
      <c r="AB19" t="s">
        <v>763</v>
      </c>
      <c r="AC19">
        <v>1150</v>
      </c>
      <c r="AD19">
        <v>205054</v>
      </c>
      <c r="AE19" s="266" t="e">
        <f>VLOOKUP(AB19,[4]Pges_unfiltr_y_loads!$A$2:$Q$73,17,FALSE)</f>
        <v>#N/A</v>
      </c>
      <c r="AF19" s="266" t="e">
        <f>VLOOKUP(AB19,[4]Ortho_P_y_loads!$A$2:$Q$73,17,FALSE)</f>
        <v>#N/A</v>
      </c>
      <c r="AG19" s="266" t="e">
        <f>VLOOKUP(AB19,[4]Ammonium_y_loads!$A$2:$Q$73,17,FALSE)</f>
        <v>#N/A</v>
      </c>
      <c r="AH19" s="266" t="e">
        <f>VLOOKUP(AB19,[4]Nitrit_y_loads!$A$2:$Q$73,17,FALSE)</f>
        <v>#N/A</v>
      </c>
      <c r="AI19" s="266" t="e">
        <f>VLOOKUP(AB19,[4]Nitrat_y_loads!$A$2:$R$73,17,FALSE)</f>
        <v>#N/A</v>
      </c>
      <c r="AJ19" s="266" t="e">
        <f t="shared" si="0"/>
        <v>#N/A</v>
      </c>
      <c r="AL19">
        <v>1130</v>
      </c>
      <c r="AM19">
        <v>2.1677419354838712</v>
      </c>
    </row>
    <row r="20" spans="1:39">
      <c r="A20">
        <v>2870</v>
      </c>
      <c r="B20" s="147">
        <v>2.5135135135135153E-3</v>
      </c>
      <c r="C20">
        <v>4.0000000000000001E-3</v>
      </c>
      <c r="E20" s="188">
        <v>1110</v>
      </c>
      <c r="F20" s="147">
        <v>2.5510880597014922</v>
      </c>
      <c r="G20" s="147">
        <v>3.1121399999999997</v>
      </c>
      <c r="J20">
        <f t="shared" si="1"/>
        <v>1290</v>
      </c>
      <c r="K20" t="s">
        <v>775</v>
      </c>
      <c r="L20">
        <v>5.3</v>
      </c>
      <c r="M20">
        <v>11.299999999999995</v>
      </c>
      <c r="N20">
        <v>3.401612903225805E-2</v>
      </c>
      <c r="O20">
        <v>3.7599999999999995E-2</v>
      </c>
      <c r="P20">
        <v>1.0075268817204304E-2</v>
      </c>
      <c r="Q20" s="332">
        <v>1.7799999999999996E-2</v>
      </c>
      <c r="R20">
        <v>5.9193548387096824E-3</v>
      </c>
      <c r="S20">
        <v>8.9999999999999993E-3</v>
      </c>
      <c r="T20">
        <v>1.597849462365591</v>
      </c>
      <c r="U20">
        <v>1.8</v>
      </c>
      <c r="V20">
        <v>1.741935483870968E-2</v>
      </c>
      <c r="W20">
        <v>3.7999999999999971E-2</v>
      </c>
      <c r="X20" t="s">
        <v>776</v>
      </c>
      <c r="Y20">
        <v>1290</v>
      </c>
      <c r="Z20" s="188">
        <v>-6.2724227660226006E-2</v>
      </c>
      <c r="AB20" t="s">
        <v>765</v>
      </c>
      <c r="AC20">
        <v>1160</v>
      </c>
      <c r="AD20">
        <v>205054</v>
      </c>
      <c r="AE20" s="266" t="e">
        <f>VLOOKUP(AB20,[4]Pges_unfiltr_y_loads!$A$2:$Q$73,17,FALSE)</f>
        <v>#N/A</v>
      </c>
      <c r="AF20" s="266" t="e">
        <f>VLOOKUP(AB20,[4]Ortho_P_y_loads!$A$2:$Q$73,17,FALSE)</f>
        <v>#N/A</v>
      </c>
      <c r="AG20" s="266" t="e">
        <f>VLOOKUP(AB20,[4]Ammonium_y_loads!$A$2:$Q$73,17,FALSE)</f>
        <v>#N/A</v>
      </c>
      <c r="AH20" s="266" t="e">
        <f>VLOOKUP(AB20,[4]Nitrit_y_loads!$A$2:$Q$73,17,FALSE)</f>
        <v>#N/A</v>
      </c>
      <c r="AI20" s="266" t="e">
        <f>VLOOKUP(AB20,[4]Nitrat_y_loads!$A$2:$R$73,17,FALSE)</f>
        <v>#N/A</v>
      </c>
      <c r="AJ20" s="266" t="e">
        <f t="shared" si="0"/>
        <v>#N/A</v>
      </c>
      <c r="AL20">
        <v>1140</v>
      </c>
      <c r="AM20">
        <v>1.4790322580645161</v>
      </c>
    </row>
    <row r="21" spans="1:39">
      <c r="A21">
        <v>2850</v>
      </c>
      <c r="B21" s="147">
        <v>2.4431818181818196E-3</v>
      </c>
      <c r="C21">
        <v>4.0000000000000001E-3</v>
      </c>
      <c r="E21" s="188">
        <v>1150</v>
      </c>
      <c r="F21" s="147" t="e">
        <v>#N/A</v>
      </c>
      <c r="G21" s="147" t="e">
        <v>#N/A</v>
      </c>
      <c r="J21">
        <f t="shared" si="1"/>
        <v>1300</v>
      </c>
      <c r="K21" t="s">
        <v>777</v>
      </c>
      <c r="L21">
        <v>4.1363636363636367</v>
      </c>
      <c r="M21">
        <v>5.3999999999999897</v>
      </c>
      <c r="N21">
        <v>5.2083333333333356E-3</v>
      </c>
      <c r="O21">
        <v>6.5000000000000006E-3</v>
      </c>
      <c r="P21">
        <v>2.5260416666666682E-3</v>
      </c>
      <c r="Q21" s="332">
        <v>2.5000000000000001E-3</v>
      </c>
      <c r="R21">
        <v>1.5000000000000011E-3</v>
      </c>
      <c r="S21">
        <v>1.5E-3</v>
      </c>
      <c r="T21">
        <v>0.91354166666666614</v>
      </c>
      <c r="U21">
        <v>1</v>
      </c>
      <c r="V21">
        <v>5.7291666666666706E-3</v>
      </c>
      <c r="W21">
        <v>0.01</v>
      </c>
      <c r="Y21">
        <v>1300</v>
      </c>
      <c r="Z21" s="188">
        <v>-1.3250177822489206</v>
      </c>
      <c r="AB21" t="s">
        <v>850</v>
      </c>
      <c r="AD21">
        <v>205757</v>
      </c>
      <c r="AE21" s="266" t="e">
        <f>VLOOKUP(AB21,[4]Pges_unfiltr_y_loads!$A$2:$Q$73,17,FALSE)</f>
        <v>#N/A</v>
      </c>
      <c r="AF21" s="266" t="e">
        <f>VLOOKUP(AB21,[4]Ortho_P_y_loads!$A$2:$Q$73,17,FALSE)</f>
        <v>#N/A</v>
      </c>
      <c r="AG21" s="266" t="e">
        <f>VLOOKUP(AB21,[4]Ammonium_y_loads!$A$2:$Q$73,17,FALSE)</f>
        <v>#N/A</v>
      </c>
      <c r="AH21" s="266" t="e">
        <f>VLOOKUP(AB21,[4]Nitrit_y_loads!$A$2:$Q$73,17,FALSE)</f>
        <v>#N/A</v>
      </c>
      <c r="AI21" s="266" t="e">
        <f>VLOOKUP(AB21,[4]Nitrat_y_loads!$A$2:$R$73,17,FALSE)</f>
        <v>#N/A</v>
      </c>
      <c r="AJ21" s="266" t="e">
        <f t="shared" si="0"/>
        <v>#N/A</v>
      </c>
      <c r="AL21">
        <v>1150</v>
      </c>
      <c r="AM21">
        <v>3.0862096774193541</v>
      </c>
    </row>
    <row r="22" spans="1:39" ht="15">
      <c r="A22">
        <v>2880</v>
      </c>
      <c r="B22" s="147">
        <v>2.9886363636363643E-3</v>
      </c>
      <c r="C22">
        <v>5.0000000000000001E-3</v>
      </c>
      <c r="E22" s="188">
        <v>1200</v>
      </c>
      <c r="F22" s="147">
        <v>2.2023344444444444</v>
      </c>
      <c r="G22" s="147">
        <v>2.9696000000000002</v>
      </c>
      <c r="J22">
        <f t="shared" si="1"/>
        <v>1310</v>
      </c>
      <c r="K22" t="s">
        <v>778</v>
      </c>
      <c r="L22">
        <v>4.8181818181818183</v>
      </c>
      <c r="M22">
        <v>3.7999999999999954</v>
      </c>
      <c r="N22">
        <v>1.1895833333333312E-2</v>
      </c>
      <c r="O22">
        <v>0.02</v>
      </c>
      <c r="P22">
        <v>4.0156250000000027E-3</v>
      </c>
      <c r="Q22" s="332">
        <v>7.0000000000000001E-3</v>
      </c>
      <c r="R22">
        <v>2.0572916666666682E-3</v>
      </c>
      <c r="S22">
        <v>4.0000000000000001E-3</v>
      </c>
      <c r="T22">
        <v>1.401041666666667</v>
      </c>
      <c r="U22">
        <v>1.6</v>
      </c>
      <c r="V22">
        <v>9.1666666666666719E-3</v>
      </c>
      <c r="W22">
        <v>0.02</v>
      </c>
      <c r="Y22">
        <v>1310</v>
      </c>
      <c r="Z22" s="251">
        <v>11.378566189499153</v>
      </c>
      <c r="AB22" t="s">
        <v>851</v>
      </c>
      <c r="AD22">
        <v>205922</v>
      </c>
      <c r="AE22" s="266" t="e">
        <f>VLOOKUP(AB22,[4]Pges_unfiltr_y_loads!$A$2:$Q$73,17,FALSE)</f>
        <v>#N/A</v>
      </c>
      <c r="AF22" s="266" t="e">
        <f>VLOOKUP(AB22,[4]Ortho_P_y_loads!$A$2:$Q$73,17,FALSE)</f>
        <v>#N/A</v>
      </c>
      <c r="AG22" s="266" t="e">
        <f>VLOOKUP(AB22,[4]Ammonium_y_loads!$A$2:$Q$73,17,FALSE)</f>
        <v>#N/A</v>
      </c>
      <c r="AH22" s="266" t="e">
        <f>VLOOKUP(AB22,[4]Nitrit_y_loads!$A$2:$Q$73,17,FALSE)</f>
        <v>#N/A</v>
      </c>
      <c r="AI22" s="266" t="e">
        <f>VLOOKUP(AB22,[4]Nitrat_y_loads!$A$2:$R$73,17,FALSE)</f>
        <v>#N/A</v>
      </c>
      <c r="AJ22" s="266" t="e">
        <f t="shared" si="0"/>
        <v>#N/A</v>
      </c>
      <c r="AL22">
        <v>1160</v>
      </c>
      <c r="AM22">
        <v>5.7476774193548383</v>
      </c>
    </row>
    <row r="23" spans="1:39">
      <c r="A23">
        <v>2980</v>
      </c>
      <c r="B23" s="147">
        <v>1.5800000000000008E-2</v>
      </c>
      <c r="C23">
        <v>2.7000000000000003E-2</v>
      </c>
      <c r="E23" s="188">
        <v>1270</v>
      </c>
      <c r="F23" s="147">
        <v>2.1747730645161294</v>
      </c>
      <c r="G23" s="147">
        <v>2.5868099999999998</v>
      </c>
      <c r="J23">
        <f t="shared" si="1"/>
        <v>1320</v>
      </c>
      <c r="K23" t="s">
        <v>779</v>
      </c>
      <c r="L23">
        <v>6.2272727272727275</v>
      </c>
      <c r="M23">
        <v>19</v>
      </c>
      <c r="N23">
        <v>7.7297872340425539E-2</v>
      </c>
      <c r="O23">
        <v>0.12</v>
      </c>
      <c r="P23">
        <v>4.6946808510638281E-2</v>
      </c>
      <c r="Q23" s="332">
        <v>8.5999999999999993E-2</v>
      </c>
      <c r="R23">
        <v>2.2170212765957441E-2</v>
      </c>
      <c r="S23">
        <v>3.4700000000000009E-2</v>
      </c>
      <c r="T23">
        <v>2.7904255319148943</v>
      </c>
      <c r="U23">
        <v>3.5</v>
      </c>
      <c r="V23">
        <v>0.14468085106382975</v>
      </c>
      <c r="W23">
        <v>0.32</v>
      </c>
      <c r="Y23">
        <v>1320</v>
      </c>
      <c r="Z23" s="188">
        <v>1.7074536127401814</v>
      </c>
      <c r="AB23" t="s">
        <v>852</v>
      </c>
      <c r="AD23">
        <v>205922</v>
      </c>
      <c r="AE23" s="266" t="e">
        <f>VLOOKUP(AB23,[4]Pges_unfiltr_y_loads!$A$2:$Q$73,17,FALSE)</f>
        <v>#N/A</v>
      </c>
      <c r="AF23" s="266" t="e">
        <f>VLOOKUP(AB23,[4]Ortho_P_y_loads!$A$2:$Q$73,17,FALSE)</f>
        <v>#N/A</v>
      </c>
      <c r="AG23" s="266" t="e">
        <f>VLOOKUP(AB23,[4]Ammonium_y_loads!$A$2:$Q$73,17,FALSE)</f>
        <v>#N/A</v>
      </c>
      <c r="AH23" s="266" t="e">
        <f>VLOOKUP(AB23,[4]Nitrit_y_loads!$A$2:$Q$73,17,FALSE)</f>
        <v>#N/A</v>
      </c>
      <c r="AI23" s="266" t="e">
        <f>VLOOKUP(AB23,[4]Nitrat_y_loads!$A$2:$R$73,17,FALSE)</f>
        <v>#N/A</v>
      </c>
      <c r="AJ23" s="266" t="e">
        <f t="shared" si="0"/>
        <v>#N/A</v>
      </c>
      <c r="AL23">
        <v>1170</v>
      </c>
      <c r="AM23">
        <v>2.526209677419355</v>
      </c>
    </row>
    <row r="24" spans="1:39">
      <c r="A24">
        <v>2970</v>
      </c>
      <c r="B24" s="147">
        <v>3.8414634146341485E-3</v>
      </c>
      <c r="C24">
        <v>5.0000000000000001E-3</v>
      </c>
      <c r="E24" s="188">
        <v>1280</v>
      </c>
      <c r="F24" s="147">
        <v>1.1912365</v>
      </c>
      <c r="G24" s="147">
        <v>1.4794499999999999</v>
      </c>
      <c r="J24">
        <f t="shared" si="1"/>
        <v>1330</v>
      </c>
      <c r="K24" t="s">
        <v>780</v>
      </c>
      <c r="L24">
        <v>19.545454545454547</v>
      </c>
      <c r="M24">
        <v>22</v>
      </c>
      <c r="N24">
        <v>9.1117021276595739E-2</v>
      </c>
      <c r="O24">
        <v>0.13</v>
      </c>
      <c r="P24">
        <v>4.490425531914892E-2</v>
      </c>
      <c r="Q24" s="332">
        <v>7.0400000000000004E-2</v>
      </c>
      <c r="R24">
        <v>2.3638297872340411E-2</v>
      </c>
      <c r="S24">
        <v>3.8700000000000005E-2</v>
      </c>
      <c r="T24">
        <v>4.469148936170213</v>
      </c>
      <c r="U24">
        <v>5.0999999999999996</v>
      </c>
      <c r="V24">
        <v>6.1117021276595691E-2</v>
      </c>
      <c r="W24">
        <v>0.13</v>
      </c>
      <c r="X24" t="s">
        <v>781</v>
      </c>
      <c r="Y24">
        <v>1330</v>
      </c>
      <c r="Z24" s="188">
        <v>3.8359032614806949</v>
      </c>
      <c r="AB24" t="s">
        <v>801</v>
      </c>
      <c r="AC24">
        <v>4080</v>
      </c>
      <c r="AD24">
        <v>205922</v>
      </c>
      <c r="AE24" s="266" t="e">
        <f>VLOOKUP(AB24,[4]Pges_unfiltr_y_loads!$A$2:$Q$73,17,FALSE)</f>
        <v>#N/A</v>
      </c>
      <c r="AF24" s="266" t="e">
        <f>VLOOKUP(AB24,[4]Ortho_P_y_loads!$A$2:$Q$73,17,FALSE)</f>
        <v>#N/A</v>
      </c>
      <c r="AG24" s="266" t="e">
        <f>VLOOKUP(AB24,[4]Ammonium_y_loads!$A$2:$Q$73,17,FALSE)</f>
        <v>#N/A</v>
      </c>
      <c r="AH24" s="266" t="e">
        <f>VLOOKUP(AB24,[4]Nitrit_y_loads!$A$2:$Q$73,17,FALSE)</f>
        <v>#N/A</v>
      </c>
      <c r="AI24" s="266" t="e">
        <f>VLOOKUP(AB24,[4]Nitrat_y_loads!$A$2:$R$73,17,FALSE)</f>
        <v>#N/A</v>
      </c>
      <c r="AJ24" s="266" t="e">
        <f t="shared" si="0"/>
        <v>#N/A</v>
      </c>
      <c r="AL24">
        <v>1180</v>
      </c>
      <c r="AM24">
        <v>7.6033402705515103</v>
      </c>
    </row>
    <row r="25" spans="1:39" ht="15">
      <c r="A25">
        <v>2940</v>
      </c>
      <c r="B25" s="147">
        <v>5.8769620253164546E-2</v>
      </c>
      <c r="C25">
        <v>0.12976000000000021</v>
      </c>
      <c r="E25" s="188">
        <v>1290</v>
      </c>
      <c r="F25" s="147">
        <v>1.6355374117647055</v>
      </c>
      <c r="G25" s="147">
        <v>1.9368999999999998</v>
      </c>
      <c r="J25">
        <f t="shared" si="1"/>
        <v>1340</v>
      </c>
      <c r="K25" t="s">
        <v>782</v>
      </c>
      <c r="L25">
        <v>8.7272727272727266</v>
      </c>
      <c r="M25">
        <v>11</v>
      </c>
      <c r="N25">
        <v>6.6505376344086042E-2</v>
      </c>
      <c r="O25">
        <v>8.9599999999999985E-2</v>
      </c>
      <c r="P25">
        <v>3.4268817204301055E-2</v>
      </c>
      <c r="Q25" s="332">
        <v>5.3799999999999994E-2</v>
      </c>
      <c r="R25">
        <v>2.7376344086021503E-2</v>
      </c>
      <c r="S25">
        <v>4.2999999999999997E-2</v>
      </c>
      <c r="T25">
        <v>7.2182795698924735</v>
      </c>
      <c r="U25">
        <v>8.2799999999999994</v>
      </c>
      <c r="V25">
        <v>4.4462365591397837E-2</v>
      </c>
      <c r="W25">
        <v>0.08</v>
      </c>
      <c r="Y25">
        <v>1340</v>
      </c>
      <c r="Z25" s="251">
        <v>29.345363173925136</v>
      </c>
      <c r="AB25" t="s">
        <v>789</v>
      </c>
      <c r="AC25">
        <v>1570</v>
      </c>
      <c r="AD25">
        <v>205948</v>
      </c>
      <c r="AE25" s="266" t="e">
        <f>VLOOKUP(AB25,[4]Pges_unfiltr_y_loads!$A$2:$Q$73,17,FALSE)</f>
        <v>#N/A</v>
      </c>
      <c r="AF25" s="266" t="e">
        <f>VLOOKUP(AB25,[4]Ortho_P_y_loads!$A$2:$Q$73,17,FALSE)</f>
        <v>#N/A</v>
      </c>
      <c r="AG25" s="266" t="e">
        <f>VLOOKUP(AB25,[4]Ammonium_y_loads!$A$2:$Q$73,17,FALSE)</f>
        <v>#N/A</v>
      </c>
      <c r="AH25" s="266" t="e">
        <f>VLOOKUP(AB25,[4]Nitrit_y_loads!$A$2:$Q$73,17,FALSE)</f>
        <v>#N/A</v>
      </c>
      <c r="AI25" s="266" t="e">
        <f>VLOOKUP(AB25,[4]Nitrat_y_loads!$A$2:$R$73,17,FALSE)</f>
        <v>#N/A</v>
      </c>
      <c r="AJ25" s="266" t="e">
        <f t="shared" si="0"/>
        <v>#N/A</v>
      </c>
      <c r="AL25">
        <v>1190</v>
      </c>
      <c r="AM25">
        <v>5.3242903225806453</v>
      </c>
    </row>
    <row r="26" spans="1:39">
      <c r="A26">
        <v>2950</v>
      </c>
      <c r="B26" s="147">
        <v>6.3050632911392429E-2</v>
      </c>
      <c r="C26">
        <v>0.11960000000000014</v>
      </c>
      <c r="E26" s="188">
        <v>1330</v>
      </c>
      <c r="F26" s="147">
        <v>4.532856941176469</v>
      </c>
      <c r="G26" s="147">
        <v>5.5815999999999999</v>
      </c>
      <c r="J26">
        <f t="shared" si="1"/>
        <v>1360</v>
      </c>
      <c r="K26" t="s">
        <v>783</v>
      </c>
      <c r="L26">
        <v>15.23076923076923</v>
      </c>
      <c r="M26">
        <v>44.8</v>
      </c>
      <c r="N26">
        <v>0.1535876288659794</v>
      </c>
      <c r="O26">
        <v>0.26400000000000007</v>
      </c>
      <c r="P26">
        <v>0.10210309278350517</v>
      </c>
      <c r="Q26" s="332">
        <v>0.18400000000000005</v>
      </c>
      <c r="R26">
        <v>1.9711340206185552E-2</v>
      </c>
      <c r="S26">
        <v>4.1000000000000002E-2</v>
      </c>
      <c r="T26">
        <v>3.6835051546391759</v>
      </c>
      <c r="U26">
        <v>5.0200000000000022</v>
      </c>
      <c r="V26">
        <v>5.5618556701030886E-2</v>
      </c>
      <c r="W26">
        <v>0.11</v>
      </c>
      <c r="Y26">
        <v>1360</v>
      </c>
      <c r="Z26" s="188">
        <v>6.7497159919862213</v>
      </c>
      <c r="AB26" t="s">
        <v>853</v>
      </c>
      <c r="AD26">
        <v>205948</v>
      </c>
      <c r="AE26" s="266" t="e">
        <f>VLOOKUP(AB26,[4]Pges_unfiltr_y_loads!$A$2:$Q$73,17,FALSE)</f>
        <v>#N/A</v>
      </c>
      <c r="AF26" s="266" t="e">
        <f>VLOOKUP(AB26,[4]Ortho_P_y_loads!$A$2:$Q$73,17,FALSE)</f>
        <v>#N/A</v>
      </c>
      <c r="AG26" s="266" t="e">
        <f>VLOOKUP(AB26,[4]Ammonium_y_loads!$A$2:$Q$73,17,FALSE)</f>
        <v>#N/A</v>
      </c>
      <c r="AH26" s="266" t="e">
        <f>VLOOKUP(AB26,[4]Nitrit_y_loads!$A$2:$Q$73,17,FALSE)</f>
        <v>#N/A</v>
      </c>
      <c r="AI26" s="266" t="e">
        <f>VLOOKUP(AB26,[4]Nitrat_y_loads!$A$2:$R$73,17,FALSE)</f>
        <v>#N/A</v>
      </c>
      <c r="AJ26" s="266" t="e">
        <f t="shared" si="0"/>
        <v>#N/A</v>
      </c>
      <c r="AL26">
        <v>1200</v>
      </c>
      <c r="AM26">
        <v>2.9070322580645165</v>
      </c>
    </row>
    <row r="27" spans="1:39">
      <c r="A27">
        <v>2900</v>
      </c>
      <c r="B27" s="147">
        <v>1.0476744186046516E-2</v>
      </c>
      <c r="C27">
        <v>1.6800000000000006E-2</v>
      </c>
      <c r="E27" s="188">
        <v>1340</v>
      </c>
      <c r="F27" s="147" t="e">
        <v>#N/A</v>
      </c>
      <c r="G27" s="147" t="e">
        <v>#N/A</v>
      </c>
      <c r="J27">
        <f t="shared" si="1"/>
        <v>1370</v>
      </c>
      <c r="K27" t="s">
        <v>784</v>
      </c>
      <c r="L27">
        <v>26.23076923076923</v>
      </c>
      <c r="M27">
        <v>37.200000000000003</v>
      </c>
      <c r="N27">
        <v>0.15555670103092792</v>
      </c>
      <c r="O27">
        <v>0.27</v>
      </c>
      <c r="P27">
        <v>0.11341237113402061</v>
      </c>
      <c r="Q27" s="332">
        <v>0.21</v>
      </c>
      <c r="R27">
        <v>2.6092783505154635E-2</v>
      </c>
      <c r="S27">
        <v>4.2800000000000012E-2</v>
      </c>
      <c r="T27">
        <v>3.7824742268041245</v>
      </c>
      <c r="U27">
        <v>4.8</v>
      </c>
      <c r="V27">
        <v>9.1701030927834992E-2</v>
      </c>
      <c r="W27">
        <v>0.21</v>
      </c>
      <c r="X27" t="s">
        <v>785</v>
      </c>
      <c r="Y27">
        <v>1370</v>
      </c>
      <c r="Z27" s="188">
        <v>-0.30624047915168262</v>
      </c>
      <c r="AB27" t="s">
        <v>854</v>
      </c>
      <c r="AD27">
        <v>206581</v>
      </c>
      <c r="AE27" s="266" t="e">
        <f>VLOOKUP(AB27,[4]Pges_unfiltr_y_loads!$A$2:$Q$73,17,FALSE)</f>
        <v>#N/A</v>
      </c>
      <c r="AF27" s="266" t="e">
        <f>VLOOKUP(AB27,[4]Ortho_P_y_loads!$A$2:$Q$73,17,FALSE)</f>
        <v>#N/A</v>
      </c>
      <c r="AG27" s="266" t="e">
        <f>VLOOKUP(AB27,[4]Ammonium_y_loads!$A$2:$Q$73,17,FALSE)</f>
        <v>#N/A</v>
      </c>
      <c r="AH27" s="266" t="e">
        <f>VLOOKUP(AB27,[4]Nitrit_y_loads!$A$2:$Q$73,17,FALSE)</f>
        <v>#N/A</v>
      </c>
      <c r="AI27" s="266" t="e">
        <f>VLOOKUP(AB27,[4]Nitrat_y_loads!$A$2:$R$73,17,FALSE)</f>
        <v>#N/A</v>
      </c>
      <c r="AJ27" s="266" t="e">
        <f t="shared" si="0"/>
        <v>#N/A</v>
      </c>
      <c r="AL27">
        <v>1210</v>
      </c>
      <c r="AM27">
        <v>5.7129032258064507</v>
      </c>
    </row>
    <row r="28" spans="1:39">
      <c r="A28">
        <v>3030</v>
      </c>
      <c r="B28" s="147">
        <v>1.4533333333333343E-2</v>
      </c>
      <c r="C28">
        <v>2.1000000000000001E-2</v>
      </c>
      <c r="E28" s="188">
        <v>1370</v>
      </c>
      <c r="F28" s="147" t="e">
        <v>#N/A</v>
      </c>
      <c r="G28" s="147" t="e">
        <v>#N/A</v>
      </c>
      <c r="J28">
        <f t="shared" si="1"/>
        <v>1380</v>
      </c>
      <c r="K28" t="s">
        <v>786</v>
      </c>
      <c r="L28">
        <v>16.076923076923077</v>
      </c>
      <c r="M28">
        <v>39.600000000000009</v>
      </c>
      <c r="N28">
        <v>0.16252577319587624</v>
      </c>
      <c r="O28">
        <v>0.26</v>
      </c>
      <c r="P28">
        <v>0.12065979381443291</v>
      </c>
      <c r="Q28" s="332">
        <v>0.2</v>
      </c>
      <c r="R28">
        <v>3.0587628865979388E-2</v>
      </c>
      <c r="S28">
        <v>5.0400000000000035E-2</v>
      </c>
      <c r="T28">
        <v>3.8092783505154637</v>
      </c>
      <c r="U28">
        <v>4.8</v>
      </c>
      <c r="V28">
        <v>9.9329896907216456E-2</v>
      </c>
      <c r="W28">
        <v>0.21800000000000011</v>
      </c>
      <c r="Y28">
        <v>1380</v>
      </c>
      <c r="Z28" s="188">
        <v>8.5175511059661062</v>
      </c>
      <c r="AB28" t="s">
        <v>792</v>
      </c>
      <c r="AC28">
        <v>1590</v>
      </c>
      <c r="AD28">
        <v>205971</v>
      </c>
      <c r="AE28" s="266" t="e">
        <f>VLOOKUP(AB28,[4]Pges_unfiltr_y_loads!$A$2:$Q$73,17,FALSE)</f>
        <v>#N/A</v>
      </c>
      <c r="AF28" s="266" t="e">
        <f>VLOOKUP(AB28,[4]Ortho_P_y_loads!$A$2:$Q$73,17,FALSE)</f>
        <v>#N/A</v>
      </c>
      <c r="AG28" s="266" t="e">
        <f>VLOOKUP(AB28,[4]Ammonium_y_loads!$A$2:$Q$73,17,FALSE)</f>
        <v>#N/A</v>
      </c>
      <c r="AH28" s="266" t="e">
        <f>VLOOKUP(AB28,[4]Nitrit_y_loads!$A$2:$Q$73,17,FALSE)</f>
        <v>#N/A</v>
      </c>
      <c r="AI28" s="266" t="e">
        <f>VLOOKUP(AB28,[4]Nitrat_y_loads!$A$2:$R$73,17,FALSE)</f>
        <v>#N/A</v>
      </c>
      <c r="AJ28" s="266" t="e">
        <f t="shared" si="0"/>
        <v>#N/A</v>
      </c>
      <c r="AL28">
        <v>1220</v>
      </c>
      <c r="AM28">
        <v>0.53516129032258064</v>
      </c>
    </row>
    <row r="29" spans="1:39">
      <c r="A29" t="e">
        <v>#N/A</v>
      </c>
      <c r="B29" s="147">
        <v>3.5385714285714277E-2</v>
      </c>
      <c r="C29">
        <v>5.6999999999999988E-2</v>
      </c>
      <c r="E29" s="188">
        <v>1430</v>
      </c>
      <c r="F29" s="147">
        <v>0.65150023809523805</v>
      </c>
      <c r="G29" s="147">
        <v>0.90382499999999988</v>
      </c>
      <c r="J29">
        <f t="shared" si="1"/>
        <v>1560</v>
      </c>
      <c r="K29" t="s">
        <v>787</v>
      </c>
      <c r="L29">
        <v>3.3181818181818183</v>
      </c>
      <c r="M29">
        <v>6</v>
      </c>
      <c r="N29">
        <v>1.0639784946236543E-2</v>
      </c>
      <c r="O29">
        <v>1.4E-2</v>
      </c>
      <c r="P29">
        <v>3.0053763440860237E-3</v>
      </c>
      <c r="Q29" s="332">
        <v>5.0000000000000001E-3</v>
      </c>
      <c r="R29">
        <v>1.688172043010754E-3</v>
      </c>
      <c r="S29">
        <v>3.0000000000000001E-3</v>
      </c>
      <c r="T29">
        <v>0.96774193548387077</v>
      </c>
      <c r="U29">
        <v>1.2</v>
      </c>
      <c r="V29">
        <v>6.6666666666666706E-3</v>
      </c>
      <c r="W29">
        <v>0.01</v>
      </c>
      <c r="X29" t="s">
        <v>788</v>
      </c>
      <c r="Y29">
        <v>1560</v>
      </c>
      <c r="Z29" s="188">
        <v>-0.30681818306310049</v>
      </c>
      <c r="AB29" t="s">
        <v>855</v>
      </c>
      <c r="AD29">
        <v>204891</v>
      </c>
      <c r="AE29" s="266" t="e">
        <f>VLOOKUP(AB29,[4]Pges_unfiltr_y_loads!$A$2:$Q$73,17,FALSE)</f>
        <v>#N/A</v>
      </c>
      <c r="AF29" s="266" t="e">
        <f>VLOOKUP(AB29,[4]Ortho_P_y_loads!$A$2:$Q$73,17,FALSE)</f>
        <v>#N/A</v>
      </c>
      <c r="AG29" s="266" t="e">
        <f>VLOOKUP(AB29,[4]Ammonium_y_loads!$A$2:$Q$73,17,FALSE)</f>
        <v>#N/A</v>
      </c>
      <c r="AH29" s="266" t="e">
        <f>VLOOKUP(AB29,[4]Nitrit_y_loads!$A$2:$Q$73,17,FALSE)</f>
        <v>#N/A</v>
      </c>
      <c r="AI29" s="266" t="e">
        <f>VLOOKUP(AB29,[4]Nitrat_y_loads!$A$2:$R$73,17,FALSE)</f>
        <v>#N/A</v>
      </c>
      <c r="AJ29" s="266" t="e">
        <f t="shared" si="0"/>
        <v>#N/A</v>
      </c>
      <c r="AL29">
        <v>1230</v>
      </c>
      <c r="AM29">
        <v>0.9199354838709678</v>
      </c>
    </row>
    <row r="30" spans="1:39">
      <c r="A30" t="e">
        <v>#N/A</v>
      </c>
      <c r="B30" s="147">
        <v>2.8786666666666644E-2</v>
      </c>
      <c r="C30">
        <v>4.8600000000000025E-2</v>
      </c>
      <c r="E30" s="188">
        <v>1460</v>
      </c>
      <c r="F30" s="147">
        <v>0.89768950819672166</v>
      </c>
      <c r="G30" s="147">
        <v>1.1586000000000001</v>
      </c>
      <c r="J30">
        <f t="shared" si="1"/>
        <v>1570</v>
      </c>
      <c r="K30" t="s">
        <v>789</v>
      </c>
      <c r="L30">
        <v>9.5</v>
      </c>
      <c r="M30">
        <v>23.800000000000011</v>
      </c>
      <c r="N30">
        <v>8.4112244897959224E-2</v>
      </c>
      <c r="O30">
        <v>0.12</v>
      </c>
      <c r="P30">
        <v>4.6632653061224487E-2</v>
      </c>
      <c r="Q30" s="332">
        <v>7.1999999999999995E-2</v>
      </c>
      <c r="R30">
        <v>1.0785714285714289E-2</v>
      </c>
      <c r="S30">
        <v>1.7999999999999999E-2</v>
      </c>
      <c r="T30">
        <v>3.2224489795918374</v>
      </c>
      <c r="U30">
        <v>4.43</v>
      </c>
      <c r="V30">
        <v>2.8775510204081613E-2</v>
      </c>
      <c r="W30">
        <v>0.06</v>
      </c>
      <c r="X30" t="s">
        <v>790</v>
      </c>
      <c r="Y30">
        <v>1570</v>
      </c>
      <c r="Z30" s="188">
        <v>0.77337795998974457</v>
      </c>
      <c r="AB30" t="s">
        <v>762</v>
      </c>
      <c r="AC30">
        <v>1140</v>
      </c>
      <c r="AD30">
        <v>204917</v>
      </c>
      <c r="AE30" s="266" t="e">
        <f>VLOOKUP(AB30,[4]Pges_unfiltr_y_loads!$A$2:$Q$73,17,FALSE)</f>
        <v>#N/A</v>
      </c>
      <c r="AF30" s="266" t="e">
        <f>VLOOKUP(AB30,[4]Ortho_P_y_loads!$A$2:$Q$73,17,FALSE)</f>
        <v>#N/A</v>
      </c>
      <c r="AG30" s="266" t="e">
        <f>VLOOKUP(AB30,[4]Ammonium_y_loads!$A$2:$Q$73,17,FALSE)</f>
        <v>#N/A</v>
      </c>
      <c r="AH30" s="266" t="e">
        <f>VLOOKUP(AB30,[4]Nitrit_y_loads!$A$2:$Q$73,17,FALSE)</f>
        <v>#N/A</v>
      </c>
      <c r="AI30" s="266" t="e">
        <f>VLOOKUP(AB30,[4]Nitrat_y_loads!$A$2:$R$73,17,FALSE)</f>
        <v>#N/A</v>
      </c>
      <c r="AJ30" s="266" t="e">
        <f t="shared" si="0"/>
        <v>#N/A</v>
      </c>
      <c r="AL30">
        <v>1240</v>
      </c>
      <c r="AM30">
        <v>1.6156451612903227</v>
      </c>
    </row>
    <row r="31" spans="1:39">
      <c r="A31">
        <v>1780</v>
      </c>
      <c r="B31" s="147">
        <v>6.6418750000000011E-3</v>
      </c>
      <c r="C31">
        <v>1.4380000000000004E-2</v>
      </c>
      <c r="E31" s="188">
        <v>1550</v>
      </c>
      <c r="F31" s="147">
        <v>0.55960627906976734</v>
      </c>
      <c r="G31" s="147">
        <v>0.70977999999999997</v>
      </c>
      <c r="J31">
        <f t="shared" si="1"/>
        <v>1580</v>
      </c>
      <c r="K31" t="s">
        <v>791</v>
      </c>
      <c r="L31">
        <v>9.8076923076923084</v>
      </c>
      <c r="M31">
        <v>30.800000000000018</v>
      </c>
      <c r="N31">
        <v>0.12622448979591838</v>
      </c>
      <c r="O31">
        <v>0.21299999999999997</v>
      </c>
      <c r="P31">
        <v>8.515306122448979E-2</v>
      </c>
      <c r="Q31" s="332">
        <v>0.15</v>
      </c>
      <c r="R31">
        <v>1.6653061224489785E-2</v>
      </c>
      <c r="S31">
        <v>2.8299999999999999E-2</v>
      </c>
      <c r="T31">
        <v>3.5642857142857149</v>
      </c>
      <c r="U31">
        <v>5.0999999999999996</v>
      </c>
      <c r="V31">
        <v>4.7602040816326484E-2</v>
      </c>
      <c r="W31">
        <v>0.11</v>
      </c>
      <c r="Y31">
        <v>1580</v>
      </c>
      <c r="Z31" s="188">
        <v>-5.4610654174780393E-3</v>
      </c>
      <c r="AB31" t="s">
        <v>856</v>
      </c>
      <c r="AD31">
        <v>204933</v>
      </c>
      <c r="AE31" s="266" t="e">
        <f>VLOOKUP(AB31,[4]Pges_unfiltr_y_loads!$A$2:$Q$73,17,FALSE)</f>
        <v>#N/A</v>
      </c>
      <c r="AF31" s="266" t="e">
        <f>VLOOKUP(AB31,[4]Ortho_P_y_loads!$A$2:$Q$73,17,FALSE)</f>
        <v>#N/A</v>
      </c>
      <c r="AG31" s="266" t="e">
        <f>VLOOKUP(AB31,[4]Ammonium_y_loads!$A$2:$Q$73,17,FALSE)</f>
        <v>#N/A</v>
      </c>
      <c r="AH31" s="266" t="e">
        <f>VLOOKUP(AB31,[4]Nitrit_y_loads!$A$2:$Q$73,17,FALSE)</f>
        <v>#N/A</v>
      </c>
      <c r="AI31" s="266" t="e">
        <f>VLOOKUP(AB31,[4]Nitrat_y_loads!$A$2:$R$73,17,FALSE)</f>
        <v>#N/A</v>
      </c>
      <c r="AJ31" s="266" t="e">
        <f t="shared" si="0"/>
        <v>#N/A</v>
      </c>
      <c r="AL31">
        <v>1250</v>
      </c>
      <c r="AM31">
        <v>3.122150537634409</v>
      </c>
    </row>
    <row r="32" spans="1:39">
      <c r="A32" t="e">
        <v>#N/A</v>
      </c>
      <c r="B32" s="147">
        <v>2.5264687499999987E-2</v>
      </c>
      <c r="C32">
        <v>4.0009999999999997E-2</v>
      </c>
      <c r="E32" s="188">
        <v>1560</v>
      </c>
      <c r="F32" s="147">
        <v>1.0662812068965515</v>
      </c>
      <c r="G32" s="147">
        <v>1.2734000000000001</v>
      </c>
      <c r="J32">
        <f t="shared" si="1"/>
        <v>1590</v>
      </c>
      <c r="K32" t="s">
        <v>792</v>
      </c>
      <c r="L32">
        <v>7.3461538461538458</v>
      </c>
      <c r="M32">
        <v>22.800000000000015</v>
      </c>
      <c r="N32">
        <v>3.7397959183673439E-2</v>
      </c>
      <c r="O32">
        <v>6.0599999999999994E-2</v>
      </c>
      <c r="P32">
        <v>1.3091836734693874E-2</v>
      </c>
      <c r="Q32" s="332">
        <v>2.0299999999999999E-2</v>
      </c>
      <c r="R32">
        <v>2.724489795918369E-3</v>
      </c>
      <c r="S32">
        <v>4.0000000000000001E-3</v>
      </c>
      <c r="T32">
        <v>1.6612244897959185</v>
      </c>
      <c r="U32">
        <v>2.4</v>
      </c>
      <c r="V32">
        <v>1.3367346938775516E-2</v>
      </c>
      <c r="W32">
        <v>0.02</v>
      </c>
      <c r="X32" t="s">
        <v>793</v>
      </c>
      <c r="Y32">
        <v>1590</v>
      </c>
      <c r="Z32" s="188">
        <v>3.3275746898885501</v>
      </c>
      <c r="AB32" t="s">
        <v>857</v>
      </c>
      <c r="AD32">
        <v>205088</v>
      </c>
      <c r="AE32" s="266" t="e">
        <f>VLOOKUP(AB32,[4]Pges_unfiltr_y_loads!$A$2:$Q$73,17,FALSE)</f>
        <v>#N/A</v>
      </c>
      <c r="AF32" s="266" t="e">
        <f>VLOOKUP(AB32,[4]Ortho_P_y_loads!$A$2:$Q$73,17,FALSE)</f>
        <v>#N/A</v>
      </c>
      <c r="AG32" s="266" t="e">
        <f>VLOOKUP(AB32,[4]Ammonium_y_loads!$A$2:$Q$73,17,FALSE)</f>
        <v>#N/A</v>
      </c>
      <c r="AH32" s="266" t="e">
        <f>VLOOKUP(AB32,[4]Nitrit_y_loads!$A$2:$Q$73,17,FALSE)</f>
        <v>#N/A</v>
      </c>
      <c r="AI32" s="266" t="e">
        <f>VLOOKUP(AB32,[4]Nitrat_y_loads!$A$2:$R$73,17,FALSE)</f>
        <v>#N/A</v>
      </c>
      <c r="AJ32" s="266" t="e">
        <f t="shared" si="0"/>
        <v>#N/A</v>
      </c>
      <c r="AL32">
        <v>1260</v>
      </c>
      <c r="AM32">
        <v>1.6361935483870966</v>
      </c>
    </row>
    <row r="33" spans="1:39">
      <c r="A33" t="e">
        <v>#N/A</v>
      </c>
      <c r="B33" s="147">
        <v>2.3652641509433976E-2</v>
      </c>
      <c r="C33">
        <v>4.0300000000000002E-2</v>
      </c>
      <c r="E33" s="188">
        <v>1570</v>
      </c>
      <c r="F33" s="147" t="e">
        <v>#N/A</v>
      </c>
      <c r="G33" s="147" t="e">
        <v>#N/A</v>
      </c>
      <c r="J33">
        <f t="shared" si="1"/>
        <v>1600</v>
      </c>
      <c r="K33" t="s">
        <v>794</v>
      </c>
      <c r="L33">
        <v>11.923076923076923</v>
      </c>
      <c r="M33">
        <v>41.000000000000021</v>
      </c>
      <c r="N33">
        <v>7.9193877551020433E-2</v>
      </c>
      <c r="O33">
        <v>0.13</v>
      </c>
      <c r="P33">
        <v>4.3795918367346927E-2</v>
      </c>
      <c r="Q33" s="332">
        <v>6.83E-2</v>
      </c>
      <c r="R33">
        <v>8.5510204081632717E-3</v>
      </c>
      <c r="S33">
        <v>1.2299999999999997E-2</v>
      </c>
      <c r="T33">
        <v>2.6173469387755097</v>
      </c>
      <c r="U33">
        <v>3.8</v>
      </c>
      <c r="V33">
        <v>3.6020408163265294E-2</v>
      </c>
      <c r="W33">
        <v>0.06</v>
      </c>
      <c r="Y33">
        <v>1600</v>
      </c>
      <c r="Z33" s="188">
        <v>2.2540918430980952</v>
      </c>
      <c r="AB33" t="s">
        <v>858</v>
      </c>
      <c r="AD33">
        <v>206573</v>
      </c>
      <c r="AE33" s="266" t="e">
        <f>VLOOKUP(AB33,[4]Pges_unfiltr_y_loads!$A$2:$Q$73,17,FALSE)</f>
        <v>#N/A</v>
      </c>
      <c r="AF33" s="266" t="e">
        <f>VLOOKUP(AB33,[4]Ortho_P_y_loads!$A$2:$Q$73,17,FALSE)</f>
        <v>#N/A</v>
      </c>
      <c r="AG33" s="266" t="e">
        <f>VLOOKUP(AB33,[4]Ammonium_y_loads!$A$2:$Q$73,17,FALSE)</f>
        <v>#N/A</v>
      </c>
      <c r="AH33" s="266" t="e">
        <f>VLOOKUP(AB33,[4]Nitrit_y_loads!$A$2:$Q$73,17,FALSE)</f>
        <v>#N/A</v>
      </c>
      <c r="AI33" s="266" t="e">
        <f>VLOOKUP(AB33,[4]Nitrat_y_loads!$A$2:$R$73,17,FALSE)</f>
        <v>#N/A</v>
      </c>
      <c r="AJ33" s="266" t="e">
        <f t="shared" si="0"/>
        <v>#N/A</v>
      </c>
      <c r="AL33">
        <v>1270</v>
      </c>
      <c r="AM33">
        <v>2.282451612903226</v>
      </c>
    </row>
    <row r="34" spans="1:39">
      <c r="A34">
        <v>1850</v>
      </c>
      <c r="B34" s="147">
        <v>1.4819384615384625E-2</v>
      </c>
      <c r="C34">
        <v>2.4500000000000001E-2</v>
      </c>
      <c r="E34" s="188">
        <v>1590</v>
      </c>
      <c r="F34" s="147" t="e">
        <v>#N/A</v>
      </c>
      <c r="G34" s="147" t="e">
        <v>#N/A</v>
      </c>
      <c r="J34">
        <f t="shared" si="1"/>
        <v>1630</v>
      </c>
      <c r="K34" t="s">
        <v>795</v>
      </c>
      <c r="L34">
        <v>4.5909090909090908</v>
      </c>
      <c r="M34">
        <v>10</v>
      </c>
      <c r="N34">
        <v>2.9215053763440829E-2</v>
      </c>
      <c r="O34">
        <v>4.579999999999998E-2</v>
      </c>
      <c r="P34">
        <v>1.1688172043010755E-2</v>
      </c>
      <c r="Q34" s="332">
        <v>1.4999999999999999E-2</v>
      </c>
      <c r="R34">
        <v>1.6236559139784959E-3</v>
      </c>
      <c r="S34">
        <v>1.5E-3</v>
      </c>
      <c r="T34">
        <v>1.6096774193548382</v>
      </c>
      <c r="U34">
        <v>1.9</v>
      </c>
      <c r="V34">
        <v>1.0268817204301083E-2</v>
      </c>
      <c r="W34">
        <v>0.02</v>
      </c>
      <c r="Y34">
        <v>1630</v>
      </c>
      <c r="Z34" s="188">
        <v>2.8533195312737405</v>
      </c>
      <c r="AB34" t="s">
        <v>784</v>
      </c>
      <c r="AC34">
        <v>1370</v>
      </c>
      <c r="AD34">
        <v>206375</v>
      </c>
      <c r="AE34" s="266" t="e">
        <f>VLOOKUP(AB34,[4]Pges_unfiltr_y_loads!$A$2:$Q$73,17,FALSE)</f>
        <v>#N/A</v>
      </c>
      <c r="AF34" s="266" t="e">
        <f>VLOOKUP(AB34,[4]Ortho_P_y_loads!$A$2:$Q$73,17,FALSE)</f>
        <v>#N/A</v>
      </c>
      <c r="AG34" s="266" t="e">
        <f>VLOOKUP(AB34,[4]Ammonium_y_loads!$A$2:$Q$73,17,FALSE)</f>
        <v>#N/A</v>
      </c>
      <c r="AH34" s="266" t="e">
        <f>VLOOKUP(AB34,[4]Nitrit_y_loads!$A$2:$Q$73,17,FALSE)</f>
        <v>#N/A</v>
      </c>
      <c r="AI34" s="266" t="e">
        <f>VLOOKUP(AB34,[4]Nitrat_y_loads!$A$2:$R$73,17,FALSE)</f>
        <v>#N/A</v>
      </c>
      <c r="AJ34" s="266" t="e">
        <f t="shared" si="0"/>
        <v>#N/A</v>
      </c>
      <c r="AL34">
        <v>1280</v>
      </c>
      <c r="AM34">
        <v>2.1587096774193544</v>
      </c>
    </row>
    <row r="35" spans="1:39">
      <c r="A35">
        <v>1730</v>
      </c>
      <c r="B35" s="147">
        <v>2.1265217391304362E-3</v>
      </c>
      <c r="C35">
        <v>3.7499999999999999E-3</v>
      </c>
      <c r="E35" s="188">
        <v>1650</v>
      </c>
      <c r="F35" s="147">
        <v>2.0383986956521754</v>
      </c>
      <c r="G35" s="147">
        <v>2.6019999999999999</v>
      </c>
      <c r="J35">
        <f t="shared" si="1"/>
        <v>4000</v>
      </c>
      <c r="K35" t="s">
        <v>796</v>
      </c>
      <c r="L35">
        <v>4.2272727272727275</v>
      </c>
      <c r="M35">
        <v>5</v>
      </c>
      <c r="N35">
        <v>1.4673684210526301E-2</v>
      </c>
      <c r="O35">
        <v>2.5200000000000018E-2</v>
      </c>
      <c r="P35">
        <v>3.9368421052631605E-3</v>
      </c>
      <c r="Q35" s="332">
        <v>8.0000000000000002E-3</v>
      </c>
      <c r="R35">
        <v>2.1736842105263172E-3</v>
      </c>
      <c r="S35">
        <v>4.0000000000000001E-3</v>
      </c>
      <c r="T35">
        <v>0.49157894736842095</v>
      </c>
      <c r="U35">
        <v>0.6</v>
      </c>
      <c r="V35">
        <v>1.2578947368421051E-2</v>
      </c>
      <c r="W35">
        <v>0.02</v>
      </c>
      <c r="X35" t="s">
        <v>797</v>
      </c>
      <c r="Y35">
        <v>4000</v>
      </c>
      <c r="Z35" s="188">
        <v>-2.2457107216155237E-2</v>
      </c>
      <c r="AB35" t="s">
        <v>859</v>
      </c>
      <c r="AD35">
        <v>206375</v>
      </c>
      <c r="AE35" s="266" t="e">
        <f>VLOOKUP(AB35,[4]Pges_unfiltr_y_loads!$A$2:$Q$73,17,FALSE)</f>
        <v>#N/A</v>
      </c>
      <c r="AF35" s="266" t="e">
        <f>VLOOKUP(AB35,[4]Ortho_P_y_loads!$A$2:$Q$73,17,FALSE)</f>
        <v>#N/A</v>
      </c>
      <c r="AG35" s="266" t="e">
        <f>VLOOKUP(AB35,[4]Ammonium_y_loads!$A$2:$Q$73,17,FALSE)</f>
        <v>#N/A</v>
      </c>
      <c r="AH35" s="266" t="e">
        <f>VLOOKUP(AB35,[4]Nitrit_y_loads!$A$2:$Q$73,17,FALSE)</f>
        <v>#N/A</v>
      </c>
      <c r="AI35" s="266" t="e">
        <f>VLOOKUP(AB35,[4]Nitrat_y_loads!$A$2:$R$73,17,FALSE)</f>
        <v>#N/A</v>
      </c>
      <c r="AJ35" s="266" t="e">
        <f t="shared" si="0"/>
        <v>#N/A</v>
      </c>
      <c r="AL35">
        <v>1290</v>
      </c>
      <c r="AM35">
        <v>4.3022770398481969</v>
      </c>
    </row>
    <row r="36" spans="1:39">
      <c r="A36">
        <v>1690</v>
      </c>
      <c r="B36" s="147">
        <v>1.6413043478260877E-3</v>
      </c>
      <c r="C36">
        <v>3.7499999999999999E-3</v>
      </c>
      <c r="E36" s="188">
        <v>1680</v>
      </c>
      <c r="F36" s="147" t="e">
        <v>#N/A</v>
      </c>
      <c r="G36" s="147" t="e">
        <v>#N/A</v>
      </c>
      <c r="J36">
        <f t="shared" si="1"/>
        <v>4010</v>
      </c>
      <c r="K36" t="s">
        <v>798</v>
      </c>
      <c r="L36">
        <v>2.5</v>
      </c>
      <c r="M36">
        <v>2.5</v>
      </c>
      <c r="N36">
        <v>4.9821428571428603E-3</v>
      </c>
      <c r="O36">
        <v>8.0000000000000002E-3</v>
      </c>
      <c r="P36">
        <v>2.5000000000000014E-3</v>
      </c>
      <c r="Q36" s="332">
        <v>2.5000000000000001E-3</v>
      </c>
      <c r="R36">
        <v>3.7023809523809544E-3</v>
      </c>
      <c r="S36">
        <v>8.7000000000000029E-3</v>
      </c>
      <c r="T36">
        <v>0.67976190476190534</v>
      </c>
      <c r="U36">
        <v>0.8</v>
      </c>
      <c r="V36">
        <v>9.2261904761904816E-3</v>
      </c>
      <c r="W36">
        <v>0.02</v>
      </c>
      <c r="X36" t="s">
        <v>799</v>
      </c>
      <c r="Y36">
        <v>4010</v>
      </c>
      <c r="Z36" s="188">
        <v>0.16548998850127816</v>
      </c>
      <c r="AB36" t="s">
        <v>860</v>
      </c>
      <c r="AD36">
        <v>206375</v>
      </c>
      <c r="AE36" s="266" t="e">
        <f>VLOOKUP(AB36,[4]Pges_unfiltr_y_loads!$A$2:$Q$73,17,FALSE)</f>
        <v>#N/A</v>
      </c>
      <c r="AF36" s="266" t="e">
        <f>VLOOKUP(AB36,[4]Ortho_P_y_loads!$A$2:$Q$73,17,FALSE)</f>
        <v>#N/A</v>
      </c>
      <c r="AG36" s="266" t="e">
        <f>VLOOKUP(AB36,[4]Ammonium_y_loads!$A$2:$Q$73,17,FALSE)</f>
        <v>#N/A</v>
      </c>
      <c r="AH36" s="266" t="e">
        <f>VLOOKUP(AB36,[4]Nitrit_y_loads!$A$2:$Q$73,17,FALSE)</f>
        <v>#N/A</v>
      </c>
      <c r="AI36" s="266" t="e">
        <f>VLOOKUP(AB36,[4]Nitrat_y_loads!$A$2:$R$73,17,FALSE)</f>
        <v>#N/A</v>
      </c>
      <c r="AJ36" s="266" t="e">
        <f t="shared" si="0"/>
        <v>#N/A</v>
      </c>
      <c r="AL36">
        <v>1300</v>
      </c>
      <c r="AM36">
        <v>0.99580645161290327</v>
      </c>
    </row>
    <row r="37" spans="1:39">
      <c r="A37" t="e">
        <v>#N/A</v>
      </c>
      <c r="B37" s="147">
        <v>2.2196944444444429E-2</v>
      </c>
      <c r="C37">
        <v>3.8900000000000004E-2</v>
      </c>
      <c r="E37" s="188">
        <v>1690</v>
      </c>
      <c r="F37" s="147">
        <v>0.97624021739130429</v>
      </c>
      <c r="G37" s="147">
        <v>1.1672500000000001</v>
      </c>
      <c r="J37">
        <f t="shared" si="1"/>
        <v>4020</v>
      </c>
      <c r="K37" t="s">
        <v>800</v>
      </c>
      <c r="L37">
        <v>2.8888888888888888</v>
      </c>
      <c r="M37">
        <v>3.1999999999999975</v>
      </c>
      <c r="N37">
        <v>1.8458333333333316E-2</v>
      </c>
      <c r="O37">
        <v>3.210000000000001E-2</v>
      </c>
      <c r="P37">
        <v>8.6547619047619064E-3</v>
      </c>
      <c r="Q37" s="332">
        <v>1.6E-2</v>
      </c>
      <c r="R37">
        <v>6.3392857142857183E-3</v>
      </c>
      <c r="S37">
        <v>1.0999999999999999E-2</v>
      </c>
      <c r="T37">
        <v>1.7428571428571422</v>
      </c>
      <c r="U37">
        <v>2.4</v>
      </c>
      <c r="V37">
        <v>2.1964285714285724E-2</v>
      </c>
      <c r="W37">
        <v>0.04</v>
      </c>
      <c r="Y37">
        <v>4020</v>
      </c>
      <c r="Z37" s="188">
        <v>6.4106412971115248</v>
      </c>
      <c r="AB37" t="s">
        <v>786</v>
      </c>
      <c r="AC37">
        <v>1380</v>
      </c>
      <c r="AD37">
        <v>206375</v>
      </c>
      <c r="AE37" s="266" t="e">
        <f>VLOOKUP(AB37,[4]Pges_unfiltr_y_loads!$A$2:$Q$73,17,FALSE)</f>
        <v>#N/A</v>
      </c>
      <c r="AF37" s="266" t="e">
        <f>VLOOKUP(AB37,[4]Ortho_P_y_loads!$A$2:$Q$73,17,FALSE)</f>
        <v>#N/A</v>
      </c>
      <c r="AG37" s="266" t="e">
        <f>VLOOKUP(AB37,[4]Ammonium_y_loads!$A$2:$Q$73,17,FALSE)</f>
        <v>#N/A</v>
      </c>
      <c r="AH37" s="266" t="e">
        <f>VLOOKUP(AB37,[4]Nitrit_y_loads!$A$2:$Q$73,17,FALSE)</f>
        <v>#N/A</v>
      </c>
      <c r="AI37" s="266" t="e">
        <f>VLOOKUP(AB37,[4]Nitrat_y_loads!$A$2:$R$73,17,FALSE)</f>
        <v>#N/A</v>
      </c>
      <c r="AJ37" s="266" t="e">
        <f t="shared" si="0"/>
        <v>#N/A</v>
      </c>
      <c r="AL37">
        <v>1310</v>
      </c>
      <c r="AM37">
        <v>3.4062150537634412</v>
      </c>
    </row>
    <row r="38" spans="1:39">
      <c r="A38">
        <v>1910</v>
      </c>
      <c r="B38" s="147">
        <v>3.1023076923076907E-2</v>
      </c>
      <c r="C38">
        <v>5.1999999999999998E-2</v>
      </c>
      <c r="E38" s="188">
        <v>1780</v>
      </c>
      <c r="F38" s="147">
        <v>1.3358595312499999</v>
      </c>
      <c r="G38" s="147">
        <v>1.7196739999999999</v>
      </c>
      <c r="J38">
        <f t="shared" si="1"/>
        <v>4080</v>
      </c>
      <c r="K38" t="s">
        <v>801</v>
      </c>
      <c r="L38">
        <v>7.5909090909090908</v>
      </c>
      <c r="M38">
        <v>13</v>
      </c>
      <c r="N38">
        <v>1.5263440860215041E-2</v>
      </c>
      <c r="O38">
        <v>2.1000000000000001E-2</v>
      </c>
      <c r="P38">
        <v>4.1774193548387122E-3</v>
      </c>
      <c r="Q38" s="332">
        <v>7.799999999999997E-3</v>
      </c>
      <c r="R38">
        <v>4.1129032258064545E-3</v>
      </c>
      <c r="S38">
        <v>6.0000000000000001E-3</v>
      </c>
      <c r="T38">
        <v>0.86989247311827966</v>
      </c>
      <c r="U38">
        <v>1.2</v>
      </c>
      <c r="V38">
        <v>1.8172043010752696E-2</v>
      </c>
      <c r="W38">
        <v>0.03</v>
      </c>
      <c r="X38" t="s">
        <v>802</v>
      </c>
      <c r="Y38">
        <v>4080</v>
      </c>
      <c r="Z38" s="188">
        <v>0.4397181583269969</v>
      </c>
      <c r="AB38" t="s">
        <v>783</v>
      </c>
      <c r="AC38">
        <v>1360</v>
      </c>
      <c r="AD38">
        <v>206854</v>
      </c>
      <c r="AE38" s="266" t="e">
        <f>VLOOKUP(AB38,[4]Pges_unfiltr_y_loads!$A$2:$Q$73,17,FALSE)</f>
        <v>#N/A</v>
      </c>
      <c r="AF38" s="266" t="e">
        <f>VLOOKUP(AB38,[4]Ortho_P_y_loads!$A$2:$Q$73,17,FALSE)</f>
        <v>#N/A</v>
      </c>
      <c r="AG38" s="266" t="e">
        <f>VLOOKUP(AB38,[4]Ammonium_y_loads!$A$2:$Q$73,17,FALSE)</f>
        <v>#N/A</v>
      </c>
      <c r="AH38" s="266" t="e">
        <f>VLOOKUP(AB38,[4]Nitrit_y_loads!$A$2:$Q$73,17,FALSE)</f>
        <v>#N/A</v>
      </c>
      <c r="AI38" s="266" t="e">
        <f>VLOOKUP(AB38,[4]Nitrat_y_loads!$A$2:$R$73,17,FALSE)</f>
        <v>#N/A</v>
      </c>
      <c r="AJ38" s="266" t="e">
        <f t="shared" si="0"/>
        <v>#N/A</v>
      </c>
      <c r="AL38">
        <v>1320</v>
      </c>
      <c r="AM38">
        <v>3.1662580645161289</v>
      </c>
    </row>
    <row r="39" spans="1:39">
      <c r="A39">
        <v>1920</v>
      </c>
      <c r="B39" s="147">
        <v>2.9999384615384594E-2</v>
      </c>
      <c r="C39">
        <v>5.7700000000000001E-2</v>
      </c>
      <c r="E39" s="188">
        <v>1850</v>
      </c>
      <c r="F39" s="147">
        <v>1.2927613846153843</v>
      </c>
      <c r="G39" s="147">
        <v>1.5840000000000001</v>
      </c>
      <c r="AB39" t="s">
        <v>861</v>
      </c>
      <c r="AD39">
        <v>205633</v>
      </c>
      <c r="AE39" s="266" t="e">
        <f>VLOOKUP(AB39,[4]Pges_unfiltr_y_loads!$A$2:$Q$73,17,FALSE)</f>
        <v>#N/A</v>
      </c>
      <c r="AF39" s="266" t="e">
        <f>VLOOKUP(AB39,[4]Ortho_P_y_loads!$A$2:$Q$73,17,FALSE)</f>
        <v>#N/A</v>
      </c>
      <c r="AG39" s="266" t="e">
        <f>VLOOKUP(AB39,[4]Ammonium_y_loads!$A$2:$Q$73,17,FALSE)</f>
        <v>#N/A</v>
      </c>
      <c r="AH39" s="266" t="e">
        <f>VLOOKUP(AB39,[4]Nitrit_y_loads!$A$2:$Q$73,17,FALSE)</f>
        <v>#N/A</v>
      </c>
      <c r="AI39" s="266" t="e">
        <f>VLOOKUP(AB39,[4]Nitrat_y_loads!$A$2:$R$73,17,FALSE)</f>
        <v>#N/A</v>
      </c>
      <c r="AJ39" s="266" t="e">
        <f t="shared" si="0"/>
        <v>#N/A</v>
      </c>
      <c r="AL39">
        <v>1330</v>
      </c>
      <c r="AM39">
        <v>9.762542694497153</v>
      </c>
    </row>
    <row r="40" spans="1:39">
      <c r="A40" t="e">
        <v>#N/A</v>
      </c>
      <c r="B40" s="147">
        <v>2.5955769230769248E-2</v>
      </c>
      <c r="C40">
        <v>5.0450000000000009E-2</v>
      </c>
      <c r="E40" s="188">
        <v>1910</v>
      </c>
      <c r="F40" s="147">
        <v>3.0953507692307696</v>
      </c>
      <c r="G40" s="147">
        <v>4.1479999999999997</v>
      </c>
      <c r="AB40" t="s">
        <v>779</v>
      </c>
      <c r="AC40">
        <v>1320</v>
      </c>
      <c r="AD40">
        <v>205641</v>
      </c>
      <c r="AE40" s="266" t="e">
        <f>VLOOKUP(AB40,[4]Pges_unfiltr_y_loads!$A$2:$Q$73,17,FALSE)</f>
        <v>#N/A</v>
      </c>
      <c r="AF40" s="266" t="e">
        <f>VLOOKUP(AB40,[4]Ortho_P_y_loads!$A$2:$Q$73,17,FALSE)</f>
        <v>#N/A</v>
      </c>
      <c r="AG40" s="266" t="e">
        <f>VLOOKUP(AB40,[4]Ammonium_y_loads!$A$2:$Q$73,17,FALSE)</f>
        <v>#N/A</v>
      </c>
      <c r="AH40" s="266" t="e">
        <f>VLOOKUP(AB40,[4]Nitrit_y_loads!$A$2:$Q$73,17,FALSE)</f>
        <v>#N/A</v>
      </c>
      <c r="AI40" s="266" t="e">
        <f>VLOOKUP(AB40,[4]Nitrat_y_loads!$A$2:$R$73,17,FALSE)</f>
        <v>#N/A</v>
      </c>
      <c r="AJ40" s="266" t="e">
        <f t="shared" si="0"/>
        <v>#N/A</v>
      </c>
      <c r="AL40">
        <v>1340</v>
      </c>
      <c r="AM40">
        <v>8.9607526881720414</v>
      </c>
    </row>
    <row r="41" spans="1:39">
      <c r="A41">
        <v>2100</v>
      </c>
      <c r="B41" s="147">
        <v>4.0722727272727244E-2</v>
      </c>
      <c r="C41">
        <v>7.3398000000000005E-2</v>
      </c>
      <c r="E41" s="188">
        <v>1920</v>
      </c>
      <c r="F41" s="147">
        <v>3.2626130769230768</v>
      </c>
      <c r="G41" s="147">
        <v>4.1840000000000002</v>
      </c>
      <c r="AB41" t="s">
        <v>862</v>
      </c>
      <c r="AD41">
        <v>205658</v>
      </c>
      <c r="AE41" s="266" t="e">
        <f>VLOOKUP(AB41,[4]Pges_unfiltr_y_loads!$A$2:$Q$73,17,FALSE)</f>
        <v>#N/A</v>
      </c>
      <c r="AF41" s="266" t="e">
        <f>VLOOKUP(AB41,[4]Ortho_P_y_loads!$A$2:$Q$73,17,FALSE)</f>
        <v>#N/A</v>
      </c>
      <c r="AG41" s="266" t="e">
        <f>VLOOKUP(AB41,[4]Ammonium_y_loads!$A$2:$Q$73,17,FALSE)</f>
        <v>#N/A</v>
      </c>
      <c r="AH41" s="266" t="e">
        <f>VLOOKUP(AB41,[4]Nitrit_y_loads!$A$2:$Q$73,17,FALSE)</f>
        <v>#N/A</v>
      </c>
      <c r="AI41" s="266" t="e">
        <f>VLOOKUP(AB41,[4]Nitrat_y_loads!$A$2:$R$73,17,FALSE)</f>
        <v>#N/A</v>
      </c>
      <c r="AJ41" s="266" t="e">
        <f t="shared" si="0"/>
        <v>#N/A</v>
      </c>
      <c r="AL41">
        <v>1350</v>
      </c>
      <c r="AM41">
        <v>7.9209337860780984</v>
      </c>
    </row>
    <row r="42" spans="1:39">
      <c r="A42">
        <v>2060</v>
      </c>
      <c r="B42" s="147">
        <v>1.5290327868852465E-2</v>
      </c>
      <c r="C42">
        <v>2.9399999999999999E-2</v>
      </c>
      <c r="E42" s="188">
        <v>15</v>
      </c>
      <c r="F42" s="31">
        <v>0.43700555555555554</v>
      </c>
      <c r="G42" s="31">
        <v>0.51185000000000003</v>
      </c>
      <c r="AB42" t="s">
        <v>780</v>
      </c>
      <c r="AC42">
        <v>1330</v>
      </c>
      <c r="AD42">
        <v>205658</v>
      </c>
      <c r="AE42" s="266" t="e">
        <f>VLOOKUP(AB42,[4]Pges_unfiltr_y_loads!$A$2:$Q$73,17,FALSE)</f>
        <v>#N/A</v>
      </c>
      <c r="AF42" s="266" t="e">
        <f>VLOOKUP(AB42,[4]Ortho_P_y_loads!$A$2:$Q$73,17,FALSE)</f>
        <v>#N/A</v>
      </c>
      <c r="AG42" s="266" t="e">
        <f>VLOOKUP(AB42,[4]Ammonium_y_loads!$A$2:$Q$73,17,FALSE)</f>
        <v>#N/A</v>
      </c>
      <c r="AH42" s="266" t="e">
        <f>VLOOKUP(AB42,[4]Nitrit_y_loads!$A$2:$Q$73,17,FALSE)</f>
        <v>#N/A</v>
      </c>
      <c r="AI42" s="266" t="e">
        <f>VLOOKUP(AB42,[4]Nitrat_y_loads!$A$2:$R$73,17,FALSE)</f>
        <v>#N/A</v>
      </c>
      <c r="AJ42" s="266" t="e">
        <f t="shared" si="0"/>
        <v>#N/A</v>
      </c>
      <c r="AL42">
        <v>1360</v>
      </c>
    </row>
    <row r="43" spans="1:39">
      <c r="A43">
        <v>2120</v>
      </c>
      <c r="B43" s="147">
        <v>1.1925402298850574E-2</v>
      </c>
      <c r="C43">
        <v>2.3959999999999999E-2</v>
      </c>
      <c r="E43" s="188">
        <v>1970</v>
      </c>
      <c r="F43" s="147">
        <v>2.5527130434782608</v>
      </c>
      <c r="G43" s="147">
        <v>3.6040000000000001</v>
      </c>
      <c r="AB43" t="s">
        <v>863</v>
      </c>
      <c r="AD43">
        <v>204586</v>
      </c>
      <c r="AE43" s="266" t="e">
        <f>VLOOKUP(AB43,[4]Pges_unfiltr_y_loads!$A$2:$Q$73,17,FALSE)</f>
        <v>#N/A</v>
      </c>
      <c r="AF43" s="266" t="e">
        <f>VLOOKUP(AB43,[4]Ortho_P_y_loads!$A$2:$Q$73,17,FALSE)</f>
        <v>#N/A</v>
      </c>
      <c r="AG43" s="266" t="e">
        <f>VLOOKUP(AB43,[4]Ammonium_y_loads!$A$2:$Q$73,17,FALSE)</f>
        <v>#N/A</v>
      </c>
      <c r="AH43" s="266" t="e">
        <f>VLOOKUP(AB43,[4]Nitrit_y_loads!$A$2:$Q$73,17,FALSE)</f>
        <v>#N/A</v>
      </c>
      <c r="AI43" s="266" t="e">
        <f>VLOOKUP(AB43,[4]Nitrat_y_loads!$A$2:$R$73,17,FALSE)</f>
        <v>#N/A</v>
      </c>
      <c r="AJ43" s="266" t="e">
        <f t="shared" si="0"/>
        <v>#N/A</v>
      </c>
      <c r="AL43">
        <v>1370</v>
      </c>
      <c r="AM43">
        <v>1.2148387096774191</v>
      </c>
    </row>
    <row r="44" spans="1:39">
      <c r="A44">
        <v>5050</v>
      </c>
      <c r="B44" s="147">
        <v>2.5417111111111099E-2</v>
      </c>
      <c r="C44">
        <v>4.5999999999999999E-2</v>
      </c>
      <c r="E44" s="188">
        <v>2060</v>
      </c>
      <c r="F44" s="147">
        <v>2.1451140983606556</v>
      </c>
      <c r="G44" s="147">
        <v>2.8141240000000001</v>
      </c>
      <c r="AB44" t="s">
        <v>864</v>
      </c>
      <c r="AD44">
        <v>204610</v>
      </c>
      <c r="AE44" s="266" t="e">
        <f>VLOOKUP(AB44,[4]Pges_unfiltr_y_loads!$A$2:$Q$73,17,FALSE)</f>
        <v>#N/A</v>
      </c>
      <c r="AF44" s="266" t="e">
        <f>VLOOKUP(AB44,[4]Ortho_P_y_loads!$A$2:$Q$73,17,FALSE)</f>
        <v>#N/A</v>
      </c>
      <c r="AG44" s="266" t="e">
        <f>VLOOKUP(AB44,[4]Ammonium_y_loads!$A$2:$Q$73,17,FALSE)</f>
        <v>#N/A</v>
      </c>
      <c r="AH44" s="266" t="e">
        <f>VLOOKUP(AB44,[4]Nitrit_y_loads!$A$2:$Q$73,17,FALSE)</f>
        <v>#N/A</v>
      </c>
      <c r="AI44" s="266" t="e">
        <f>VLOOKUP(AB44,[4]Nitrat_y_loads!$A$2:$R$73,17,FALSE)</f>
        <v>#N/A</v>
      </c>
      <c r="AJ44" s="266" t="e">
        <f t="shared" si="0"/>
        <v>#N/A</v>
      </c>
      <c r="AL44">
        <v>1380</v>
      </c>
      <c r="AM44">
        <v>4.9835483870967741</v>
      </c>
    </row>
    <row r="45" spans="1:39">
      <c r="A45" t="e">
        <v>#N/A</v>
      </c>
      <c r="B45" s="147">
        <v>4.403297872340424E-2</v>
      </c>
      <c r="C45">
        <v>6.3320000000000001E-2</v>
      </c>
      <c r="E45" s="188">
        <v>2100</v>
      </c>
      <c r="F45" s="147">
        <v>2.9625261363636359</v>
      </c>
      <c r="G45" s="147">
        <v>3.90449</v>
      </c>
      <c r="AB45" t="s">
        <v>865</v>
      </c>
      <c r="AD45">
        <v>204610</v>
      </c>
      <c r="AE45" s="266" t="e">
        <f>VLOOKUP(AB45,[4]Pges_unfiltr_y_loads!$A$2:$Q$73,17,FALSE)</f>
        <v>#N/A</v>
      </c>
      <c r="AF45" s="266" t="e">
        <f>VLOOKUP(AB45,[4]Ortho_P_y_loads!$A$2:$Q$73,17,FALSE)</f>
        <v>#N/A</v>
      </c>
      <c r="AG45" s="266" t="e">
        <f>VLOOKUP(AB45,[4]Ammonium_y_loads!$A$2:$Q$73,17,FALSE)</f>
        <v>#N/A</v>
      </c>
      <c r="AH45" s="266" t="e">
        <f>VLOOKUP(AB45,[4]Nitrit_y_loads!$A$2:$Q$73,17,FALSE)</f>
        <v>#N/A</v>
      </c>
      <c r="AI45" s="266" t="e">
        <f>VLOOKUP(AB45,[4]Nitrat_y_loads!$A$2:$R$73,17,FALSE)</f>
        <v>#N/A</v>
      </c>
      <c r="AJ45" s="266" t="e">
        <f t="shared" si="0"/>
        <v>#N/A</v>
      </c>
      <c r="AL45">
        <v>1390</v>
      </c>
      <c r="AM45">
        <v>0.79032258064516125</v>
      </c>
    </row>
    <row r="46" spans="1:39">
      <c r="A46">
        <v>1650</v>
      </c>
      <c r="B46" s="147">
        <v>3.4430434782608696E-2</v>
      </c>
      <c r="C46">
        <v>5.7300000000000004E-2</v>
      </c>
      <c r="E46" s="188">
        <v>2120</v>
      </c>
      <c r="F46" s="147">
        <v>2.9440150574712627</v>
      </c>
      <c r="G46" s="147">
        <v>3.3504</v>
      </c>
      <c r="AB46" t="s">
        <v>751</v>
      </c>
      <c r="AC46">
        <v>630</v>
      </c>
      <c r="AD46">
        <v>204677</v>
      </c>
      <c r="AE46" s="266" t="e">
        <f>VLOOKUP(AB46,[4]Pges_unfiltr_y_loads!$A$2:$Q$73,17,FALSE)</f>
        <v>#N/A</v>
      </c>
      <c r="AF46" s="266" t="e">
        <f>VLOOKUP(AB46,[4]Ortho_P_y_loads!$A$2:$Q$73,17,FALSE)</f>
        <v>#N/A</v>
      </c>
      <c r="AG46" s="266" t="e">
        <f>VLOOKUP(AB46,[4]Ammonium_y_loads!$A$2:$Q$73,17,FALSE)</f>
        <v>#N/A</v>
      </c>
      <c r="AH46" s="266" t="e">
        <f>VLOOKUP(AB46,[4]Nitrit_y_loads!$A$2:$Q$73,17,FALSE)</f>
        <v>#N/A</v>
      </c>
      <c r="AI46" s="266" t="e">
        <f>VLOOKUP(AB46,[4]Nitrat_y_loads!$A$2:$R$73,17,FALSE)</f>
        <v>#N/A</v>
      </c>
      <c r="AJ46" s="266" t="e">
        <f t="shared" si="0"/>
        <v>#N/A</v>
      </c>
      <c r="AL46">
        <v>1400</v>
      </c>
    </row>
    <row r="47" spans="1:39">
      <c r="A47" t="e">
        <v>#N/A</v>
      </c>
      <c r="B47" s="147">
        <v>3.598705128205127E-2</v>
      </c>
      <c r="C47">
        <v>6.4000000000000001E-2</v>
      </c>
      <c r="E47" s="188">
        <v>2240</v>
      </c>
      <c r="F47" s="147">
        <v>4.8060729166666682</v>
      </c>
      <c r="G47" s="147">
        <v>6.495140000000001</v>
      </c>
      <c r="AB47" t="s">
        <v>795</v>
      </c>
      <c r="AC47">
        <v>1630</v>
      </c>
      <c r="AD47">
        <v>205997</v>
      </c>
      <c r="AE47" s="266" t="e">
        <f>VLOOKUP(AB47,[4]Pges_unfiltr_y_loads!$A$2:$Q$73,17,FALSE)</f>
        <v>#N/A</v>
      </c>
      <c r="AF47" s="266" t="e">
        <f>VLOOKUP(AB47,[4]Ortho_P_y_loads!$A$2:$Q$73,17,FALSE)</f>
        <v>#N/A</v>
      </c>
      <c r="AG47" s="266" t="e">
        <f>VLOOKUP(AB47,[4]Ammonium_y_loads!$A$2:$Q$73,17,FALSE)</f>
        <v>#N/A</v>
      </c>
      <c r="AH47" s="266" t="e">
        <f>VLOOKUP(AB47,[4]Nitrit_y_loads!$A$2:$Q$73,17,FALSE)</f>
        <v>#N/A</v>
      </c>
      <c r="AI47" s="266" t="e">
        <f>VLOOKUP(AB47,[4]Nitrat_y_loads!$A$2:$R$73,17,FALSE)</f>
        <v>#N/A</v>
      </c>
      <c r="AJ47" s="266" t="e">
        <f t="shared" si="0"/>
        <v>#N/A</v>
      </c>
      <c r="AL47">
        <v>1410</v>
      </c>
    </row>
    <row r="48" spans="1:39">
      <c r="A48">
        <v>5060</v>
      </c>
      <c r="B48" s="147">
        <v>2.1254444444444427E-2</v>
      </c>
      <c r="C48">
        <v>4.2500000000000024E-2</v>
      </c>
      <c r="E48" s="188">
        <v>2300</v>
      </c>
      <c r="F48" s="147">
        <v>1.0830310638297873</v>
      </c>
      <c r="G48" s="147">
        <v>1.2985</v>
      </c>
      <c r="AB48" t="s">
        <v>866</v>
      </c>
      <c r="AD48">
        <v>206029</v>
      </c>
      <c r="AE48" s="266" t="e">
        <f>VLOOKUP(AB48,[4]Pges_unfiltr_y_loads!$A$2:$Q$73,17,FALSE)</f>
        <v>#N/A</v>
      </c>
      <c r="AF48" s="266" t="e">
        <f>VLOOKUP(AB48,[4]Ortho_P_y_loads!$A$2:$Q$73,17,FALSE)</f>
        <v>#N/A</v>
      </c>
      <c r="AG48" s="266" t="e">
        <f>VLOOKUP(AB48,[4]Ammonium_y_loads!$A$2:$Q$73,17,FALSE)</f>
        <v>#N/A</v>
      </c>
      <c r="AH48" s="266" t="e">
        <f>VLOOKUP(AB48,[4]Nitrit_y_loads!$A$2:$Q$73,17,FALSE)</f>
        <v>#N/A</v>
      </c>
      <c r="AI48" s="266" t="e">
        <f>VLOOKUP(AB48,[4]Nitrat_y_loads!$A$2:$R$73,17,FALSE)</f>
        <v>#N/A</v>
      </c>
      <c r="AJ48" s="266" t="e">
        <f t="shared" si="0"/>
        <v>#N/A</v>
      </c>
      <c r="AL48">
        <v>1420</v>
      </c>
      <c r="AM48">
        <v>1.0748387096774195</v>
      </c>
    </row>
    <row r="49" spans="1:39">
      <c r="A49">
        <v>1970</v>
      </c>
      <c r="B49" s="147">
        <v>3.0782608695652178E-2</v>
      </c>
      <c r="C49">
        <v>6.9199999999999998E-2</v>
      </c>
      <c r="E49" s="188">
        <v>2340</v>
      </c>
      <c r="F49" s="147">
        <v>1.4687634920634918</v>
      </c>
      <c r="G49" s="147">
        <v>1.8492690000000007</v>
      </c>
      <c r="AB49" t="s">
        <v>796</v>
      </c>
      <c r="AC49">
        <v>4000</v>
      </c>
      <c r="AD49">
        <v>205104</v>
      </c>
      <c r="AE49" s="266" t="e">
        <f>VLOOKUP(AB49,[4]Pges_unfiltr_y_loads!$A$2:$Q$73,17,FALSE)</f>
        <v>#N/A</v>
      </c>
      <c r="AF49" s="266" t="e">
        <f>VLOOKUP(AB49,[4]Ortho_P_y_loads!$A$2:$Q$73,17,FALSE)</f>
        <v>#N/A</v>
      </c>
      <c r="AG49" s="266" t="e">
        <f>VLOOKUP(AB49,[4]Ammonium_y_loads!$A$2:$Q$73,17,FALSE)</f>
        <v>#N/A</v>
      </c>
      <c r="AH49" s="266" t="e">
        <f>VLOOKUP(AB49,[4]Nitrit_y_loads!$A$2:$Q$73,17,FALSE)</f>
        <v>#N/A</v>
      </c>
      <c r="AI49" s="266" t="e">
        <f>VLOOKUP(AB49,[4]Nitrat_y_loads!$A$2:$R$73,17,FALSE)</f>
        <v>#N/A</v>
      </c>
      <c r="AJ49" s="266" t="e">
        <f t="shared" si="0"/>
        <v>#N/A</v>
      </c>
      <c r="AL49">
        <v>1430</v>
      </c>
      <c r="AM49">
        <v>0.74892473118279568</v>
      </c>
    </row>
    <row r="50" spans="1:39">
      <c r="A50" t="e">
        <v>#N/A</v>
      </c>
      <c r="B50" s="147">
        <v>0.11958399999999994</v>
      </c>
      <c r="C50">
        <v>0.222</v>
      </c>
      <c r="E50" s="188">
        <v>2360</v>
      </c>
      <c r="F50" s="147">
        <v>2.5216576271186435</v>
      </c>
      <c r="G50" s="147">
        <v>3.3118000000000003</v>
      </c>
      <c r="AB50" t="s">
        <v>867</v>
      </c>
      <c r="AD50">
        <v>205146</v>
      </c>
      <c r="AE50" s="266" t="e">
        <f>VLOOKUP(AB50,[4]Pges_unfiltr_y_loads!$A$2:$Q$73,17,FALSE)</f>
        <v>#N/A</v>
      </c>
      <c r="AF50" s="266" t="e">
        <f>VLOOKUP(AB50,[4]Ortho_P_y_loads!$A$2:$Q$73,17,FALSE)</f>
        <v>#N/A</v>
      </c>
      <c r="AG50" s="266" t="e">
        <f>VLOOKUP(AB50,[4]Ammonium_y_loads!$A$2:$Q$73,17,FALSE)</f>
        <v>#N/A</v>
      </c>
      <c r="AH50" s="266" t="e">
        <f>VLOOKUP(AB50,[4]Nitrit_y_loads!$A$2:$Q$73,17,FALSE)</f>
        <v>#N/A</v>
      </c>
      <c r="AI50" s="266" t="e">
        <f>VLOOKUP(AB50,[4]Nitrat_y_loads!$A$2:$R$73,17,FALSE)</f>
        <v>#N/A</v>
      </c>
      <c r="AJ50" s="266" t="e">
        <f t="shared" si="0"/>
        <v>#N/A</v>
      </c>
      <c r="AL50">
        <v>1440</v>
      </c>
      <c r="AM50">
        <v>1.0906451612903227</v>
      </c>
    </row>
    <row r="51" spans="1:39">
      <c r="A51" t="e">
        <v>#N/A</v>
      </c>
      <c r="B51" s="147">
        <v>0.17772765957446807</v>
      </c>
      <c r="C51">
        <v>0.29059999999999997</v>
      </c>
      <c r="E51" s="188">
        <v>2370</v>
      </c>
      <c r="F51" s="147">
        <v>2.7536956976744191</v>
      </c>
      <c r="G51" s="147">
        <v>3.4133</v>
      </c>
      <c r="AB51" t="s">
        <v>868</v>
      </c>
      <c r="AD51">
        <v>205153</v>
      </c>
      <c r="AE51" s="266" t="e">
        <f>VLOOKUP(AB51,[4]Pges_unfiltr_y_loads!$A$2:$Q$73,17,FALSE)</f>
        <v>#N/A</v>
      </c>
      <c r="AF51" s="266" t="e">
        <f>VLOOKUP(AB51,[4]Ortho_P_y_loads!$A$2:$Q$73,17,FALSE)</f>
        <v>#N/A</v>
      </c>
      <c r="AG51" s="266" t="e">
        <f>VLOOKUP(AB51,[4]Ammonium_y_loads!$A$2:$Q$73,17,FALSE)</f>
        <v>#N/A</v>
      </c>
      <c r="AH51" s="266" t="e">
        <f>VLOOKUP(AB51,[4]Nitrit_y_loads!$A$2:$Q$73,17,FALSE)</f>
        <v>#N/A</v>
      </c>
      <c r="AI51" s="266" t="e">
        <f>VLOOKUP(AB51,[4]Nitrat_y_loads!$A$2:$R$73,17,FALSE)</f>
        <v>#N/A</v>
      </c>
      <c r="AJ51" s="266" t="e">
        <f t="shared" si="0"/>
        <v>#N/A</v>
      </c>
      <c r="AL51">
        <v>1450</v>
      </c>
      <c r="AM51">
        <v>0.69379032258064521</v>
      </c>
    </row>
    <row r="52" spans="1:39">
      <c r="A52">
        <v>2240</v>
      </c>
      <c r="B52" s="147">
        <v>0.13174722222222227</v>
      </c>
      <c r="C52">
        <v>0.24180000000000001</v>
      </c>
      <c r="E52" s="188">
        <v>2390</v>
      </c>
      <c r="F52" s="147" t="e">
        <v>#N/A</v>
      </c>
      <c r="G52" s="147" t="e">
        <v>#N/A</v>
      </c>
      <c r="AB52" t="s">
        <v>869</v>
      </c>
      <c r="AD52">
        <v>206128</v>
      </c>
      <c r="AE52" s="266" t="e">
        <f>VLOOKUP(AB52,[4]Pges_unfiltr_y_loads!$A$2:$Q$73,17,FALSE)</f>
        <v>#N/A</v>
      </c>
      <c r="AF52" s="266" t="e">
        <f>VLOOKUP(AB52,[4]Ortho_P_y_loads!$A$2:$Q$73,17,FALSE)</f>
        <v>#N/A</v>
      </c>
      <c r="AG52" s="266" t="e">
        <f>VLOOKUP(AB52,[4]Ammonium_y_loads!$A$2:$Q$73,17,FALSE)</f>
        <v>#N/A</v>
      </c>
      <c r="AH52" s="266" t="e">
        <f>VLOOKUP(AB52,[4]Nitrit_y_loads!$A$2:$Q$73,17,FALSE)</f>
        <v>#N/A</v>
      </c>
      <c r="AI52" s="266" t="e">
        <f>VLOOKUP(AB52,[4]Nitrat_y_loads!$A$2:$R$73,17,FALSE)</f>
        <v>#N/A</v>
      </c>
      <c r="AJ52" s="266" t="e">
        <f t="shared" si="0"/>
        <v>#N/A</v>
      </c>
      <c r="AL52">
        <v>1460</v>
      </c>
      <c r="AM52">
        <v>0.90294354838709678</v>
      </c>
    </row>
    <row r="53" spans="1:39">
      <c r="A53">
        <v>2340</v>
      </c>
      <c r="B53" s="147">
        <v>3.4096825396825382E-2</v>
      </c>
      <c r="C53">
        <v>4.581000000000001E-2</v>
      </c>
      <c r="E53" s="188">
        <v>2403</v>
      </c>
      <c r="F53" s="147" t="e">
        <v>#N/A</v>
      </c>
      <c r="G53" s="147" t="e">
        <v>#N/A</v>
      </c>
      <c r="AB53" t="s">
        <v>798</v>
      </c>
      <c r="AC53">
        <v>4010</v>
      </c>
      <c r="AD53">
        <v>206128</v>
      </c>
      <c r="AE53" s="266" t="e">
        <f>VLOOKUP(AB53,[4]Pges_unfiltr_y_loads!$A$2:$Q$73,17,FALSE)</f>
        <v>#N/A</v>
      </c>
      <c r="AF53" s="266" t="e">
        <f>VLOOKUP(AB53,[4]Ortho_P_y_loads!$A$2:$Q$73,17,FALSE)</f>
        <v>#N/A</v>
      </c>
      <c r="AG53" s="266" t="e">
        <f>VLOOKUP(AB53,[4]Ammonium_y_loads!$A$2:$Q$73,17,FALSE)</f>
        <v>#N/A</v>
      </c>
      <c r="AH53" s="266" t="e">
        <f>VLOOKUP(AB53,[4]Nitrit_y_loads!$A$2:$Q$73,17,FALSE)</f>
        <v>#N/A</v>
      </c>
      <c r="AI53" s="266" t="e">
        <f>VLOOKUP(AB53,[4]Nitrat_y_loads!$A$2:$R$73,17,FALSE)</f>
        <v>#N/A</v>
      </c>
      <c r="AJ53" s="266" t="e">
        <f t="shared" si="0"/>
        <v>#N/A</v>
      </c>
      <c r="AL53">
        <v>1470</v>
      </c>
      <c r="AM53">
        <v>0.74064516129032254</v>
      </c>
    </row>
    <row r="54" spans="1:39">
      <c r="A54">
        <v>2360</v>
      </c>
      <c r="B54" s="147">
        <v>6.1442372881355914E-2</v>
      </c>
      <c r="C54">
        <v>0.11280000000000001</v>
      </c>
      <c r="E54" s="188">
        <v>2405</v>
      </c>
      <c r="F54" s="147">
        <v>3.9972515789473682</v>
      </c>
      <c r="G54" s="147">
        <v>6.3569999999999993</v>
      </c>
      <c r="AB54" t="s">
        <v>870</v>
      </c>
      <c r="AD54">
        <v>206128</v>
      </c>
      <c r="AE54" s="266" t="e">
        <f>VLOOKUP(AB54,[4]Pges_unfiltr_y_loads!$A$2:$Q$73,17,FALSE)</f>
        <v>#N/A</v>
      </c>
      <c r="AF54" s="266" t="e">
        <f>VLOOKUP(AB54,[4]Ortho_P_y_loads!$A$2:$Q$73,17,FALSE)</f>
        <v>#N/A</v>
      </c>
      <c r="AG54" s="266" t="e">
        <f>VLOOKUP(AB54,[4]Ammonium_y_loads!$A$2:$Q$73,17,FALSE)</f>
        <v>#N/A</v>
      </c>
      <c r="AH54" s="266" t="e">
        <f>VLOOKUP(AB54,[4]Nitrit_y_loads!$A$2:$Q$73,17,FALSE)</f>
        <v>#N/A</v>
      </c>
      <c r="AI54" s="266" t="e">
        <f>VLOOKUP(AB54,[4]Nitrat_y_loads!$A$2:$R$73,17,FALSE)</f>
        <v>#N/A</v>
      </c>
      <c r="AJ54" s="266" t="e">
        <f t="shared" si="0"/>
        <v>#N/A</v>
      </c>
      <c r="AL54">
        <v>1480</v>
      </c>
      <c r="AM54">
        <v>1.4293548387096775</v>
      </c>
    </row>
    <row r="55" spans="1:39">
      <c r="A55">
        <v>2300</v>
      </c>
      <c r="B55" s="147">
        <v>3.647872340425534E-3</v>
      </c>
      <c r="C55">
        <v>6.0000000000000001E-3</v>
      </c>
      <c r="E55" s="188">
        <v>2505</v>
      </c>
      <c r="F55" s="147">
        <v>1.1519886666666668</v>
      </c>
      <c r="G55" s="147">
        <v>1.382625</v>
      </c>
      <c r="AB55" t="s">
        <v>871</v>
      </c>
      <c r="AD55">
        <v>205252</v>
      </c>
      <c r="AE55" s="266" t="e">
        <f>VLOOKUP(AB55,[4]Pges_unfiltr_y_loads!$A$2:$Q$73,17,FALSE)</f>
        <v>#N/A</v>
      </c>
      <c r="AF55" s="266" t="e">
        <f>VLOOKUP(AB55,[4]Ortho_P_y_loads!$A$2:$Q$73,17,FALSE)</f>
        <v>#N/A</v>
      </c>
      <c r="AG55" s="266" t="e">
        <f>VLOOKUP(AB55,[4]Ammonium_y_loads!$A$2:$Q$73,17,FALSE)</f>
        <v>#N/A</v>
      </c>
      <c r="AH55" s="266" t="e">
        <f>VLOOKUP(AB55,[4]Nitrit_y_loads!$A$2:$Q$73,17,FALSE)</f>
        <v>#N/A</v>
      </c>
      <c r="AI55" s="266" t="e">
        <f>VLOOKUP(AB55,[4]Nitrat_y_loads!$A$2:$R$73,17,FALSE)</f>
        <v>#N/A</v>
      </c>
      <c r="AJ55" s="266" t="e">
        <f t="shared" si="0"/>
        <v>#N/A</v>
      </c>
      <c r="AL55">
        <v>1490</v>
      </c>
    </row>
    <row r="56" spans="1:39">
      <c r="A56" t="e">
        <v>#N/A</v>
      </c>
      <c r="B56" s="147">
        <v>2.4913043478260868E-2</v>
      </c>
      <c r="C56">
        <v>5.2800000000000007E-2</v>
      </c>
      <c r="E56" s="188">
        <v>2540</v>
      </c>
      <c r="F56" s="147">
        <v>2.3638723728813558</v>
      </c>
      <c r="G56" s="147">
        <v>3.4611999999999998</v>
      </c>
      <c r="AB56" t="s">
        <v>872</v>
      </c>
      <c r="AD56">
        <v>206409</v>
      </c>
      <c r="AE56" s="266" t="e">
        <f>VLOOKUP(AB56,[4]Pges_unfiltr_y_loads!$A$2:$Q$73,17,FALSE)</f>
        <v>#N/A</v>
      </c>
      <c r="AF56" s="266" t="e">
        <f>VLOOKUP(AB56,[4]Ortho_P_y_loads!$A$2:$Q$73,17,FALSE)</f>
        <v>#N/A</v>
      </c>
      <c r="AG56" s="266" t="e">
        <f>VLOOKUP(AB56,[4]Ammonium_y_loads!$A$2:$Q$73,17,FALSE)</f>
        <v>#N/A</v>
      </c>
      <c r="AH56" s="266" t="e">
        <f>VLOOKUP(AB56,[4]Nitrit_y_loads!$A$2:$Q$73,17,FALSE)</f>
        <v>#N/A</v>
      </c>
      <c r="AI56" s="266" t="e">
        <f>VLOOKUP(AB56,[4]Nitrat_y_loads!$A$2:$R$73,17,FALSE)</f>
        <v>#N/A</v>
      </c>
      <c r="AJ56" s="266" t="e">
        <f t="shared" si="0"/>
        <v>#N/A</v>
      </c>
      <c r="AL56">
        <v>1500</v>
      </c>
      <c r="AM56">
        <v>0.85580645161290325</v>
      </c>
    </row>
    <row r="57" spans="1:39">
      <c r="A57">
        <v>630</v>
      </c>
      <c r="B57" s="147">
        <v>3.102935483870967E-2</v>
      </c>
      <c r="C57">
        <v>4.5420000000000002E-2</v>
      </c>
      <c r="E57" s="188">
        <v>2550</v>
      </c>
      <c r="F57" s="147" t="e">
        <v>#N/A</v>
      </c>
      <c r="G57" s="147" t="e">
        <v>#N/A</v>
      </c>
      <c r="AB57" t="s">
        <v>873</v>
      </c>
      <c r="AD57">
        <v>206409</v>
      </c>
      <c r="AE57" s="266" t="e">
        <f>VLOOKUP(AB57,[4]Pges_unfiltr_y_loads!$A$2:$Q$73,17,FALSE)</f>
        <v>#N/A</v>
      </c>
      <c r="AF57" s="266" t="e">
        <f>VLOOKUP(AB57,[4]Ortho_P_y_loads!$A$2:$Q$73,17,FALSE)</f>
        <v>#N/A</v>
      </c>
      <c r="AG57" s="266" t="e">
        <f>VLOOKUP(AB57,[4]Ammonium_y_loads!$A$2:$Q$73,17,FALSE)</f>
        <v>#N/A</v>
      </c>
      <c r="AH57" s="266" t="e">
        <f>VLOOKUP(AB57,[4]Nitrit_y_loads!$A$2:$Q$73,17,FALSE)</f>
        <v>#N/A</v>
      </c>
      <c r="AI57" s="266" t="e">
        <f>VLOOKUP(AB57,[4]Nitrat_y_loads!$A$2:$R$73,17,FALSE)</f>
        <v>#N/A</v>
      </c>
      <c r="AJ57" s="266" t="e">
        <f t="shared" si="0"/>
        <v>#N/A</v>
      </c>
      <c r="AL57">
        <v>1510</v>
      </c>
      <c r="AM57">
        <v>1.2170967741935483</v>
      </c>
    </row>
    <row r="58" spans="1:39">
      <c r="A58">
        <v>650</v>
      </c>
      <c r="B58" s="147">
        <v>3.0236290322580635E-2</v>
      </c>
      <c r="C58">
        <v>5.1519999999999996E-2</v>
      </c>
      <c r="E58" s="188">
        <v>2580</v>
      </c>
      <c r="F58" s="147">
        <v>1.6565409803921567</v>
      </c>
      <c r="G58" s="147">
        <v>3.1877499999999999</v>
      </c>
      <c r="AB58" t="s">
        <v>874</v>
      </c>
      <c r="AD58">
        <v>206409</v>
      </c>
      <c r="AE58" s="266" t="e">
        <f>VLOOKUP(AB58,[4]Pges_unfiltr_y_loads!$A$2:$Q$73,17,FALSE)</f>
        <v>#N/A</v>
      </c>
      <c r="AF58" s="266" t="e">
        <f>VLOOKUP(AB58,[4]Ortho_P_y_loads!$A$2:$Q$73,17,FALSE)</f>
        <v>#N/A</v>
      </c>
      <c r="AG58" s="266" t="e">
        <f>VLOOKUP(AB58,[4]Ammonium_y_loads!$A$2:$Q$73,17,FALSE)</f>
        <v>#N/A</v>
      </c>
      <c r="AH58" s="266" t="e">
        <f>VLOOKUP(AB58,[4]Nitrit_y_loads!$A$2:$Q$73,17,FALSE)</f>
        <v>#N/A</v>
      </c>
      <c r="AI58" s="266" t="e">
        <f>VLOOKUP(AB58,[4]Nitrat_y_loads!$A$2:$R$73,17,FALSE)</f>
        <v>#N/A</v>
      </c>
      <c r="AJ58" s="266" t="e">
        <f t="shared" si="0"/>
        <v>#N/A</v>
      </c>
      <c r="AL58">
        <v>1520</v>
      </c>
    </row>
    <row r="59" spans="1:39">
      <c r="A59">
        <v>670</v>
      </c>
      <c r="B59" s="147">
        <v>0.16564285714285712</v>
      </c>
      <c r="C59">
        <v>0.21640000000000001</v>
      </c>
      <c r="E59" s="188">
        <v>2595</v>
      </c>
      <c r="F59" s="147">
        <v>2.2157471764705883</v>
      </c>
      <c r="G59" s="147">
        <v>4.0129999999999999</v>
      </c>
      <c r="AB59" t="s">
        <v>875</v>
      </c>
      <c r="AD59">
        <v>206409</v>
      </c>
      <c r="AE59" s="266" t="e">
        <f>VLOOKUP(AB59,[4]Pges_unfiltr_y_loads!$A$2:$Q$73,17,FALSE)</f>
        <v>#N/A</v>
      </c>
      <c r="AF59" s="266" t="e">
        <f>VLOOKUP(AB59,[4]Ortho_P_y_loads!$A$2:$Q$73,17,FALSE)</f>
        <v>#N/A</v>
      </c>
      <c r="AG59" s="266" t="e">
        <f>VLOOKUP(AB59,[4]Ammonium_y_loads!$A$2:$Q$73,17,FALSE)</f>
        <v>#N/A</v>
      </c>
      <c r="AH59" s="266" t="e">
        <f>VLOOKUP(AB59,[4]Nitrit_y_loads!$A$2:$Q$73,17,FALSE)</f>
        <v>#N/A</v>
      </c>
      <c r="AI59" s="266" t="e">
        <f>VLOOKUP(AB59,[4]Nitrat_y_loads!$A$2:$R$73,17,FALSE)</f>
        <v>#N/A</v>
      </c>
      <c r="AJ59" s="266" t="e">
        <f t="shared" si="0"/>
        <v>#N/A</v>
      </c>
      <c r="AL59">
        <v>1530</v>
      </c>
      <c r="AM59">
        <v>0.68870967741935485</v>
      </c>
    </row>
    <row r="60" spans="1:39">
      <c r="A60" t="e">
        <v>#N/A</v>
      </c>
      <c r="B60" s="147">
        <v>0.12927764705882358</v>
      </c>
      <c r="C60">
        <v>0.19530000000000003</v>
      </c>
      <c r="E60" s="188">
        <v>2600</v>
      </c>
      <c r="F60" s="147">
        <v>1.92250275</v>
      </c>
      <c r="G60" s="147">
        <v>3.1133999999999999</v>
      </c>
      <c r="AB60" t="s">
        <v>800</v>
      </c>
      <c r="AC60">
        <v>4020</v>
      </c>
      <c r="AD60">
        <v>206409</v>
      </c>
      <c r="AE60" s="266" t="e">
        <f>VLOOKUP(AB60,[4]Pges_unfiltr_y_loads!$A$2:$Q$73,17,FALSE)</f>
        <v>#N/A</v>
      </c>
      <c r="AF60" s="266" t="e">
        <f>VLOOKUP(AB60,[4]Ortho_P_y_loads!$A$2:$Q$73,17,FALSE)</f>
        <v>#N/A</v>
      </c>
      <c r="AG60" s="266" t="e">
        <f>VLOOKUP(AB60,[4]Ammonium_y_loads!$A$2:$Q$73,17,FALSE)</f>
        <v>#N/A</v>
      </c>
      <c r="AH60" s="266" t="e">
        <f>VLOOKUP(AB60,[4]Nitrit_y_loads!$A$2:$Q$73,17,FALSE)</f>
        <v>#N/A</v>
      </c>
      <c r="AI60" s="266" t="e">
        <f>VLOOKUP(AB60,[4]Nitrat_y_loads!$A$2:$R$73,17,FALSE)</f>
        <v>#N/A</v>
      </c>
      <c r="AJ60" s="266" t="e">
        <f t="shared" si="0"/>
        <v>#N/A</v>
      </c>
      <c r="AL60">
        <v>1540</v>
      </c>
      <c r="AM60">
        <v>1.2012903225806453</v>
      </c>
    </row>
    <row r="61" spans="1:39">
      <c r="A61">
        <v>700</v>
      </c>
      <c r="B61" s="147">
        <v>0.11577241379310346</v>
      </c>
      <c r="C61">
        <v>0.18229999999999999</v>
      </c>
      <c r="E61" s="188">
        <v>2600</v>
      </c>
      <c r="F61" s="147">
        <v>1.6365648214285708</v>
      </c>
      <c r="G61" s="147">
        <v>2.3024</v>
      </c>
      <c r="AB61" t="s">
        <v>876</v>
      </c>
      <c r="AD61">
        <v>204784</v>
      </c>
      <c r="AE61" s="266" t="e">
        <f>VLOOKUP(AB61,[4]Pges_unfiltr_y_loads!$A$2:$Q$73,17,FALSE)</f>
        <v>#N/A</v>
      </c>
      <c r="AF61" s="266" t="e">
        <f>VLOOKUP(AB61,[4]Ortho_P_y_loads!$A$2:$Q$73,17,FALSE)</f>
        <v>#N/A</v>
      </c>
      <c r="AG61" s="266" t="e">
        <f>VLOOKUP(AB61,[4]Ammonium_y_loads!$A$2:$Q$73,17,FALSE)</f>
        <v>#N/A</v>
      </c>
      <c r="AH61" s="266" t="e">
        <f>VLOOKUP(AB61,[4]Nitrit_y_loads!$A$2:$Q$73,17,FALSE)</f>
        <v>#N/A</v>
      </c>
      <c r="AI61" s="266" t="e">
        <f>VLOOKUP(AB61,[4]Nitrat_y_loads!$A$2:$R$73,17,FALSE)</f>
        <v>#N/A</v>
      </c>
      <c r="AJ61" s="266" t="e">
        <f t="shared" si="0"/>
        <v>#N/A</v>
      </c>
      <c r="AL61">
        <v>1550</v>
      </c>
      <c r="AM61">
        <v>0.46516129032258063</v>
      </c>
    </row>
    <row r="62" spans="1:39">
      <c r="A62">
        <v>600</v>
      </c>
      <c r="B62" s="147">
        <v>1.5579555555555562E-2</v>
      </c>
      <c r="C62">
        <v>2.5640000000000007E-2</v>
      </c>
      <c r="E62" s="188">
        <v>2650</v>
      </c>
      <c r="F62" s="147">
        <v>3.6269762500000011</v>
      </c>
      <c r="G62" s="147">
        <v>4.7449999999999992</v>
      </c>
      <c r="AB62" t="s">
        <v>758</v>
      </c>
      <c r="AC62">
        <v>690</v>
      </c>
      <c r="AD62">
        <v>204784</v>
      </c>
      <c r="AE62" s="266" t="e">
        <f>VLOOKUP(AB62,[4]Pges_unfiltr_y_loads!$A$2:$Q$73,17,FALSE)</f>
        <v>#N/A</v>
      </c>
      <c r="AF62" s="266" t="e">
        <f>VLOOKUP(AB62,[4]Ortho_P_y_loads!$A$2:$Q$73,17,FALSE)</f>
        <v>#N/A</v>
      </c>
      <c r="AG62" s="266" t="e">
        <f>VLOOKUP(AB62,[4]Ammonium_y_loads!$A$2:$Q$73,17,FALSE)</f>
        <v>#N/A</v>
      </c>
      <c r="AH62" s="266" t="e">
        <f>VLOOKUP(AB62,[4]Nitrit_y_loads!$A$2:$Q$73,17,FALSE)</f>
        <v>#N/A</v>
      </c>
      <c r="AI62" s="266" t="e">
        <f>VLOOKUP(AB62,[4]Nitrat_y_loads!$A$2:$R$73,17,FALSE)</f>
        <v>#N/A</v>
      </c>
      <c r="AJ62" s="266" t="e">
        <f t="shared" si="0"/>
        <v>#N/A</v>
      </c>
      <c r="AL62">
        <v>1560</v>
      </c>
      <c r="AM62">
        <v>1.0019354838709678</v>
      </c>
    </row>
    <row r="63" spans="1:39">
      <c r="A63">
        <v>640</v>
      </c>
      <c r="B63" s="147">
        <v>2.0421739130434796E-2</v>
      </c>
      <c r="C63">
        <v>3.1E-2</v>
      </c>
      <c r="E63" s="188">
        <v>2660</v>
      </c>
      <c r="F63" s="147">
        <v>4.0042923863636348</v>
      </c>
      <c r="G63" s="147">
        <v>5.6514000000000006</v>
      </c>
      <c r="AB63" t="s">
        <v>759</v>
      </c>
      <c r="AC63">
        <v>700</v>
      </c>
      <c r="AD63">
        <v>204867</v>
      </c>
      <c r="AE63" s="266" t="e">
        <f>VLOOKUP(AB63,[4]Pges_unfiltr_y_loads!$A$2:$Q$73,17,FALSE)</f>
        <v>#N/A</v>
      </c>
      <c r="AF63" s="266" t="e">
        <f>VLOOKUP(AB63,[4]Ortho_P_y_loads!$A$2:$Q$73,17,FALSE)</f>
        <v>#N/A</v>
      </c>
      <c r="AG63" s="266" t="e">
        <f>VLOOKUP(AB63,[4]Ammonium_y_loads!$A$2:$Q$73,17,FALSE)</f>
        <v>#N/A</v>
      </c>
      <c r="AH63" s="266" t="e">
        <f>VLOOKUP(AB63,[4]Nitrit_y_loads!$A$2:$Q$73,17,FALSE)</f>
        <v>#N/A</v>
      </c>
      <c r="AI63" s="266" t="e">
        <f>VLOOKUP(AB63,[4]Nitrat_y_loads!$A$2:$R$73,17,FALSE)</f>
        <v>#N/A</v>
      </c>
      <c r="AJ63" s="266" t="e">
        <f t="shared" si="0"/>
        <v>#N/A</v>
      </c>
      <c r="AL63">
        <v>1570</v>
      </c>
    </row>
    <row r="64" spans="1:39">
      <c r="A64">
        <v>6113</v>
      </c>
      <c r="B64" s="147">
        <v>3.1985888888888897E-2</v>
      </c>
      <c r="C64">
        <v>5.1000000000000004E-2</v>
      </c>
      <c r="E64" s="188">
        <v>2740</v>
      </c>
      <c r="F64" s="147">
        <v>0.32336065573770484</v>
      </c>
      <c r="G64" s="147">
        <v>0.48609999999999998</v>
      </c>
      <c r="AB64" t="s">
        <v>877</v>
      </c>
      <c r="AD64">
        <v>204867</v>
      </c>
      <c r="AE64" s="266" t="e">
        <f>VLOOKUP(AB64,[4]Pges_unfiltr_y_loads!$A$2:$Q$73,17,FALSE)</f>
        <v>#N/A</v>
      </c>
      <c r="AF64" s="266" t="e">
        <f>VLOOKUP(AB64,[4]Ortho_P_y_loads!$A$2:$Q$73,17,FALSE)</f>
        <v>#N/A</v>
      </c>
      <c r="AG64" s="266" t="e">
        <f>VLOOKUP(AB64,[4]Ammonium_y_loads!$A$2:$Q$73,17,FALSE)</f>
        <v>#N/A</v>
      </c>
      <c r="AH64" s="266" t="e">
        <f>VLOOKUP(AB64,[4]Nitrit_y_loads!$A$2:$Q$73,17,FALSE)</f>
        <v>#N/A</v>
      </c>
      <c r="AI64" s="266" t="e">
        <f>VLOOKUP(AB64,[4]Nitrat_y_loads!$A$2:$R$73,17,FALSE)</f>
        <v>#N/A</v>
      </c>
      <c r="AJ64" s="266" t="e">
        <f t="shared" si="0"/>
        <v>#N/A</v>
      </c>
      <c r="AL64">
        <v>1580</v>
      </c>
      <c r="AM64">
        <v>4.8796774193548389</v>
      </c>
    </row>
    <row r="65" spans="1:39">
      <c r="A65" t="e">
        <v>#N/A</v>
      </c>
      <c r="B65" s="147">
        <v>3.401409090909089E-2</v>
      </c>
      <c r="C65">
        <v>5.5900000000000005E-2</v>
      </c>
      <c r="E65" s="188">
        <v>2750</v>
      </c>
      <c r="F65" s="147">
        <v>0.342266393442623</v>
      </c>
      <c r="G65" s="147">
        <v>0.49864999999999998</v>
      </c>
      <c r="AB65" t="s">
        <v>761</v>
      </c>
      <c r="AC65">
        <v>710</v>
      </c>
      <c r="AD65">
        <v>204867</v>
      </c>
      <c r="AE65" s="266" t="e">
        <f>VLOOKUP(AB65,[4]Pges_unfiltr_y_loads!$A$2:$Q$73,17,FALSE)</f>
        <v>#N/A</v>
      </c>
      <c r="AF65" s="266" t="e">
        <f>VLOOKUP(AB65,[4]Ortho_P_y_loads!$A$2:$Q$73,17,FALSE)</f>
        <v>#N/A</v>
      </c>
      <c r="AG65" s="266" t="e">
        <f>VLOOKUP(AB65,[4]Ammonium_y_loads!$A$2:$Q$73,17,FALSE)</f>
        <v>#N/A</v>
      </c>
      <c r="AH65" s="266" t="e">
        <f>VLOOKUP(AB65,[4]Nitrit_y_loads!$A$2:$Q$73,17,FALSE)</f>
        <v>#N/A</v>
      </c>
      <c r="AI65" s="266" t="e">
        <f>VLOOKUP(AB65,[4]Nitrat_y_loads!$A$2:$R$73,17,FALSE)</f>
        <v>#N/A</v>
      </c>
      <c r="AJ65" s="266" t="e">
        <f t="shared" si="0"/>
        <v>#N/A</v>
      </c>
      <c r="AL65">
        <v>1590</v>
      </c>
      <c r="AM65">
        <v>1.0808602150537632</v>
      </c>
    </row>
    <row r="66" spans="1:39">
      <c r="A66">
        <v>1200</v>
      </c>
      <c r="B66" s="147">
        <v>4.6086666666666672E-2</v>
      </c>
      <c r="C66">
        <v>6.8479999999999999E-2</v>
      </c>
      <c r="E66" s="188">
        <v>2800</v>
      </c>
      <c r="F66" s="147">
        <v>0.41325950819672141</v>
      </c>
      <c r="G66" s="147">
        <v>0.55745</v>
      </c>
      <c r="AB66" t="s">
        <v>878</v>
      </c>
      <c r="AD66">
        <v>205914</v>
      </c>
      <c r="AE66" s="266" t="e">
        <f>VLOOKUP(AB66,[4]Pges_unfiltr_y_loads!$A$2:$Q$73,17,FALSE)</f>
        <v>#N/A</v>
      </c>
      <c r="AF66" s="266" t="e">
        <f>VLOOKUP(AB66,[4]Ortho_P_y_loads!$A$2:$Q$73,17,FALSE)</f>
        <v>#N/A</v>
      </c>
      <c r="AG66" s="266" t="e">
        <f>VLOOKUP(AB66,[4]Ammonium_y_loads!$A$2:$Q$73,17,FALSE)</f>
        <v>#N/A</v>
      </c>
      <c r="AH66" s="266" t="e">
        <f>VLOOKUP(AB66,[4]Nitrit_y_loads!$A$2:$Q$73,17,FALSE)</f>
        <v>#N/A</v>
      </c>
      <c r="AI66" s="266" t="e">
        <f>VLOOKUP(AB66,[4]Nitrat_y_loads!$A$2:$R$73,17,FALSE)</f>
        <v>#N/A</v>
      </c>
      <c r="AJ66" s="266" t="e">
        <f t="shared" si="0"/>
        <v>#N/A</v>
      </c>
      <c r="AL66">
        <v>1600</v>
      </c>
      <c r="AM66">
        <v>5.7033064516129039</v>
      </c>
    </row>
    <row r="67" spans="1:39">
      <c r="A67">
        <v>1110</v>
      </c>
      <c r="B67" s="147">
        <v>5.8559701492537301E-2</v>
      </c>
      <c r="C67">
        <v>9.1199999999999989E-2</v>
      </c>
      <c r="E67" s="188">
        <v>2810</v>
      </c>
      <c r="F67" s="147">
        <v>0.40047683333333334</v>
      </c>
      <c r="G67" s="147">
        <v>0.5535000000000001</v>
      </c>
      <c r="AB67" t="s">
        <v>879</v>
      </c>
      <c r="AD67">
        <v>205914</v>
      </c>
      <c r="AE67" s="266" t="e">
        <f>VLOOKUP(AB67,[4]Pges_unfiltr_y_loads!$A$2:$Q$73,17,FALSE)</f>
        <v>#N/A</v>
      </c>
      <c r="AF67" s="266" t="e">
        <f>VLOOKUP(AB67,[4]Ortho_P_y_loads!$A$2:$Q$73,17,FALSE)</f>
        <v>#N/A</v>
      </c>
      <c r="AG67" s="266" t="e">
        <f>VLOOKUP(AB67,[4]Ammonium_y_loads!$A$2:$Q$73,17,FALSE)</f>
        <v>#N/A</v>
      </c>
      <c r="AH67" s="266" t="e">
        <f>VLOOKUP(AB67,[4]Nitrit_y_loads!$A$2:$Q$73,17,FALSE)</f>
        <v>#N/A</v>
      </c>
      <c r="AI67" s="266" t="e">
        <f>VLOOKUP(AB67,[4]Nitrat_y_loads!$A$2:$R$73,17,FALSE)</f>
        <v>#N/A</v>
      </c>
      <c r="AJ67" s="266" t="e">
        <f t="shared" ref="AJ67:AJ73" si="2">SUM(AG67:AI67)</f>
        <v>#N/A</v>
      </c>
      <c r="AL67">
        <v>1620</v>
      </c>
    </row>
    <row r="68" spans="1:39">
      <c r="A68" t="e">
        <v>#N/A</v>
      </c>
      <c r="B68" s="147">
        <v>3.544651162790699E-2</v>
      </c>
      <c r="C68">
        <v>4.9800000000000004E-2</v>
      </c>
      <c r="E68" s="188">
        <v>2870</v>
      </c>
      <c r="F68" s="147">
        <v>0.61833689189189189</v>
      </c>
      <c r="G68" s="147">
        <v>0.70250000000000012</v>
      </c>
      <c r="AB68" t="s">
        <v>787</v>
      </c>
      <c r="AC68">
        <v>1560</v>
      </c>
      <c r="AD68">
        <v>205914</v>
      </c>
      <c r="AE68" s="266" t="e">
        <f>VLOOKUP(AB68,[4]Pges_unfiltr_y_loads!$A$2:$Q$73,17,FALSE)</f>
        <v>#N/A</v>
      </c>
      <c r="AF68" s="266" t="e">
        <f>VLOOKUP(AB68,[4]Ortho_P_y_loads!$A$2:$Q$73,17,FALSE)</f>
        <v>#N/A</v>
      </c>
      <c r="AG68" s="266" t="e">
        <f>VLOOKUP(AB68,[4]Ammonium_y_loads!$A$2:$Q$73,17,FALSE)</f>
        <v>#N/A</v>
      </c>
      <c r="AH68" s="266" t="e">
        <f>VLOOKUP(AB68,[4]Nitrit_y_loads!$A$2:$Q$73,17,FALSE)</f>
        <v>#N/A</v>
      </c>
      <c r="AI68" s="266" t="e">
        <f>VLOOKUP(AB68,[4]Nitrat_y_loads!$A$2:$R$73,17,FALSE)</f>
        <v>#N/A</v>
      </c>
      <c r="AJ68" s="266" t="e">
        <f t="shared" si="2"/>
        <v>#N/A</v>
      </c>
      <c r="AL68">
        <v>1630</v>
      </c>
      <c r="AM68">
        <v>2.3675806451612904</v>
      </c>
    </row>
    <row r="69" spans="1:39">
      <c r="A69">
        <v>4010</v>
      </c>
      <c r="B69" s="147">
        <v>1.244761904761905E-3</v>
      </c>
      <c r="C69">
        <v>4.0440000000000042E-3</v>
      </c>
      <c r="E69" s="188">
        <v>2880</v>
      </c>
      <c r="F69" s="147">
        <v>0.54500613636363626</v>
      </c>
      <c r="G69" s="147">
        <v>0.62960800000000006</v>
      </c>
      <c r="AB69" t="s">
        <v>880</v>
      </c>
      <c r="AD69">
        <v>205377</v>
      </c>
      <c r="AE69" s="266" t="e">
        <f>VLOOKUP(AB69,[4]Pges_unfiltr_y_loads!$A$2:$Q$73,17,FALSE)</f>
        <v>#N/A</v>
      </c>
      <c r="AF69" s="266" t="e">
        <f>VLOOKUP(AB69,[4]Ortho_P_y_loads!$A$2:$Q$73,17,FALSE)</f>
        <v>#N/A</v>
      </c>
      <c r="AG69" s="266" t="e">
        <f>VLOOKUP(AB69,[4]Ammonium_y_loads!$A$2:$Q$73,17,FALSE)</f>
        <v>#N/A</v>
      </c>
      <c r="AH69" s="266" t="e">
        <f>VLOOKUP(AB69,[4]Nitrit_y_loads!$A$2:$Q$73,17,FALSE)</f>
        <v>#N/A</v>
      </c>
      <c r="AI69" s="266" t="e">
        <f>VLOOKUP(AB69,[4]Nitrat_y_loads!$A$2:$R$73,17,FALSE)</f>
        <v>#N/A</v>
      </c>
      <c r="AJ69" s="266" t="e">
        <f t="shared" si="2"/>
        <v>#N/A</v>
      </c>
      <c r="AL69">
        <v>1640</v>
      </c>
      <c r="AM69">
        <v>3.9414516129032253</v>
      </c>
    </row>
    <row r="70" spans="1:39">
      <c r="A70" t="e">
        <v>#N/A</v>
      </c>
      <c r="B70" s="147">
        <v>9.4420930232558195E-3</v>
      </c>
      <c r="C70">
        <v>2.071000000000001E-2</v>
      </c>
      <c r="E70" s="188">
        <v>2900</v>
      </c>
      <c r="F70" s="147">
        <v>1.1444072093023259</v>
      </c>
      <c r="G70" s="147">
        <v>1.3643780000000001</v>
      </c>
      <c r="AB70" t="s">
        <v>881</v>
      </c>
      <c r="AD70">
        <v>205393</v>
      </c>
      <c r="AE70" s="266" t="e">
        <f>VLOOKUP(AB70,[4]Pges_unfiltr_y_loads!$A$2:$Q$73,17,FALSE)</f>
        <v>#N/A</v>
      </c>
      <c r="AF70" s="266" t="e">
        <f>VLOOKUP(AB70,[4]Ortho_P_y_loads!$A$2:$Q$73,17,FALSE)</f>
        <v>#N/A</v>
      </c>
      <c r="AG70" s="266" t="e">
        <f>VLOOKUP(AB70,[4]Ammonium_y_loads!$A$2:$Q$73,17,FALSE)</f>
        <v>#N/A</v>
      </c>
      <c r="AH70" s="266" t="e">
        <f>VLOOKUP(AB70,[4]Nitrit_y_loads!$A$2:$Q$73,17,FALSE)</f>
        <v>#N/A</v>
      </c>
      <c r="AI70" s="266" t="e">
        <f>VLOOKUP(AB70,[4]Nitrat_y_loads!$A$2:$R$73,17,FALSE)</f>
        <v>#N/A</v>
      </c>
      <c r="AJ70" s="266" t="e">
        <f t="shared" si="2"/>
        <v>#N/A</v>
      </c>
      <c r="AL70">
        <v>3650</v>
      </c>
    </row>
    <row r="71" spans="1:39">
      <c r="A71">
        <v>4000</v>
      </c>
      <c r="B71" s="147">
        <v>7.1897619047619054E-3</v>
      </c>
      <c r="C71">
        <v>1.4979999999999999E-2</v>
      </c>
      <c r="E71" s="188">
        <v>2940</v>
      </c>
      <c r="F71" s="147">
        <v>2.3795059493670876</v>
      </c>
      <c r="G71" s="147">
        <v>3.0183600000000004</v>
      </c>
      <c r="AB71" t="s">
        <v>772</v>
      </c>
      <c r="AC71">
        <v>1270</v>
      </c>
      <c r="AD71">
        <v>205419</v>
      </c>
      <c r="AE71" s="266" t="e">
        <f>VLOOKUP(AB71,[4]Pges_unfiltr_y_loads!$A$2:$Q$73,17,FALSE)</f>
        <v>#N/A</v>
      </c>
      <c r="AF71" s="266" t="e">
        <f>VLOOKUP(AB71,[4]Ortho_P_y_loads!$A$2:$Q$73,17,FALSE)</f>
        <v>#N/A</v>
      </c>
      <c r="AG71" s="266" t="e">
        <f>VLOOKUP(AB71,[4]Ammonium_y_loads!$A$2:$Q$73,17,FALSE)</f>
        <v>#N/A</v>
      </c>
      <c r="AH71" s="266" t="e">
        <f>VLOOKUP(AB71,[4]Nitrit_y_loads!$A$2:$Q$73,17,FALSE)</f>
        <v>#N/A</v>
      </c>
      <c r="AI71" s="266" t="e">
        <f>VLOOKUP(AB71,[4]Nitrat_y_loads!$A$2:$R$73,17,FALSE)</f>
        <v>#N/A</v>
      </c>
      <c r="AJ71" s="266" t="e">
        <f t="shared" si="2"/>
        <v>#N/A</v>
      </c>
      <c r="AL71">
        <v>3660</v>
      </c>
      <c r="AM71">
        <v>1.5772580645161289</v>
      </c>
    </row>
    <row r="72" spans="1:39">
      <c r="A72">
        <v>1280</v>
      </c>
      <c r="B72" s="147">
        <v>9.2006749999999984E-2</v>
      </c>
      <c r="C72">
        <v>7.3649999999999993E-2</v>
      </c>
      <c r="E72" s="188">
        <v>2950</v>
      </c>
      <c r="F72" s="147">
        <v>2.3442870886075959</v>
      </c>
      <c r="G72" s="147">
        <v>3.0726</v>
      </c>
      <c r="AB72" t="s">
        <v>882</v>
      </c>
      <c r="AD72">
        <v>205021</v>
      </c>
      <c r="AE72" s="266" t="e">
        <f>VLOOKUP(AB72,[4]Pges_unfiltr_y_loads!$A$2:$Q$73,17,FALSE)</f>
        <v>#N/A</v>
      </c>
      <c r="AF72" s="266" t="e">
        <f>VLOOKUP(AB72,[4]Ortho_P_y_loads!$A$2:$Q$73,17,FALSE)</f>
        <v>#N/A</v>
      </c>
      <c r="AG72" s="266" t="e">
        <f>VLOOKUP(AB72,[4]Ammonium_y_loads!$A$2:$Q$73,17,FALSE)</f>
        <v>#N/A</v>
      </c>
      <c r="AH72" s="266" t="e">
        <f>VLOOKUP(AB72,[4]Nitrit_y_loads!$A$2:$Q$73,17,FALSE)</f>
        <v>#N/A</v>
      </c>
      <c r="AI72" s="266" t="e">
        <f>VLOOKUP(AB72,[4]Nitrat_y_loads!$A$2:$R$73,17,FALSE)</f>
        <v>#N/A</v>
      </c>
      <c r="AJ72" s="266" t="e">
        <f t="shared" si="2"/>
        <v>#N/A</v>
      </c>
      <c r="AL72">
        <v>4000</v>
      </c>
      <c r="AM72">
        <v>0.58483870967741935</v>
      </c>
    </row>
    <row r="73" spans="1:39">
      <c r="A73">
        <v>1290</v>
      </c>
      <c r="B73" s="147">
        <v>1.426870588235294E-2</v>
      </c>
      <c r="C73">
        <v>2.4E-2</v>
      </c>
      <c r="E73" s="188">
        <v>2980</v>
      </c>
      <c r="F73" s="147">
        <v>1.2563739999999999</v>
      </c>
      <c r="G73" s="147">
        <v>1.6588850000000002</v>
      </c>
      <c r="AB73" t="s">
        <v>766</v>
      </c>
      <c r="AC73">
        <v>1170</v>
      </c>
      <c r="AD73">
        <v>205021</v>
      </c>
      <c r="AE73" s="266" t="e">
        <f>VLOOKUP(AB73,[4]Pges_unfiltr_y_loads!$A$2:$Q$73,17,FALSE)</f>
        <v>#N/A</v>
      </c>
      <c r="AF73" s="266" t="e">
        <f>VLOOKUP(AB73,[4]Ortho_P_y_loads!$A$2:$Q$73,17,FALSE)</f>
        <v>#N/A</v>
      </c>
      <c r="AG73" s="266" t="e">
        <f>VLOOKUP(AB73,[4]Ammonium_y_loads!$A$2:$Q$73,17,FALSE)</f>
        <v>#N/A</v>
      </c>
      <c r="AH73" s="266" t="e">
        <f>VLOOKUP(AB73,[4]Nitrit_y_loads!$A$2:$Q$73,17,FALSE)</f>
        <v>#N/A</v>
      </c>
      <c r="AI73" s="266" t="e">
        <f>VLOOKUP(AB73,[4]Nitrat_y_loads!$A$2:$R$73,17,FALSE)</f>
        <v>#N/A</v>
      </c>
      <c r="AJ73" s="266" t="e">
        <f t="shared" si="2"/>
        <v>#N/A</v>
      </c>
      <c r="AL73">
        <v>4010</v>
      </c>
      <c r="AM73">
        <v>0.69397849462365579</v>
      </c>
    </row>
    <row r="74" spans="1:39">
      <c r="A74">
        <v>1270</v>
      </c>
      <c r="B74" s="147">
        <v>1.954596774193549E-2</v>
      </c>
      <c r="C74">
        <v>3.1300000000000001E-2</v>
      </c>
      <c r="E74" s="188">
        <v>3030</v>
      </c>
      <c r="F74" s="147">
        <v>0.70776233333333327</v>
      </c>
      <c r="G74" s="147">
        <v>0.94935499999999995</v>
      </c>
      <c r="AL74">
        <v>4020</v>
      </c>
      <c r="AM74">
        <v>6.528503584229389</v>
      </c>
    </row>
    <row r="75" spans="1:39">
      <c r="A75" t="e">
        <v>#N/A</v>
      </c>
      <c r="B75" s="147">
        <v>1.0722222222222225E-3</v>
      </c>
      <c r="C75">
        <v>3.7499999999999999E-3</v>
      </c>
      <c r="E75" s="188">
        <v>3240</v>
      </c>
      <c r="F75" s="147">
        <v>1.2061216393442626</v>
      </c>
      <c r="G75" s="147">
        <v>1.4683619999999999</v>
      </c>
      <c r="AL75">
        <v>4050</v>
      </c>
      <c r="AM75">
        <v>0.8030806451612903</v>
      </c>
    </row>
    <row r="76" spans="1:39">
      <c r="A76">
        <v>1330</v>
      </c>
      <c r="B76" s="147">
        <v>4.5155294117647043E-2</v>
      </c>
      <c r="C76">
        <v>7.6999999999999999E-2</v>
      </c>
      <c r="E76" s="188">
        <v>3280</v>
      </c>
      <c r="F76" s="147">
        <v>1.4397133898305088</v>
      </c>
      <c r="G76" s="147">
        <v>2.1654800000000001</v>
      </c>
      <c r="AL76">
        <v>4060</v>
      </c>
      <c r="AM76">
        <v>0.81078629032258065</v>
      </c>
    </row>
    <row r="77" spans="1:39">
      <c r="A77">
        <v>4070</v>
      </c>
      <c r="B77" s="147">
        <v>5.8546551724137919E-3</v>
      </c>
      <c r="C77">
        <v>8.0000000000000002E-3</v>
      </c>
      <c r="E77" s="188">
        <v>3340</v>
      </c>
      <c r="F77" s="147">
        <v>1.6257810169491524</v>
      </c>
      <c r="G77" s="147">
        <v>2.0674000000000001</v>
      </c>
      <c r="AL77">
        <v>4070</v>
      </c>
      <c r="AM77">
        <v>1.0436363636363635</v>
      </c>
    </row>
    <row r="78" spans="1:39">
      <c r="A78">
        <v>4080</v>
      </c>
      <c r="B78" s="147">
        <v>4.5909999999999996E-3</v>
      </c>
      <c r="C78">
        <v>9.7800000000000005E-3</v>
      </c>
      <c r="E78" s="188">
        <v>3350</v>
      </c>
      <c r="F78" s="147">
        <v>1.8633349999999993</v>
      </c>
      <c r="G78" s="147">
        <v>2.4251000000000005</v>
      </c>
      <c r="AL78">
        <v>4080</v>
      </c>
      <c r="AM78">
        <v>7.0093145161290327</v>
      </c>
    </row>
    <row r="79" spans="1:39">
      <c r="A79">
        <v>1560</v>
      </c>
      <c r="B79" s="147">
        <v>3.1544827586206907E-3</v>
      </c>
      <c r="C79">
        <v>7.0000000000000001E-3</v>
      </c>
      <c r="E79" s="188">
        <v>900</v>
      </c>
      <c r="F79" s="147">
        <v>0.36462226415094329</v>
      </c>
      <c r="G79" s="147">
        <v>0.59357800000000016</v>
      </c>
      <c r="AL79">
        <v>4990</v>
      </c>
      <c r="AM79">
        <v>3.2809677419354841</v>
      </c>
    </row>
    <row r="80" spans="1:39">
      <c r="A80">
        <v>1550</v>
      </c>
      <c r="B80" s="147">
        <v>1.1162790697674418E-3</v>
      </c>
      <c r="C80">
        <v>3.7499999999999999E-3</v>
      </c>
      <c r="E80" s="188">
        <v>910</v>
      </c>
      <c r="F80" s="147">
        <v>0.5835693103448274</v>
      </c>
      <c r="G80" s="147">
        <v>0.82965</v>
      </c>
      <c r="AL80">
        <v>5000</v>
      </c>
      <c r="AM80">
        <v>2.3811290322580643</v>
      </c>
    </row>
    <row r="81" spans="1:39">
      <c r="A81" t="e">
        <v>#N/A</v>
      </c>
      <c r="B81" s="147">
        <v>2.4650769230769216E-2</v>
      </c>
      <c r="C81">
        <v>4.2299999999999997E-2</v>
      </c>
      <c r="E81" s="188">
        <v>6073</v>
      </c>
      <c r="F81" s="147">
        <v>0.42229918032786889</v>
      </c>
      <c r="G81" s="147">
        <v>0.55912500000000009</v>
      </c>
      <c r="AL81">
        <v>5010</v>
      </c>
      <c r="AM81">
        <v>7.1280148883374697</v>
      </c>
    </row>
    <row r="82" spans="1:39">
      <c r="A82">
        <v>900</v>
      </c>
      <c r="B82" s="147">
        <v>7.0839622641509408E-3</v>
      </c>
      <c r="C82">
        <v>1.5170000000000017E-2</v>
      </c>
      <c r="E82" s="188">
        <v>1000</v>
      </c>
      <c r="F82" s="147">
        <v>0.47007377049180321</v>
      </c>
      <c r="G82" s="147">
        <v>0.86250000000000004</v>
      </c>
      <c r="AL82">
        <v>5020</v>
      </c>
      <c r="AM82">
        <v>5.4232123655913984</v>
      </c>
    </row>
    <row r="83" spans="1:39">
      <c r="A83" t="e">
        <v>#N/A</v>
      </c>
      <c r="B83" s="147">
        <v>6.6215517241379265E-3</v>
      </c>
      <c r="C83">
        <v>1.1720000000000005E-2</v>
      </c>
      <c r="E83" s="188">
        <v>1020</v>
      </c>
      <c r="F83" s="147">
        <v>0.53433895348837213</v>
      </c>
      <c r="G83" s="147">
        <v>0.82800000000000007</v>
      </c>
    </row>
    <row r="84" spans="1:39">
      <c r="A84">
        <v>410</v>
      </c>
      <c r="B84" s="147">
        <v>2.8785714285714296E-3</v>
      </c>
      <c r="C84">
        <v>6.0000000000000001E-3</v>
      </c>
      <c r="E84" s="188">
        <v>1030</v>
      </c>
      <c r="F84" s="147">
        <v>0.63171802325581394</v>
      </c>
      <c r="G84" s="147">
        <v>0.90100000000000002</v>
      </c>
    </row>
    <row r="85" spans="1:39">
      <c r="A85">
        <v>430</v>
      </c>
      <c r="B85" s="147">
        <v>1.7753571428571432E-3</v>
      </c>
      <c r="C85">
        <v>4.0000000000000001E-3</v>
      </c>
      <c r="E85" s="188">
        <v>4000</v>
      </c>
      <c r="F85" s="147">
        <v>0.47749000000000003</v>
      </c>
      <c r="G85" s="147">
        <v>0.68102499999999999</v>
      </c>
    </row>
    <row r="86" spans="1:39">
      <c r="A86" t="e">
        <v>#N/A</v>
      </c>
      <c r="B86" s="147">
        <v>6.0186046511627915E-3</v>
      </c>
      <c r="C86">
        <v>1.0320000000000001E-2</v>
      </c>
      <c r="E86" s="188">
        <v>4010</v>
      </c>
      <c r="F86" s="147">
        <v>0.66602174603174635</v>
      </c>
      <c r="G86" s="147">
        <v>0.84151200000000004</v>
      </c>
    </row>
    <row r="87" spans="1:39">
      <c r="A87" t="e">
        <v>#N/A</v>
      </c>
      <c r="B87" s="147">
        <v>3.1144444444444453E-3</v>
      </c>
      <c r="C87">
        <v>6.9000000000000025E-3</v>
      </c>
      <c r="E87" s="188">
        <v>4050</v>
      </c>
      <c r="F87" s="147">
        <v>0.53787147540983615</v>
      </c>
      <c r="G87" s="147">
        <v>0.86495999999999995</v>
      </c>
    </row>
    <row r="88" spans="1:39">
      <c r="A88">
        <v>460</v>
      </c>
      <c r="B88" s="147">
        <v>3.8959523809523823E-3</v>
      </c>
      <c r="C88">
        <v>7.4499999999999992E-3</v>
      </c>
      <c r="E88" s="188">
        <v>4070</v>
      </c>
      <c r="F88" s="147">
        <v>0.69486086206896536</v>
      </c>
      <c r="G88" s="147">
        <v>0.90965000000000007</v>
      </c>
    </row>
    <row r="89" spans="1:39">
      <c r="A89">
        <v>470</v>
      </c>
      <c r="B89" s="147">
        <v>2.5802816901408458E-3</v>
      </c>
      <c r="C89">
        <v>6.0000000000000001E-3</v>
      </c>
      <c r="E89" s="188">
        <v>4080</v>
      </c>
      <c r="F89" s="147">
        <v>1.1940103333333338</v>
      </c>
      <c r="G89" s="147">
        <v>1.7630440000000001</v>
      </c>
    </row>
    <row r="90" spans="1:39">
      <c r="A90">
        <v>910</v>
      </c>
      <c r="B90" s="147">
        <v>8.9172413793103464E-3</v>
      </c>
      <c r="C90">
        <v>1.6860000000000003E-2</v>
      </c>
      <c r="E90" s="188">
        <v>6265</v>
      </c>
      <c r="F90" s="147">
        <v>0.54204508196721324</v>
      </c>
      <c r="G90" s="147">
        <v>0.67825000000000002</v>
      </c>
    </row>
    <row r="91" spans="1:39">
      <c r="A91">
        <v>4300</v>
      </c>
      <c r="B91" s="147">
        <v>4.479999999999997E-3</v>
      </c>
      <c r="C91">
        <v>8.5840000000000014E-3</v>
      </c>
      <c r="E91" s="188">
        <v>4200</v>
      </c>
      <c r="F91" s="147">
        <v>0.3613354651162789</v>
      </c>
      <c r="G91" s="147">
        <v>0.51800000000000002</v>
      </c>
    </row>
    <row r="92" spans="1:39">
      <c r="A92">
        <v>4050</v>
      </c>
      <c r="B92" s="147">
        <v>4.1691803278688534E-3</v>
      </c>
      <c r="C92">
        <v>8.4099999999999991E-3</v>
      </c>
      <c r="E92" s="188">
        <v>4210</v>
      </c>
      <c r="F92" s="147">
        <v>0.48265250000000004</v>
      </c>
      <c r="G92" s="147">
        <v>0.68807099999999999</v>
      </c>
    </row>
    <row r="93" spans="1:39">
      <c r="A93">
        <v>1460</v>
      </c>
      <c r="B93" s="147">
        <v>1.3397377049180332E-2</v>
      </c>
      <c r="C93">
        <v>2.0199999999999999E-2</v>
      </c>
      <c r="E93" s="188">
        <v>4300</v>
      </c>
      <c r="F93" s="147">
        <v>0.44448880952380942</v>
      </c>
      <c r="G93" s="147">
        <v>0.70024999999999993</v>
      </c>
    </row>
    <row r="94" spans="1:39">
      <c r="A94">
        <v>1430</v>
      </c>
      <c r="B94" s="147">
        <v>6.4292857142857155E-3</v>
      </c>
      <c r="C94">
        <v>1.1899999999999999E-2</v>
      </c>
      <c r="E94" s="188">
        <v>4310</v>
      </c>
      <c r="F94" s="147">
        <v>0.72495500000000024</v>
      </c>
      <c r="G94" s="147">
        <v>1.07731</v>
      </c>
    </row>
    <row r="95" spans="1:39">
      <c r="A95">
        <v>2640</v>
      </c>
      <c r="B95" s="147">
        <v>4.5083333333333329E-2</v>
      </c>
      <c r="C95">
        <v>7.0899999999999991E-2</v>
      </c>
      <c r="E95" s="188">
        <v>4320</v>
      </c>
      <c r="F95" s="147">
        <v>1.0571490322580646</v>
      </c>
      <c r="G95" s="147">
        <v>1.3411299999999999</v>
      </c>
    </row>
    <row r="96" spans="1:39">
      <c r="A96">
        <v>2650</v>
      </c>
      <c r="B96" s="147">
        <v>5.5337499999999963E-2</v>
      </c>
      <c r="C96">
        <v>7.7949999999999992E-2</v>
      </c>
      <c r="E96" s="188">
        <v>4330</v>
      </c>
      <c r="F96" s="147">
        <v>1.0657330555555551</v>
      </c>
      <c r="G96" s="147">
        <v>1.4299299999999999</v>
      </c>
    </row>
    <row r="97" spans="1:7">
      <c r="A97">
        <v>2505</v>
      </c>
      <c r="B97" s="147">
        <v>2.006083333333334E-2</v>
      </c>
      <c r="C97">
        <v>2.555E-2</v>
      </c>
      <c r="E97" s="188">
        <v>5040</v>
      </c>
      <c r="F97" s="147">
        <v>2.0540179999999997</v>
      </c>
      <c r="G97" s="147">
        <v>3.0876600000000001</v>
      </c>
    </row>
    <row r="98" spans="1:7">
      <c r="A98" t="e">
        <v>#N/A</v>
      </c>
      <c r="B98" s="147">
        <v>2.33012195121951E-2</v>
      </c>
      <c r="C98">
        <v>3.7449999999999997E-2</v>
      </c>
      <c r="E98" s="188">
        <v>5050</v>
      </c>
      <c r="F98" s="147">
        <v>2.1401033333333332</v>
      </c>
      <c r="G98" s="147">
        <v>3.2045000000000003</v>
      </c>
    </row>
    <row r="99" spans="1:7">
      <c r="A99" t="e">
        <v>#N/A</v>
      </c>
      <c r="B99" s="147">
        <v>4.0941463414634151E-2</v>
      </c>
      <c r="C99">
        <v>6.2109999999999992E-2</v>
      </c>
      <c r="E99" s="188">
        <v>5060</v>
      </c>
      <c r="F99" s="147">
        <v>2.1588781944444442</v>
      </c>
      <c r="G99" s="147">
        <v>3.2966000000000006</v>
      </c>
    </row>
    <row r="100" spans="1:7">
      <c r="A100">
        <v>4310</v>
      </c>
      <c r="B100" s="147">
        <v>1.8707222222222222E-2</v>
      </c>
      <c r="C100">
        <v>2.758E-2</v>
      </c>
      <c r="E100" s="188">
        <v>700</v>
      </c>
      <c r="F100" s="147">
        <v>3.4683631034482754</v>
      </c>
      <c r="G100" s="147">
        <v>3.95512</v>
      </c>
    </row>
    <row r="101" spans="1:7">
      <c r="A101">
        <v>4320</v>
      </c>
      <c r="B101" s="147">
        <v>1.3017868852459022E-2</v>
      </c>
      <c r="C101">
        <v>2.1000000000000001E-2</v>
      </c>
      <c r="E101" s="188">
        <v>640</v>
      </c>
      <c r="F101" s="147">
        <v>3.1020082608695647</v>
      </c>
      <c r="G101" s="147">
        <v>3.7444999999999999</v>
      </c>
    </row>
    <row r="102" spans="1:7">
      <c r="A102">
        <v>4330</v>
      </c>
      <c r="B102" s="147">
        <v>1.6696944444444438E-2</v>
      </c>
      <c r="C102">
        <v>2.8119999999999999E-2</v>
      </c>
      <c r="E102" s="188">
        <v>2970</v>
      </c>
      <c r="F102" s="147">
        <v>0.43853975609756096</v>
      </c>
      <c r="G102" s="147">
        <v>0.52187000000000006</v>
      </c>
    </row>
    <row r="103" spans="1:7">
      <c r="A103" t="e">
        <v>#N/A</v>
      </c>
      <c r="B103" s="147">
        <v>4.1744999999999984E-2</v>
      </c>
      <c r="C103">
        <v>6.7369999999999999E-2</v>
      </c>
      <c r="E103" s="188">
        <v>3030</v>
      </c>
      <c r="F103" s="147">
        <v>1.540616666666667</v>
      </c>
      <c r="G103" s="147">
        <v>1.95044</v>
      </c>
    </row>
    <row r="104" spans="1:7">
      <c r="A104" t="e">
        <v>#N/A</v>
      </c>
      <c r="B104" s="147">
        <v>5.5037499999999989E-2</v>
      </c>
      <c r="C104">
        <v>8.9689999999999992E-2</v>
      </c>
      <c r="E104" s="188">
        <v>2640</v>
      </c>
      <c r="F104" s="147">
        <v>2.8623716666666659</v>
      </c>
      <c r="G104" s="147">
        <v>3.52</v>
      </c>
    </row>
    <row r="105" spans="1:7">
      <c r="A105" t="e">
        <v>#N/A</v>
      </c>
      <c r="B105" s="147">
        <v>5.6251612903225837E-3</v>
      </c>
      <c r="C105">
        <v>9.6000000000000078E-3</v>
      </c>
      <c r="E105" s="188">
        <v>21</v>
      </c>
      <c r="F105" s="147">
        <v>0.42118749999999994</v>
      </c>
      <c r="G105" s="147">
        <v>0.45600000000000002</v>
      </c>
    </row>
    <row r="106" spans="1:7">
      <c r="A106">
        <v>3030</v>
      </c>
      <c r="B106" s="147">
        <v>7.0635714285714321E-3</v>
      </c>
      <c r="C106">
        <v>1.5799999999999998E-2</v>
      </c>
      <c r="E106" s="188">
        <v>110</v>
      </c>
      <c r="F106" s="147">
        <v>0.37917209302325577</v>
      </c>
      <c r="G106" s="147">
        <v>0.67100000000000004</v>
      </c>
    </row>
    <row r="107" spans="1:7">
      <c r="A107">
        <v>3240</v>
      </c>
      <c r="B107" s="147">
        <v>2.0255081967213109E-2</v>
      </c>
      <c r="C107">
        <v>3.1760000000000004E-2</v>
      </c>
      <c r="E107" s="188">
        <v>150</v>
      </c>
      <c r="F107" s="147">
        <v>0.45791463414634148</v>
      </c>
      <c r="G107" s="147">
        <v>0.56000000000000005</v>
      </c>
    </row>
    <row r="108" spans="1:7">
      <c r="A108">
        <v>3280</v>
      </c>
      <c r="B108" s="147">
        <v>3.3448305084745736E-2</v>
      </c>
      <c r="C108">
        <v>6.2960000000000016E-2</v>
      </c>
      <c r="E108" s="188">
        <v>430</v>
      </c>
      <c r="F108" s="147">
        <v>0.5005750000000001</v>
      </c>
      <c r="G108" s="147">
        <v>0.78600000000000003</v>
      </c>
    </row>
    <row r="109" spans="1:7">
      <c r="A109" t="e">
        <v>#N/A</v>
      </c>
      <c r="B109" s="147">
        <v>2.8592916666666642E-2</v>
      </c>
      <c r="C109">
        <v>5.3859999999999998E-2</v>
      </c>
      <c r="E109" s="188">
        <v>1730</v>
      </c>
      <c r="F109" s="147">
        <v>1.042387391304348</v>
      </c>
      <c r="G109" s="147">
        <v>1.2202999999999999</v>
      </c>
    </row>
    <row r="110" spans="1:7">
      <c r="A110">
        <v>3340</v>
      </c>
      <c r="B110" s="147">
        <v>1.8567118644067789E-2</v>
      </c>
      <c r="C110">
        <v>3.0180000000000002E-2</v>
      </c>
      <c r="E110" s="188">
        <v>3500</v>
      </c>
      <c r="F110" s="147" t="e">
        <v>#N/A</v>
      </c>
      <c r="G110" s="147" t="e">
        <v>#N/A</v>
      </c>
    </row>
    <row r="111" spans="1:7">
      <c r="A111">
        <v>3350</v>
      </c>
      <c r="B111" s="147">
        <v>1.7330735294117647E-2</v>
      </c>
      <c r="C111">
        <v>2.9610000000000004E-2</v>
      </c>
      <c r="E111" s="188">
        <v>3530</v>
      </c>
      <c r="F111" s="147" t="e">
        <v>#N/A</v>
      </c>
      <c r="G111" s="147" t="e">
        <v>#N/A</v>
      </c>
    </row>
    <row r="112" spans="1:7">
      <c r="A112">
        <v>6265</v>
      </c>
      <c r="B112" s="147">
        <v>1.1786885245901645E-2</v>
      </c>
      <c r="C112">
        <v>3.3600000000000005E-2</v>
      </c>
      <c r="E112" s="188">
        <v>40</v>
      </c>
      <c r="F112" s="147">
        <v>0.50859825581395335</v>
      </c>
      <c r="G112" s="147">
        <v>1.0223000000000002</v>
      </c>
    </row>
    <row r="113" spans="1:7">
      <c r="A113">
        <v>4200</v>
      </c>
      <c r="B113" s="147">
        <v>4.5552325581395313E-3</v>
      </c>
      <c r="C113">
        <v>7.0000000000000001E-3</v>
      </c>
      <c r="E113" s="188">
        <v>220</v>
      </c>
      <c r="F113" s="147">
        <v>0.51048176470588236</v>
      </c>
      <c r="G113" s="147">
        <v>0.70862000000000014</v>
      </c>
    </row>
    <row r="114" spans="1:7">
      <c r="A114">
        <v>2740</v>
      </c>
      <c r="B114" s="147">
        <v>2.4877049180327885E-3</v>
      </c>
      <c r="C114">
        <v>3.7499999999999999E-3</v>
      </c>
      <c r="E114" s="188">
        <v>330</v>
      </c>
      <c r="F114" s="147" t="e">
        <v>#N/A</v>
      </c>
      <c r="G114" s="147" t="e">
        <v>#N/A</v>
      </c>
    </row>
    <row r="115" spans="1:7">
      <c r="A115">
        <v>2750</v>
      </c>
      <c r="B115" s="147">
        <v>2.8811475409836083E-3</v>
      </c>
      <c r="C115">
        <v>3.7499999999999999E-3</v>
      </c>
      <c r="E115" s="188">
        <v>2850</v>
      </c>
      <c r="F115" s="147">
        <v>0.43351431818181824</v>
      </c>
      <c r="G115" s="147">
        <v>0.52079399999999998</v>
      </c>
    </row>
    <row r="116" spans="1:7">
      <c r="A116" t="e">
        <v>#N/A</v>
      </c>
      <c r="B116" s="147">
        <v>2.7083333333333347E-3</v>
      </c>
      <c r="C116">
        <v>3.7499999999999999E-3</v>
      </c>
      <c r="E116" s="188">
        <v>2770</v>
      </c>
      <c r="F116" s="147" t="e">
        <v>#N/A</v>
      </c>
      <c r="G116" s="147" t="e">
        <v>#N/A</v>
      </c>
    </row>
    <row r="117" spans="1:7">
      <c r="A117" t="e">
        <v>#N/A</v>
      </c>
      <c r="B117" s="147">
        <v>3.0735294117647085E-3</v>
      </c>
      <c r="C117">
        <v>3.7499999999999999E-3</v>
      </c>
      <c r="E117" s="188">
        <v>6113</v>
      </c>
      <c r="F117" s="147">
        <v>2.2465244444444439</v>
      </c>
      <c r="G117" s="147">
        <v>3.3145899999999999</v>
      </c>
    </row>
    <row r="118" spans="1:7">
      <c r="A118">
        <v>11</v>
      </c>
      <c r="B118" s="232">
        <v>3.2558139534883744E-3</v>
      </c>
      <c r="C118">
        <v>3.7499999999999999E-3</v>
      </c>
    </row>
    <row r="119" spans="1:7">
      <c r="A119">
        <v>21</v>
      </c>
      <c r="B119" s="147">
        <v>1.7386363636363643E-3</v>
      </c>
      <c r="C119">
        <v>3.7499999999999999E-3</v>
      </c>
    </row>
    <row r="120" spans="1:7">
      <c r="A120">
        <v>15</v>
      </c>
      <c r="B120" s="147">
        <v>1.0777777777777778E-3</v>
      </c>
      <c r="C120">
        <v>3.7499999999999999E-3</v>
      </c>
    </row>
    <row r="121" spans="1:7">
      <c r="A121" t="e">
        <v>#N/A</v>
      </c>
      <c r="B121" s="147">
        <v>1.0255681818181817E-2</v>
      </c>
      <c r="C121">
        <v>2.0200000000000017E-2</v>
      </c>
    </row>
    <row r="122" spans="1:7">
      <c r="A122">
        <v>6073</v>
      </c>
      <c r="B122" s="147">
        <v>1.9348360655737713E-2</v>
      </c>
      <c r="C122">
        <v>3.1799999999999995E-2</v>
      </c>
    </row>
    <row r="123" spans="1:7">
      <c r="A123">
        <v>1000</v>
      </c>
      <c r="B123" s="147">
        <v>8.4549180327868848E-3</v>
      </c>
      <c r="C123">
        <v>2.0500000000000001E-2</v>
      </c>
    </row>
    <row r="124" spans="1:7">
      <c r="A124">
        <v>40</v>
      </c>
      <c r="B124" s="147">
        <v>1.1081395348837217E-2</v>
      </c>
      <c r="C124">
        <v>2.5999999999999999E-2</v>
      </c>
    </row>
    <row r="125" spans="1:7">
      <c r="A125">
        <v>30</v>
      </c>
      <c r="B125" s="147">
        <v>1.0122881355932208E-2</v>
      </c>
      <c r="C125">
        <v>1.7999999999999999E-2</v>
      </c>
    </row>
    <row r="126" spans="1:7">
      <c r="A126">
        <v>60</v>
      </c>
      <c r="B126" s="147">
        <v>3.2083333333333352E-3</v>
      </c>
      <c r="C126">
        <v>3.7499999999999999E-3</v>
      </c>
    </row>
    <row r="127" spans="1:7">
      <c r="A127">
        <v>110</v>
      </c>
      <c r="B127" s="147">
        <v>1.1273255813953498E-2</v>
      </c>
      <c r="C127">
        <v>0.02</v>
      </c>
    </row>
    <row r="128" spans="1:7">
      <c r="A128">
        <v>120</v>
      </c>
      <c r="B128" s="147">
        <v>7.4426229508196707E-3</v>
      </c>
      <c r="C128">
        <v>1.4499999999999999E-2</v>
      </c>
    </row>
    <row r="129" spans="1:3">
      <c r="A129" t="e">
        <v>#N/A</v>
      </c>
      <c r="B129" s="147">
        <v>2.8055555555555568E-3</v>
      </c>
      <c r="C129">
        <v>3.7499999999999999E-3</v>
      </c>
    </row>
    <row r="130" spans="1:3">
      <c r="A130">
        <v>80</v>
      </c>
      <c r="B130" s="147">
        <v>2.6420454545454564E-3</v>
      </c>
      <c r="C130">
        <v>3.7499999999999999E-3</v>
      </c>
    </row>
    <row r="131" spans="1:3">
      <c r="A131">
        <v>1020</v>
      </c>
      <c r="B131" s="147">
        <v>7.7209302325581455E-3</v>
      </c>
      <c r="C131">
        <v>1.2999999999999999E-2</v>
      </c>
    </row>
    <row r="132" spans="1:3">
      <c r="A132">
        <v>1030</v>
      </c>
      <c r="B132" s="147">
        <v>9.1279069767441923E-3</v>
      </c>
      <c r="C132">
        <v>1.7000000000000001E-2</v>
      </c>
    </row>
    <row r="133" spans="1:3">
      <c r="A133">
        <v>170</v>
      </c>
      <c r="B133" s="147">
        <v>1.2714285714285721E-2</v>
      </c>
      <c r="C133">
        <v>2.58E-2</v>
      </c>
    </row>
    <row r="134" spans="1:3">
      <c r="A134">
        <v>150</v>
      </c>
      <c r="B134" s="147">
        <v>3.1097560975609775E-3</v>
      </c>
      <c r="C134">
        <v>3.7499999999999999E-3</v>
      </c>
    </row>
    <row r="135" spans="1:3">
      <c r="A135">
        <v>210</v>
      </c>
      <c r="B135" s="147">
        <v>6.8750000000000018E-4</v>
      </c>
      <c r="C135">
        <v>3.7499999999999999E-3</v>
      </c>
    </row>
    <row r="136" spans="1:3">
      <c r="A136">
        <v>220</v>
      </c>
      <c r="B136" s="147">
        <v>3.6470588235294099E-3</v>
      </c>
      <c r="C136">
        <v>5.100000000000009E-3</v>
      </c>
    </row>
    <row r="137" spans="1:3">
      <c r="A137">
        <v>250</v>
      </c>
      <c r="B137" s="147">
        <v>8.1400000000000031E-3</v>
      </c>
      <c r="C137">
        <v>1.5090000000000001E-2</v>
      </c>
    </row>
    <row r="138" spans="1:3">
      <c r="A138" t="e">
        <v>#N/A</v>
      </c>
      <c r="B138" s="147">
        <v>7.2500000000000021E-3</v>
      </c>
      <c r="C138">
        <v>1.1200000000000002E-2</v>
      </c>
    </row>
    <row r="139" spans="1:3">
      <c r="A139">
        <v>320</v>
      </c>
      <c r="B139" s="147">
        <v>3.4583333333333327E-2</v>
      </c>
      <c r="C139">
        <v>6.8200000000000011E-2</v>
      </c>
    </row>
    <row r="140" spans="1:3">
      <c r="A140">
        <v>290</v>
      </c>
      <c r="B140" s="147">
        <v>1.5230769230769235E-2</v>
      </c>
      <c r="C140">
        <v>2.5200000000000004E-2</v>
      </c>
    </row>
    <row r="141" spans="1:3">
      <c r="A141" t="e">
        <v>#N/A</v>
      </c>
      <c r="B141" s="147">
        <v>1.5919130434782613E-2</v>
      </c>
      <c r="C141">
        <v>2.06E-2</v>
      </c>
    </row>
    <row r="142" spans="1:3">
      <c r="A142" t="e">
        <v>#N/A</v>
      </c>
      <c r="B142" s="147">
        <v>2.618530612244897E-2</v>
      </c>
      <c r="C142">
        <v>8.3400000000000016E-2</v>
      </c>
    </row>
    <row r="143" spans="1:3">
      <c r="A143" t="e">
        <v>#N/A</v>
      </c>
      <c r="B143" s="147">
        <v>4.9242134831460678E-2</v>
      </c>
      <c r="C143">
        <v>0.11260000000000013</v>
      </c>
    </row>
    <row r="144" spans="1:3">
      <c r="A144">
        <v>5040</v>
      </c>
      <c r="B144" s="147">
        <v>2.5266555555555539E-2</v>
      </c>
      <c r="C144">
        <v>4.6969999999999998E-2</v>
      </c>
    </row>
  </sheetData>
  <mergeCells count="9">
    <mergeCell ref="X1:X2"/>
    <mergeCell ref="Y1:Y2"/>
    <mergeCell ref="Z1:Z2"/>
    <mergeCell ref="L1:M1"/>
    <mergeCell ref="N1:O1"/>
    <mergeCell ref="P1:Q1"/>
    <mergeCell ref="R1:S1"/>
    <mergeCell ref="T1:U1"/>
    <mergeCell ref="V1:W1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4"/>
  <dimension ref="A1"/>
  <sheetViews>
    <sheetView workbookViewId="0"/>
  </sheetViews>
  <sheetFormatPr baseColWidth="10" defaultRowHeight="1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Parameters</vt:lpstr>
      <vt:lpstr>Basicinfo</vt:lpstr>
      <vt:lpstr>Intermediate</vt:lpstr>
      <vt:lpstr>Local emissions</vt:lpstr>
      <vt:lpstr>Summed emissions</vt:lpstr>
      <vt:lpstr>River loads</vt:lpstr>
      <vt:lpstr>Graphs</vt:lpstr>
      <vt:lpstr>Graphs de</vt:lpstr>
      <vt:lpstr>Graphs mz</vt:lpstr>
      <vt:lpstr>Graphs c eng</vt:lpstr>
      <vt:lpstr>Graphs c de</vt:lpstr>
      <vt:lpstr>TN</vt:lpstr>
      <vt:lpstr>DIN</vt:lpstr>
      <vt:lpstr>TP</vt:lpstr>
      <vt:lpstr>Übertrag P</vt:lpstr>
      <vt:lpstr>Übertrag N</vt:lpstr>
      <vt:lpstr>Tabelle2</vt:lpstr>
      <vt:lpstr>Tabelle1</vt:lpstr>
    </vt:vector>
  </TitlesOfParts>
  <Company>TU - Wien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IWAG</dc:creator>
  <cp:lastModifiedBy>Fajar J. Ekaputra</cp:lastModifiedBy>
  <cp:lastPrinted>2010-10-13T13:37:43Z</cp:lastPrinted>
  <dcterms:created xsi:type="dcterms:W3CDTF">2009-10-14T12:14:05Z</dcterms:created>
  <dcterms:modified xsi:type="dcterms:W3CDTF">2020-09-24T14:38:52Z</dcterms:modified>
</cp:coreProperties>
</file>